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omluszczyszyn/Desktop/"/>
    </mc:Choice>
  </mc:AlternateContent>
  <xr:revisionPtr revIDLastSave="0" documentId="13_ncr:1_{387F6D54-81CB-0549-AC40-3869CC46F217}" xr6:coauthVersionLast="47" xr6:coauthVersionMax="47" xr10:uidLastSave="{00000000-0000-0000-0000-000000000000}"/>
  <bookViews>
    <workbookView xWindow="0" yWindow="760" windowWidth="30580" windowHeight="20780" activeTab="1" xr2:uid="{00000000-000D-0000-FFFF-FFFF00000000}"/>
  </bookViews>
  <sheets>
    <sheet name="Settings" sheetId="1" r:id="rId1"/>
    <sheet name="The List" sheetId="2" r:id="rId2"/>
    <sheet name="Team Comparison" sheetId="3" r:id="rId3"/>
    <sheet name="F" sheetId="4" r:id="rId4"/>
    <sheet name="C" sheetId="5" r:id="rId5"/>
    <sheet name="LW" sheetId="6" r:id="rId6"/>
    <sheet name="RW" sheetId="7" r:id="rId7"/>
    <sheet name="D" sheetId="8" r:id="rId8"/>
    <sheet name="G" sheetId="9" r:id="rId9"/>
    <sheet name="ADP" sheetId="10" r:id="rId10"/>
    <sheet name="Player Data" sheetId="11" r:id="rId11"/>
    <sheet name="Standard Deviations" sheetId="12" r:id="rId12"/>
  </sheets>
  <definedNames>
    <definedName name="_xlnm._FilterDatabase" localSheetId="1" hidden="1">'The List'!$A$1:$AR$665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6" i="12" l="1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/>
  <c r="B581" i="12"/>
  <c r="D580" i="12"/>
  <c r="B580" i="12"/>
  <c r="D579" i="12"/>
  <c r="B579" i="12"/>
  <c r="D578" i="12"/>
  <c r="B578" i="12"/>
  <c r="D577" i="12"/>
  <c r="B577" i="12"/>
  <c r="D576" i="12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D562" i="12"/>
  <c r="B562" i="12"/>
  <c r="D561" i="12"/>
  <c r="B561" i="12"/>
  <c r="D560" i="12"/>
  <c r="B560" i="12"/>
  <c r="D559" i="12"/>
  <c r="B559" i="12"/>
  <c r="D558" i="12"/>
  <c r="B558" i="12"/>
  <c r="D557" i="12"/>
  <c r="B557" i="12"/>
  <c r="D556" i="12"/>
  <c r="B556" i="12"/>
  <c r="D555" i="12"/>
  <c r="B555" i="12"/>
  <c r="D554" i="12"/>
  <c r="B554" i="12"/>
  <c r="D553" i="12"/>
  <c r="B553" i="12"/>
  <c r="D552" i="12"/>
  <c r="B552" i="12"/>
  <c r="D551" i="12"/>
  <c r="B551" i="12"/>
  <c r="D550" i="12"/>
  <c r="B550" i="12"/>
  <c r="D549" i="12"/>
  <c r="B549" i="12"/>
  <c r="D548" i="12"/>
  <c r="B548" i="12"/>
  <c r="D547" i="12"/>
  <c r="B547" i="12"/>
  <c r="D546" i="12"/>
  <c r="B546" i="12"/>
  <c r="D545" i="12"/>
  <c r="B545" i="12"/>
  <c r="D544" i="12"/>
  <c r="B544" i="12"/>
  <c r="D543" i="12"/>
  <c r="B543" i="12"/>
  <c r="D542" i="12"/>
  <c r="B542" i="12"/>
  <c r="D541" i="12"/>
  <c r="B541" i="12"/>
  <c r="D540" i="12"/>
  <c r="B540" i="12"/>
  <c r="D539" i="12"/>
  <c r="B539" i="12"/>
  <c r="D538" i="12"/>
  <c r="B538" i="12"/>
  <c r="D537" i="12"/>
  <c r="B537" i="12"/>
  <c r="D536" i="12"/>
  <c r="B536" i="12"/>
  <c r="D535" i="12"/>
  <c r="B535" i="12"/>
  <c r="D534" i="12"/>
  <c r="B534" i="12"/>
  <c r="D533" i="12"/>
  <c r="B533" i="12"/>
  <c r="D532" i="12"/>
  <c r="B532" i="12"/>
  <c r="D531" i="12"/>
  <c r="B531" i="12"/>
  <c r="D530" i="12"/>
  <c r="B530" i="12"/>
  <c r="D529" i="12"/>
  <c r="B529" i="12"/>
  <c r="D528" i="12"/>
  <c r="B528" i="12"/>
  <c r="D527" i="12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8" i="12"/>
  <c r="B518" i="12"/>
  <c r="D517" i="12"/>
  <c r="B517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D509" i="12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/>
  <c r="B477" i="12"/>
  <c r="D476" i="12"/>
  <c r="B476" i="12"/>
  <c r="D475" i="12"/>
  <c r="B475" i="12"/>
  <c r="D474" i="12"/>
  <c r="B474" i="12"/>
  <c r="D473" i="12"/>
  <c r="B473" i="12"/>
  <c r="D472" i="12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D463" i="12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D438" i="12"/>
  <c r="B438" i="12"/>
  <c r="D437" i="12"/>
  <c r="B437" i="12"/>
  <c r="D436" i="12"/>
  <c r="B436" i="12"/>
  <c r="D435" i="12"/>
  <c r="B435" i="12"/>
  <c r="D434" i="12"/>
  <c r="B434" i="12"/>
  <c r="D433" i="12"/>
  <c r="B433" i="12"/>
  <c r="D432" i="12"/>
  <c r="B432" i="12"/>
  <c r="D431" i="12"/>
  <c r="B431" i="12"/>
  <c r="D430" i="12"/>
  <c r="B430" i="12"/>
  <c r="D429" i="12"/>
  <c r="B429" i="12"/>
  <c r="D428" i="12"/>
  <c r="B428" i="12"/>
  <c r="D427" i="12"/>
  <c r="B427" i="12"/>
  <c r="D426" i="12"/>
  <c r="B426" i="12"/>
  <c r="D425" i="12"/>
  <c r="B425" i="12"/>
  <c r="D424" i="12"/>
  <c r="B424" i="12"/>
  <c r="D423" i="12"/>
  <c r="B423" i="12"/>
  <c r="D422" i="12"/>
  <c r="B422" i="12"/>
  <c r="D421" i="12"/>
  <c r="B421" i="12"/>
  <c r="D420" i="12"/>
  <c r="B420" i="12"/>
  <c r="D419" i="12"/>
  <c r="B419" i="12"/>
  <c r="D418" i="12"/>
  <c r="B418" i="12"/>
  <c r="D417" i="12"/>
  <c r="B417" i="12"/>
  <c r="D416" i="12"/>
  <c r="B416" i="12"/>
  <c r="D415" i="12"/>
  <c r="B415" i="12"/>
  <c r="D414" i="12"/>
  <c r="B414" i="12"/>
  <c r="D413" i="12"/>
  <c r="B413" i="12"/>
  <c r="D412" i="12"/>
  <c r="B412" i="12"/>
  <c r="D411" i="12"/>
  <c r="B411" i="12"/>
  <c r="D410" i="12"/>
  <c r="B410" i="12"/>
  <c r="D409" i="12"/>
  <c r="B409" i="12"/>
  <c r="D408" i="12"/>
  <c r="B408" i="12"/>
  <c r="D407" i="12"/>
  <c r="B407" i="12"/>
  <c r="D406" i="12"/>
  <c r="B406" i="12"/>
  <c r="D405" i="12"/>
  <c r="B405" i="12"/>
  <c r="D404" i="12"/>
  <c r="B404" i="12"/>
  <c r="D403" i="12"/>
  <c r="B403" i="12"/>
  <c r="D402" i="12"/>
  <c r="B402" i="12"/>
  <c r="D401" i="12"/>
  <c r="B401" i="12"/>
  <c r="D400" i="12"/>
  <c r="B400" i="12"/>
  <c r="D399" i="12"/>
  <c r="B399" i="12"/>
  <c r="D398" i="12"/>
  <c r="B398" i="12"/>
  <c r="D397" i="12"/>
  <c r="B397" i="12"/>
  <c r="D396" i="12"/>
  <c r="B396" i="12"/>
  <c r="D395" i="12"/>
  <c r="B395" i="12"/>
  <c r="D394" i="12"/>
  <c r="B394" i="12"/>
  <c r="D393" i="12"/>
  <c r="B393" i="12"/>
  <c r="D392" i="12"/>
  <c r="B392" i="12"/>
  <c r="D391" i="12"/>
  <c r="B391" i="12"/>
  <c r="D390" i="12"/>
  <c r="B390" i="12"/>
  <c r="D389" i="12"/>
  <c r="B389" i="12"/>
  <c r="D388" i="12"/>
  <c r="B388" i="12"/>
  <c r="D387" i="12"/>
  <c r="B387" i="12"/>
  <c r="D386" i="12"/>
  <c r="B386" i="12"/>
  <c r="D385" i="12"/>
  <c r="B385" i="12"/>
  <c r="D384" i="12"/>
  <c r="B384" i="12"/>
  <c r="D383" i="12"/>
  <c r="B383" i="12"/>
  <c r="D382" i="12"/>
  <c r="B382" i="12"/>
  <c r="D381" i="12"/>
  <c r="B381" i="12"/>
  <c r="D380" i="12"/>
  <c r="B380" i="12"/>
  <c r="D379" i="12"/>
  <c r="B379" i="12"/>
  <c r="D378" i="12"/>
  <c r="B378" i="12"/>
  <c r="D377" i="12"/>
  <c r="B377" i="12"/>
  <c r="D376" i="12"/>
  <c r="B376" i="12"/>
  <c r="D375" i="12"/>
  <c r="B375" i="12"/>
  <c r="D374" i="12"/>
  <c r="B374" i="12"/>
  <c r="D373" i="12"/>
  <c r="B373" i="12"/>
  <c r="D372" i="12"/>
  <c r="B372" i="12"/>
  <c r="D371" i="12"/>
  <c r="B371" i="12"/>
  <c r="D370" i="12"/>
  <c r="B370" i="12"/>
  <c r="D369" i="12"/>
  <c r="B369" i="12"/>
  <c r="D368" i="12"/>
  <c r="B368" i="12"/>
  <c r="D367" i="12"/>
  <c r="B367" i="12"/>
  <c r="D366" i="12"/>
  <c r="B366" i="12"/>
  <c r="D365" i="12"/>
  <c r="B365" i="12"/>
  <c r="D364" i="12"/>
  <c r="B364" i="12"/>
  <c r="D363" i="12"/>
  <c r="B363" i="12"/>
  <c r="D362" i="12"/>
  <c r="B362" i="12"/>
  <c r="D361" i="12"/>
  <c r="B361" i="12"/>
  <c r="D360" i="12"/>
  <c r="B360" i="12"/>
  <c r="D359" i="12"/>
  <c r="B359" i="12"/>
  <c r="D358" i="12"/>
  <c r="B358" i="12"/>
  <c r="D357" i="12"/>
  <c r="B357" i="12"/>
  <c r="D356" i="12"/>
  <c r="B356" i="12"/>
  <c r="D355" i="12"/>
  <c r="B355" i="12"/>
  <c r="D354" i="12"/>
  <c r="B354" i="12"/>
  <c r="D353" i="12"/>
  <c r="B353" i="12"/>
  <c r="D352" i="12"/>
  <c r="B352" i="12"/>
  <c r="D351" i="12"/>
  <c r="B351" i="12"/>
  <c r="D350" i="12"/>
  <c r="B350" i="12"/>
  <c r="D349" i="12"/>
  <c r="B349" i="12"/>
  <c r="D348" i="12"/>
  <c r="B348" i="12"/>
  <c r="D347" i="12"/>
  <c r="B347" i="12"/>
  <c r="D346" i="12"/>
  <c r="B346" i="12"/>
  <c r="D345" i="12"/>
  <c r="B345" i="12"/>
  <c r="D344" i="12"/>
  <c r="B344" i="12"/>
  <c r="D343" i="12"/>
  <c r="B343" i="12"/>
  <c r="D342" i="12"/>
  <c r="B342" i="12"/>
  <c r="D341" i="12"/>
  <c r="B341" i="12"/>
  <c r="D340" i="12"/>
  <c r="B340" i="12"/>
  <c r="D339" i="12"/>
  <c r="B339" i="12"/>
  <c r="D338" i="12"/>
  <c r="B338" i="12"/>
  <c r="D337" i="12"/>
  <c r="B337" i="12"/>
  <c r="D336" i="12"/>
  <c r="B336" i="12"/>
  <c r="D335" i="12"/>
  <c r="B335" i="12"/>
  <c r="D334" i="12"/>
  <c r="B334" i="12"/>
  <c r="D333" i="12"/>
  <c r="B333" i="12"/>
  <c r="D332" i="12"/>
  <c r="B332" i="12"/>
  <c r="D331" i="12"/>
  <c r="B331" i="12"/>
  <c r="D330" i="12"/>
  <c r="B330" i="12"/>
  <c r="D329" i="12"/>
  <c r="B329" i="12"/>
  <c r="D328" i="12"/>
  <c r="B328" i="12"/>
  <c r="D327" i="12"/>
  <c r="B327" i="12"/>
  <c r="D326" i="12"/>
  <c r="B326" i="12"/>
  <c r="D325" i="12"/>
  <c r="B325" i="12"/>
  <c r="D324" i="12"/>
  <c r="B324" i="12"/>
  <c r="D323" i="12"/>
  <c r="B323" i="12"/>
  <c r="D322" i="12"/>
  <c r="B322" i="12"/>
  <c r="D321" i="12"/>
  <c r="B321" i="12"/>
  <c r="D320" i="12"/>
  <c r="B320" i="12"/>
  <c r="D319" i="12"/>
  <c r="B319" i="12"/>
  <c r="D318" i="12"/>
  <c r="B318" i="12"/>
  <c r="D317" i="12"/>
  <c r="B317" i="12"/>
  <c r="D316" i="12"/>
  <c r="B316" i="12"/>
  <c r="D315" i="12"/>
  <c r="B315" i="12"/>
  <c r="D314" i="12"/>
  <c r="B314" i="12"/>
  <c r="D313" i="12"/>
  <c r="B313" i="12"/>
  <c r="D312" i="12"/>
  <c r="B312" i="12"/>
  <c r="D311" i="12"/>
  <c r="B311" i="12"/>
  <c r="D310" i="12"/>
  <c r="B310" i="12"/>
  <c r="D309" i="12"/>
  <c r="B309" i="12"/>
  <c r="D308" i="12"/>
  <c r="B308" i="12"/>
  <c r="D307" i="12"/>
  <c r="B307" i="12"/>
  <c r="D306" i="12"/>
  <c r="B306" i="12"/>
  <c r="D305" i="12"/>
  <c r="B305" i="12"/>
  <c r="D304" i="12"/>
  <c r="B304" i="12"/>
  <c r="D303" i="12"/>
  <c r="B303" i="12"/>
  <c r="D302" i="12"/>
  <c r="B302" i="12"/>
  <c r="D301" i="12"/>
  <c r="B301" i="12"/>
  <c r="D300" i="12"/>
  <c r="B300" i="12"/>
  <c r="D299" i="12"/>
  <c r="B299" i="12"/>
  <c r="D298" i="12"/>
  <c r="B298" i="12"/>
  <c r="D297" i="12"/>
  <c r="B297" i="12"/>
  <c r="D296" i="12"/>
  <c r="B296" i="12"/>
  <c r="D295" i="12"/>
  <c r="B295" i="12"/>
  <c r="D294" i="12"/>
  <c r="B294" i="12"/>
  <c r="D293" i="12"/>
  <c r="B293" i="12"/>
  <c r="D292" i="12"/>
  <c r="B292" i="12"/>
  <c r="D291" i="12"/>
  <c r="B291" i="12"/>
  <c r="D290" i="12"/>
  <c r="B290" i="12"/>
  <c r="D289" i="12"/>
  <c r="B289" i="12"/>
  <c r="D288" i="12"/>
  <c r="B288" i="12"/>
  <c r="D287" i="12"/>
  <c r="B287" i="12"/>
  <c r="D286" i="12"/>
  <c r="B286" i="12"/>
  <c r="D285" i="12"/>
  <c r="B285" i="12"/>
  <c r="D284" i="12"/>
  <c r="B284" i="12"/>
  <c r="D283" i="12"/>
  <c r="B283" i="12"/>
  <c r="D282" i="12"/>
  <c r="B282" i="12"/>
  <c r="D281" i="12"/>
  <c r="B281" i="12"/>
  <c r="D280" i="12"/>
  <c r="B280" i="12"/>
  <c r="D279" i="12"/>
  <c r="B279" i="12"/>
  <c r="D278" i="12"/>
  <c r="B278" i="12"/>
  <c r="D277" i="12"/>
  <c r="B277" i="12"/>
  <c r="D276" i="12"/>
  <c r="B276" i="12"/>
  <c r="D275" i="12"/>
  <c r="B275" i="12"/>
  <c r="D274" i="12"/>
  <c r="B274" i="12"/>
  <c r="D273" i="12"/>
  <c r="B273" i="12"/>
  <c r="D272" i="12"/>
  <c r="B272" i="12"/>
  <c r="D271" i="12"/>
  <c r="B271" i="12"/>
  <c r="D270" i="12"/>
  <c r="B270" i="12"/>
  <c r="D269" i="12"/>
  <c r="B269" i="12"/>
  <c r="D268" i="12"/>
  <c r="B268" i="12"/>
  <c r="D267" i="12"/>
  <c r="B267" i="12"/>
  <c r="D266" i="12"/>
  <c r="B266" i="12"/>
  <c r="D265" i="12"/>
  <c r="B265" i="12"/>
  <c r="D264" i="12"/>
  <c r="B264" i="12"/>
  <c r="D263" i="12"/>
  <c r="B263" i="12"/>
  <c r="D262" i="12"/>
  <c r="B262" i="12"/>
  <c r="D261" i="12"/>
  <c r="B261" i="12"/>
  <c r="D260" i="12"/>
  <c r="B260" i="12"/>
  <c r="D259" i="12"/>
  <c r="B259" i="12"/>
  <c r="D258" i="12"/>
  <c r="B258" i="12"/>
  <c r="D257" i="12"/>
  <c r="B257" i="12"/>
  <c r="D256" i="12"/>
  <c r="B256" i="12"/>
  <c r="D255" i="12"/>
  <c r="B255" i="12"/>
  <c r="D254" i="12"/>
  <c r="B254" i="12"/>
  <c r="D253" i="12"/>
  <c r="B253" i="12"/>
  <c r="D252" i="12"/>
  <c r="B252" i="12"/>
  <c r="D251" i="12"/>
  <c r="B251" i="12"/>
  <c r="D250" i="12"/>
  <c r="B250" i="12"/>
  <c r="D249" i="12"/>
  <c r="B249" i="12"/>
  <c r="D248" i="12"/>
  <c r="B248" i="12"/>
  <c r="D247" i="12"/>
  <c r="B247" i="12"/>
  <c r="D246" i="12"/>
  <c r="B246" i="12"/>
  <c r="D245" i="12"/>
  <c r="B245" i="12"/>
  <c r="D244" i="12"/>
  <c r="B244" i="12"/>
  <c r="D243" i="12"/>
  <c r="B243" i="12"/>
  <c r="D242" i="12"/>
  <c r="B242" i="12"/>
  <c r="D241" i="12"/>
  <c r="B241" i="12"/>
  <c r="D240" i="12"/>
  <c r="B240" i="12"/>
  <c r="D239" i="12"/>
  <c r="B239" i="12"/>
  <c r="D238" i="12"/>
  <c r="B238" i="12"/>
  <c r="D237" i="12"/>
  <c r="B237" i="12"/>
  <c r="D236" i="12"/>
  <c r="B236" i="12"/>
  <c r="D235" i="12"/>
  <c r="B235" i="12"/>
  <c r="D234" i="12"/>
  <c r="B234" i="12"/>
  <c r="D233" i="12"/>
  <c r="B233" i="12"/>
  <c r="D232" i="12"/>
  <c r="B232" i="12"/>
  <c r="D231" i="12"/>
  <c r="B231" i="12"/>
  <c r="D230" i="12"/>
  <c r="B230" i="12"/>
  <c r="D229" i="12"/>
  <c r="B229" i="12"/>
  <c r="D228" i="12"/>
  <c r="B228" i="12"/>
  <c r="D227" i="12"/>
  <c r="B227" i="12"/>
  <c r="D226" i="12"/>
  <c r="B226" i="12"/>
  <c r="D225" i="12"/>
  <c r="B225" i="12"/>
  <c r="D224" i="12"/>
  <c r="B224" i="12"/>
  <c r="D223" i="12"/>
  <c r="B223" i="12"/>
  <c r="D222" i="12"/>
  <c r="B222" i="12"/>
  <c r="D221" i="12"/>
  <c r="B221" i="12"/>
  <c r="D220" i="12"/>
  <c r="B220" i="12"/>
  <c r="D219" i="12"/>
  <c r="B219" i="12"/>
  <c r="D218" i="12"/>
  <c r="B218" i="12"/>
  <c r="D217" i="12"/>
  <c r="B217" i="12"/>
  <c r="D216" i="12"/>
  <c r="B216" i="12"/>
  <c r="D215" i="12"/>
  <c r="B215" i="12"/>
  <c r="D214" i="12"/>
  <c r="B214" i="12"/>
  <c r="D213" i="12"/>
  <c r="B213" i="12"/>
  <c r="D212" i="12"/>
  <c r="B212" i="12"/>
  <c r="D211" i="12"/>
  <c r="B211" i="12"/>
  <c r="D210" i="12"/>
  <c r="B210" i="12"/>
  <c r="D209" i="12"/>
  <c r="B209" i="12"/>
  <c r="D208" i="12"/>
  <c r="B208" i="12"/>
  <c r="D207" i="12"/>
  <c r="B207" i="12"/>
  <c r="D206" i="12"/>
  <c r="B206" i="12"/>
  <c r="D205" i="12"/>
  <c r="B205" i="12"/>
  <c r="D204" i="12"/>
  <c r="B204" i="12"/>
  <c r="D203" i="12"/>
  <c r="B203" i="12"/>
  <c r="D202" i="12"/>
  <c r="B202" i="12"/>
  <c r="D201" i="12"/>
  <c r="B201" i="12"/>
  <c r="D200" i="12"/>
  <c r="B200" i="12"/>
  <c r="D199" i="12"/>
  <c r="B199" i="12"/>
  <c r="D198" i="12"/>
  <c r="B198" i="12"/>
  <c r="D197" i="12"/>
  <c r="B197" i="12"/>
  <c r="D196" i="12"/>
  <c r="B196" i="12"/>
  <c r="D195" i="12"/>
  <c r="B195" i="12"/>
  <c r="D194" i="12"/>
  <c r="B194" i="12"/>
  <c r="D193" i="12"/>
  <c r="B193" i="12"/>
  <c r="D192" i="12"/>
  <c r="B192" i="12"/>
  <c r="D191" i="12"/>
  <c r="B191" i="12"/>
  <c r="D190" i="12"/>
  <c r="B190" i="12"/>
  <c r="D189" i="12"/>
  <c r="B189" i="12"/>
  <c r="D188" i="12"/>
  <c r="B188" i="12"/>
  <c r="D187" i="12"/>
  <c r="B187" i="12"/>
  <c r="D186" i="12"/>
  <c r="B186" i="12"/>
  <c r="D185" i="12"/>
  <c r="B185" i="12"/>
  <c r="D184" i="12"/>
  <c r="B184" i="12"/>
  <c r="D183" i="12"/>
  <c r="B183" i="12"/>
  <c r="D182" i="12"/>
  <c r="B182" i="12"/>
  <c r="D181" i="12"/>
  <c r="B181" i="12"/>
  <c r="D180" i="12"/>
  <c r="B180" i="12"/>
  <c r="D179" i="12"/>
  <c r="B179" i="12"/>
  <c r="D178" i="12"/>
  <c r="B178" i="12"/>
  <c r="D177" i="12"/>
  <c r="B177" i="12"/>
  <c r="D176" i="12"/>
  <c r="B176" i="12"/>
  <c r="D175" i="12"/>
  <c r="B175" i="12"/>
  <c r="D174" i="12"/>
  <c r="B174" i="12"/>
  <c r="D173" i="12"/>
  <c r="B173" i="12"/>
  <c r="D172" i="12"/>
  <c r="B172" i="12"/>
  <c r="D171" i="12"/>
  <c r="B171" i="12"/>
  <c r="D170" i="12"/>
  <c r="B170" i="12"/>
  <c r="D169" i="12"/>
  <c r="B169" i="12"/>
  <c r="D168" i="12"/>
  <c r="B168" i="12"/>
  <c r="D167" i="12"/>
  <c r="B167" i="12"/>
  <c r="D166" i="12"/>
  <c r="B166" i="12"/>
  <c r="D165" i="12"/>
  <c r="B165" i="12"/>
  <c r="D164" i="12"/>
  <c r="B164" i="12"/>
  <c r="D163" i="12"/>
  <c r="B163" i="12"/>
  <c r="D162" i="12"/>
  <c r="B162" i="12"/>
  <c r="D161" i="12"/>
  <c r="B161" i="12"/>
  <c r="D160" i="12"/>
  <c r="B160" i="12"/>
  <c r="D159" i="12"/>
  <c r="B159" i="12"/>
  <c r="D158" i="12"/>
  <c r="B158" i="12"/>
  <c r="D157" i="12"/>
  <c r="B157" i="12"/>
  <c r="D156" i="12"/>
  <c r="B156" i="12"/>
  <c r="D155" i="12"/>
  <c r="B155" i="12"/>
  <c r="D154" i="12"/>
  <c r="B154" i="12"/>
  <c r="D153" i="12"/>
  <c r="B153" i="12"/>
  <c r="D152" i="12"/>
  <c r="B152" i="12"/>
  <c r="D151" i="12"/>
  <c r="B151" i="12"/>
  <c r="D150" i="12"/>
  <c r="B150" i="12"/>
  <c r="D149" i="12"/>
  <c r="B149" i="12"/>
  <c r="D148" i="12"/>
  <c r="B148" i="12"/>
  <c r="D147" i="12"/>
  <c r="B147" i="12"/>
  <c r="D146" i="12"/>
  <c r="B146" i="12"/>
  <c r="D145" i="12"/>
  <c r="B145" i="12"/>
  <c r="D144" i="12"/>
  <c r="B144" i="12"/>
  <c r="D143" i="12"/>
  <c r="B143" i="12"/>
  <c r="D142" i="12"/>
  <c r="B142" i="12"/>
  <c r="D141" i="12"/>
  <c r="B141" i="12"/>
  <c r="D140" i="12"/>
  <c r="B140" i="12"/>
  <c r="D139" i="12"/>
  <c r="B139" i="12"/>
  <c r="D138" i="12"/>
  <c r="B138" i="12"/>
  <c r="D137" i="12"/>
  <c r="B137" i="12"/>
  <c r="D136" i="12"/>
  <c r="B136" i="12"/>
  <c r="D135" i="12"/>
  <c r="B135" i="12"/>
  <c r="D134" i="12"/>
  <c r="B134" i="12"/>
  <c r="D133" i="12"/>
  <c r="B133" i="12"/>
  <c r="D132" i="12"/>
  <c r="B132" i="12"/>
  <c r="D131" i="12"/>
  <c r="B131" i="12"/>
  <c r="D130" i="12"/>
  <c r="B130" i="12"/>
  <c r="D129" i="12"/>
  <c r="B129" i="12"/>
  <c r="D128" i="12"/>
  <c r="B128" i="12"/>
  <c r="D127" i="12"/>
  <c r="B127" i="12"/>
  <c r="D126" i="12"/>
  <c r="B126" i="12"/>
  <c r="D125" i="12"/>
  <c r="B125" i="12"/>
  <c r="D124" i="12"/>
  <c r="B124" i="12"/>
  <c r="D123" i="12"/>
  <c r="B123" i="12"/>
  <c r="D122" i="12"/>
  <c r="B122" i="12"/>
  <c r="D121" i="12"/>
  <c r="B121" i="12"/>
  <c r="D120" i="12"/>
  <c r="B120" i="12"/>
  <c r="D119" i="12"/>
  <c r="B119" i="12"/>
  <c r="D118" i="12"/>
  <c r="B118" i="12"/>
  <c r="D117" i="12"/>
  <c r="B117" i="12"/>
  <c r="D116" i="12"/>
  <c r="B116" i="12"/>
  <c r="D115" i="12"/>
  <c r="B115" i="12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D97" i="12"/>
  <c r="B97" i="12"/>
  <c r="D96" i="12"/>
  <c r="B96" i="12"/>
  <c r="D95" i="12"/>
  <c r="B95" i="12"/>
  <c r="D94" i="12"/>
  <c r="B94" i="12"/>
  <c r="D93" i="12"/>
  <c r="B93" i="12"/>
  <c r="D92" i="12"/>
  <c r="B92" i="12"/>
  <c r="D91" i="12"/>
  <c r="B91" i="12"/>
  <c r="D90" i="12"/>
  <c r="B90" i="12"/>
  <c r="D89" i="12"/>
  <c r="B89" i="12"/>
  <c r="D88" i="12"/>
  <c r="B88" i="12"/>
  <c r="D87" i="12"/>
  <c r="B87" i="12"/>
  <c r="D86" i="12"/>
  <c r="B86" i="12"/>
  <c r="D85" i="12"/>
  <c r="B85" i="12"/>
  <c r="D84" i="12"/>
  <c r="B84" i="12"/>
  <c r="D83" i="12"/>
  <c r="B83" i="12"/>
  <c r="D82" i="12"/>
  <c r="B82" i="12"/>
  <c r="D81" i="12"/>
  <c r="B81" i="12"/>
  <c r="D80" i="12"/>
  <c r="B80" i="12"/>
  <c r="D79" i="12"/>
  <c r="B79" i="12"/>
  <c r="D78" i="12"/>
  <c r="B78" i="12"/>
  <c r="D77" i="12"/>
  <c r="B77" i="12"/>
  <c r="D76" i="12"/>
  <c r="B76" i="12"/>
  <c r="D75" i="12"/>
  <c r="B75" i="12"/>
  <c r="D74" i="12"/>
  <c r="B74" i="12"/>
  <c r="D73" i="12"/>
  <c r="B73" i="12"/>
  <c r="D72" i="12"/>
  <c r="B72" i="12"/>
  <c r="D71" i="12"/>
  <c r="B71" i="12"/>
  <c r="D70" i="12"/>
  <c r="B70" i="12"/>
  <c r="D69" i="12"/>
  <c r="B69" i="12"/>
  <c r="D68" i="12"/>
  <c r="B68" i="12"/>
  <c r="D67" i="12"/>
  <c r="B67" i="12"/>
  <c r="D66" i="12"/>
  <c r="B66" i="12"/>
  <c r="D65" i="12"/>
  <c r="B65" i="12"/>
  <c r="D64" i="12"/>
  <c r="B64" i="12"/>
  <c r="D63" i="12"/>
  <c r="B63" i="12"/>
  <c r="D62" i="12"/>
  <c r="B62" i="12"/>
  <c r="D61" i="12"/>
  <c r="B61" i="12"/>
  <c r="D60" i="12"/>
  <c r="B60" i="12"/>
  <c r="D59" i="12"/>
  <c r="B59" i="12"/>
  <c r="D58" i="12"/>
  <c r="B58" i="12"/>
  <c r="D57" i="12"/>
  <c r="B57" i="12"/>
  <c r="D56" i="12"/>
  <c r="B56" i="12"/>
  <c r="D55" i="12"/>
  <c r="B55" i="12"/>
  <c r="D54" i="12"/>
  <c r="B54" i="12"/>
  <c r="D53" i="12"/>
  <c r="B53" i="12"/>
  <c r="D52" i="12"/>
  <c r="B52" i="12"/>
  <c r="D51" i="12"/>
  <c r="B51" i="12"/>
  <c r="D50" i="12"/>
  <c r="B50" i="12"/>
  <c r="D49" i="12"/>
  <c r="B49" i="12"/>
  <c r="D48" i="12"/>
  <c r="B48" i="12"/>
  <c r="D47" i="12"/>
  <c r="B47" i="12"/>
  <c r="D46" i="12"/>
  <c r="B46" i="12"/>
  <c r="D45" i="12"/>
  <c r="B45" i="12"/>
  <c r="D44" i="12"/>
  <c r="B44" i="12"/>
  <c r="D43" i="12"/>
  <c r="B43" i="12"/>
  <c r="D42" i="12"/>
  <c r="B42" i="12"/>
  <c r="D41" i="12"/>
  <c r="B41" i="12"/>
  <c r="D40" i="12"/>
  <c r="B40" i="12"/>
  <c r="D39" i="12"/>
  <c r="B39" i="12"/>
  <c r="D38" i="12"/>
  <c r="B38" i="12"/>
  <c r="D37" i="12"/>
  <c r="B37" i="12"/>
  <c r="D36" i="12"/>
  <c r="B36" i="12"/>
  <c r="D35" i="12"/>
  <c r="B35" i="12"/>
  <c r="D34" i="12"/>
  <c r="B34" i="12"/>
  <c r="D33" i="12"/>
  <c r="B33" i="12"/>
  <c r="D32" i="12"/>
  <c r="B32" i="12"/>
  <c r="D31" i="12"/>
  <c r="B31" i="12"/>
  <c r="D30" i="12"/>
  <c r="B30" i="12"/>
  <c r="D29" i="12"/>
  <c r="B29" i="12"/>
  <c r="D28" i="12"/>
  <c r="B28" i="12"/>
  <c r="D27" i="12"/>
  <c r="B27" i="12"/>
  <c r="D26" i="12"/>
  <c r="B26" i="12"/>
  <c r="D25" i="12"/>
  <c r="B25" i="12"/>
  <c r="D24" i="12"/>
  <c r="B24" i="12"/>
  <c r="D23" i="12"/>
  <c r="B23" i="12"/>
  <c r="D22" i="12"/>
  <c r="B22" i="12"/>
  <c r="D21" i="12"/>
  <c r="B21" i="12"/>
  <c r="D20" i="12"/>
  <c r="B20" i="12"/>
  <c r="D19" i="12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10" i="12"/>
  <c r="B10" i="12"/>
  <c r="D9" i="12"/>
  <c r="B9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B2" i="12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Q462" i="3"/>
  <c r="P462" i="3"/>
  <c r="O462" i="3"/>
  <c r="N462" i="3"/>
  <c r="M462" i="3"/>
  <c r="L462" i="3"/>
  <c r="K462" i="3"/>
  <c r="J462" i="3"/>
  <c r="I462" i="3"/>
  <c r="G462" i="3"/>
  <c r="F462" i="3"/>
  <c r="E462" i="3"/>
  <c r="D462" i="3"/>
  <c r="C462" i="3"/>
  <c r="B462" i="3"/>
  <c r="Q461" i="3"/>
  <c r="P461" i="3"/>
  <c r="O461" i="3"/>
  <c r="N461" i="3"/>
  <c r="M461" i="3"/>
  <c r="L461" i="3"/>
  <c r="K461" i="3"/>
  <c r="J461" i="3"/>
  <c r="I461" i="3"/>
  <c r="G461" i="3"/>
  <c r="F461" i="3"/>
  <c r="E461" i="3"/>
  <c r="D461" i="3"/>
  <c r="C461" i="3"/>
  <c r="B461" i="3"/>
  <c r="T460" i="3"/>
  <c r="Q460" i="3"/>
  <c r="P460" i="3"/>
  <c r="O460" i="3"/>
  <c r="N460" i="3"/>
  <c r="M460" i="3"/>
  <c r="L460" i="3"/>
  <c r="K460" i="3"/>
  <c r="J460" i="3"/>
  <c r="I460" i="3"/>
  <c r="G460" i="3"/>
  <c r="F460" i="3"/>
  <c r="E460" i="3"/>
  <c r="D460" i="3"/>
  <c r="C460" i="3"/>
  <c r="B460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G456" i="3"/>
  <c r="F456" i="3"/>
  <c r="E456" i="3"/>
  <c r="D456" i="3"/>
  <c r="C456" i="3"/>
  <c r="B456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G455" i="3"/>
  <c r="F455" i="3"/>
  <c r="E455" i="3"/>
  <c r="D455" i="3"/>
  <c r="C455" i="3"/>
  <c r="B455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G454" i="3"/>
  <c r="F454" i="3"/>
  <c r="E454" i="3"/>
  <c r="D454" i="3"/>
  <c r="C454" i="3"/>
  <c r="B454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G453" i="3"/>
  <c r="F453" i="3"/>
  <c r="E453" i="3"/>
  <c r="D453" i="3"/>
  <c r="C453" i="3"/>
  <c r="B453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G452" i="3"/>
  <c r="F452" i="3"/>
  <c r="E452" i="3"/>
  <c r="D452" i="3"/>
  <c r="C452" i="3"/>
  <c r="B452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G451" i="3"/>
  <c r="F451" i="3"/>
  <c r="E451" i="3"/>
  <c r="D451" i="3"/>
  <c r="C451" i="3"/>
  <c r="B451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G450" i="3"/>
  <c r="F450" i="3"/>
  <c r="E450" i="3"/>
  <c r="D450" i="3"/>
  <c r="C450" i="3"/>
  <c r="B450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G449" i="3"/>
  <c r="F449" i="3"/>
  <c r="E449" i="3"/>
  <c r="D449" i="3"/>
  <c r="C449" i="3"/>
  <c r="B449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G448" i="3"/>
  <c r="F448" i="3"/>
  <c r="E448" i="3"/>
  <c r="D448" i="3"/>
  <c r="C448" i="3"/>
  <c r="B448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G447" i="3"/>
  <c r="F447" i="3"/>
  <c r="E447" i="3"/>
  <c r="D447" i="3"/>
  <c r="C447" i="3"/>
  <c r="B447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G446" i="3"/>
  <c r="F446" i="3"/>
  <c r="E446" i="3"/>
  <c r="D446" i="3"/>
  <c r="C446" i="3"/>
  <c r="B446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G445" i="3"/>
  <c r="F445" i="3"/>
  <c r="E445" i="3"/>
  <c r="D445" i="3"/>
  <c r="C445" i="3"/>
  <c r="B445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G444" i="3"/>
  <c r="F444" i="3"/>
  <c r="E444" i="3"/>
  <c r="D444" i="3"/>
  <c r="C444" i="3"/>
  <c r="B444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G443" i="3"/>
  <c r="F443" i="3"/>
  <c r="E443" i="3"/>
  <c r="D443" i="3"/>
  <c r="C443" i="3"/>
  <c r="B443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G442" i="3"/>
  <c r="F442" i="3"/>
  <c r="E442" i="3"/>
  <c r="D442" i="3"/>
  <c r="C442" i="3"/>
  <c r="B442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G441" i="3"/>
  <c r="F441" i="3"/>
  <c r="E441" i="3"/>
  <c r="D441" i="3"/>
  <c r="C441" i="3"/>
  <c r="B441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G440" i="3"/>
  <c r="F440" i="3"/>
  <c r="E440" i="3"/>
  <c r="D440" i="3"/>
  <c r="C440" i="3"/>
  <c r="B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G439" i="3"/>
  <c r="F439" i="3"/>
  <c r="E439" i="3"/>
  <c r="D439" i="3"/>
  <c r="C439" i="3"/>
  <c r="B439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G438" i="3"/>
  <c r="F438" i="3"/>
  <c r="E438" i="3"/>
  <c r="D438" i="3"/>
  <c r="C438" i="3"/>
  <c r="B438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G437" i="3"/>
  <c r="F437" i="3"/>
  <c r="E437" i="3"/>
  <c r="D437" i="3"/>
  <c r="C437" i="3"/>
  <c r="B437" i="3"/>
  <c r="Q433" i="3"/>
  <c r="P433" i="3"/>
  <c r="O433" i="3"/>
  <c r="N433" i="3"/>
  <c r="M433" i="3"/>
  <c r="L433" i="3"/>
  <c r="K433" i="3"/>
  <c r="J433" i="3"/>
  <c r="I433" i="3"/>
  <c r="G433" i="3"/>
  <c r="F433" i="3"/>
  <c r="E433" i="3"/>
  <c r="D433" i="3"/>
  <c r="C433" i="3"/>
  <c r="B433" i="3"/>
  <c r="Q432" i="3"/>
  <c r="P432" i="3"/>
  <c r="O432" i="3"/>
  <c r="N432" i="3"/>
  <c r="M432" i="3"/>
  <c r="L432" i="3"/>
  <c r="K432" i="3"/>
  <c r="J432" i="3"/>
  <c r="I432" i="3"/>
  <c r="G432" i="3"/>
  <c r="F432" i="3"/>
  <c r="E432" i="3"/>
  <c r="D432" i="3"/>
  <c r="C432" i="3"/>
  <c r="B432" i="3"/>
  <c r="T431" i="3"/>
  <c r="Q431" i="3"/>
  <c r="P431" i="3"/>
  <c r="O431" i="3"/>
  <c r="N431" i="3"/>
  <c r="M431" i="3"/>
  <c r="L431" i="3"/>
  <c r="K431" i="3"/>
  <c r="J431" i="3"/>
  <c r="I431" i="3"/>
  <c r="G431" i="3"/>
  <c r="F431" i="3"/>
  <c r="E431" i="3"/>
  <c r="D431" i="3"/>
  <c r="C431" i="3"/>
  <c r="B431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G427" i="3"/>
  <c r="F427" i="3"/>
  <c r="E427" i="3"/>
  <c r="D427" i="3"/>
  <c r="C427" i="3"/>
  <c r="B427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G426" i="3"/>
  <c r="F426" i="3"/>
  <c r="E426" i="3"/>
  <c r="D426" i="3"/>
  <c r="C426" i="3"/>
  <c r="B426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G425" i="3"/>
  <c r="F425" i="3"/>
  <c r="E425" i="3"/>
  <c r="D425" i="3"/>
  <c r="C425" i="3"/>
  <c r="B425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G424" i="3"/>
  <c r="F424" i="3"/>
  <c r="E424" i="3"/>
  <c r="D424" i="3"/>
  <c r="C424" i="3"/>
  <c r="B424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G423" i="3"/>
  <c r="F423" i="3"/>
  <c r="E423" i="3"/>
  <c r="D423" i="3"/>
  <c r="C423" i="3"/>
  <c r="B423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G422" i="3"/>
  <c r="F422" i="3"/>
  <c r="E422" i="3"/>
  <c r="D422" i="3"/>
  <c r="C422" i="3"/>
  <c r="B422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G421" i="3"/>
  <c r="F421" i="3"/>
  <c r="E421" i="3"/>
  <c r="D421" i="3"/>
  <c r="C421" i="3"/>
  <c r="B421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G420" i="3"/>
  <c r="F420" i="3"/>
  <c r="E420" i="3"/>
  <c r="D420" i="3"/>
  <c r="C420" i="3"/>
  <c r="B420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G419" i="3"/>
  <c r="F419" i="3"/>
  <c r="E419" i="3"/>
  <c r="D419" i="3"/>
  <c r="C419" i="3"/>
  <c r="B419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G418" i="3"/>
  <c r="F418" i="3"/>
  <c r="E418" i="3"/>
  <c r="D418" i="3"/>
  <c r="C418" i="3"/>
  <c r="B418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G417" i="3"/>
  <c r="F417" i="3"/>
  <c r="E417" i="3"/>
  <c r="D417" i="3"/>
  <c r="C417" i="3"/>
  <c r="B417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G416" i="3"/>
  <c r="F416" i="3"/>
  <c r="E416" i="3"/>
  <c r="D416" i="3"/>
  <c r="C416" i="3"/>
  <c r="B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G415" i="3"/>
  <c r="F415" i="3"/>
  <c r="E415" i="3"/>
  <c r="D415" i="3"/>
  <c r="C415" i="3"/>
  <c r="B415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G414" i="3"/>
  <c r="F414" i="3"/>
  <c r="E414" i="3"/>
  <c r="D414" i="3"/>
  <c r="C414" i="3"/>
  <c r="B414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G413" i="3"/>
  <c r="F413" i="3"/>
  <c r="E413" i="3"/>
  <c r="D413" i="3"/>
  <c r="C413" i="3"/>
  <c r="B413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G412" i="3"/>
  <c r="F412" i="3"/>
  <c r="E412" i="3"/>
  <c r="D412" i="3"/>
  <c r="C412" i="3"/>
  <c r="B412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G411" i="3"/>
  <c r="F411" i="3"/>
  <c r="E411" i="3"/>
  <c r="D411" i="3"/>
  <c r="C411" i="3"/>
  <c r="B411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G410" i="3"/>
  <c r="F410" i="3"/>
  <c r="E410" i="3"/>
  <c r="D410" i="3"/>
  <c r="C410" i="3"/>
  <c r="B410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G409" i="3"/>
  <c r="F409" i="3"/>
  <c r="E409" i="3"/>
  <c r="D409" i="3"/>
  <c r="C409" i="3"/>
  <c r="B409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G408" i="3"/>
  <c r="F408" i="3"/>
  <c r="E408" i="3"/>
  <c r="D408" i="3"/>
  <c r="C408" i="3"/>
  <c r="B408" i="3"/>
  <c r="Q404" i="3"/>
  <c r="P404" i="3"/>
  <c r="O404" i="3"/>
  <c r="N404" i="3"/>
  <c r="M404" i="3"/>
  <c r="L404" i="3"/>
  <c r="K404" i="3"/>
  <c r="J404" i="3"/>
  <c r="I404" i="3"/>
  <c r="G404" i="3"/>
  <c r="F404" i="3"/>
  <c r="E404" i="3"/>
  <c r="D404" i="3"/>
  <c r="C404" i="3"/>
  <c r="B404" i="3"/>
  <c r="Q403" i="3"/>
  <c r="P403" i="3"/>
  <c r="O403" i="3"/>
  <c r="N403" i="3"/>
  <c r="M403" i="3"/>
  <c r="L403" i="3"/>
  <c r="K403" i="3"/>
  <c r="J403" i="3"/>
  <c r="I403" i="3"/>
  <c r="G403" i="3"/>
  <c r="F403" i="3"/>
  <c r="E403" i="3"/>
  <c r="D403" i="3"/>
  <c r="C403" i="3"/>
  <c r="B403" i="3"/>
  <c r="T402" i="3"/>
  <c r="Q402" i="3"/>
  <c r="P402" i="3"/>
  <c r="O402" i="3"/>
  <c r="N402" i="3"/>
  <c r="M402" i="3"/>
  <c r="L402" i="3"/>
  <c r="K402" i="3"/>
  <c r="J402" i="3"/>
  <c r="I402" i="3"/>
  <c r="G402" i="3"/>
  <c r="F402" i="3"/>
  <c r="E402" i="3"/>
  <c r="D402" i="3"/>
  <c r="C402" i="3"/>
  <c r="B402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G398" i="3"/>
  <c r="F398" i="3"/>
  <c r="E398" i="3"/>
  <c r="D398" i="3"/>
  <c r="C398" i="3"/>
  <c r="B398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G397" i="3"/>
  <c r="F397" i="3"/>
  <c r="E397" i="3"/>
  <c r="D397" i="3"/>
  <c r="C397" i="3"/>
  <c r="B397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G396" i="3"/>
  <c r="F396" i="3"/>
  <c r="E396" i="3"/>
  <c r="D396" i="3"/>
  <c r="C396" i="3"/>
  <c r="B396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G395" i="3"/>
  <c r="F395" i="3"/>
  <c r="E395" i="3"/>
  <c r="D395" i="3"/>
  <c r="C395" i="3"/>
  <c r="B395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G394" i="3"/>
  <c r="F394" i="3"/>
  <c r="E394" i="3"/>
  <c r="D394" i="3"/>
  <c r="C394" i="3"/>
  <c r="B394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G393" i="3"/>
  <c r="F393" i="3"/>
  <c r="E393" i="3"/>
  <c r="D393" i="3"/>
  <c r="C393" i="3"/>
  <c r="B393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G392" i="3"/>
  <c r="F392" i="3"/>
  <c r="E392" i="3"/>
  <c r="D392" i="3"/>
  <c r="C392" i="3"/>
  <c r="B392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G391" i="3"/>
  <c r="F391" i="3"/>
  <c r="E391" i="3"/>
  <c r="D391" i="3"/>
  <c r="C391" i="3"/>
  <c r="B391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G390" i="3"/>
  <c r="F390" i="3"/>
  <c r="E390" i="3"/>
  <c r="D390" i="3"/>
  <c r="C390" i="3"/>
  <c r="B390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G389" i="3"/>
  <c r="F389" i="3"/>
  <c r="E389" i="3"/>
  <c r="D389" i="3"/>
  <c r="C389" i="3"/>
  <c r="B389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G388" i="3"/>
  <c r="F388" i="3"/>
  <c r="E388" i="3"/>
  <c r="D388" i="3"/>
  <c r="C388" i="3"/>
  <c r="B388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G387" i="3"/>
  <c r="F387" i="3"/>
  <c r="E387" i="3"/>
  <c r="D387" i="3"/>
  <c r="C387" i="3"/>
  <c r="B387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G386" i="3"/>
  <c r="F386" i="3"/>
  <c r="E386" i="3"/>
  <c r="D386" i="3"/>
  <c r="C386" i="3"/>
  <c r="B386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G385" i="3"/>
  <c r="F385" i="3"/>
  <c r="E385" i="3"/>
  <c r="D385" i="3"/>
  <c r="C385" i="3"/>
  <c r="B385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G384" i="3"/>
  <c r="F384" i="3"/>
  <c r="E384" i="3"/>
  <c r="D384" i="3"/>
  <c r="C384" i="3"/>
  <c r="B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G383" i="3"/>
  <c r="F383" i="3"/>
  <c r="E383" i="3"/>
  <c r="D383" i="3"/>
  <c r="C383" i="3"/>
  <c r="B383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G382" i="3"/>
  <c r="F382" i="3"/>
  <c r="E382" i="3"/>
  <c r="D382" i="3"/>
  <c r="C382" i="3"/>
  <c r="B382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G381" i="3"/>
  <c r="F381" i="3"/>
  <c r="E381" i="3"/>
  <c r="D381" i="3"/>
  <c r="C381" i="3"/>
  <c r="B381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G380" i="3"/>
  <c r="F380" i="3"/>
  <c r="E380" i="3"/>
  <c r="D380" i="3"/>
  <c r="C380" i="3"/>
  <c r="B380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G379" i="3"/>
  <c r="F379" i="3"/>
  <c r="E379" i="3"/>
  <c r="D379" i="3"/>
  <c r="C379" i="3"/>
  <c r="B379" i="3"/>
  <c r="Q375" i="3"/>
  <c r="P375" i="3"/>
  <c r="O375" i="3"/>
  <c r="N375" i="3"/>
  <c r="M375" i="3"/>
  <c r="L375" i="3"/>
  <c r="K375" i="3"/>
  <c r="J375" i="3"/>
  <c r="I375" i="3"/>
  <c r="G375" i="3"/>
  <c r="F375" i="3"/>
  <c r="E375" i="3"/>
  <c r="D375" i="3"/>
  <c r="C375" i="3"/>
  <c r="B375" i="3"/>
  <c r="Q374" i="3"/>
  <c r="P374" i="3"/>
  <c r="O374" i="3"/>
  <c r="N374" i="3"/>
  <c r="M374" i="3"/>
  <c r="L374" i="3"/>
  <c r="K374" i="3"/>
  <c r="J374" i="3"/>
  <c r="I374" i="3"/>
  <c r="G374" i="3"/>
  <c r="F374" i="3"/>
  <c r="E374" i="3"/>
  <c r="D374" i="3"/>
  <c r="C374" i="3"/>
  <c r="B374" i="3"/>
  <c r="T373" i="3"/>
  <c r="Q373" i="3"/>
  <c r="P373" i="3"/>
  <c r="O373" i="3"/>
  <c r="N373" i="3"/>
  <c r="M373" i="3"/>
  <c r="L373" i="3"/>
  <c r="K373" i="3"/>
  <c r="J373" i="3"/>
  <c r="I373" i="3"/>
  <c r="G373" i="3"/>
  <c r="F373" i="3"/>
  <c r="E373" i="3"/>
  <c r="D373" i="3"/>
  <c r="C373" i="3"/>
  <c r="B373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G369" i="3"/>
  <c r="F369" i="3"/>
  <c r="E369" i="3"/>
  <c r="D369" i="3"/>
  <c r="C369" i="3"/>
  <c r="B369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G368" i="3"/>
  <c r="F368" i="3"/>
  <c r="E368" i="3"/>
  <c r="D368" i="3"/>
  <c r="C368" i="3"/>
  <c r="B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G367" i="3"/>
  <c r="F367" i="3"/>
  <c r="E367" i="3"/>
  <c r="D367" i="3"/>
  <c r="C367" i="3"/>
  <c r="B367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G366" i="3"/>
  <c r="F366" i="3"/>
  <c r="E366" i="3"/>
  <c r="D366" i="3"/>
  <c r="C366" i="3"/>
  <c r="B366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G365" i="3"/>
  <c r="F365" i="3"/>
  <c r="E365" i="3"/>
  <c r="D365" i="3"/>
  <c r="C365" i="3"/>
  <c r="B365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G364" i="3"/>
  <c r="F364" i="3"/>
  <c r="E364" i="3"/>
  <c r="D364" i="3"/>
  <c r="C364" i="3"/>
  <c r="B364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G363" i="3"/>
  <c r="F363" i="3"/>
  <c r="E363" i="3"/>
  <c r="D363" i="3"/>
  <c r="C363" i="3"/>
  <c r="B363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G362" i="3"/>
  <c r="F362" i="3"/>
  <c r="E362" i="3"/>
  <c r="D362" i="3"/>
  <c r="C362" i="3"/>
  <c r="B362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G361" i="3"/>
  <c r="F361" i="3"/>
  <c r="E361" i="3"/>
  <c r="D361" i="3"/>
  <c r="C361" i="3"/>
  <c r="B361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G360" i="3"/>
  <c r="F360" i="3"/>
  <c r="E360" i="3"/>
  <c r="D360" i="3"/>
  <c r="C360" i="3"/>
  <c r="B360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G359" i="3"/>
  <c r="F359" i="3"/>
  <c r="E359" i="3"/>
  <c r="D359" i="3"/>
  <c r="C359" i="3"/>
  <c r="B359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G358" i="3"/>
  <c r="F358" i="3"/>
  <c r="E358" i="3"/>
  <c r="D358" i="3"/>
  <c r="C358" i="3"/>
  <c r="B358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G357" i="3"/>
  <c r="F357" i="3"/>
  <c r="E357" i="3"/>
  <c r="D357" i="3"/>
  <c r="C357" i="3"/>
  <c r="B357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G356" i="3"/>
  <c r="F356" i="3"/>
  <c r="E356" i="3"/>
  <c r="D356" i="3"/>
  <c r="C356" i="3"/>
  <c r="B356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G355" i="3"/>
  <c r="F355" i="3"/>
  <c r="E355" i="3"/>
  <c r="D355" i="3"/>
  <c r="C355" i="3"/>
  <c r="B355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G354" i="3"/>
  <c r="F354" i="3"/>
  <c r="E354" i="3"/>
  <c r="D354" i="3"/>
  <c r="C354" i="3"/>
  <c r="B354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G353" i="3"/>
  <c r="F353" i="3"/>
  <c r="E353" i="3"/>
  <c r="D353" i="3"/>
  <c r="C353" i="3"/>
  <c r="B353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G352" i="3"/>
  <c r="F352" i="3"/>
  <c r="E352" i="3"/>
  <c r="D352" i="3"/>
  <c r="C352" i="3"/>
  <c r="B352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G351" i="3"/>
  <c r="F351" i="3"/>
  <c r="E351" i="3"/>
  <c r="D351" i="3"/>
  <c r="C351" i="3"/>
  <c r="B351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G350" i="3"/>
  <c r="F350" i="3"/>
  <c r="E350" i="3"/>
  <c r="D350" i="3"/>
  <c r="C350" i="3"/>
  <c r="B350" i="3"/>
  <c r="Q346" i="3"/>
  <c r="P346" i="3"/>
  <c r="O346" i="3"/>
  <c r="N346" i="3"/>
  <c r="M346" i="3"/>
  <c r="L346" i="3"/>
  <c r="K346" i="3"/>
  <c r="J346" i="3"/>
  <c r="I346" i="3"/>
  <c r="G346" i="3"/>
  <c r="F346" i="3"/>
  <c r="E346" i="3"/>
  <c r="D346" i="3"/>
  <c r="C346" i="3"/>
  <c r="B346" i="3"/>
  <c r="Q345" i="3"/>
  <c r="P345" i="3"/>
  <c r="O345" i="3"/>
  <c r="N345" i="3"/>
  <c r="M345" i="3"/>
  <c r="L345" i="3"/>
  <c r="K345" i="3"/>
  <c r="J345" i="3"/>
  <c r="I345" i="3"/>
  <c r="G345" i="3"/>
  <c r="F345" i="3"/>
  <c r="E345" i="3"/>
  <c r="D345" i="3"/>
  <c r="C345" i="3"/>
  <c r="B345" i="3"/>
  <c r="T344" i="3"/>
  <c r="Q344" i="3"/>
  <c r="P344" i="3"/>
  <c r="O344" i="3"/>
  <c r="N344" i="3"/>
  <c r="M344" i="3"/>
  <c r="L344" i="3"/>
  <c r="K344" i="3"/>
  <c r="J344" i="3"/>
  <c r="I344" i="3"/>
  <c r="G344" i="3"/>
  <c r="F344" i="3"/>
  <c r="E344" i="3"/>
  <c r="D344" i="3"/>
  <c r="C344" i="3"/>
  <c r="B344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G340" i="3"/>
  <c r="F340" i="3"/>
  <c r="E340" i="3"/>
  <c r="D340" i="3"/>
  <c r="C340" i="3"/>
  <c r="B340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G339" i="3"/>
  <c r="F339" i="3"/>
  <c r="E339" i="3"/>
  <c r="D339" i="3"/>
  <c r="C339" i="3"/>
  <c r="B339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G338" i="3"/>
  <c r="F338" i="3"/>
  <c r="E338" i="3"/>
  <c r="D338" i="3"/>
  <c r="C338" i="3"/>
  <c r="B338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G337" i="3"/>
  <c r="F337" i="3"/>
  <c r="E337" i="3"/>
  <c r="D337" i="3"/>
  <c r="C337" i="3"/>
  <c r="B337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G336" i="3"/>
  <c r="F336" i="3"/>
  <c r="E336" i="3"/>
  <c r="D336" i="3"/>
  <c r="C336" i="3"/>
  <c r="B336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G335" i="3"/>
  <c r="F335" i="3"/>
  <c r="E335" i="3"/>
  <c r="D335" i="3"/>
  <c r="C335" i="3"/>
  <c r="B335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G334" i="3"/>
  <c r="F334" i="3"/>
  <c r="E334" i="3"/>
  <c r="D334" i="3"/>
  <c r="C334" i="3"/>
  <c r="B334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G333" i="3"/>
  <c r="F333" i="3"/>
  <c r="E333" i="3"/>
  <c r="D333" i="3"/>
  <c r="C333" i="3"/>
  <c r="B333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G332" i="3"/>
  <c r="F332" i="3"/>
  <c r="E332" i="3"/>
  <c r="D332" i="3"/>
  <c r="C332" i="3"/>
  <c r="B332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G331" i="3"/>
  <c r="F331" i="3"/>
  <c r="E331" i="3"/>
  <c r="D331" i="3"/>
  <c r="C331" i="3"/>
  <c r="B331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G330" i="3"/>
  <c r="F330" i="3"/>
  <c r="E330" i="3"/>
  <c r="D330" i="3"/>
  <c r="C330" i="3"/>
  <c r="B330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G329" i="3"/>
  <c r="F329" i="3"/>
  <c r="E329" i="3"/>
  <c r="D329" i="3"/>
  <c r="C329" i="3"/>
  <c r="B329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G328" i="3"/>
  <c r="F328" i="3"/>
  <c r="E328" i="3"/>
  <c r="D328" i="3"/>
  <c r="C328" i="3"/>
  <c r="B328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G327" i="3"/>
  <c r="F327" i="3"/>
  <c r="E327" i="3"/>
  <c r="D327" i="3"/>
  <c r="C327" i="3"/>
  <c r="B327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G326" i="3"/>
  <c r="F326" i="3"/>
  <c r="E326" i="3"/>
  <c r="D326" i="3"/>
  <c r="C326" i="3"/>
  <c r="B326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G325" i="3"/>
  <c r="F325" i="3"/>
  <c r="E325" i="3"/>
  <c r="D325" i="3"/>
  <c r="C325" i="3"/>
  <c r="B325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G324" i="3"/>
  <c r="F324" i="3"/>
  <c r="E324" i="3"/>
  <c r="D324" i="3"/>
  <c r="C324" i="3"/>
  <c r="B324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G323" i="3"/>
  <c r="F323" i="3"/>
  <c r="E323" i="3"/>
  <c r="D323" i="3"/>
  <c r="C323" i="3"/>
  <c r="B323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G322" i="3"/>
  <c r="F322" i="3"/>
  <c r="E322" i="3"/>
  <c r="D322" i="3"/>
  <c r="C322" i="3"/>
  <c r="B322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G321" i="3"/>
  <c r="F321" i="3"/>
  <c r="E321" i="3"/>
  <c r="D321" i="3"/>
  <c r="C321" i="3"/>
  <c r="B321" i="3"/>
  <c r="Q317" i="3"/>
  <c r="P317" i="3"/>
  <c r="O317" i="3"/>
  <c r="N317" i="3"/>
  <c r="M317" i="3"/>
  <c r="L317" i="3"/>
  <c r="K317" i="3"/>
  <c r="J317" i="3"/>
  <c r="I317" i="3"/>
  <c r="G317" i="3"/>
  <c r="F317" i="3"/>
  <c r="E317" i="3"/>
  <c r="D317" i="3"/>
  <c r="C317" i="3"/>
  <c r="B317" i="3"/>
  <c r="Q316" i="3"/>
  <c r="P316" i="3"/>
  <c r="O316" i="3"/>
  <c r="N316" i="3"/>
  <c r="M316" i="3"/>
  <c r="L316" i="3"/>
  <c r="K316" i="3"/>
  <c r="J316" i="3"/>
  <c r="I316" i="3"/>
  <c r="G316" i="3"/>
  <c r="F316" i="3"/>
  <c r="E316" i="3"/>
  <c r="D316" i="3"/>
  <c r="C316" i="3"/>
  <c r="B316" i="3"/>
  <c r="T315" i="3"/>
  <c r="Q315" i="3"/>
  <c r="P315" i="3"/>
  <c r="O315" i="3"/>
  <c r="N315" i="3"/>
  <c r="M315" i="3"/>
  <c r="L315" i="3"/>
  <c r="K315" i="3"/>
  <c r="J315" i="3"/>
  <c r="I315" i="3"/>
  <c r="G315" i="3"/>
  <c r="F315" i="3"/>
  <c r="E315" i="3"/>
  <c r="D315" i="3"/>
  <c r="C315" i="3"/>
  <c r="B315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G311" i="3"/>
  <c r="F311" i="3"/>
  <c r="E311" i="3"/>
  <c r="D311" i="3"/>
  <c r="C311" i="3"/>
  <c r="B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G310" i="3"/>
  <c r="F310" i="3"/>
  <c r="E310" i="3"/>
  <c r="D310" i="3"/>
  <c r="C310" i="3"/>
  <c r="B310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G309" i="3"/>
  <c r="F309" i="3"/>
  <c r="E309" i="3"/>
  <c r="D309" i="3"/>
  <c r="C309" i="3"/>
  <c r="B309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G308" i="3"/>
  <c r="F308" i="3"/>
  <c r="E308" i="3"/>
  <c r="D308" i="3"/>
  <c r="C308" i="3"/>
  <c r="B308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G307" i="3"/>
  <c r="F307" i="3"/>
  <c r="E307" i="3"/>
  <c r="D307" i="3"/>
  <c r="C307" i="3"/>
  <c r="B307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G306" i="3"/>
  <c r="F306" i="3"/>
  <c r="E306" i="3"/>
  <c r="D306" i="3"/>
  <c r="C306" i="3"/>
  <c r="B306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G305" i="3"/>
  <c r="F305" i="3"/>
  <c r="E305" i="3"/>
  <c r="D305" i="3"/>
  <c r="C305" i="3"/>
  <c r="B305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G304" i="3"/>
  <c r="F304" i="3"/>
  <c r="E304" i="3"/>
  <c r="D304" i="3"/>
  <c r="C304" i="3"/>
  <c r="B304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G303" i="3"/>
  <c r="F303" i="3"/>
  <c r="E303" i="3"/>
  <c r="D303" i="3"/>
  <c r="C303" i="3"/>
  <c r="B303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G302" i="3"/>
  <c r="F302" i="3"/>
  <c r="E302" i="3"/>
  <c r="D302" i="3"/>
  <c r="C302" i="3"/>
  <c r="B302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G301" i="3"/>
  <c r="F301" i="3"/>
  <c r="E301" i="3"/>
  <c r="D301" i="3"/>
  <c r="C301" i="3"/>
  <c r="B301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G300" i="3"/>
  <c r="F300" i="3"/>
  <c r="E300" i="3"/>
  <c r="D300" i="3"/>
  <c r="C300" i="3"/>
  <c r="B300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G299" i="3"/>
  <c r="F299" i="3"/>
  <c r="E299" i="3"/>
  <c r="D299" i="3"/>
  <c r="C299" i="3"/>
  <c r="B299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G298" i="3"/>
  <c r="F298" i="3"/>
  <c r="E298" i="3"/>
  <c r="D298" i="3"/>
  <c r="C298" i="3"/>
  <c r="B298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G297" i="3"/>
  <c r="F297" i="3"/>
  <c r="E297" i="3"/>
  <c r="D297" i="3"/>
  <c r="C297" i="3"/>
  <c r="B297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G296" i="3"/>
  <c r="F296" i="3"/>
  <c r="E296" i="3"/>
  <c r="D296" i="3"/>
  <c r="C296" i="3"/>
  <c r="B296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G295" i="3"/>
  <c r="F295" i="3"/>
  <c r="E295" i="3"/>
  <c r="D295" i="3"/>
  <c r="C295" i="3"/>
  <c r="B295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G294" i="3"/>
  <c r="F294" i="3"/>
  <c r="E294" i="3"/>
  <c r="D294" i="3"/>
  <c r="C294" i="3"/>
  <c r="B294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G293" i="3"/>
  <c r="F293" i="3"/>
  <c r="E293" i="3"/>
  <c r="D293" i="3"/>
  <c r="C293" i="3"/>
  <c r="B293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G292" i="3"/>
  <c r="F292" i="3"/>
  <c r="E292" i="3"/>
  <c r="D292" i="3"/>
  <c r="C292" i="3"/>
  <c r="B292" i="3"/>
  <c r="Q288" i="3"/>
  <c r="P288" i="3"/>
  <c r="O288" i="3"/>
  <c r="N288" i="3"/>
  <c r="M288" i="3"/>
  <c r="L288" i="3"/>
  <c r="K288" i="3"/>
  <c r="J288" i="3"/>
  <c r="I288" i="3"/>
  <c r="G288" i="3"/>
  <c r="F288" i="3"/>
  <c r="E288" i="3"/>
  <c r="D288" i="3"/>
  <c r="C288" i="3"/>
  <c r="B288" i="3"/>
  <c r="Q287" i="3"/>
  <c r="P287" i="3"/>
  <c r="O287" i="3"/>
  <c r="N287" i="3"/>
  <c r="M287" i="3"/>
  <c r="L287" i="3"/>
  <c r="K287" i="3"/>
  <c r="J287" i="3"/>
  <c r="I287" i="3"/>
  <c r="G287" i="3"/>
  <c r="F287" i="3"/>
  <c r="E287" i="3"/>
  <c r="D287" i="3"/>
  <c r="C287" i="3"/>
  <c r="B287" i="3"/>
  <c r="T286" i="3"/>
  <c r="Q286" i="3"/>
  <c r="P286" i="3"/>
  <c r="O286" i="3"/>
  <c r="N286" i="3"/>
  <c r="M286" i="3"/>
  <c r="L286" i="3"/>
  <c r="K286" i="3"/>
  <c r="J286" i="3"/>
  <c r="I286" i="3"/>
  <c r="G286" i="3"/>
  <c r="F286" i="3"/>
  <c r="E286" i="3"/>
  <c r="D286" i="3"/>
  <c r="C286" i="3"/>
  <c r="B286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G282" i="3"/>
  <c r="F282" i="3"/>
  <c r="E282" i="3"/>
  <c r="D282" i="3"/>
  <c r="C282" i="3"/>
  <c r="B282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G281" i="3"/>
  <c r="F281" i="3"/>
  <c r="E281" i="3"/>
  <c r="D281" i="3"/>
  <c r="C281" i="3"/>
  <c r="B281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G280" i="3"/>
  <c r="F280" i="3"/>
  <c r="E280" i="3"/>
  <c r="D280" i="3"/>
  <c r="C280" i="3"/>
  <c r="B280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G279" i="3"/>
  <c r="F279" i="3"/>
  <c r="E279" i="3"/>
  <c r="D279" i="3"/>
  <c r="C279" i="3"/>
  <c r="B279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G278" i="3"/>
  <c r="F278" i="3"/>
  <c r="E278" i="3"/>
  <c r="D278" i="3"/>
  <c r="C278" i="3"/>
  <c r="B278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G277" i="3"/>
  <c r="F277" i="3"/>
  <c r="E277" i="3"/>
  <c r="D277" i="3"/>
  <c r="C277" i="3"/>
  <c r="B277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G276" i="3"/>
  <c r="F276" i="3"/>
  <c r="E276" i="3"/>
  <c r="D276" i="3"/>
  <c r="C276" i="3"/>
  <c r="B276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G275" i="3"/>
  <c r="F275" i="3"/>
  <c r="E275" i="3"/>
  <c r="D275" i="3"/>
  <c r="C275" i="3"/>
  <c r="B275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G274" i="3"/>
  <c r="F274" i="3"/>
  <c r="E274" i="3"/>
  <c r="D274" i="3"/>
  <c r="C274" i="3"/>
  <c r="B274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G273" i="3"/>
  <c r="F273" i="3"/>
  <c r="E273" i="3"/>
  <c r="D273" i="3"/>
  <c r="C273" i="3"/>
  <c r="B273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G272" i="3"/>
  <c r="F272" i="3"/>
  <c r="E272" i="3"/>
  <c r="D272" i="3"/>
  <c r="C272" i="3"/>
  <c r="B272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G271" i="3"/>
  <c r="F271" i="3"/>
  <c r="E271" i="3"/>
  <c r="D271" i="3"/>
  <c r="C271" i="3"/>
  <c r="B271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G270" i="3"/>
  <c r="F270" i="3"/>
  <c r="E270" i="3"/>
  <c r="D270" i="3"/>
  <c r="C270" i="3"/>
  <c r="B270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G269" i="3"/>
  <c r="F269" i="3"/>
  <c r="E269" i="3"/>
  <c r="D269" i="3"/>
  <c r="C269" i="3"/>
  <c r="B269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G268" i="3"/>
  <c r="F268" i="3"/>
  <c r="E268" i="3"/>
  <c r="D268" i="3"/>
  <c r="C268" i="3"/>
  <c r="B268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G267" i="3"/>
  <c r="F267" i="3"/>
  <c r="E267" i="3"/>
  <c r="D267" i="3"/>
  <c r="C267" i="3"/>
  <c r="B267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G266" i="3"/>
  <c r="F266" i="3"/>
  <c r="E266" i="3"/>
  <c r="D266" i="3"/>
  <c r="C266" i="3"/>
  <c r="B266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G265" i="3"/>
  <c r="F265" i="3"/>
  <c r="E265" i="3"/>
  <c r="D265" i="3"/>
  <c r="C265" i="3"/>
  <c r="B265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G264" i="3"/>
  <c r="F264" i="3"/>
  <c r="E264" i="3"/>
  <c r="D264" i="3"/>
  <c r="C264" i="3"/>
  <c r="B264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G263" i="3"/>
  <c r="F263" i="3"/>
  <c r="E263" i="3"/>
  <c r="D263" i="3"/>
  <c r="C263" i="3"/>
  <c r="B263" i="3"/>
  <c r="Q259" i="3"/>
  <c r="P259" i="3"/>
  <c r="O259" i="3"/>
  <c r="N259" i="3"/>
  <c r="M259" i="3"/>
  <c r="L259" i="3"/>
  <c r="K259" i="3"/>
  <c r="J259" i="3"/>
  <c r="I259" i="3"/>
  <c r="G259" i="3"/>
  <c r="F259" i="3"/>
  <c r="E259" i="3"/>
  <c r="D259" i="3"/>
  <c r="C259" i="3"/>
  <c r="B259" i="3"/>
  <c r="Q258" i="3"/>
  <c r="P258" i="3"/>
  <c r="O258" i="3"/>
  <c r="N258" i="3"/>
  <c r="M258" i="3"/>
  <c r="L258" i="3"/>
  <c r="K258" i="3"/>
  <c r="J258" i="3"/>
  <c r="I258" i="3"/>
  <c r="G258" i="3"/>
  <c r="F258" i="3"/>
  <c r="E258" i="3"/>
  <c r="D258" i="3"/>
  <c r="C258" i="3"/>
  <c r="B258" i="3"/>
  <c r="T257" i="3"/>
  <c r="Q257" i="3"/>
  <c r="P257" i="3"/>
  <c r="O257" i="3"/>
  <c r="N257" i="3"/>
  <c r="M257" i="3"/>
  <c r="L257" i="3"/>
  <c r="K257" i="3"/>
  <c r="J257" i="3"/>
  <c r="I257" i="3"/>
  <c r="G257" i="3"/>
  <c r="F257" i="3"/>
  <c r="E257" i="3"/>
  <c r="D257" i="3"/>
  <c r="C257" i="3"/>
  <c r="B257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G253" i="3"/>
  <c r="F253" i="3"/>
  <c r="E253" i="3"/>
  <c r="D253" i="3"/>
  <c r="C253" i="3"/>
  <c r="B253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G252" i="3"/>
  <c r="F252" i="3"/>
  <c r="E252" i="3"/>
  <c r="D252" i="3"/>
  <c r="C252" i="3"/>
  <c r="B252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G251" i="3"/>
  <c r="F251" i="3"/>
  <c r="E251" i="3"/>
  <c r="D251" i="3"/>
  <c r="C251" i="3"/>
  <c r="B251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G250" i="3"/>
  <c r="F250" i="3"/>
  <c r="E250" i="3"/>
  <c r="D250" i="3"/>
  <c r="C250" i="3"/>
  <c r="B250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G249" i="3"/>
  <c r="F249" i="3"/>
  <c r="E249" i="3"/>
  <c r="D249" i="3"/>
  <c r="C249" i="3"/>
  <c r="B249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G248" i="3"/>
  <c r="F248" i="3"/>
  <c r="E248" i="3"/>
  <c r="D248" i="3"/>
  <c r="C248" i="3"/>
  <c r="B248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G247" i="3"/>
  <c r="F247" i="3"/>
  <c r="E247" i="3"/>
  <c r="D247" i="3"/>
  <c r="C247" i="3"/>
  <c r="B247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G246" i="3"/>
  <c r="F246" i="3"/>
  <c r="E246" i="3"/>
  <c r="D246" i="3"/>
  <c r="C246" i="3"/>
  <c r="B246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G245" i="3"/>
  <c r="F245" i="3"/>
  <c r="E245" i="3"/>
  <c r="D245" i="3"/>
  <c r="C245" i="3"/>
  <c r="B245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G244" i="3"/>
  <c r="F244" i="3"/>
  <c r="E244" i="3"/>
  <c r="D244" i="3"/>
  <c r="C244" i="3"/>
  <c r="B244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G243" i="3"/>
  <c r="F243" i="3"/>
  <c r="E243" i="3"/>
  <c r="D243" i="3"/>
  <c r="C243" i="3"/>
  <c r="B243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G242" i="3"/>
  <c r="F242" i="3"/>
  <c r="E242" i="3"/>
  <c r="D242" i="3"/>
  <c r="C242" i="3"/>
  <c r="B242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G241" i="3"/>
  <c r="F241" i="3"/>
  <c r="E241" i="3"/>
  <c r="D241" i="3"/>
  <c r="C241" i="3"/>
  <c r="B241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G240" i="3"/>
  <c r="F240" i="3"/>
  <c r="E240" i="3"/>
  <c r="D240" i="3"/>
  <c r="C240" i="3"/>
  <c r="B240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G239" i="3"/>
  <c r="F239" i="3"/>
  <c r="E239" i="3"/>
  <c r="D239" i="3"/>
  <c r="C239" i="3"/>
  <c r="B239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G238" i="3"/>
  <c r="F238" i="3"/>
  <c r="E238" i="3"/>
  <c r="D238" i="3"/>
  <c r="C238" i="3"/>
  <c r="B238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G237" i="3"/>
  <c r="F237" i="3"/>
  <c r="E237" i="3"/>
  <c r="D237" i="3"/>
  <c r="C237" i="3"/>
  <c r="B237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G236" i="3"/>
  <c r="F236" i="3"/>
  <c r="E236" i="3"/>
  <c r="D236" i="3"/>
  <c r="C236" i="3"/>
  <c r="B236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G235" i="3"/>
  <c r="F235" i="3"/>
  <c r="E235" i="3"/>
  <c r="D235" i="3"/>
  <c r="C235" i="3"/>
  <c r="B235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G234" i="3"/>
  <c r="F234" i="3"/>
  <c r="E234" i="3"/>
  <c r="D234" i="3"/>
  <c r="C234" i="3"/>
  <c r="B234" i="3"/>
  <c r="Q230" i="3"/>
  <c r="P230" i="3"/>
  <c r="O230" i="3"/>
  <c r="N230" i="3"/>
  <c r="M230" i="3"/>
  <c r="L230" i="3"/>
  <c r="K230" i="3"/>
  <c r="J230" i="3"/>
  <c r="I230" i="3"/>
  <c r="G230" i="3"/>
  <c r="F230" i="3"/>
  <c r="E230" i="3"/>
  <c r="D230" i="3"/>
  <c r="C230" i="3"/>
  <c r="B230" i="3"/>
  <c r="Q229" i="3"/>
  <c r="P229" i="3"/>
  <c r="O229" i="3"/>
  <c r="N229" i="3"/>
  <c r="M229" i="3"/>
  <c r="L229" i="3"/>
  <c r="K229" i="3"/>
  <c r="J229" i="3"/>
  <c r="I229" i="3"/>
  <c r="G229" i="3"/>
  <c r="F229" i="3"/>
  <c r="E229" i="3"/>
  <c r="D229" i="3"/>
  <c r="C229" i="3"/>
  <c r="B229" i="3"/>
  <c r="T228" i="3"/>
  <c r="Q228" i="3"/>
  <c r="P228" i="3"/>
  <c r="O228" i="3"/>
  <c r="N228" i="3"/>
  <c r="M228" i="3"/>
  <c r="L228" i="3"/>
  <c r="K228" i="3"/>
  <c r="J228" i="3"/>
  <c r="I228" i="3"/>
  <c r="G228" i="3"/>
  <c r="F228" i="3"/>
  <c r="E228" i="3"/>
  <c r="D228" i="3"/>
  <c r="C228" i="3"/>
  <c r="B228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G224" i="3"/>
  <c r="F224" i="3"/>
  <c r="E224" i="3"/>
  <c r="D224" i="3"/>
  <c r="C224" i="3"/>
  <c r="B224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G223" i="3"/>
  <c r="F223" i="3"/>
  <c r="E223" i="3"/>
  <c r="D223" i="3"/>
  <c r="C223" i="3"/>
  <c r="B223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G222" i="3"/>
  <c r="F222" i="3"/>
  <c r="E222" i="3"/>
  <c r="D222" i="3"/>
  <c r="C222" i="3"/>
  <c r="B222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G221" i="3"/>
  <c r="F221" i="3"/>
  <c r="E221" i="3"/>
  <c r="D221" i="3"/>
  <c r="C221" i="3"/>
  <c r="B221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G220" i="3"/>
  <c r="F220" i="3"/>
  <c r="E220" i="3"/>
  <c r="D220" i="3"/>
  <c r="C220" i="3"/>
  <c r="B220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G219" i="3"/>
  <c r="F219" i="3"/>
  <c r="E219" i="3"/>
  <c r="D219" i="3"/>
  <c r="C219" i="3"/>
  <c r="B219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G218" i="3"/>
  <c r="F218" i="3"/>
  <c r="E218" i="3"/>
  <c r="D218" i="3"/>
  <c r="C218" i="3"/>
  <c r="B218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G217" i="3"/>
  <c r="F217" i="3"/>
  <c r="E217" i="3"/>
  <c r="D217" i="3"/>
  <c r="C217" i="3"/>
  <c r="B217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G216" i="3"/>
  <c r="F216" i="3"/>
  <c r="E216" i="3"/>
  <c r="D216" i="3"/>
  <c r="C216" i="3"/>
  <c r="B216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G215" i="3"/>
  <c r="F215" i="3"/>
  <c r="E215" i="3"/>
  <c r="D215" i="3"/>
  <c r="C215" i="3"/>
  <c r="B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G214" i="3"/>
  <c r="F214" i="3"/>
  <c r="E214" i="3"/>
  <c r="D214" i="3"/>
  <c r="C214" i="3"/>
  <c r="B214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G213" i="3"/>
  <c r="F213" i="3"/>
  <c r="E213" i="3"/>
  <c r="D213" i="3"/>
  <c r="C213" i="3"/>
  <c r="B213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G212" i="3"/>
  <c r="F212" i="3"/>
  <c r="E212" i="3"/>
  <c r="D212" i="3"/>
  <c r="C212" i="3"/>
  <c r="B212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G211" i="3"/>
  <c r="F211" i="3"/>
  <c r="E211" i="3"/>
  <c r="D211" i="3"/>
  <c r="C211" i="3"/>
  <c r="B211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G210" i="3"/>
  <c r="F210" i="3"/>
  <c r="E210" i="3"/>
  <c r="D210" i="3"/>
  <c r="C210" i="3"/>
  <c r="B210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G209" i="3"/>
  <c r="F209" i="3"/>
  <c r="E209" i="3"/>
  <c r="D209" i="3"/>
  <c r="C209" i="3"/>
  <c r="B209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G208" i="3"/>
  <c r="F208" i="3"/>
  <c r="E208" i="3"/>
  <c r="D208" i="3"/>
  <c r="C208" i="3"/>
  <c r="B208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G207" i="3"/>
  <c r="F207" i="3"/>
  <c r="E207" i="3"/>
  <c r="D207" i="3"/>
  <c r="C207" i="3"/>
  <c r="B207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G206" i="3"/>
  <c r="F206" i="3"/>
  <c r="E206" i="3"/>
  <c r="D206" i="3"/>
  <c r="C206" i="3"/>
  <c r="B206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G205" i="3"/>
  <c r="F205" i="3"/>
  <c r="E205" i="3"/>
  <c r="D205" i="3"/>
  <c r="C205" i="3"/>
  <c r="B205" i="3"/>
  <c r="Q201" i="3"/>
  <c r="P201" i="3"/>
  <c r="O201" i="3"/>
  <c r="N201" i="3"/>
  <c r="M201" i="3"/>
  <c r="L201" i="3"/>
  <c r="K201" i="3"/>
  <c r="J201" i="3"/>
  <c r="I201" i="3"/>
  <c r="G201" i="3"/>
  <c r="F201" i="3"/>
  <c r="E201" i="3"/>
  <c r="D201" i="3"/>
  <c r="C201" i="3"/>
  <c r="B201" i="3"/>
  <c r="Q200" i="3"/>
  <c r="P200" i="3"/>
  <c r="O200" i="3"/>
  <c r="N200" i="3"/>
  <c r="M200" i="3"/>
  <c r="L200" i="3"/>
  <c r="K200" i="3"/>
  <c r="J200" i="3"/>
  <c r="I200" i="3"/>
  <c r="G200" i="3"/>
  <c r="F200" i="3"/>
  <c r="E200" i="3"/>
  <c r="D200" i="3"/>
  <c r="C200" i="3"/>
  <c r="B200" i="3"/>
  <c r="T199" i="3"/>
  <c r="Q199" i="3"/>
  <c r="P199" i="3"/>
  <c r="O199" i="3"/>
  <c r="N199" i="3"/>
  <c r="M199" i="3"/>
  <c r="L199" i="3"/>
  <c r="K199" i="3"/>
  <c r="J199" i="3"/>
  <c r="I199" i="3"/>
  <c r="G199" i="3"/>
  <c r="F199" i="3"/>
  <c r="E199" i="3"/>
  <c r="D199" i="3"/>
  <c r="C199" i="3"/>
  <c r="B199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G195" i="3"/>
  <c r="F195" i="3"/>
  <c r="E195" i="3"/>
  <c r="D195" i="3"/>
  <c r="C195" i="3"/>
  <c r="B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G194" i="3"/>
  <c r="F194" i="3"/>
  <c r="E194" i="3"/>
  <c r="D194" i="3"/>
  <c r="C194" i="3"/>
  <c r="B194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G193" i="3"/>
  <c r="F193" i="3"/>
  <c r="E193" i="3"/>
  <c r="D193" i="3"/>
  <c r="C193" i="3"/>
  <c r="B193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G192" i="3"/>
  <c r="F192" i="3"/>
  <c r="E192" i="3"/>
  <c r="D192" i="3"/>
  <c r="C192" i="3"/>
  <c r="B192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G191" i="3"/>
  <c r="F191" i="3"/>
  <c r="E191" i="3"/>
  <c r="D191" i="3"/>
  <c r="C191" i="3"/>
  <c r="B191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G190" i="3"/>
  <c r="F190" i="3"/>
  <c r="E190" i="3"/>
  <c r="D190" i="3"/>
  <c r="C190" i="3"/>
  <c r="B190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G189" i="3"/>
  <c r="F189" i="3"/>
  <c r="E189" i="3"/>
  <c r="D189" i="3"/>
  <c r="C189" i="3"/>
  <c r="B189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G188" i="3"/>
  <c r="F188" i="3"/>
  <c r="E188" i="3"/>
  <c r="D188" i="3"/>
  <c r="C188" i="3"/>
  <c r="B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G187" i="3"/>
  <c r="F187" i="3"/>
  <c r="E187" i="3"/>
  <c r="D187" i="3"/>
  <c r="C187" i="3"/>
  <c r="B187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G186" i="3"/>
  <c r="F186" i="3"/>
  <c r="E186" i="3"/>
  <c r="D186" i="3"/>
  <c r="C186" i="3"/>
  <c r="B186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G185" i="3"/>
  <c r="F185" i="3"/>
  <c r="E185" i="3"/>
  <c r="D185" i="3"/>
  <c r="C185" i="3"/>
  <c r="B185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G184" i="3"/>
  <c r="F184" i="3"/>
  <c r="E184" i="3"/>
  <c r="D184" i="3"/>
  <c r="C184" i="3"/>
  <c r="B184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G183" i="3"/>
  <c r="F183" i="3"/>
  <c r="E183" i="3"/>
  <c r="D183" i="3"/>
  <c r="C183" i="3"/>
  <c r="B183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G182" i="3"/>
  <c r="F182" i="3"/>
  <c r="E182" i="3"/>
  <c r="D182" i="3"/>
  <c r="C182" i="3"/>
  <c r="B182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G181" i="3"/>
  <c r="F181" i="3"/>
  <c r="E181" i="3"/>
  <c r="D181" i="3"/>
  <c r="C181" i="3"/>
  <c r="B181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G180" i="3"/>
  <c r="F180" i="3"/>
  <c r="E180" i="3"/>
  <c r="D180" i="3"/>
  <c r="C180" i="3"/>
  <c r="B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G179" i="3"/>
  <c r="F179" i="3"/>
  <c r="E179" i="3"/>
  <c r="D179" i="3"/>
  <c r="C179" i="3"/>
  <c r="B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G178" i="3"/>
  <c r="F178" i="3"/>
  <c r="E178" i="3"/>
  <c r="D178" i="3"/>
  <c r="C178" i="3"/>
  <c r="B178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G177" i="3"/>
  <c r="F177" i="3"/>
  <c r="E177" i="3"/>
  <c r="D177" i="3"/>
  <c r="C177" i="3"/>
  <c r="B177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G176" i="3"/>
  <c r="F176" i="3"/>
  <c r="E176" i="3"/>
  <c r="D176" i="3"/>
  <c r="C176" i="3"/>
  <c r="B176" i="3"/>
  <c r="Q172" i="3"/>
  <c r="P172" i="3"/>
  <c r="O172" i="3"/>
  <c r="N172" i="3"/>
  <c r="M172" i="3"/>
  <c r="L172" i="3"/>
  <c r="K172" i="3"/>
  <c r="J172" i="3"/>
  <c r="I172" i="3"/>
  <c r="G172" i="3"/>
  <c r="F172" i="3"/>
  <c r="E172" i="3"/>
  <c r="D172" i="3"/>
  <c r="C172" i="3"/>
  <c r="B172" i="3"/>
  <c r="Q171" i="3"/>
  <c r="P171" i="3"/>
  <c r="O171" i="3"/>
  <c r="N171" i="3"/>
  <c r="M171" i="3"/>
  <c r="L171" i="3"/>
  <c r="K171" i="3"/>
  <c r="J171" i="3"/>
  <c r="I171" i="3"/>
  <c r="G171" i="3"/>
  <c r="F171" i="3"/>
  <c r="E171" i="3"/>
  <c r="D171" i="3"/>
  <c r="C171" i="3"/>
  <c r="B171" i="3"/>
  <c r="T170" i="3"/>
  <c r="Q170" i="3"/>
  <c r="P170" i="3"/>
  <c r="O170" i="3"/>
  <c r="N170" i="3"/>
  <c r="M170" i="3"/>
  <c r="L170" i="3"/>
  <c r="K170" i="3"/>
  <c r="J170" i="3"/>
  <c r="I170" i="3"/>
  <c r="G170" i="3"/>
  <c r="F170" i="3"/>
  <c r="E170" i="3"/>
  <c r="D170" i="3"/>
  <c r="C170" i="3"/>
  <c r="B170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G166" i="3"/>
  <c r="F166" i="3"/>
  <c r="E166" i="3"/>
  <c r="D166" i="3"/>
  <c r="C166" i="3"/>
  <c r="B166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G165" i="3"/>
  <c r="F165" i="3"/>
  <c r="E165" i="3"/>
  <c r="D165" i="3"/>
  <c r="C165" i="3"/>
  <c r="B165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G164" i="3"/>
  <c r="F164" i="3"/>
  <c r="E164" i="3"/>
  <c r="D164" i="3"/>
  <c r="C164" i="3"/>
  <c r="B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G163" i="3"/>
  <c r="F163" i="3"/>
  <c r="E163" i="3"/>
  <c r="D163" i="3"/>
  <c r="C163" i="3"/>
  <c r="B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G162" i="3"/>
  <c r="F162" i="3"/>
  <c r="E162" i="3"/>
  <c r="D162" i="3"/>
  <c r="C162" i="3"/>
  <c r="B162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G161" i="3"/>
  <c r="F161" i="3"/>
  <c r="E161" i="3"/>
  <c r="D161" i="3"/>
  <c r="C161" i="3"/>
  <c r="B161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G160" i="3"/>
  <c r="F160" i="3"/>
  <c r="E160" i="3"/>
  <c r="D160" i="3"/>
  <c r="C160" i="3"/>
  <c r="B160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G159" i="3"/>
  <c r="F159" i="3"/>
  <c r="E159" i="3"/>
  <c r="D159" i="3"/>
  <c r="C159" i="3"/>
  <c r="B159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G158" i="3"/>
  <c r="F158" i="3"/>
  <c r="E158" i="3"/>
  <c r="D158" i="3"/>
  <c r="C158" i="3"/>
  <c r="B158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G157" i="3"/>
  <c r="F157" i="3"/>
  <c r="E157" i="3"/>
  <c r="D157" i="3"/>
  <c r="C157" i="3"/>
  <c r="B157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G156" i="3"/>
  <c r="F156" i="3"/>
  <c r="E156" i="3"/>
  <c r="D156" i="3"/>
  <c r="C156" i="3"/>
  <c r="B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G155" i="3"/>
  <c r="F155" i="3"/>
  <c r="E155" i="3"/>
  <c r="D155" i="3"/>
  <c r="C155" i="3"/>
  <c r="B155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G154" i="3"/>
  <c r="F154" i="3"/>
  <c r="E154" i="3"/>
  <c r="D154" i="3"/>
  <c r="C154" i="3"/>
  <c r="B154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G153" i="3"/>
  <c r="F153" i="3"/>
  <c r="E153" i="3"/>
  <c r="D153" i="3"/>
  <c r="C153" i="3"/>
  <c r="B153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G152" i="3"/>
  <c r="F152" i="3"/>
  <c r="E152" i="3"/>
  <c r="D152" i="3"/>
  <c r="C152" i="3"/>
  <c r="B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G151" i="3"/>
  <c r="F151" i="3"/>
  <c r="E151" i="3"/>
  <c r="D151" i="3"/>
  <c r="C151" i="3"/>
  <c r="B151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G150" i="3"/>
  <c r="F150" i="3"/>
  <c r="E150" i="3"/>
  <c r="D150" i="3"/>
  <c r="C150" i="3"/>
  <c r="B150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G149" i="3"/>
  <c r="F149" i="3"/>
  <c r="E149" i="3"/>
  <c r="D149" i="3"/>
  <c r="C149" i="3"/>
  <c r="B149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G148" i="3"/>
  <c r="F148" i="3"/>
  <c r="E148" i="3"/>
  <c r="D148" i="3"/>
  <c r="C148" i="3"/>
  <c r="B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G147" i="3"/>
  <c r="F147" i="3"/>
  <c r="E147" i="3"/>
  <c r="D147" i="3"/>
  <c r="C147" i="3"/>
  <c r="B147" i="3"/>
  <c r="Q143" i="3"/>
  <c r="P143" i="3"/>
  <c r="O143" i="3"/>
  <c r="N143" i="3"/>
  <c r="M143" i="3"/>
  <c r="L143" i="3"/>
  <c r="K143" i="3"/>
  <c r="J143" i="3"/>
  <c r="I143" i="3"/>
  <c r="G143" i="3"/>
  <c r="F143" i="3"/>
  <c r="E143" i="3"/>
  <c r="D143" i="3"/>
  <c r="C143" i="3"/>
  <c r="B143" i="3"/>
  <c r="Q142" i="3"/>
  <c r="P142" i="3"/>
  <c r="O142" i="3"/>
  <c r="N142" i="3"/>
  <c r="M142" i="3"/>
  <c r="L142" i="3"/>
  <c r="K142" i="3"/>
  <c r="J142" i="3"/>
  <c r="I142" i="3"/>
  <c r="G142" i="3"/>
  <c r="F142" i="3"/>
  <c r="E142" i="3"/>
  <c r="D142" i="3"/>
  <c r="C142" i="3"/>
  <c r="B142" i="3"/>
  <c r="T141" i="3"/>
  <c r="Q141" i="3"/>
  <c r="P141" i="3"/>
  <c r="O141" i="3"/>
  <c r="N141" i="3"/>
  <c r="M141" i="3"/>
  <c r="L141" i="3"/>
  <c r="K141" i="3"/>
  <c r="J141" i="3"/>
  <c r="I141" i="3"/>
  <c r="G141" i="3"/>
  <c r="F141" i="3"/>
  <c r="E141" i="3"/>
  <c r="D141" i="3"/>
  <c r="C141" i="3"/>
  <c r="B141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G137" i="3"/>
  <c r="F137" i="3"/>
  <c r="E137" i="3"/>
  <c r="D137" i="3"/>
  <c r="C137" i="3"/>
  <c r="B137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G136" i="3"/>
  <c r="F136" i="3"/>
  <c r="E136" i="3"/>
  <c r="D136" i="3"/>
  <c r="C136" i="3"/>
  <c r="B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G135" i="3"/>
  <c r="F135" i="3"/>
  <c r="E135" i="3"/>
  <c r="D135" i="3"/>
  <c r="C135" i="3"/>
  <c r="B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G134" i="3"/>
  <c r="F134" i="3"/>
  <c r="E134" i="3"/>
  <c r="D134" i="3"/>
  <c r="C134" i="3"/>
  <c r="B134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G133" i="3"/>
  <c r="F133" i="3"/>
  <c r="E133" i="3"/>
  <c r="D133" i="3"/>
  <c r="C133" i="3"/>
  <c r="B133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G132" i="3"/>
  <c r="F132" i="3"/>
  <c r="E132" i="3"/>
  <c r="D132" i="3"/>
  <c r="C132" i="3"/>
  <c r="B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G131" i="3"/>
  <c r="F131" i="3"/>
  <c r="E131" i="3"/>
  <c r="D131" i="3"/>
  <c r="C131" i="3"/>
  <c r="B131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G130" i="3"/>
  <c r="F130" i="3"/>
  <c r="E130" i="3"/>
  <c r="D130" i="3"/>
  <c r="C130" i="3"/>
  <c r="B130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G129" i="3"/>
  <c r="F129" i="3"/>
  <c r="E129" i="3"/>
  <c r="D129" i="3"/>
  <c r="C129" i="3"/>
  <c r="B129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G128" i="3"/>
  <c r="F128" i="3"/>
  <c r="E128" i="3"/>
  <c r="D128" i="3"/>
  <c r="C128" i="3"/>
  <c r="B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G127" i="3"/>
  <c r="F127" i="3"/>
  <c r="E127" i="3"/>
  <c r="D127" i="3"/>
  <c r="C127" i="3"/>
  <c r="B127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G126" i="3"/>
  <c r="F126" i="3"/>
  <c r="E126" i="3"/>
  <c r="D126" i="3"/>
  <c r="C126" i="3"/>
  <c r="B126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G125" i="3"/>
  <c r="F125" i="3"/>
  <c r="E125" i="3"/>
  <c r="D125" i="3"/>
  <c r="C125" i="3"/>
  <c r="B125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G124" i="3"/>
  <c r="F124" i="3"/>
  <c r="E124" i="3"/>
  <c r="D124" i="3"/>
  <c r="C124" i="3"/>
  <c r="B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G123" i="3"/>
  <c r="F123" i="3"/>
  <c r="E123" i="3"/>
  <c r="D123" i="3"/>
  <c r="C123" i="3"/>
  <c r="B123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G122" i="3"/>
  <c r="F122" i="3"/>
  <c r="E122" i="3"/>
  <c r="D122" i="3"/>
  <c r="C122" i="3"/>
  <c r="B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G121" i="3"/>
  <c r="F121" i="3"/>
  <c r="E121" i="3"/>
  <c r="D121" i="3"/>
  <c r="C121" i="3"/>
  <c r="B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G120" i="3"/>
  <c r="F120" i="3"/>
  <c r="E120" i="3"/>
  <c r="D120" i="3"/>
  <c r="C120" i="3"/>
  <c r="B120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G119" i="3"/>
  <c r="F119" i="3"/>
  <c r="E119" i="3"/>
  <c r="D119" i="3"/>
  <c r="C119" i="3"/>
  <c r="B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G118" i="3"/>
  <c r="F118" i="3"/>
  <c r="E118" i="3"/>
  <c r="D118" i="3"/>
  <c r="C118" i="3"/>
  <c r="B118" i="3"/>
  <c r="Q114" i="3"/>
  <c r="P114" i="3"/>
  <c r="O114" i="3"/>
  <c r="N114" i="3"/>
  <c r="M114" i="3"/>
  <c r="L114" i="3"/>
  <c r="K114" i="3"/>
  <c r="J114" i="3"/>
  <c r="I114" i="3"/>
  <c r="G114" i="3"/>
  <c r="F114" i="3"/>
  <c r="E114" i="3"/>
  <c r="D114" i="3"/>
  <c r="C114" i="3"/>
  <c r="B114" i="3"/>
  <c r="Q113" i="3"/>
  <c r="P113" i="3"/>
  <c r="O113" i="3"/>
  <c r="N113" i="3"/>
  <c r="M113" i="3"/>
  <c r="L113" i="3"/>
  <c r="K113" i="3"/>
  <c r="J113" i="3"/>
  <c r="I113" i="3"/>
  <c r="G113" i="3"/>
  <c r="F113" i="3"/>
  <c r="E113" i="3"/>
  <c r="D113" i="3"/>
  <c r="C113" i="3"/>
  <c r="B113" i="3"/>
  <c r="T112" i="3"/>
  <c r="Q112" i="3"/>
  <c r="P112" i="3"/>
  <c r="O112" i="3"/>
  <c r="N112" i="3"/>
  <c r="M112" i="3"/>
  <c r="L112" i="3"/>
  <c r="K112" i="3"/>
  <c r="J112" i="3"/>
  <c r="I112" i="3"/>
  <c r="G112" i="3"/>
  <c r="F112" i="3"/>
  <c r="E112" i="3"/>
  <c r="D112" i="3"/>
  <c r="C112" i="3"/>
  <c r="B112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F108" i="3"/>
  <c r="E108" i="3"/>
  <c r="D108" i="3"/>
  <c r="C108" i="3"/>
  <c r="B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G107" i="3"/>
  <c r="F107" i="3"/>
  <c r="E107" i="3"/>
  <c r="D107" i="3"/>
  <c r="C107" i="3"/>
  <c r="B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G106" i="3"/>
  <c r="F106" i="3"/>
  <c r="E106" i="3"/>
  <c r="D106" i="3"/>
  <c r="C106" i="3"/>
  <c r="B106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G105" i="3"/>
  <c r="F105" i="3"/>
  <c r="E105" i="3"/>
  <c r="D105" i="3"/>
  <c r="C105" i="3"/>
  <c r="B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G104" i="3"/>
  <c r="F104" i="3"/>
  <c r="E104" i="3"/>
  <c r="D104" i="3"/>
  <c r="C104" i="3"/>
  <c r="B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G103" i="3"/>
  <c r="F103" i="3"/>
  <c r="E103" i="3"/>
  <c r="D103" i="3"/>
  <c r="C103" i="3"/>
  <c r="B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G102" i="3"/>
  <c r="F102" i="3"/>
  <c r="E102" i="3"/>
  <c r="D102" i="3"/>
  <c r="C102" i="3"/>
  <c r="B102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G101" i="3"/>
  <c r="F101" i="3"/>
  <c r="E101" i="3"/>
  <c r="D101" i="3"/>
  <c r="C101" i="3"/>
  <c r="B101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G100" i="3"/>
  <c r="F100" i="3"/>
  <c r="E100" i="3"/>
  <c r="D100" i="3"/>
  <c r="C100" i="3"/>
  <c r="B100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G99" i="3"/>
  <c r="F99" i="3"/>
  <c r="E99" i="3"/>
  <c r="D99" i="3"/>
  <c r="C99" i="3"/>
  <c r="B99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G98" i="3"/>
  <c r="F98" i="3"/>
  <c r="E98" i="3"/>
  <c r="D98" i="3"/>
  <c r="C98" i="3"/>
  <c r="B98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G97" i="3"/>
  <c r="F97" i="3"/>
  <c r="E97" i="3"/>
  <c r="D97" i="3"/>
  <c r="C97" i="3"/>
  <c r="B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G96" i="3"/>
  <c r="F96" i="3"/>
  <c r="E96" i="3"/>
  <c r="D96" i="3"/>
  <c r="C96" i="3"/>
  <c r="B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G95" i="3"/>
  <c r="F95" i="3"/>
  <c r="E95" i="3"/>
  <c r="D95" i="3"/>
  <c r="C95" i="3"/>
  <c r="B95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G94" i="3"/>
  <c r="F94" i="3"/>
  <c r="E94" i="3"/>
  <c r="D94" i="3"/>
  <c r="C94" i="3"/>
  <c r="B94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G93" i="3"/>
  <c r="F93" i="3"/>
  <c r="E93" i="3"/>
  <c r="D93" i="3"/>
  <c r="C93" i="3"/>
  <c r="B93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G92" i="3"/>
  <c r="F92" i="3"/>
  <c r="E92" i="3"/>
  <c r="D92" i="3"/>
  <c r="C92" i="3"/>
  <c r="B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G91" i="3"/>
  <c r="F91" i="3"/>
  <c r="E91" i="3"/>
  <c r="D91" i="3"/>
  <c r="C91" i="3"/>
  <c r="B9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G90" i="3"/>
  <c r="F90" i="3"/>
  <c r="E90" i="3"/>
  <c r="D90" i="3"/>
  <c r="C90" i="3"/>
  <c r="B90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G89" i="3"/>
  <c r="F89" i="3"/>
  <c r="E89" i="3"/>
  <c r="D89" i="3"/>
  <c r="C89" i="3"/>
  <c r="B89" i="3"/>
  <c r="Q85" i="3"/>
  <c r="P85" i="3"/>
  <c r="O85" i="3"/>
  <c r="N85" i="3"/>
  <c r="M85" i="3"/>
  <c r="L85" i="3"/>
  <c r="K85" i="3"/>
  <c r="J85" i="3"/>
  <c r="I85" i="3"/>
  <c r="G85" i="3"/>
  <c r="F85" i="3"/>
  <c r="E85" i="3"/>
  <c r="D85" i="3"/>
  <c r="C85" i="3"/>
  <c r="B85" i="3"/>
  <c r="Q84" i="3"/>
  <c r="P84" i="3"/>
  <c r="O84" i="3"/>
  <c r="N84" i="3"/>
  <c r="M84" i="3"/>
  <c r="L84" i="3"/>
  <c r="K84" i="3"/>
  <c r="J84" i="3"/>
  <c r="I84" i="3"/>
  <c r="G84" i="3"/>
  <c r="F84" i="3"/>
  <c r="E84" i="3"/>
  <c r="D84" i="3"/>
  <c r="C84" i="3"/>
  <c r="B84" i="3"/>
  <c r="T83" i="3"/>
  <c r="Q83" i="3"/>
  <c r="P83" i="3"/>
  <c r="O83" i="3"/>
  <c r="N83" i="3"/>
  <c r="M83" i="3"/>
  <c r="L83" i="3"/>
  <c r="K83" i="3"/>
  <c r="J83" i="3"/>
  <c r="I83" i="3"/>
  <c r="G83" i="3"/>
  <c r="F83" i="3"/>
  <c r="E83" i="3"/>
  <c r="D83" i="3"/>
  <c r="C83" i="3"/>
  <c r="B83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G79" i="3"/>
  <c r="F79" i="3"/>
  <c r="E79" i="3"/>
  <c r="D79" i="3"/>
  <c r="C79" i="3"/>
  <c r="B79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G78" i="3"/>
  <c r="F78" i="3"/>
  <c r="E78" i="3"/>
  <c r="D78" i="3"/>
  <c r="C78" i="3"/>
  <c r="B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G77" i="3"/>
  <c r="F77" i="3"/>
  <c r="E77" i="3"/>
  <c r="D77" i="3"/>
  <c r="C77" i="3"/>
  <c r="B77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G76" i="3"/>
  <c r="F76" i="3"/>
  <c r="E76" i="3"/>
  <c r="D76" i="3"/>
  <c r="C76" i="3"/>
  <c r="B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G75" i="3"/>
  <c r="F75" i="3"/>
  <c r="E75" i="3"/>
  <c r="D75" i="3"/>
  <c r="C75" i="3"/>
  <c r="B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G74" i="3"/>
  <c r="F74" i="3"/>
  <c r="E74" i="3"/>
  <c r="D74" i="3"/>
  <c r="C74" i="3"/>
  <c r="B74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G73" i="3"/>
  <c r="F73" i="3"/>
  <c r="E73" i="3"/>
  <c r="D73" i="3"/>
  <c r="C73" i="3"/>
  <c r="B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G72" i="3"/>
  <c r="F72" i="3"/>
  <c r="E72" i="3"/>
  <c r="D72" i="3"/>
  <c r="C72" i="3"/>
  <c r="B72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G71" i="3"/>
  <c r="F71" i="3"/>
  <c r="E71" i="3"/>
  <c r="D71" i="3"/>
  <c r="C71" i="3"/>
  <c r="B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G70" i="3"/>
  <c r="F70" i="3"/>
  <c r="E70" i="3"/>
  <c r="D70" i="3"/>
  <c r="C70" i="3"/>
  <c r="B70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G69" i="3"/>
  <c r="F69" i="3"/>
  <c r="E69" i="3"/>
  <c r="D69" i="3"/>
  <c r="C69" i="3"/>
  <c r="B69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G68" i="3"/>
  <c r="F68" i="3"/>
  <c r="E68" i="3"/>
  <c r="D68" i="3"/>
  <c r="C68" i="3"/>
  <c r="B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G67" i="3"/>
  <c r="F67" i="3"/>
  <c r="E67" i="3"/>
  <c r="D67" i="3"/>
  <c r="C67" i="3"/>
  <c r="B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G66" i="3"/>
  <c r="F66" i="3"/>
  <c r="E66" i="3"/>
  <c r="D66" i="3"/>
  <c r="C66" i="3"/>
  <c r="B66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G65" i="3"/>
  <c r="F65" i="3"/>
  <c r="E65" i="3"/>
  <c r="D65" i="3"/>
  <c r="C65" i="3"/>
  <c r="B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G64" i="3"/>
  <c r="F64" i="3"/>
  <c r="E64" i="3"/>
  <c r="D64" i="3"/>
  <c r="C64" i="3"/>
  <c r="B64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G63" i="3"/>
  <c r="F63" i="3"/>
  <c r="E63" i="3"/>
  <c r="D63" i="3"/>
  <c r="C63" i="3"/>
  <c r="B63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G62" i="3"/>
  <c r="F62" i="3"/>
  <c r="E62" i="3"/>
  <c r="D62" i="3"/>
  <c r="C62" i="3"/>
  <c r="B62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G61" i="3"/>
  <c r="F61" i="3"/>
  <c r="E61" i="3"/>
  <c r="D61" i="3"/>
  <c r="C61" i="3"/>
  <c r="B61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G60" i="3"/>
  <c r="F60" i="3"/>
  <c r="E60" i="3"/>
  <c r="D60" i="3"/>
  <c r="C60" i="3"/>
  <c r="B60" i="3"/>
  <c r="Q56" i="3"/>
  <c r="P56" i="3"/>
  <c r="O56" i="3"/>
  <c r="N56" i="3"/>
  <c r="M56" i="3"/>
  <c r="L56" i="3"/>
  <c r="K56" i="3"/>
  <c r="J56" i="3"/>
  <c r="I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G55" i="3"/>
  <c r="F55" i="3"/>
  <c r="E55" i="3"/>
  <c r="D55" i="3"/>
  <c r="C55" i="3"/>
  <c r="B55" i="3"/>
  <c r="T54" i="3"/>
  <c r="Q54" i="3"/>
  <c r="P54" i="3"/>
  <c r="O54" i="3"/>
  <c r="N54" i="3"/>
  <c r="M54" i="3"/>
  <c r="L54" i="3"/>
  <c r="K54" i="3"/>
  <c r="J54" i="3"/>
  <c r="I54" i="3"/>
  <c r="G54" i="3"/>
  <c r="F54" i="3"/>
  <c r="E54" i="3"/>
  <c r="D54" i="3"/>
  <c r="C54" i="3"/>
  <c r="B54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G50" i="3"/>
  <c r="F50" i="3"/>
  <c r="E50" i="3"/>
  <c r="D50" i="3"/>
  <c r="C50" i="3"/>
  <c r="B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G49" i="3"/>
  <c r="F49" i="3"/>
  <c r="E49" i="3"/>
  <c r="D49" i="3"/>
  <c r="C49" i="3"/>
  <c r="B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G48" i="3"/>
  <c r="F48" i="3"/>
  <c r="E48" i="3"/>
  <c r="D48" i="3"/>
  <c r="C48" i="3"/>
  <c r="B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G47" i="3"/>
  <c r="F47" i="3"/>
  <c r="E47" i="3"/>
  <c r="D47" i="3"/>
  <c r="C47" i="3"/>
  <c r="B47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G46" i="3"/>
  <c r="F46" i="3"/>
  <c r="E46" i="3"/>
  <c r="D46" i="3"/>
  <c r="C46" i="3"/>
  <c r="B46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G45" i="3"/>
  <c r="F45" i="3"/>
  <c r="E45" i="3"/>
  <c r="D45" i="3"/>
  <c r="C45" i="3"/>
  <c r="B45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G44" i="3"/>
  <c r="F44" i="3"/>
  <c r="E44" i="3"/>
  <c r="D44" i="3"/>
  <c r="C44" i="3"/>
  <c r="B44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G43" i="3"/>
  <c r="F43" i="3"/>
  <c r="E43" i="3"/>
  <c r="D43" i="3"/>
  <c r="C43" i="3"/>
  <c r="B43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G42" i="3"/>
  <c r="F42" i="3"/>
  <c r="E42" i="3"/>
  <c r="D42" i="3"/>
  <c r="C42" i="3"/>
  <c r="B42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G41" i="3"/>
  <c r="F41" i="3"/>
  <c r="E41" i="3"/>
  <c r="D41" i="3"/>
  <c r="C41" i="3"/>
  <c r="B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G40" i="3"/>
  <c r="F40" i="3"/>
  <c r="E40" i="3"/>
  <c r="D40" i="3"/>
  <c r="C40" i="3"/>
  <c r="B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G39" i="3"/>
  <c r="F39" i="3"/>
  <c r="E39" i="3"/>
  <c r="D39" i="3"/>
  <c r="C39" i="3"/>
  <c r="B39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G38" i="3"/>
  <c r="F38" i="3"/>
  <c r="E38" i="3"/>
  <c r="D38" i="3"/>
  <c r="C38" i="3"/>
  <c r="B38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G37" i="3"/>
  <c r="F37" i="3"/>
  <c r="E37" i="3"/>
  <c r="D37" i="3"/>
  <c r="C37" i="3"/>
  <c r="B37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G36" i="3"/>
  <c r="F36" i="3"/>
  <c r="E36" i="3"/>
  <c r="D36" i="3"/>
  <c r="C36" i="3"/>
  <c r="B3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G35" i="3"/>
  <c r="F35" i="3"/>
  <c r="E35" i="3"/>
  <c r="D35" i="3"/>
  <c r="C35" i="3"/>
  <c r="B35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G34" i="3"/>
  <c r="F34" i="3"/>
  <c r="E34" i="3"/>
  <c r="D34" i="3"/>
  <c r="C34" i="3"/>
  <c r="B34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G33" i="3"/>
  <c r="F33" i="3"/>
  <c r="E33" i="3"/>
  <c r="D33" i="3"/>
  <c r="C33" i="3"/>
  <c r="B33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G32" i="3"/>
  <c r="F32" i="3"/>
  <c r="E32" i="3"/>
  <c r="D32" i="3"/>
  <c r="C32" i="3"/>
  <c r="B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G31" i="3"/>
  <c r="F31" i="3"/>
  <c r="E31" i="3"/>
  <c r="D31" i="3"/>
  <c r="C31" i="3"/>
  <c r="B31" i="3"/>
  <c r="Q27" i="3"/>
  <c r="P27" i="3"/>
  <c r="O27" i="3"/>
  <c r="N27" i="3"/>
  <c r="M27" i="3"/>
  <c r="L27" i="3"/>
  <c r="K27" i="3"/>
  <c r="J27" i="3"/>
  <c r="I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G26" i="3"/>
  <c r="F26" i="3"/>
  <c r="E26" i="3"/>
  <c r="D26" i="3"/>
  <c r="C26" i="3"/>
  <c r="B26" i="3"/>
  <c r="T25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G21" i="3"/>
  <c r="F21" i="3"/>
  <c r="E21" i="3"/>
  <c r="D21" i="3"/>
  <c r="C21" i="3"/>
  <c r="B21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G20" i="3"/>
  <c r="F20" i="3"/>
  <c r="E20" i="3"/>
  <c r="D20" i="3"/>
  <c r="C20" i="3"/>
  <c r="B20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G19" i="3"/>
  <c r="F19" i="3"/>
  <c r="E19" i="3"/>
  <c r="D19" i="3"/>
  <c r="C19" i="3"/>
  <c r="B19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G18" i="3"/>
  <c r="F18" i="3"/>
  <c r="E18" i="3"/>
  <c r="D18" i="3"/>
  <c r="C18" i="3"/>
  <c r="B18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G17" i="3"/>
  <c r="F17" i="3"/>
  <c r="E17" i="3"/>
  <c r="D17" i="3"/>
  <c r="C17" i="3"/>
  <c r="B1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G16" i="3"/>
  <c r="F16" i="3"/>
  <c r="E16" i="3"/>
  <c r="D16" i="3"/>
  <c r="C16" i="3"/>
  <c r="B16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G15" i="3"/>
  <c r="F15" i="3"/>
  <c r="E15" i="3"/>
  <c r="D15" i="3"/>
  <c r="C15" i="3"/>
  <c r="B15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G13" i="3"/>
  <c r="F13" i="3"/>
  <c r="E13" i="3"/>
  <c r="D13" i="3"/>
  <c r="C13" i="3"/>
  <c r="B13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G12" i="3"/>
  <c r="F12" i="3"/>
  <c r="E12" i="3"/>
  <c r="D12" i="3"/>
  <c r="C12" i="3"/>
  <c r="B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G11" i="3"/>
  <c r="F11" i="3"/>
  <c r="E11" i="3"/>
  <c r="D11" i="3"/>
  <c r="C11" i="3"/>
  <c r="B11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G9" i="3"/>
  <c r="F9" i="3"/>
  <c r="E9" i="3"/>
  <c r="D9" i="3"/>
  <c r="C9" i="3"/>
  <c r="B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G8" i="3"/>
  <c r="F8" i="3"/>
  <c r="E8" i="3"/>
  <c r="D8" i="3"/>
  <c r="C8" i="3"/>
  <c r="B8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G7" i="3"/>
  <c r="F7" i="3"/>
  <c r="E7" i="3"/>
  <c r="D7" i="3"/>
  <c r="C7" i="3"/>
  <c r="B7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G5" i="3"/>
  <c r="F5" i="3"/>
  <c r="E5" i="3"/>
  <c r="D5" i="3"/>
  <c r="C5" i="3"/>
  <c r="B5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G4" i="3"/>
  <c r="F4" i="3"/>
  <c r="E4" i="3"/>
  <c r="D4" i="3"/>
  <c r="C4" i="3"/>
  <c r="B4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G3" i="3"/>
  <c r="F3" i="3"/>
  <c r="E3" i="3"/>
  <c r="D3" i="3"/>
  <c r="C3" i="3"/>
  <c r="B3" i="3"/>
  <c r="AH665" i="2"/>
  <c r="R665" i="2"/>
  <c r="Q665" i="2"/>
  <c r="P665" i="2"/>
  <c r="M665" i="2"/>
  <c r="H665" i="2"/>
  <c r="G665" i="2"/>
  <c r="F665" i="2"/>
  <c r="D665" i="2"/>
  <c r="AH664" i="2"/>
  <c r="R664" i="2"/>
  <c r="Q664" i="2"/>
  <c r="AD664" i="2" s="1"/>
  <c r="P664" i="2"/>
  <c r="M664" i="2"/>
  <c r="H664" i="2"/>
  <c r="G664" i="2"/>
  <c r="F664" i="2"/>
  <c r="D664" i="2"/>
  <c r="AH663" i="2"/>
  <c r="R663" i="2"/>
  <c r="Q663" i="2"/>
  <c r="P663" i="2"/>
  <c r="M663" i="2"/>
  <c r="H663" i="2"/>
  <c r="G663" i="2"/>
  <c r="F663" i="2"/>
  <c r="D663" i="2"/>
  <c r="AH662" i="2"/>
  <c r="R662" i="2"/>
  <c r="Q662" i="2"/>
  <c r="AF662" i="2" s="1"/>
  <c r="P662" i="2"/>
  <c r="M662" i="2"/>
  <c r="H662" i="2"/>
  <c r="G662" i="2"/>
  <c r="F662" i="2"/>
  <c r="D662" i="2"/>
  <c r="AH661" i="2"/>
  <c r="R661" i="2"/>
  <c r="Q661" i="2"/>
  <c r="AG661" i="2" s="1"/>
  <c r="P661" i="2"/>
  <c r="M661" i="2"/>
  <c r="H661" i="2"/>
  <c r="G661" i="2"/>
  <c r="F661" i="2"/>
  <c r="D661" i="2"/>
  <c r="AH660" i="2"/>
  <c r="R660" i="2"/>
  <c r="Q660" i="2"/>
  <c r="P660" i="2"/>
  <c r="AC660" i="2" s="1"/>
  <c r="M660" i="2"/>
  <c r="H660" i="2"/>
  <c r="G660" i="2"/>
  <c r="F660" i="2"/>
  <c r="D660" i="2"/>
  <c r="AH659" i="2"/>
  <c r="R659" i="2"/>
  <c r="Q659" i="2"/>
  <c r="Y659" i="2" s="1"/>
  <c r="P659" i="2"/>
  <c r="M659" i="2"/>
  <c r="H659" i="2"/>
  <c r="G659" i="2"/>
  <c r="F659" i="2"/>
  <c r="D659" i="2"/>
  <c r="AH658" i="2"/>
  <c r="R658" i="2"/>
  <c r="Q658" i="2"/>
  <c r="Z658" i="2" s="1"/>
  <c r="P658" i="2"/>
  <c r="M658" i="2"/>
  <c r="H658" i="2"/>
  <c r="G658" i="2"/>
  <c r="F658" i="2"/>
  <c r="D658" i="2"/>
  <c r="AH657" i="2"/>
  <c r="AB657" i="2"/>
  <c r="Z657" i="2"/>
  <c r="R657" i="2"/>
  <c r="Q657" i="2"/>
  <c r="AA657" i="2" s="1"/>
  <c r="P657" i="2"/>
  <c r="M657" i="2"/>
  <c r="H657" i="2"/>
  <c r="G657" i="2"/>
  <c r="F657" i="2"/>
  <c r="D657" i="2"/>
  <c r="AH656" i="2"/>
  <c r="AF656" i="2"/>
  <c r="R656" i="2"/>
  <c r="Q656" i="2"/>
  <c r="AB656" i="2" s="1"/>
  <c r="P656" i="2"/>
  <c r="M656" i="2"/>
  <c r="H656" i="2"/>
  <c r="G656" i="2"/>
  <c r="F656" i="2"/>
  <c r="D656" i="2"/>
  <c r="AJ655" i="2"/>
  <c r="P655" i="2"/>
  <c r="M655" i="2"/>
  <c r="H655" i="2"/>
  <c r="G655" i="2"/>
  <c r="F655" i="2"/>
  <c r="D65" i="9" s="1"/>
  <c r="D655" i="2"/>
  <c r="B65" i="9" s="1"/>
  <c r="AH654" i="2"/>
  <c r="R654" i="2"/>
  <c r="Q654" i="2"/>
  <c r="AF654" i="2" s="1"/>
  <c r="P654" i="2"/>
  <c r="M654" i="2"/>
  <c r="H654" i="2"/>
  <c r="G654" i="2"/>
  <c r="F654" i="2"/>
  <c r="D654" i="2"/>
  <c r="AH653" i="2"/>
  <c r="R653" i="2"/>
  <c r="Q653" i="2"/>
  <c r="AF653" i="2" s="1"/>
  <c r="P653" i="2"/>
  <c r="M653" i="2"/>
  <c r="H653" i="2"/>
  <c r="G653" i="2"/>
  <c r="F653" i="2"/>
  <c r="D653" i="2"/>
  <c r="AH652" i="2"/>
  <c r="R652" i="2"/>
  <c r="Q652" i="2"/>
  <c r="P652" i="2"/>
  <c r="M652" i="2"/>
  <c r="H652" i="2"/>
  <c r="G652" i="2"/>
  <c r="F652" i="2"/>
  <c r="D652" i="2"/>
  <c r="AJ651" i="2"/>
  <c r="P651" i="2"/>
  <c r="M651" i="2"/>
  <c r="H651" i="2"/>
  <c r="G651" i="2"/>
  <c r="F651" i="2"/>
  <c r="D64" i="9" s="1"/>
  <c r="D651" i="2"/>
  <c r="B64" i="9" s="1"/>
  <c r="AJ650" i="2"/>
  <c r="P650" i="2"/>
  <c r="M650" i="2"/>
  <c r="H650" i="2"/>
  <c r="G650" i="2"/>
  <c r="F650" i="2"/>
  <c r="D63" i="9" s="1"/>
  <c r="D650" i="2"/>
  <c r="B63" i="9" s="1"/>
  <c r="AH649" i="2"/>
  <c r="R649" i="2"/>
  <c r="Q649" i="2"/>
  <c r="AB649" i="2" s="1"/>
  <c r="P649" i="2"/>
  <c r="M649" i="2"/>
  <c r="H649" i="2"/>
  <c r="G649" i="2"/>
  <c r="F649" i="2"/>
  <c r="D649" i="2"/>
  <c r="AJ648" i="2"/>
  <c r="P648" i="2"/>
  <c r="M648" i="2"/>
  <c r="H648" i="2"/>
  <c r="G648" i="2"/>
  <c r="F648" i="2"/>
  <c r="D62" i="9" s="1"/>
  <c r="D648" i="2"/>
  <c r="B62" i="9" s="1"/>
  <c r="AH647" i="2"/>
  <c r="AF647" i="2"/>
  <c r="AB647" i="2"/>
  <c r="Y647" i="2"/>
  <c r="R647" i="2"/>
  <c r="Q647" i="2"/>
  <c r="Z647" i="2" s="1"/>
  <c r="P647" i="2"/>
  <c r="M647" i="2"/>
  <c r="H647" i="2"/>
  <c r="G647" i="2"/>
  <c r="F647" i="2"/>
  <c r="D647" i="2"/>
  <c r="AH646" i="2"/>
  <c r="R646" i="2"/>
  <c r="Q646" i="2"/>
  <c r="AF646" i="2" s="1"/>
  <c r="P646" i="2"/>
  <c r="M646" i="2"/>
  <c r="H646" i="2"/>
  <c r="G646" i="2"/>
  <c r="F646" i="2"/>
  <c r="D646" i="2"/>
  <c r="AH645" i="2"/>
  <c r="R645" i="2"/>
  <c r="Q645" i="2"/>
  <c r="P645" i="2"/>
  <c r="M645" i="2"/>
  <c r="H645" i="2"/>
  <c r="G645" i="2"/>
  <c r="F645" i="2"/>
  <c r="D645" i="2"/>
  <c r="AH644" i="2"/>
  <c r="R644" i="2"/>
  <c r="Q644" i="2"/>
  <c r="P644" i="2"/>
  <c r="M644" i="2"/>
  <c r="H644" i="2"/>
  <c r="G644" i="2"/>
  <c r="F644" i="2"/>
  <c r="D644" i="2"/>
  <c r="AH643" i="2"/>
  <c r="R643" i="2"/>
  <c r="Q643" i="2"/>
  <c r="P643" i="2"/>
  <c r="M643" i="2"/>
  <c r="H643" i="2"/>
  <c r="G643" i="2"/>
  <c r="F643" i="2"/>
  <c r="D643" i="2"/>
  <c r="AH642" i="2"/>
  <c r="R642" i="2"/>
  <c r="Q642" i="2"/>
  <c r="Z642" i="2" s="1"/>
  <c r="P642" i="2"/>
  <c r="M642" i="2"/>
  <c r="H642" i="2"/>
  <c r="G642" i="2"/>
  <c r="F642" i="2"/>
  <c r="D642" i="2"/>
  <c r="AH641" i="2"/>
  <c r="R641" i="2"/>
  <c r="Q641" i="2"/>
  <c r="AA641" i="2" s="1"/>
  <c r="P641" i="2"/>
  <c r="X641" i="2" s="1"/>
  <c r="M641" i="2"/>
  <c r="H641" i="2"/>
  <c r="G641" i="2"/>
  <c r="F641" i="2"/>
  <c r="D641" i="2"/>
  <c r="AH640" i="2"/>
  <c r="R640" i="2"/>
  <c r="Q640" i="2"/>
  <c r="AF640" i="2" s="1"/>
  <c r="P640" i="2"/>
  <c r="M640" i="2"/>
  <c r="H640" i="2"/>
  <c r="G640" i="2"/>
  <c r="F640" i="2"/>
  <c r="D640" i="2"/>
  <c r="AH639" i="2"/>
  <c r="R639" i="2"/>
  <c r="Q639" i="2"/>
  <c r="P639" i="2"/>
  <c r="M639" i="2"/>
  <c r="H639" i="2"/>
  <c r="G639" i="2"/>
  <c r="F639" i="2"/>
  <c r="D639" i="2"/>
  <c r="AH638" i="2"/>
  <c r="R638" i="2"/>
  <c r="Q638" i="2"/>
  <c r="P638" i="2"/>
  <c r="M638" i="2"/>
  <c r="H638" i="2"/>
  <c r="G638" i="2"/>
  <c r="F638" i="2"/>
  <c r="D638" i="2"/>
  <c r="AH637" i="2"/>
  <c r="R637" i="2"/>
  <c r="Q637" i="2"/>
  <c r="AG637" i="2" s="1"/>
  <c r="P637" i="2"/>
  <c r="M637" i="2"/>
  <c r="H637" i="2"/>
  <c r="G637" i="2"/>
  <c r="F637" i="2"/>
  <c r="D637" i="2"/>
  <c r="AH636" i="2"/>
  <c r="R636" i="2"/>
  <c r="Q636" i="2"/>
  <c r="AF636" i="2" s="1"/>
  <c r="P636" i="2"/>
  <c r="M636" i="2"/>
  <c r="H636" i="2"/>
  <c r="G636" i="2"/>
  <c r="F636" i="2"/>
  <c r="D636" i="2"/>
  <c r="AJ635" i="2"/>
  <c r="P635" i="2"/>
  <c r="M635" i="2"/>
  <c r="H635" i="2"/>
  <c r="G635" i="2"/>
  <c r="F635" i="2"/>
  <c r="D61" i="9" s="1"/>
  <c r="D635" i="2"/>
  <c r="AH634" i="2"/>
  <c r="R634" i="2"/>
  <c r="Q634" i="2"/>
  <c r="Z634" i="2" s="1"/>
  <c r="P634" i="2"/>
  <c r="M634" i="2"/>
  <c r="H634" i="2"/>
  <c r="G634" i="2"/>
  <c r="F634" i="2"/>
  <c r="D634" i="2"/>
  <c r="AH633" i="2"/>
  <c r="R633" i="2"/>
  <c r="Q633" i="2"/>
  <c r="P633" i="2"/>
  <c r="M633" i="2"/>
  <c r="H633" i="2"/>
  <c r="G633" i="2"/>
  <c r="F633" i="2"/>
  <c r="D633" i="2"/>
  <c r="AH632" i="2"/>
  <c r="R632" i="2"/>
  <c r="Q632" i="2"/>
  <c r="AA632" i="2" s="1"/>
  <c r="P632" i="2"/>
  <c r="W632" i="2" s="1"/>
  <c r="M632" i="2"/>
  <c r="H632" i="2"/>
  <c r="G632" i="2"/>
  <c r="F632" i="2"/>
  <c r="D632" i="2"/>
  <c r="AH631" i="2"/>
  <c r="R631" i="2"/>
  <c r="Q631" i="2"/>
  <c r="AB631" i="2" s="1"/>
  <c r="P631" i="2"/>
  <c r="M631" i="2"/>
  <c r="H631" i="2"/>
  <c r="G631" i="2"/>
  <c r="F631" i="2"/>
  <c r="D631" i="2"/>
  <c r="AJ630" i="2"/>
  <c r="AN630" i="2" s="1"/>
  <c r="P630" i="2"/>
  <c r="M630" i="2"/>
  <c r="H630" i="2"/>
  <c r="G630" i="2"/>
  <c r="F630" i="2"/>
  <c r="D60" i="9" s="1"/>
  <c r="D630" i="2"/>
  <c r="B60" i="9" s="1"/>
  <c r="AH629" i="2"/>
  <c r="R629" i="2"/>
  <c r="Q629" i="2"/>
  <c r="P629" i="2"/>
  <c r="M629" i="2"/>
  <c r="H629" i="2"/>
  <c r="G629" i="2"/>
  <c r="F629" i="2"/>
  <c r="D629" i="2"/>
  <c r="AH628" i="2"/>
  <c r="X628" i="2"/>
  <c r="R628" i="2"/>
  <c r="Q628" i="2"/>
  <c r="AF628" i="2" s="1"/>
  <c r="P628" i="2"/>
  <c r="M628" i="2"/>
  <c r="H628" i="2"/>
  <c r="G628" i="2"/>
  <c r="F628" i="2"/>
  <c r="D628" i="2"/>
  <c r="AH627" i="2"/>
  <c r="R627" i="2"/>
  <c r="Q627" i="2"/>
  <c r="AG627" i="2" s="1"/>
  <c r="P627" i="2"/>
  <c r="M627" i="2"/>
  <c r="H627" i="2"/>
  <c r="G627" i="2"/>
  <c r="F627" i="2"/>
  <c r="D627" i="2"/>
  <c r="AH626" i="2"/>
  <c r="R626" i="2"/>
  <c r="Q626" i="2"/>
  <c r="Z626" i="2" s="1"/>
  <c r="P626" i="2"/>
  <c r="M626" i="2"/>
  <c r="H626" i="2"/>
  <c r="G626" i="2"/>
  <c r="F626" i="2"/>
  <c r="D626" i="2"/>
  <c r="AH625" i="2"/>
  <c r="R625" i="2"/>
  <c r="Q625" i="2"/>
  <c r="P625" i="2"/>
  <c r="M625" i="2"/>
  <c r="H625" i="2"/>
  <c r="G625" i="2"/>
  <c r="F625" i="2"/>
  <c r="D625" i="2"/>
  <c r="AH624" i="2"/>
  <c r="R624" i="2"/>
  <c r="Q624" i="2"/>
  <c r="P624" i="2"/>
  <c r="M624" i="2"/>
  <c r="H624" i="2"/>
  <c r="G624" i="2"/>
  <c r="F624" i="2"/>
  <c r="D624" i="2"/>
  <c r="AH623" i="2"/>
  <c r="AC623" i="2"/>
  <c r="R623" i="2"/>
  <c r="Q623" i="2"/>
  <c r="P623" i="2"/>
  <c r="M623" i="2"/>
  <c r="H623" i="2"/>
  <c r="G623" i="2"/>
  <c r="F623" i="2"/>
  <c r="D623" i="2"/>
  <c r="AH622" i="2"/>
  <c r="AD622" i="2"/>
  <c r="R622" i="2"/>
  <c r="Q622" i="2"/>
  <c r="AB622" i="2" s="1"/>
  <c r="P622" i="2"/>
  <c r="V622" i="2" s="1"/>
  <c r="M622" i="2"/>
  <c r="H622" i="2"/>
  <c r="G622" i="2"/>
  <c r="F622" i="2"/>
  <c r="D622" i="2"/>
  <c r="AH621" i="2"/>
  <c r="R621" i="2"/>
  <c r="Q621" i="2"/>
  <c r="P621" i="2"/>
  <c r="M621" i="2"/>
  <c r="H621" i="2"/>
  <c r="G621" i="2"/>
  <c r="F621" i="2"/>
  <c r="D621" i="2"/>
  <c r="AH620" i="2"/>
  <c r="R620" i="2"/>
  <c r="Q620" i="2"/>
  <c r="AD620" i="2" s="1"/>
  <c r="P620" i="2"/>
  <c r="M620" i="2"/>
  <c r="H620" i="2"/>
  <c r="G620" i="2"/>
  <c r="F620" i="2"/>
  <c r="D620" i="2"/>
  <c r="AH619" i="2"/>
  <c r="AB619" i="2"/>
  <c r="W619" i="2"/>
  <c r="R619" i="2"/>
  <c r="Q619" i="2"/>
  <c r="P619" i="2"/>
  <c r="M619" i="2"/>
  <c r="H619" i="2"/>
  <c r="G619" i="2"/>
  <c r="F619" i="2"/>
  <c r="D619" i="2"/>
  <c r="AH618" i="2"/>
  <c r="R618" i="2"/>
  <c r="Q618" i="2"/>
  <c r="AF618" i="2" s="1"/>
  <c r="P618" i="2"/>
  <c r="M618" i="2"/>
  <c r="H618" i="2"/>
  <c r="G618" i="2"/>
  <c r="F618" i="2"/>
  <c r="D618" i="2"/>
  <c r="AH617" i="2"/>
  <c r="R617" i="2"/>
  <c r="Q617" i="2"/>
  <c r="P617" i="2"/>
  <c r="M617" i="2"/>
  <c r="H617" i="2"/>
  <c r="G617" i="2"/>
  <c r="F617" i="2"/>
  <c r="D617" i="2"/>
  <c r="AH616" i="2"/>
  <c r="R616" i="2"/>
  <c r="Q616" i="2"/>
  <c r="AG616" i="2" s="1"/>
  <c r="P616" i="2"/>
  <c r="M616" i="2"/>
  <c r="H616" i="2"/>
  <c r="G616" i="2"/>
  <c r="F616" i="2"/>
  <c r="D616" i="2"/>
  <c r="AH615" i="2"/>
  <c r="R615" i="2"/>
  <c r="Q615" i="2"/>
  <c r="AA615" i="2" s="1"/>
  <c r="P615" i="2"/>
  <c r="M615" i="2"/>
  <c r="H615" i="2"/>
  <c r="G615" i="2"/>
  <c r="F615" i="2"/>
  <c r="D615" i="2"/>
  <c r="AH614" i="2"/>
  <c r="R614" i="2"/>
  <c r="Q614" i="2"/>
  <c r="AB614" i="2" s="1"/>
  <c r="P614" i="2"/>
  <c r="M614" i="2"/>
  <c r="H614" i="2"/>
  <c r="G614" i="2"/>
  <c r="F614" i="2"/>
  <c r="D614" i="2"/>
  <c r="AH613" i="2"/>
  <c r="R613" i="2"/>
  <c r="Q613" i="2"/>
  <c r="AA613" i="2" s="1"/>
  <c r="P613" i="2"/>
  <c r="M613" i="2"/>
  <c r="H613" i="2"/>
  <c r="G613" i="2"/>
  <c r="F613" i="2"/>
  <c r="D613" i="2"/>
  <c r="AH612" i="2"/>
  <c r="R612" i="2"/>
  <c r="Q612" i="2"/>
  <c r="AB612" i="2" s="1"/>
  <c r="P612" i="2"/>
  <c r="M612" i="2"/>
  <c r="H612" i="2"/>
  <c r="G612" i="2"/>
  <c r="F612" i="2"/>
  <c r="D612" i="2"/>
  <c r="AH611" i="2"/>
  <c r="R611" i="2"/>
  <c r="Q611" i="2"/>
  <c r="AD611" i="2" s="1"/>
  <c r="P611" i="2"/>
  <c r="AE611" i="2" s="1"/>
  <c r="M611" i="2"/>
  <c r="H611" i="2"/>
  <c r="G611" i="2"/>
  <c r="F611" i="2"/>
  <c r="D611" i="2"/>
  <c r="AH610" i="2"/>
  <c r="R610" i="2"/>
  <c r="Q610" i="2"/>
  <c r="P610" i="2"/>
  <c r="M610" i="2"/>
  <c r="H610" i="2"/>
  <c r="G610" i="2"/>
  <c r="F610" i="2"/>
  <c r="D610" i="2"/>
  <c r="AH609" i="2"/>
  <c r="Y609" i="2"/>
  <c r="R609" i="2"/>
  <c r="Q609" i="2"/>
  <c r="P609" i="2"/>
  <c r="M609" i="2"/>
  <c r="H609" i="2"/>
  <c r="G609" i="2"/>
  <c r="F609" i="2"/>
  <c r="D609" i="2"/>
  <c r="AH608" i="2"/>
  <c r="R608" i="2"/>
  <c r="Q608" i="2"/>
  <c r="P608" i="2"/>
  <c r="M608" i="2"/>
  <c r="H608" i="2"/>
  <c r="G608" i="2"/>
  <c r="F608" i="2"/>
  <c r="D608" i="2"/>
  <c r="AH607" i="2"/>
  <c r="AB607" i="2"/>
  <c r="AA607" i="2"/>
  <c r="R607" i="2"/>
  <c r="Q607" i="2"/>
  <c r="Z607" i="2" s="1"/>
  <c r="P607" i="2"/>
  <c r="M607" i="2"/>
  <c r="H607" i="2"/>
  <c r="G607" i="2"/>
  <c r="F607" i="2"/>
  <c r="D607" i="2"/>
  <c r="AH606" i="2"/>
  <c r="R606" i="2"/>
  <c r="Q606" i="2"/>
  <c r="P606" i="2"/>
  <c r="M606" i="2"/>
  <c r="H606" i="2"/>
  <c r="G606" i="2"/>
  <c r="F606" i="2"/>
  <c r="D606" i="2"/>
  <c r="AH605" i="2"/>
  <c r="R605" i="2"/>
  <c r="Q605" i="2"/>
  <c r="P605" i="2"/>
  <c r="M605" i="2"/>
  <c r="H605" i="2"/>
  <c r="G605" i="2"/>
  <c r="F605" i="2"/>
  <c r="D605" i="2"/>
  <c r="AH604" i="2"/>
  <c r="R604" i="2"/>
  <c r="Q604" i="2"/>
  <c r="AG604" i="2" s="1"/>
  <c r="P604" i="2"/>
  <c r="M604" i="2"/>
  <c r="H604" i="2"/>
  <c r="G604" i="2"/>
  <c r="F604" i="2"/>
  <c r="D604" i="2"/>
  <c r="AH603" i="2"/>
  <c r="R603" i="2"/>
  <c r="Q603" i="2"/>
  <c r="P603" i="2"/>
  <c r="M603" i="2"/>
  <c r="H603" i="2"/>
  <c r="G603" i="2"/>
  <c r="F603" i="2"/>
  <c r="D603" i="2"/>
  <c r="AH602" i="2"/>
  <c r="R602" i="2"/>
  <c r="Q602" i="2"/>
  <c r="AB602" i="2" s="1"/>
  <c r="P602" i="2"/>
  <c r="M602" i="2"/>
  <c r="H602" i="2"/>
  <c r="G602" i="2"/>
  <c r="F602" i="2"/>
  <c r="D602" i="2"/>
  <c r="AH601" i="2"/>
  <c r="AA601" i="2"/>
  <c r="R601" i="2"/>
  <c r="Q601" i="2"/>
  <c r="AG601" i="2" s="1"/>
  <c r="P601" i="2"/>
  <c r="M601" i="2"/>
  <c r="H601" i="2"/>
  <c r="G601" i="2"/>
  <c r="F601" i="2"/>
  <c r="D601" i="2"/>
  <c r="AH600" i="2"/>
  <c r="AF600" i="2"/>
  <c r="Z600" i="2"/>
  <c r="R600" i="2"/>
  <c r="Q600" i="2"/>
  <c r="AA600" i="2" s="1"/>
  <c r="P600" i="2"/>
  <c r="M600" i="2"/>
  <c r="H600" i="2"/>
  <c r="G600" i="2"/>
  <c r="F600" i="2"/>
  <c r="D600" i="2"/>
  <c r="AH599" i="2"/>
  <c r="R599" i="2"/>
  <c r="Q599" i="2"/>
  <c r="P599" i="2"/>
  <c r="M599" i="2"/>
  <c r="H599" i="2"/>
  <c r="G599" i="2"/>
  <c r="F599" i="2"/>
  <c r="D599" i="2"/>
  <c r="AH598" i="2"/>
  <c r="R598" i="2"/>
  <c r="Q598" i="2"/>
  <c r="P598" i="2"/>
  <c r="M598" i="2"/>
  <c r="H598" i="2"/>
  <c r="G598" i="2"/>
  <c r="F598" i="2"/>
  <c r="D598" i="2"/>
  <c r="AH597" i="2"/>
  <c r="X597" i="2"/>
  <c r="R597" i="2"/>
  <c r="Q597" i="2"/>
  <c r="AD597" i="2" s="1"/>
  <c r="P597" i="2"/>
  <c r="M597" i="2"/>
  <c r="H597" i="2"/>
  <c r="G597" i="2"/>
  <c r="F597" i="2"/>
  <c r="D597" i="2"/>
  <c r="AH596" i="2"/>
  <c r="R596" i="2"/>
  <c r="Q596" i="2"/>
  <c r="P596" i="2"/>
  <c r="M596" i="2"/>
  <c r="H596" i="2"/>
  <c r="G596" i="2"/>
  <c r="F596" i="2"/>
  <c r="D596" i="2"/>
  <c r="AH595" i="2"/>
  <c r="R595" i="2"/>
  <c r="Q595" i="2"/>
  <c r="P595" i="2"/>
  <c r="M595" i="2"/>
  <c r="H595" i="2"/>
  <c r="G595" i="2"/>
  <c r="F595" i="2"/>
  <c r="D595" i="2"/>
  <c r="AH594" i="2"/>
  <c r="R594" i="2"/>
  <c r="Q594" i="2"/>
  <c r="P594" i="2"/>
  <c r="M594" i="2"/>
  <c r="H594" i="2"/>
  <c r="G594" i="2"/>
  <c r="F594" i="2"/>
  <c r="D594" i="2"/>
  <c r="AH593" i="2"/>
  <c r="R593" i="2"/>
  <c r="Q593" i="2"/>
  <c r="P593" i="2"/>
  <c r="M593" i="2"/>
  <c r="H593" i="2"/>
  <c r="G593" i="2"/>
  <c r="F593" i="2"/>
  <c r="D593" i="2"/>
  <c r="AH592" i="2"/>
  <c r="R592" i="2"/>
  <c r="Q592" i="2"/>
  <c r="Y592" i="2" s="1"/>
  <c r="P592" i="2"/>
  <c r="M592" i="2"/>
  <c r="H592" i="2"/>
  <c r="G592" i="2"/>
  <c r="F592" i="2"/>
  <c r="D592" i="2"/>
  <c r="AJ591" i="2"/>
  <c r="AN591" i="2" s="1"/>
  <c r="P591" i="2"/>
  <c r="AO591" i="2" s="1"/>
  <c r="M591" i="2"/>
  <c r="H591" i="2"/>
  <c r="G591" i="2"/>
  <c r="F591" i="2"/>
  <c r="D59" i="9" s="1"/>
  <c r="D591" i="2"/>
  <c r="B59" i="9" s="1"/>
  <c r="AH590" i="2"/>
  <c r="R590" i="2"/>
  <c r="Q590" i="2"/>
  <c r="AD590" i="2" s="1"/>
  <c r="P590" i="2"/>
  <c r="M590" i="2"/>
  <c r="H590" i="2"/>
  <c r="G590" i="2"/>
  <c r="F590" i="2"/>
  <c r="D590" i="2"/>
  <c r="AH589" i="2"/>
  <c r="R589" i="2"/>
  <c r="Q589" i="2"/>
  <c r="P589" i="2"/>
  <c r="M589" i="2"/>
  <c r="H589" i="2"/>
  <c r="G589" i="2"/>
  <c r="F589" i="2"/>
  <c r="D589" i="2"/>
  <c r="AH588" i="2"/>
  <c r="R588" i="2"/>
  <c r="Q588" i="2"/>
  <c r="P588" i="2"/>
  <c r="M588" i="2"/>
  <c r="H588" i="2"/>
  <c r="G588" i="2"/>
  <c r="F588" i="2"/>
  <c r="D588" i="2"/>
  <c r="AH587" i="2"/>
  <c r="R587" i="2"/>
  <c r="Q587" i="2"/>
  <c r="Z587" i="2" s="1"/>
  <c r="P587" i="2"/>
  <c r="M587" i="2"/>
  <c r="H587" i="2"/>
  <c r="G587" i="2"/>
  <c r="F587" i="2"/>
  <c r="D587" i="2"/>
  <c r="AH586" i="2"/>
  <c r="R586" i="2"/>
  <c r="Q586" i="2"/>
  <c r="P586" i="2"/>
  <c r="M586" i="2"/>
  <c r="H586" i="2"/>
  <c r="G586" i="2"/>
  <c r="F586" i="2"/>
  <c r="D586" i="2"/>
  <c r="AJ585" i="2"/>
  <c r="P585" i="2"/>
  <c r="M585" i="2"/>
  <c r="H585" i="2"/>
  <c r="G585" i="2"/>
  <c r="F585" i="2"/>
  <c r="D58" i="9" s="1"/>
  <c r="D585" i="2"/>
  <c r="B58" i="9" s="1"/>
  <c r="AH584" i="2"/>
  <c r="R584" i="2"/>
  <c r="Q584" i="2"/>
  <c r="AD584" i="2" s="1"/>
  <c r="P584" i="2"/>
  <c r="M584" i="2"/>
  <c r="H584" i="2"/>
  <c r="G584" i="2"/>
  <c r="F584" i="2"/>
  <c r="D584" i="2"/>
  <c r="AJ583" i="2"/>
  <c r="AN583" i="2" s="1"/>
  <c r="P583" i="2"/>
  <c r="AP583" i="2" s="1"/>
  <c r="AR583" i="2" s="1"/>
  <c r="M583" i="2"/>
  <c r="H583" i="2"/>
  <c r="G583" i="2"/>
  <c r="F583" i="2"/>
  <c r="D57" i="9" s="1"/>
  <c r="D583" i="2"/>
  <c r="B57" i="9" s="1"/>
  <c r="AH582" i="2"/>
  <c r="R582" i="2"/>
  <c r="Q582" i="2"/>
  <c r="P582" i="2"/>
  <c r="M582" i="2"/>
  <c r="H582" i="2"/>
  <c r="G582" i="2"/>
  <c r="F582" i="2"/>
  <c r="D582" i="2"/>
  <c r="AH581" i="2"/>
  <c r="AA581" i="2"/>
  <c r="R581" i="2"/>
  <c r="Q581" i="2"/>
  <c r="AG581" i="2" s="1"/>
  <c r="P581" i="2"/>
  <c r="M581" i="2"/>
  <c r="H581" i="2"/>
  <c r="G581" i="2"/>
  <c r="F581" i="2"/>
  <c r="D581" i="2"/>
  <c r="AJ580" i="2"/>
  <c r="AN580" i="2" s="1"/>
  <c r="P580" i="2"/>
  <c r="M580" i="2"/>
  <c r="H580" i="2"/>
  <c r="G580" i="2"/>
  <c r="F580" i="2"/>
  <c r="D56" i="9" s="1"/>
  <c r="D580" i="2"/>
  <c r="B56" i="9" s="1"/>
  <c r="AH579" i="2"/>
  <c r="R579" i="2"/>
  <c r="Q579" i="2"/>
  <c r="P579" i="2"/>
  <c r="M579" i="2"/>
  <c r="H579" i="2"/>
  <c r="G579" i="2"/>
  <c r="F579" i="2"/>
  <c r="D579" i="2"/>
  <c r="AH578" i="2"/>
  <c r="R578" i="2"/>
  <c r="Q578" i="2"/>
  <c r="Z578" i="2" s="1"/>
  <c r="P578" i="2"/>
  <c r="M578" i="2"/>
  <c r="H578" i="2"/>
  <c r="G578" i="2"/>
  <c r="F578" i="2"/>
  <c r="D578" i="2"/>
  <c r="AH577" i="2"/>
  <c r="R577" i="2"/>
  <c r="Q577" i="2"/>
  <c r="P577" i="2"/>
  <c r="M577" i="2"/>
  <c r="H577" i="2"/>
  <c r="G577" i="2"/>
  <c r="F577" i="2"/>
  <c r="D209" i="8" s="1"/>
  <c r="D577" i="2"/>
  <c r="B209" i="8" s="1"/>
  <c r="AH576" i="2"/>
  <c r="R576" i="2"/>
  <c r="Q576" i="2"/>
  <c r="P576" i="2"/>
  <c r="M576" i="2"/>
  <c r="H576" i="2"/>
  <c r="G576" i="2"/>
  <c r="F576" i="2"/>
  <c r="D576" i="2"/>
  <c r="AH575" i="2"/>
  <c r="R575" i="2"/>
  <c r="Q575" i="2"/>
  <c r="P575" i="2"/>
  <c r="M575" i="2"/>
  <c r="H575" i="2"/>
  <c r="G575" i="2"/>
  <c r="F575" i="2"/>
  <c r="D575" i="2"/>
  <c r="AH574" i="2"/>
  <c r="R574" i="2"/>
  <c r="Q574" i="2"/>
  <c r="AG574" i="2" s="1"/>
  <c r="P574" i="2"/>
  <c r="M574" i="2"/>
  <c r="H574" i="2"/>
  <c r="G574" i="2"/>
  <c r="F574" i="2"/>
  <c r="D574" i="2"/>
  <c r="AH573" i="2"/>
  <c r="R573" i="2"/>
  <c r="Q573" i="2"/>
  <c r="Z573" i="2" s="1"/>
  <c r="P573" i="2"/>
  <c r="M573" i="2"/>
  <c r="H573" i="2"/>
  <c r="G573" i="2"/>
  <c r="F573" i="2"/>
  <c r="D573" i="2"/>
  <c r="AH572" i="2"/>
  <c r="R572" i="2"/>
  <c r="Q572" i="2"/>
  <c r="P572" i="2"/>
  <c r="M572" i="2"/>
  <c r="H572" i="2"/>
  <c r="G572" i="2"/>
  <c r="F572" i="2"/>
  <c r="D572" i="2"/>
  <c r="AH571" i="2"/>
  <c r="R571" i="2"/>
  <c r="Q571" i="2"/>
  <c r="AA571" i="2" s="1"/>
  <c r="P571" i="2"/>
  <c r="M571" i="2"/>
  <c r="H571" i="2"/>
  <c r="G571" i="2"/>
  <c r="F571" i="2"/>
  <c r="D571" i="2"/>
  <c r="AJ570" i="2"/>
  <c r="P570" i="2"/>
  <c r="M570" i="2"/>
  <c r="H570" i="2"/>
  <c r="G570" i="2"/>
  <c r="F570" i="2"/>
  <c r="D54" i="9" s="1"/>
  <c r="D570" i="2"/>
  <c r="B54" i="9" s="1"/>
  <c r="AJ569" i="2"/>
  <c r="AN569" i="2" s="1"/>
  <c r="P569" i="2"/>
  <c r="M569" i="2"/>
  <c r="H569" i="2"/>
  <c r="G569" i="2"/>
  <c r="F569" i="2"/>
  <c r="D55" i="9" s="1"/>
  <c r="D569" i="2"/>
  <c r="B55" i="9" s="1"/>
  <c r="AH568" i="2"/>
  <c r="R568" i="2"/>
  <c r="Q568" i="2"/>
  <c r="S568" i="2" s="1"/>
  <c r="P568" i="2"/>
  <c r="M568" i="2"/>
  <c r="H568" i="2"/>
  <c r="G568" i="2"/>
  <c r="F568" i="2"/>
  <c r="D568" i="2"/>
  <c r="AH567" i="2"/>
  <c r="R567" i="2"/>
  <c r="Q567" i="2"/>
  <c r="AA567" i="2" s="1"/>
  <c r="P567" i="2"/>
  <c r="M567" i="2"/>
  <c r="H567" i="2"/>
  <c r="G567" i="2"/>
  <c r="F567" i="2"/>
  <c r="D213" i="8" s="1"/>
  <c r="D567" i="2"/>
  <c r="B213" i="8" s="1"/>
  <c r="AH566" i="2"/>
  <c r="R566" i="2"/>
  <c r="Q566" i="2"/>
  <c r="AB566" i="2" s="1"/>
  <c r="P566" i="2"/>
  <c r="M566" i="2"/>
  <c r="H566" i="2"/>
  <c r="G566" i="2"/>
  <c r="F566" i="2"/>
  <c r="D566" i="2"/>
  <c r="AH565" i="2"/>
  <c r="R565" i="2"/>
  <c r="Q565" i="2"/>
  <c r="P565" i="2"/>
  <c r="M565" i="2"/>
  <c r="H565" i="2"/>
  <c r="G565" i="2"/>
  <c r="F565" i="2"/>
  <c r="D565" i="2"/>
  <c r="AH564" i="2"/>
  <c r="R564" i="2"/>
  <c r="Q564" i="2"/>
  <c r="P564" i="2"/>
  <c r="M564" i="2"/>
  <c r="H564" i="2"/>
  <c r="G564" i="2"/>
  <c r="F564" i="2"/>
  <c r="D564" i="2"/>
  <c r="AH563" i="2"/>
  <c r="R563" i="2"/>
  <c r="Q563" i="2"/>
  <c r="P563" i="2"/>
  <c r="M563" i="2"/>
  <c r="H563" i="2"/>
  <c r="G563" i="2"/>
  <c r="F563" i="2"/>
  <c r="D563" i="2"/>
  <c r="AH562" i="2"/>
  <c r="R562" i="2"/>
  <c r="Q562" i="2"/>
  <c r="P562" i="2"/>
  <c r="M562" i="2"/>
  <c r="H562" i="2"/>
  <c r="G562" i="2"/>
  <c r="F562" i="2"/>
  <c r="D562" i="2"/>
  <c r="AH561" i="2"/>
  <c r="R561" i="2"/>
  <c r="Q561" i="2"/>
  <c r="P561" i="2"/>
  <c r="M561" i="2"/>
  <c r="H561" i="2"/>
  <c r="G561" i="2"/>
  <c r="F561" i="2"/>
  <c r="D561" i="2"/>
  <c r="AH560" i="2"/>
  <c r="R560" i="2"/>
  <c r="Q560" i="2"/>
  <c r="Y560" i="2" s="1"/>
  <c r="P560" i="2"/>
  <c r="AC560" i="2" s="1"/>
  <c r="M560" i="2"/>
  <c r="H560" i="2"/>
  <c r="G560" i="2"/>
  <c r="F560" i="2"/>
  <c r="D211" i="8" s="1"/>
  <c r="D560" i="2"/>
  <c r="B211" i="8" s="1"/>
  <c r="AH559" i="2"/>
  <c r="R559" i="2"/>
  <c r="Q559" i="2"/>
  <c r="AF559" i="2" s="1"/>
  <c r="P559" i="2"/>
  <c r="W559" i="2" s="1"/>
  <c r="M559" i="2"/>
  <c r="H559" i="2"/>
  <c r="G559" i="2"/>
  <c r="F559" i="2"/>
  <c r="D559" i="2"/>
  <c r="AH558" i="2"/>
  <c r="R558" i="2"/>
  <c r="Q558" i="2"/>
  <c r="P558" i="2"/>
  <c r="M558" i="2"/>
  <c r="H558" i="2"/>
  <c r="G558" i="2"/>
  <c r="F558" i="2"/>
  <c r="D210" i="8" s="1"/>
  <c r="D558" i="2"/>
  <c r="B210" i="8" s="1"/>
  <c r="AH557" i="2"/>
  <c r="R557" i="2"/>
  <c r="Q557" i="2"/>
  <c r="P557" i="2"/>
  <c r="M557" i="2"/>
  <c r="H557" i="2"/>
  <c r="G557" i="2"/>
  <c r="F557" i="2"/>
  <c r="D557" i="2"/>
  <c r="AH556" i="2"/>
  <c r="R556" i="2"/>
  <c r="Q556" i="2"/>
  <c r="P556" i="2"/>
  <c r="M556" i="2"/>
  <c r="H556" i="2"/>
  <c r="G556" i="2"/>
  <c r="F556" i="2"/>
  <c r="D556" i="2"/>
  <c r="AH555" i="2"/>
  <c r="R555" i="2"/>
  <c r="Q555" i="2"/>
  <c r="AA555" i="2" s="1"/>
  <c r="P555" i="2"/>
  <c r="M555" i="2"/>
  <c r="H555" i="2"/>
  <c r="G555" i="2"/>
  <c r="F555" i="2"/>
  <c r="D555" i="2"/>
  <c r="AH554" i="2"/>
  <c r="R554" i="2"/>
  <c r="Q554" i="2"/>
  <c r="AG554" i="2" s="1"/>
  <c r="P554" i="2"/>
  <c r="M554" i="2"/>
  <c r="H554" i="2"/>
  <c r="G554" i="2"/>
  <c r="F554" i="2"/>
  <c r="D554" i="2"/>
  <c r="AH553" i="2"/>
  <c r="R553" i="2"/>
  <c r="Q553" i="2"/>
  <c r="P553" i="2"/>
  <c r="M553" i="2"/>
  <c r="H553" i="2"/>
  <c r="G553" i="2"/>
  <c r="F553" i="2"/>
  <c r="D553" i="2"/>
  <c r="AH552" i="2"/>
  <c r="R552" i="2"/>
  <c r="Q552" i="2"/>
  <c r="Z552" i="2" s="1"/>
  <c r="P552" i="2"/>
  <c r="M552" i="2"/>
  <c r="H552" i="2"/>
  <c r="G552" i="2"/>
  <c r="F552" i="2"/>
  <c r="D552" i="2"/>
  <c r="AH551" i="2"/>
  <c r="R551" i="2"/>
  <c r="Q551" i="2"/>
  <c r="P551" i="2"/>
  <c r="M551" i="2"/>
  <c r="H551" i="2"/>
  <c r="G551" i="2"/>
  <c r="F551" i="2"/>
  <c r="D551" i="2"/>
  <c r="AH550" i="2"/>
  <c r="R550" i="2"/>
  <c r="Q550" i="2"/>
  <c r="P550" i="2"/>
  <c r="AC550" i="2" s="1"/>
  <c r="M550" i="2"/>
  <c r="H550" i="2"/>
  <c r="G550" i="2"/>
  <c r="F550" i="2"/>
  <c r="D203" i="8" s="1"/>
  <c r="D550" i="2"/>
  <c r="AH549" i="2"/>
  <c r="R549" i="2"/>
  <c r="Q549" i="2"/>
  <c r="Y549" i="2" s="1"/>
  <c r="P549" i="2"/>
  <c r="M549" i="2"/>
  <c r="H549" i="2"/>
  <c r="G549" i="2"/>
  <c r="F549" i="2"/>
  <c r="D549" i="2"/>
  <c r="AH548" i="2"/>
  <c r="R548" i="2"/>
  <c r="Q548" i="2"/>
  <c r="AA548" i="2" s="1"/>
  <c r="P548" i="2"/>
  <c r="M548" i="2"/>
  <c r="H548" i="2"/>
  <c r="G548" i="2"/>
  <c r="F548" i="2"/>
  <c r="D548" i="2"/>
  <c r="AH547" i="2"/>
  <c r="AF547" i="2"/>
  <c r="R547" i="2"/>
  <c r="Q547" i="2"/>
  <c r="AG547" i="2" s="1"/>
  <c r="P547" i="2"/>
  <c r="M547" i="2"/>
  <c r="H547" i="2"/>
  <c r="G547" i="2"/>
  <c r="F547" i="2"/>
  <c r="D191" i="8" s="1"/>
  <c r="D547" i="2"/>
  <c r="AJ546" i="2"/>
  <c r="P546" i="2"/>
  <c r="M546" i="2"/>
  <c r="H546" i="2"/>
  <c r="G546" i="2"/>
  <c r="F546" i="2"/>
  <c r="D53" i="9" s="1"/>
  <c r="D546" i="2"/>
  <c r="AH545" i="2"/>
  <c r="AD545" i="2"/>
  <c r="R545" i="2"/>
  <c r="Q545" i="2"/>
  <c r="AF545" i="2" s="1"/>
  <c r="P545" i="2"/>
  <c r="M545" i="2"/>
  <c r="H545" i="2"/>
  <c r="G545" i="2"/>
  <c r="F545" i="2"/>
  <c r="D212" i="8" s="1"/>
  <c r="D545" i="2"/>
  <c r="AH544" i="2"/>
  <c r="R544" i="2"/>
  <c r="Q544" i="2"/>
  <c r="Z544" i="2" s="1"/>
  <c r="P544" i="2"/>
  <c r="M544" i="2"/>
  <c r="H544" i="2"/>
  <c r="G544" i="2"/>
  <c r="F544" i="2"/>
  <c r="D544" i="2"/>
  <c r="AH543" i="2"/>
  <c r="R543" i="2"/>
  <c r="Q543" i="2"/>
  <c r="P543" i="2"/>
  <c r="M543" i="2"/>
  <c r="H543" i="2"/>
  <c r="G543" i="2"/>
  <c r="F543" i="2"/>
  <c r="D543" i="2"/>
  <c r="AH542" i="2"/>
  <c r="R542" i="2"/>
  <c r="Q542" i="2"/>
  <c r="P542" i="2"/>
  <c r="M542" i="2"/>
  <c r="H542" i="2"/>
  <c r="G542" i="2"/>
  <c r="F542" i="2"/>
  <c r="D542" i="2"/>
  <c r="AH541" i="2"/>
  <c r="AD541" i="2"/>
  <c r="AC541" i="2"/>
  <c r="R541" i="2"/>
  <c r="Q541" i="2"/>
  <c r="AB541" i="2" s="1"/>
  <c r="P541" i="2"/>
  <c r="M541" i="2"/>
  <c r="H541" i="2"/>
  <c r="G541" i="2"/>
  <c r="F541" i="2"/>
  <c r="D541" i="2"/>
  <c r="AH540" i="2"/>
  <c r="R540" i="2"/>
  <c r="Q540" i="2"/>
  <c r="P540" i="2"/>
  <c r="S540" i="2" s="1"/>
  <c r="M540" i="2"/>
  <c r="H540" i="2"/>
  <c r="G540" i="2"/>
  <c r="F540" i="2"/>
  <c r="D540" i="2"/>
  <c r="AH539" i="2"/>
  <c r="R539" i="2"/>
  <c r="Q539" i="2"/>
  <c r="P539" i="2"/>
  <c r="M539" i="2"/>
  <c r="H539" i="2"/>
  <c r="G539" i="2"/>
  <c r="F539" i="2"/>
  <c r="D539" i="2"/>
  <c r="AH538" i="2"/>
  <c r="R538" i="2"/>
  <c r="Q538" i="2"/>
  <c r="P538" i="2"/>
  <c r="M538" i="2"/>
  <c r="H538" i="2"/>
  <c r="G538" i="2"/>
  <c r="F538" i="2"/>
  <c r="D538" i="2"/>
  <c r="AH537" i="2"/>
  <c r="AG537" i="2"/>
  <c r="AE537" i="2"/>
  <c r="Y537" i="2"/>
  <c r="R537" i="2"/>
  <c r="Q537" i="2"/>
  <c r="P537" i="2"/>
  <c r="V537" i="2" s="1"/>
  <c r="M537" i="2"/>
  <c r="H537" i="2"/>
  <c r="G537" i="2"/>
  <c r="F537" i="2"/>
  <c r="D201" i="8" s="1"/>
  <c r="D537" i="2"/>
  <c r="B201" i="8" s="1"/>
  <c r="AH536" i="2"/>
  <c r="R536" i="2"/>
  <c r="Q536" i="2"/>
  <c r="P536" i="2"/>
  <c r="M536" i="2"/>
  <c r="H536" i="2"/>
  <c r="G536" i="2"/>
  <c r="F536" i="2"/>
  <c r="D536" i="2"/>
  <c r="AH535" i="2"/>
  <c r="AF535" i="2"/>
  <c r="Z535" i="2"/>
  <c r="Y535" i="2"/>
  <c r="R535" i="2"/>
  <c r="Q535" i="2"/>
  <c r="AG535" i="2" s="1"/>
  <c r="P535" i="2"/>
  <c r="X535" i="2" s="1"/>
  <c r="M535" i="2"/>
  <c r="H535" i="2"/>
  <c r="G535" i="2"/>
  <c r="F535" i="2"/>
  <c r="D535" i="2"/>
  <c r="AH534" i="2"/>
  <c r="R534" i="2"/>
  <c r="Q534" i="2"/>
  <c r="AF534" i="2" s="1"/>
  <c r="P534" i="2"/>
  <c r="M534" i="2"/>
  <c r="H534" i="2"/>
  <c r="G534" i="2"/>
  <c r="F534" i="2"/>
  <c r="D534" i="2"/>
  <c r="AJ533" i="2"/>
  <c r="AK533" i="2" s="1"/>
  <c r="P533" i="2"/>
  <c r="M533" i="2"/>
  <c r="H533" i="2"/>
  <c r="G533" i="2"/>
  <c r="F533" i="2"/>
  <c r="D52" i="9" s="1"/>
  <c r="D533" i="2"/>
  <c r="B52" i="9" s="1"/>
  <c r="AH532" i="2"/>
  <c r="R532" i="2"/>
  <c r="Q532" i="2"/>
  <c r="AA532" i="2" s="1"/>
  <c r="P532" i="2"/>
  <c r="M532" i="2"/>
  <c r="H532" i="2"/>
  <c r="G532" i="2"/>
  <c r="F532" i="2"/>
  <c r="D532" i="2"/>
  <c r="AJ531" i="2"/>
  <c r="P531" i="2"/>
  <c r="M531" i="2"/>
  <c r="H531" i="2"/>
  <c r="G531" i="2"/>
  <c r="F531" i="2"/>
  <c r="D51" i="9" s="1"/>
  <c r="D531" i="2"/>
  <c r="B51" i="9" s="1"/>
  <c r="AH530" i="2"/>
  <c r="R530" i="2"/>
  <c r="Q530" i="2"/>
  <c r="AF530" i="2" s="1"/>
  <c r="P530" i="2"/>
  <c r="M530" i="2"/>
  <c r="H530" i="2"/>
  <c r="G530" i="2"/>
  <c r="F530" i="2"/>
  <c r="D530" i="2"/>
  <c r="AH529" i="2"/>
  <c r="R529" i="2"/>
  <c r="Q529" i="2"/>
  <c r="AG529" i="2" s="1"/>
  <c r="P529" i="2"/>
  <c r="M529" i="2"/>
  <c r="H529" i="2"/>
  <c r="G529" i="2"/>
  <c r="F529" i="2"/>
  <c r="D529" i="2"/>
  <c r="AH528" i="2"/>
  <c r="R528" i="2"/>
  <c r="Q528" i="2"/>
  <c r="AB528" i="2" s="1"/>
  <c r="P528" i="2"/>
  <c r="V528" i="2" s="1"/>
  <c r="M528" i="2"/>
  <c r="H528" i="2"/>
  <c r="G528" i="2"/>
  <c r="F528" i="2"/>
  <c r="D528" i="2"/>
  <c r="AJ527" i="2"/>
  <c r="P527" i="2"/>
  <c r="M527" i="2"/>
  <c r="H527" i="2"/>
  <c r="G527" i="2"/>
  <c r="F527" i="2"/>
  <c r="D50" i="9" s="1"/>
  <c r="D527" i="2"/>
  <c r="AH526" i="2"/>
  <c r="Z526" i="2"/>
  <c r="R526" i="2"/>
  <c r="Q526" i="2"/>
  <c r="AG526" i="2" s="1"/>
  <c r="P526" i="2"/>
  <c r="M526" i="2"/>
  <c r="H526" i="2"/>
  <c r="G526" i="2"/>
  <c r="F526" i="2"/>
  <c r="D195" i="8" s="1"/>
  <c r="D526" i="2"/>
  <c r="AH525" i="2"/>
  <c r="R525" i="2"/>
  <c r="Q525" i="2"/>
  <c r="AG525" i="2" s="1"/>
  <c r="P525" i="2"/>
  <c r="M525" i="2"/>
  <c r="H525" i="2"/>
  <c r="G525" i="2"/>
  <c r="F525" i="2"/>
  <c r="D192" i="8" s="1"/>
  <c r="D525" i="2"/>
  <c r="B192" i="8" s="1"/>
  <c r="AN524" i="2"/>
  <c r="AJ524" i="2"/>
  <c r="AM524" i="2" s="1"/>
  <c r="P524" i="2"/>
  <c r="M524" i="2"/>
  <c r="H524" i="2"/>
  <c r="G524" i="2"/>
  <c r="F524" i="2"/>
  <c r="D49" i="9" s="1"/>
  <c r="D524" i="2"/>
  <c r="B49" i="9" s="1"/>
  <c r="AH523" i="2"/>
  <c r="R523" i="2"/>
  <c r="Q523" i="2"/>
  <c r="P523" i="2"/>
  <c r="M523" i="2"/>
  <c r="H523" i="2"/>
  <c r="G523" i="2"/>
  <c r="F523" i="2"/>
  <c r="D178" i="8" s="1"/>
  <c r="D523" i="2"/>
  <c r="B178" i="8" s="1"/>
  <c r="AH522" i="2"/>
  <c r="R522" i="2"/>
  <c r="Q522" i="2"/>
  <c r="P522" i="2"/>
  <c r="M522" i="2"/>
  <c r="H522" i="2"/>
  <c r="G522" i="2"/>
  <c r="F522" i="2"/>
  <c r="D522" i="2"/>
  <c r="AH521" i="2"/>
  <c r="R521" i="2"/>
  <c r="Q521" i="2"/>
  <c r="AG521" i="2" s="1"/>
  <c r="P521" i="2"/>
  <c r="M521" i="2"/>
  <c r="H521" i="2"/>
  <c r="G521" i="2"/>
  <c r="F521" i="2"/>
  <c r="D521" i="2"/>
  <c r="AH520" i="2"/>
  <c r="R520" i="2"/>
  <c r="Q520" i="2"/>
  <c r="P520" i="2"/>
  <c r="M520" i="2"/>
  <c r="H520" i="2"/>
  <c r="G520" i="2"/>
  <c r="F520" i="2"/>
  <c r="D520" i="2"/>
  <c r="AH519" i="2"/>
  <c r="R519" i="2"/>
  <c r="Q519" i="2"/>
  <c r="P519" i="2"/>
  <c r="M519" i="2"/>
  <c r="H519" i="2"/>
  <c r="G519" i="2"/>
  <c r="F519" i="2"/>
  <c r="D182" i="8" s="1"/>
  <c r="D519" i="2"/>
  <c r="B182" i="8" s="1"/>
  <c r="AH518" i="2"/>
  <c r="R518" i="2"/>
  <c r="Q518" i="2"/>
  <c r="P518" i="2"/>
  <c r="M518" i="2"/>
  <c r="H518" i="2"/>
  <c r="G518" i="2"/>
  <c r="F518" i="2"/>
  <c r="D518" i="2"/>
  <c r="AH517" i="2"/>
  <c r="R517" i="2"/>
  <c r="Q517" i="2"/>
  <c r="AB517" i="2" s="1"/>
  <c r="P517" i="2"/>
  <c r="M517" i="2"/>
  <c r="H517" i="2"/>
  <c r="G517" i="2"/>
  <c r="F517" i="2"/>
  <c r="D517" i="2"/>
  <c r="AH516" i="2"/>
  <c r="R516" i="2"/>
  <c r="Q516" i="2"/>
  <c r="P516" i="2"/>
  <c r="M516" i="2"/>
  <c r="H516" i="2"/>
  <c r="G516" i="2"/>
  <c r="F516" i="2"/>
  <c r="D172" i="8" s="1"/>
  <c r="D516" i="2"/>
  <c r="AH515" i="2"/>
  <c r="R515" i="2"/>
  <c r="Q515" i="2"/>
  <c r="AA515" i="2" s="1"/>
  <c r="P515" i="2"/>
  <c r="M515" i="2"/>
  <c r="H515" i="2"/>
  <c r="G515" i="2"/>
  <c r="F515" i="2"/>
  <c r="D515" i="2"/>
  <c r="AH514" i="2"/>
  <c r="R514" i="2"/>
  <c r="Q514" i="2"/>
  <c r="P514" i="2"/>
  <c r="M514" i="2"/>
  <c r="H514" i="2"/>
  <c r="G514" i="2"/>
  <c r="F514" i="2"/>
  <c r="D514" i="2"/>
  <c r="AH513" i="2"/>
  <c r="R513" i="2"/>
  <c r="Q513" i="2"/>
  <c r="AA513" i="2" s="1"/>
  <c r="P513" i="2"/>
  <c r="M513" i="2"/>
  <c r="H513" i="2"/>
  <c r="G513" i="2"/>
  <c r="F513" i="2"/>
  <c r="D513" i="2"/>
  <c r="AH512" i="2"/>
  <c r="R512" i="2"/>
  <c r="Q512" i="2"/>
  <c r="P512" i="2"/>
  <c r="M512" i="2"/>
  <c r="H512" i="2"/>
  <c r="G512" i="2"/>
  <c r="F512" i="2"/>
  <c r="D170" i="8" s="1"/>
  <c r="D512" i="2"/>
  <c r="B170" i="8" s="1"/>
  <c r="AH511" i="2"/>
  <c r="AG511" i="2"/>
  <c r="AF511" i="2"/>
  <c r="R511" i="2"/>
  <c r="Q511" i="2"/>
  <c r="V511" i="2" s="1"/>
  <c r="P511" i="2"/>
  <c r="M511" i="2"/>
  <c r="H511" i="2"/>
  <c r="G511" i="2"/>
  <c r="F511" i="2"/>
  <c r="D204" i="8" s="1"/>
  <c r="D511" i="2"/>
  <c r="AH510" i="2"/>
  <c r="R510" i="2"/>
  <c r="Q510" i="2"/>
  <c r="AB510" i="2" s="1"/>
  <c r="P510" i="2"/>
  <c r="M510" i="2"/>
  <c r="H510" i="2"/>
  <c r="G510" i="2"/>
  <c r="F510" i="2"/>
  <c r="D190" i="8" s="1"/>
  <c r="D510" i="2"/>
  <c r="AH509" i="2"/>
  <c r="R509" i="2"/>
  <c r="Q509" i="2"/>
  <c r="AA509" i="2" s="1"/>
  <c r="P509" i="2"/>
  <c r="M509" i="2"/>
  <c r="H509" i="2"/>
  <c r="G509" i="2"/>
  <c r="F509" i="2"/>
  <c r="D509" i="2"/>
  <c r="AH508" i="2"/>
  <c r="R508" i="2"/>
  <c r="Q508" i="2"/>
  <c r="AB508" i="2" s="1"/>
  <c r="P508" i="2"/>
  <c r="M508" i="2"/>
  <c r="H508" i="2"/>
  <c r="G508" i="2"/>
  <c r="F508" i="2"/>
  <c r="D183" i="8" s="1"/>
  <c r="D508" i="2"/>
  <c r="B183" i="8" s="1"/>
  <c r="AH507" i="2"/>
  <c r="R507" i="2"/>
  <c r="Q507" i="2"/>
  <c r="Z507" i="2" s="1"/>
  <c r="P507" i="2"/>
  <c r="M507" i="2"/>
  <c r="H507" i="2"/>
  <c r="G507" i="2"/>
  <c r="F507" i="2"/>
  <c r="D507" i="2"/>
  <c r="AH506" i="2"/>
  <c r="R506" i="2"/>
  <c r="Q506" i="2"/>
  <c r="AB506" i="2" s="1"/>
  <c r="P506" i="2"/>
  <c r="M506" i="2"/>
  <c r="H506" i="2"/>
  <c r="G506" i="2"/>
  <c r="F506" i="2"/>
  <c r="D196" i="8" s="1"/>
  <c r="D506" i="2"/>
  <c r="AH505" i="2"/>
  <c r="R505" i="2"/>
  <c r="Q505" i="2"/>
  <c r="Z505" i="2" s="1"/>
  <c r="P505" i="2"/>
  <c r="M505" i="2"/>
  <c r="H505" i="2"/>
  <c r="G505" i="2"/>
  <c r="F505" i="2"/>
  <c r="D206" i="8" s="1"/>
  <c r="D505" i="2"/>
  <c r="B206" i="8" s="1"/>
  <c r="AH504" i="2"/>
  <c r="R504" i="2"/>
  <c r="Q504" i="2"/>
  <c r="P504" i="2"/>
  <c r="M504" i="2"/>
  <c r="H504" i="2"/>
  <c r="G504" i="2"/>
  <c r="F504" i="2"/>
  <c r="D173" i="8" s="1"/>
  <c r="D504" i="2"/>
  <c r="B173" i="8" s="1"/>
  <c r="AH503" i="2"/>
  <c r="R503" i="2"/>
  <c r="Q503" i="2"/>
  <c r="P503" i="2"/>
  <c r="AE503" i="2" s="1"/>
  <c r="M503" i="2"/>
  <c r="H503" i="2"/>
  <c r="G503" i="2"/>
  <c r="F503" i="2"/>
  <c r="D503" i="2"/>
  <c r="AH502" i="2"/>
  <c r="R502" i="2"/>
  <c r="Q502" i="2"/>
  <c r="AB502" i="2" s="1"/>
  <c r="P502" i="2"/>
  <c r="M502" i="2"/>
  <c r="H502" i="2"/>
  <c r="G502" i="2"/>
  <c r="F502" i="2"/>
  <c r="D502" i="2"/>
  <c r="AH501" i="2"/>
  <c r="R501" i="2"/>
  <c r="Q501" i="2"/>
  <c r="AG501" i="2" s="1"/>
  <c r="P501" i="2"/>
  <c r="AE501" i="2" s="1"/>
  <c r="M501" i="2"/>
  <c r="H501" i="2"/>
  <c r="G501" i="2"/>
  <c r="F501" i="2"/>
  <c r="D501" i="2"/>
  <c r="AJ500" i="2"/>
  <c r="P500" i="2"/>
  <c r="M500" i="2"/>
  <c r="H500" i="2"/>
  <c r="G500" i="2"/>
  <c r="F500" i="2"/>
  <c r="D48" i="9" s="1"/>
  <c r="D500" i="2"/>
  <c r="B48" i="9" s="1"/>
  <c r="AH499" i="2"/>
  <c r="R499" i="2"/>
  <c r="Q499" i="2"/>
  <c r="AB499" i="2" s="1"/>
  <c r="P499" i="2"/>
  <c r="M499" i="2"/>
  <c r="H499" i="2"/>
  <c r="G499" i="2"/>
  <c r="F499" i="2"/>
  <c r="D499" i="2"/>
  <c r="AH498" i="2"/>
  <c r="R498" i="2"/>
  <c r="Q498" i="2"/>
  <c r="Z498" i="2" s="1"/>
  <c r="P498" i="2"/>
  <c r="M498" i="2"/>
  <c r="H498" i="2"/>
  <c r="G498" i="2"/>
  <c r="F498" i="2"/>
  <c r="D179" i="8" s="1"/>
  <c r="D498" i="2"/>
  <c r="AH497" i="2"/>
  <c r="R497" i="2"/>
  <c r="Q497" i="2"/>
  <c r="P497" i="2"/>
  <c r="M497" i="2"/>
  <c r="H497" i="2"/>
  <c r="G497" i="2"/>
  <c r="F497" i="2"/>
  <c r="D205" i="8" s="1"/>
  <c r="D497" i="2"/>
  <c r="AH496" i="2"/>
  <c r="R496" i="2"/>
  <c r="Q496" i="2"/>
  <c r="P496" i="2"/>
  <c r="M496" i="2"/>
  <c r="H496" i="2"/>
  <c r="G496" i="2"/>
  <c r="F496" i="2"/>
  <c r="D496" i="2"/>
  <c r="AH495" i="2"/>
  <c r="AB495" i="2"/>
  <c r="R495" i="2"/>
  <c r="Q495" i="2"/>
  <c r="P495" i="2"/>
  <c r="V495" i="2" s="1"/>
  <c r="M495" i="2"/>
  <c r="H495" i="2"/>
  <c r="G495" i="2"/>
  <c r="F495" i="2"/>
  <c r="D495" i="2"/>
  <c r="AH494" i="2"/>
  <c r="R494" i="2"/>
  <c r="Q494" i="2"/>
  <c r="AF494" i="2" s="1"/>
  <c r="P494" i="2"/>
  <c r="M494" i="2"/>
  <c r="H494" i="2"/>
  <c r="G494" i="2"/>
  <c r="F494" i="2"/>
  <c r="D207" i="8" s="1"/>
  <c r="D494" i="2"/>
  <c r="B207" i="8" s="1"/>
  <c r="AH493" i="2"/>
  <c r="R493" i="2"/>
  <c r="Q493" i="2"/>
  <c r="AB493" i="2" s="1"/>
  <c r="P493" i="2"/>
  <c r="M493" i="2"/>
  <c r="H493" i="2"/>
  <c r="G493" i="2"/>
  <c r="F493" i="2"/>
  <c r="D151" i="8" s="1"/>
  <c r="D493" i="2"/>
  <c r="B151" i="8" s="1"/>
  <c r="AH492" i="2"/>
  <c r="R492" i="2"/>
  <c r="Q492" i="2"/>
  <c r="Z492" i="2" s="1"/>
  <c r="P492" i="2"/>
  <c r="M492" i="2"/>
  <c r="H492" i="2"/>
  <c r="G492" i="2"/>
  <c r="F492" i="2"/>
  <c r="D198" i="8" s="1"/>
  <c r="D492" i="2"/>
  <c r="B198" i="8" s="1"/>
  <c r="AH491" i="2"/>
  <c r="R491" i="2"/>
  <c r="Q491" i="2"/>
  <c r="P491" i="2"/>
  <c r="M491" i="2"/>
  <c r="H491" i="2"/>
  <c r="G491" i="2"/>
  <c r="F491" i="2"/>
  <c r="D491" i="2"/>
  <c r="AH490" i="2"/>
  <c r="R490" i="2"/>
  <c r="Q490" i="2"/>
  <c r="AF490" i="2" s="1"/>
  <c r="P490" i="2"/>
  <c r="M490" i="2"/>
  <c r="H490" i="2"/>
  <c r="G490" i="2"/>
  <c r="F490" i="2"/>
  <c r="D169" i="8" s="1"/>
  <c r="D490" i="2"/>
  <c r="B169" i="8" s="1"/>
  <c r="AH489" i="2"/>
  <c r="R489" i="2"/>
  <c r="Q489" i="2"/>
  <c r="AF489" i="2" s="1"/>
  <c r="P489" i="2"/>
  <c r="X489" i="2" s="1"/>
  <c r="M489" i="2"/>
  <c r="H489" i="2"/>
  <c r="G489" i="2"/>
  <c r="F489" i="2"/>
  <c r="D194" i="8" s="1"/>
  <c r="D489" i="2"/>
  <c r="B194" i="8" s="1"/>
  <c r="AJ488" i="2"/>
  <c r="P488" i="2"/>
  <c r="M488" i="2"/>
  <c r="H488" i="2"/>
  <c r="G488" i="2"/>
  <c r="F488" i="2"/>
  <c r="D47" i="9" s="1"/>
  <c r="D488" i="2"/>
  <c r="B47" i="9" s="1"/>
  <c r="AH487" i="2"/>
  <c r="R487" i="2"/>
  <c r="Q487" i="2"/>
  <c r="AB487" i="2" s="1"/>
  <c r="P487" i="2"/>
  <c r="M487" i="2"/>
  <c r="H487" i="2"/>
  <c r="G487" i="2"/>
  <c r="F487" i="2"/>
  <c r="D487" i="2"/>
  <c r="AH486" i="2"/>
  <c r="R486" i="2"/>
  <c r="Q486" i="2"/>
  <c r="P486" i="2"/>
  <c r="M486" i="2"/>
  <c r="H486" i="2"/>
  <c r="G486" i="2"/>
  <c r="F486" i="2"/>
  <c r="D486" i="2"/>
  <c r="AH485" i="2"/>
  <c r="R485" i="2"/>
  <c r="Q485" i="2"/>
  <c r="P485" i="2"/>
  <c r="M485" i="2"/>
  <c r="H485" i="2"/>
  <c r="G485" i="2"/>
  <c r="F485" i="2"/>
  <c r="D199" i="8" s="1"/>
  <c r="D485" i="2"/>
  <c r="B199" i="8" s="1"/>
  <c r="AH484" i="2"/>
  <c r="AE484" i="2"/>
  <c r="Y484" i="2"/>
  <c r="W484" i="2"/>
  <c r="R484" i="2"/>
  <c r="Q484" i="2"/>
  <c r="AD484" i="2" s="1"/>
  <c r="P484" i="2"/>
  <c r="M484" i="2"/>
  <c r="H484" i="2"/>
  <c r="G484" i="2"/>
  <c r="F484" i="2"/>
  <c r="D208" i="8" s="1"/>
  <c r="D484" i="2"/>
  <c r="B208" i="8" s="1"/>
  <c r="AH483" i="2"/>
  <c r="AG483" i="2"/>
  <c r="R483" i="2"/>
  <c r="Q483" i="2"/>
  <c r="AF483" i="2" s="1"/>
  <c r="P483" i="2"/>
  <c r="T483" i="2" s="1"/>
  <c r="M483" i="2"/>
  <c r="H483" i="2"/>
  <c r="G483" i="2"/>
  <c r="F483" i="2"/>
  <c r="D483" i="2"/>
  <c r="AH482" i="2"/>
  <c r="AG482" i="2"/>
  <c r="R482" i="2"/>
  <c r="Q482" i="2"/>
  <c r="AB482" i="2" s="1"/>
  <c r="P482" i="2"/>
  <c r="W482" i="2" s="1"/>
  <c r="M482" i="2"/>
  <c r="H482" i="2"/>
  <c r="G482" i="2"/>
  <c r="F482" i="2"/>
  <c r="D482" i="2"/>
  <c r="AJ481" i="2"/>
  <c r="P481" i="2"/>
  <c r="M481" i="2"/>
  <c r="H481" i="2"/>
  <c r="G481" i="2"/>
  <c r="F481" i="2"/>
  <c r="D46" i="9" s="1"/>
  <c r="D481" i="2"/>
  <c r="B46" i="9" s="1"/>
  <c r="AH480" i="2"/>
  <c r="R480" i="2"/>
  <c r="Q480" i="2"/>
  <c r="Z480" i="2" s="1"/>
  <c r="P480" i="2"/>
  <c r="M480" i="2"/>
  <c r="H480" i="2"/>
  <c r="G480" i="2"/>
  <c r="F480" i="2"/>
  <c r="D480" i="2"/>
  <c r="AH479" i="2"/>
  <c r="R479" i="2"/>
  <c r="Q479" i="2"/>
  <c r="P479" i="2"/>
  <c r="M479" i="2"/>
  <c r="H479" i="2"/>
  <c r="G479" i="2"/>
  <c r="F479" i="2"/>
  <c r="D479" i="2"/>
  <c r="AH478" i="2"/>
  <c r="R478" i="2"/>
  <c r="Q478" i="2"/>
  <c r="P478" i="2"/>
  <c r="M478" i="2"/>
  <c r="H478" i="2"/>
  <c r="G478" i="2"/>
  <c r="F478" i="2"/>
  <c r="D478" i="2"/>
  <c r="AJ477" i="2"/>
  <c r="P477" i="2"/>
  <c r="M477" i="2"/>
  <c r="H477" i="2"/>
  <c r="G477" i="2"/>
  <c r="F477" i="2"/>
  <c r="D45" i="9" s="1"/>
  <c r="D477" i="2"/>
  <c r="B45" i="9" s="1"/>
  <c r="AH476" i="2"/>
  <c r="R476" i="2"/>
  <c r="Q476" i="2"/>
  <c r="AA476" i="2" s="1"/>
  <c r="P476" i="2"/>
  <c r="M476" i="2"/>
  <c r="H476" i="2"/>
  <c r="G476" i="2"/>
  <c r="F476" i="2"/>
  <c r="D188" i="8" s="1"/>
  <c r="D476" i="2"/>
  <c r="AJ475" i="2"/>
  <c r="P475" i="2"/>
  <c r="M475" i="2"/>
  <c r="H475" i="2"/>
  <c r="G475" i="2"/>
  <c r="F475" i="2"/>
  <c r="D44" i="9" s="1"/>
  <c r="D475" i="2"/>
  <c r="B44" i="9" s="1"/>
  <c r="AH474" i="2"/>
  <c r="R474" i="2"/>
  <c r="Q474" i="2"/>
  <c r="Y474" i="2" s="1"/>
  <c r="P474" i="2"/>
  <c r="M474" i="2"/>
  <c r="H474" i="2"/>
  <c r="G474" i="2"/>
  <c r="F474" i="2"/>
  <c r="D474" i="2"/>
  <c r="AH473" i="2"/>
  <c r="R473" i="2"/>
  <c r="Q473" i="2"/>
  <c r="Z473" i="2" s="1"/>
  <c r="P473" i="2"/>
  <c r="M473" i="2"/>
  <c r="H473" i="2"/>
  <c r="G473" i="2"/>
  <c r="F473" i="2"/>
  <c r="D473" i="2"/>
  <c r="AH472" i="2"/>
  <c r="R472" i="2"/>
  <c r="Q472" i="2"/>
  <c r="Y472" i="2" s="1"/>
  <c r="P472" i="2"/>
  <c r="M472" i="2"/>
  <c r="H472" i="2"/>
  <c r="G472" i="2"/>
  <c r="F472" i="2"/>
  <c r="D186" i="8" s="1"/>
  <c r="D472" i="2"/>
  <c r="AH471" i="2"/>
  <c r="R471" i="2"/>
  <c r="Q471" i="2"/>
  <c r="P471" i="2"/>
  <c r="X471" i="2" s="1"/>
  <c r="M471" i="2"/>
  <c r="H471" i="2"/>
  <c r="G471" i="2"/>
  <c r="F471" i="2"/>
  <c r="D471" i="2"/>
  <c r="AH470" i="2"/>
  <c r="R470" i="2"/>
  <c r="Q470" i="2"/>
  <c r="P470" i="2"/>
  <c r="M470" i="2"/>
  <c r="H470" i="2"/>
  <c r="G470" i="2"/>
  <c r="F470" i="2"/>
  <c r="D193" i="8" s="1"/>
  <c r="D470" i="2"/>
  <c r="B193" i="8" s="1"/>
  <c r="AH469" i="2"/>
  <c r="R469" i="2"/>
  <c r="Q469" i="2"/>
  <c r="P469" i="2"/>
  <c r="M469" i="2"/>
  <c r="H469" i="2"/>
  <c r="G469" i="2"/>
  <c r="F469" i="2"/>
  <c r="D469" i="2"/>
  <c r="AH468" i="2"/>
  <c r="R468" i="2"/>
  <c r="Q468" i="2"/>
  <c r="AG468" i="2" s="1"/>
  <c r="P468" i="2"/>
  <c r="M468" i="2"/>
  <c r="H468" i="2"/>
  <c r="G468" i="2"/>
  <c r="F468" i="2"/>
  <c r="D468" i="2"/>
  <c r="AH467" i="2"/>
  <c r="R467" i="2"/>
  <c r="Q467" i="2"/>
  <c r="P467" i="2"/>
  <c r="M467" i="2"/>
  <c r="H467" i="2"/>
  <c r="G467" i="2"/>
  <c r="F467" i="2"/>
  <c r="D467" i="2"/>
  <c r="AH466" i="2"/>
  <c r="R466" i="2"/>
  <c r="Q466" i="2"/>
  <c r="P466" i="2"/>
  <c r="M466" i="2"/>
  <c r="H466" i="2"/>
  <c r="G466" i="2"/>
  <c r="F466" i="2"/>
  <c r="D158" i="8" s="1"/>
  <c r="D466" i="2"/>
  <c r="B158" i="8" s="1"/>
  <c r="AH465" i="2"/>
  <c r="R465" i="2"/>
  <c r="Q465" i="2"/>
  <c r="Z465" i="2" s="1"/>
  <c r="P465" i="2"/>
  <c r="M465" i="2"/>
  <c r="H465" i="2"/>
  <c r="G465" i="2"/>
  <c r="F465" i="2"/>
  <c r="D163" i="8" s="1"/>
  <c r="D465" i="2"/>
  <c r="B163" i="8" s="1"/>
  <c r="AH464" i="2"/>
  <c r="R464" i="2"/>
  <c r="Q464" i="2"/>
  <c r="P464" i="2"/>
  <c r="M464" i="2"/>
  <c r="H464" i="2"/>
  <c r="G464" i="2"/>
  <c r="F464" i="2"/>
  <c r="D464" i="2"/>
  <c r="AH463" i="2"/>
  <c r="R463" i="2"/>
  <c r="Q463" i="2"/>
  <c r="AD463" i="2" s="1"/>
  <c r="P463" i="2"/>
  <c r="M463" i="2"/>
  <c r="H463" i="2"/>
  <c r="G463" i="2"/>
  <c r="F463" i="2"/>
  <c r="D463" i="2"/>
  <c r="AH462" i="2"/>
  <c r="R462" i="2"/>
  <c r="Q462" i="2"/>
  <c r="AG462" i="2" s="1"/>
  <c r="P462" i="2"/>
  <c r="M462" i="2"/>
  <c r="H462" i="2"/>
  <c r="G462" i="2"/>
  <c r="F462" i="2"/>
  <c r="D462" i="2"/>
  <c r="AH461" i="2"/>
  <c r="R461" i="2"/>
  <c r="Q461" i="2"/>
  <c r="P461" i="2"/>
  <c r="M461" i="2"/>
  <c r="H461" i="2"/>
  <c r="G461" i="2"/>
  <c r="F461" i="2"/>
  <c r="D461" i="2"/>
  <c r="AH460" i="2"/>
  <c r="R460" i="2"/>
  <c r="Q460" i="2"/>
  <c r="Y460" i="2" s="1"/>
  <c r="P460" i="2"/>
  <c r="M460" i="2"/>
  <c r="H460" i="2"/>
  <c r="G460" i="2"/>
  <c r="F460" i="2"/>
  <c r="D165" i="8" s="1"/>
  <c r="D460" i="2"/>
  <c r="B165" i="8" s="1"/>
  <c r="AH459" i="2"/>
  <c r="R459" i="2"/>
  <c r="Q459" i="2"/>
  <c r="P459" i="2"/>
  <c r="M459" i="2"/>
  <c r="H459" i="2"/>
  <c r="G459" i="2"/>
  <c r="F459" i="2"/>
  <c r="D459" i="2"/>
  <c r="AH458" i="2"/>
  <c r="R458" i="2"/>
  <c r="Q458" i="2"/>
  <c r="P458" i="2"/>
  <c r="M458" i="2"/>
  <c r="H458" i="2"/>
  <c r="G458" i="2"/>
  <c r="F458" i="2"/>
  <c r="D200" i="8" s="1"/>
  <c r="D458" i="2"/>
  <c r="AH457" i="2"/>
  <c r="R457" i="2"/>
  <c r="Q457" i="2"/>
  <c r="P457" i="2"/>
  <c r="M457" i="2"/>
  <c r="H457" i="2"/>
  <c r="G457" i="2"/>
  <c r="F457" i="2"/>
  <c r="D189" i="8" s="1"/>
  <c r="D457" i="2"/>
  <c r="B189" i="8" s="1"/>
  <c r="AH456" i="2"/>
  <c r="R456" i="2"/>
  <c r="Q456" i="2"/>
  <c r="P456" i="2"/>
  <c r="M456" i="2"/>
  <c r="H456" i="2"/>
  <c r="G456" i="2"/>
  <c r="F456" i="2"/>
  <c r="D187" i="8" s="1"/>
  <c r="D456" i="2"/>
  <c r="B187" i="8" s="1"/>
  <c r="AJ455" i="2"/>
  <c r="P455" i="2"/>
  <c r="M455" i="2"/>
  <c r="H455" i="2"/>
  <c r="G455" i="2"/>
  <c r="F455" i="2"/>
  <c r="D43" i="9" s="1"/>
  <c r="D455" i="2"/>
  <c r="B43" i="9" s="1"/>
  <c r="AH454" i="2"/>
  <c r="R454" i="2"/>
  <c r="Q454" i="2"/>
  <c r="P454" i="2"/>
  <c r="AE454" i="2" s="1"/>
  <c r="M454" i="2"/>
  <c r="H454" i="2"/>
  <c r="G454" i="2"/>
  <c r="F454" i="2"/>
  <c r="D454" i="2"/>
  <c r="AH453" i="2"/>
  <c r="R453" i="2"/>
  <c r="Q453" i="2"/>
  <c r="P453" i="2"/>
  <c r="AC453" i="2" s="1"/>
  <c r="M453" i="2"/>
  <c r="H453" i="2"/>
  <c r="G453" i="2"/>
  <c r="F453" i="2"/>
  <c r="D148" i="8" s="1"/>
  <c r="D453" i="2"/>
  <c r="B148" i="8" s="1"/>
  <c r="AH452" i="2"/>
  <c r="R452" i="2"/>
  <c r="Q452" i="2"/>
  <c r="AG452" i="2" s="1"/>
  <c r="P452" i="2"/>
  <c r="M452" i="2"/>
  <c r="H452" i="2"/>
  <c r="G452" i="2"/>
  <c r="F452" i="2"/>
  <c r="D157" i="8" s="1"/>
  <c r="D452" i="2"/>
  <c r="B157" i="8" s="1"/>
  <c r="AH451" i="2"/>
  <c r="R451" i="2"/>
  <c r="Q451" i="2"/>
  <c r="P451" i="2"/>
  <c r="M451" i="2"/>
  <c r="H451" i="2"/>
  <c r="G451" i="2"/>
  <c r="F451" i="2"/>
  <c r="D202" i="8" s="1"/>
  <c r="D451" i="2"/>
  <c r="B202" i="8" s="1"/>
  <c r="AJ450" i="2"/>
  <c r="P450" i="2"/>
  <c r="M450" i="2"/>
  <c r="H450" i="2"/>
  <c r="G450" i="2"/>
  <c r="F450" i="2"/>
  <c r="D42" i="9" s="1"/>
  <c r="D450" i="2"/>
  <c r="AH449" i="2"/>
  <c r="R449" i="2"/>
  <c r="Q449" i="2"/>
  <c r="Z449" i="2" s="1"/>
  <c r="P449" i="2"/>
  <c r="M449" i="2"/>
  <c r="H449" i="2"/>
  <c r="G449" i="2"/>
  <c r="F449" i="2"/>
  <c r="D185" i="8" s="1"/>
  <c r="D449" i="2"/>
  <c r="B185" i="8" s="1"/>
  <c r="AH448" i="2"/>
  <c r="R448" i="2"/>
  <c r="Q448" i="2"/>
  <c r="AB448" i="2" s="1"/>
  <c r="P448" i="2"/>
  <c r="M448" i="2"/>
  <c r="H448" i="2"/>
  <c r="G448" i="2"/>
  <c r="F448" i="2"/>
  <c r="D448" i="2"/>
  <c r="AH447" i="2"/>
  <c r="AD447" i="2"/>
  <c r="AB447" i="2"/>
  <c r="R447" i="2"/>
  <c r="Q447" i="2"/>
  <c r="Z447" i="2" s="1"/>
  <c r="P447" i="2"/>
  <c r="AC447" i="2" s="1"/>
  <c r="M447" i="2"/>
  <c r="H447" i="2"/>
  <c r="G447" i="2"/>
  <c r="F447" i="2"/>
  <c r="D184" i="8" s="1"/>
  <c r="D447" i="2"/>
  <c r="B184" i="8" s="1"/>
  <c r="AH446" i="2"/>
  <c r="R446" i="2"/>
  <c r="Q446" i="2"/>
  <c r="AB446" i="2" s="1"/>
  <c r="P446" i="2"/>
  <c r="M446" i="2"/>
  <c r="H446" i="2"/>
  <c r="G446" i="2"/>
  <c r="F446" i="2"/>
  <c r="D446" i="2"/>
  <c r="AH445" i="2"/>
  <c r="R445" i="2"/>
  <c r="Q445" i="2"/>
  <c r="AF445" i="2" s="1"/>
  <c r="P445" i="2"/>
  <c r="M445" i="2"/>
  <c r="H445" i="2"/>
  <c r="G445" i="2"/>
  <c r="F445" i="2"/>
  <c r="D168" i="8" s="1"/>
  <c r="D445" i="2"/>
  <c r="B168" i="8" s="1"/>
  <c r="AH444" i="2"/>
  <c r="R444" i="2"/>
  <c r="Q444" i="2"/>
  <c r="P444" i="2"/>
  <c r="M444" i="2"/>
  <c r="H444" i="2"/>
  <c r="G444" i="2"/>
  <c r="F444" i="2"/>
  <c r="D444" i="2"/>
  <c r="AH443" i="2"/>
  <c r="R443" i="2"/>
  <c r="Q443" i="2"/>
  <c r="P443" i="2"/>
  <c r="M443" i="2"/>
  <c r="H443" i="2"/>
  <c r="G443" i="2"/>
  <c r="F443" i="2"/>
  <c r="D443" i="2"/>
  <c r="AH442" i="2"/>
  <c r="R442" i="2"/>
  <c r="Q442" i="2"/>
  <c r="Z442" i="2" s="1"/>
  <c r="P442" i="2"/>
  <c r="M442" i="2"/>
  <c r="H442" i="2"/>
  <c r="G442" i="2"/>
  <c r="F442" i="2"/>
  <c r="D442" i="2"/>
  <c r="AH441" i="2"/>
  <c r="R441" i="2"/>
  <c r="Q441" i="2"/>
  <c r="AG441" i="2" s="1"/>
  <c r="P441" i="2"/>
  <c r="M441" i="2"/>
  <c r="H441" i="2"/>
  <c r="G441" i="2"/>
  <c r="F441" i="2"/>
  <c r="D181" i="8" s="1"/>
  <c r="D441" i="2"/>
  <c r="AH440" i="2"/>
  <c r="R440" i="2"/>
  <c r="Q440" i="2"/>
  <c r="AA440" i="2" s="1"/>
  <c r="P440" i="2"/>
  <c r="M440" i="2"/>
  <c r="H440" i="2"/>
  <c r="G440" i="2"/>
  <c r="F440" i="2"/>
  <c r="D440" i="2"/>
  <c r="AH439" i="2"/>
  <c r="R439" i="2"/>
  <c r="Q439" i="2"/>
  <c r="Z439" i="2" s="1"/>
  <c r="P439" i="2"/>
  <c r="M439" i="2"/>
  <c r="H439" i="2"/>
  <c r="G439" i="2"/>
  <c r="F439" i="2"/>
  <c r="D439" i="2"/>
  <c r="AH438" i="2"/>
  <c r="R438" i="2"/>
  <c r="Q438" i="2"/>
  <c r="AB438" i="2" s="1"/>
  <c r="P438" i="2"/>
  <c r="M438" i="2"/>
  <c r="H438" i="2"/>
  <c r="G438" i="2"/>
  <c r="F438" i="2"/>
  <c r="D197" i="8" s="1"/>
  <c r="D438" i="2"/>
  <c r="B197" i="8" s="1"/>
  <c r="AH437" i="2"/>
  <c r="R437" i="2"/>
  <c r="Q437" i="2"/>
  <c r="AG437" i="2" s="1"/>
  <c r="P437" i="2"/>
  <c r="M437" i="2"/>
  <c r="H437" i="2"/>
  <c r="G437" i="2"/>
  <c r="F437" i="2"/>
  <c r="D131" i="8" s="1"/>
  <c r="D437" i="2"/>
  <c r="B131" i="8" s="1"/>
  <c r="AH436" i="2"/>
  <c r="R436" i="2"/>
  <c r="Q436" i="2"/>
  <c r="P436" i="2"/>
  <c r="M436" i="2"/>
  <c r="H436" i="2"/>
  <c r="G436" i="2"/>
  <c r="F436" i="2"/>
  <c r="D436" i="2"/>
  <c r="AH435" i="2"/>
  <c r="AD435" i="2"/>
  <c r="Y435" i="2"/>
  <c r="S435" i="2"/>
  <c r="R435" i="2"/>
  <c r="Q435" i="2"/>
  <c r="P435" i="2"/>
  <c r="AE435" i="2" s="1"/>
  <c r="M435" i="2"/>
  <c r="H435" i="2"/>
  <c r="G435" i="2"/>
  <c r="F435" i="2"/>
  <c r="D98" i="8" s="1"/>
  <c r="D435" i="2"/>
  <c r="B98" i="8" s="1"/>
  <c r="AH434" i="2"/>
  <c r="R434" i="2"/>
  <c r="Q434" i="2"/>
  <c r="P434" i="2"/>
  <c r="M434" i="2"/>
  <c r="H434" i="2"/>
  <c r="G434" i="2"/>
  <c r="F434" i="2"/>
  <c r="D167" i="8" s="1"/>
  <c r="D434" i="2"/>
  <c r="B167" i="8" s="1"/>
  <c r="AH433" i="2"/>
  <c r="R433" i="2"/>
  <c r="Q433" i="2"/>
  <c r="AA433" i="2" s="1"/>
  <c r="P433" i="2"/>
  <c r="M433" i="2"/>
  <c r="H433" i="2"/>
  <c r="G433" i="2"/>
  <c r="F433" i="2"/>
  <c r="D433" i="2"/>
  <c r="AH432" i="2"/>
  <c r="R432" i="2"/>
  <c r="Q432" i="2"/>
  <c r="AG432" i="2" s="1"/>
  <c r="P432" i="2"/>
  <c r="M432" i="2"/>
  <c r="H432" i="2"/>
  <c r="G432" i="2"/>
  <c r="F432" i="2"/>
  <c r="D177" i="8" s="1"/>
  <c r="D432" i="2"/>
  <c r="AH431" i="2"/>
  <c r="R431" i="2"/>
  <c r="Q431" i="2"/>
  <c r="AB431" i="2" s="1"/>
  <c r="P431" i="2"/>
  <c r="M431" i="2"/>
  <c r="H431" i="2"/>
  <c r="G431" i="2"/>
  <c r="F431" i="2"/>
  <c r="D134" i="8" s="1"/>
  <c r="D431" i="2"/>
  <c r="AH430" i="2"/>
  <c r="R430" i="2"/>
  <c r="Q430" i="2"/>
  <c r="P430" i="2"/>
  <c r="M430" i="2"/>
  <c r="H430" i="2"/>
  <c r="G430" i="2"/>
  <c r="F430" i="2"/>
  <c r="D171" i="8" s="1"/>
  <c r="D430" i="2"/>
  <c r="AH429" i="2"/>
  <c r="R429" i="2"/>
  <c r="Q429" i="2"/>
  <c r="P429" i="2"/>
  <c r="M429" i="2"/>
  <c r="H429" i="2"/>
  <c r="G429" i="2"/>
  <c r="F429" i="2"/>
  <c r="D153" i="8" s="1"/>
  <c r="D429" i="2"/>
  <c r="B153" i="8" s="1"/>
  <c r="AH428" i="2"/>
  <c r="R428" i="2"/>
  <c r="Q428" i="2"/>
  <c r="AA428" i="2" s="1"/>
  <c r="P428" i="2"/>
  <c r="M428" i="2"/>
  <c r="H428" i="2"/>
  <c r="G428" i="2"/>
  <c r="F428" i="2"/>
  <c r="D428" i="2"/>
  <c r="AH427" i="2"/>
  <c r="R427" i="2"/>
  <c r="Q427" i="2"/>
  <c r="AG427" i="2" s="1"/>
  <c r="P427" i="2"/>
  <c r="M427" i="2"/>
  <c r="H427" i="2"/>
  <c r="G427" i="2"/>
  <c r="F427" i="2"/>
  <c r="D427" i="2"/>
  <c r="AH426" i="2"/>
  <c r="R426" i="2"/>
  <c r="Q426" i="2"/>
  <c r="P426" i="2"/>
  <c r="M426" i="2"/>
  <c r="H426" i="2"/>
  <c r="G426" i="2"/>
  <c r="F426" i="2"/>
  <c r="D426" i="2"/>
  <c r="AH425" i="2"/>
  <c r="Y425" i="2"/>
  <c r="R425" i="2"/>
  <c r="Q425" i="2"/>
  <c r="AA425" i="2" s="1"/>
  <c r="P425" i="2"/>
  <c r="AC425" i="2" s="1"/>
  <c r="M425" i="2"/>
  <c r="H425" i="2"/>
  <c r="G425" i="2"/>
  <c r="F425" i="2"/>
  <c r="D154" i="8" s="1"/>
  <c r="D425" i="2"/>
  <c r="B154" i="8" s="1"/>
  <c r="AH424" i="2"/>
  <c r="R424" i="2"/>
  <c r="Q424" i="2"/>
  <c r="P424" i="2"/>
  <c r="M424" i="2"/>
  <c r="H424" i="2"/>
  <c r="G424" i="2"/>
  <c r="F424" i="2"/>
  <c r="D424" i="2"/>
  <c r="AH423" i="2"/>
  <c r="R423" i="2"/>
  <c r="Q423" i="2"/>
  <c r="P423" i="2"/>
  <c r="M423" i="2"/>
  <c r="H423" i="2"/>
  <c r="G423" i="2"/>
  <c r="F423" i="2"/>
  <c r="D423" i="2"/>
  <c r="AH422" i="2"/>
  <c r="R422" i="2"/>
  <c r="Q422" i="2"/>
  <c r="AG422" i="2" s="1"/>
  <c r="P422" i="2"/>
  <c r="M422" i="2"/>
  <c r="H422" i="2"/>
  <c r="G422" i="2"/>
  <c r="F422" i="2"/>
  <c r="D422" i="2"/>
  <c r="AH421" i="2"/>
  <c r="R421" i="2"/>
  <c r="Q421" i="2"/>
  <c r="P421" i="2"/>
  <c r="M421" i="2"/>
  <c r="H421" i="2"/>
  <c r="G421" i="2"/>
  <c r="F421" i="2"/>
  <c r="D176" i="8" s="1"/>
  <c r="D421" i="2"/>
  <c r="AH420" i="2"/>
  <c r="R420" i="2"/>
  <c r="Q420" i="2"/>
  <c r="AD420" i="2" s="1"/>
  <c r="P420" i="2"/>
  <c r="M420" i="2"/>
  <c r="H420" i="2"/>
  <c r="G420" i="2"/>
  <c r="F420" i="2"/>
  <c r="D126" i="8" s="1"/>
  <c r="D420" i="2"/>
  <c r="B126" i="8" s="1"/>
  <c r="AH419" i="2"/>
  <c r="Z419" i="2"/>
  <c r="Y419" i="2"/>
  <c r="R419" i="2"/>
  <c r="Q419" i="2"/>
  <c r="AB419" i="2" s="1"/>
  <c r="P419" i="2"/>
  <c r="M419" i="2"/>
  <c r="H419" i="2"/>
  <c r="G419" i="2"/>
  <c r="F419" i="2"/>
  <c r="D161" i="8" s="1"/>
  <c r="D419" i="2"/>
  <c r="B161" i="8" s="1"/>
  <c r="AH418" i="2"/>
  <c r="R418" i="2"/>
  <c r="Q418" i="2"/>
  <c r="AB418" i="2" s="1"/>
  <c r="P418" i="2"/>
  <c r="M418" i="2"/>
  <c r="H418" i="2"/>
  <c r="G418" i="2"/>
  <c r="F418" i="2"/>
  <c r="D175" i="8" s="1"/>
  <c r="D418" i="2"/>
  <c r="AH417" i="2"/>
  <c r="AG417" i="2"/>
  <c r="AB417" i="2"/>
  <c r="AA417" i="2"/>
  <c r="R417" i="2"/>
  <c r="Q417" i="2"/>
  <c r="Z417" i="2" s="1"/>
  <c r="P417" i="2"/>
  <c r="M417" i="2"/>
  <c r="H417" i="2"/>
  <c r="G417" i="2"/>
  <c r="F417" i="2"/>
  <c r="D139" i="8" s="1"/>
  <c r="D417" i="2"/>
  <c r="AH416" i="2"/>
  <c r="R416" i="2"/>
  <c r="Q416" i="2"/>
  <c r="P416" i="2"/>
  <c r="M416" i="2"/>
  <c r="H416" i="2"/>
  <c r="G416" i="2"/>
  <c r="F416" i="2"/>
  <c r="D416" i="2"/>
  <c r="AH415" i="2"/>
  <c r="R415" i="2"/>
  <c r="Q415" i="2"/>
  <c r="AF415" i="2" s="1"/>
  <c r="P415" i="2"/>
  <c r="M415" i="2"/>
  <c r="H415" i="2"/>
  <c r="G415" i="2"/>
  <c r="F415" i="2"/>
  <c r="D180" i="8" s="1"/>
  <c r="D415" i="2"/>
  <c r="B180" i="8" s="1"/>
  <c r="AH414" i="2"/>
  <c r="AD414" i="2"/>
  <c r="AB414" i="2"/>
  <c r="R414" i="2"/>
  <c r="Q414" i="2"/>
  <c r="P414" i="2"/>
  <c r="M414" i="2"/>
  <c r="H414" i="2"/>
  <c r="G414" i="2"/>
  <c r="F414" i="2"/>
  <c r="D414" i="2"/>
  <c r="AH413" i="2"/>
  <c r="AB413" i="2"/>
  <c r="R413" i="2"/>
  <c r="Q413" i="2"/>
  <c r="P413" i="2"/>
  <c r="M413" i="2"/>
  <c r="H413" i="2"/>
  <c r="G413" i="2"/>
  <c r="F413" i="2"/>
  <c r="D413" i="2"/>
  <c r="AH412" i="2"/>
  <c r="Y412" i="2"/>
  <c r="R412" i="2"/>
  <c r="Q412" i="2"/>
  <c r="AA412" i="2" s="1"/>
  <c r="P412" i="2"/>
  <c r="V412" i="2" s="1"/>
  <c r="M412" i="2"/>
  <c r="H412" i="2"/>
  <c r="G412" i="2"/>
  <c r="F412" i="2"/>
  <c r="D412" i="2"/>
  <c r="AH411" i="2"/>
  <c r="AD411" i="2"/>
  <c r="R411" i="2"/>
  <c r="Q411" i="2"/>
  <c r="Z411" i="2" s="1"/>
  <c r="P411" i="2"/>
  <c r="M411" i="2"/>
  <c r="H411" i="2"/>
  <c r="G411" i="2"/>
  <c r="F411" i="2"/>
  <c r="D146" i="8" s="1"/>
  <c r="D411" i="2"/>
  <c r="B146" i="8" s="1"/>
  <c r="AH410" i="2"/>
  <c r="R410" i="2"/>
  <c r="Q410" i="2"/>
  <c r="AF410" i="2" s="1"/>
  <c r="P410" i="2"/>
  <c r="M410" i="2"/>
  <c r="H410" i="2"/>
  <c r="G410" i="2"/>
  <c r="F410" i="2"/>
  <c r="D410" i="2"/>
  <c r="AH409" i="2"/>
  <c r="R409" i="2"/>
  <c r="Q409" i="2"/>
  <c r="Z409" i="2" s="1"/>
  <c r="P409" i="2"/>
  <c r="M409" i="2"/>
  <c r="H409" i="2"/>
  <c r="G409" i="2"/>
  <c r="F409" i="2"/>
  <c r="D166" i="8" s="1"/>
  <c r="D409" i="2"/>
  <c r="AH408" i="2"/>
  <c r="R408" i="2"/>
  <c r="Q408" i="2"/>
  <c r="AA408" i="2" s="1"/>
  <c r="P408" i="2"/>
  <c r="M408" i="2"/>
  <c r="H408" i="2"/>
  <c r="G408" i="2"/>
  <c r="F408" i="2"/>
  <c r="D132" i="8" s="1"/>
  <c r="D408" i="2"/>
  <c r="AH407" i="2"/>
  <c r="R407" i="2"/>
  <c r="Q407" i="2"/>
  <c r="P407" i="2"/>
  <c r="M407" i="2"/>
  <c r="H407" i="2"/>
  <c r="G407" i="2"/>
  <c r="F407" i="2"/>
  <c r="D407" i="2"/>
  <c r="AH406" i="2"/>
  <c r="R406" i="2"/>
  <c r="Q406" i="2"/>
  <c r="AA406" i="2" s="1"/>
  <c r="P406" i="2"/>
  <c r="M406" i="2"/>
  <c r="H406" i="2"/>
  <c r="G406" i="2"/>
  <c r="F406" i="2"/>
  <c r="D121" i="8" s="1"/>
  <c r="D406" i="2"/>
  <c r="B121" i="8" s="1"/>
  <c r="AH405" i="2"/>
  <c r="R405" i="2"/>
  <c r="Q405" i="2"/>
  <c r="AD405" i="2" s="1"/>
  <c r="P405" i="2"/>
  <c r="M405" i="2"/>
  <c r="H405" i="2"/>
  <c r="G405" i="2"/>
  <c r="F405" i="2"/>
  <c r="D405" i="2"/>
  <c r="AH404" i="2"/>
  <c r="R404" i="2"/>
  <c r="Q404" i="2"/>
  <c r="AA404" i="2" s="1"/>
  <c r="P404" i="2"/>
  <c r="M404" i="2"/>
  <c r="H404" i="2"/>
  <c r="G404" i="2"/>
  <c r="F404" i="2"/>
  <c r="D404" i="2"/>
  <c r="AH403" i="2"/>
  <c r="R403" i="2"/>
  <c r="Q403" i="2"/>
  <c r="P403" i="2"/>
  <c r="M403" i="2"/>
  <c r="H403" i="2"/>
  <c r="G403" i="2"/>
  <c r="F403" i="2"/>
  <c r="D403" i="2"/>
  <c r="AH402" i="2"/>
  <c r="Y402" i="2"/>
  <c r="X402" i="2"/>
  <c r="V402" i="2"/>
  <c r="S402" i="2"/>
  <c r="R402" i="2"/>
  <c r="Q402" i="2"/>
  <c r="AD402" i="2" s="1"/>
  <c r="P402" i="2"/>
  <c r="M402" i="2"/>
  <c r="H402" i="2"/>
  <c r="G402" i="2"/>
  <c r="F402" i="2"/>
  <c r="D144" i="8" s="1"/>
  <c r="D402" i="2"/>
  <c r="B144" i="8" s="1"/>
  <c r="AH401" i="2"/>
  <c r="AG401" i="2"/>
  <c r="R401" i="2"/>
  <c r="Q401" i="2"/>
  <c r="AB401" i="2" s="1"/>
  <c r="P401" i="2"/>
  <c r="M401" i="2"/>
  <c r="H401" i="2"/>
  <c r="G401" i="2"/>
  <c r="F401" i="2"/>
  <c r="D401" i="2"/>
  <c r="AH400" i="2"/>
  <c r="R400" i="2"/>
  <c r="Q400" i="2"/>
  <c r="P400" i="2"/>
  <c r="M400" i="2"/>
  <c r="H400" i="2"/>
  <c r="G400" i="2"/>
  <c r="F400" i="2"/>
  <c r="D150" i="8" s="1"/>
  <c r="D400" i="2"/>
  <c r="B150" i="8" s="1"/>
  <c r="AH399" i="2"/>
  <c r="R399" i="2"/>
  <c r="Q399" i="2"/>
  <c r="P399" i="2"/>
  <c r="M399" i="2"/>
  <c r="H399" i="2"/>
  <c r="G399" i="2"/>
  <c r="F399" i="2"/>
  <c r="D399" i="2"/>
  <c r="AH398" i="2"/>
  <c r="R398" i="2"/>
  <c r="Q398" i="2"/>
  <c r="P398" i="2"/>
  <c r="M398" i="2"/>
  <c r="H398" i="2"/>
  <c r="G398" i="2"/>
  <c r="F398" i="2"/>
  <c r="D398" i="2"/>
  <c r="AH397" i="2"/>
  <c r="R397" i="2"/>
  <c r="Q397" i="2"/>
  <c r="AD397" i="2" s="1"/>
  <c r="P397" i="2"/>
  <c r="M397" i="2"/>
  <c r="H397" i="2"/>
  <c r="G397" i="2"/>
  <c r="F397" i="2"/>
  <c r="D397" i="2"/>
  <c r="AH396" i="2"/>
  <c r="R396" i="2"/>
  <c r="Q396" i="2"/>
  <c r="Y396" i="2" s="1"/>
  <c r="P396" i="2"/>
  <c r="M396" i="2"/>
  <c r="H396" i="2"/>
  <c r="G396" i="2"/>
  <c r="F396" i="2"/>
  <c r="D140" i="8" s="1"/>
  <c r="D396" i="2"/>
  <c r="B140" i="8" s="1"/>
  <c r="AH395" i="2"/>
  <c r="R395" i="2"/>
  <c r="Q395" i="2"/>
  <c r="P395" i="2"/>
  <c r="M395" i="2"/>
  <c r="H395" i="2"/>
  <c r="G395" i="2"/>
  <c r="F395" i="2"/>
  <c r="D159" i="8" s="1"/>
  <c r="D395" i="2"/>
  <c r="B159" i="8" s="1"/>
  <c r="AH394" i="2"/>
  <c r="R394" i="2"/>
  <c r="Q394" i="2"/>
  <c r="Y394" i="2" s="1"/>
  <c r="P394" i="2"/>
  <c r="M394" i="2"/>
  <c r="H394" i="2"/>
  <c r="G394" i="2"/>
  <c r="F394" i="2"/>
  <c r="D164" i="8" s="1"/>
  <c r="D394" i="2"/>
  <c r="B164" i="8" s="1"/>
  <c r="AH393" i="2"/>
  <c r="R393" i="2"/>
  <c r="Q393" i="2"/>
  <c r="AB393" i="2" s="1"/>
  <c r="P393" i="2"/>
  <c r="M393" i="2"/>
  <c r="H393" i="2"/>
  <c r="G393" i="2"/>
  <c r="F393" i="2"/>
  <c r="D174" i="8" s="1"/>
  <c r="D393" i="2"/>
  <c r="B174" i="8" s="1"/>
  <c r="AH392" i="2"/>
  <c r="R392" i="2"/>
  <c r="Q392" i="2"/>
  <c r="AB392" i="2" s="1"/>
  <c r="P392" i="2"/>
  <c r="M392" i="2"/>
  <c r="H392" i="2"/>
  <c r="G392" i="2"/>
  <c r="F392" i="2"/>
  <c r="D392" i="2"/>
  <c r="AH391" i="2"/>
  <c r="R391" i="2"/>
  <c r="Q391" i="2"/>
  <c r="AB391" i="2" s="1"/>
  <c r="P391" i="2"/>
  <c r="M391" i="2"/>
  <c r="H391" i="2"/>
  <c r="G391" i="2"/>
  <c r="F391" i="2"/>
  <c r="D391" i="2"/>
  <c r="AH390" i="2"/>
  <c r="R390" i="2"/>
  <c r="Q390" i="2"/>
  <c r="P390" i="2"/>
  <c r="M390" i="2"/>
  <c r="H390" i="2"/>
  <c r="G390" i="2"/>
  <c r="F390" i="2"/>
  <c r="D390" i="2"/>
  <c r="AH389" i="2"/>
  <c r="R389" i="2"/>
  <c r="Q389" i="2"/>
  <c r="P389" i="2"/>
  <c r="M389" i="2"/>
  <c r="H389" i="2"/>
  <c r="G389" i="2"/>
  <c r="F389" i="2"/>
  <c r="D136" i="8" s="1"/>
  <c r="D389" i="2"/>
  <c r="B136" i="8" s="1"/>
  <c r="AH388" i="2"/>
  <c r="R388" i="2"/>
  <c r="Q388" i="2"/>
  <c r="Z388" i="2" s="1"/>
  <c r="P388" i="2"/>
  <c r="W388" i="2" s="1"/>
  <c r="M388" i="2"/>
  <c r="H388" i="2"/>
  <c r="G388" i="2"/>
  <c r="F388" i="2"/>
  <c r="D152" i="8" s="1"/>
  <c r="D388" i="2"/>
  <c r="AJ387" i="2"/>
  <c r="AN387" i="2" s="1"/>
  <c r="P387" i="2"/>
  <c r="AO387" i="2" s="1"/>
  <c r="M387" i="2"/>
  <c r="H387" i="2"/>
  <c r="G387" i="2"/>
  <c r="F387" i="2"/>
  <c r="D41" i="9" s="1"/>
  <c r="D387" i="2"/>
  <c r="B41" i="9" s="1"/>
  <c r="AH386" i="2"/>
  <c r="R386" i="2"/>
  <c r="Q386" i="2"/>
  <c r="P386" i="2"/>
  <c r="M386" i="2"/>
  <c r="H386" i="2"/>
  <c r="G386" i="2"/>
  <c r="F386" i="2"/>
  <c r="D162" i="8" s="1"/>
  <c r="D386" i="2"/>
  <c r="B162" i="8" s="1"/>
  <c r="AH385" i="2"/>
  <c r="R385" i="2"/>
  <c r="Q385" i="2"/>
  <c r="P385" i="2"/>
  <c r="M385" i="2"/>
  <c r="H385" i="2"/>
  <c r="G385" i="2"/>
  <c r="F385" i="2"/>
  <c r="D385" i="2"/>
  <c r="AJ384" i="2"/>
  <c r="P384" i="2"/>
  <c r="M384" i="2"/>
  <c r="H384" i="2"/>
  <c r="G384" i="2"/>
  <c r="F384" i="2"/>
  <c r="D40" i="9" s="1"/>
  <c r="D384" i="2"/>
  <c r="B40" i="9" s="1"/>
  <c r="AH383" i="2"/>
  <c r="R383" i="2"/>
  <c r="Q383" i="2"/>
  <c r="AD383" i="2" s="1"/>
  <c r="P383" i="2"/>
  <c r="M383" i="2"/>
  <c r="H383" i="2"/>
  <c r="G383" i="2"/>
  <c r="F383" i="2"/>
  <c r="D383" i="2"/>
  <c r="AH382" i="2"/>
  <c r="AA382" i="2"/>
  <c r="R382" i="2"/>
  <c r="Q382" i="2"/>
  <c r="X382" i="2" s="1"/>
  <c r="P382" i="2"/>
  <c r="M382" i="2"/>
  <c r="H382" i="2"/>
  <c r="G382" i="2"/>
  <c r="F382" i="2"/>
  <c r="D96" i="8" s="1"/>
  <c r="D382" i="2"/>
  <c r="B96" i="8" s="1"/>
  <c r="AH381" i="2"/>
  <c r="R381" i="2"/>
  <c r="Q381" i="2"/>
  <c r="P381" i="2"/>
  <c r="M381" i="2"/>
  <c r="H381" i="2"/>
  <c r="G381" i="2"/>
  <c r="F381" i="2"/>
  <c r="D381" i="2"/>
  <c r="AH380" i="2"/>
  <c r="R380" i="2"/>
  <c r="Q380" i="2"/>
  <c r="AB380" i="2" s="1"/>
  <c r="P380" i="2"/>
  <c r="M380" i="2"/>
  <c r="H380" i="2"/>
  <c r="G380" i="2"/>
  <c r="F380" i="2"/>
  <c r="D160" i="8" s="1"/>
  <c r="D380" i="2"/>
  <c r="AH379" i="2"/>
  <c r="AA379" i="2"/>
  <c r="Z379" i="2"/>
  <c r="R379" i="2"/>
  <c r="Q379" i="2"/>
  <c r="P379" i="2"/>
  <c r="M379" i="2"/>
  <c r="H379" i="2"/>
  <c r="G379" i="2"/>
  <c r="F379" i="2"/>
  <c r="D147" i="8" s="1"/>
  <c r="D379" i="2"/>
  <c r="B147" i="8" s="1"/>
  <c r="AH378" i="2"/>
  <c r="R378" i="2"/>
  <c r="Q378" i="2"/>
  <c r="P378" i="2"/>
  <c r="M378" i="2"/>
  <c r="H378" i="2"/>
  <c r="G378" i="2"/>
  <c r="F378" i="2"/>
  <c r="D155" i="8" s="1"/>
  <c r="D378" i="2"/>
  <c r="B155" i="8" s="1"/>
  <c r="AH377" i="2"/>
  <c r="AG377" i="2"/>
  <c r="R377" i="2"/>
  <c r="Q377" i="2"/>
  <c r="AF377" i="2" s="1"/>
  <c r="P377" i="2"/>
  <c r="M377" i="2"/>
  <c r="H377" i="2"/>
  <c r="G377" i="2"/>
  <c r="F377" i="2"/>
  <c r="D377" i="2"/>
  <c r="AH376" i="2"/>
  <c r="R376" i="2"/>
  <c r="Q376" i="2"/>
  <c r="AG376" i="2" s="1"/>
  <c r="P376" i="2"/>
  <c r="M376" i="2"/>
  <c r="H376" i="2"/>
  <c r="G376" i="2"/>
  <c r="F376" i="2"/>
  <c r="D156" i="8" s="1"/>
  <c r="D376" i="2"/>
  <c r="B156" i="8" s="1"/>
  <c r="AH375" i="2"/>
  <c r="R375" i="2"/>
  <c r="Q375" i="2"/>
  <c r="P375" i="2"/>
  <c r="M375" i="2"/>
  <c r="H375" i="2"/>
  <c r="G375" i="2"/>
  <c r="F375" i="2"/>
  <c r="D375" i="2"/>
  <c r="AH374" i="2"/>
  <c r="AG374" i="2"/>
  <c r="AD374" i="2"/>
  <c r="Y374" i="2"/>
  <c r="S374" i="2"/>
  <c r="R374" i="2"/>
  <c r="Q374" i="2"/>
  <c r="AA374" i="2" s="1"/>
  <c r="P374" i="2"/>
  <c r="AE374" i="2" s="1"/>
  <c r="M374" i="2"/>
  <c r="H374" i="2"/>
  <c r="G374" i="2"/>
  <c r="F374" i="2"/>
  <c r="D128" i="8" s="1"/>
  <c r="D374" i="2"/>
  <c r="B128" i="8" s="1"/>
  <c r="AH373" i="2"/>
  <c r="AD373" i="2"/>
  <c r="R373" i="2"/>
  <c r="Q373" i="2"/>
  <c r="AA373" i="2" s="1"/>
  <c r="P373" i="2"/>
  <c r="M373" i="2"/>
  <c r="H373" i="2"/>
  <c r="G373" i="2"/>
  <c r="F373" i="2"/>
  <c r="D145" i="8" s="1"/>
  <c r="D373" i="2"/>
  <c r="B145" i="8" s="1"/>
  <c r="AO372" i="2"/>
  <c r="AN372" i="2"/>
  <c r="AJ372" i="2"/>
  <c r="P372" i="2"/>
  <c r="M372" i="2"/>
  <c r="H372" i="2"/>
  <c r="G372" i="2"/>
  <c r="F372" i="2"/>
  <c r="D39" i="9" s="1"/>
  <c r="D372" i="2"/>
  <c r="B39" i="9" s="1"/>
  <c r="AH371" i="2"/>
  <c r="AC371" i="2"/>
  <c r="R371" i="2"/>
  <c r="Q371" i="2"/>
  <c r="AA371" i="2" s="1"/>
  <c r="P371" i="2"/>
  <c r="M371" i="2"/>
  <c r="H371" i="2"/>
  <c r="G371" i="2"/>
  <c r="F371" i="2"/>
  <c r="D143" i="8" s="1"/>
  <c r="D371" i="2"/>
  <c r="AH370" i="2"/>
  <c r="R370" i="2"/>
  <c r="Q370" i="2"/>
  <c r="P370" i="2"/>
  <c r="M370" i="2"/>
  <c r="H370" i="2"/>
  <c r="G370" i="2"/>
  <c r="F370" i="2"/>
  <c r="D370" i="2"/>
  <c r="AJ369" i="2"/>
  <c r="P369" i="2"/>
  <c r="M369" i="2"/>
  <c r="H369" i="2"/>
  <c r="G369" i="2"/>
  <c r="F369" i="2"/>
  <c r="D38" i="9" s="1"/>
  <c r="D369" i="2"/>
  <c r="AH368" i="2"/>
  <c r="R368" i="2"/>
  <c r="Q368" i="2"/>
  <c r="Y368" i="2" s="1"/>
  <c r="P368" i="2"/>
  <c r="V368" i="2" s="1"/>
  <c r="M368" i="2"/>
  <c r="H368" i="2"/>
  <c r="G368" i="2"/>
  <c r="F368" i="2"/>
  <c r="D368" i="2"/>
  <c r="AH367" i="2"/>
  <c r="R367" i="2"/>
  <c r="Q367" i="2"/>
  <c r="P367" i="2"/>
  <c r="M367" i="2"/>
  <c r="H367" i="2"/>
  <c r="G367" i="2"/>
  <c r="F367" i="2"/>
  <c r="D367" i="2"/>
  <c r="AH366" i="2"/>
  <c r="R366" i="2"/>
  <c r="Q366" i="2"/>
  <c r="P366" i="2"/>
  <c r="M366" i="2"/>
  <c r="H366" i="2"/>
  <c r="G366" i="2"/>
  <c r="F366" i="2"/>
  <c r="D366" i="2"/>
  <c r="AH365" i="2"/>
  <c r="AD365" i="2"/>
  <c r="R365" i="2"/>
  <c r="Q365" i="2"/>
  <c r="P365" i="2"/>
  <c r="M365" i="2"/>
  <c r="H365" i="2"/>
  <c r="G365" i="2"/>
  <c r="F365" i="2"/>
  <c r="D365" i="2"/>
  <c r="AH364" i="2"/>
  <c r="R364" i="2"/>
  <c r="Q364" i="2"/>
  <c r="P364" i="2"/>
  <c r="M364" i="2"/>
  <c r="H364" i="2"/>
  <c r="G364" i="2"/>
  <c r="F364" i="2"/>
  <c r="D149" i="8" s="1"/>
  <c r="D364" i="2"/>
  <c r="B149" i="8" s="1"/>
  <c r="AH363" i="2"/>
  <c r="R363" i="2"/>
  <c r="Q363" i="2"/>
  <c r="AD363" i="2" s="1"/>
  <c r="P363" i="2"/>
  <c r="M363" i="2"/>
  <c r="H363" i="2"/>
  <c r="G363" i="2"/>
  <c r="F363" i="2"/>
  <c r="D363" i="2"/>
  <c r="AH362" i="2"/>
  <c r="AG362" i="2"/>
  <c r="R362" i="2"/>
  <c r="Q362" i="2"/>
  <c r="AC362" i="2" s="1"/>
  <c r="P362" i="2"/>
  <c r="V362" i="2" s="1"/>
  <c r="M362" i="2"/>
  <c r="H362" i="2"/>
  <c r="G362" i="2"/>
  <c r="F362" i="2"/>
  <c r="D362" i="2"/>
  <c r="AH361" i="2"/>
  <c r="R361" i="2"/>
  <c r="Q361" i="2"/>
  <c r="P361" i="2"/>
  <c r="M361" i="2"/>
  <c r="H361" i="2"/>
  <c r="G361" i="2"/>
  <c r="F361" i="2"/>
  <c r="D137" i="8" s="1"/>
  <c r="D361" i="2"/>
  <c r="AH360" i="2"/>
  <c r="R360" i="2"/>
  <c r="Q360" i="2"/>
  <c r="AG360" i="2" s="1"/>
  <c r="P360" i="2"/>
  <c r="M360" i="2"/>
  <c r="H360" i="2"/>
  <c r="G360" i="2"/>
  <c r="F360" i="2"/>
  <c r="D135" i="8" s="1"/>
  <c r="D360" i="2"/>
  <c r="B135" i="8" s="1"/>
  <c r="AH359" i="2"/>
  <c r="Y359" i="2"/>
  <c r="R359" i="2"/>
  <c r="Q359" i="2"/>
  <c r="AA359" i="2" s="1"/>
  <c r="P359" i="2"/>
  <c r="M359" i="2"/>
  <c r="H359" i="2"/>
  <c r="G359" i="2"/>
  <c r="F359" i="2"/>
  <c r="D114" i="8" s="1"/>
  <c r="D359" i="2"/>
  <c r="AH358" i="2"/>
  <c r="R358" i="2"/>
  <c r="Q358" i="2"/>
  <c r="Y358" i="2" s="1"/>
  <c r="P358" i="2"/>
  <c r="M358" i="2"/>
  <c r="H358" i="2"/>
  <c r="G358" i="2"/>
  <c r="F358" i="2"/>
  <c r="D358" i="2"/>
  <c r="AH357" i="2"/>
  <c r="R357" i="2"/>
  <c r="Q357" i="2"/>
  <c r="P357" i="2"/>
  <c r="M357" i="2"/>
  <c r="H357" i="2"/>
  <c r="G357" i="2"/>
  <c r="F357" i="2"/>
  <c r="D357" i="2"/>
  <c r="AH356" i="2"/>
  <c r="R356" i="2"/>
  <c r="Q356" i="2"/>
  <c r="P356" i="2"/>
  <c r="M356" i="2"/>
  <c r="H356" i="2"/>
  <c r="G356" i="2"/>
  <c r="F356" i="2"/>
  <c r="D141" i="8" s="1"/>
  <c r="D356" i="2"/>
  <c r="B141" i="8" s="1"/>
  <c r="AH355" i="2"/>
  <c r="S355" i="2"/>
  <c r="R355" i="2"/>
  <c r="Q355" i="2"/>
  <c r="P355" i="2"/>
  <c r="M355" i="2"/>
  <c r="H355" i="2"/>
  <c r="G355" i="2"/>
  <c r="F355" i="2"/>
  <c r="D142" i="8" s="1"/>
  <c r="D355" i="2"/>
  <c r="B142" i="8" s="1"/>
  <c r="AH354" i="2"/>
  <c r="R354" i="2"/>
  <c r="Q354" i="2"/>
  <c r="P354" i="2"/>
  <c r="M354" i="2"/>
  <c r="H354" i="2"/>
  <c r="G354" i="2"/>
  <c r="F354" i="2"/>
  <c r="D354" i="2"/>
  <c r="AH353" i="2"/>
  <c r="R353" i="2"/>
  <c r="Q353" i="2"/>
  <c r="W353" i="2" s="1"/>
  <c r="P353" i="2"/>
  <c r="M353" i="2"/>
  <c r="H353" i="2"/>
  <c r="G353" i="2"/>
  <c r="F353" i="2"/>
  <c r="D133" i="8" s="1"/>
  <c r="D353" i="2"/>
  <c r="B133" i="8" s="1"/>
  <c r="AH352" i="2"/>
  <c r="AG352" i="2"/>
  <c r="AF352" i="2"/>
  <c r="R352" i="2"/>
  <c r="Q352" i="2"/>
  <c r="P352" i="2"/>
  <c r="M352" i="2"/>
  <c r="H352" i="2"/>
  <c r="G352" i="2"/>
  <c r="F352" i="2"/>
  <c r="D352" i="2"/>
  <c r="AH351" i="2"/>
  <c r="AG351" i="2"/>
  <c r="R351" i="2"/>
  <c r="Q351" i="2"/>
  <c r="AD351" i="2" s="1"/>
  <c r="P351" i="2"/>
  <c r="AE351" i="2" s="1"/>
  <c r="M351" i="2"/>
  <c r="H351" i="2"/>
  <c r="G351" i="2"/>
  <c r="F351" i="2"/>
  <c r="D138" i="8" s="1"/>
  <c r="D351" i="2"/>
  <c r="AH350" i="2"/>
  <c r="R350" i="2"/>
  <c r="Q350" i="2"/>
  <c r="P350" i="2"/>
  <c r="M350" i="2"/>
  <c r="H350" i="2"/>
  <c r="G350" i="2"/>
  <c r="F350" i="2"/>
  <c r="D125" i="8" s="1"/>
  <c r="D350" i="2"/>
  <c r="B125" i="8" s="1"/>
  <c r="AH349" i="2"/>
  <c r="R349" i="2"/>
  <c r="Q349" i="2"/>
  <c r="AA349" i="2" s="1"/>
  <c r="P349" i="2"/>
  <c r="M349" i="2"/>
  <c r="H349" i="2"/>
  <c r="G349" i="2"/>
  <c r="F349" i="2"/>
  <c r="D349" i="2"/>
  <c r="AH348" i="2"/>
  <c r="R348" i="2"/>
  <c r="Q348" i="2"/>
  <c r="Y348" i="2" s="1"/>
  <c r="P348" i="2"/>
  <c r="M348" i="2"/>
  <c r="H348" i="2"/>
  <c r="G348" i="2"/>
  <c r="F348" i="2"/>
  <c r="D105" i="8" s="1"/>
  <c r="D348" i="2"/>
  <c r="B105" i="8" s="1"/>
  <c r="AH347" i="2"/>
  <c r="R347" i="2"/>
  <c r="Q347" i="2"/>
  <c r="P347" i="2"/>
  <c r="M347" i="2"/>
  <c r="H347" i="2"/>
  <c r="G347" i="2"/>
  <c r="F347" i="2"/>
  <c r="D119" i="8" s="1"/>
  <c r="D347" i="2"/>
  <c r="B119" i="8" s="1"/>
  <c r="AH346" i="2"/>
  <c r="R346" i="2"/>
  <c r="Q346" i="2"/>
  <c r="P346" i="2"/>
  <c r="AC346" i="2" s="1"/>
  <c r="M346" i="2"/>
  <c r="H346" i="2"/>
  <c r="G346" i="2"/>
  <c r="F346" i="2"/>
  <c r="D110" i="8" s="1"/>
  <c r="D346" i="2"/>
  <c r="B110" i="8" s="1"/>
  <c r="AH345" i="2"/>
  <c r="R345" i="2"/>
  <c r="Q345" i="2"/>
  <c r="AC345" i="2" s="1"/>
  <c r="P345" i="2"/>
  <c r="M345" i="2"/>
  <c r="H345" i="2"/>
  <c r="G345" i="2"/>
  <c r="F345" i="2"/>
  <c r="D129" i="8" s="1"/>
  <c r="D345" i="2"/>
  <c r="B129" i="8" s="1"/>
  <c r="AH344" i="2"/>
  <c r="R344" i="2"/>
  <c r="Q344" i="2"/>
  <c r="P344" i="2"/>
  <c r="M344" i="2"/>
  <c r="H344" i="2"/>
  <c r="G344" i="2"/>
  <c r="F344" i="2"/>
  <c r="D344" i="2"/>
  <c r="AH343" i="2"/>
  <c r="R343" i="2"/>
  <c r="Q343" i="2"/>
  <c r="P343" i="2"/>
  <c r="M343" i="2"/>
  <c r="H343" i="2"/>
  <c r="G343" i="2"/>
  <c r="F343" i="2"/>
  <c r="D343" i="2"/>
  <c r="AH342" i="2"/>
  <c r="R342" i="2"/>
  <c r="Q342" i="2"/>
  <c r="AB342" i="2" s="1"/>
  <c r="P342" i="2"/>
  <c r="M342" i="2"/>
  <c r="H342" i="2"/>
  <c r="G342" i="2"/>
  <c r="F342" i="2"/>
  <c r="D342" i="2"/>
  <c r="AH341" i="2"/>
  <c r="R341" i="2"/>
  <c r="Q341" i="2"/>
  <c r="AF341" i="2" s="1"/>
  <c r="P341" i="2"/>
  <c r="M341" i="2"/>
  <c r="H341" i="2"/>
  <c r="G341" i="2"/>
  <c r="F341" i="2"/>
  <c r="D341" i="2"/>
  <c r="AH340" i="2"/>
  <c r="R340" i="2"/>
  <c r="Q340" i="2"/>
  <c r="P340" i="2"/>
  <c r="M340" i="2"/>
  <c r="H340" i="2"/>
  <c r="G340" i="2"/>
  <c r="F340" i="2"/>
  <c r="D340" i="2"/>
  <c r="AH339" i="2"/>
  <c r="R339" i="2"/>
  <c r="Q339" i="2"/>
  <c r="AA339" i="2" s="1"/>
  <c r="P339" i="2"/>
  <c r="M339" i="2"/>
  <c r="H339" i="2"/>
  <c r="G339" i="2"/>
  <c r="F339" i="2"/>
  <c r="D339" i="2"/>
  <c r="AH338" i="2"/>
  <c r="R338" i="2"/>
  <c r="Q338" i="2"/>
  <c r="P338" i="2"/>
  <c r="M338" i="2"/>
  <c r="H338" i="2"/>
  <c r="G338" i="2"/>
  <c r="F338" i="2"/>
  <c r="D338" i="2"/>
  <c r="AJ337" i="2"/>
  <c r="AM337" i="2" s="1"/>
  <c r="P337" i="2"/>
  <c r="AK337" i="2" s="1"/>
  <c r="M337" i="2"/>
  <c r="H337" i="2"/>
  <c r="G337" i="2"/>
  <c r="F337" i="2"/>
  <c r="D37" i="9" s="1"/>
  <c r="D337" i="2"/>
  <c r="B37" i="9" s="1"/>
  <c r="AH336" i="2"/>
  <c r="R336" i="2"/>
  <c r="Q336" i="2"/>
  <c r="AD336" i="2" s="1"/>
  <c r="P336" i="2"/>
  <c r="M336" i="2"/>
  <c r="H336" i="2"/>
  <c r="G336" i="2"/>
  <c r="F336" i="2"/>
  <c r="D124" i="8" s="1"/>
  <c r="D336" i="2"/>
  <c r="B124" i="8" s="1"/>
  <c r="AH335" i="2"/>
  <c r="R335" i="2"/>
  <c r="Q335" i="2"/>
  <c r="AF335" i="2" s="1"/>
  <c r="P335" i="2"/>
  <c r="M335" i="2"/>
  <c r="H335" i="2"/>
  <c r="G335" i="2"/>
  <c r="F335" i="2"/>
  <c r="D335" i="2"/>
  <c r="AH334" i="2"/>
  <c r="R334" i="2"/>
  <c r="Q334" i="2"/>
  <c r="P334" i="2"/>
  <c r="M334" i="2"/>
  <c r="H334" i="2"/>
  <c r="G334" i="2"/>
  <c r="F334" i="2"/>
  <c r="D127" i="8" s="1"/>
  <c r="D334" i="2"/>
  <c r="B127" i="8" s="1"/>
  <c r="AH333" i="2"/>
  <c r="R333" i="2"/>
  <c r="Q333" i="2"/>
  <c r="AG333" i="2" s="1"/>
  <c r="P333" i="2"/>
  <c r="M333" i="2"/>
  <c r="H333" i="2"/>
  <c r="G333" i="2"/>
  <c r="F333" i="2"/>
  <c r="D130" i="8" s="1"/>
  <c r="D333" i="2"/>
  <c r="B130" i="8" s="1"/>
  <c r="AH332" i="2"/>
  <c r="R332" i="2"/>
  <c r="Q332" i="2"/>
  <c r="P332" i="2"/>
  <c r="M332" i="2"/>
  <c r="H332" i="2"/>
  <c r="G332" i="2"/>
  <c r="F332" i="2"/>
  <c r="D332" i="2"/>
  <c r="AH331" i="2"/>
  <c r="R331" i="2"/>
  <c r="Q331" i="2"/>
  <c r="P331" i="2"/>
  <c r="M331" i="2"/>
  <c r="H331" i="2"/>
  <c r="G331" i="2"/>
  <c r="F331" i="2"/>
  <c r="D123" i="8" s="1"/>
  <c r="D331" i="2"/>
  <c r="B123" i="8" s="1"/>
  <c r="AH330" i="2"/>
  <c r="Z330" i="2"/>
  <c r="R330" i="2"/>
  <c r="Q330" i="2"/>
  <c r="Y330" i="2" s="1"/>
  <c r="P330" i="2"/>
  <c r="M330" i="2"/>
  <c r="H330" i="2"/>
  <c r="G330" i="2"/>
  <c r="F330" i="2"/>
  <c r="D115" i="8" s="1"/>
  <c r="D330" i="2"/>
  <c r="B115" i="8" s="1"/>
  <c r="AH329" i="2"/>
  <c r="R329" i="2"/>
  <c r="Q329" i="2"/>
  <c r="P329" i="2"/>
  <c r="M329" i="2"/>
  <c r="H329" i="2"/>
  <c r="G329" i="2"/>
  <c r="F329" i="2"/>
  <c r="D100" i="8" s="1"/>
  <c r="D329" i="2"/>
  <c r="B100" i="8" s="1"/>
  <c r="AH328" i="2"/>
  <c r="R328" i="2"/>
  <c r="Q328" i="2"/>
  <c r="AB328" i="2" s="1"/>
  <c r="P328" i="2"/>
  <c r="M328" i="2"/>
  <c r="H328" i="2"/>
  <c r="G328" i="2"/>
  <c r="F328" i="2"/>
  <c r="D328" i="2"/>
  <c r="AH327" i="2"/>
  <c r="R327" i="2"/>
  <c r="Q327" i="2"/>
  <c r="AA327" i="2" s="1"/>
  <c r="P327" i="2"/>
  <c r="M327" i="2"/>
  <c r="H327" i="2"/>
  <c r="G327" i="2"/>
  <c r="F327" i="2"/>
  <c r="D113" i="8" s="1"/>
  <c r="D327" i="2"/>
  <c r="B113" i="8" s="1"/>
  <c r="AH326" i="2"/>
  <c r="R326" i="2"/>
  <c r="Q326" i="2"/>
  <c r="P326" i="2"/>
  <c r="M326" i="2"/>
  <c r="H326" i="2"/>
  <c r="G326" i="2"/>
  <c r="F326" i="2"/>
  <c r="D122" i="8" s="1"/>
  <c r="D326" i="2"/>
  <c r="B122" i="8" s="1"/>
  <c r="AH325" i="2"/>
  <c r="R325" i="2"/>
  <c r="Q325" i="2"/>
  <c r="P325" i="2"/>
  <c r="M325" i="2"/>
  <c r="H325" i="2"/>
  <c r="G325" i="2"/>
  <c r="F325" i="2"/>
  <c r="D325" i="2"/>
  <c r="AH324" i="2"/>
  <c r="R324" i="2"/>
  <c r="Q324" i="2"/>
  <c r="AF324" i="2" s="1"/>
  <c r="P324" i="2"/>
  <c r="M324" i="2"/>
  <c r="H324" i="2"/>
  <c r="G324" i="2"/>
  <c r="F324" i="2"/>
  <c r="D116" i="8" s="1"/>
  <c r="D324" i="2"/>
  <c r="B116" i="8" s="1"/>
  <c r="AH323" i="2"/>
  <c r="R323" i="2"/>
  <c r="Q323" i="2"/>
  <c r="P323" i="2"/>
  <c r="M323" i="2"/>
  <c r="H323" i="2"/>
  <c r="G323" i="2"/>
  <c r="F323" i="2"/>
  <c r="D323" i="2"/>
  <c r="AH322" i="2"/>
  <c r="R322" i="2"/>
  <c r="Q322" i="2"/>
  <c r="P322" i="2"/>
  <c r="M322" i="2"/>
  <c r="H322" i="2"/>
  <c r="G322" i="2"/>
  <c r="F322" i="2"/>
  <c r="D109" i="8" s="1"/>
  <c r="D322" i="2"/>
  <c r="AH321" i="2"/>
  <c r="R321" i="2"/>
  <c r="Q321" i="2"/>
  <c r="AG321" i="2" s="1"/>
  <c r="P321" i="2"/>
  <c r="M321" i="2"/>
  <c r="H321" i="2"/>
  <c r="G321" i="2"/>
  <c r="F321" i="2"/>
  <c r="D120" i="8" s="1"/>
  <c r="D321" i="2"/>
  <c r="B120" i="8" s="1"/>
  <c r="AH320" i="2"/>
  <c r="R320" i="2"/>
  <c r="Q320" i="2"/>
  <c r="AF320" i="2" s="1"/>
  <c r="P320" i="2"/>
  <c r="M320" i="2"/>
  <c r="H320" i="2"/>
  <c r="G320" i="2"/>
  <c r="F320" i="2"/>
  <c r="D112" i="8" s="1"/>
  <c r="D320" i="2"/>
  <c r="B112" i="8" s="1"/>
  <c r="AH319" i="2"/>
  <c r="R319" i="2"/>
  <c r="Q319" i="2"/>
  <c r="P319" i="2"/>
  <c r="M319" i="2"/>
  <c r="H319" i="2"/>
  <c r="G319" i="2"/>
  <c r="F319" i="2"/>
  <c r="D74" i="8" s="1"/>
  <c r="D319" i="2"/>
  <c r="B74" i="8" s="1"/>
  <c r="AH318" i="2"/>
  <c r="R318" i="2"/>
  <c r="Q318" i="2"/>
  <c r="P318" i="2"/>
  <c r="M318" i="2"/>
  <c r="H318" i="2"/>
  <c r="G318" i="2"/>
  <c r="F318" i="2"/>
  <c r="D101" i="8" s="1"/>
  <c r="D318" i="2"/>
  <c r="B101" i="8" s="1"/>
  <c r="AH317" i="2"/>
  <c r="Z317" i="2"/>
  <c r="R317" i="2"/>
  <c r="Q317" i="2"/>
  <c r="AB317" i="2" s="1"/>
  <c r="P317" i="2"/>
  <c r="M317" i="2"/>
  <c r="H317" i="2"/>
  <c r="G317" i="2"/>
  <c r="F317" i="2"/>
  <c r="D317" i="2"/>
  <c r="AH316" i="2"/>
  <c r="R316" i="2"/>
  <c r="Q316" i="2"/>
  <c r="P316" i="2"/>
  <c r="M316" i="2"/>
  <c r="H316" i="2"/>
  <c r="G316" i="2"/>
  <c r="F316" i="2"/>
  <c r="D107" i="8" s="1"/>
  <c r="D316" i="2"/>
  <c r="B107" i="8" s="1"/>
  <c r="AH315" i="2"/>
  <c r="R315" i="2"/>
  <c r="Q315" i="2"/>
  <c r="P315" i="2"/>
  <c r="M315" i="2"/>
  <c r="H315" i="2"/>
  <c r="G315" i="2"/>
  <c r="F315" i="2"/>
  <c r="D315" i="2"/>
  <c r="AH314" i="2"/>
  <c r="AF314" i="2"/>
  <c r="AE314" i="2"/>
  <c r="R314" i="2"/>
  <c r="Q314" i="2"/>
  <c r="AG314" i="2" s="1"/>
  <c r="P314" i="2"/>
  <c r="M314" i="2"/>
  <c r="H314" i="2"/>
  <c r="G314" i="2"/>
  <c r="F314" i="2"/>
  <c r="D118" i="8" s="1"/>
  <c r="D314" i="2"/>
  <c r="B118" i="8" s="1"/>
  <c r="AJ313" i="2"/>
  <c r="P313" i="2"/>
  <c r="M313" i="2"/>
  <c r="H313" i="2"/>
  <c r="G313" i="2"/>
  <c r="F313" i="2"/>
  <c r="D36" i="9" s="1"/>
  <c r="D313" i="2"/>
  <c r="AH312" i="2"/>
  <c r="R312" i="2"/>
  <c r="Q312" i="2"/>
  <c r="AG312" i="2" s="1"/>
  <c r="P312" i="2"/>
  <c r="M312" i="2"/>
  <c r="H312" i="2"/>
  <c r="G312" i="2"/>
  <c r="F312" i="2"/>
  <c r="D117" i="8" s="1"/>
  <c r="D312" i="2"/>
  <c r="B117" i="8" s="1"/>
  <c r="AH311" i="2"/>
  <c r="R311" i="2"/>
  <c r="Q311" i="2"/>
  <c r="AF311" i="2" s="1"/>
  <c r="P311" i="2"/>
  <c r="M311" i="2"/>
  <c r="H311" i="2"/>
  <c r="G311" i="2"/>
  <c r="F311" i="2"/>
  <c r="D311" i="2"/>
  <c r="AH310" i="2"/>
  <c r="R310" i="2"/>
  <c r="Q310" i="2"/>
  <c r="P310" i="2"/>
  <c r="M310" i="2"/>
  <c r="H310" i="2"/>
  <c r="G310" i="2"/>
  <c r="F310" i="2"/>
  <c r="D310" i="2"/>
  <c r="AH309" i="2"/>
  <c r="R309" i="2"/>
  <c r="Q309" i="2"/>
  <c r="AG309" i="2" s="1"/>
  <c r="P309" i="2"/>
  <c r="M309" i="2"/>
  <c r="H309" i="2"/>
  <c r="G309" i="2"/>
  <c r="F309" i="2"/>
  <c r="D309" i="2"/>
  <c r="AH308" i="2"/>
  <c r="R308" i="2"/>
  <c r="Q308" i="2"/>
  <c r="AG308" i="2" s="1"/>
  <c r="P308" i="2"/>
  <c r="M308" i="2"/>
  <c r="H308" i="2"/>
  <c r="G308" i="2"/>
  <c r="F308" i="2"/>
  <c r="D308" i="2"/>
  <c r="AH307" i="2"/>
  <c r="R307" i="2"/>
  <c r="Q307" i="2"/>
  <c r="AB307" i="2" s="1"/>
  <c r="P307" i="2"/>
  <c r="M307" i="2"/>
  <c r="H307" i="2"/>
  <c r="G307" i="2"/>
  <c r="F307" i="2"/>
  <c r="D307" i="2"/>
  <c r="AH306" i="2"/>
  <c r="R306" i="2"/>
  <c r="Q306" i="2"/>
  <c r="AD306" i="2" s="1"/>
  <c r="P306" i="2"/>
  <c r="AE306" i="2" s="1"/>
  <c r="M306" i="2"/>
  <c r="H306" i="2"/>
  <c r="G306" i="2"/>
  <c r="F306" i="2"/>
  <c r="D306" i="2"/>
  <c r="AH305" i="2"/>
  <c r="R305" i="2"/>
  <c r="Q305" i="2"/>
  <c r="P305" i="2"/>
  <c r="M305" i="2"/>
  <c r="H305" i="2"/>
  <c r="G305" i="2"/>
  <c r="F305" i="2"/>
  <c r="D90" i="8" s="1"/>
  <c r="D305" i="2"/>
  <c r="B90" i="8" s="1"/>
  <c r="AH304" i="2"/>
  <c r="R304" i="2"/>
  <c r="Q304" i="2"/>
  <c r="AB304" i="2" s="1"/>
  <c r="P304" i="2"/>
  <c r="M304" i="2"/>
  <c r="H304" i="2"/>
  <c r="G304" i="2"/>
  <c r="F304" i="2"/>
  <c r="D304" i="2"/>
  <c r="AH303" i="2"/>
  <c r="R303" i="2"/>
  <c r="Q303" i="2"/>
  <c r="AF303" i="2" s="1"/>
  <c r="P303" i="2"/>
  <c r="M303" i="2"/>
  <c r="H303" i="2"/>
  <c r="G303" i="2"/>
  <c r="F303" i="2"/>
  <c r="D111" i="8" s="1"/>
  <c r="D303" i="2"/>
  <c r="AH302" i="2"/>
  <c r="R302" i="2"/>
  <c r="Q302" i="2"/>
  <c r="P302" i="2"/>
  <c r="M302" i="2"/>
  <c r="H302" i="2"/>
  <c r="G302" i="2"/>
  <c r="F302" i="2"/>
  <c r="D103" i="8" s="1"/>
  <c r="D302" i="2"/>
  <c r="B103" i="8" s="1"/>
  <c r="AH301" i="2"/>
  <c r="R301" i="2"/>
  <c r="Q301" i="2"/>
  <c r="P301" i="2"/>
  <c r="M301" i="2"/>
  <c r="H301" i="2"/>
  <c r="G301" i="2"/>
  <c r="F301" i="2"/>
  <c r="D97" i="8" s="1"/>
  <c r="D301" i="2"/>
  <c r="AH300" i="2"/>
  <c r="AB300" i="2"/>
  <c r="R300" i="2"/>
  <c r="Q300" i="2"/>
  <c r="AF300" i="2" s="1"/>
  <c r="P300" i="2"/>
  <c r="AC300" i="2" s="1"/>
  <c r="M300" i="2"/>
  <c r="H300" i="2"/>
  <c r="G300" i="2"/>
  <c r="F300" i="2"/>
  <c r="D108" i="8" s="1"/>
  <c r="D300" i="2"/>
  <c r="B108" i="8" s="1"/>
  <c r="AH299" i="2"/>
  <c r="R299" i="2"/>
  <c r="Q299" i="2"/>
  <c r="AD299" i="2" s="1"/>
  <c r="P299" i="2"/>
  <c r="M299" i="2"/>
  <c r="H299" i="2"/>
  <c r="G299" i="2"/>
  <c r="F299" i="2"/>
  <c r="D83" i="8" s="1"/>
  <c r="D299" i="2"/>
  <c r="B83" i="8" s="1"/>
  <c r="AH298" i="2"/>
  <c r="Y298" i="2"/>
  <c r="R298" i="2"/>
  <c r="Q298" i="2"/>
  <c r="P298" i="2"/>
  <c r="M298" i="2"/>
  <c r="H298" i="2"/>
  <c r="G298" i="2"/>
  <c r="F298" i="2"/>
  <c r="D91" i="8" s="1"/>
  <c r="D298" i="2"/>
  <c r="B91" i="8" s="1"/>
  <c r="AH297" i="2"/>
  <c r="R297" i="2"/>
  <c r="Q297" i="2"/>
  <c r="AD297" i="2" s="1"/>
  <c r="P297" i="2"/>
  <c r="M297" i="2"/>
  <c r="H297" i="2"/>
  <c r="G297" i="2"/>
  <c r="F297" i="2"/>
  <c r="D68" i="8" s="1"/>
  <c r="D297" i="2"/>
  <c r="B68" i="8" s="1"/>
  <c r="AH296" i="2"/>
  <c r="R296" i="2"/>
  <c r="Q296" i="2"/>
  <c r="P296" i="2"/>
  <c r="M296" i="2"/>
  <c r="H296" i="2"/>
  <c r="G296" i="2"/>
  <c r="F296" i="2"/>
  <c r="D59" i="8" s="1"/>
  <c r="D296" i="2"/>
  <c r="B59" i="8" s="1"/>
  <c r="AH295" i="2"/>
  <c r="R295" i="2"/>
  <c r="Q295" i="2"/>
  <c r="P295" i="2"/>
  <c r="M295" i="2"/>
  <c r="H295" i="2"/>
  <c r="G295" i="2"/>
  <c r="F295" i="2"/>
  <c r="D104" i="8" s="1"/>
  <c r="D295" i="2"/>
  <c r="B104" i="8" s="1"/>
  <c r="AH294" i="2"/>
  <c r="R294" i="2"/>
  <c r="Q294" i="2"/>
  <c r="AB294" i="2" s="1"/>
  <c r="P294" i="2"/>
  <c r="M294" i="2"/>
  <c r="H294" i="2"/>
  <c r="G294" i="2"/>
  <c r="F294" i="2"/>
  <c r="D294" i="2"/>
  <c r="AJ293" i="2"/>
  <c r="AN293" i="2" s="1"/>
  <c r="P293" i="2"/>
  <c r="M293" i="2"/>
  <c r="H293" i="2"/>
  <c r="G293" i="2"/>
  <c r="F293" i="2"/>
  <c r="D34" i="9" s="1"/>
  <c r="D293" i="2"/>
  <c r="B34" i="9" s="1"/>
  <c r="AH292" i="2"/>
  <c r="R292" i="2"/>
  <c r="Q292" i="2"/>
  <c r="P292" i="2"/>
  <c r="M292" i="2"/>
  <c r="H292" i="2"/>
  <c r="G292" i="2"/>
  <c r="F292" i="2"/>
  <c r="D292" i="2"/>
  <c r="AH291" i="2"/>
  <c r="R291" i="2"/>
  <c r="Q291" i="2"/>
  <c r="AB291" i="2" s="1"/>
  <c r="P291" i="2"/>
  <c r="M291" i="2"/>
  <c r="H291" i="2"/>
  <c r="G291" i="2"/>
  <c r="F291" i="2"/>
  <c r="D106" i="8" s="1"/>
  <c r="D291" i="2"/>
  <c r="B106" i="8" s="1"/>
  <c r="AH290" i="2"/>
  <c r="R290" i="2"/>
  <c r="Q290" i="2"/>
  <c r="P290" i="2"/>
  <c r="M290" i="2"/>
  <c r="H290" i="2"/>
  <c r="G290" i="2"/>
  <c r="F290" i="2"/>
  <c r="D290" i="2"/>
  <c r="AJ289" i="2"/>
  <c r="P289" i="2"/>
  <c r="M289" i="2"/>
  <c r="H289" i="2"/>
  <c r="G289" i="2"/>
  <c r="F289" i="2"/>
  <c r="D35" i="9" s="1"/>
  <c r="D289" i="2"/>
  <c r="B35" i="9" s="1"/>
  <c r="AH288" i="2"/>
  <c r="R288" i="2"/>
  <c r="Q288" i="2"/>
  <c r="AA288" i="2" s="1"/>
  <c r="P288" i="2"/>
  <c r="M288" i="2"/>
  <c r="H288" i="2"/>
  <c r="G288" i="2"/>
  <c r="F288" i="2"/>
  <c r="D102" i="8" s="1"/>
  <c r="D288" i="2"/>
  <c r="B102" i="8" s="1"/>
  <c r="AH287" i="2"/>
  <c r="R287" i="2"/>
  <c r="Q287" i="2"/>
  <c r="P287" i="2"/>
  <c r="M287" i="2"/>
  <c r="H287" i="2"/>
  <c r="G287" i="2"/>
  <c r="F287" i="2"/>
  <c r="D86" i="8" s="1"/>
  <c r="D287" i="2"/>
  <c r="B86" i="8" s="1"/>
  <c r="AH286" i="2"/>
  <c r="AF286" i="2"/>
  <c r="R286" i="2"/>
  <c r="Q286" i="2"/>
  <c r="AB286" i="2" s="1"/>
  <c r="P286" i="2"/>
  <c r="S286" i="2" s="1"/>
  <c r="M286" i="2"/>
  <c r="H286" i="2"/>
  <c r="G286" i="2"/>
  <c r="F286" i="2"/>
  <c r="D286" i="2"/>
  <c r="AH285" i="2"/>
  <c r="Z285" i="2"/>
  <c r="R285" i="2"/>
  <c r="Q285" i="2"/>
  <c r="Y285" i="2" s="1"/>
  <c r="P285" i="2"/>
  <c r="M285" i="2"/>
  <c r="H285" i="2"/>
  <c r="G285" i="2"/>
  <c r="F285" i="2"/>
  <c r="D72" i="8" s="1"/>
  <c r="D285" i="2"/>
  <c r="AH284" i="2"/>
  <c r="R284" i="2"/>
  <c r="Q284" i="2"/>
  <c r="P284" i="2"/>
  <c r="M284" i="2"/>
  <c r="H284" i="2"/>
  <c r="G284" i="2"/>
  <c r="F284" i="2"/>
  <c r="D80" i="8" s="1"/>
  <c r="D284" i="2"/>
  <c r="AH283" i="2"/>
  <c r="R283" i="2"/>
  <c r="Q283" i="2"/>
  <c r="P283" i="2"/>
  <c r="M283" i="2"/>
  <c r="H283" i="2"/>
  <c r="G283" i="2"/>
  <c r="F283" i="2"/>
  <c r="D283" i="2"/>
  <c r="AH282" i="2"/>
  <c r="R282" i="2"/>
  <c r="Q282" i="2"/>
  <c r="P282" i="2"/>
  <c r="M282" i="2"/>
  <c r="H282" i="2"/>
  <c r="G282" i="2"/>
  <c r="F282" i="2"/>
  <c r="D282" i="2"/>
  <c r="AH281" i="2"/>
  <c r="W281" i="2"/>
  <c r="T281" i="2"/>
  <c r="R281" i="2"/>
  <c r="Q281" i="2"/>
  <c r="P281" i="2"/>
  <c r="M281" i="2"/>
  <c r="H281" i="2"/>
  <c r="G281" i="2"/>
  <c r="F281" i="2"/>
  <c r="D281" i="2"/>
  <c r="AH280" i="2"/>
  <c r="AB280" i="2"/>
  <c r="Z280" i="2"/>
  <c r="R280" i="2"/>
  <c r="Q280" i="2"/>
  <c r="AA280" i="2" s="1"/>
  <c r="P280" i="2"/>
  <c r="M280" i="2"/>
  <c r="H280" i="2"/>
  <c r="G280" i="2"/>
  <c r="F280" i="2"/>
  <c r="D280" i="2"/>
  <c r="AJ279" i="2"/>
  <c r="P279" i="2"/>
  <c r="M279" i="2"/>
  <c r="H279" i="2"/>
  <c r="G279" i="2"/>
  <c r="F279" i="2"/>
  <c r="D33" i="9" s="1"/>
  <c r="D279" i="2"/>
  <c r="B33" i="9" s="1"/>
  <c r="AH278" i="2"/>
  <c r="R278" i="2"/>
  <c r="Q278" i="2"/>
  <c r="P278" i="2"/>
  <c r="M278" i="2"/>
  <c r="H278" i="2"/>
  <c r="G278" i="2"/>
  <c r="F278" i="2"/>
  <c r="D93" i="8" s="1"/>
  <c r="D278" i="2"/>
  <c r="B93" i="8" s="1"/>
  <c r="AH277" i="2"/>
  <c r="R277" i="2"/>
  <c r="Q277" i="2"/>
  <c r="Y277" i="2" s="1"/>
  <c r="P277" i="2"/>
  <c r="M277" i="2"/>
  <c r="H277" i="2"/>
  <c r="G277" i="2"/>
  <c r="F277" i="2"/>
  <c r="D277" i="2"/>
  <c r="AH276" i="2"/>
  <c r="R276" i="2"/>
  <c r="Q276" i="2"/>
  <c r="AF276" i="2" s="1"/>
  <c r="P276" i="2"/>
  <c r="M276" i="2"/>
  <c r="H276" i="2"/>
  <c r="G276" i="2"/>
  <c r="F276" i="2"/>
  <c r="D99" i="8" s="1"/>
  <c r="D276" i="2"/>
  <c r="AH275" i="2"/>
  <c r="R275" i="2"/>
  <c r="Q275" i="2"/>
  <c r="P275" i="2"/>
  <c r="M275" i="2"/>
  <c r="H275" i="2"/>
  <c r="G275" i="2"/>
  <c r="F275" i="2"/>
  <c r="D275" i="2"/>
  <c r="AH274" i="2"/>
  <c r="R274" i="2"/>
  <c r="Q274" i="2"/>
  <c r="P274" i="2"/>
  <c r="M274" i="2"/>
  <c r="H274" i="2"/>
  <c r="G274" i="2"/>
  <c r="F274" i="2"/>
  <c r="D88" i="8" s="1"/>
  <c r="D274" i="2"/>
  <c r="AH273" i="2"/>
  <c r="R273" i="2"/>
  <c r="Q273" i="2"/>
  <c r="AG273" i="2" s="1"/>
  <c r="P273" i="2"/>
  <c r="AE273" i="2" s="1"/>
  <c r="M273" i="2"/>
  <c r="H273" i="2"/>
  <c r="G273" i="2"/>
  <c r="F273" i="2"/>
  <c r="D273" i="2"/>
  <c r="AH272" i="2"/>
  <c r="R272" i="2"/>
  <c r="Q272" i="2"/>
  <c r="Z272" i="2" s="1"/>
  <c r="P272" i="2"/>
  <c r="M272" i="2"/>
  <c r="H272" i="2"/>
  <c r="G272" i="2"/>
  <c r="F272" i="2"/>
  <c r="D272" i="2"/>
  <c r="AH271" i="2"/>
  <c r="R271" i="2"/>
  <c r="Q271" i="2"/>
  <c r="AF271" i="2" s="1"/>
  <c r="P271" i="2"/>
  <c r="M271" i="2"/>
  <c r="H271" i="2"/>
  <c r="G271" i="2"/>
  <c r="F271" i="2"/>
  <c r="D84" i="8" s="1"/>
  <c r="D271" i="2"/>
  <c r="B84" i="8" s="1"/>
  <c r="AH270" i="2"/>
  <c r="R270" i="2"/>
  <c r="Q270" i="2"/>
  <c r="P270" i="2"/>
  <c r="M270" i="2"/>
  <c r="H270" i="2"/>
  <c r="G270" i="2"/>
  <c r="F270" i="2"/>
  <c r="D270" i="2"/>
  <c r="AH269" i="2"/>
  <c r="R269" i="2"/>
  <c r="Q269" i="2"/>
  <c r="AA269" i="2" s="1"/>
  <c r="P269" i="2"/>
  <c r="W269" i="2" s="1"/>
  <c r="M269" i="2"/>
  <c r="H269" i="2"/>
  <c r="G269" i="2"/>
  <c r="F269" i="2"/>
  <c r="D269" i="2"/>
  <c r="AH268" i="2"/>
  <c r="R268" i="2"/>
  <c r="Q268" i="2"/>
  <c r="AA268" i="2" s="1"/>
  <c r="P268" i="2"/>
  <c r="AE268" i="2" s="1"/>
  <c r="M268" i="2"/>
  <c r="H268" i="2"/>
  <c r="G268" i="2"/>
  <c r="F268" i="2"/>
  <c r="D268" i="2"/>
  <c r="AH267" i="2"/>
  <c r="R267" i="2"/>
  <c r="Q267" i="2"/>
  <c r="P267" i="2"/>
  <c r="M267" i="2"/>
  <c r="H267" i="2"/>
  <c r="G267" i="2"/>
  <c r="F267" i="2"/>
  <c r="D92" i="8" s="1"/>
  <c r="D267" i="2"/>
  <c r="AH266" i="2"/>
  <c r="R266" i="2"/>
  <c r="Q266" i="2"/>
  <c r="Y266" i="2" s="1"/>
  <c r="P266" i="2"/>
  <c r="M266" i="2"/>
  <c r="H266" i="2"/>
  <c r="G266" i="2"/>
  <c r="F266" i="2"/>
  <c r="D87" i="8" s="1"/>
  <c r="D266" i="2"/>
  <c r="AH265" i="2"/>
  <c r="R265" i="2"/>
  <c r="Q265" i="2"/>
  <c r="Z265" i="2" s="1"/>
  <c r="P265" i="2"/>
  <c r="V265" i="2" s="1"/>
  <c r="M265" i="2"/>
  <c r="H265" i="2"/>
  <c r="G265" i="2"/>
  <c r="F265" i="2"/>
  <c r="D265" i="2"/>
  <c r="AH264" i="2"/>
  <c r="R264" i="2"/>
  <c r="Q264" i="2"/>
  <c r="P264" i="2"/>
  <c r="M264" i="2"/>
  <c r="H264" i="2"/>
  <c r="G264" i="2"/>
  <c r="F264" i="2"/>
  <c r="D94" i="8" s="1"/>
  <c r="D264" i="2"/>
  <c r="B94" i="8" s="1"/>
  <c r="AH263" i="2"/>
  <c r="R263" i="2"/>
  <c r="Q263" i="2"/>
  <c r="Y263" i="2" s="1"/>
  <c r="P263" i="2"/>
  <c r="M263" i="2"/>
  <c r="H263" i="2"/>
  <c r="G263" i="2"/>
  <c r="F263" i="2"/>
  <c r="D95" i="8" s="1"/>
  <c r="D263" i="2"/>
  <c r="B95" i="8" s="1"/>
  <c r="AH262" i="2"/>
  <c r="R262" i="2"/>
  <c r="Q262" i="2"/>
  <c r="AA262" i="2" s="1"/>
  <c r="P262" i="2"/>
  <c r="AC262" i="2" s="1"/>
  <c r="M262" i="2"/>
  <c r="H262" i="2"/>
  <c r="G262" i="2"/>
  <c r="F262" i="2"/>
  <c r="D262" i="2"/>
  <c r="AH261" i="2"/>
  <c r="R261" i="2"/>
  <c r="Q261" i="2"/>
  <c r="P261" i="2"/>
  <c r="M261" i="2"/>
  <c r="H261" i="2"/>
  <c r="G261" i="2"/>
  <c r="F261" i="2"/>
  <c r="D78" i="8" s="1"/>
  <c r="D261" i="2"/>
  <c r="B78" i="8" s="1"/>
  <c r="AH260" i="2"/>
  <c r="R260" i="2"/>
  <c r="Q260" i="2"/>
  <c r="P260" i="2"/>
  <c r="M260" i="2"/>
  <c r="H260" i="2"/>
  <c r="G260" i="2"/>
  <c r="F260" i="2"/>
  <c r="D260" i="2"/>
  <c r="AH259" i="2"/>
  <c r="R259" i="2"/>
  <c r="Q259" i="2"/>
  <c r="P259" i="2"/>
  <c r="M259" i="2"/>
  <c r="H259" i="2"/>
  <c r="G259" i="2"/>
  <c r="F259" i="2"/>
  <c r="D259" i="2"/>
  <c r="AH258" i="2"/>
  <c r="AB258" i="2"/>
  <c r="R258" i="2"/>
  <c r="Q258" i="2"/>
  <c r="P258" i="2"/>
  <c r="AC258" i="2" s="1"/>
  <c r="M258" i="2"/>
  <c r="H258" i="2"/>
  <c r="G258" i="2"/>
  <c r="F258" i="2"/>
  <c r="D258" i="2"/>
  <c r="AH257" i="2"/>
  <c r="R257" i="2"/>
  <c r="Q257" i="2"/>
  <c r="P257" i="2"/>
  <c r="M257" i="2"/>
  <c r="H257" i="2"/>
  <c r="G257" i="2"/>
  <c r="F257" i="2"/>
  <c r="D85" i="8" s="1"/>
  <c r="D257" i="2"/>
  <c r="AH256" i="2"/>
  <c r="R256" i="2"/>
  <c r="Q256" i="2"/>
  <c r="P256" i="2"/>
  <c r="M256" i="2"/>
  <c r="H256" i="2"/>
  <c r="G256" i="2"/>
  <c r="F256" i="2"/>
  <c r="D256" i="2"/>
  <c r="AH255" i="2"/>
  <c r="R255" i="2"/>
  <c r="Q255" i="2"/>
  <c r="P255" i="2"/>
  <c r="M255" i="2"/>
  <c r="H255" i="2"/>
  <c r="G255" i="2"/>
  <c r="F255" i="2"/>
  <c r="D77" i="8" s="1"/>
  <c r="D255" i="2"/>
  <c r="B77" i="8" s="1"/>
  <c r="AH254" i="2"/>
  <c r="R254" i="2"/>
  <c r="Q254" i="2"/>
  <c r="P254" i="2"/>
  <c r="M254" i="2"/>
  <c r="H254" i="2"/>
  <c r="G254" i="2"/>
  <c r="F254" i="2"/>
  <c r="D254" i="2"/>
  <c r="AH253" i="2"/>
  <c r="R253" i="2"/>
  <c r="Q253" i="2"/>
  <c r="P253" i="2"/>
  <c r="M253" i="2"/>
  <c r="H253" i="2"/>
  <c r="G253" i="2"/>
  <c r="F253" i="2"/>
  <c r="D253" i="2"/>
  <c r="AH252" i="2"/>
  <c r="R252" i="2"/>
  <c r="Q252" i="2"/>
  <c r="P252" i="2"/>
  <c r="M252" i="2"/>
  <c r="H252" i="2"/>
  <c r="G252" i="2"/>
  <c r="F252" i="2"/>
  <c r="D252" i="2"/>
  <c r="AJ251" i="2"/>
  <c r="AN251" i="2" s="1"/>
  <c r="P251" i="2"/>
  <c r="M251" i="2"/>
  <c r="H251" i="2"/>
  <c r="G251" i="2"/>
  <c r="F251" i="2"/>
  <c r="D32" i="9" s="1"/>
  <c r="D251" i="2"/>
  <c r="B32" i="9" s="1"/>
  <c r="AH250" i="2"/>
  <c r="R250" i="2"/>
  <c r="Q250" i="2"/>
  <c r="P250" i="2"/>
  <c r="M250" i="2"/>
  <c r="H250" i="2"/>
  <c r="G250" i="2"/>
  <c r="F250" i="2"/>
  <c r="D81" i="8" s="1"/>
  <c r="D250" i="2"/>
  <c r="AH249" i="2"/>
  <c r="R249" i="2"/>
  <c r="Q249" i="2"/>
  <c r="AG249" i="2" s="1"/>
  <c r="P249" i="2"/>
  <c r="M249" i="2"/>
  <c r="H249" i="2"/>
  <c r="G249" i="2"/>
  <c r="F249" i="2"/>
  <c r="D79" i="8" s="1"/>
  <c r="D249" i="2"/>
  <c r="B79" i="8" s="1"/>
  <c r="AH248" i="2"/>
  <c r="R248" i="2"/>
  <c r="Q248" i="2"/>
  <c r="P248" i="2"/>
  <c r="M248" i="2"/>
  <c r="H248" i="2"/>
  <c r="G248" i="2"/>
  <c r="F248" i="2"/>
  <c r="D82" i="8" s="1"/>
  <c r="D248" i="2"/>
  <c r="AH247" i="2"/>
  <c r="R247" i="2"/>
  <c r="Q247" i="2"/>
  <c r="AB247" i="2" s="1"/>
  <c r="P247" i="2"/>
  <c r="M247" i="2"/>
  <c r="H247" i="2"/>
  <c r="G247" i="2"/>
  <c r="F247" i="2"/>
  <c r="D89" i="8" s="1"/>
  <c r="D247" i="2"/>
  <c r="B89" i="8" s="1"/>
  <c r="AH246" i="2"/>
  <c r="R246" i="2"/>
  <c r="Q246" i="2"/>
  <c r="P246" i="2"/>
  <c r="M246" i="2"/>
  <c r="H246" i="2"/>
  <c r="G246" i="2"/>
  <c r="F246" i="2"/>
  <c r="D246" i="2"/>
  <c r="AH245" i="2"/>
  <c r="R245" i="2"/>
  <c r="Q245" i="2"/>
  <c r="AD245" i="2" s="1"/>
  <c r="P245" i="2"/>
  <c r="M245" i="2"/>
  <c r="H245" i="2"/>
  <c r="G245" i="2"/>
  <c r="F245" i="2"/>
  <c r="D245" i="2"/>
  <c r="AH244" i="2"/>
  <c r="R244" i="2"/>
  <c r="Q244" i="2"/>
  <c r="P244" i="2"/>
  <c r="M244" i="2"/>
  <c r="H244" i="2"/>
  <c r="G244" i="2"/>
  <c r="F244" i="2"/>
  <c r="D52" i="8" s="1"/>
  <c r="D244" i="2"/>
  <c r="B52" i="8" s="1"/>
  <c r="AH243" i="2"/>
  <c r="R243" i="2"/>
  <c r="Q243" i="2"/>
  <c r="AG243" i="2" s="1"/>
  <c r="P243" i="2"/>
  <c r="M243" i="2"/>
  <c r="H243" i="2"/>
  <c r="G243" i="2"/>
  <c r="F243" i="2"/>
  <c r="D243" i="2"/>
  <c r="AH242" i="2"/>
  <c r="R242" i="2"/>
  <c r="Q242" i="2"/>
  <c r="AA242" i="2" s="1"/>
  <c r="P242" i="2"/>
  <c r="M242" i="2"/>
  <c r="H242" i="2"/>
  <c r="G242" i="2"/>
  <c r="F242" i="2"/>
  <c r="D242" i="2"/>
  <c r="AH241" i="2"/>
  <c r="R241" i="2"/>
  <c r="Q241" i="2"/>
  <c r="P241" i="2"/>
  <c r="M241" i="2"/>
  <c r="H241" i="2"/>
  <c r="G241" i="2"/>
  <c r="F241" i="2"/>
  <c r="D241" i="2"/>
  <c r="AH240" i="2"/>
  <c r="R240" i="2"/>
  <c r="Q240" i="2"/>
  <c r="P240" i="2"/>
  <c r="M240" i="2"/>
  <c r="H240" i="2"/>
  <c r="G240" i="2"/>
  <c r="F240" i="2"/>
  <c r="D240" i="2"/>
  <c r="AH239" i="2"/>
  <c r="R239" i="2"/>
  <c r="Q239" i="2"/>
  <c r="P239" i="2"/>
  <c r="M239" i="2"/>
  <c r="H239" i="2"/>
  <c r="G239" i="2"/>
  <c r="F239" i="2"/>
  <c r="D239" i="2"/>
  <c r="AJ238" i="2"/>
  <c r="P238" i="2"/>
  <c r="M238" i="2"/>
  <c r="H238" i="2"/>
  <c r="G238" i="2"/>
  <c r="F238" i="2"/>
  <c r="D31" i="9" s="1"/>
  <c r="D238" i="2"/>
  <c r="B31" i="9" s="1"/>
  <c r="AH237" i="2"/>
  <c r="R237" i="2"/>
  <c r="Q237" i="2"/>
  <c r="AF237" i="2" s="1"/>
  <c r="P237" i="2"/>
  <c r="M237" i="2"/>
  <c r="H237" i="2"/>
  <c r="G237" i="2"/>
  <c r="F237" i="2"/>
  <c r="D237" i="2"/>
  <c r="AH236" i="2"/>
  <c r="R236" i="2"/>
  <c r="Q236" i="2"/>
  <c r="AB236" i="2" s="1"/>
  <c r="P236" i="2"/>
  <c r="M236" i="2"/>
  <c r="H236" i="2"/>
  <c r="G236" i="2"/>
  <c r="F236" i="2"/>
  <c r="D236" i="2"/>
  <c r="AH235" i="2"/>
  <c r="R235" i="2"/>
  <c r="Q235" i="2"/>
  <c r="AA235" i="2" s="1"/>
  <c r="P235" i="2"/>
  <c r="M235" i="2"/>
  <c r="H235" i="2"/>
  <c r="G235" i="2"/>
  <c r="F235" i="2"/>
  <c r="D235" i="2"/>
  <c r="AJ234" i="2"/>
  <c r="AM234" i="2" s="1"/>
  <c r="P234" i="2"/>
  <c r="M234" i="2"/>
  <c r="H234" i="2"/>
  <c r="G234" i="2"/>
  <c r="F234" i="2"/>
  <c r="D30" i="9" s="1"/>
  <c r="D234" i="2"/>
  <c r="B30" i="9" s="1"/>
  <c r="AH233" i="2"/>
  <c r="R233" i="2"/>
  <c r="Q233" i="2"/>
  <c r="P233" i="2"/>
  <c r="M233" i="2"/>
  <c r="H233" i="2"/>
  <c r="G233" i="2"/>
  <c r="F233" i="2"/>
  <c r="D233" i="2"/>
  <c r="AH232" i="2"/>
  <c r="R232" i="2"/>
  <c r="Q232" i="2"/>
  <c r="AF232" i="2" s="1"/>
  <c r="P232" i="2"/>
  <c r="X232" i="2" s="1"/>
  <c r="M232" i="2"/>
  <c r="H232" i="2"/>
  <c r="G232" i="2"/>
  <c r="F232" i="2"/>
  <c r="D55" i="8" s="1"/>
  <c r="D232" i="2"/>
  <c r="AH231" i="2"/>
  <c r="R231" i="2"/>
  <c r="Q231" i="2"/>
  <c r="Z231" i="2" s="1"/>
  <c r="P231" i="2"/>
  <c r="AE231" i="2" s="1"/>
  <c r="M231" i="2"/>
  <c r="H231" i="2"/>
  <c r="G231" i="2"/>
  <c r="F231" i="2"/>
  <c r="D75" i="8" s="1"/>
  <c r="D231" i="2"/>
  <c r="AH230" i="2"/>
  <c r="R230" i="2"/>
  <c r="Q230" i="2"/>
  <c r="P230" i="2"/>
  <c r="M230" i="2"/>
  <c r="H230" i="2"/>
  <c r="G230" i="2"/>
  <c r="F230" i="2"/>
  <c r="D230" i="2"/>
  <c r="AH229" i="2"/>
  <c r="R229" i="2"/>
  <c r="Q229" i="2"/>
  <c r="P229" i="2"/>
  <c r="M229" i="2"/>
  <c r="H229" i="2"/>
  <c r="G229" i="2"/>
  <c r="F229" i="2"/>
  <c r="D229" i="2"/>
  <c r="AJ228" i="2"/>
  <c r="P228" i="2"/>
  <c r="M228" i="2"/>
  <c r="H228" i="2"/>
  <c r="G228" i="2"/>
  <c r="F228" i="2"/>
  <c r="D29" i="9" s="1"/>
  <c r="D228" i="2"/>
  <c r="B29" i="9" s="1"/>
  <c r="AH227" i="2"/>
  <c r="R227" i="2"/>
  <c r="Q227" i="2"/>
  <c r="P227" i="2"/>
  <c r="M227" i="2"/>
  <c r="H227" i="2"/>
  <c r="G227" i="2"/>
  <c r="F227" i="2"/>
  <c r="D67" i="8" s="1"/>
  <c r="D227" i="2"/>
  <c r="B67" i="8" s="1"/>
  <c r="AH226" i="2"/>
  <c r="R226" i="2"/>
  <c r="Q226" i="2"/>
  <c r="P226" i="2"/>
  <c r="V226" i="2" s="1"/>
  <c r="M226" i="2"/>
  <c r="H226" i="2"/>
  <c r="G226" i="2"/>
  <c r="F226" i="2"/>
  <c r="D73" i="8" s="1"/>
  <c r="D226" i="2"/>
  <c r="B73" i="8" s="1"/>
  <c r="AJ225" i="2"/>
  <c r="AN225" i="2" s="1"/>
  <c r="P225" i="2"/>
  <c r="M225" i="2"/>
  <c r="H225" i="2"/>
  <c r="G225" i="2"/>
  <c r="F225" i="2"/>
  <c r="D28" i="9" s="1"/>
  <c r="D225" i="2"/>
  <c r="B28" i="9" s="1"/>
  <c r="AH224" i="2"/>
  <c r="R224" i="2"/>
  <c r="Q224" i="2"/>
  <c r="P224" i="2"/>
  <c r="M224" i="2"/>
  <c r="H224" i="2"/>
  <c r="G224" i="2"/>
  <c r="F224" i="2"/>
  <c r="D224" i="2"/>
  <c r="AH223" i="2"/>
  <c r="R223" i="2"/>
  <c r="Q223" i="2"/>
  <c r="AG223" i="2" s="1"/>
  <c r="P223" i="2"/>
  <c r="M223" i="2"/>
  <c r="H223" i="2"/>
  <c r="G223" i="2"/>
  <c r="F223" i="2"/>
  <c r="D58" i="8" s="1"/>
  <c r="D223" i="2"/>
  <c r="AJ222" i="2"/>
  <c r="AN222" i="2" s="1"/>
  <c r="P222" i="2"/>
  <c r="M222" i="2"/>
  <c r="H222" i="2"/>
  <c r="G222" i="2"/>
  <c r="F222" i="2"/>
  <c r="D27" i="9" s="1"/>
  <c r="D222" i="2"/>
  <c r="B27" i="9" s="1"/>
  <c r="AH221" i="2"/>
  <c r="R221" i="2"/>
  <c r="Q221" i="2"/>
  <c r="AG221" i="2" s="1"/>
  <c r="P221" i="2"/>
  <c r="M221" i="2"/>
  <c r="H221" i="2"/>
  <c r="G221" i="2"/>
  <c r="F221" i="2"/>
  <c r="D221" i="2"/>
  <c r="AJ220" i="2"/>
  <c r="P220" i="2"/>
  <c r="M220" i="2"/>
  <c r="H220" i="2"/>
  <c r="G220" i="2"/>
  <c r="F220" i="2"/>
  <c r="D26" i="9" s="1"/>
  <c r="D220" i="2"/>
  <c r="AH219" i="2"/>
  <c r="R219" i="2"/>
  <c r="Q219" i="2"/>
  <c r="P219" i="2"/>
  <c r="M219" i="2"/>
  <c r="H219" i="2"/>
  <c r="G219" i="2"/>
  <c r="F219" i="2"/>
  <c r="D76" i="8" s="1"/>
  <c r="D219" i="2"/>
  <c r="B76" i="8" s="1"/>
  <c r="AH218" i="2"/>
  <c r="R218" i="2"/>
  <c r="Q218" i="2"/>
  <c r="AF218" i="2" s="1"/>
  <c r="P218" i="2"/>
  <c r="M218" i="2"/>
  <c r="H218" i="2"/>
  <c r="G218" i="2"/>
  <c r="F218" i="2"/>
  <c r="D47" i="8" s="1"/>
  <c r="D218" i="2"/>
  <c r="B47" i="8" s="1"/>
  <c r="AH217" i="2"/>
  <c r="Z217" i="2"/>
  <c r="R217" i="2"/>
  <c r="Q217" i="2"/>
  <c r="P217" i="2"/>
  <c r="M217" i="2"/>
  <c r="H217" i="2"/>
  <c r="G217" i="2"/>
  <c r="F217" i="2"/>
  <c r="D217" i="2"/>
  <c r="AH216" i="2"/>
  <c r="R216" i="2"/>
  <c r="Q216" i="2"/>
  <c r="P216" i="2"/>
  <c r="M216" i="2"/>
  <c r="H216" i="2"/>
  <c r="G216" i="2"/>
  <c r="F216" i="2"/>
  <c r="D61" i="8" s="1"/>
  <c r="D216" i="2"/>
  <c r="AH215" i="2"/>
  <c r="R215" i="2"/>
  <c r="Q215" i="2"/>
  <c r="AD215" i="2" s="1"/>
  <c r="P215" i="2"/>
  <c r="M215" i="2"/>
  <c r="H215" i="2"/>
  <c r="G215" i="2"/>
  <c r="F215" i="2"/>
  <c r="D71" i="8" s="1"/>
  <c r="D215" i="2"/>
  <c r="AH214" i="2"/>
  <c r="R214" i="2"/>
  <c r="Q214" i="2"/>
  <c r="AA214" i="2" s="1"/>
  <c r="P214" i="2"/>
  <c r="M214" i="2"/>
  <c r="H214" i="2"/>
  <c r="G214" i="2"/>
  <c r="F214" i="2"/>
  <c r="D54" i="8" s="1"/>
  <c r="D214" i="2"/>
  <c r="B54" i="8" s="1"/>
  <c r="AH213" i="2"/>
  <c r="R213" i="2"/>
  <c r="Q213" i="2"/>
  <c r="AF213" i="2" s="1"/>
  <c r="P213" i="2"/>
  <c r="M213" i="2"/>
  <c r="H213" i="2"/>
  <c r="G213" i="2"/>
  <c r="F213" i="2"/>
  <c r="D213" i="2"/>
  <c r="AH212" i="2"/>
  <c r="R212" i="2"/>
  <c r="Q212" i="2"/>
  <c r="P212" i="2"/>
  <c r="M212" i="2"/>
  <c r="H212" i="2"/>
  <c r="G212" i="2"/>
  <c r="F212" i="2"/>
  <c r="D212" i="2"/>
  <c r="AH211" i="2"/>
  <c r="R211" i="2"/>
  <c r="Q211" i="2"/>
  <c r="AD211" i="2" s="1"/>
  <c r="P211" i="2"/>
  <c r="M211" i="2"/>
  <c r="H211" i="2"/>
  <c r="G211" i="2"/>
  <c r="F211" i="2"/>
  <c r="D211" i="2"/>
  <c r="AH210" i="2"/>
  <c r="R210" i="2"/>
  <c r="Q210" i="2"/>
  <c r="P210" i="2"/>
  <c r="M210" i="2"/>
  <c r="H210" i="2"/>
  <c r="G210" i="2"/>
  <c r="F210" i="2"/>
  <c r="D210" i="2"/>
  <c r="AH209" i="2"/>
  <c r="R209" i="2"/>
  <c r="Q209" i="2"/>
  <c r="AB209" i="2" s="1"/>
  <c r="P209" i="2"/>
  <c r="M209" i="2"/>
  <c r="H209" i="2"/>
  <c r="G209" i="2"/>
  <c r="F209" i="2"/>
  <c r="D57" i="8" s="1"/>
  <c r="D209" i="2"/>
  <c r="B57" i="8" s="1"/>
  <c r="AH208" i="2"/>
  <c r="R208" i="2"/>
  <c r="Q208" i="2"/>
  <c r="P208" i="2"/>
  <c r="M208" i="2"/>
  <c r="H208" i="2"/>
  <c r="G208" i="2"/>
  <c r="F208" i="2"/>
  <c r="D208" i="2"/>
  <c r="AH207" i="2"/>
  <c r="R207" i="2"/>
  <c r="Q207" i="2"/>
  <c r="AG207" i="2" s="1"/>
  <c r="P207" i="2"/>
  <c r="M207" i="2"/>
  <c r="H207" i="2"/>
  <c r="G207" i="2"/>
  <c r="F207" i="2"/>
  <c r="D207" i="2"/>
  <c r="AH206" i="2"/>
  <c r="R206" i="2"/>
  <c r="Q206" i="2"/>
  <c r="P206" i="2"/>
  <c r="M206" i="2"/>
  <c r="H206" i="2"/>
  <c r="G206" i="2"/>
  <c r="F206" i="2"/>
  <c r="D206" i="2"/>
  <c r="AH205" i="2"/>
  <c r="R205" i="2"/>
  <c r="Q205" i="2"/>
  <c r="AD205" i="2" s="1"/>
  <c r="P205" i="2"/>
  <c r="M205" i="2"/>
  <c r="H205" i="2"/>
  <c r="G205" i="2"/>
  <c r="F205" i="2"/>
  <c r="D205" i="2"/>
  <c r="AH204" i="2"/>
  <c r="R204" i="2"/>
  <c r="Q204" i="2"/>
  <c r="P204" i="2"/>
  <c r="M204" i="2"/>
  <c r="H204" i="2"/>
  <c r="G204" i="2"/>
  <c r="F204" i="2"/>
  <c r="D204" i="2"/>
  <c r="AH203" i="2"/>
  <c r="R203" i="2"/>
  <c r="Q203" i="2"/>
  <c r="AB203" i="2" s="1"/>
  <c r="P203" i="2"/>
  <c r="M203" i="2"/>
  <c r="H203" i="2"/>
  <c r="G203" i="2"/>
  <c r="F203" i="2"/>
  <c r="D203" i="2"/>
  <c r="AH202" i="2"/>
  <c r="AG202" i="2"/>
  <c r="AA202" i="2"/>
  <c r="R202" i="2"/>
  <c r="Q202" i="2"/>
  <c r="AF202" i="2" s="1"/>
  <c r="P202" i="2"/>
  <c r="M202" i="2"/>
  <c r="H202" i="2"/>
  <c r="G202" i="2"/>
  <c r="F202" i="2"/>
  <c r="D202" i="2"/>
  <c r="AH201" i="2"/>
  <c r="R201" i="2"/>
  <c r="Q201" i="2"/>
  <c r="AA201" i="2" s="1"/>
  <c r="P201" i="2"/>
  <c r="M201" i="2"/>
  <c r="H201" i="2"/>
  <c r="G201" i="2"/>
  <c r="F201" i="2"/>
  <c r="D70" i="8" s="1"/>
  <c r="D201" i="2"/>
  <c r="B70" i="8" s="1"/>
  <c r="AH200" i="2"/>
  <c r="R200" i="2"/>
  <c r="Q200" i="2"/>
  <c r="AD200" i="2" s="1"/>
  <c r="P200" i="2"/>
  <c r="M200" i="2"/>
  <c r="H200" i="2"/>
  <c r="G200" i="2"/>
  <c r="F200" i="2"/>
  <c r="D200" i="2"/>
  <c r="AJ199" i="2"/>
  <c r="P199" i="2"/>
  <c r="M199" i="2"/>
  <c r="H199" i="2"/>
  <c r="G199" i="2"/>
  <c r="F199" i="2"/>
  <c r="D25" i="9" s="1"/>
  <c r="D199" i="2"/>
  <c r="B25" i="9" s="1"/>
  <c r="AH198" i="2"/>
  <c r="R198" i="2"/>
  <c r="Q198" i="2"/>
  <c r="P198" i="2"/>
  <c r="M198" i="2"/>
  <c r="H198" i="2"/>
  <c r="G198" i="2"/>
  <c r="F198" i="2"/>
  <c r="D66" i="8" s="1"/>
  <c r="D198" i="2"/>
  <c r="B66" i="8" s="1"/>
  <c r="AH197" i="2"/>
  <c r="R197" i="2"/>
  <c r="Q197" i="2"/>
  <c r="P197" i="2"/>
  <c r="M197" i="2"/>
  <c r="H197" i="2"/>
  <c r="G197" i="2"/>
  <c r="F197" i="2"/>
  <c r="D197" i="2"/>
  <c r="AH196" i="2"/>
  <c r="R196" i="2"/>
  <c r="Q196" i="2"/>
  <c r="AA196" i="2" s="1"/>
  <c r="P196" i="2"/>
  <c r="M196" i="2"/>
  <c r="H196" i="2"/>
  <c r="G196" i="2"/>
  <c r="F196" i="2"/>
  <c r="D69" i="8" s="1"/>
  <c r="D196" i="2"/>
  <c r="B69" i="8" s="1"/>
  <c r="AH195" i="2"/>
  <c r="R195" i="2"/>
  <c r="Q195" i="2"/>
  <c r="AA195" i="2" s="1"/>
  <c r="P195" i="2"/>
  <c r="M195" i="2"/>
  <c r="H195" i="2"/>
  <c r="G195" i="2"/>
  <c r="F195" i="2"/>
  <c r="D49" i="8" s="1"/>
  <c r="D195" i="2"/>
  <c r="B49" i="8" s="1"/>
  <c r="AH194" i="2"/>
  <c r="AB194" i="2"/>
  <c r="R194" i="2"/>
  <c r="Q194" i="2"/>
  <c r="AA194" i="2" s="1"/>
  <c r="P194" i="2"/>
  <c r="AE194" i="2" s="1"/>
  <c r="M194" i="2"/>
  <c r="H194" i="2"/>
  <c r="G194" i="2"/>
  <c r="F194" i="2"/>
  <c r="D194" i="2"/>
  <c r="AH193" i="2"/>
  <c r="R193" i="2"/>
  <c r="Q193" i="2"/>
  <c r="P193" i="2"/>
  <c r="M193" i="2"/>
  <c r="H193" i="2"/>
  <c r="G193" i="2"/>
  <c r="F193" i="2"/>
  <c r="D193" i="2"/>
  <c r="AK192" i="2"/>
  <c r="AJ192" i="2"/>
  <c r="AN192" i="2" s="1"/>
  <c r="P192" i="2"/>
  <c r="M192" i="2"/>
  <c r="H192" i="2"/>
  <c r="G192" i="2"/>
  <c r="F192" i="2"/>
  <c r="D24" i="9" s="1"/>
  <c r="D192" i="2"/>
  <c r="B24" i="9" s="1"/>
  <c r="AH191" i="2"/>
  <c r="R191" i="2"/>
  <c r="Q191" i="2"/>
  <c r="AA191" i="2" s="1"/>
  <c r="P191" i="2"/>
  <c r="M191" i="2"/>
  <c r="H191" i="2"/>
  <c r="G191" i="2"/>
  <c r="F191" i="2"/>
  <c r="D191" i="2"/>
  <c r="AH190" i="2"/>
  <c r="R190" i="2"/>
  <c r="Q190" i="2"/>
  <c r="AA190" i="2" s="1"/>
  <c r="P190" i="2"/>
  <c r="M190" i="2"/>
  <c r="H190" i="2"/>
  <c r="G190" i="2"/>
  <c r="F190" i="2"/>
  <c r="D64" i="8" s="1"/>
  <c r="D190" i="2"/>
  <c r="B64" i="8" s="1"/>
  <c r="AH189" i="2"/>
  <c r="R189" i="2"/>
  <c r="Q189" i="2"/>
  <c r="Y189" i="2" s="1"/>
  <c r="P189" i="2"/>
  <c r="M189" i="2"/>
  <c r="H189" i="2"/>
  <c r="G189" i="2"/>
  <c r="F189" i="2"/>
  <c r="D189" i="2"/>
  <c r="AH188" i="2"/>
  <c r="R188" i="2"/>
  <c r="Q188" i="2"/>
  <c r="Z188" i="2" s="1"/>
  <c r="P188" i="2"/>
  <c r="M188" i="2"/>
  <c r="H188" i="2"/>
  <c r="G188" i="2"/>
  <c r="F188" i="2"/>
  <c r="D65" i="8" s="1"/>
  <c r="D188" i="2"/>
  <c r="B65" i="8" s="1"/>
  <c r="AH187" i="2"/>
  <c r="R187" i="2"/>
  <c r="Q187" i="2"/>
  <c r="AA187" i="2" s="1"/>
  <c r="P187" i="2"/>
  <c r="M187" i="2"/>
  <c r="H187" i="2"/>
  <c r="G187" i="2"/>
  <c r="F187" i="2"/>
  <c r="D187" i="2"/>
  <c r="AH186" i="2"/>
  <c r="R186" i="2"/>
  <c r="Q186" i="2"/>
  <c r="AB186" i="2" s="1"/>
  <c r="P186" i="2"/>
  <c r="M186" i="2"/>
  <c r="H186" i="2"/>
  <c r="G186" i="2"/>
  <c r="F186" i="2"/>
  <c r="D63" i="8" s="1"/>
  <c r="D186" i="2"/>
  <c r="B63" i="8" s="1"/>
  <c r="AH185" i="2"/>
  <c r="R185" i="2"/>
  <c r="Q185" i="2"/>
  <c r="P185" i="2"/>
  <c r="M185" i="2"/>
  <c r="H185" i="2"/>
  <c r="G185" i="2"/>
  <c r="F185" i="2"/>
  <c r="D60" i="8" s="1"/>
  <c r="D185" i="2"/>
  <c r="B60" i="8" s="1"/>
  <c r="AH184" i="2"/>
  <c r="R184" i="2"/>
  <c r="Q184" i="2"/>
  <c r="P184" i="2"/>
  <c r="M184" i="2"/>
  <c r="H184" i="2"/>
  <c r="G184" i="2"/>
  <c r="F184" i="2"/>
  <c r="D184" i="2"/>
  <c r="AH183" i="2"/>
  <c r="R183" i="2"/>
  <c r="Q183" i="2"/>
  <c r="P183" i="2"/>
  <c r="M183" i="2"/>
  <c r="H183" i="2"/>
  <c r="G183" i="2"/>
  <c r="F183" i="2"/>
  <c r="D62" i="8" s="1"/>
  <c r="D183" i="2"/>
  <c r="AH182" i="2"/>
  <c r="AD182" i="2"/>
  <c r="Z182" i="2"/>
  <c r="R182" i="2"/>
  <c r="Q182" i="2"/>
  <c r="Y182" i="2" s="1"/>
  <c r="P182" i="2"/>
  <c r="S182" i="2" s="1"/>
  <c r="M182" i="2"/>
  <c r="H182" i="2"/>
  <c r="G182" i="2"/>
  <c r="F182" i="2"/>
  <c r="D182" i="2"/>
  <c r="AH181" i="2"/>
  <c r="R181" i="2"/>
  <c r="Q181" i="2"/>
  <c r="AA181" i="2" s="1"/>
  <c r="P181" i="2"/>
  <c r="M181" i="2"/>
  <c r="H181" i="2"/>
  <c r="G181" i="2"/>
  <c r="F181" i="2"/>
  <c r="D181" i="2"/>
  <c r="AH180" i="2"/>
  <c r="R180" i="2"/>
  <c r="Q180" i="2"/>
  <c r="AB180" i="2" s="1"/>
  <c r="P180" i="2"/>
  <c r="W180" i="2" s="1"/>
  <c r="M180" i="2"/>
  <c r="H180" i="2"/>
  <c r="G180" i="2"/>
  <c r="F180" i="2"/>
  <c r="D56" i="8" s="1"/>
  <c r="D180" i="2"/>
  <c r="B56" i="8" s="1"/>
  <c r="AH179" i="2"/>
  <c r="R179" i="2"/>
  <c r="Q179" i="2"/>
  <c r="AF179" i="2" s="1"/>
  <c r="P179" i="2"/>
  <c r="M179" i="2"/>
  <c r="H179" i="2"/>
  <c r="G179" i="2"/>
  <c r="F179" i="2"/>
  <c r="D179" i="2"/>
  <c r="AH178" i="2"/>
  <c r="R178" i="2"/>
  <c r="Q178" i="2"/>
  <c r="AG178" i="2" s="1"/>
  <c r="P178" i="2"/>
  <c r="M178" i="2"/>
  <c r="H178" i="2"/>
  <c r="G178" i="2"/>
  <c r="F178" i="2"/>
  <c r="D178" i="2"/>
  <c r="AJ177" i="2"/>
  <c r="P177" i="2"/>
  <c r="M177" i="2"/>
  <c r="H177" i="2"/>
  <c r="G177" i="2"/>
  <c r="F177" i="2"/>
  <c r="D23" i="9" s="1"/>
  <c r="D177" i="2"/>
  <c r="B23" i="9" s="1"/>
  <c r="AH176" i="2"/>
  <c r="R176" i="2"/>
  <c r="Q176" i="2"/>
  <c r="Z176" i="2" s="1"/>
  <c r="P176" i="2"/>
  <c r="M176" i="2"/>
  <c r="H176" i="2"/>
  <c r="G176" i="2"/>
  <c r="F176" i="2"/>
  <c r="D53" i="8" s="1"/>
  <c r="D176" i="2"/>
  <c r="B53" i="8" s="1"/>
  <c r="AH175" i="2"/>
  <c r="R175" i="2"/>
  <c r="Q175" i="2"/>
  <c r="AA175" i="2" s="1"/>
  <c r="P175" i="2"/>
  <c r="M175" i="2"/>
  <c r="H175" i="2"/>
  <c r="G175" i="2"/>
  <c r="F175" i="2"/>
  <c r="D175" i="2"/>
  <c r="AH174" i="2"/>
  <c r="AG174" i="2"/>
  <c r="AF174" i="2"/>
  <c r="AD174" i="2"/>
  <c r="Y174" i="2"/>
  <c r="R174" i="2"/>
  <c r="Q174" i="2"/>
  <c r="AB174" i="2" s="1"/>
  <c r="P174" i="2"/>
  <c r="M174" i="2"/>
  <c r="H174" i="2"/>
  <c r="G174" i="2"/>
  <c r="F174" i="2"/>
  <c r="D174" i="2"/>
  <c r="AH173" i="2"/>
  <c r="R173" i="2"/>
  <c r="Q173" i="2"/>
  <c r="P173" i="2"/>
  <c r="M173" i="2"/>
  <c r="H173" i="2"/>
  <c r="G173" i="2"/>
  <c r="F173" i="2"/>
  <c r="D48" i="8" s="1"/>
  <c r="D173" i="2"/>
  <c r="B48" i="8" s="1"/>
  <c r="AH172" i="2"/>
  <c r="V172" i="2"/>
  <c r="R172" i="2"/>
  <c r="Q172" i="2"/>
  <c r="AD172" i="2" s="1"/>
  <c r="P172" i="2"/>
  <c r="AE172" i="2" s="1"/>
  <c r="M172" i="2"/>
  <c r="H172" i="2"/>
  <c r="G172" i="2"/>
  <c r="F172" i="2"/>
  <c r="D50" i="8" s="1"/>
  <c r="D172" i="2"/>
  <c r="B50" i="8" s="1"/>
  <c r="AH171" i="2"/>
  <c r="R171" i="2"/>
  <c r="Q171" i="2"/>
  <c r="P171" i="2"/>
  <c r="M171" i="2"/>
  <c r="H171" i="2"/>
  <c r="G171" i="2"/>
  <c r="F171" i="2"/>
  <c r="D171" i="2"/>
  <c r="AH170" i="2"/>
  <c r="Y170" i="2"/>
  <c r="W170" i="2"/>
  <c r="R170" i="2"/>
  <c r="Q170" i="2"/>
  <c r="AF170" i="2" s="1"/>
  <c r="P170" i="2"/>
  <c r="X170" i="2" s="1"/>
  <c r="M170" i="2"/>
  <c r="H170" i="2"/>
  <c r="G170" i="2"/>
  <c r="F170" i="2"/>
  <c r="D170" i="2"/>
  <c r="AH169" i="2"/>
  <c r="Z169" i="2"/>
  <c r="R169" i="2"/>
  <c r="Q169" i="2"/>
  <c r="AG169" i="2" s="1"/>
  <c r="P169" i="2"/>
  <c r="X169" i="2" s="1"/>
  <c r="M169" i="2"/>
  <c r="H169" i="2"/>
  <c r="G169" i="2"/>
  <c r="F169" i="2"/>
  <c r="D169" i="2"/>
  <c r="AH168" i="2"/>
  <c r="R168" i="2"/>
  <c r="Q168" i="2"/>
  <c r="AA168" i="2" s="1"/>
  <c r="P168" i="2"/>
  <c r="M168" i="2"/>
  <c r="H168" i="2"/>
  <c r="G168" i="2"/>
  <c r="F168" i="2"/>
  <c r="D168" i="2"/>
  <c r="AJ167" i="2"/>
  <c r="P167" i="2"/>
  <c r="M167" i="2"/>
  <c r="H167" i="2"/>
  <c r="G167" i="2"/>
  <c r="F167" i="2"/>
  <c r="D22" i="9" s="1"/>
  <c r="D167" i="2"/>
  <c r="B22" i="9" s="1"/>
  <c r="AH166" i="2"/>
  <c r="R166" i="2"/>
  <c r="Q166" i="2"/>
  <c r="AA166" i="2" s="1"/>
  <c r="P166" i="2"/>
  <c r="V166" i="2" s="1"/>
  <c r="M166" i="2"/>
  <c r="H166" i="2"/>
  <c r="G166" i="2"/>
  <c r="F166" i="2"/>
  <c r="D51" i="8" s="1"/>
  <c r="D166" i="2"/>
  <c r="B51" i="8" s="1"/>
  <c r="AJ165" i="2"/>
  <c r="AN165" i="2" s="1"/>
  <c r="P165" i="2"/>
  <c r="AK165" i="2" s="1"/>
  <c r="M165" i="2"/>
  <c r="H165" i="2"/>
  <c r="G165" i="2"/>
  <c r="F165" i="2"/>
  <c r="D21" i="9" s="1"/>
  <c r="D165" i="2"/>
  <c r="B21" i="9" s="1"/>
  <c r="AH164" i="2"/>
  <c r="R164" i="2"/>
  <c r="Q164" i="2"/>
  <c r="P164" i="2"/>
  <c r="M164" i="2"/>
  <c r="H164" i="2"/>
  <c r="G164" i="2"/>
  <c r="F164" i="2"/>
  <c r="D164" i="2"/>
  <c r="AH163" i="2"/>
  <c r="Z163" i="2"/>
  <c r="R163" i="2"/>
  <c r="Q163" i="2"/>
  <c r="P163" i="2"/>
  <c r="X163" i="2" s="1"/>
  <c r="M163" i="2"/>
  <c r="H163" i="2"/>
  <c r="G163" i="2"/>
  <c r="F163" i="2"/>
  <c r="D163" i="2"/>
  <c r="AH162" i="2"/>
  <c r="R162" i="2"/>
  <c r="Q162" i="2"/>
  <c r="AF162" i="2" s="1"/>
  <c r="P162" i="2"/>
  <c r="M162" i="2"/>
  <c r="H162" i="2"/>
  <c r="G162" i="2"/>
  <c r="F162" i="2"/>
  <c r="D162" i="2"/>
  <c r="AH161" i="2"/>
  <c r="R161" i="2"/>
  <c r="Q161" i="2"/>
  <c r="AG161" i="2" s="1"/>
  <c r="P161" i="2"/>
  <c r="M161" i="2"/>
  <c r="H161" i="2"/>
  <c r="G161" i="2"/>
  <c r="F161" i="2"/>
  <c r="D161" i="2"/>
  <c r="AJ160" i="2"/>
  <c r="P160" i="2"/>
  <c r="M160" i="2"/>
  <c r="H160" i="2"/>
  <c r="G160" i="2"/>
  <c r="F160" i="2"/>
  <c r="D20" i="9" s="1"/>
  <c r="D160" i="2"/>
  <c r="B20" i="9" s="1"/>
  <c r="AH159" i="2"/>
  <c r="R159" i="2"/>
  <c r="Q159" i="2"/>
  <c r="AB159" i="2" s="1"/>
  <c r="P159" i="2"/>
  <c r="M159" i="2"/>
  <c r="H159" i="2"/>
  <c r="G159" i="2"/>
  <c r="F159" i="2"/>
  <c r="D45" i="8" s="1"/>
  <c r="D159" i="2"/>
  <c r="B45" i="8" s="1"/>
  <c r="AH158" i="2"/>
  <c r="R158" i="2"/>
  <c r="Q158" i="2"/>
  <c r="AA158" i="2" s="1"/>
  <c r="P158" i="2"/>
  <c r="M158" i="2"/>
  <c r="H158" i="2"/>
  <c r="G158" i="2"/>
  <c r="F158" i="2"/>
  <c r="D42" i="8" s="1"/>
  <c r="D158" i="2"/>
  <c r="B42" i="8" s="1"/>
  <c r="AH157" i="2"/>
  <c r="R157" i="2"/>
  <c r="Q157" i="2"/>
  <c r="AB157" i="2" s="1"/>
  <c r="P157" i="2"/>
  <c r="M157" i="2"/>
  <c r="H157" i="2"/>
  <c r="G157" i="2"/>
  <c r="F157" i="2"/>
  <c r="D38" i="8" s="1"/>
  <c r="D157" i="2"/>
  <c r="B38" i="8" s="1"/>
  <c r="AH156" i="2"/>
  <c r="R156" i="2"/>
  <c r="Q156" i="2"/>
  <c r="P156" i="2"/>
  <c r="M156" i="2"/>
  <c r="H156" i="2"/>
  <c r="G156" i="2"/>
  <c r="F156" i="2"/>
  <c r="D46" i="8" s="1"/>
  <c r="D156" i="2"/>
  <c r="B46" i="8" s="1"/>
  <c r="AH155" i="2"/>
  <c r="R155" i="2"/>
  <c r="Q155" i="2"/>
  <c r="P155" i="2"/>
  <c r="M155" i="2"/>
  <c r="H155" i="2"/>
  <c r="G155" i="2"/>
  <c r="F155" i="2"/>
  <c r="D39" i="8" s="1"/>
  <c r="D155" i="2"/>
  <c r="B39" i="8" s="1"/>
  <c r="AH154" i="2"/>
  <c r="R154" i="2"/>
  <c r="Q154" i="2"/>
  <c r="P154" i="2"/>
  <c r="M154" i="2"/>
  <c r="H154" i="2"/>
  <c r="G154" i="2"/>
  <c r="F154" i="2"/>
  <c r="D44" i="8" s="1"/>
  <c r="D154" i="2"/>
  <c r="AJ153" i="2"/>
  <c r="P153" i="2"/>
  <c r="M153" i="2"/>
  <c r="H153" i="2"/>
  <c r="G153" i="2"/>
  <c r="F153" i="2"/>
  <c r="D19" i="9" s="1"/>
  <c r="D153" i="2"/>
  <c r="AH152" i="2"/>
  <c r="R152" i="2"/>
  <c r="Q152" i="2"/>
  <c r="P152" i="2"/>
  <c r="M152" i="2"/>
  <c r="H152" i="2"/>
  <c r="G152" i="2"/>
  <c r="F152" i="2"/>
  <c r="D152" i="2"/>
  <c r="AJ151" i="2"/>
  <c r="P151" i="2"/>
  <c r="M151" i="2"/>
  <c r="H151" i="2"/>
  <c r="G151" i="2"/>
  <c r="F151" i="2"/>
  <c r="D18" i="9" s="1"/>
  <c r="D151" i="2"/>
  <c r="B18" i="9" s="1"/>
  <c r="AH150" i="2"/>
  <c r="R150" i="2"/>
  <c r="Q150" i="2"/>
  <c r="AA150" i="2" s="1"/>
  <c r="P150" i="2"/>
  <c r="V150" i="2" s="1"/>
  <c r="M150" i="2"/>
  <c r="H150" i="2"/>
  <c r="G150" i="2"/>
  <c r="F150" i="2"/>
  <c r="D150" i="2"/>
  <c r="AJ149" i="2"/>
  <c r="AM149" i="2" s="1"/>
  <c r="P149" i="2"/>
  <c r="M149" i="2"/>
  <c r="H149" i="2"/>
  <c r="G149" i="2"/>
  <c r="F149" i="2"/>
  <c r="D17" i="9" s="1"/>
  <c r="D149" i="2"/>
  <c r="B17" i="9" s="1"/>
  <c r="AH148" i="2"/>
  <c r="R148" i="2"/>
  <c r="Q148" i="2"/>
  <c r="AD148" i="2" s="1"/>
  <c r="P148" i="2"/>
  <c r="M148" i="2"/>
  <c r="H148" i="2"/>
  <c r="G148" i="2"/>
  <c r="F148" i="2"/>
  <c r="D35" i="8" s="1"/>
  <c r="D148" i="2"/>
  <c r="B35" i="8" s="1"/>
  <c r="AH147" i="2"/>
  <c r="R147" i="2"/>
  <c r="Q147" i="2"/>
  <c r="P147" i="2"/>
  <c r="V147" i="2" s="1"/>
  <c r="M147" i="2"/>
  <c r="H147" i="2"/>
  <c r="G147" i="2"/>
  <c r="F147" i="2"/>
  <c r="D147" i="2"/>
  <c r="AH146" i="2"/>
  <c r="R146" i="2"/>
  <c r="Q146" i="2"/>
  <c r="P146" i="2"/>
  <c r="M146" i="2"/>
  <c r="H146" i="2"/>
  <c r="G146" i="2"/>
  <c r="F146" i="2"/>
  <c r="D146" i="2"/>
  <c r="AH145" i="2"/>
  <c r="R145" i="2"/>
  <c r="Q145" i="2"/>
  <c r="P145" i="2"/>
  <c r="M145" i="2"/>
  <c r="H145" i="2"/>
  <c r="G145" i="2"/>
  <c r="F145" i="2"/>
  <c r="D145" i="2"/>
  <c r="AH144" i="2"/>
  <c r="R144" i="2"/>
  <c r="Q144" i="2"/>
  <c r="P144" i="2"/>
  <c r="M144" i="2"/>
  <c r="H144" i="2"/>
  <c r="G144" i="2"/>
  <c r="F144" i="2"/>
  <c r="D37" i="8" s="1"/>
  <c r="D144" i="2"/>
  <c r="AH143" i="2"/>
  <c r="R143" i="2"/>
  <c r="Q143" i="2"/>
  <c r="AB143" i="2" s="1"/>
  <c r="P143" i="2"/>
  <c r="M143" i="2"/>
  <c r="H143" i="2"/>
  <c r="G143" i="2"/>
  <c r="F143" i="2"/>
  <c r="D143" i="2"/>
  <c r="AH142" i="2"/>
  <c r="R142" i="2"/>
  <c r="Q142" i="2"/>
  <c r="P142" i="2"/>
  <c r="M142" i="2"/>
  <c r="H142" i="2"/>
  <c r="G142" i="2"/>
  <c r="F142" i="2"/>
  <c r="D43" i="8" s="1"/>
  <c r="D142" i="2"/>
  <c r="B43" i="8" s="1"/>
  <c r="AH141" i="2"/>
  <c r="R141" i="2"/>
  <c r="Q141" i="2"/>
  <c r="P141" i="2"/>
  <c r="M141" i="2"/>
  <c r="H141" i="2"/>
  <c r="G141" i="2"/>
  <c r="F141" i="2"/>
  <c r="D141" i="2"/>
  <c r="AH140" i="2"/>
  <c r="R140" i="2"/>
  <c r="Q140" i="2"/>
  <c r="P140" i="2"/>
  <c r="M140" i="2"/>
  <c r="H140" i="2"/>
  <c r="G140" i="2"/>
  <c r="F140" i="2"/>
  <c r="D140" i="2"/>
  <c r="AH139" i="2"/>
  <c r="R139" i="2"/>
  <c r="Q139" i="2"/>
  <c r="P139" i="2"/>
  <c r="M139" i="2"/>
  <c r="H139" i="2"/>
  <c r="G139" i="2"/>
  <c r="F139" i="2"/>
  <c r="D139" i="2"/>
  <c r="AH138" i="2"/>
  <c r="R138" i="2"/>
  <c r="Q138" i="2"/>
  <c r="AD138" i="2" s="1"/>
  <c r="P138" i="2"/>
  <c r="AE138" i="2" s="1"/>
  <c r="M138" i="2"/>
  <c r="H138" i="2"/>
  <c r="G138" i="2"/>
  <c r="F138" i="2"/>
  <c r="D138" i="2"/>
  <c r="AH137" i="2"/>
  <c r="R137" i="2"/>
  <c r="Q137" i="2"/>
  <c r="AG137" i="2" s="1"/>
  <c r="P137" i="2"/>
  <c r="M137" i="2"/>
  <c r="H137" i="2"/>
  <c r="G137" i="2"/>
  <c r="F137" i="2"/>
  <c r="D137" i="2"/>
  <c r="AH136" i="2"/>
  <c r="R136" i="2"/>
  <c r="Q136" i="2"/>
  <c r="AF136" i="2" s="1"/>
  <c r="P136" i="2"/>
  <c r="AC136" i="2" s="1"/>
  <c r="M136" i="2"/>
  <c r="H136" i="2"/>
  <c r="G136" i="2"/>
  <c r="F136" i="2"/>
  <c r="D136" i="2"/>
  <c r="AH135" i="2"/>
  <c r="R135" i="2"/>
  <c r="Q135" i="2"/>
  <c r="AD135" i="2" s="1"/>
  <c r="P135" i="2"/>
  <c r="M135" i="2"/>
  <c r="H135" i="2"/>
  <c r="G135" i="2"/>
  <c r="F135" i="2"/>
  <c r="D135" i="2"/>
  <c r="AH134" i="2"/>
  <c r="R134" i="2"/>
  <c r="Q134" i="2"/>
  <c r="P134" i="2"/>
  <c r="M134" i="2"/>
  <c r="H134" i="2"/>
  <c r="G134" i="2"/>
  <c r="F134" i="2"/>
  <c r="D134" i="2"/>
  <c r="AH133" i="2"/>
  <c r="R133" i="2"/>
  <c r="Q133" i="2"/>
  <c r="P133" i="2"/>
  <c r="M133" i="2"/>
  <c r="H133" i="2"/>
  <c r="G133" i="2"/>
  <c r="F133" i="2"/>
  <c r="D133" i="2"/>
  <c r="AH132" i="2"/>
  <c r="R132" i="2"/>
  <c r="Q132" i="2"/>
  <c r="P132" i="2"/>
  <c r="M132" i="2"/>
  <c r="H132" i="2"/>
  <c r="G132" i="2"/>
  <c r="F132" i="2"/>
  <c r="D41" i="8" s="1"/>
  <c r="D132" i="2"/>
  <c r="B41" i="8" s="1"/>
  <c r="AH131" i="2"/>
  <c r="R131" i="2"/>
  <c r="Q131" i="2"/>
  <c r="AA131" i="2" s="1"/>
  <c r="P131" i="2"/>
  <c r="S131" i="2" s="1"/>
  <c r="M131" i="2"/>
  <c r="H131" i="2"/>
  <c r="G131" i="2"/>
  <c r="F131" i="2"/>
  <c r="D131" i="2"/>
  <c r="AH130" i="2"/>
  <c r="R130" i="2"/>
  <c r="Q130" i="2"/>
  <c r="P130" i="2"/>
  <c r="M130" i="2"/>
  <c r="H130" i="2"/>
  <c r="G130" i="2"/>
  <c r="F130" i="2"/>
  <c r="D130" i="2"/>
  <c r="AH129" i="2"/>
  <c r="R129" i="2"/>
  <c r="Q129" i="2"/>
  <c r="P129" i="2"/>
  <c r="M129" i="2"/>
  <c r="H129" i="2"/>
  <c r="G129" i="2"/>
  <c r="F129" i="2"/>
  <c r="D33" i="8" s="1"/>
  <c r="D129" i="2"/>
  <c r="B33" i="8" s="1"/>
  <c r="AH128" i="2"/>
  <c r="R128" i="2"/>
  <c r="Q128" i="2"/>
  <c r="Y128" i="2" s="1"/>
  <c r="P128" i="2"/>
  <c r="X128" i="2" s="1"/>
  <c r="M128" i="2"/>
  <c r="H128" i="2"/>
  <c r="G128" i="2"/>
  <c r="F128" i="2"/>
  <c r="D40" i="8" s="1"/>
  <c r="D128" i="2"/>
  <c r="B40" i="8" s="1"/>
  <c r="AH127" i="2"/>
  <c r="R127" i="2"/>
  <c r="Q127" i="2"/>
  <c r="AG127" i="2" s="1"/>
  <c r="P127" i="2"/>
  <c r="X127" i="2" s="1"/>
  <c r="M127" i="2"/>
  <c r="H127" i="2"/>
  <c r="G127" i="2"/>
  <c r="F127" i="2"/>
  <c r="D127" i="2"/>
  <c r="AH126" i="2"/>
  <c r="R126" i="2"/>
  <c r="Q126" i="2"/>
  <c r="Y126" i="2" s="1"/>
  <c r="P126" i="2"/>
  <c r="M126" i="2"/>
  <c r="H126" i="2"/>
  <c r="G126" i="2"/>
  <c r="F126" i="2"/>
  <c r="D126" i="2"/>
  <c r="AH125" i="2"/>
  <c r="R125" i="2"/>
  <c r="Q125" i="2"/>
  <c r="Z125" i="2" s="1"/>
  <c r="P125" i="2"/>
  <c r="M125" i="2"/>
  <c r="H125" i="2"/>
  <c r="G125" i="2"/>
  <c r="F125" i="2"/>
  <c r="D29" i="8" s="1"/>
  <c r="D125" i="2"/>
  <c r="AH124" i="2"/>
  <c r="R124" i="2"/>
  <c r="Q124" i="2"/>
  <c r="P124" i="2"/>
  <c r="M124" i="2"/>
  <c r="H124" i="2"/>
  <c r="G124" i="2"/>
  <c r="F124" i="2"/>
  <c r="D124" i="2"/>
  <c r="AH123" i="2"/>
  <c r="R123" i="2"/>
  <c r="Q123" i="2"/>
  <c r="P123" i="2"/>
  <c r="M123" i="2"/>
  <c r="H123" i="2"/>
  <c r="G123" i="2"/>
  <c r="F123" i="2"/>
  <c r="D123" i="2"/>
  <c r="AH122" i="2"/>
  <c r="R122" i="2"/>
  <c r="Q122" i="2"/>
  <c r="AD122" i="2" s="1"/>
  <c r="P122" i="2"/>
  <c r="M122" i="2"/>
  <c r="H122" i="2"/>
  <c r="G122" i="2"/>
  <c r="F122" i="2"/>
  <c r="D34" i="8" s="1"/>
  <c r="D122" i="2"/>
  <c r="B34" i="8" s="1"/>
  <c r="AM121" i="2"/>
  <c r="AJ121" i="2"/>
  <c r="P121" i="2"/>
  <c r="M121" i="2"/>
  <c r="H121" i="2"/>
  <c r="G121" i="2"/>
  <c r="F121" i="2"/>
  <c r="D16" i="9" s="1"/>
  <c r="D121" i="2"/>
  <c r="B16" i="9" s="1"/>
  <c r="AH120" i="2"/>
  <c r="R120" i="2"/>
  <c r="Q120" i="2"/>
  <c r="AF120" i="2" s="1"/>
  <c r="P120" i="2"/>
  <c r="M120" i="2"/>
  <c r="H120" i="2"/>
  <c r="G120" i="2"/>
  <c r="F120" i="2"/>
  <c r="D120" i="2"/>
  <c r="AH119" i="2"/>
  <c r="R119" i="2"/>
  <c r="Q119" i="2"/>
  <c r="P119" i="2"/>
  <c r="M119" i="2"/>
  <c r="H119" i="2"/>
  <c r="G119" i="2"/>
  <c r="F119" i="2"/>
  <c r="D32" i="8" s="1"/>
  <c r="D119" i="2"/>
  <c r="B32" i="8" s="1"/>
  <c r="AH118" i="2"/>
  <c r="AF118" i="2"/>
  <c r="R118" i="2"/>
  <c r="Q118" i="2"/>
  <c r="AD118" i="2" s="1"/>
  <c r="P118" i="2"/>
  <c r="M118" i="2"/>
  <c r="H118" i="2"/>
  <c r="G118" i="2"/>
  <c r="F118" i="2"/>
  <c r="D118" i="2"/>
  <c r="AH117" i="2"/>
  <c r="R117" i="2"/>
  <c r="Q117" i="2"/>
  <c r="AG117" i="2" s="1"/>
  <c r="P117" i="2"/>
  <c r="M117" i="2"/>
  <c r="H117" i="2"/>
  <c r="G117" i="2"/>
  <c r="F117" i="2"/>
  <c r="D28" i="8" s="1"/>
  <c r="D117" i="2"/>
  <c r="AH116" i="2"/>
  <c r="R116" i="2"/>
  <c r="Q116" i="2"/>
  <c r="P116" i="2"/>
  <c r="M116" i="2"/>
  <c r="H116" i="2"/>
  <c r="G116" i="2"/>
  <c r="F116" i="2"/>
  <c r="D116" i="2"/>
  <c r="AH115" i="2"/>
  <c r="R115" i="2"/>
  <c r="Q115" i="2"/>
  <c r="P115" i="2"/>
  <c r="M115" i="2"/>
  <c r="H115" i="2"/>
  <c r="G115" i="2"/>
  <c r="F115" i="2"/>
  <c r="D36" i="8" s="1"/>
  <c r="D115" i="2"/>
  <c r="B36" i="8" s="1"/>
  <c r="AH114" i="2"/>
  <c r="R114" i="2"/>
  <c r="Q114" i="2"/>
  <c r="AD114" i="2" s="1"/>
  <c r="P114" i="2"/>
  <c r="V114" i="2" s="1"/>
  <c r="M114" i="2"/>
  <c r="H114" i="2"/>
  <c r="G114" i="2"/>
  <c r="F114" i="2"/>
  <c r="D114" i="2"/>
  <c r="AH113" i="2"/>
  <c r="R113" i="2"/>
  <c r="Q113" i="2"/>
  <c r="P113" i="2"/>
  <c r="M113" i="2"/>
  <c r="H113" i="2"/>
  <c r="G113" i="2"/>
  <c r="F113" i="2"/>
  <c r="D113" i="2"/>
  <c r="AJ112" i="2"/>
  <c r="P112" i="2"/>
  <c r="M112" i="2"/>
  <c r="H112" i="2"/>
  <c r="G112" i="2"/>
  <c r="F112" i="2"/>
  <c r="D15" i="9" s="1"/>
  <c r="D112" i="2"/>
  <c r="B15" i="9" s="1"/>
  <c r="AH111" i="2"/>
  <c r="R111" i="2"/>
  <c r="Q111" i="2"/>
  <c r="AF111" i="2" s="1"/>
  <c r="P111" i="2"/>
  <c r="M111" i="2"/>
  <c r="H111" i="2"/>
  <c r="G111" i="2"/>
  <c r="F111" i="2"/>
  <c r="D111" i="2"/>
  <c r="AH110" i="2"/>
  <c r="R110" i="2"/>
  <c r="Q110" i="2"/>
  <c r="AG110" i="2" s="1"/>
  <c r="P110" i="2"/>
  <c r="M110" i="2"/>
  <c r="H110" i="2"/>
  <c r="G110" i="2"/>
  <c r="F110" i="2"/>
  <c r="D27" i="8" s="1"/>
  <c r="D110" i="2"/>
  <c r="B27" i="8" s="1"/>
  <c r="AH109" i="2"/>
  <c r="R109" i="2"/>
  <c r="Q109" i="2"/>
  <c r="P109" i="2"/>
  <c r="M109" i="2"/>
  <c r="H109" i="2"/>
  <c r="G109" i="2"/>
  <c r="F109" i="2"/>
  <c r="D109" i="2"/>
  <c r="AH108" i="2"/>
  <c r="R108" i="2"/>
  <c r="Q108" i="2"/>
  <c r="P108" i="2"/>
  <c r="M108" i="2"/>
  <c r="H108" i="2"/>
  <c r="G108" i="2"/>
  <c r="F108" i="2"/>
  <c r="D108" i="2"/>
  <c r="AH107" i="2"/>
  <c r="R107" i="2"/>
  <c r="Q107" i="2"/>
  <c r="P107" i="2"/>
  <c r="M107" i="2"/>
  <c r="H107" i="2"/>
  <c r="G107" i="2"/>
  <c r="F107" i="2"/>
  <c r="D25" i="8" s="1"/>
  <c r="D107" i="2"/>
  <c r="AH106" i="2"/>
  <c r="R106" i="2"/>
  <c r="Q106" i="2"/>
  <c r="Z106" i="2" s="1"/>
  <c r="P106" i="2"/>
  <c r="S106" i="2" s="1"/>
  <c r="M106" i="2"/>
  <c r="H106" i="2"/>
  <c r="G106" i="2"/>
  <c r="F106" i="2"/>
  <c r="D106" i="2"/>
  <c r="AH105" i="2"/>
  <c r="R105" i="2"/>
  <c r="Q105" i="2"/>
  <c r="P105" i="2"/>
  <c r="M105" i="2"/>
  <c r="H105" i="2"/>
  <c r="G105" i="2"/>
  <c r="F105" i="2"/>
  <c r="D31" i="8" s="1"/>
  <c r="D105" i="2"/>
  <c r="B31" i="8" s="1"/>
  <c r="AH104" i="2"/>
  <c r="R104" i="2"/>
  <c r="Q104" i="2"/>
  <c r="P104" i="2"/>
  <c r="M104" i="2"/>
  <c r="H104" i="2"/>
  <c r="G104" i="2"/>
  <c r="F104" i="2"/>
  <c r="D30" i="8" s="1"/>
  <c r="D104" i="2"/>
  <c r="B30" i="8" s="1"/>
  <c r="AJ103" i="2"/>
  <c r="P103" i="2"/>
  <c r="M103" i="2"/>
  <c r="H103" i="2"/>
  <c r="G103" i="2"/>
  <c r="F103" i="2"/>
  <c r="D14" i="9" s="1"/>
  <c r="D103" i="2"/>
  <c r="B14" i="9" s="1"/>
  <c r="AH102" i="2"/>
  <c r="Z102" i="2"/>
  <c r="R102" i="2"/>
  <c r="Q102" i="2"/>
  <c r="AB102" i="2" s="1"/>
  <c r="P102" i="2"/>
  <c r="M102" i="2"/>
  <c r="H102" i="2"/>
  <c r="G102" i="2"/>
  <c r="F102" i="2"/>
  <c r="D102" i="2"/>
  <c r="AH101" i="2"/>
  <c r="AG101" i="2"/>
  <c r="R101" i="2"/>
  <c r="Q101" i="2"/>
  <c r="P101" i="2"/>
  <c r="M101" i="2"/>
  <c r="H101" i="2"/>
  <c r="G101" i="2"/>
  <c r="F101" i="2"/>
  <c r="D101" i="2"/>
  <c r="AH100" i="2"/>
  <c r="R100" i="2"/>
  <c r="Q100" i="2"/>
  <c r="AB100" i="2" s="1"/>
  <c r="P100" i="2"/>
  <c r="AC100" i="2" s="1"/>
  <c r="M100" i="2"/>
  <c r="H100" i="2"/>
  <c r="G100" i="2"/>
  <c r="F100" i="2"/>
  <c r="D100" i="2"/>
  <c r="AH99" i="2"/>
  <c r="R99" i="2"/>
  <c r="Q99" i="2"/>
  <c r="P99" i="2"/>
  <c r="M99" i="2"/>
  <c r="H99" i="2"/>
  <c r="G99" i="2"/>
  <c r="F99" i="2"/>
  <c r="D99" i="2"/>
  <c r="AH98" i="2"/>
  <c r="R98" i="2"/>
  <c r="Q98" i="2"/>
  <c r="AB98" i="2" s="1"/>
  <c r="P98" i="2"/>
  <c r="M98" i="2"/>
  <c r="H98" i="2"/>
  <c r="G98" i="2"/>
  <c r="F98" i="2"/>
  <c r="D98" i="2"/>
  <c r="AH97" i="2"/>
  <c r="R97" i="2"/>
  <c r="Q97" i="2"/>
  <c r="P97" i="2"/>
  <c r="M97" i="2"/>
  <c r="H97" i="2"/>
  <c r="G97" i="2"/>
  <c r="F97" i="2"/>
  <c r="D97" i="2"/>
  <c r="AH96" i="2"/>
  <c r="R96" i="2"/>
  <c r="Q96" i="2"/>
  <c r="P96" i="2"/>
  <c r="M96" i="2"/>
  <c r="H96" i="2"/>
  <c r="G96" i="2"/>
  <c r="F96" i="2"/>
  <c r="D96" i="2"/>
  <c r="AH95" i="2"/>
  <c r="R95" i="2"/>
  <c r="Q95" i="2"/>
  <c r="P95" i="2"/>
  <c r="M95" i="2"/>
  <c r="H95" i="2"/>
  <c r="G95" i="2"/>
  <c r="F95" i="2"/>
  <c r="D26" i="8" s="1"/>
  <c r="D95" i="2"/>
  <c r="B26" i="8" s="1"/>
  <c r="AH94" i="2"/>
  <c r="R94" i="2"/>
  <c r="Q94" i="2"/>
  <c r="AA94" i="2" s="1"/>
  <c r="P94" i="2"/>
  <c r="M94" i="2"/>
  <c r="H94" i="2"/>
  <c r="G94" i="2"/>
  <c r="F94" i="2"/>
  <c r="D94" i="2"/>
  <c r="AH93" i="2"/>
  <c r="R93" i="2"/>
  <c r="Q93" i="2"/>
  <c r="AA93" i="2" s="1"/>
  <c r="P93" i="2"/>
  <c r="M93" i="2"/>
  <c r="H93" i="2"/>
  <c r="G93" i="2"/>
  <c r="F93" i="2"/>
  <c r="D93" i="2"/>
  <c r="AH92" i="2"/>
  <c r="R92" i="2"/>
  <c r="Q92" i="2"/>
  <c r="AG92" i="2" s="1"/>
  <c r="P92" i="2"/>
  <c r="M92" i="2"/>
  <c r="H92" i="2"/>
  <c r="G92" i="2"/>
  <c r="F92" i="2"/>
  <c r="D92" i="2"/>
  <c r="AH91" i="2"/>
  <c r="R91" i="2"/>
  <c r="Q91" i="2"/>
  <c r="AF91" i="2" s="1"/>
  <c r="P91" i="2"/>
  <c r="M91" i="2"/>
  <c r="H91" i="2"/>
  <c r="G91" i="2"/>
  <c r="F91" i="2"/>
  <c r="D91" i="2"/>
  <c r="AH90" i="2"/>
  <c r="R90" i="2"/>
  <c r="Q90" i="2"/>
  <c r="P90" i="2"/>
  <c r="M90" i="2"/>
  <c r="H90" i="2"/>
  <c r="G90" i="2"/>
  <c r="F90" i="2"/>
  <c r="D16" i="8" s="1"/>
  <c r="D90" i="2"/>
  <c r="AJ89" i="2"/>
  <c r="P89" i="2"/>
  <c r="M89" i="2"/>
  <c r="H89" i="2"/>
  <c r="G89" i="2"/>
  <c r="F89" i="2"/>
  <c r="D13" i="9" s="1"/>
  <c r="D89" i="2"/>
  <c r="B13" i="9" s="1"/>
  <c r="AH88" i="2"/>
  <c r="Z88" i="2"/>
  <c r="R88" i="2"/>
  <c r="Q88" i="2"/>
  <c r="P88" i="2"/>
  <c r="M88" i="2"/>
  <c r="H88" i="2"/>
  <c r="G88" i="2"/>
  <c r="F88" i="2"/>
  <c r="D88" i="2"/>
  <c r="AH87" i="2"/>
  <c r="R87" i="2"/>
  <c r="Q87" i="2"/>
  <c r="AB87" i="2" s="1"/>
  <c r="P87" i="2"/>
  <c r="M87" i="2"/>
  <c r="H87" i="2"/>
  <c r="G87" i="2"/>
  <c r="F87" i="2"/>
  <c r="D24" i="8" s="1"/>
  <c r="D87" i="2"/>
  <c r="B24" i="8" s="1"/>
  <c r="AH86" i="2"/>
  <c r="R86" i="2"/>
  <c r="Q86" i="2"/>
  <c r="P86" i="2"/>
  <c r="M86" i="2"/>
  <c r="H86" i="2"/>
  <c r="G86" i="2"/>
  <c r="F86" i="2"/>
  <c r="D86" i="2"/>
  <c r="AH85" i="2"/>
  <c r="R85" i="2"/>
  <c r="Q85" i="2"/>
  <c r="AA85" i="2" s="1"/>
  <c r="P85" i="2"/>
  <c r="M85" i="2"/>
  <c r="H85" i="2"/>
  <c r="G85" i="2"/>
  <c r="F85" i="2"/>
  <c r="D18" i="8" s="1"/>
  <c r="D85" i="2"/>
  <c r="B18" i="8" s="1"/>
  <c r="AH84" i="2"/>
  <c r="R84" i="2"/>
  <c r="Q84" i="2"/>
  <c r="AG84" i="2" s="1"/>
  <c r="P84" i="2"/>
  <c r="M84" i="2"/>
  <c r="H84" i="2"/>
  <c r="G84" i="2"/>
  <c r="F84" i="2"/>
  <c r="D23" i="8" s="1"/>
  <c r="D84" i="2"/>
  <c r="B23" i="8" s="1"/>
  <c r="AH83" i="2"/>
  <c r="R83" i="2"/>
  <c r="Q83" i="2"/>
  <c r="P83" i="2"/>
  <c r="M83" i="2"/>
  <c r="H83" i="2"/>
  <c r="G83" i="2"/>
  <c r="F83" i="2"/>
  <c r="D83" i="2"/>
  <c r="AH82" i="2"/>
  <c r="R82" i="2"/>
  <c r="Q82" i="2"/>
  <c r="P82" i="2"/>
  <c r="M82" i="2"/>
  <c r="H82" i="2"/>
  <c r="G82" i="2"/>
  <c r="F82" i="2"/>
  <c r="D82" i="2"/>
  <c r="AH81" i="2"/>
  <c r="AG81" i="2"/>
  <c r="Z81" i="2"/>
  <c r="Y81" i="2"/>
  <c r="R81" i="2"/>
  <c r="Q81" i="2"/>
  <c r="AD81" i="2" s="1"/>
  <c r="P81" i="2"/>
  <c r="M81" i="2"/>
  <c r="H81" i="2"/>
  <c r="G81" i="2"/>
  <c r="F81" i="2"/>
  <c r="D81" i="2"/>
  <c r="AH80" i="2"/>
  <c r="AG80" i="2"/>
  <c r="R80" i="2"/>
  <c r="Q80" i="2"/>
  <c r="AD80" i="2" s="1"/>
  <c r="P80" i="2"/>
  <c r="M80" i="2"/>
  <c r="H80" i="2"/>
  <c r="G80" i="2"/>
  <c r="F80" i="2"/>
  <c r="D80" i="2"/>
  <c r="AH79" i="2"/>
  <c r="AA79" i="2"/>
  <c r="R79" i="2"/>
  <c r="Q79" i="2"/>
  <c r="AF79" i="2" s="1"/>
  <c r="P79" i="2"/>
  <c r="M79" i="2"/>
  <c r="H79" i="2"/>
  <c r="G79" i="2"/>
  <c r="F79" i="2"/>
  <c r="D79" i="2"/>
  <c r="AH78" i="2"/>
  <c r="R78" i="2"/>
  <c r="Q78" i="2"/>
  <c r="P78" i="2"/>
  <c r="M78" i="2"/>
  <c r="H78" i="2"/>
  <c r="G78" i="2"/>
  <c r="F78" i="2"/>
  <c r="D78" i="2"/>
  <c r="AH77" i="2"/>
  <c r="R77" i="2"/>
  <c r="Q77" i="2"/>
  <c r="Y77" i="2" s="1"/>
  <c r="P77" i="2"/>
  <c r="M77" i="2"/>
  <c r="H77" i="2"/>
  <c r="G77" i="2"/>
  <c r="F77" i="2"/>
  <c r="D77" i="2"/>
  <c r="AH76" i="2"/>
  <c r="R76" i="2"/>
  <c r="Q76" i="2"/>
  <c r="Z76" i="2" s="1"/>
  <c r="P76" i="2"/>
  <c r="M76" i="2"/>
  <c r="H76" i="2"/>
  <c r="G76" i="2"/>
  <c r="F76" i="2"/>
  <c r="D76" i="2"/>
  <c r="AH74" i="2"/>
  <c r="R74" i="2"/>
  <c r="Q74" i="2"/>
  <c r="AA74" i="2" s="1"/>
  <c r="P74" i="2"/>
  <c r="M74" i="2"/>
  <c r="H74" i="2"/>
  <c r="G74" i="2"/>
  <c r="F74" i="2"/>
  <c r="D17" i="8" s="1"/>
  <c r="D74" i="2"/>
  <c r="B17" i="8" s="1"/>
  <c r="AJ72" i="2"/>
  <c r="P72" i="2"/>
  <c r="M72" i="2"/>
  <c r="H72" i="2"/>
  <c r="G72" i="2"/>
  <c r="F72" i="2"/>
  <c r="D12" i="9" s="1"/>
  <c r="D72" i="2"/>
  <c r="B12" i="9" s="1"/>
  <c r="AH75" i="2"/>
  <c r="R75" i="2"/>
  <c r="Q75" i="2"/>
  <c r="AA75" i="2" s="1"/>
  <c r="P75" i="2"/>
  <c r="M75" i="2"/>
  <c r="H75" i="2"/>
  <c r="G75" i="2"/>
  <c r="F75" i="2"/>
  <c r="D75" i="2"/>
  <c r="AH73" i="2"/>
  <c r="R73" i="2"/>
  <c r="Q73" i="2"/>
  <c r="T73" i="2" s="1"/>
  <c r="P73" i="2"/>
  <c r="M73" i="2"/>
  <c r="H73" i="2"/>
  <c r="G73" i="2"/>
  <c r="F73" i="2"/>
  <c r="D73" i="2"/>
  <c r="AJ71" i="2"/>
  <c r="AN71" i="2" s="1"/>
  <c r="P71" i="2"/>
  <c r="M71" i="2"/>
  <c r="H71" i="2"/>
  <c r="G71" i="2"/>
  <c r="F71" i="2"/>
  <c r="D11" i="9" s="1"/>
  <c r="D71" i="2"/>
  <c r="B11" i="9" s="1"/>
  <c r="AH70" i="2"/>
  <c r="R70" i="2"/>
  <c r="Q70" i="2"/>
  <c r="AG70" i="2" s="1"/>
  <c r="P70" i="2"/>
  <c r="M70" i="2"/>
  <c r="H70" i="2"/>
  <c r="G70" i="2"/>
  <c r="F70" i="2"/>
  <c r="D70" i="2"/>
  <c r="AJ69" i="2"/>
  <c r="P69" i="2"/>
  <c r="M69" i="2"/>
  <c r="H69" i="2"/>
  <c r="G69" i="2"/>
  <c r="F69" i="2"/>
  <c r="D10" i="9" s="1"/>
  <c r="D69" i="2"/>
  <c r="B10" i="9" s="1"/>
  <c r="AH68" i="2"/>
  <c r="R68" i="2"/>
  <c r="Q68" i="2"/>
  <c r="AB68" i="2" s="1"/>
  <c r="P68" i="2"/>
  <c r="M68" i="2"/>
  <c r="H68" i="2"/>
  <c r="G68" i="2"/>
  <c r="F68" i="2"/>
  <c r="D12" i="8" s="1"/>
  <c r="D68" i="2"/>
  <c r="B12" i="8" s="1"/>
  <c r="AJ67" i="2"/>
  <c r="P67" i="2"/>
  <c r="M67" i="2"/>
  <c r="H67" i="2"/>
  <c r="G67" i="2"/>
  <c r="F67" i="2"/>
  <c r="D9" i="9" s="1"/>
  <c r="D67" i="2"/>
  <c r="B9" i="9" s="1"/>
  <c r="AH66" i="2"/>
  <c r="AA66" i="2"/>
  <c r="R66" i="2"/>
  <c r="Q66" i="2"/>
  <c r="Y66" i="2" s="1"/>
  <c r="P66" i="2"/>
  <c r="M66" i="2"/>
  <c r="H66" i="2"/>
  <c r="G66" i="2"/>
  <c r="F66" i="2"/>
  <c r="D66" i="2"/>
  <c r="AH65" i="2"/>
  <c r="R65" i="2"/>
  <c r="Q65" i="2"/>
  <c r="P65" i="2"/>
  <c r="M65" i="2"/>
  <c r="H65" i="2"/>
  <c r="G65" i="2"/>
  <c r="F65" i="2"/>
  <c r="D65" i="2"/>
  <c r="AJ64" i="2"/>
  <c r="P64" i="2"/>
  <c r="M64" i="2"/>
  <c r="H64" i="2"/>
  <c r="G64" i="2"/>
  <c r="F64" i="2"/>
  <c r="D8" i="9" s="1"/>
  <c r="D64" i="2"/>
  <c r="B8" i="9" s="1"/>
  <c r="AH63" i="2"/>
  <c r="R63" i="2"/>
  <c r="Q63" i="2"/>
  <c r="P63" i="2"/>
  <c r="M63" i="2"/>
  <c r="H63" i="2"/>
  <c r="G63" i="2"/>
  <c r="F63" i="2"/>
  <c r="D63" i="2"/>
  <c r="AH62" i="2"/>
  <c r="R62" i="2"/>
  <c r="Q62" i="2"/>
  <c r="P62" i="2"/>
  <c r="M62" i="2"/>
  <c r="H62" i="2"/>
  <c r="G62" i="2"/>
  <c r="F62" i="2"/>
  <c r="D62" i="2"/>
  <c r="AH61" i="2"/>
  <c r="R61" i="2"/>
  <c r="Q61" i="2"/>
  <c r="P61" i="2"/>
  <c r="M61" i="2"/>
  <c r="H61" i="2"/>
  <c r="G61" i="2"/>
  <c r="F61" i="2"/>
  <c r="D61" i="2"/>
  <c r="AH60" i="2"/>
  <c r="R60" i="2"/>
  <c r="Q60" i="2"/>
  <c r="P60" i="2"/>
  <c r="M60" i="2"/>
  <c r="H60" i="2"/>
  <c r="G60" i="2"/>
  <c r="F60" i="2"/>
  <c r="D60" i="2"/>
  <c r="AH59" i="2"/>
  <c r="Y59" i="2"/>
  <c r="R59" i="2"/>
  <c r="Q59" i="2"/>
  <c r="P59" i="2"/>
  <c r="M59" i="2"/>
  <c r="H59" i="2"/>
  <c r="G59" i="2"/>
  <c r="F59" i="2"/>
  <c r="D59" i="2"/>
  <c r="AH58" i="2"/>
  <c r="R58" i="2"/>
  <c r="Q58" i="2"/>
  <c r="P58" i="2"/>
  <c r="M58" i="2"/>
  <c r="H58" i="2"/>
  <c r="G58" i="2"/>
  <c r="F58" i="2"/>
  <c r="D58" i="2"/>
  <c r="AH57" i="2"/>
  <c r="Y57" i="2"/>
  <c r="R57" i="2"/>
  <c r="Q57" i="2"/>
  <c r="AF57" i="2" s="1"/>
  <c r="P57" i="2"/>
  <c r="M57" i="2"/>
  <c r="H57" i="2"/>
  <c r="G57" i="2"/>
  <c r="F57" i="2"/>
  <c r="D19" i="8" s="1"/>
  <c r="D57" i="2"/>
  <c r="B19" i="8" s="1"/>
  <c r="AH56" i="2"/>
  <c r="R56" i="2"/>
  <c r="Q56" i="2"/>
  <c r="P56" i="2"/>
  <c r="M56" i="2"/>
  <c r="H56" i="2"/>
  <c r="G56" i="2"/>
  <c r="F56" i="2"/>
  <c r="D56" i="2"/>
  <c r="AH55" i="2"/>
  <c r="R55" i="2"/>
  <c r="Q55" i="2"/>
  <c r="P55" i="2"/>
  <c r="M55" i="2"/>
  <c r="H55" i="2"/>
  <c r="G55" i="2"/>
  <c r="F55" i="2"/>
  <c r="D55" i="2"/>
  <c r="AH54" i="2"/>
  <c r="R54" i="2"/>
  <c r="Q54" i="2"/>
  <c r="Y54" i="2" s="1"/>
  <c r="P54" i="2"/>
  <c r="M54" i="2"/>
  <c r="H54" i="2"/>
  <c r="G54" i="2"/>
  <c r="F54" i="2"/>
  <c r="D54" i="2"/>
  <c r="AH53" i="2"/>
  <c r="R53" i="2"/>
  <c r="Q53" i="2"/>
  <c r="P53" i="2"/>
  <c r="M53" i="2"/>
  <c r="H53" i="2"/>
  <c r="G53" i="2"/>
  <c r="F53" i="2"/>
  <c r="D15" i="8" s="1"/>
  <c r="D53" i="2"/>
  <c r="B15" i="8" s="1"/>
  <c r="AH52" i="2"/>
  <c r="R52" i="2"/>
  <c r="Q52" i="2"/>
  <c r="P52" i="2"/>
  <c r="M52" i="2"/>
  <c r="H52" i="2"/>
  <c r="G52" i="2"/>
  <c r="F52" i="2"/>
  <c r="D52" i="2"/>
  <c r="AJ51" i="2"/>
  <c r="AN51" i="2" s="1"/>
  <c r="P51" i="2"/>
  <c r="M51" i="2"/>
  <c r="H51" i="2"/>
  <c r="G51" i="2"/>
  <c r="F51" i="2"/>
  <c r="D7" i="9" s="1"/>
  <c r="D51" i="2"/>
  <c r="B7" i="9" s="1"/>
  <c r="AH50" i="2"/>
  <c r="R50" i="2"/>
  <c r="Q50" i="2"/>
  <c r="AB50" i="2" s="1"/>
  <c r="P50" i="2"/>
  <c r="M50" i="2"/>
  <c r="H50" i="2"/>
  <c r="G50" i="2"/>
  <c r="F50" i="2"/>
  <c r="D50" i="2"/>
  <c r="AH49" i="2"/>
  <c r="R49" i="2"/>
  <c r="Q49" i="2"/>
  <c r="AA49" i="2" s="1"/>
  <c r="P49" i="2"/>
  <c r="M49" i="2"/>
  <c r="H49" i="2"/>
  <c r="G49" i="2"/>
  <c r="F49" i="2"/>
  <c r="D49" i="2"/>
  <c r="AH48" i="2"/>
  <c r="R48" i="2"/>
  <c r="Q48" i="2"/>
  <c r="P48" i="2"/>
  <c r="M48" i="2"/>
  <c r="H48" i="2"/>
  <c r="G48" i="2"/>
  <c r="F48" i="2"/>
  <c r="D22" i="8" s="1"/>
  <c r="D48" i="2"/>
  <c r="B22" i="8" s="1"/>
  <c r="AH47" i="2"/>
  <c r="R47" i="2"/>
  <c r="Q47" i="2"/>
  <c r="P47" i="2"/>
  <c r="M47" i="2"/>
  <c r="H47" i="2"/>
  <c r="G47" i="2"/>
  <c r="F47" i="2"/>
  <c r="D20" i="8" s="1"/>
  <c r="D47" i="2"/>
  <c r="AH46" i="2"/>
  <c r="R46" i="2"/>
  <c r="Q46" i="2"/>
  <c r="AG46" i="2" s="1"/>
  <c r="P46" i="2"/>
  <c r="M46" i="2"/>
  <c r="H46" i="2"/>
  <c r="G46" i="2"/>
  <c r="F46" i="2"/>
  <c r="D46" i="2"/>
  <c r="AJ45" i="2"/>
  <c r="AN45" i="2" s="1"/>
  <c r="P45" i="2"/>
  <c r="M45" i="2"/>
  <c r="H45" i="2"/>
  <c r="G45" i="2"/>
  <c r="F45" i="2"/>
  <c r="D6" i="9" s="1"/>
  <c r="D45" i="2"/>
  <c r="B6" i="9" s="1"/>
  <c r="AH44" i="2"/>
  <c r="R44" i="2"/>
  <c r="Q44" i="2"/>
  <c r="Y44" i="2" s="1"/>
  <c r="P44" i="2"/>
  <c r="M44" i="2"/>
  <c r="H44" i="2"/>
  <c r="G44" i="2"/>
  <c r="F44" i="2"/>
  <c r="D21" i="8" s="1"/>
  <c r="D44" i="2"/>
  <c r="B21" i="8" s="1"/>
  <c r="AH43" i="2"/>
  <c r="R43" i="2"/>
  <c r="Q43" i="2"/>
  <c r="P43" i="2"/>
  <c r="M43" i="2"/>
  <c r="H43" i="2"/>
  <c r="G43" i="2"/>
  <c r="F43" i="2"/>
  <c r="D43" i="2"/>
  <c r="AH42" i="2"/>
  <c r="R42" i="2"/>
  <c r="Q42" i="2"/>
  <c r="P42" i="2"/>
  <c r="M42" i="2"/>
  <c r="H42" i="2"/>
  <c r="G42" i="2"/>
  <c r="F42" i="2"/>
  <c r="D14" i="8" s="1"/>
  <c r="D42" i="2"/>
  <c r="B14" i="8" s="1"/>
  <c r="AH41" i="2"/>
  <c r="R41" i="2"/>
  <c r="Q41" i="2"/>
  <c r="AB41" i="2" s="1"/>
  <c r="P41" i="2"/>
  <c r="M41" i="2"/>
  <c r="H41" i="2"/>
  <c r="G41" i="2"/>
  <c r="F41" i="2"/>
  <c r="D41" i="2"/>
  <c r="AH40" i="2"/>
  <c r="R40" i="2"/>
  <c r="Q40" i="2"/>
  <c r="P40" i="2"/>
  <c r="M40" i="2"/>
  <c r="H40" i="2"/>
  <c r="G40" i="2"/>
  <c r="F40" i="2"/>
  <c r="D40" i="2"/>
  <c r="AH39" i="2"/>
  <c r="R39" i="2"/>
  <c r="Q39" i="2"/>
  <c r="Y39" i="2" s="1"/>
  <c r="P39" i="2"/>
  <c r="M39" i="2"/>
  <c r="H39" i="2"/>
  <c r="G39" i="2"/>
  <c r="F39" i="2"/>
  <c r="D39" i="2"/>
  <c r="AH38" i="2"/>
  <c r="Z38" i="2"/>
  <c r="R38" i="2"/>
  <c r="Q38" i="2"/>
  <c r="AG38" i="2" s="1"/>
  <c r="P38" i="2"/>
  <c r="M38" i="2"/>
  <c r="H38" i="2"/>
  <c r="G38" i="2"/>
  <c r="F38" i="2"/>
  <c r="D13" i="8" s="1"/>
  <c r="D38" i="2"/>
  <c r="AH37" i="2"/>
  <c r="R37" i="2"/>
  <c r="Q37" i="2"/>
  <c r="P37" i="2"/>
  <c r="M37" i="2"/>
  <c r="H37" i="2"/>
  <c r="G37" i="2"/>
  <c r="F37" i="2"/>
  <c r="D37" i="2"/>
  <c r="AH36" i="2"/>
  <c r="R36" i="2"/>
  <c r="Q36" i="2"/>
  <c r="AA36" i="2" s="1"/>
  <c r="P36" i="2"/>
  <c r="M36" i="2"/>
  <c r="H36" i="2"/>
  <c r="G36" i="2"/>
  <c r="F36" i="2"/>
  <c r="D36" i="2"/>
  <c r="AH35" i="2"/>
  <c r="R35" i="2"/>
  <c r="Q35" i="2"/>
  <c r="Z35" i="2" s="1"/>
  <c r="P35" i="2"/>
  <c r="M35" i="2"/>
  <c r="H35" i="2"/>
  <c r="G35" i="2"/>
  <c r="F35" i="2"/>
  <c r="D35" i="2"/>
  <c r="AH34" i="2"/>
  <c r="AA34" i="2"/>
  <c r="R34" i="2"/>
  <c r="Q34" i="2"/>
  <c r="Y34" i="2" s="1"/>
  <c r="P34" i="2"/>
  <c r="M34" i="2"/>
  <c r="H34" i="2"/>
  <c r="G34" i="2"/>
  <c r="F34" i="2"/>
  <c r="D11" i="8" s="1"/>
  <c r="D34" i="2"/>
  <c r="B11" i="8" s="1"/>
  <c r="AH33" i="2"/>
  <c r="R33" i="2"/>
  <c r="Q33" i="2"/>
  <c r="AG33" i="2" s="1"/>
  <c r="P33" i="2"/>
  <c r="M33" i="2"/>
  <c r="H33" i="2"/>
  <c r="G33" i="2"/>
  <c r="F33" i="2"/>
  <c r="D33" i="2"/>
  <c r="AH32" i="2"/>
  <c r="R32" i="2"/>
  <c r="Q32" i="2"/>
  <c r="P32" i="2"/>
  <c r="M32" i="2"/>
  <c r="H32" i="2"/>
  <c r="G32" i="2"/>
  <c r="F32" i="2"/>
  <c r="D32" i="2"/>
  <c r="AH31" i="2"/>
  <c r="R31" i="2"/>
  <c r="Q31" i="2"/>
  <c r="Y31" i="2" s="1"/>
  <c r="P31" i="2"/>
  <c r="M31" i="2"/>
  <c r="H31" i="2"/>
  <c r="G31" i="2"/>
  <c r="F31" i="2"/>
  <c r="D31" i="2"/>
  <c r="AH30" i="2"/>
  <c r="R30" i="2"/>
  <c r="Q30" i="2"/>
  <c r="P30" i="2"/>
  <c r="M30" i="2"/>
  <c r="H30" i="2"/>
  <c r="G30" i="2"/>
  <c r="F30" i="2"/>
  <c r="D30" i="2"/>
  <c r="AH29" i="2"/>
  <c r="R29" i="2"/>
  <c r="Q29" i="2"/>
  <c r="AD29" i="2" s="1"/>
  <c r="P29" i="2"/>
  <c r="M29" i="2"/>
  <c r="H29" i="2"/>
  <c r="G29" i="2"/>
  <c r="F29" i="2"/>
  <c r="D29" i="2"/>
  <c r="AH28" i="2"/>
  <c r="R28" i="2"/>
  <c r="Q28" i="2"/>
  <c r="AF28" i="2" s="1"/>
  <c r="P28" i="2"/>
  <c r="M28" i="2"/>
  <c r="H28" i="2"/>
  <c r="G28" i="2"/>
  <c r="F28" i="2"/>
  <c r="D10" i="8" s="1"/>
  <c r="D28" i="2"/>
  <c r="B10" i="8" s="1"/>
  <c r="AH27" i="2"/>
  <c r="R27" i="2"/>
  <c r="Q27" i="2"/>
  <c r="Z27" i="2" s="1"/>
  <c r="P27" i="2"/>
  <c r="M27" i="2"/>
  <c r="H27" i="2"/>
  <c r="G27" i="2"/>
  <c r="F27" i="2"/>
  <c r="D27" i="2"/>
  <c r="AH26" i="2"/>
  <c r="R26" i="2"/>
  <c r="Q26" i="2"/>
  <c r="AF26" i="2" s="1"/>
  <c r="P26" i="2"/>
  <c r="M26" i="2"/>
  <c r="H26" i="2"/>
  <c r="G26" i="2"/>
  <c r="F26" i="2"/>
  <c r="D9" i="8" s="1"/>
  <c r="D26" i="2"/>
  <c r="B9" i="8" s="1"/>
  <c r="AH25" i="2"/>
  <c r="R25" i="2"/>
  <c r="Q25" i="2"/>
  <c r="P25" i="2"/>
  <c r="M25" i="2"/>
  <c r="H25" i="2"/>
  <c r="G25" i="2"/>
  <c r="F25" i="2"/>
  <c r="D25" i="2"/>
  <c r="AJ24" i="2"/>
  <c r="P24" i="2"/>
  <c r="M24" i="2"/>
  <c r="H24" i="2"/>
  <c r="G24" i="2"/>
  <c r="F24" i="2"/>
  <c r="D5" i="9" s="1"/>
  <c r="D24" i="2"/>
  <c r="B5" i="9" s="1"/>
  <c r="AJ23" i="2"/>
  <c r="P23" i="2"/>
  <c r="M23" i="2"/>
  <c r="H23" i="2"/>
  <c r="G23" i="2"/>
  <c r="F23" i="2"/>
  <c r="D4" i="9" s="1"/>
  <c r="D23" i="2"/>
  <c r="B4" i="9" s="1"/>
  <c r="AJ22" i="2"/>
  <c r="P22" i="2"/>
  <c r="M22" i="2"/>
  <c r="H22" i="2"/>
  <c r="G22" i="2"/>
  <c r="E25" i="3" s="1"/>
  <c r="F22" i="2"/>
  <c r="D22" i="2"/>
  <c r="AH21" i="2"/>
  <c r="R21" i="2"/>
  <c r="Q21" i="2"/>
  <c r="AD21" i="2" s="1"/>
  <c r="P21" i="2"/>
  <c r="M21" i="2"/>
  <c r="H21" i="2"/>
  <c r="G21" i="2"/>
  <c r="F21" i="2"/>
  <c r="D8" i="8" s="1"/>
  <c r="D21" i="2"/>
  <c r="B8" i="8" s="1"/>
  <c r="AH20" i="2"/>
  <c r="R20" i="2"/>
  <c r="Q20" i="2"/>
  <c r="AB20" i="2" s="1"/>
  <c r="P20" i="2"/>
  <c r="M20" i="2"/>
  <c r="H20" i="2"/>
  <c r="G20" i="2"/>
  <c r="F20" i="2"/>
  <c r="D20" i="2"/>
  <c r="AH19" i="2"/>
  <c r="R19" i="2"/>
  <c r="Q19" i="2"/>
  <c r="AG19" i="2" s="1"/>
  <c r="P19" i="2"/>
  <c r="M19" i="2"/>
  <c r="H19" i="2"/>
  <c r="G19" i="2"/>
  <c r="F19" i="2"/>
  <c r="D7" i="8" s="1"/>
  <c r="D19" i="2"/>
  <c r="B7" i="8" s="1"/>
  <c r="AH18" i="2"/>
  <c r="R18" i="2"/>
  <c r="Q18" i="2"/>
  <c r="P18" i="2"/>
  <c r="M18" i="2"/>
  <c r="H18" i="2"/>
  <c r="G18" i="2"/>
  <c r="F18" i="2"/>
  <c r="D18" i="2"/>
  <c r="AH17" i="2"/>
  <c r="R17" i="2"/>
  <c r="Q17" i="2"/>
  <c r="Y17" i="2" s="1"/>
  <c r="P17" i="2"/>
  <c r="M17" i="2"/>
  <c r="H17" i="2"/>
  <c r="G17" i="2"/>
  <c r="F17" i="2"/>
  <c r="D6" i="8" s="1"/>
  <c r="D17" i="2"/>
  <c r="B6" i="8" s="1"/>
  <c r="AH16" i="2"/>
  <c r="R16" i="2"/>
  <c r="Q16" i="2"/>
  <c r="AG16" i="2" s="1"/>
  <c r="P16" i="2"/>
  <c r="M16" i="2"/>
  <c r="H16" i="2"/>
  <c r="G16" i="2"/>
  <c r="F16" i="2"/>
  <c r="D5" i="8" s="1"/>
  <c r="D16" i="2"/>
  <c r="B5" i="8" s="1"/>
  <c r="AH15" i="2"/>
  <c r="R15" i="2"/>
  <c r="Q15" i="2"/>
  <c r="P15" i="2"/>
  <c r="M15" i="2"/>
  <c r="H15" i="2"/>
  <c r="G15" i="2"/>
  <c r="F15" i="2"/>
  <c r="D15" i="2"/>
  <c r="AH14" i="2"/>
  <c r="R14" i="2"/>
  <c r="Q14" i="2"/>
  <c r="Y14" i="2" s="1"/>
  <c r="P14" i="2"/>
  <c r="M14" i="2"/>
  <c r="H14" i="2"/>
  <c r="G14" i="2"/>
  <c r="F14" i="2"/>
  <c r="D14" i="2"/>
  <c r="AH13" i="2"/>
  <c r="R13" i="2"/>
  <c r="Q13" i="2"/>
  <c r="Z13" i="2" s="1"/>
  <c r="P13" i="2"/>
  <c r="M13" i="2"/>
  <c r="H13" i="2"/>
  <c r="G13" i="2"/>
  <c r="F13" i="2"/>
  <c r="D13" i="2"/>
  <c r="AH12" i="2"/>
  <c r="R12" i="2"/>
  <c r="Q12" i="2"/>
  <c r="AA12" i="2" s="1"/>
  <c r="P12" i="2"/>
  <c r="M12" i="2"/>
  <c r="H12" i="2"/>
  <c r="G12" i="2"/>
  <c r="F12" i="2"/>
  <c r="D4" i="8" s="1"/>
  <c r="D12" i="2"/>
  <c r="B4" i="8" s="1"/>
  <c r="AH11" i="2"/>
  <c r="R11" i="2"/>
  <c r="Q11" i="2"/>
  <c r="AD11" i="2" s="1"/>
  <c r="P11" i="2"/>
  <c r="M11" i="2"/>
  <c r="H11" i="2"/>
  <c r="G11" i="2"/>
  <c r="F11" i="2"/>
  <c r="D11" i="2"/>
  <c r="AH10" i="2"/>
  <c r="R10" i="2"/>
  <c r="Q10" i="2"/>
  <c r="Y10" i="2" s="1"/>
  <c r="P10" i="2"/>
  <c r="M10" i="2"/>
  <c r="H10" i="2"/>
  <c r="G10" i="2"/>
  <c r="F10" i="2"/>
  <c r="D10" i="2"/>
  <c r="AH9" i="2"/>
  <c r="AG9" i="2"/>
  <c r="R9" i="2"/>
  <c r="Q9" i="2"/>
  <c r="I6" i="3" s="1"/>
  <c r="P9" i="2"/>
  <c r="M9" i="2"/>
  <c r="H9" i="2"/>
  <c r="G9" i="2"/>
  <c r="E6" i="3" s="1"/>
  <c r="F9" i="2"/>
  <c r="D9" i="2"/>
  <c r="AH8" i="2"/>
  <c r="R8" i="2"/>
  <c r="Q8" i="2"/>
  <c r="P8" i="2"/>
  <c r="M8" i="2"/>
  <c r="H8" i="2"/>
  <c r="G8" i="2"/>
  <c r="F8" i="2"/>
  <c r="D8" i="2"/>
  <c r="AH7" i="2"/>
  <c r="Y7" i="2"/>
  <c r="R7" i="2"/>
  <c r="Q7" i="2"/>
  <c r="I14" i="3" s="1"/>
  <c r="P7" i="2"/>
  <c r="M7" i="2"/>
  <c r="H7" i="2"/>
  <c r="G7" i="2"/>
  <c r="E14" i="3" s="1"/>
  <c r="F7" i="2"/>
  <c r="D7" i="2"/>
  <c r="AH6" i="2"/>
  <c r="R6" i="2"/>
  <c r="Q6" i="2"/>
  <c r="AG6" i="2" s="1"/>
  <c r="P6" i="2"/>
  <c r="M6" i="2"/>
  <c r="H6" i="2"/>
  <c r="G6" i="2"/>
  <c r="F6" i="2"/>
  <c r="D6" i="2"/>
  <c r="AH5" i="2"/>
  <c r="R5" i="2"/>
  <c r="Q5" i="2"/>
  <c r="P5" i="2"/>
  <c r="M5" i="2"/>
  <c r="H5" i="2"/>
  <c r="G5" i="2"/>
  <c r="F5" i="2"/>
  <c r="D5" i="2"/>
  <c r="AH4" i="2"/>
  <c r="R4" i="2"/>
  <c r="Q4" i="2"/>
  <c r="I10" i="3" s="1"/>
  <c r="P4" i="2"/>
  <c r="M4" i="2"/>
  <c r="H4" i="2"/>
  <c r="G4" i="2"/>
  <c r="E10" i="3" s="1"/>
  <c r="F4" i="2"/>
  <c r="D4" i="2"/>
  <c r="AH3" i="2"/>
  <c r="R3" i="2"/>
  <c r="Q3" i="2"/>
  <c r="Z3" i="2" s="1"/>
  <c r="P3" i="2"/>
  <c r="M3" i="2"/>
  <c r="H3" i="2"/>
  <c r="G3" i="2"/>
  <c r="F3" i="2"/>
  <c r="D3" i="2"/>
  <c r="AH2" i="2"/>
  <c r="R2" i="2"/>
  <c r="Q2" i="2"/>
  <c r="P2" i="2"/>
  <c r="M2" i="2"/>
  <c r="H2" i="2"/>
  <c r="G2" i="2"/>
  <c r="E2" i="3" s="1"/>
  <c r="F2" i="2"/>
  <c r="D2" i="2"/>
  <c r="I6" i="1"/>
  <c r="F6" i="1"/>
  <c r="B2" i="9" s="1"/>
  <c r="I5" i="1"/>
  <c r="F5" i="1"/>
  <c r="B2" i="8" s="1"/>
  <c r="I4" i="1"/>
  <c r="F4" i="1"/>
  <c r="B2" i="7" s="1"/>
  <c r="I3" i="1"/>
  <c r="F3" i="1"/>
  <c r="B2" i="6" s="1"/>
  <c r="I2" i="1"/>
  <c r="F2" i="1"/>
  <c r="V587" i="2" l="1"/>
  <c r="AO635" i="2"/>
  <c r="W473" i="2"/>
  <c r="AC454" i="2"/>
  <c r="Z175" i="2"/>
  <c r="Z235" i="2"/>
  <c r="AG276" i="2"/>
  <c r="V277" i="2"/>
  <c r="Z306" i="2"/>
  <c r="AF336" i="2"/>
  <c r="AN337" i="2"/>
  <c r="AM387" i="2"/>
  <c r="AA388" i="2"/>
  <c r="AF391" i="2"/>
  <c r="Y392" i="2"/>
  <c r="X396" i="2"/>
  <c r="AD404" i="2"/>
  <c r="AF480" i="2"/>
  <c r="AE518" i="2"/>
  <c r="AB532" i="2"/>
  <c r="Z571" i="2"/>
  <c r="AG587" i="2"/>
  <c r="Y597" i="2"/>
  <c r="Y616" i="2"/>
  <c r="Z654" i="2"/>
  <c r="AC244" i="2"/>
  <c r="Y73" i="2"/>
  <c r="AG126" i="2"/>
  <c r="AK220" i="2"/>
  <c r="AN234" i="2"/>
  <c r="AF268" i="2"/>
  <c r="Z269" i="2"/>
  <c r="Y271" i="2"/>
  <c r="AF273" i="2"/>
  <c r="X298" i="2"/>
  <c r="AA306" i="2"/>
  <c r="AF388" i="2"/>
  <c r="Z392" i="2"/>
  <c r="Z396" i="2"/>
  <c r="AB505" i="2"/>
  <c r="AD532" i="2"/>
  <c r="AC571" i="2"/>
  <c r="AA573" i="2"/>
  <c r="Y613" i="2"/>
  <c r="AD616" i="2"/>
  <c r="W631" i="2"/>
  <c r="AB654" i="2"/>
  <c r="Y93" i="2"/>
  <c r="AD276" i="2"/>
  <c r="Z74" i="2"/>
  <c r="Z127" i="2"/>
  <c r="AE19" i="2"/>
  <c r="Z73" i="2"/>
  <c r="AB150" i="2"/>
  <c r="Y157" i="2"/>
  <c r="AG175" i="2"/>
  <c r="AF19" i="2"/>
  <c r="AD73" i="2"/>
  <c r="AG136" i="2"/>
  <c r="AF138" i="2"/>
  <c r="AF166" i="2"/>
  <c r="T219" i="2"/>
  <c r="Z242" i="2"/>
  <c r="Y262" i="2"/>
  <c r="AD271" i="2"/>
  <c r="W296" i="2"/>
  <c r="Z303" i="2"/>
  <c r="AF306" i="2"/>
  <c r="AF307" i="2"/>
  <c r="X309" i="2"/>
  <c r="AG388" i="2"/>
  <c r="AD392" i="2"/>
  <c r="Y501" i="2"/>
  <c r="S516" i="2"/>
  <c r="AF518" i="2"/>
  <c r="Y528" i="2"/>
  <c r="AD571" i="2"/>
  <c r="AD573" i="2"/>
  <c r="T584" i="2"/>
  <c r="X609" i="2"/>
  <c r="Z613" i="2"/>
  <c r="Y631" i="2"/>
  <c r="Z632" i="2"/>
  <c r="AG647" i="2"/>
  <c r="S70" i="2"/>
  <c r="AO69" i="2"/>
  <c r="Z17" i="2"/>
  <c r="AF70" i="2"/>
  <c r="S56" i="2"/>
  <c r="V66" i="2"/>
  <c r="AG73" i="2"/>
  <c r="AG138" i="2"/>
  <c r="W162" i="2"/>
  <c r="AM165" i="2"/>
  <c r="V185" i="2"/>
  <c r="AC202" i="2"/>
  <c r="AA232" i="2"/>
  <c r="AD263" i="2"/>
  <c r="Y265" i="2"/>
  <c r="W298" i="2"/>
  <c r="AF392" i="2"/>
  <c r="X426" i="2"/>
  <c r="Z489" i="2"/>
  <c r="T511" i="2"/>
  <c r="AO527" i="2"/>
  <c r="Z528" i="2"/>
  <c r="AG530" i="2"/>
  <c r="AA547" i="2"/>
  <c r="V584" i="2"/>
  <c r="S608" i="2"/>
  <c r="AC637" i="2"/>
  <c r="V641" i="2"/>
  <c r="AB29" i="2"/>
  <c r="AA159" i="2"/>
  <c r="AF263" i="2"/>
  <c r="AG528" i="2"/>
  <c r="AG584" i="2"/>
  <c r="AP279" i="2"/>
  <c r="AE25" i="2"/>
  <c r="AD28" i="2"/>
  <c r="AA125" i="2"/>
  <c r="Z70" i="2"/>
  <c r="Y98" i="2"/>
  <c r="X248" i="2"/>
  <c r="Z298" i="2"/>
  <c r="AE411" i="2"/>
  <c r="AB425" i="2"/>
  <c r="AE579" i="2"/>
  <c r="AD581" i="2"/>
  <c r="AG628" i="2"/>
  <c r="AP313" i="2"/>
  <c r="Y28" i="2"/>
  <c r="Y74" i="2"/>
  <c r="AE8" i="2"/>
  <c r="AF38" i="2"/>
  <c r="Z57" i="2"/>
  <c r="AA102" i="2"/>
  <c r="X9" i="2"/>
  <c r="AB12" i="2"/>
  <c r="V27" i="2"/>
  <c r="Z34" i="2"/>
  <c r="AE74" i="2"/>
  <c r="Z85" i="2"/>
  <c r="Y118" i="2"/>
  <c r="AC173" i="2"/>
  <c r="AA182" i="2"/>
  <c r="Z202" i="2"/>
  <c r="AF205" i="2"/>
  <c r="AE246" i="2"/>
  <c r="V281" i="2"/>
  <c r="X317" i="2"/>
  <c r="Z341" i="2"/>
  <c r="AC352" i="2"/>
  <c r="AE354" i="2"/>
  <c r="AD360" i="2"/>
  <c r="Z382" i="2"/>
  <c r="X412" i="2"/>
  <c r="AD425" i="2"/>
  <c r="V485" i="2"/>
  <c r="AB498" i="2"/>
  <c r="W536" i="2"/>
  <c r="AG545" i="2"/>
  <c r="AF567" i="2"/>
  <c r="AE581" i="2"/>
  <c r="W601" i="2"/>
  <c r="AB637" i="2"/>
  <c r="AC647" i="2"/>
  <c r="Y62" i="2"/>
  <c r="Z62" i="2"/>
  <c r="Y53" i="2"/>
  <c r="AA53" i="2"/>
  <c r="Y95" i="2"/>
  <c r="AA95" i="2"/>
  <c r="Z52" i="2"/>
  <c r="AG52" i="2"/>
  <c r="AG91" i="2"/>
  <c r="AE91" i="2"/>
  <c r="Y254" i="2"/>
  <c r="AF254" i="2"/>
  <c r="Z254" i="2"/>
  <c r="AC326" i="2"/>
  <c r="AD326" i="2"/>
  <c r="Y49" i="2"/>
  <c r="AD49" i="2"/>
  <c r="Z49" i="2"/>
  <c r="AF198" i="2"/>
  <c r="AA198" i="2"/>
  <c r="AB210" i="2"/>
  <c r="Y210" i="2"/>
  <c r="Z210" i="2"/>
  <c r="AC442" i="2"/>
  <c r="X442" i="2"/>
  <c r="AA252" i="2"/>
  <c r="Y252" i="2"/>
  <c r="T37" i="2"/>
  <c r="W59" i="2"/>
  <c r="AB88" i="2"/>
  <c r="W88" i="2"/>
  <c r="AG88" i="2"/>
  <c r="AA88" i="2"/>
  <c r="Y88" i="2"/>
  <c r="V138" i="2"/>
  <c r="AB139" i="2"/>
  <c r="AF139" i="2"/>
  <c r="AD139" i="2"/>
  <c r="AD155" i="2"/>
  <c r="AE155" i="2"/>
  <c r="AB197" i="2"/>
  <c r="AA197" i="2"/>
  <c r="T260" i="2"/>
  <c r="S260" i="2"/>
  <c r="AF322" i="2"/>
  <c r="X322" i="2"/>
  <c r="Z322" i="2"/>
  <c r="AB322" i="2"/>
  <c r="Y322" i="2"/>
  <c r="AG90" i="2"/>
  <c r="Y90" i="2"/>
  <c r="AD42" i="2"/>
  <c r="AG42" i="2"/>
  <c r="Z42" i="2"/>
  <c r="T308" i="2"/>
  <c r="S308" i="2"/>
  <c r="AD37" i="2"/>
  <c r="Z37" i="2"/>
  <c r="Y37" i="2"/>
  <c r="Z47" i="2"/>
  <c r="AF47" i="2"/>
  <c r="Y58" i="2"/>
  <c r="Z58" i="2"/>
  <c r="AG58" i="2"/>
  <c r="AE120" i="2"/>
  <c r="AA133" i="2"/>
  <c r="V133" i="2"/>
  <c r="AA208" i="2"/>
  <c r="Y208" i="2"/>
  <c r="AD208" i="2"/>
  <c r="Z43" i="2"/>
  <c r="AB43" i="2"/>
  <c r="AA43" i="2"/>
  <c r="AA227" i="2"/>
  <c r="AB227" i="2"/>
  <c r="Z227" i="2"/>
  <c r="Y227" i="2"/>
  <c r="I2" i="3"/>
  <c r="AB2" i="2"/>
  <c r="AB11" i="2"/>
  <c r="Y11" i="2"/>
  <c r="W81" i="2"/>
  <c r="X81" i="2"/>
  <c r="T81" i="2"/>
  <c r="S81" i="2"/>
  <c r="AB86" i="2"/>
  <c r="AA86" i="2"/>
  <c r="AF119" i="2"/>
  <c r="X119" i="2"/>
  <c r="Y119" i="2"/>
  <c r="AF146" i="2"/>
  <c r="Y146" i="2"/>
  <c r="AG146" i="2"/>
  <c r="AE193" i="2"/>
  <c r="Y257" i="2"/>
  <c r="AG257" i="2"/>
  <c r="AF257" i="2"/>
  <c r="Z212" i="2"/>
  <c r="AA212" i="2"/>
  <c r="AG212" i="2"/>
  <c r="AB183" i="2"/>
  <c r="AA183" i="2"/>
  <c r="Z204" i="2"/>
  <c r="Y204" i="2"/>
  <c r="AA204" i="2"/>
  <c r="AA256" i="2"/>
  <c r="Y256" i="2"/>
  <c r="X318" i="2"/>
  <c r="AC318" i="2"/>
  <c r="AG318" i="2"/>
  <c r="AB318" i="2"/>
  <c r="V327" i="2"/>
  <c r="W327" i="2"/>
  <c r="X73" i="2"/>
  <c r="W73" i="2"/>
  <c r="V73" i="2"/>
  <c r="Z145" i="2"/>
  <c r="AA145" i="2"/>
  <c r="AC70" i="2"/>
  <c r="V70" i="2"/>
  <c r="AA82" i="2"/>
  <c r="W82" i="2"/>
  <c r="AD107" i="2"/>
  <c r="AA107" i="2"/>
  <c r="Y107" i="2"/>
  <c r="Y115" i="2"/>
  <c r="AA115" i="2"/>
  <c r="Z129" i="2"/>
  <c r="AF129" i="2"/>
  <c r="AD129" i="2"/>
  <c r="AB129" i="2"/>
  <c r="W129" i="2"/>
  <c r="X139" i="2"/>
  <c r="W141" i="2"/>
  <c r="Y194" i="2"/>
  <c r="Y205" i="2"/>
  <c r="AC227" i="2"/>
  <c r="Y232" i="2"/>
  <c r="Y235" i="2"/>
  <c r="Y242" i="2"/>
  <c r="AC252" i="2"/>
  <c r="AA300" i="2"/>
  <c r="Y303" i="2"/>
  <c r="T327" i="2"/>
  <c r="AE332" i="2"/>
  <c r="V338" i="2"/>
  <c r="Y341" i="2"/>
  <c r="AC342" i="2"/>
  <c r="S373" i="2"/>
  <c r="AC438" i="2"/>
  <c r="W442" i="2"/>
  <c r="AC444" i="2"/>
  <c r="AC462" i="2"/>
  <c r="W497" i="2"/>
  <c r="AE504" i="2"/>
  <c r="AC515" i="2"/>
  <c r="AC516" i="2"/>
  <c r="AD559" i="2"/>
  <c r="AD613" i="2"/>
  <c r="AC631" i="2"/>
  <c r="W528" i="2"/>
  <c r="T560" i="2"/>
  <c r="S587" i="2"/>
  <c r="AD631" i="2"/>
  <c r="V632" i="2"/>
  <c r="AE663" i="2"/>
  <c r="X19" i="2"/>
  <c r="X40" i="2"/>
  <c r="Y50" i="2"/>
  <c r="AE66" i="2"/>
  <c r="S68" i="2"/>
  <c r="S110" i="2"/>
  <c r="X161" i="2"/>
  <c r="AK167" i="2"/>
  <c r="Y178" i="2"/>
  <c r="Y185" i="2"/>
  <c r="Y186" i="2"/>
  <c r="Y187" i="2"/>
  <c r="Z190" i="2"/>
  <c r="AB232" i="2"/>
  <c r="AB235" i="2"/>
  <c r="AD236" i="2"/>
  <c r="Z237" i="2"/>
  <c r="AB242" i="2"/>
  <c r="AE253" i="2"/>
  <c r="AA291" i="2"/>
  <c r="AB303" i="2"/>
  <c r="AF304" i="2"/>
  <c r="AK313" i="2"/>
  <c r="X327" i="2"/>
  <c r="AF333" i="2"/>
  <c r="Z335" i="2"/>
  <c r="AB341" i="2"/>
  <c r="V358" i="2"/>
  <c r="T374" i="2"/>
  <c r="AF402" i="2"/>
  <c r="S415" i="2"/>
  <c r="X417" i="2"/>
  <c r="AF432" i="2"/>
  <c r="T435" i="2"/>
  <c r="AB442" i="2"/>
  <c r="AD445" i="2"/>
  <c r="V480" i="2"/>
  <c r="AA498" i="2"/>
  <c r="AP500" i="2"/>
  <c r="AR500" i="2" s="1"/>
  <c r="AC501" i="2"/>
  <c r="AA505" i="2"/>
  <c r="W511" i="2"/>
  <c r="V513" i="2"/>
  <c r="V521" i="2"/>
  <c r="Y526" i="2"/>
  <c r="X528" i="2"/>
  <c r="T541" i="2"/>
  <c r="S571" i="2"/>
  <c r="AC577" i="2"/>
  <c r="Z581" i="2"/>
  <c r="S584" i="2"/>
  <c r="T587" i="2"/>
  <c r="V588" i="2"/>
  <c r="V606" i="2"/>
  <c r="AO650" i="2"/>
  <c r="V656" i="2"/>
  <c r="AE661" i="2"/>
  <c r="Y664" i="2"/>
  <c r="AC68" i="2"/>
  <c r="V110" i="2"/>
  <c r="Z187" i="2"/>
  <c r="AG232" i="2"/>
  <c r="AA237" i="2"/>
  <c r="AD242" i="2"/>
  <c r="AC291" i="2"/>
  <c r="Y327" i="2"/>
  <c r="AD335" i="2"/>
  <c r="AG341" i="2"/>
  <c r="AF342" i="2"/>
  <c r="V374" i="2"/>
  <c r="T415" i="2"/>
  <c r="V435" i="2"/>
  <c r="AF438" i="2"/>
  <c r="AF442" i="2"/>
  <c r="AC446" i="2"/>
  <c r="W460" i="2"/>
  <c r="AF462" i="2"/>
  <c r="W499" i="2"/>
  <c r="T506" i="2"/>
  <c r="AA507" i="2"/>
  <c r="AC511" i="2"/>
  <c r="AB515" i="2"/>
  <c r="W517" i="2"/>
  <c r="AC579" i="2"/>
  <c r="AB664" i="2"/>
  <c r="T27" i="2"/>
  <c r="AC28" i="2"/>
  <c r="X32" i="2"/>
  <c r="AC57" i="2"/>
  <c r="AF110" i="2"/>
  <c r="X118" i="2"/>
  <c r="AE187" i="2"/>
  <c r="X217" i="2"/>
  <c r="AC237" i="2"/>
  <c r="AF242" i="2"/>
  <c r="AE285" i="2"/>
  <c r="V288" i="2"/>
  <c r="AF291" i="2"/>
  <c r="AC309" i="2"/>
  <c r="AM313" i="2"/>
  <c r="Z327" i="2"/>
  <c r="X350" i="2"/>
  <c r="W362" i="2"/>
  <c r="W374" i="2"/>
  <c r="X376" i="2"/>
  <c r="T379" i="2"/>
  <c r="T388" i="2"/>
  <c r="Y415" i="2"/>
  <c r="T425" i="2"/>
  <c r="AG442" i="2"/>
  <c r="AE446" i="2"/>
  <c r="S447" i="2"/>
  <c r="AG499" i="2"/>
  <c r="AB507" i="2"/>
  <c r="AE511" i="2"/>
  <c r="X517" i="2"/>
  <c r="S537" i="2"/>
  <c r="W647" i="2"/>
  <c r="AF664" i="2"/>
  <c r="X7" i="2"/>
  <c r="Y19" i="2"/>
  <c r="T30" i="2"/>
  <c r="AA76" i="2"/>
  <c r="AK149" i="2"/>
  <c r="AE157" i="2"/>
  <c r="Y161" i="2"/>
  <c r="AC176" i="2"/>
  <c r="S201" i="2"/>
  <c r="Z219" i="2"/>
  <c r="AE237" i="2"/>
  <c r="W250" i="2"/>
  <c r="AN313" i="2"/>
  <c r="V314" i="2"/>
  <c r="AB327" i="2"/>
  <c r="Y360" i="2"/>
  <c r="X374" i="2"/>
  <c r="Z415" i="2"/>
  <c r="V425" i="2"/>
  <c r="T447" i="2"/>
  <c r="AA480" i="2"/>
  <c r="S484" i="2"/>
  <c r="AK488" i="2"/>
  <c r="Y490" i="2"/>
  <c r="Y492" i="2"/>
  <c r="Y517" i="2"/>
  <c r="AF521" i="2"/>
  <c r="T530" i="2"/>
  <c r="AO531" i="2"/>
  <c r="Y541" i="2"/>
  <c r="Y545" i="2"/>
  <c r="Y547" i="2"/>
  <c r="Y573" i="2"/>
  <c r="T597" i="2"/>
  <c r="V609" i="2"/>
  <c r="S631" i="2"/>
  <c r="S641" i="2"/>
  <c r="Y656" i="2"/>
  <c r="AG664" i="2"/>
  <c r="AC11" i="2"/>
  <c r="Z19" i="2"/>
  <c r="W49" i="2"/>
  <c r="X52" i="2"/>
  <c r="AG76" i="2"/>
  <c r="AC84" i="2"/>
  <c r="W86" i="2"/>
  <c r="S88" i="2"/>
  <c r="S115" i="2"/>
  <c r="AE119" i="2"/>
  <c r="X148" i="2"/>
  <c r="Z161" i="2"/>
  <c r="AB201" i="2"/>
  <c r="W202" i="2"/>
  <c r="AC204" i="2"/>
  <c r="AE210" i="2"/>
  <c r="W224" i="2"/>
  <c r="AA263" i="2"/>
  <c r="AC277" i="2"/>
  <c r="Y280" i="2"/>
  <c r="AE284" i="2"/>
  <c r="W309" i="2"/>
  <c r="AA314" i="2"/>
  <c r="W318" i="2"/>
  <c r="AE322" i="2"/>
  <c r="X326" i="2"/>
  <c r="AG327" i="2"/>
  <c r="V348" i="2"/>
  <c r="Z360" i="2"/>
  <c r="S362" i="2"/>
  <c r="AE364" i="2"/>
  <c r="AE365" i="2"/>
  <c r="Y379" i="2"/>
  <c r="Z391" i="2"/>
  <c r="X419" i="2"/>
  <c r="W447" i="2"/>
  <c r="X470" i="2"/>
  <c r="AD480" i="2"/>
  <c r="T484" i="2"/>
  <c r="V530" i="2"/>
  <c r="Z545" i="2"/>
  <c r="Z547" i="2"/>
  <c r="AM569" i="2"/>
  <c r="AE571" i="2"/>
  <c r="AC592" i="2"/>
  <c r="V597" i="2"/>
  <c r="X598" i="2"/>
  <c r="AB604" i="2"/>
  <c r="W609" i="2"/>
  <c r="Z612" i="2"/>
  <c r="T613" i="2"/>
  <c r="AC615" i="2"/>
  <c r="AE618" i="2"/>
  <c r="V619" i="2"/>
  <c r="T621" i="2"/>
  <c r="Y626" i="2"/>
  <c r="AE627" i="2"/>
  <c r="W628" i="2"/>
  <c r="AP630" i="2"/>
  <c r="AR630" i="2" s="1"/>
  <c r="T631" i="2"/>
  <c r="Z637" i="2"/>
  <c r="T641" i="2"/>
  <c r="AP648" i="2"/>
  <c r="W654" i="2"/>
  <c r="AD656" i="2"/>
  <c r="AE154" i="2"/>
  <c r="S193" i="2"/>
  <c r="Z7" i="2"/>
  <c r="AE9" i="2"/>
  <c r="W42" i="2"/>
  <c r="AG57" i="2"/>
  <c r="AG85" i="2"/>
  <c r="V92" i="2"/>
  <c r="X110" i="2"/>
  <c r="AG118" i="2"/>
  <c r="AG157" i="2"/>
  <c r="AE180" i="2"/>
  <c r="AE190" i="2"/>
  <c r="AP192" i="2"/>
  <c r="AB202" i="2"/>
  <c r="AK222" i="2"/>
  <c r="AE230" i="2"/>
  <c r="AP234" i="2"/>
  <c r="AC236" i="2"/>
  <c r="S237" i="2"/>
  <c r="AG263" i="2"/>
  <c r="AG271" i="2"/>
  <c r="X277" i="2"/>
  <c r="AC304" i="2"/>
  <c r="V335" i="2"/>
  <c r="AF362" i="2"/>
  <c r="AK372" i="2"/>
  <c r="AD379" i="2"/>
  <c r="AD382" i="2"/>
  <c r="W402" i="2"/>
  <c r="W412" i="2"/>
  <c r="AA419" i="2"/>
  <c r="S432" i="2"/>
  <c r="X510" i="2"/>
  <c r="W526" i="2"/>
  <c r="AE560" i="2"/>
  <c r="AA597" i="2"/>
  <c r="AC613" i="2"/>
  <c r="AB616" i="2"/>
  <c r="Y619" i="2"/>
  <c r="Z631" i="2"/>
  <c r="Y641" i="2"/>
  <c r="AE664" i="2"/>
  <c r="J347" i="3"/>
  <c r="AB397" i="2"/>
  <c r="AA397" i="2"/>
  <c r="AG397" i="2"/>
  <c r="AF422" i="2"/>
  <c r="AG431" i="2"/>
  <c r="AB491" i="2"/>
  <c r="W491" i="2"/>
  <c r="Y491" i="2"/>
  <c r="S503" i="2"/>
  <c r="AB536" i="2"/>
  <c r="T536" i="2"/>
  <c r="V536" i="2"/>
  <c r="S536" i="2"/>
  <c r="AG536" i="2"/>
  <c r="AF536" i="2"/>
  <c r="AE536" i="2"/>
  <c r="Z536" i="2"/>
  <c r="Y536" i="2"/>
  <c r="X536" i="2"/>
  <c r="AE227" i="2"/>
  <c r="V280" i="2"/>
  <c r="X280" i="2"/>
  <c r="W280" i="2"/>
  <c r="AF292" i="2"/>
  <c r="AB292" i="2"/>
  <c r="AA292" i="2"/>
  <c r="Z292" i="2"/>
  <c r="AB316" i="2"/>
  <c r="Z316" i="2"/>
  <c r="Y316" i="2"/>
  <c r="T316" i="2"/>
  <c r="S316" i="2"/>
  <c r="AF9" i="2"/>
  <c r="AD12" i="2"/>
  <c r="AG17" i="2"/>
  <c r="AE20" i="2"/>
  <c r="AE21" i="2"/>
  <c r="AP22" i="2"/>
  <c r="O25" i="3" s="1"/>
  <c r="O28" i="3" s="1"/>
  <c r="X27" i="2"/>
  <c r="AA38" i="2"/>
  <c r="AG47" i="2"/>
  <c r="AO51" i="2"/>
  <c r="AM71" i="2"/>
  <c r="AC76" i="2"/>
  <c r="AK89" i="2"/>
  <c r="AD100" i="2"/>
  <c r="Z107" i="2"/>
  <c r="W138" i="2"/>
  <c r="AC143" i="2"/>
  <c r="AE150" i="2"/>
  <c r="AD157" i="2"/>
  <c r="Z166" i="2"/>
  <c r="X180" i="2"/>
  <c r="V190" i="2"/>
  <c r="Z194" i="2"/>
  <c r="AB198" i="2"/>
  <c r="T203" i="2"/>
  <c r="Z208" i="2"/>
  <c r="AD219" i="2"/>
  <c r="S226" i="2"/>
  <c r="Y273" i="2"/>
  <c r="X273" i="2"/>
  <c r="W273" i="2"/>
  <c r="T273" i="2"/>
  <c r="AO289" i="2"/>
  <c r="AA315" i="2"/>
  <c r="AF315" i="2"/>
  <c r="AE315" i="2"/>
  <c r="AA426" i="2"/>
  <c r="AC426" i="2"/>
  <c r="AE426" i="2"/>
  <c r="AD426" i="2"/>
  <c r="AB426" i="2"/>
  <c r="AG453" i="2"/>
  <c r="AE453" i="2"/>
  <c r="AD453" i="2"/>
  <c r="AB453" i="2"/>
  <c r="Z453" i="2"/>
  <c r="W453" i="2"/>
  <c r="V469" i="2"/>
  <c r="AF470" i="2"/>
  <c r="AD470" i="2"/>
  <c r="AC470" i="2"/>
  <c r="Z470" i="2"/>
  <c r="Y470" i="2"/>
  <c r="AM488" i="2"/>
  <c r="AF512" i="2"/>
  <c r="W512" i="2"/>
  <c r="T512" i="2"/>
  <c r="AA529" i="2"/>
  <c r="S529" i="2"/>
  <c r="AF529" i="2"/>
  <c r="AD529" i="2"/>
  <c r="X529" i="2"/>
  <c r="W529" i="2"/>
  <c r="V529" i="2"/>
  <c r="AC552" i="2"/>
  <c r="T552" i="2"/>
  <c r="S552" i="2"/>
  <c r="AA436" i="2"/>
  <c r="AE436" i="2"/>
  <c r="AD436" i="2"/>
  <c r="AC436" i="2"/>
  <c r="AB436" i="2"/>
  <c r="X451" i="2"/>
  <c r="AB451" i="2"/>
  <c r="Z451" i="2"/>
  <c r="Y486" i="2"/>
  <c r="AA486" i="2"/>
  <c r="Z486" i="2"/>
  <c r="AC519" i="2"/>
  <c r="AE519" i="2"/>
  <c r="AB520" i="2"/>
  <c r="AG520" i="2"/>
  <c r="V520" i="2"/>
  <c r="T520" i="2"/>
  <c r="AO71" i="2"/>
  <c r="Y181" i="2"/>
  <c r="V292" i="2"/>
  <c r="AB27" i="2"/>
  <c r="Z39" i="2"/>
  <c r="AK45" i="2"/>
  <c r="AM51" i="2"/>
  <c r="V57" i="2"/>
  <c r="AB107" i="2"/>
  <c r="S114" i="2"/>
  <c r="W139" i="2"/>
  <c r="AE147" i="2"/>
  <c r="T158" i="2"/>
  <c r="AG166" i="2"/>
  <c r="AD173" i="2"/>
  <c r="AF181" i="2"/>
  <c r="X182" i="2"/>
  <c r="AC188" i="2"/>
  <c r="AF189" i="2"/>
  <c r="W190" i="2"/>
  <c r="AG194" i="2"/>
  <c r="AB196" i="2"/>
  <c r="AF208" i="2"/>
  <c r="S227" i="2"/>
  <c r="AD244" i="2"/>
  <c r="Y246" i="2"/>
  <c r="AA246" i="2"/>
  <c r="Z246" i="2"/>
  <c r="Z252" i="2"/>
  <c r="S252" i="2"/>
  <c r="T265" i="2"/>
  <c r="Y269" i="2"/>
  <c r="AG269" i="2"/>
  <c r="AF269" i="2"/>
  <c r="AG272" i="2"/>
  <c r="S273" i="2"/>
  <c r="U273" i="2" s="1"/>
  <c r="AA281" i="2"/>
  <c r="AF281" i="2"/>
  <c r="AC281" i="2"/>
  <c r="AF285" i="2"/>
  <c r="AG285" i="2"/>
  <c r="AD285" i="2"/>
  <c r="AB285" i="2"/>
  <c r="Y292" i="2"/>
  <c r="V308" i="2"/>
  <c r="Z325" i="2"/>
  <c r="AF325" i="2"/>
  <c r="AD325" i="2"/>
  <c r="AC351" i="2"/>
  <c r="AB351" i="2"/>
  <c r="Z351" i="2"/>
  <c r="Y351" i="2"/>
  <c r="X351" i="2"/>
  <c r="AG443" i="2"/>
  <c r="X443" i="2"/>
  <c r="W443" i="2"/>
  <c r="V443" i="2"/>
  <c r="V460" i="2"/>
  <c r="AB460" i="2"/>
  <c r="Z460" i="2"/>
  <c r="S551" i="2"/>
  <c r="AB551" i="2"/>
  <c r="AD551" i="2"/>
  <c r="AK585" i="2"/>
  <c r="AM585" i="2"/>
  <c r="AN585" i="2"/>
  <c r="Z10" i="2"/>
  <c r="AA188" i="2"/>
  <c r="Z196" i="2"/>
  <c r="AC316" i="2"/>
  <c r="AB10" i="2"/>
  <c r="X6" i="2"/>
  <c r="W9" i="2"/>
  <c r="AD10" i="2"/>
  <c r="AD20" i="2"/>
  <c r="W25" i="2"/>
  <c r="AD27" i="2"/>
  <c r="AA39" i="2"/>
  <c r="Y40" i="2"/>
  <c r="AM45" i="2"/>
  <c r="S46" i="2"/>
  <c r="Z50" i="2"/>
  <c r="W57" i="2"/>
  <c r="Y94" i="2"/>
  <c r="Z111" i="2"/>
  <c r="T114" i="2"/>
  <c r="AB118" i="2"/>
  <c r="Y127" i="2"/>
  <c r="Z143" i="2"/>
  <c r="Z146" i="2"/>
  <c r="V154" i="2"/>
  <c r="V155" i="2"/>
  <c r="V158" i="2"/>
  <c r="AC159" i="2"/>
  <c r="AE163" i="2"/>
  <c r="AC174" i="2"/>
  <c r="X178" i="2"/>
  <c r="X185" i="2"/>
  <c r="Y190" i="2"/>
  <c r="AC196" i="2"/>
  <c r="W197" i="2"/>
  <c r="Z203" i="2"/>
  <c r="AG208" i="2"/>
  <c r="Y209" i="2"/>
  <c r="S212" i="2"/>
  <c r="X224" i="2"/>
  <c r="T227" i="2"/>
  <c r="AG244" i="2"/>
  <c r="S245" i="2"/>
  <c r="AC271" i="2"/>
  <c r="AA308" i="2"/>
  <c r="AB308" i="2"/>
  <c r="Z308" i="2"/>
  <c r="Y308" i="2"/>
  <c r="X308" i="2"/>
  <c r="W308" i="2"/>
  <c r="AC323" i="2"/>
  <c r="X436" i="2"/>
  <c r="Y451" i="2"/>
  <c r="W461" i="2"/>
  <c r="AG461" i="2"/>
  <c r="AF461" i="2"/>
  <c r="T519" i="2"/>
  <c r="AC538" i="2"/>
  <c r="W538" i="2"/>
  <c r="V538" i="2"/>
  <c r="AF539" i="2"/>
  <c r="AD539" i="2"/>
  <c r="AA539" i="2"/>
  <c r="V539" i="2"/>
  <c r="T539" i="2"/>
  <c r="AB173" i="2"/>
  <c r="AE272" i="2"/>
  <c r="AF10" i="2"/>
  <c r="S12" i="2"/>
  <c r="X16" i="2"/>
  <c r="X25" i="2"/>
  <c r="AF27" i="2"/>
  <c r="W28" i="2"/>
  <c r="X37" i="2"/>
  <c r="T46" i="2"/>
  <c r="X57" i="2"/>
  <c r="W75" i="2"/>
  <c r="Z94" i="2"/>
  <c r="AD111" i="2"/>
  <c r="V148" i="2"/>
  <c r="W154" i="2"/>
  <c r="Z158" i="2"/>
  <c r="AD196" i="2"/>
  <c r="AA203" i="2"/>
  <c r="Z209" i="2"/>
  <c r="X210" i="2"/>
  <c r="Y224" i="2"/>
  <c r="W227" i="2"/>
  <c r="T245" i="2"/>
  <c r="T246" i="2"/>
  <c r="X265" i="2"/>
  <c r="V269" i="2"/>
  <c r="S270" i="2"/>
  <c r="AA271" i="2"/>
  <c r="V271" i="2"/>
  <c r="S271" i="2"/>
  <c r="X297" i="2"/>
  <c r="X323" i="2"/>
  <c r="AF323" i="2"/>
  <c r="AB323" i="2"/>
  <c r="Y323" i="2"/>
  <c r="AD353" i="2"/>
  <c r="AG353" i="2"/>
  <c r="AB355" i="2"/>
  <c r="T355" i="2"/>
  <c r="AF355" i="2"/>
  <c r="AE355" i="2"/>
  <c r="AD355" i="2"/>
  <c r="AC355" i="2"/>
  <c r="Z355" i="2"/>
  <c r="AE462" i="2"/>
  <c r="Y463" i="2"/>
  <c r="AF463" i="2"/>
  <c r="Y465" i="2"/>
  <c r="AG465" i="2"/>
  <c r="AD465" i="2"/>
  <c r="AC465" i="2"/>
  <c r="AB465" i="2"/>
  <c r="AA542" i="2"/>
  <c r="S542" i="2"/>
  <c r="AG595" i="2"/>
  <c r="V595" i="2"/>
  <c r="AE595" i="2"/>
  <c r="AF595" i="2"/>
  <c r="S158" i="2"/>
  <c r="Y25" i="2"/>
  <c r="X26" i="2"/>
  <c r="AE27" i="2"/>
  <c r="AC38" i="2"/>
  <c r="AC46" i="2"/>
  <c r="S47" i="2"/>
  <c r="AK72" i="2"/>
  <c r="V76" i="2"/>
  <c r="AB94" i="2"/>
  <c r="AE111" i="2"/>
  <c r="AE139" i="2"/>
  <c r="W148" i="2"/>
  <c r="AP149" i="2"/>
  <c r="X154" i="2"/>
  <c r="AF158" i="2"/>
  <c r="AK160" i="2"/>
  <c r="AE184" i="2"/>
  <c r="AF196" i="2"/>
  <c r="AD203" i="2"/>
  <c r="S214" i="2"/>
  <c r="AA224" i="2"/>
  <c r="X227" i="2"/>
  <c r="AD229" i="2"/>
  <c r="Y229" i="2"/>
  <c r="V229" i="2"/>
  <c r="AC246" i="2"/>
  <c r="AC256" i="2"/>
  <c r="AB270" i="2"/>
  <c r="AG270" i="2"/>
  <c r="V296" i="2"/>
  <c r="AB297" i="2"/>
  <c r="Y297" i="2"/>
  <c r="V297" i="2"/>
  <c r="T297" i="2"/>
  <c r="S297" i="2"/>
  <c r="AE344" i="2"/>
  <c r="AF345" i="2"/>
  <c r="AE345" i="2"/>
  <c r="S422" i="2"/>
  <c r="T538" i="2"/>
  <c r="S564" i="2"/>
  <c r="Z25" i="2"/>
  <c r="AF390" i="2"/>
  <c r="X390" i="2"/>
  <c r="AD390" i="2"/>
  <c r="AA390" i="2"/>
  <c r="Z390" i="2"/>
  <c r="Y390" i="2"/>
  <c r="T390" i="2"/>
  <c r="AA422" i="2"/>
  <c r="X422" i="2"/>
  <c r="AE422" i="2"/>
  <c r="AD422" i="2"/>
  <c r="Z422" i="2"/>
  <c r="Y422" i="2"/>
  <c r="W422" i="2"/>
  <c r="V422" i="2"/>
  <c r="AE564" i="2"/>
  <c r="X564" i="2"/>
  <c r="Y564" i="2"/>
  <c r="AG564" i="2"/>
  <c r="AD564" i="2"/>
  <c r="AA564" i="2"/>
  <c r="Z564" i="2"/>
  <c r="W564" i="2"/>
  <c r="T564" i="2"/>
  <c r="AG158" i="2"/>
  <c r="AC190" i="2"/>
  <c r="AG196" i="2"/>
  <c r="AE252" i="2"/>
  <c r="AG7" i="2"/>
  <c r="Y12" i="2"/>
  <c r="W17" i="2"/>
  <c r="AE28" i="2"/>
  <c r="AA37" i="2"/>
  <c r="AE46" i="2"/>
  <c r="AA57" i="2"/>
  <c r="AC66" i="2"/>
  <c r="AE68" i="2"/>
  <c r="W70" i="2"/>
  <c r="Y75" i="2"/>
  <c r="AB74" i="2"/>
  <c r="X82" i="2"/>
  <c r="AB85" i="2"/>
  <c r="AB95" i="2"/>
  <c r="Z98" i="2"/>
  <c r="Y100" i="2"/>
  <c r="AA106" i="2"/>
  <c r="V107" i="2"/>
  <c r="AA119" i="2"/>
  <c r="AG129" i="2"/>
  <c r="AE131" i="2"/>
  <c r="S133" i="2"/>
  <c r="AE134" i="2"/>
  <c r="Y136" i="2"/>
  <c r="AG148" i="2"/>
  <c r="AN149" i="2"/>
  <c r="Y150" i="2"/>
  <c r="AF155" i="2"/>
  <c r="S157" i="2"/>
  <c r="AB163" i="2"/>
  <c r="AO165" i="2"/>
  <c r="S166" i="2"/>
  <c r="AB175" i="2"/>
  <c r="Z178" i="2"/>
  <c r="Y179" i="2"/>
  <c r="Z185" i="2"/>
  <c r="AD190" i="2"/>
  <c r="AF193" i="2"/>
  <c r="V194" i="2"/>
  <c r="AF197" i="2"/>
  <c r="W201" i="2"/>
  <c r="AC205" i="2"/>
  <c r="AC206" i="2"/>
  <c r="AB212" i="2"/>
  <c r="AF215" i="2"/>
  <c r="W217" i="2"/>
  <c r="AP228" i="2"/>
  <c r="AR228" i="2" s="1"/>
  <c r="AO228" i="2"/>
  <c r="Z229" i="2"/>
  <c r="AF246" i="2"/>
  <c r="Y248" i="2"/>
  <c r="AF252" i="2"/>
  <c r="AA254" i="2"/>
  <c r="AD269" i="2"/>
  <c r="Z271" i="2"/>
  <c r="AB281" i="2"/>
  <c r="Y294" i="2"/>
  <c r="AF294" i="2"/>
  <c r="AC294" i="2"/>
  <c r="Z297" i="2"/>
  <c r="AA298" i="2"/>
  <c r="AG298" i="2"/>
  <c r="AB298" i="2"/>
  <c r="AE308" i="2"/>
  <c r="AP337" i="2"/>
  <c r="AR337" i="2" s="1"/>
  <c r="Y345" i="2"/>
  <c r="AA346" i="2"/>
  <c r="Y346" i="2"/>
  <c r="AG346" i="2"/>
  <c r="AF346" i="2"/>
  <c r="AE346" i="2"/>
  <c r="AB346" i="2"/>
  <c r="Z346" i="2"/>
  <c r="AE353" i="2"/>
  <c r="Y355" i="2"/>
  <c r="AC366" i="2"/>
  <c r="AB366" i="2"/>
  <c r="Z366" i="2"/>
  <c r="T366" i="2"/>
  <c r="X383" i="2"/>
  <c r="AA389" i="2"/>
  <c r="AE389" i="2"/>
  <c r="AC389" i="2"/>
  <c r="AA432" i="2"/>
  <c r="T432" i="2"/>
  <c r="AE432" i="2"/>
  <c r="AD432" i="2"/>
  <c r="Y432" i="2"/>
  <c r="X432" i="2"/>
  <c r="W432" i="2"/>
  <c r="V432" i="2"/>
  <c r="AE463" i="2"/>
  <c r="X502" i="2"/>
  <c r="AF503" i="2"/>
  <c r="AA503" i="2"/>
  <c r="AB503" i="2"/>
  <c r="T503" i="2"/>
  <c r="AA504" i="2"/>
  <c r="Y504" i="2"/>
  <c r="AB504" i="2"/>
  <c r="X77" i="2"/>
  <c r="AD46" i="2"/>
  <c r="AG94" i="2"/>
  <c r="AB154" i="2"/>
  <c r="Y9" i="2"/>
  <c r="AF11" i="2"/>
  <c r="Z16" i="2"/>
  <c r="AF25" i="2"/>
  <c r="Z2" i="2"/>
  <c r="Z9" i="2"/>
  <c r="Z12" i="2"/>
  <c r="AE18" i="2"/>
  <c r="AG25" i="2"/>
  <c r="AG26" i="2"/>
  <c r="Z29" i="2"/>
  <c r="AG37" i="2"/>
  <c r="Y38" i="2"/>
  <c r="AC39" i="2"/>
  <c r="AD47" i="2"/>
  <c r="X48" i="2"/>
  <c r="Y70" i="2"/>
  <c r="Z75" i="2"/>
  <c r="AF74" i="2"/>
  <c r="X76" i="2"/>
  <c r="Y82" i="2"/>
  <c r="AD85" i="2"/>
  <c r="X91" i="2"/>
  <c r="AD95" i="2"/>
  <c r="AA98" i="2"/>
  <c r="X107" i="2"/>
  <c r="AF131" i="2"/>
  <c r="T133" i="2"/>
  <c r="Z136" i="2"/>
  <c r="Z150" i="2"/>
  <c r="AG155" i="2"/>
  <c r="T157" i="2"/>
  <c r="AD163" i="2"/>
  <c r="AP165" i="2"/>
  <c r="AR165" i="2" s="1"/>
  <c r="T166" i="2"/>
  <c r="T171" i="2"/>
  <c r="AF175" i="2"/>
  <c r="AG179" i="2"/>
  <c r="V180" i="2"/>
  <c r="V181" i="2"/>
  <c r="AD185" i="2"/>
  <c r="W186" i="2"/>
  <c r="AG190" i="2"/>
  <c r="W194" i="2"/>
  <c r="V196" i="2"/>
  <c r="AG197" i="2"/>
  <c r="X198" i="2"/>
  <c r="X201" i="2"/>
  <c r="W208" i="2"/>
  <c r="AF212" i="2"/>
  <c r="AG215" i="2"/>
  <c r="AO220" i="2"/>
  <c r="AM228" i="2"/>
  <c r="AA229" i="2"/>
  <c r="Z248" i="2"/>
  <c r="V249" i="2"/>
  <c r="AC254" i="2"/>
  <c r="X256" i="2"/>
  <c r="AB260" i="2"/>
  <c r="AE260" i="2"/>
  <c r="AD260" i="2"/>
  <c r="Z262" i="2"/>
  <c r="V262" i="2"/>
  <c r="T262" i="2"/>
  <c r="AB271" i="2"/>
  <c r="AC297" i="2"/>
  <c r="AF308" i="2"/>
  <c r="AE336" i="2"/>
  <c r="Z345" i="2"/>
  <c r="AC365" i="2"/>
  <c r="AB383" i="2"/>
  <c r="AF383" i="2"/>
  <c r="AE383" i="2"/>
  <c r="V394" i="2"/>
  <c r="T422" i="2"/>
  <c r="AF431" i="2"/>
  <c r="AA490" i="2"/>
  <c r="AG490" i="2"/>
  <c r="AA492" i="2"/>
  <c r="X492" i="2"/>
  <c r="AG492" i="2"/>
  <c r="AF492" i="2"/>
  <c r="AD492" i="2"/>
  <c r="AC561" i="2"/>
  <c r="X562" i="2"/>
  <c r="T562" i="2"/>
  <c r="AE562" i="2"/>
  <c r="V562" i="2"/>
  <c r="AA589" i="2"/>
  <c r="AB589" i="2"/>
  <c r="AE413" i="2"/>
  <c r="W413" i="2"/>
  <c r="S416" i="2"/>
  <c r="Z416" i="2"/>
  <c r="AE445" i="2"/>
  <c r="AA462" i="2"/>
  <c r="AB462" i="2"/>
  <c r="AA521" i="2"/>
  <c r="T521" i="2"/>
  <c r="Y521" i="2"/>
  <c r="AE528" i="2"/>
  <c r="Y548" i="2"/>
  <c r="T588" i="2"/>
  <c r="AC590" i="2"/>
  <c r="Y598" i="2"/>
  <c r="AA598" i="2"/>
  <c r="Z598" i="2"/>
  <c r="AB326" i="2"/>
  <c r="Z326" i="2"/>
  <c r="Y332" i="2"/>
  <c r="Z332" i="2"/>
  <c r="Z377" i="2"/>
  <c r="T377" i="2"/>
  <c r="AB411" i="2"/>
  <c r="Y411" i="2"/>
  <c r="AF412" i="2"/>
  <c r="AA415" i="2"/>
  <c r="AD471" i="2"/>
  <c r="AG471" i="2"/>
  <c r="AA501" i="2"/>
  <c r="T501" i="2"/>
  <c r="T514" i="2"/>
  <c r="Z548" i="2"/>
  <c r="T554" i="2"/>
  <c r="AA559" i="2"/>
  <c r="S559" i="2"/>
  <c r="AG227" i="2"/>
  <c r="S230" i="2"/>
  <c r="T235" i="2"/>
  <c r="AE303" i="2"/>
  <c r="Z358" i="2"/>
  <c r="Z402" i="2"/>
  <c r="AB409" i="2"/>
  <c r="AD410" i="2"/>
  <c r="AG412" i="2"/>
  <c r="S413" i="2"/>
  <c r="AB415" i="2"/>
  <c r="Y416" i="2"/>
  <c r="S438" i="2"/>
  <c r="S445" i="2"/>
  <c r="AA449" i="2"/>
  <c r="V462" i="2"/>
  <c r="Y473" i="2"/>
  <c r="AA493" i="2"/>
  <c r="AA495" i="2"/>
  <c r="AD495" i="2"/>
  <c r="AB497" i="2"/>
  <c r="T497" i="2"/>
  <c r="W508" i="2"/>
  <c r="AA511" i="2"/>
  <c r="X511" i="2"/>
  <c r="Y511" i="2"/>
  <c r="Z513" i="2"/>
  <c r="S521" i="2"/>
  <c r="AA540" i="2"/>
  <c r="T540" i="2"/>
  <c r="Y540" i="2"/>
  <c r="AA541" i="2"/>
  <c r="S541" i="2"/>
  <c r="W554" i="2"/>
  <c r="AF555" i="2"/>
  <c r="AD555" i="2"/>
  <c r="AG555" i="2"/>
  <c r="AC558" i="2"/>
  <c r="AD558" i="2"/>
  <c r="AP570" i="2"/>
  <c r="S579" i="2"/>
  <c r="AG598" i="2"/>
  <c r="T601" i="2"/>
  <c r="AE604" i="2"/>
  <c r="X604" i="2"/>
  <c r="X612" i="2"/>
  <c r="V612" i="2"/>
  <c r="S612" i="2"/>
  <c r="X247" i="2"/>
  <c r="AE254" i="2"/>
  <c r="V263" i="2"/>
  <c r="S299" i="2"/>
  <c r="V317" i="2"/>
  <c r="S326" i="2"/>
  <c r="S328" i="2"/>
  <c r="AB332" i="2"/>
  <c r="AB358" i="2"/>
  <c r="V377" i="2"/>
  <c r="AC379" i="2"/>
  <c r="AB402" i="2"/>
  <c r="W404" i="2"/>
  <c r="AB404" i="2"/>
  <c r="V405" i="2"/>
  <c r="S411" i="2"/>
  <c r="T413" i="2"/>
  <c r="AA416" i="2"/>
  <c r="W424" i="2"/>
  <c r="AB435" i="2"/>
  <c r="AC435" i="2"/>
  <c r="V438" i="2"/>
  <c r="T445" i="2"/>
  <c r="AB454" i="2"/>
  <c r="AD454" i="2"/>
  <c r="W462" i="2"/>
  <c r="AF471" i="2"/>
  <c r="AF473" i="2"/>
  <c r="AA474" i="2"/>
  <c r="T494" i="2"/>
  <c r="Z496" i="2"/>
  <c r="AA496" i="2"/>
  <c r="AB496" i="2"/>
  <c r="V501" i="2"/>
  <c r="AG508" i="2"/>
  <c r="X509" i="2"/>
  <c r="S514" i="2"/>
  <c r="AB516" i="2"/>
  <c r="W516" i="2"/>
  <c r="AA516" i="2"/>
  <c r="AF517" i="2"/>
  <c r="V517" i="2"/>
  <c r="AB521" i="2"/>
  <c r="S528" i="2"/>
  <c r="AE530" i="2"/>
  <c r="V534" i="2"/>
  <c r="AA537" i="2"/>
  <c r="W537" i="2"/>
  <c r="X537" i="2"/>
  <c r="X554" i="2"/>
  <c r="Y559" i="2"/>
  <c r="T567" i="2"/>
  <c r="AK570" i="2"/>
  <c r="AF573" i="2"/>
  <c r="AG573" i="2"/>
  <c r="AG577" i="2"/>
  <c r="Y577" i="2"/>
  <c r="Z577" i="2"/>
  <c r="V601" i="2"/>
  <c r="AD603" i="2"/>
  <c r="V603" i="2"/>
  <c r="AF603" i="2"/>
  <c r="Z603" i="2"/>
  <c r="AC639" i="2"/>
  <c r="AE639" i="2"/>
  <c r="AD639" i="2"/>
  <c r="X639" i="2"/>
  <c r="T639" i="2"/>
  <c r="T299" i="2"/>
  <c r="S300" i="2"/>
  <c r="AA317" i="2"/>
  <c r="Y317" i="2"/>
  <c r="T326" i="2"/>
  <c r="U326" i="2" s="1"/>
  <c r="AA328" i="2"/>
  <c r="AD332" i="2"/>
  <c r="T335" i="2"/>
  <c r="AE341" i="2"/>
  <c r="AF358" i="2"/>
  <c r="AE361" i="2"/>
  <c r="W371" i="2"/>
  <c r="AP372" i="2"/>
  <c r="AA377" i="2"/>
  <c r="AA392" i="2"/>
  <c r="AG392" i="2"/>
  <c r="AE396" i="2"/>
  <c r="T411" i="2"/>
  <c r="X413" i="2"/>
  <c r="V415" i="2"/>
  <c r="AB416" i="2"/>
  <c r="AE419" i="2"/>
  <c r="AA438" i="2"/>
  <c r="T442" i="2"/>
  <c r="Y445" i="2"/>
  <c r="Z462" i="2"/>
  <c r="Z484" i="2"/>
  <c r="AF484" i="2"/>
  <c r="W494" i="2"/>
  <c r="W501" i="2"/>
  <c r="Y509" i="2"/>
  <c r="S511" i="2"/>
  <c r="U511" i="2" s="1"/>
  <c r="Z514" i="2"/>
  <c r="AD521" i="2"/>
  <c r="T528" i="2"/>
  <c r="Z534" i="2"/>
  <c r="AE554" i="2"/>
  <c r="Y555" i="2"/>
  <c r="AB556" i="2"/>
  <c r="Z556" i="2"/>
  <c r="Z559" i="2"/>
  <c r="AD567" i="2"/>
  <c r="T579" i="2"/>
  <c r="AK580" i="2"/>
  <c r="AF602" i="2"/>
  <c r="AD638" i="2"/>
  <c r="AG638" i="2"/>
  <c r="V298" i="2"/>
  <c r="AE312" i="2"/>
  <c r="AL313" i="2"/>
  <c r="AB314" i="2"/>
  <c r="W314" i="2"/>
  <c r="Y326" i="2"/>
  <c r="AG328" i="2"/>
  <c r="X336" i="2"/>
  <c r="X345" i="2"/>
  <c r="X355" i="2"/>
  <c r="AE377" i="2"/>
  <c r="T396" i="2"/>
  <c r="AA396" i="2"/>
  <c r="V400" i="2"/>
  <c r="AA402" i="2"/>
  <c r="AG402" i="2"/>
  <c r="T402" i="2"/>
  <c r="AE402" i="2"/>
  <c r="AA413" i="2"/>
  <c r="AD416" i="2"/>
  <c r="AC418" i="2"/>
  <c r="U435" i="2"/>
  <c r="V442" i="2"/>
  <c r="AC445" i="2"/>
  <c r="AD462" i="2"/>
  <c r="V490" i="2"/>
  <c r="V492" i="2"/>
  <c r="X501" i="2"/>
  <c r="AE514" i="2"/>
  <c r="AE521" i="2"/>
  <c r="AA534" i="2"/>
  <c r="Z555" i="2"/>
  <c r="AB559" i="2"/>
  <c r="AE567" i="2"/>
  <c r="Z575" i="2"/>
  <c r="AA575" i="2"/>
  <c r="AB575" i="2"/>
  <c r="Z579" i="2"/>
  <c r="AG602" i="2"/>
  <c r="T603" i="2"/>
  <c r="AE592" i="2"/>
  <c r="T592" i="2"/>
  <c r="S594" i="2"/>
  <c r="AA550" i="2"/>
  <c r="AB550" i="2"/>
  <c r="Z588" i="2"/>
  <c r="X588" i="2"/>
  <c r="AE590" i="2"/>
  <c r="S590" i="2"/>
  <c r="AG593" i="2"/>
  <c r="AE593" i="2"/>
  <c r="AE600" i="2"/>
  <c r="AC600" i="2"/>
  <c r="S600" i="2"/>
  <c r="AK524" i="2"/>
  <c r="AE566" i="2"/>
  <c r="Y632" i="2"/>
  <c r="AE641" i="2"/>
  <c r="Z649" i="2"/>
  <c r="AG654" i="2"/>
  <c r="AC656" i="2"/>
  <c r="AD661" i="2"/>
  <c r="W662" i="2"/>
  <c r="AA609" i="2"/>
  <c r="AD619" i="2"/>
  <c r="AF641" i="2"/>
  <c r="AC649" i="2"/>
  <c r="X662" i="2"/>
  <c r="AA604" i="2"/>
  <c r="T607" i="2"/>
  <c r="AB609" i="2"/>
  <c r="T612" i="2"/>
  <c r="X613" i="2"/>
  <c r="AF613" i="2"/>
  <c r="AF619" i="2"/>
  <c r="AE620" i="2"/>
  <c r="AB632" i="2"/>
  <c r="AG641" i="2"/>
  <c r="AD649" i="2"/>
  <c r="AC654" i="2"/>
  <c r="AG662" i="2"/>
  <c r="X607" i="2"/>
  <c r="AG613" i="2"/>
  <c r="Z615" i="2"/>
  <c r="AF620" i="2"/>
  <c r="AF649" i="2"/>
  <c r="Y607" i="2"/>
  <c r="AC609" i="2"/>
  <c r="AC619" i="2"/>
  <c r="AG620" i="2"/>
  <c r="AC622" i="2"/>
  <c r="W637" i="2"/>
  <c r="W613" i="2"/>
  <c r="Z616" i="2"/>
  <c r="Y637" i="2"/>
  <c r="W641" i="2"/>
  <c r="V649" i="2"/>
  <c r="Y654" i="2"/>
  <c r="AP655" i="2"/>
  <c r="S318" i="2"/>
  <c r="AE321" i="2"/>
  <c r="AC335" i="2"/>
  <c r="AF374" i="2"/>
  <c r="S398" i="2"/>
  <c r="V414" i="2"/>
  <c r="AC451" i="2"/>
  <c r="AE460" i="2"/>
  <c r="AF528" i="2"/>
  <c r="AE552" i="2"/>
  <c r="Z597" i="2"/>
  <c r="AE610" i="2"/>
  <c r="AB613" i="2"/>
  <c r="Z619" i="2"/>
  <c r="X632" i="2"/>
  <c r="AF637" i="2"/>
  <c r="AD641" i="2"/>
  <c r="Y649" i="2"/>
  <c r="AK655" i="2"/>
  <c r="Z656" i="2"/>
  <c r="W657" i="2"/>
  <c r="L173" i="3"/>
  <c r="J231" i="3"/>
  <c r="G289" i="3"/>
  <c r="E347" i="3"/>
  <c r="L463" i="3"/>
  <c r="N347" i="3"/>
  <c r="E312" i="3"/>
  <c r="K289" i="3"/>
  <c r="F405" i="3"/>
  <c r="I225" i="3"/>
  <c r="S225" i="3"/>
  <c r="O225" i="3"/>
  <c r="Y225" i="3"/>
  <c r="K225" i="3"/>
  <c r="U225" i="3"/>
  <c r="F283" i="3"/>
  <c r="Q283" i="3"/>
  <c r="M283" i="3"/>
  <c r="W283" i="3"/>
  <c r="O341" i="3"/>
  <c r="Y341" i="3"/>
  <c r="M399" i="3"/>
  <c r="W399" i="3"/>
  <c r="M173" i="3"/>
  <c r="F202" i="3"/>
  <c r="K202" i="3"/>
  <c r="O260" i="3"/>
  <c r="M318" i="3"/>
  <c r="K376" i="3"/>
  <c r="O376" i="3"/>
  <c r="O405" i="3"/>
  <c r="I434" i="3"/>
  <c r="M434" i="3"/>
  <c r="N289" i="3"/>
  <c r="K86" i="3"/>
  <c r="J254" i="3"/>
  <c r="M167" i="3"/>
  <c r="W167" i="3"/>
  <c r="I283" i="3"/>
  <c r="L231" i="3"/>
  <c r="S51" i="3"/>
  <c r="I57" i="3"/>
  <c r="N86" i="3"/>
  <c r="V138" i="3"/>
  <c r="L144" i="3"/>
  <c r="E144" i="3"/>
  <c r="K57" i="3"/>
  <c r="I115" i="3"/>
  <c r="M144" i="3"/>
  <c r="AP112" i="2"/>
  <c r="AO112" i="2"/>
  <c r="AN112" i="2"/>
  <c r="AE2" i="2"/>
  <c r="T20" i="2"/>
  <c r="X5" i="2"/>
  <c r="Y2" i="2"/>
  <c r="X11" i="2"/>
  <c r="X12" i="2"/>
  <c r="AC13" i="2"/>
  <c r="T28" i="2"/>
  <c r="Y29" i="2"/>
  <c r="W37" i="2"/>
  <c r="X38" i="2"/>
  <c r="W53" i="2"/>
  <c r="Z53" i="2"/>
  <c r="AF56" i="2"/>
  <c r="AB59" i="2"/>
  <c r="AG59" i="2"/>
  <c r="Z59" i="2"/>
  <c r="X59" i="2"/>
  <c r="Z66" i="2"/>
  <c r="X66" i="2"/>
  <c r="W66" i="2"/>
  <c r="AG66" i="2"/>
  <c r="S66" i="2"/>
  <c r="AP69" i="2"/>
  <c r="AR69" i="2" s="1"/>
  <c r="AN69" i="2"/>
  <c r="AM69" i="2"/>
  <c r="W96" i="2"/>
  <c r="AC123" i="2"/>
  <c r="AA124" i="2"/>
  <c r="AC124" i="2"/>
  <c r="AB124" i="2"/>
  <c r="AB123" i="2"/>
  <c r="AD123" i="2"/>
  <c r="AC156" i="2"/>
  <c r="AE156" i="2"/>
  <c r="AD156" i="2"/>
  <c r="AB156" i="2"/>
  <c r="Z156" i="2"/>
  <c r="W156" i="2"/>
  <c r="V156" i="2"/>
  <c r="T156" i="2"/>
  <c r="AF156" i="2"/>
  <c r="AA60" i="2"/>
  <c r="Y60" i="2"/>
  <c r="W60" i="2"/>
  <c r="AG60" i="2"/>
  <c r="AB21" i="2"/>
  <c r="X21" i="2"/>
  <c r="AC80" i="2"/>
  <c r="S80" i="2"/>
  <c r="AE80" i="2"/>
  <c r="AM112" i="2"/>
  <c r="W175" i="2"/>
  <c r="X175" i="2"/>
  <c r="T175" i="2"/>
  <c r="S175" i="2"/>
  <c r="U175" i="2" s="1"/>
  <c r="AE175" i="2"/>
  <c r="V18" i="2"/>
  <c r="AC20" i="2"/>
  <c r="Y20" i="2"/>
  <c r="AF20" i="2"/>
  <c r="AG21" i="2"/>
  <c r="W663" i="12"/>
  <c r="AD26" i="2"/>
  <c r="W26" i="2"/>
  <c r="AC29" i="2"/>
  <c r="V48" i="2"/>
  <c r="Z54" i="2"/>
  <c r="X60" i="2"/>
  <c r="AB101" i="2"/>
  <c r="AA101" i="2"/>
  <c r="Y101" i="2"/>
  <c r="X101" i="2"/>
  <c r="W101" i="2"/>
  <c r="V101" i="2"/>
  <c r="AE101" i="2"/>
  <c r="AE104" i="2"/>
  <c r="AC104" i="2"/>
  <c r="AB104" i="2"/>
  <c r="AA104" i="2"/>
  <c r="Y104" i="2"/>
  <c r="W104" i="2"/>
  <c r="T104" i="2"/>
  <c r="AC120" i="2"/>
  <c r="AB120" i="2"/>
  <c r="Z120" i="2"/>
  <c r="X120" i="2"/>
  <c r="W120" i="2"/>
  <c r="V120" i="2"/>
  <c r="T120" i="2"/>
  <c r="AG120" i="2"/>
  <c r="AD120" i="2"/>
  <c r="AG156" i="2"/>
  <c r="AD164" i="2"/>
  <c r="AG164" i="2"/>
  <c r="AF164" i="2"/>
  <c r="AE164" i="2"/>
  <c r="X164" i="2"/>
  <c r="W164" i="2"/>
  <c r="V164" i="2"/>
  <c r="AD56" i="2"/>
  <c r="AA56" i="2"/>
  <c r="X56" i="2"/>
  <c r="AK22" i="2"/>
  <c r="X39" i="2"/>
  <c r="AC2" i="2"/>
  <c r="W8" i="2"/>
  <c r="AC10" i="2"/>
  <c r="AE10" i="2"/>
  <c r="AE11" i="2"/>
  <c r="AC12" i="2"/>
  <c r="W18" i="2"/>
  <c r="AG20" i="2"/>
  <c r="S21" i="2"/>
  <c r="AM22" i="2"/>
  <c r="Z30" i="2"/>
  <c r="AB30" i="2"/>
  <c r="S30" i="2"/>
  <c r="AE47" i="2"/>
  <c r="X47" i="2"/>
  <c r="V47" i="2"/>
  <c r="W48" i="2"/>
  <c r="X49" i="2"/>
  <c r="AA54" i="2"/>
  <c r="T56" i="2"/>
  <c r="U56" i="2" s="1"/>
  <c r="Z60" i="2"/>
  <c r="AA68" i="2"/>
  <c r="X68" i="2"/>
  <c r="AG68" i="2"/>
  <c r="V68" i="2"/>
  <c r="AF68" i="2"/>
  <c r="T68" i="2"/>
  <c r="U68" i="2" s="1"/>
  <c r="AD68" i="2"/>
  <c r="Y78" i="2"/>
  <c r="AA78" i="2"/>
  <c r="Z78" i="2"/>
  <c r="AP121" i="2"/>
  <c r="AO121" i="2"/>
  <c r="AN121" i="2"/>
  <c r="AB130" i="2"/>
  <c r="AD130" i="2"/>
  <c r="AC130" i="2"/>
  <c r="Y130" i="2"/>
  <c r="W130" i="2"/>
  <c r="V130" i="2"/>
  <c r="T130" i="2"/>
  <c r="S130" i="2"/>
  <c r="AE130" i="2"/>
  <c r="AD96" i="2"/>
  <c r="AB96" i="2"/>
  <c r="AA96" i="2"/>
  <c r="Z96" i="2"/>
  <c r="X96" i="2"/>
  <c r="AD2" i="2"/>
  <c r="T21" i="2"/>
  <c r="AN22" i="2"/>
  <c r="V26" i="2"/>
  <c r="AA29" i="2"/>
  <c r="X29" i="2"/>
  <c r="AG29" i="2"/>
  <c r="V29" i="2"/>
  <c r="AE29" i="2"/>
  <c r="AC37" i="2"/>
  <c r="V56" i="2"/>
  <c r="AB60" i="2"/>
  <c r="Z61" i="2"/>
  <c r="AA61" i="2"/>
  <c r="X61" i="2"/>
  <c r="AD63" i="2"/>
  <c r="AA63" i="2"/>
  <c r="AP67" i="2"/>
  <c r="AR67" i="2" s="1"/>
  <c r="AN67" i="2"/>
  <c r="AO103" i="2"/>
  <c r="AN103" i="2"/>
  <c r="AE109" i="2"/>
  <c r="AD109" i="2"/>
  <c r="AB109" i="2"/>
  <c r="Z109" i="2"/>
  <c r="Y109" i="2"/>
  <c r="X109" i="2"/>
  <c r="W109" i="2"/>
  <c r="AF109" i="2"/>
  <c r="AB140" i="2"/>
  <c r="Y140" i="2"/>
  <c r="W140" i="2"/>
  <c r="V140" i="2"/>
  <c r="T140" i="2"/>
  <c r="AG140" i="2"/>
  <c r="S140" i="2"/>
  <c r="AF140" i="2"/>
  <c r="AC140" i="2"/>
  <c r="AA48" i="2"/>
  <c r="AG48" i="2"/>
  <c r="Y48" i="2"/>
  <c r="X8" i="2"/>
  <c r="X18" i="2"/>
  <c r="AF2" i="2"/>
  <c r="S11" i="2"/>
  <c r="AE12" i="2"/>
  <c r="V20" i="2"/>
  <c r="V21" i="2"/>
  <c r="AO22" i="2"/>
  <c r="AF29" i="2"/>
  <c r="AE37" i="2"/>
  <c r="Z48" i="2"/>
  <c r="W56" i="2"/>
  <c r="AA58" i="2"/>
  <c r="W58" i="2"/>
  <c r="AD60" i="2"/>
  <c r="AM67" i="2"/>
  <c r="AM103" i="2"/>
  <c r="AF130" i="2"/>
  <c r="AA141" i="2"/>
  <c r="Y141" i="2"/>
  <c r="X141" i="2"/>
  <c r="V141" i="2"/>
  <c r="AG141" i="2"/>
  <c r="AF141" i="2"/>
  <c r="T141" i="2"/>
  <c r="AE141" i="2"/>
  <c r="S141" i="2"/>
  <c r="AD141" i="2"/>
  <c r="Z141" i="2"/>
  <c r="AE171" i="2"/>
  <c r="AB171" i="2"/>
  <c r="Z171" i="2"/>
  <c r="Y171" i="2"/>
  <c r="X171" i="2"/>
  <c r="W171" i="2"/>
  <c r="V171" i="2"/>
  <c r="AD171" i="2"/>
  <c r="V8" i="2"/>
  <c r="T10" i="2"/>
  <c r="AG2" i="2"/>
  <c r="Z8" i="2"/>
  <c r="V10" i="2"/>
  <c r="T11" i="2"/>
  <c r="T12" i="2"/>
  <c r="AF12" i="2"/>
  <c r="X15" i="2"/>
  <c r="Z18" i="2"/>
  <c r="AD19" i="2"/>
  <c r="W19" i="2"/>
  <c r="W20" i="2"/>
  <c r="W21" i="2"/>
  <c r="Y26" i="2"/>
  <c r="AB28" i="2"/>
  <c r="X28" i="2"/>
  <c r="V28" i="2"/>
  <c r="AG28" i="2"/>
  <c r="S29" i="2"/>
  <c r="AC30" i="2"/>
  <c r="Z32" i="2"/>
  <c r="Y33" i="2"/>
  <c r="T38" i="2"/>
  <c r="Z40" i="2"/>
  <c r="AA42" i="2"/>
  <c r="AF42" i="2"/>
  <c r="AB42" i="2"/>
  <c r="T47" i="2"/>
  <c r="AC52" i="2"/>
  <c r="Y56" i="2"/>
  <c r="AF60" i="2"/>
  <c r="Y61" i="2"/>
  <c r="AF66" i="2"/>
  <c r="AO67" i="2"/>
  <c r="W68" i="2"/>
  <c r="AG109" i="2"/>
  <c r="T111" i="2"/>
  <c r="V111" i="2"/>
  <c r="AG130" i="2"/>
  <c r="AC132" i="2"/>
  <c r="AB132" i="2"/>
  <c r="AA132" i="2"/>
  <c r="W132" i="2"/>
  <c r="T132" i="2"/>
  <c r="S132" i="2"/>
  <c r="AD132" i="2"/>
  <c r="AD140" i="2"/>
  <c r="AC175" i="2"/>
  <c r="AE65" i="2"/>
  <c r="AB65" i="2"/>
  <c r="T2" i="2"/>
  <c r="L2" i="3" s="1"/>
  <c r="Y8" i="2"/>
  <c r="AG11" i="2"/>
  <c r="V2" i="2"/>
  <c r="S3" i="2"/>
  <c r="Y6" i="2"/>
  <c r="W10" i="2"/>
  <c r="V11" i="2"/>
  <c r="V12" i="2"/>
  <c r="AG12" i="2"/>
  <c r="S13" i="2"/>
  <c r="AF17" i="2"/>
  <c r="X17" i="2"/>
  <c r="AF18" i="2"/>
  <c r="X20" i="2"/>
  <c r="Y21" i="2"/>
  <c r="Z26" i="2"/>
  <c r="T29" i="2"/>
  <c r="AD30" i="2"/>
  <c r="Z33" i="2"/>
  <c r="S37" i="2"/>
  <c r="U37" i="2" s="1"/>
  <c r="V38" i="2"/>
  <c r="AA40" i="2"/>
  <c r="Y41" i="2"/>
  <c r="W47" i="2"/>
  <c r="Y52" i="2"/>
  <c r="AA52" i="2"/>
  <c r="W52" i="2"/>
  <c r="Z56" i="2"/>
  <c r="V58" i="2"/>
  <c r="Y68" i="2"/>
  <c r="W85" i="2"/>
  <c r="X85" i="2"/>
  <c r="S85" i="2"/>
  <c r="X95" i="2"/>
  <c r="S95" i="2"/>
  <c r="AE137" i="2"/>
  <c r="AD137" i="2"/>
  <c r="AB137" i="2"/>
  <c r="Z137" i="2"/>
  <c r="Y137" i="2"/>
  <c r="X137" i="2"/>
  <c r="W137" i="2"/>
  <c r="V137" i="2"/>
  <c r="AF137" i="2"/>
  <c r="AE140" i="2"/>
  <c r="AB141" i="2"/>
  <c r="AF171" i="2"/>
  <c r="V174" i="2"/>
  <c r="T174" i="2"/>
  <c r="S174" i="2"/>
  <c r="AG56" i="2"/>
  <c r="X83" i="2"/>
  <c r="AB83" i="2"/>
  <c r="AA83" i="2"/>
  <c r="Z83" i="2"/>
  <c r="X99" i="2"/>
  <c r="AA99" i="2"/>
  <c r="Z99" i="2"/>
  <c r="Y99" i="2"/>
  <c r="AF21" i="2"/>
  <c r="S2" i="2"/>
  <c r="E4" i="12"/>
  <c r="AG10" i="2"/>
  <c r="Y18" i="2"/>
  <c r="W2" i="2"/>
  <c r="AB3" i="2"/>
  <c r="Z5" i="2"/>
  <c r="AF8" i="2"/>
  <c r="X2" i="2"/>
  <c r="AC3" i="2"/>
  <c r="Z6" i="2"/>
  <c r="W7" i="2"/>
  <c r="O14" i="3" s="1"/>
  <c r="AG8" i="2"/>
  <c r="V9" i="2"/>
  <c r="X10" i="2"/>
  <c r="W11" i="2"/>
  <c r="W12" i="2"/>
  <c r="AB13" i="2"/>
  <c r="Z15" i="2"/>
  <c r="Y16" i="2"/>
  <c r="AG18" i="2"/>
  <c r="V19" i="2"/>
  <c r="Z20" i="2"/>
  <c r="AC21" i="2"/>
  <c r="V25" i="2"/>
  <c r="AE26" i="2"/>
  <c r="AC27" i="2"/>
  <c r="Y27" i="2"/>
  <c r="W27" i="2"/>
  <c r="AG27" i="2"/>
  <c r="S28" i="2"/>
  <c r="W29" i="2"/>
  <c r="AA35" i="2"/>
  <c r="W38" i="2"/>
  <c r="Z41" i="2"/>
  <c r="Y42" i="2"/>
  <c r="Y47" i="2"/>
  <c r="X50" i="2"/>
  <c r="AC56" i="2"/>
  <c r="X58" i="2"/>
  <c r="AC59" i="2"/>
  <c r="Z68" i="2"/>
  <c r="X100" i="2"/>
  <c r="S100" i="2"/>
  <c r="AD113" i="2"/>
  <c r="AC113" i="2"/>
  <c r="AB113" i="2"/>
  <c r="AA113" i="2"/>
  <c r="W113" i="2"/>
  <c r="T113" i="2"/>
  <c r="AG113" i="2"/>
  <c r="AE124" i="2"/>
  <c r="AC141" i="2"/>
  <c r="AG171" i="2"/>
  <c r="W189" i="2"/>
  <c r="V189" i="2"/>
  <c r="X74" i="2"/>
  <c r="AD131" i="2"/>
  <c r="T137" i="2"/>
  <c r="AG147" i="2"/>
  <c r="X155" i="2"/>
  <c r="X156" i="2"/>
  <c r="Z173" i="2"/>
  <c r="W185" i="2"/>
  <c r="V186" i="2"/>
  <c r="W187" i="2"/>
  <c r="X188" i="2"/>
  <c r="V202" i="2"/>
  <c r="X204" i="2"/>
  <c r="AA205" i="2"/>
  <c r="AB205" i="2"/>
  <c r="AA206" i="2"/>
  <c r="T210" i="2"/>
  <c r="AB219" i="2"/>
  <c r="X219" i="2"/>
  <c r="V219" i="2"/>
  <c r="AB226" i="2"/>
  <c r="Z226" i="2"/>
  <c r="Y226" i="2"/>
  <c r="X226" i="2"/>
  <c r="AC235" i="2"/>
  <c r="Z255" i="2"/>
  <c r="AF255" i="2"/>
  <c r="AD255" i="2"/>
  <c r="AA255" i="2"/>
  <c r="V255" i="2"/>
  <c r="S255" i="2"/>
  <c r="Z274" i="2"/>
  <c r="AF274" i="2"/>
  <c r="AB274" i="2"/>
  <c r="AA274" i="2"/>
  <c r="Y274" i="2"/>
  <c r="AE278" i="2"/>
  <c r="AA200" i="2"/>
  <c r="Y200" i="2"/>
  <c r="AE200" i="2"/>
  <c r="AG278" i="2"/>
  <c r="AB278" i="2"/>
  <c r="AA278" i="2"/>
  <c r="Z278" i="2"/>
  <c r="Z302" i="2"/>
  <c r="AD302" i="2"/>
  <c r="AA302" i="2"/>
  <c r="Y302" i="2"/>
  <c r="X302" i="2"/>
  <c r="T302" i="2"/>
  <c r="AC347" i="2"/>
  <c r="AA347" i="2"/>
  <c r="S347" i="2"/>
  <c r="AG200" i="2"/>
  <c r="AK225" i="2"/>
  <c r="AE233" i="2"/>
  <c r="AA233" i="2"/>
  <c r="Z233" i="2"/>
  <c r="AP238" i="2"/>
  <c r="AR238" i="2" s="1"/>
  <c r="AF239" i="2"/>
  <c r="Y239" i="2"/>
  <c r="X239" i="2"/>
  <c r="W239" i="2"/>
  <c r="Z239" i="2"/>
  <c r="AF259" i="2"/>
  <c r="AE259" i="2"/>
  <c r="AD259" i="2"/>
  <c r="AA259" i="2"/>
  <c r="Z259" i="2"/>
  <c r="Y259" i="2"/>
  <c r="T259" i="2"/>
  <c r="AG259" i="2"/>
  <c r="X264" i="2"/>
  <c r="AG264" i="2"/>
  <c r="AE264" i="2"/>
  <c r="W264" i="2"/>
  <c r="V264" i="2"/>
  <c r="T264" i="2"/>
  <c r="Y338" i="2"/>
  <c r="AF338" i="2"/>
  <c r="AB338" i="2"/>
  <c r="Z338" i="2"/>
  <c r="AC344" i="2"/>
  <c r="AF344" i="2"/>
  <c r="AD344" i="2"/>
  <c r="Z344" i="2"/>
  <c r="V344" i="2"/>
  <c r="T344" i="2"/>
  <c r="AA356" i="2"/>
  <c r="AG356" i="2"/>
  <c r="T356" i="2"/>
  <c r="AF356" i="2"/>
  <c r="S356" i="2"/>
  <c r="W356" i="2"/>
  <c r="AE356" i="2"/>
  <c r="AD356" i="2"/>
  <c r="AC356" i="2"/>
  <c r="AB356" i="2"/>
  <c r="Z356" i="2"/>
  <c r="Y356" i="2"/>
  <c r="X356" i="2"/>
  <c r="Z77" i="2"/>
  <c r="V81" i="2"/>
  <c r="Z82" i="2"/>
  <c r="AE85" i="2"/>
  <c r="Z90" i="2"/>
  <c r="W92" i="2"/>
  <c r="AD94" i="2"/>
  <c r="AE95" i="2"/>
  <c r="AF98" i="2"/>
  <c r="AE100" i="2"/>
  <c r="AF100" i="2"/>
  <c r="AC108" i="2"/>
  <c r="AC111" i="2"/>
  <c r="AG111" i="2"/>
  <c r="Z114" i="2"/>
  <c r="AB127" i="2"/>
  <c r="T131" i="2"/>
  <c r="AG131" i="2"/>
  <c r="X138" i="2"/>
  <c r="W147" i="2"/>
  <c r="AE148" i="2"/>
  <c r="W150" i="2"/>
  <c r="AC150" i="2"/>
  <c r="Y154" i="2"/>
  <c r="V157" i="2"/>
  <c r="X158" i="2"/>
  <c r="X162" i="2"/>
  <c r="T163" i="2"/>
  <c r="AF163" i="2"/>
  <c r="X166" i="2"/>
  <c r="Z170" i="2"/>
  <c r="W172" i="2"/>
  <c r="AE173" i="2"/>
  <c r="AE174" i="2"/>
  <c r="AD175" i="2"/>
  <c r="AC179" i="2"/>
  <c r="Y180" i="2"/>
  <c r="AA185" i="2"/>
  <c r="AD186" i="2"/>
  <c r="AC187" i="2"/>
  <c r="AB187" i="2"/>
  <c r="AE188" i="2"/>
  <c r="AE191" i="2"/>
  <c r="AE195" i="2"/>
  <c r="Z198" i="2"/>
  <c r="S200" i="2"/>
  <c r="U200" i="2" s="1"/>
  <c r="T201" i="2"/>
  <c r="Z205" i="2"/>
  <c r="T213" i="2"/>
  <c r="Y219" i="2"/>
  <c r="T226" i="2"/>
  <c r="U226" i="2" s="1"/>
  <c r="AK238" i="2"/>
  <c r="AD343" i="2"/>
  <c r="AE343" i="2"/>
  <c r="AG343" i="2"/>
  <c r="W343" i="2"/>
  <c r="AE60" i="2"/>
  <c r="AA70" i="2"/>
  <c r="AD74" i="2"/>
  <c r="AA77" i="2"/>
  <c r="AF85" i="2"/>
  <c r="AF88" i="2"/>
  <c r="AB90" i="2"/>
  <c r="X92" i="2"/>
  <c r="AF94" i="2"/>
  <c r="AG95" i="2"/>
  <c r="AG100" i="2"/>
  <c r="AA114" i="2"/>
  <c r="AD127" i="2"/>
  <c r="V131" i="2"/>
  <c r="AC139" i="2"/>
  <c r="AG139" i="2"/>
  <c r="X147" i="2"/>
  <c r="AF148" i="2"/>
  <c r="AD150" i="2"/>
  <c r="Z154" i="2"/>
  <c r="W157" i="2"/>
  <c r="Y158" i="2"/>
  <c r="Y162" i="2"/>
  <c r="AG163" i="2"/>
  <c r="Y166" i="2"/>
  <c r="AG170" i="2"/>
  <c r="X172" i="2"/>
  <c r="X173" i="2"/>
  <c r="AF173" i="2"/>
  <c r="Z180" i="2"/>
  <c r="AE186" i="2"/>
  <c r="AD187" i="2"/>
  <c r="AF188" i="2"/>
  <c r="T200" i="2"/>
  <c r="Y214" i="2"/>
  <c r="AA215" i="2"/>
  <c r="X215" i="2"/>
  <c r="W215" i="2"/>
  <c r="T215" i="2"/>
  <c r="V233" i="2"/>
  <c r="AM238" i="2"/>
  <c r="S239" i="2"/>
  <c r="AA261" i="2"/>
  <c r="AD261" i="2"/>
  <c r="AB261" i="2"/>
  <c r="Z261" i="2"/>
  <c r="Y261" i="2"/>
  <c r="X261" i="2"/>
  <c r="T261" i="2"/>
  <c r="S261" i="2"/>
  <c r="AE261" i="2"/>
  <c r="V346" i="2"/>
  <c r="X346" i="2"/>
  <c r="W346" i="2"/>
  <c r="T346" i="2"/>
  <c r="S346" i="2"/>
  <c r="AB421" i="2"/>
  <c r="AF421" i="2"/>
  <c r="AD421" i="2"/>
  <c r="Z421" i="2"/>
  <c r="Y421" i="2"/>
  <c r="X421" i="2"/>
  <c r="W421" i="2"/>
  <c r="AG421" i="2"/>
  <c r="AD90" i="2"/>
  <c r="Z92" i="2"/>
  <c r="AB114" i="2"/>
  <c r="AF127" i="2"/>
  <c r="X131" i="2"/>
  <c r="Y147" i="2"/>
  <c r="Z162" i="2"/>
  <c r="AG173" i="2"/>
  <c r="AE185" i="2"/>
  <c r="AF186" i="2"/>
  <c r="AG188" i="2"/>
  <c r="S197" i="2"/>
  <c r="W200" i="2"/>
  <c r="Z214" i="2"/>
  <c r="W233" i="2"/>
  <c r="W235" i="2"/>
  <c r="AN238" i="2"/>
  <c r="AB239" i="2"/>
  <c r="AB283" i="2"/>
  <c r="AD283" i="2"/>
  <c r="Y283" i="2"/>
  <c r="V283" i="2"/>
  <c r="T283" i="2"/>
  <c r="AG331" i="2"/>
  <c r="AD331" i="2"/>
  <c r="Z331" i="2"/>
  <c r="Y331" i="2"/>
  <c r="X331" i="2"/>
  <c r="T331" i="2"/>
  <c r="AF361" i="2"/>
  <c r="X361" i="2"/>
  <c r="W361" i="2"/>
  <c r="Y361" i="2"/>
  <c r="AD361" i="2"/>
  <c r="AC361" i="2"/>
  <c r="AB361" i="2"/>
  <c r="Z361" i="2"/>
  <c r="T361" i="2"/>
  <c r="S361" i="2"/>
  <c r="AG361" i="2"/>
  <c r="AD70" i="2"/>
  <c r="AG74" i="2"/>
  <c r="T80" i="2"/>
  <c r="T85" i="2"/>
  <c r="X86" i="2"/>
  <c r="V87" i="2"/>
  <c r="AF90" i="2"/>
  <c r="AA92" i="2"/>
  <c r="W93" i="2"/>
  <c r="T95" i="2"/>
  <c r="V97" i="2"/>
  <c r="T100" i="2"/>
  <c r="W111" i="2"/>
  <c r="AB125" i="2"/>
  <c r="V128" i="2"/>
  <c r="Y131" i="2"/>
  <c r="T139" i="2"/>
  <c r="AA143" i="2"/>
  <c r="Z147" i="2"/>
  <c r="AO149" i="2"/>
  <c r="S150" i="2"/>
  <c r="AF150" i="2"/>
  <c r="AD154" i="2"/>
  <c r="AC157" i="2"/>
  <c r="AB158" i="2"/>
  <c r="AG162" i="2"/>
  <c r="V163" i="2"/>
  <c r="AB166" i="2"/>
  <c r="AF172" i="2"/>
  <c r="S176" i="2"/>
  <c r="W179" i="2"/>
  <c r="AD180" i="2"/>
  <c r="S184" i="2"/>
  <c r="AF185" i="2"/>
  <c r="AG186" i="2"/>
  <c r="S187" i="2"/>
  <c r="AF187" i="2"/>
  <c r="X191" i="2"/>
  <c r="X195" i="2"/>
  <c r="T197" i="2"/>
  <c r="X200" i="2"/>
  <c r="AC210" i="2"/>
  <c r="S215" i="2"/>
  <c r="AF219" i="2"/>
  <c r="AM220" i="2"/>
  <c r="AA223" i="2"/>
  <c r="AD223" i="2"/>
  <c r="AB223" i="2"/>
  <c r="Z223" i="2"/>
  <c r="AD226" i="2"/>
  <c r="X233" i="2"/>
  <c r="X235" i="2"/>
  <c r="AC239" i="2"/>
  <c r="AE247" i="2"/>
  <c r="AF261" i="2"/>
  <c r="AG310" i="2"/>
  <c r="AA310" i="2"/>
  <c r="Z310" i="2"/>
  <c r="V310" i="2"/>
  <c r="AC333" i="2"/>
  <c r="AC354" i="2"/>
  <c r="Z354" i="2"/>
  <c r="V354" i="2"/>
  <c r="AF354" i="2"/>
  <c r="AD354" i="2"/>
  <c r="T354" i="2"/>
  <c r="AA62" i="2"/>
  <c r="AE70" i="2"/>
  <c r="AE73" i="2"/>
  <c r="AF73" i="2"/>
  <c r="W76" i="2"/>
  <c r="X80" i="2"/>
  <c r="V85" i="2"/>
  <c r="Y86" i="2"/>
  <c r="S91" i="2"/>
  <c r="AB92" i="2"/>
  <c r="W94" i="2"/>
  <c r="W95" i="2"/>
  <c r="T98" i="2"/>
  <c r="W100" i="2"/>
  <c r="S105" i="2"/>
  <c r="X111" i="2"/>
  <c r="AC114" i="2"/>
  <c r="Z118" i="2"/>
  <c r="AD125" i="2"/>
  <c r="Z126" i="2"/>
  <c r="W127" i="2"/>
  <c r="W128" i="2"/>
  <c r="Z131" i="2"/>
  <c r="V139" i="2"/>
  <c r="X145" i="2"/>
  <c r="AB147" i="2"/>
  <c r="T150" i="2"/>
  <c r="AG150" i="2"/>
  <c r="T154" i="2"/>
  <c r="AF154" i="2"/>
  <c r="W158" i="2"/>
  <c r="AC158" i="2"/>
  <c r="W163" i="2"/>
  <c r="W166" i="2"/>
  <c r="AC166" i="2"/>
  <c r="AC170" i="2"/>
  <c r="AG172" i="2"/>
  <c r="T173" i="2"/>
  <c r="V175" i="2"/>
  <c r="AB176" i="2"/>
  <c r="X179" i="2"/>
  <c r="T180" i="2"/>
  <c r="AF180" i="2"/>
  <c r="AC184" i="2"/>
  <c r="AG185" i="2"/>
  <c r="S186" i="2"/>
  <c r="T187" i="2"/>
  <c r="AG187" i="2"/>
  <c r="T188" i="2"/>
  <c r="X189" i="2"/>
  <c r="Y191" i="2"/>
  <c r="AO192" i="2"/>
  <c r="Y195" i="2"/>
  <c r="V197" i="2"/>
  <c r="Z200" i="2"/>
  <c r="AC201" i="2"/>
  <c r="AG205" i="2"/>
  <c r="W206" i="2"/>
  <c r="T208" i="2"/>
  <c r="AD209" i="2"/>
  <c r="AA210" i="2"/>
  <c r="W210" i="2"/>
  <c r="AD210" i="2"/>
  <c r="Y215" i="2"/>
  <c r="AN220" i="2"/>
  <c r="S221" i="2"/>
  <c r="AF226" i="2"/>
  <c r="AF231" i="2"/>
  <c r="AG231" i="2"/>
  <c r="AD231" i="2"/>
  <c r="AB231" i="2"/>
  <c r="AF233" i="2"/>
  <c r="AD239" i="2"/>
  <c r="Y244" i="2"/>
  <c r="X244" i="2"/>
  <c r="W244" i="2"/>
  <c r="S244" i="2"/>
  <c r="AF244" i="2"/>
  <c r="Z244" i="2"/>
  <c r="AG261" i="2"/>
  <c r="AA370" i="2"/>
  <c r="Z370" i="2"/>
  <c r="Y370" i="2"/>
  <c r="AG370" i="2"/>
  <c r="Z375" i="2"/>
  <c r="Y375" i="2"/>
  <c r="X375" i="2"/>
  <c r="W375" i="2"/>
  <c r="V375" i="2"/>
  <c r="AF375" i="2"/>
  <c r="S375" i="2"/>
  <c r="AA375" i="2"/>
  <c r="AG375" i="2"/>
  <c r="AE375" i="2"/>
  <c r="AD375" i="2"/>
  <c r="AC375" i="2"/>
  <c r="T375" i="2"/>
  <c r="V74" i="2"/>
  <c r="V91" i="2"/>
  <c r="V98" i="2"/>
  <c r="AA126" i="2"/>
  <c r="AB131" i="2"/>
  <c r="Y145" i="2"/>
  <c r="AD147" i="2"/>
  <c r="AG154" i="2"/>
  <c r="AD158" i="2"/>
  <c r="AD166" i="2"/>
  <c r="V173" i="2"/>
  <c r="AG180" i="2"/>
  <c r="T185" i="2"/>
  <c r="T186" i="2"/>
  <c r="V188" i="2"/>
  <c r="Z191" i="2"/>
  <c r="Z195" i="2"/>
  <c r="AB200" i="2"/>
  <c r="AF201" i="2"/>
  <c r="S204" i="2"/>
  <c r="X206" i="2"/>
  <c r="AE209" i="2"/>
  <c r="Z215" i="2"/>
  <c r="AP220" i="2"/>
  <c r="AR220" i="2" s="1"/>
  <c r="AF221" i="2"/>
  <c r="Y223" i="2"/>
  <c r="AG239" i="2"/>
  <c r="AF287" i="2"/>
  <c r="AE287" i="2"/>
  <c r="AB287" i="2"/>
  <c r="AA287" i="2"/>
  <c r="W287" i="2"/>
  <c r="V287" i="2"/>
  <c r="AA295" i="2"/>
  <c r="AF295" i="2"/>
  <c r="AE295" i="2"/>
  <c r="AB295" i="2"/>
  <c r="X295" i="2"/>
  <c r="W295" i="2"/>
  <c r="V295" i="2"/>
  <c r="AE55" i="2"/>
  <c r="T70" i="2"/>
  <c r="U70" i="2" s="1"/>
  <c r="S73" i="2"/>
  <c r="X75" i="2"/>
  <c r="W74" i="2"/>
  <c r="Y76" i="2"/>
  <c r="AE81" i="2"/>
  <c r="AF81" i="2"/>
  <c r="Y85" i="2"/>
  <c r="V88" i="2"/>
  <c r="W90" i="2"/>
  <c r="AE92" i="2"/>
  <c r="Z93" i="2"/>
  <c r="X98" i="2"/>
  <c r="Z100" i="2"/>
  <c r="X102" i="2"/>
  <c r="AB106" i="2"/>
  <c r="T107" i="2"/>
  <c r="AB111" i="2"/>
  <c r="AC126" i="2"/>
  <c r="W131" i="2"/>
  <c r="AC131" i="2"/>
  <c r="Z139" i="2"/>
  <c r="T147" i="2"/>
  <c r="AF147" i="2"/>
  <c r="X150" i="2"/>
  <c r="W155" i="2"/>
  <c r="AF157" i="2"/>
  <c r="AE158" i="2"/>
  <c r="AC162" i="2"/>
  <c r="Y163" i="2"/>
  <c r="AE166" i="2"/>
  <c r="Y169" i="2"/>
  <c r="W173" i="2"/>
  <c r="W174" i="2"/>
  <c r="Y175" i="2"/>
  <c r="Z179" i="2"/>
  <c r="X181" i="2"/>
  <c r="V187" i="2"/>
  <c r="W188" i="2"/>
  <c r="AG189" i="2"/>
  <c r="AM192" i="2"/>
  <c r="AL192" i="2" s="1"/>
  <c r="Y196" i="2"/>
  <c r="X197" i="2"/>
  <c r="S198" i="2"/>
  <c r="AC200" i="2"/>
  <c r="AG201" i="2"/>
  <c r="S202" i="2"/>
  <c r="T204" i="2"/>
  <c r="Y206" i="2"/>
  <c r="AF209" i="2"/>
  <c r="S210" i="2"/>
  <c r="AG210" i="2"/>
  <c r="AF211" i="2"/>
  <c r="W212" i="2"/>
  <c r="AB215" i="2"/>
  <c r="AE217" i="2"/>
  <c r="AA217" i="2"/>
  <c r="S219" i="2"/>
  <c r="U219" i="2" s="1"/>
  <c r="AM222" i="2"/>
  <c r="AL222" i="2" s="1"/>
  <c r="AF223" i="2"/>
  <c r="AE226" i="2"/>
  <c r="Y231" i="2"/>
  <c r="AA244" i="2"/>
  <c r="AC286" i="2"/>
  <c r="AG319" i="2"/>
  <c r="W319" i="2"/>
  <c r="V319" i="2"/>
  <c r="AE245" i="2"/>
  <c r="W248" i="2"/>
  <c r="X252" i="2"/>
  <c r="AA257" i="2"/>
  <c r="W261" i="2"/>
  <c r="AG266" i="2"/>
  <c r="AF270" i="2"/>
  <c r="W272" i="2"/>
  <c r="AD273" i="2"/>
  <c r="T274" i="2"/>
  <c r="AC276" i="2"/>
  <c r="AG280" i="2"/>
  <c r="W285" i="2"/>
  <c r="T298" i="2"/>
  <c r="AE302" i="2"/>
  <c r="X303" i="2"/>
  <c r="AD307" i="2"/>
  <c r="AD312" i="2"/>
  <c r="AD315" i="2"/>
  <c r="W317" i="2"/>
  <c r="W322" i="2"/>
  <c r="X341" i="2"/>
  <c r="V356" i="2"/>
  <c r="AA366" i="2"/>
  <c r="X366" i="2"/>
  <c r="W366" i="2"/>
  <c r="AF366" i="2"/>
  <c r="S366" i="2"/>
  <c r="Y366" i="2"/>
  <c r="AC421" i="2"/>
  <c r="AG423" i="2"/>
  <c r="AA423" i="2"/>
  <c r="W423" i="2"/>
  <c r="AB459" i="2"/>
  <c r="AG459" i="2"/>
  <c r="AF459" i="2"/>
  <c r="AD459" i="2"/>
  <c r="Z459" i="2"/>
  <c r="Y459" i="2"/>
  <c r="X459" i="2"/>
  <c r="AG400" i="2"/>
  <c r="AA400" i="2"/>
  <c r="Z400" i="2"/>
  <c r="Y400" i="2"/>
  <c r="AA403" i="2"/>
  <c r="AG403" i="2"/>
  <c r="AF403" i="2"/>
  <c r="AB403" i="2"/>
  <c r="V403" i="2"/>
  <c r="T403" i="2"/>
  <c r="AA434" i="2"/>
  <c r="AE434" i="2"/>
  <c r="AD434" i="2"/>
  <c r="AB434" i="2"/>
  <c r="Z434" i="2"/>
  <c r="W434" i="2"/>
  <c r="V434" i="2"/>
  <c r="AF434" i="2"/>
  <c r="AA444" i="2"/>
  <c r="AE444" i="2"/>
  <c r="AD444" i="2"/>
  <c r="AB444" i="2"/>
  <c r="Z444" i="2"/>
  <c r="W444" i="2"/>
  <c r="V444" i="2"/>
  <c r="AF444" i="2"/>
  <c r="AG458" i="2"/>
  <c r="Y458" i="2"/>
  <c r="Z458" i="2"/>
  <c r="AA248" i="2"/>
  <c r="Z256" i="2"/>
  <c r="AE286" i="2"/>
  <c r="AG286" i="2"/>
  <c r="AE304" i="2"/>
  <c r="AG304" i="2"/>
  <c r="AC332" i="2"/>
  <c r="AE333" i="2"/>
  <c r="Y333" i="2"/>
  <c r="AB336" i="2"/>
  <c r="Y336" i="2"/>
  <c r="AE342" i="2"/>
  <c r="AG342" i="2"/>
  <c r="AA378" i="2"/>
  <c r="AF378" i="2"/>
  <c r="X378" i="2"/>
  <c r="AB399" i="2"/>
  <c r="Y399" i="2"/>
  <c r="W399" i="2"/>
  <c r="AA457" i="2"/>
  <c r="Z457" i="2"/>
  <c r="AA464" i="2"/>
  <c r="AE464" i="2"/>
  <c r="AD464" i="2"/>
  <c r="AC464" i="2"/>
  <c r="X464" i="2"/>
  <c r="T464" i="2"/>
  <c r="S464" i="2"/>
  <c r="AD248" i="2"/>
  <c r="AD252" i="2"/>
  <c r="AA265" i="2"/>
  <c r="AC275" i="2"/>
  <c r="AE294" i="2"/>
  <c r="AG294" i="2"/>
  <c r="AD303" i="2"/>
  <c r="AG340" i="2"/>
  <c r="Y340" i="2"/>
  <c r="AC341" i="2"/>
  <c r="AE352" i="2"/>
  <c r="W352" i="2"/>
  <c r="V352" i="2"/>
  <c r="Y385" i="2"/>
  <c r="AC385" i="2"/>
  <c r="AA385" i="2"/>
  <c r="Z385" i="2"/>
  <c r="X385" i="2"/>
  <c r="W385" i="2"/>
  <c r="T385" i="2"/>
  <c r="AG385" i="2"/>
  <c r="S385" i="2"/>
  <c r="AD385" i="2"/>
  <c r="AD430" i="2"/>
  <c r="AA430" i="2"/>
  <c r="Z430" i="2"/>
  <c r="Y430" i="2"/>
  <c r="T430" i="2"/>
  <c r="AG434" i="2"/>
  <c r="AG444" i="2"/>
  <c r="AF248" i="2"/>
  <c r="AC265" i="2"/>
  <c r="AG303" i="2"/>
  <c r="S304" i="2"/>
  <c r="S307" i="2"/>
  <c r="AC317" i="2"/>
  <c r="V320" i="2"/>
  <c r="T321" i="2"/>
  <c r="AC322" i="2"/>
  <c r="AE323" i="2"/>
  <c r="AG323" i="2"/>
  <c r="V324" i="2"/>
  <c r="AF332" i="2"/>
  <c r="X332" i="2"/>
  <c r="AG332" i="2"/>
  <c r="S333" i="2"/>
  <c r="S336" i="2"/>
  <c r="S342" i="2"/>
  <c r="Z348" i="2"/>
  <c r="W363" i="2"/>
  <c r="AC364" i="2"/>
  <c r="AF364" i="2"/>
  <c r="AD364" i="2"/>
  <c r="V364" i="2"/>
  <c r="W386" i="2"/>
  <c r="AD386" i="2"/>
  <c r="AA386" i="2"/>
  <c r="Z386" i="2"/>
  <c r="Y386" i="2"/>
  <c r="T386" i="2"/>
  <c r="S386" i="2"/>
  <c r="AE386" i="2"/>
  <c r="AA467" i="2"/>
  <c r="Z467" i="2"/>
  <c r="AG248" i="2"/>
  <c r="AM251" i="2"/>
  <c r="W256" i="2"/>
  <c r="AD256" i="2"/>
  <c r="AD265" i="2"/>
  <c r="S275" i="2"/>
  <c r="AM279" i="2"/>
  <c r="AC280" i="2"/>
  <c r="V286" i="2"/>
  <c r="S294" i="2"/>
  <c r="AC298" i="2"/>
  <c r="V304" i="2"/>
  <c r="T307" i="2"/>
  <c r="Y311" i="2"/>
  <c r="T315" i="2"/>
  <c r="AD317" i="2"/>
  <c r="Y321" i="2"/>
  <c r="AD322" i="2"/>
  <c r="W324" i="2"/>
  <c r="AC327" i="2"/>
  <c r="V333" i="2"/>
  <c r="T336" i="2"/>
  <c r="Y339" i="2"/>
  <c r="Z340" i="2"/>
  <c r="V342" i="2"/>
  <c r="AB345" i="2"/>
  <c r="AD345" i="2"/>
  <c r="AB348" i="2"/>
  <c r="AG350" i="2"/>
  <c r="AD350" i="2"/>
  <c r="S352" i="2"/>
  <c r="AE363" i="2"/>
  <c r="AB365" i="2"/>
  <c r="S365" i="2"/>
  <c r="AF365" i="2"/>
  <c r="T365" i="2"/>
  <c r="AD366" i="2"/>
  <c r="AC367" i="2"/>
  <c r="AA367" i="2"/>
  <c r="Y376" i="2"/>
  <c r="AD376" i="2"/>
  <c r="AA376" i="2"/>
  <c r="Z376" i="2"/>
  <c r="T376" i="2"/>
  <c r="AE376" i="2"/>
  <c r="AK384" i="2"/>
  <c r="AE385" i="2"/>
  <c r="AD235" i="2"/>
  <c r="AG242" i="2"/>
  <c r="Y245" i="2"/>
  <c r="S248" i="2"/>
  <c r="T252" i="2"/>
  <c r="AG252" i="2"/>
  <c r="AB253" i="2"/>
  <c r="AE256" i="2"/>
  <c r="AE262" i="2"/>
  <c r="AE265" i="2"/>
  <c r="V270" i="2"/>
  <c r="Z273" i="2"/>
  <c r="T275" i="2"/>
  <c r="Y276" i="2"/>
  <c r="AN279" i="2"/>
  <c r="AD280" i="2"/>
  <c r="AD284" i="2"/>
  <c r="W286" i="2"/>
  <c r="AP289" i="2"/>
  <c r="AR289" i="2" s="1"/>
  <c r="AE292" i="2"/>
  <c r="V294" i="2"/>
  <c r="AE296" i="2"/>
  <c r="AD298" i="2"/>
  <c r="S303" i="2"/>
  <c r="W304" i="2"/>
  <c r="Y307" i="2"/>
  <c r="Z311" i="2"/>
  <c r="X312" i="2"/>
  <c r="V315" i="2"/>
  <c r="AD316" i="2"/>
  <c r="AE317" i="2"/>
  <c r="Z321" i="2"/>
  <c r="AG322" i="2"/>
  <c r="S323" i="2"/>
  <c r="AA324" i="2"/>
  <c r="AD327" i="2"/>
  <c r="S332" i="2"/>
  <c r="W333" i="2"/>
  <c r="AD340" i="2"/>
  <c r="S341" i="2"/>
  <c r="W342" i="2"/>
  <c r="AF348" i="2"/>
  <c r="Y349" i="2"/>
  <c r="AF351" i="2"/>
  <c r="T351" i="2"/>
  <c r="S351" i="2"/>
  <c r="X352" i="2"/>
  <c r="S357" i="2"/>
  <c r="AA357" i="2"/>
  <c r="AG363" i="2"/>
  <c r="T364" i="2"/>
  <c r="AE366" i="2"/>
  <c r="AN384" i="2"/>
  <c r="AM384" i="2"/>
  <c r="AF385" i="2"/>
  <c r="AF386" i="2"/>
  <c r="AP455" i="2"/>
  <c r="AM455" i="2"/>
  <c r="AN455" i="2"/>
  <c r="AK455" i="2"/>
  <c r="AE235" i="2"/>
  <c r="AB245" i="2"/>
  <c r="T248" i="2"/>
  <c r="V252" i="2"/>
  <c r="AD253" i="2"/>
  <c r="S256" i="2"/>
  <c r="AG256" i="2"/>
  <c r="X257" i="2"/>
  <c r="AF262" i="2"/>
  <c r="S265" i="2"/>
  <c r="U265" i="2" s="1"/>
  <c r="AF265" i="2"/>
  <c r="Z266" i="2"/>
  <c r="Z270" i="2"/>
  <c r="T272" i="2"/>
  <c r="AA273" i="2"/>
  <c r="Z276" i="2"/>
  <c r="AO279" i="2"/>
  <c r="AQ279" i="2" s="1"/>
  <c r="S280" i="2"/>
  <c r="AE280" i="2"/>
  <c r="S285" i="2"/>
  <c r="X286" i="2"/>
  <c r="Z288" i="2"/>
  <c r="AM289" i="2"/>
  <c r="W294" i="2"/>
  <c r="AE297" i="2"/>
  <c r="AE298" i="2"/>
  <c r="T303" i="2"/>
  <c r="X304" i="2"/>
  <c r="Z307" i="2"/>
  <c r="AC308" i="2"/>
  <c r="Y312" i="2"/>
  <c r="Z315" i="2"/>
  <c r="AF316" i="2"/>
  <c r="S317" i="2"/>
  <c r="AF317" i="2"/>
  <c r="AD321" i="2"/>
  <c r="S322" i="2"/>
  <c r="V323" i="2"/>
  <c r="AE324" i="2"/>
  <c r="AE326" i="2"/>
  <c r="AE327" i="2"/>
  <c r="AC328" i="2"/>
  <c r="W328" i="2"/>
  <c r="T332" i="2"/>
  <c r="X333" i="2"/>
  <c r="Z336" i="2"/>
  <c r="T341" i="2"/>
  <c r="X342" i="2"/>
  <c r="S345" i="2"/>
  <c r="Y350" i="2"/>
  <c r="Y352" i="2"/>
  <c r="AE362" i="2"/>
  <c r="Y362" i="2"/>
  <c r="X362" i="2"/>
  <c r="AB362" i="2"/>
  <c r="Z364" i="2"/>
  <c r="Y365" i="2"/>
  <c r="AG366" i="2"/>
  <c r="S367" i="2"/>
  <c r="S376" i="2"/>
  <c r="AG386" i="2"/>
  <c r="X209" i="2"/>
  <c r="AC224" i="2"/>
  <c r="AD227" i="2"/>
  <c r="W232" i="2"/>
  <c r="S235" i="2"/>
  <c r="AG235" i="2"/>
  <c r="V248" i="2"/>
  <c r="W252" i="2"/>
  <c r="T254" i="2"/>
  <c r="T256" i="2"/>
  <c r="Z257" i="2"/>
  <c r="AG262" i="2"/>
  <c r="S263" i="2"/>
  <c r="AA266" i="2"/>
  <c r="S268" i="2"/>
  <c r="AD270" i="2"/>
  <c r="V272" i="2"/>
  <c r="V273" i="2"/>
  <c r="AC273" i="2"/>
  <c r="AB276" i="2"/>
  <c r="T280" i="2"/>
  <c r="AF280" i="2"/>
  <c r="T285" i="2"/>
  <c r="Y286" i="2"/>
  <c r="AD288" i="2"/>
  <c r="AN289" i="2"/>
  <c r="Z291" i="2"/>
  <c r="X294" i="2"/>
  <c r="T296" i="2"/>
  <c r="AF297" i="2"/>
  <c r="S298" i="2"/>
  <c r="AF298" i="2"/>
  <c r="W303" i="2"/>
  <c r="Y304" i="2"/>
  <c r="V306" i="2"/>
  <c r="AC307" i="2"/>
  <c r="AD308" i="2"/>
  <c r="Z312" i="2"/>
  <c r="T317" i="2"/>
  <c r="AG317" i="2"/>
  <c r="T322" i="2"/>
  <c r="W323" i="2"/>
  <c r="AG324" i="2"/>
  <c r="AF326" i="2"/>
  <c r="S327" i="2"/>
  <c r="AF327" i="2"/>
  <c r="W332" i="2"/>
  <c r="AB333" i="2"/>
  <c r="AC336" i="2"/>
  <c r="AO337" i="2"/>
  <c r="W341" i="2"/>
  <c r="Y342" i="2"/>
  <c r="T345" i="2"/>
  <c r="Z350" i="2"/>
  <c r="W351" i="2"/>
  <c r="AB352" i="2"/>
  <c r="AC357" i="2"/>
  <c r="Z365" i="2"/>
  <c r="V366" i="2"/>
  <c r="AF376" i="2"/>
  <c r="U415" i="2"/>
  <c r="AA424" i="2"/>
  <c r="AF424" i="2"/>
  <c r="AD424" i="2"/>
  <c r="AB424" i="2"/>
  <c r="Z424" i="2"/>
  <c r="V424" i="2"/>
  <c r="T424" i="2"/>
  <c r="AG424" i="2"/>
  <c r="AF368" i="2"/>
  <c r="AC374" i="2"/>
  <c r="X379" i="2"/>
  <c r="Y382" i="2"/>
  <c r="Z383" i="2"/>
  <c r="V385" i="2"/>
  <c r="V386" i="2"/>
  <c r="Z389" i="2"/>
  <c r="Y391" i="2"/>
  <c r="V396" i="2"/>
  <c r="Z397" i="2"/>
  <c r="AF401" i="2"/>
  <c r="Z404" i="2"/>
  <c r="AA409" i="2"/>
  <c r="T412" i="2"/>
  <c r="AE412" i="2"/>
  <c r="AF413" i="2"/>
  <c r="T416" i="2"/>
  <c r="Y417" i="2"/>
  <c r="AG418" i="2"/>
  <c r="V419" i="2"/>
  <c r="S425" i="2"/>
  <c r="U425" i="2" s="1"/>
  <c r="T426" i="2"/>
  <c r="AD431" i="2"/>
  <c r="AC432" i="2"/>
  <c r="T436" i="2"/>
  <c r="S442" i="2"/>
  <c r="V453" i="2"/>
  <c r="Y454" i="2"/>
  <c r="V459" i="2"/>
  <c r="W470" i="2"/>
  <c r="Y553" i="2"/>
  <c r="AE553" i="2"/>
  <c r="AD553" i="2"/>
  <c r="AA553" i="2"/>
  <c r="Z553" i="2"/>
  <c r="T553" i="2"/>
  <c r="S553" i="2"/>
  <c r="AF553" i="2"/>
  <c r="AA593" i="2"/>
  <c r="AF593" i="2"/>
  <c r="AC593" i="2"/>
  <c r="AB593" i="2"/>
  <c r="Z593" i="2"/>
  <c r="Y593" i="2"/>
  <c r="X593" i="2"/>
  <c r="T593" i="2"/>
  <c r="S593" i="2"/>
  <c r="AD593" i="2"/>
  <c r="AE522" i="2"/>
  <c r="AG522" i="2"/>
  <c r="AD522" i="2"/>
  <c r="W522" i="2"/>
  <c r="V522" i="2"/>
  <c r="T522" i="2"/>
  <c r="AB543" i="2"/>
  <c r="AA543" i="2"/>
  <c r="Z543" i="2"/>
  <c r="V555" i="2"/>
  <c r="X555" i="2"/>
  <c r="W555" i="2"/>
  <c r="T555" i="2"/>
  <c r="S555" i="2"/>
  <c r="X573" i="2"/>
  <c r="W573" i="2"/>
  <c r="V573" i="2"/>
  <c r="T573" i="2"/>
  <c r="S573" i="2"/>
  <c r="AA479" i="2"/>
  <c r="AE479" i="2"/>
  <c r="AD479" i="2"/>
  <c r="Y479" i="2"/>
  <c r="T479" i="2"/>
  <c r="AE582" i="2"/>
  <c r="Y582" i="2"/>
  <c r="AF582" i="2"/>
  <c r="AC582" i="2"/>
  <c r="X582" i="2"/>
  <c r="W582" i="2"/>
  <c r="V582" i="2"/>
  <c r="T582" i="2"/>
  <c r="AG582" i="2"/>
  <c r="Y586" i="2"/>
  <c r="W586" i="2"/>
  <c r="AF586" i="2"/>
  <c r="AE586" i="2"/>
  <c r="AC586" i="2"/>
  <c r="X586" i="2"/>
  <c r="V586" i="2"/>
  <c r="T586" i="2"/>
  <c r="AG586" i="2"/>
  <c r="AC605" i="2"/>
  <c r="Z437" i="2"/>
  <c r="AB437" i="2"/>
  <c r="Y561" i="2"/>
  <c r="AD561" i="2"/>
  <c r="AE561" i="2"/>
  <c r="AA561" i="2"/>
  <c r="Z561" i="2"/>
  <c r="T561" i="2"/>
  <c r="S561" i="2"/>
  <c r="AF561" i="2"/>
  <c r="AA572" i="2"/>
  <c r="W572" i="2"/>
  <c r="AG572" i="2"/>
  <c r="AE572" i="2"/>
  <c r="T572" i="2"/>
  <c r="AL585" i="2"/>
  <c r="X596" i="2"/>
  <c r="AG596" i="2"/>
  <c r="AF596" i="2"/>
  <c r="AE596" i="2"/>
  <c r="AC596" i="2"/>
  <c r="W596" i="2"/>
  <c r="V596" i="2"/>
  <c r="T596" i="2"/>
  <c r="AE602" i="2"/>
  <c r="V602" i="2"/>
  <c r="T602" i="2"/>
  <c r="AE629" i="2"/>
  <c r="AG629" i="2"/>
  <c r="AF629" i="2"/>
  <c r="AB629" i="2"/>
  <c r="Z629" i="2"/>
  <c r="Y629" i="2"/>
  <c r="W629" i="2"/>
  <c r="V629" i="2"/>
  <c r="AE381" i="2"/>
  <c r="W382" i="2"/>
  <c r="AE382" i="2"/>
  <c r="AG383" i="2"/>
  <c r="AE404" i="2"/>
  <c r="W408" i="2"/>
  <c r="AD417" i="2"/>
  <c r="AB441" i="2"/>
  <c r="X441" i="2"/>
  <c r="AF454" i="2"/>
  <c r="AB469" i="2"/>
  <c r="AG469" i="2"/>
  <c r="Z469" i="2"/>
  <c r="S479" i="2"/>
  <c r="AE379" i="2"/>
  <c r="AF382" i="2"/>
  <c r="AC396" i="2"/>
  <c r="AF404" i="2"/>
  <c r="AB405" i="2"/>
  <c r="S418" i="2"/>
  <c r="S437" i="2"/>
  <c r="Y440" i="2"/>
  <c r="AA446" i="2"/>
  <c r="AD446" i="2"/>
  <c r="AA451" i="2"/>
  <c r="AG451" i="2"/>
  <c r="V451" i="2"/>
  <c r="AD451" i="2"/>
  <c r="AD452" i="2"/>
  <c r="V452" i="2"/>
  <c r="AC460" i="2"/>
  <c r="Y468" i="2"/>
  <c r="AG479" i="2"/>
  <c r="AA483" i="2"/>
  <c r="AD483" i="2"/>
  <c r="AB483" i="2"/>
  <c r="Z483" i="2"/>
  <c r="Y483" i="2"/>
  <c r="X483" i="2"/>
  <c r="W483" i="2"/>
  <c r="AE483" i="2"/>
  <c r="S483" i="2"/>
  <c r="U483" i="2" s="1"/>
  <c r="Y485" i="2"/>
  <c r="AG485" i="2"/>
  <c r="AF485" i="2"/>
  <c r="AD485" i="2"/>
  <c r="AA485" i="2"/>
  <c r="Z485" i="2"/>
  <c r="X485" i="2"/>
  <c r="AG561" i="2"/>
  <c r="X365" i="2"/>
  <c r="AG379" i="2"/>
  <c r="Z380" i="2"/>
  <c r="S381" i="2"/>
  <c r="AG382" i="2"/>
  <c r="S383" i="2"/>
  <c r="S389" i="2"/>
  <c r="AD396" i="2"/>
  <c r="T406" i="2"/>
  <c r="AC407" i="2"/>
  <c r="Z412" i="2"/>
  <c r="AE416" i="2"/>
  <c r="S417" i="2"/>
  <c r="V418" i="2"/>
  <c r="T437" i="2"/>
  <c r="Z440" i="2"/>
  <c r="Y441" i="2"/>
  <c r="AC448" i="2"/>
  <c r="AE451" i="2"/>
  <c r="S454" i="2"/>
  <c r="AA460" i="2"/>
  <c r="X460" i="2"/>
  <c r="AD460" i="2"/>
  <c r="X465" i="2"/>
  <c r="T465" i="2"/>
  <c r="Z468" i="2"/>
  <c r="X469" i="2"/>
  <c r="W471" i="2"/>
  <c r="AP481" i="2"/>
  <c r="AO481" i="2"/>
  <c r="AN481" i="2"/>
  <c r="AK481" i="2"/>
  <c r="AB381" i="2"/>
  <c r="T382" i="2"/>
  <c r="T383" i="2"/>
  <c r="W389" i="2"/>
  <c r="Y393" i="2"/>
  <c r="S397" i="2"/>
  <c r="Y401" i="2"/>
  <c r="S404" i="2"/>
  <c r="X406" i="2"/>
  <c r="V408" i="2"/>
  <c r="AB412" i="2"/>
  <c r="T417" i="2"/>
  <c r="Z418" i="2"/>
  <c r="Y431" i="2"/>
  <c r="W437" i="2"/>
  <c r="Z441" i="2"/>
  <c r="S446" i="2"/>
  <c r="S451" i="2"/>
  <c r="AF451" i="2"/>
  <c r="W452" i="2"/>
  <c r="T454" i="2"/>
  <c r="AD461" i="2"/>
  <c r="X461" i="2"/>
  <c r="AB463" i="2"/>
  <c r="V463" i="2"/>
  <c r="Y469" i="2"/>
  <c r="AA470" i="2"/>
  <c r="AG470" i="2"/>
  <c r="V470" i="2"/>
  <c r="AE470" i="2"/>
  <c r="S470" i="2"/>
  <c r="AB470" i="2"/>
  <c r="AE472" i="2"/>
  <c r="X472" i="2"/>
  <c r="Z368" i="2"/>
  <c r="Z374" i="2"/>
  <c r="S379" i="2"/>
  <c r="V382" i="2"/>
  <c r="X389" i="2"/>
  <c r="AE390" i="2"/>
  <c r="AA394" i="2"/>
  <c r="S396" i="2"/>
  <c r="X397" i="2"/>
  <c r="Z401" i="2"/>
  <c r="T404" i="2"/>
  <c r="AB406" i="2"/>
  <c r="X408" i="2"/>
  <c r="AF411" i="2"/>
  <c r="AC412" i="2"/>
  <c r="AD413" i="2"/>
  <c r="AE415" i="2"/>
  <c r="W417" i="2"/>
  <c r="AA418" i="2"/>
  <c r="AB422" i="2"/>
  <c r="AE425" i="2"/>
  <c r="Z431" i="2"/>
  <c r="Z432" i="2"/>
  <c r="AC437" i="2"/>
  <c r="AD441" i="2"/>
  <c r="AA442" i="2"/>
  <c r="Y442" i="2"/>
  <c r="AD442" i="2"/>
  <c r="T446" i="2"/>
  <c r="AG447" i="2"/>
  <c r="S448" i="2"/>
  <c r="T451" i="2"/>
  <c r="X452" i="2"/>
  <c r="AA453" i="2"/>
  <c r="AF453" i="2"/>
  <c r="S460" i="2"/>
  <c r="AF460" i="2"/>
  <c r="S465" i="2"/>
  <c r="AD469" i="2"/>
  <c r="AG473" i="2"/>
  <c r="AA473" i="2"/>
  <c r="V483" i="2"/>
  <c r="AE330" i="2"/>
  <c r="AE331" i="2"/>
  <c r="AE335" i="2"/>
  <c r="AD341" i="2"/>
  <c r="AD346" i="2"/>
  <c r="AB368" i="2"/>
  <c r="AB374" i="2"/>
  <c r="Y383" i="2"/>
  <c r="V388" i="2"/>
  <c r="Y389" i="2"/>
  <c r="X391" i="2"/>
  <c r="AG394" i="2"/>
  <c r="Y397" i="2"/>
  <c r="AD401" i="2"/>
  <c r="AC402" i="2"/>
  <c r="AB408" i="2"/>
  <c r="AC411" i="2"/>
  <c r="AG411" i="2"/>
  <c r="S412" i="2"/>
  <c r="AD412" i="2"/>
  <c r="AC422" i="2"/>
  <c r="AF425" i="2"/>
  <c r="S426" i="2"/>
  <c r="AC431" i="2"/>
  <c r="AB432" i="2"/>
  <c r="AF435" i="2"/>
  <c r="S436" i="2"/>
  <c r="AD437" i="2"/>
  <c r="AF441" i="2"/>
  <c r="AE442" i="2"/>
  <c r="AD443" i="2"/>
  <c r="AF443" i="2"/>
  <c r="AB445" i="2"/>
  <c r="V445" i="2"/>
  <c r="X446" i="2"/>
  <c r="AA448" i="2"/>
  <c r="W451" i="2"/>
  <c r="AF452" i="2"/>
  <c r="V454" i="2"/>
  <c r="T460" i="2"/>
  <c r="AG460" i="2"/>
  <c r="V461" i="2"/>
  <c r="T463" i="2"/>
  <c r="W465" i="2"/>
  <c r="AF469" i="2"/>
  <c r="T470" i="2"/>
  <c r="W472" i="2"/>
  <c r="AC483" i="2"/>
  <c r="AC553" i="2"/>
  <c r="X480" i="2"/>
  <c r="AC484" i="2"/>
  <c r="AL488" i="2"/>
  <c r="S489" i="2"/>
  <c r="V491" i="2"/>
  <c r="W492" i="2"/>
  <c r="S494" i="2"/>
  <c r="AA502" i="2"/>
  <c r="W509" i="2"/>
  <c r="S512" i="2"/>
  <c r="AG519" i="2"/>
  <c r="S520" i="2"/>
  <c r="AF520" i="2"/>
  <c r="U540" i="2"/>
  <c r="AA549" i="2"/>
  <c r="AD549" i="2"/>
  <c r="AB568" i="2"/>
  <c r="Y568" i="2"/>
  <c r="W593" i="2"/>
  <c r="Z594" i="2"/>
  <c r="AG594" i="2"/>
  <c r="AF594" i="2"/>
  <c r="AB608" i="2"/>
  <c r="AD608" i="2"/>
  <c r="AA608" i="2"/>
  <c r="T608" i="2"/>
  <c r="AG608" i="2"/>
  <c r="AA623" i="2"/>
  <c r="Z623" i="2"/>
  <c r="Y623" i="2"/>
  <c r="X623" i="2"/>
  <c r="V623" i="2"/>
  <c r="AG623" i="2"/>
  <c r="T623" i="2"/>
  <c r="AF623" i="2"/>
  <c r="S623" i="2"/>
  <c r="AE623" i="2"/>
  <c r="AB623" i="2"/>
  <c r="AA625" i="2"/>
  <c r="Z625" i="2"/>
  <c r="AB640" i="2"/>
  <c r="AC640" i="2"/>
  <c r="Z640" i="2"/>
  <c r="Y640" i="2"/>
  <c r="W640" i="2"/>
  <c r="T640" i="2"/>
  <c r="S640" i="2"/>
  <c r="AD640" i="2"/>
  <c r="AR648" i="2"/>
  <c r="AA489" i="2"/>
  <c r="Z491" i="2"/>
  <c r="Z494" i="2"/>
  <c r="W503" i="2"/>
  <c r="W506" i="2"/>
  <c r="Y510" i="2"/>
  <c r="AB512" i="2"/>
  <c r="X516" i="2"/>
  <c r="V519" i="2"/>
  <c r="W520" i="2"/>
  <c r="W530" i="2"/>
  <c r="AB538" i="2"/>
  <c r="Z540" i="2"/>
  <c r="Z549" i="2"/>
  <c r="AA556" i="2"/>
  <c r="AD560" i="2"/>
  <c r="AA563" i="2"/>
  <c r="AC563" i="2"/>
  <c r="T568" i="2"/>
  <c r="U568" i="2" s="1"/>
  <c r="AC573" i="2"/>
  <c r="AD577" i="2"/>
  <c r="W584" i="2"/>
  <c r="AO585" i="2"/>
  <c r="W587" i="2"/>
  <c r="Y588" i="2"/>
  <c r="T594" i="2"/>
  <c r="AA606" i="2"/>
  <c r="AD606" i="2"/>
  <c r="AB606" i="2"/>
  <c r="AE606" i="2"/>
  <c r="AD623" i="2"/>
  <c r="AG640" i="2"/>
  <c r="AG480" i="2"/>
  <c r="AG484" i="2"/>
  <c r="AC489" i="2"/>
  <c r="AD491" i="2"/>
  <c r="AB492" i="2"/>
  <c r="AA494" i="2"/>
  <c r="X497" i="2"/>
  <c r="Z501" i="2"/>
  <c r="Z503" i="2"/>
  <c r="X506" i="2"/>
  <c r="Z510" i="2"/>
  <c r="Z511" i="2"/>
  <c r="AD512" i="2"/>
  <c r="AC513" i="2"/>
  <c r="Y516" i="2"/>
  <c r="W519" i="2"/>
  <c r="X520" i="2"/>
  <c r="W521" i="2"/>
  <c r="AC528" i="2"/>
  <c r="Y529" i="2"/>
  <c r="AB530" i="2"/>
  <c r="AD535" i="2"/>
  <c r="AC536" i="2"/>
  <c r="Z537" i="2"/>
  <c r="AD538" i="2"/>
  <c r="AB540" i="2"/>
  <c r="AB549" i="2"/>
  <c r="X559" i="2"/>
  <c r="AF562" i="2"/>
  <c r="S566" i="2"/>
  <c r="AF577" i="2"/>
  <c r="X584" i="2"/>
  <c r="AP585" i="2"/>
  <c r="Y587" i="2"/>
  <c r="AA588" i="2"/>
  <c r="V594" i="2"/>
  <c r="AC597" i="2"/>
  <c r="AD601" i="2"/>
  <c r="AB603" i="2"/>
  <c r="AF604" i="2"/>
  <c r="V611" i="2"/>
  <c r="AA617" i="2"/>
  <c r="Y617" i="2"/>
  <c r="X617" i="2"/>
  <c r="AE652" i="2"/>
  <c r="S480" i="2"/>
  <c r="V484" i="2"/>
  <c r="AE489" i="2"/>
  <c r="AF491" i="2"/>
  <c r="AC492" i="2"/>
  <c r="AB494" i="2"/>
  <c r="AE495" i="2"/>
  <c r="AA497" i="2"/>
  <c r="AB501" i="2"/>
  <c r="AA506" i="2"/>
  <c r="AD510" i="2"/>
  <c r="AB511" i="2"/>
  <c r="AE512" i="2"/>
  <c r="AC514" i="2"/>
  <c r="Z516" i="2"/>
  <c r="Y519" i="2"/>
  <c r="Y520" i="2"/>
  <c r="X521" i="2"/>
  <c r="S525" i="2"/>
  <c r="AD528" i="2"/>
  <c r="Z529" i="2"/>
  <c r="AD530" i="2"/>
  <c r="S532" i="2"/>
  <c r="AE535" i="2"/>
  <c r="AD536" i="2"/>
  <c r="AB537" i="2"/>
  <c r="AE538" i="2"/>
  <c r="AC540" i="2"/>
  <c r="Y544" i="2"/>
  <c r="AF549" i="2"/>
  <c r="AG562" i="2"/>
  <c r="T563" i="2"/>
  <c r="Z568" i="2"/>
  <c r="Y574" i="2"/>
  <c r="S578" i="2"/>
  <c r="Y579" i="2"/>
  <c r="AD579" i="2"/>
  <c r="Y584" i="2"/>
  <c r="AA587" i="2"/>
  <c r="AD588" i="2"/>
  <c r="Y594" i="2"/>
  <c r="AC603" i="2"/>
  <c r="S606" i="2"/>
  <c r="AB610" i="2"/>
  <c r="AG610" i="2"/>
  <c r="W610" i="2"/>
  <c r="V610" i="2"/>
  <c r="AG652" i="2"/>
  <c r="AD652" i="2"/>
  <c r="AB652" i="2"/>
  <c r="Z652" i="2"/>
  <c r="Y652" i="2"/>
  <c r="X652" i="2"/>
  <c r="T490" i="2"/>
  <c r="AG491" i="2"/>
  <c r="S492" i="2"/>
  <c r="AD494" i="2"/>
  <c r="AD497" i="2"/>
  <c r="AD506" i="2"/>
  <c r="AF510" i="2"/>
  <c r="Z519" i="2"/>
  <c r="Z520" i="2"/>
  <c r="W525" i="2"/>
  <c r="AB529" i="2"/>
  <c r="T532" i="2"/>
  <c r="AC537" i="2"/>
  <c r="AF538" i="2"/>
  <c r="AD540" i="2"/>
  <c r="AA544" i="2"/>
  <c r="AG549" i="2"/>
  <c r="V563" i="2"/>
  <c r="AD568" i="2"/>
  <c r="AK569" i="2"/>
  <c r="AL569" i="2" s="1"/>
  <c r="Z574" i="2"/>
  <c r="AC578" i="2"/>
  <c r="AC581" i="2"/>
  <c r="Z584" i="2"/>
  <c r="AC587" i="2"/>
  <c r="AE588" i="2"/>
  <c r="AA594" i="2"/>
  <c r="AF597" i="2"/>
  <c r="S597" i="2"/>
  <c r="AE597" i="2"/>
  <c r="T606" i="2"/>
  <c r="AE645" i="2"/>
  <c r="V482" i="2"/>
  <c r="X484" i="2"/>
  <c r="AE491" i="2"/>
  <c r="T492" i="2"/>
  <c r="AE492" i="2"/>
  <c r="X493" i="2"/>
  <c r="AE494" i="2"/>
  <c r="V499" i="2"/>
  <c r="S501" i="2"/>
  <c r="U501" i="2" s="1"/>
  <c r="AD501" i="2"/>
  <c r="AD503" i="2"/>
  <c r="V508" i="2"/>
  <c r="AG510" i="2"/>
  <c r="AD511" i="2"/>
  <c r="AD519" i="2"/>
  <c r="AC520" i="2"/>
  <c r="Z521" i="2"/>
  <c r="X525" i="2"/>
  <c r="AC529" i="2"/>
  <c r="Y532" i="2"/>
  <c r="AD537" i="2"/>
  <c r="AG538" i="2"/>
  <c r="AE540" i="2"/>
  <c r="X563" i="2"/>
  <c r="AC566" i="2"/>
  <c r="AE568" i="2"/>
  <c r="AA574" i="2"/>
  <c r="X577" i="2"/>
  <c r="AD578" i="2"/>
  <c r="Y581" i="2"/>
  <c r="S581" i="2"/>
  <c r="AD587" i="2"/>
  <c r="S588" i="2"/>
  <c r="AF588" i="2"/>
  <c r="AK591" i="2"/>
  <c r="AB592" i="2"/>
  <c r="AD592" i="2"/>
  <c r="AC594" i="2"/>
  <c r="AA603" i="2"/>
  <c r="X603" i="2"/>
  <c r="W603" i="2"/>
  <c r="Y603" i="2"/>
  <c r="AE603" i="2"/>
  <c r="V604" i="2"/>
  <c r="T604" i="2"/>
  <c r="W604" i="2"/>
  <c r="AF606" i="2"/>
  <c r="AG645" i="2"/>
  <c r="AD645" i="2"/>
  <c r="AB645" i="2"/>
  <c r="Z645" i="2"/>
  <c r="Y645" i="2"/>
  <c r="X645" i="2"/>
  <c r="AD520" i="2"/>
  <c r="X552" i="2"/>
  <c r="AD552" i="2"/>
  <c r="AA554" i="2"/>
  <c r="AC554" i="2"/>
  <c r="AC559" i="2"/>
  <c r="Z560" i="2"/>
  <c r="S560" i="2"/>
  <c r="AE563" i="2"/>
  <c r="AF568" i="2"/>
  <c r="AF574" i="2"/>
  <c r="AA577" i="2"/>
  <c r="AB577" i="2"/>
  <c r="AB584" i="2"/>
  <c r="AC584" i="2"/>
  <c r="AE584" i="2"/>
  <c r="AE587" i="2"/>
  <c r="AD594" i="2"/>
  <c r="Y595" i="2"/>
  <c r="T595" i="2"/>
  <c r="X644" i="2"/>
  <c r="Z644" i="2"/>
  <c r="Y644" i="2"/>
  <c r="AR655" i="2"/>
  <c r="V471" i="2"/>
  <c r="Z474" i="2"/>
  <c r="W480" i="2"/>
  <c r="X482" i="2"/>
  <c r="AA484" i="2"/>
  <c r="Y495" i="2"/>
  <c r="Z499" i="2"/>
  <c r="AF501" i="2"/>
  <c r="V504" i="2"/>
  <c r="Z508" i="2"/>
  <c r="V510" i="2"/>
  <c r="X519" i="2"/>
  <c r="AF519" i="2"/>
  <c r="AE520" i="2"/>
  <c r="AC521" i="2"/>
  <c r="T529" i="2"/>
  <c r="U529" i="2" s="1"/>
  <c r="AE529" i="2"/>
  <c r="AC530" i="2"/>
  <c r="AC532" i="2"/>
  <c r="Y534" i="2"/>
  <c r="AC535" i="2"/>
  <c r="T537" i="2"/>
  <c r="AF537" i="2"/>
  <c r="AC551" i="2"/>
  <c r="AF563" i="2"/>
  <c r="Z567" i="2"/>
  <c r="AC568" i="2"/>
  <c r="AG568" i="2"/>
  <c r="AM570" i="2"/>
  <c r="T571" i="2"/>
  <c r="AP580" i="2"/>
  <c r="AM580" i="2"/>
  <c r="T581" i="2"/>
  <c r="AF584" i="2"/>
  <c r="AF587" i="2"/>
  <c r="S592" i="2"/>
  <c r="AE594" i="2"/>
  <c r="Z601" i="2"/>
  <c r="AF601" i="2"/>
  <c r="AE601" i="2"/>
  <c r="S603" i="2"/>
  <c r="U603" i="2" s="1"/>
  <c r="AG603" i="2"/>
  <c r="S604" i="2"/>
  <c r="AC621" i="2"/>
  <c r="AE621" i="2"/>
  <c r="AD621" i="2"/>
  <c r="X621" i="2"/>
  <c r="W623" i="2"/>
  <c r="X640" i="2"/>
  <c r="Y643" i="2"/>
  <c r="Z643" i="2"/>
  <c r="S609" i="2"/>
  <c r="AA611" i="2"/>
  <c r="AF612" i="2"/>
  <c r="S613" i="2"/>
  <c r="AB620" i="2"/>
  <c r="Z622" i="2"/>
  <c r="AD627" i="2"/>
  <c r="AC629" i="2"/>
  <c r="AO630" i="2"/>
  <c r="T632" i="2"/>
  <c r="AG632" i="2"/>
  <c r="AA634" i="2"/>
  <c r="AF638" i="2"/>
  <c r="AC641" i="2"/>
  <c r="AC644" i="2"/>
  <c r="AG646" i="2"/>
  <c r="V647" i="2"/>
  <c r="W649" i="2"/>
  <c r="AG653" i="2"/>
  <c r="V654" i="2"/>
  <c r="W656" i="2"/>
  <c r="Y657" i="2"/>
  <c r="AB661" i="2"/>
  <c r="AC663" i="2"/>
  <c r="W664" i="2"/>
  <c r="G57" i="3"/>
  <c r="L57" i="3"/>
  <c r="L86" i="3"/>
  <c r="E115" i="3"/>
  <c r="I144" i="3"/>
  <c r="N196" i="3"/>
  <c r="X196" i="3"/>
  <c r="L196" i="3"/>
  <c r="M202" i="3"/>
  <c r="G231" i="3"/>
  <c r="K260" i="3"/>
  <c r="O289" i="3"/>
  <c r="M341" i="3"/>
  <c r="W341" i="3"/>
  <c r="F341" i="3"/>
  <c r="L347" i="3"/>
  <c r="F370" i="3"/>
  <c r="Q370" i="3"/>
  <c r="O434" i="3"/>
  <c r="G457" i="3"/>
  <c r="R457" i="3"/>
  <c r="N457" i="3"/>
  <c r="L457" i="3"/>
  <c r="AF622" i="2"/>
  <c r="T627" i="2"/>
  <c r="AP650" i="2"/>
  <c r="AC657" i="2"/>
  <c r="V663" i="2"/>
  <c r="AC665" i="2"/>
  <c r="J57" i="3"/>
  <c r="S283" i="3"/>
  <c r="P312" i="3"/>
  <c r="K457" i="3"/>
  <c r="U457" i="3"/>
  <c r="F457" i="3"/>
  <c r="Q457" i="3"/>
  <c r="AG622" i="2"/>
  <c r="AD657" i="2"/>
  <c r="X660" i="2"/>
  <c r="W663" i="2"/>
  <c r="L51" i="3"/>
  <c r="V51" i="3"/>
  <c r="R51" i="3"/>
  <c r="E254" i="3"/>
  <c r="P254" i="3"/>
  <c r="G254" i="3"/>
  <c r="R254" i="3"/>
  <c r="T254" i="3"/>
  <c r="Q341" i="3"/>
  <c r="Y399" i="3"/>
  <c r="V638" i="2"/>
  <c r="AK648" i="2"/>
  <c r="AK650" i="2"/>
  <c r="AE657" i="2"/>
  <c r="Y663" i="2"/>
  <c r="T665" i="2"/>
  <c r="M57" i="3"/>
  <c r="K115" i="3"/>
  <c r="J115" i="3"/>
  <c r="F260" i="3"/>
  <c r="G347" i="3"/>
  <c r="W457" i="3"/>
  <c r="M463" i="3"/>
  <c r="S622" i="2"/>
  <c r="X627" i="2"/>
  <c r="AC632" i="2"/>
  <c r="W638" i="2"/>
  <c r="AN648" i="2"/>
  <c r="AG649" i="2"/>
  <c r="AM650" i="2"/>
  <c r="AN655" i="2"/>
  <c r="AG656" i="2"/>
  <c r="S657" i="2"/>
  <c r="AF657" i="2"/>
  <c r="Z659" i="2"/>
  <c r="Y660" i="2"/>
  <c r="Z663" i="2"/>
  <c r="X665" i="2"/>
  <c r="E138" i="3"/>
  <c r="P138" i="3"/>
  <c r="N138" i="3"/>
  <c r="X138" i="3"/>
  <c r="J196" i="3"/>
  <c r="T196" i="3"/>
  <c r="J202" i="3"/>
  <c r="N202" i="3"/>
  <c r="O312" i="3"/>
  <c r="Y312" i="3"/>
  <c r="K312" i="3"/>
  <c r="U312" i="3"/>
  <c r="M376" i="3"/>
  <c r="F376" i="3"/>
  <c r="F399" i="3"/>
  <c r="U402" i="3" s="1"/>
  <c r="Q399" i="3"/>
  <c r="O399" i="3"/>
  <c r="E405" i="3"/>
  <c r="K428" i="3"/>
  <c r="U428" i="3"/>
  <c r="N463" i="3"/>
  <c r="AE619" i="2"/>
  <c r="AG619" i="2"/>
  <c r="V620" i="2"/>
  <c r="T622" i="2"/>
  <c r="Y627" i="2"/>
  <c r="AD632" i="2"/>
  <c r="W636" i="2"/>
  <c r="AE637" i="2"/>
  <c r="Y638" i="2"/>
  <c r="AO648" i="2"/>
  <c r="AQ648" i="2" s="1"/>
  <c r="AN650" i="2"/>
  <c r="AO655" i="2"/>
  <c r="AQ655" i="2" s="1"/>
  <c r="T657" i="2"/>
  <c r="AG657" i="2"/>
  <c r="Z660" i="2"/>
  <c r="X661" i="2"/>
  <c r="AB663" i="2"/>
  <c r="AD665" i="2"/>
  <c r="I86" i="3"/>
  <c r="G173" i="3"/>
  <c r="O231" i="3"/>
  <c r="I260" i="3"/>
  <c r="M260" i="3"/>
  <c r="N370" i="3"/>
  <c r="X370" i="3"/>
  <c r="L428" i="3"/>
  <c r="V428" i="3"/>
  <c r="L434" i="3"/>
  <c r="Y457" i="3"/>
  <c r="O463" i="3"/>
  <c r="AG559" i="2"/>
  <c r="AO583" i="2"/>
  <c r="AE607" i="2"/>
  <c r="AD612" i="2"/>
  <c r="AE613" i="2"/>
  <c r="Z618" i="2"/>
  <c r="W620" i="2"/>
  <c r="W622" i="2"/>
  <c r="Z627" i="2"/>
  <c r="AK630" i="2"/>
  <c r="V631" i="2"/>
  <c r="AF631" i="2"/>
  <c r="AE632" i="2"/>
  <c r="X636" i="2"/>
  <c r="AB638" i="2"/>
  <c r="Z641" i="2"/>
  <c r="W646" i="2"/>
  <c r="AE647" i="2"/>
  <c r="S649" i="2"/>
  <c r="W653" i="2"/>
  <c r="AE654" i="2"/>
  <c r="S656" i="2"/>
  <c r="V657" i="2"/>
  <c r="Y661" i="2"/>
  <c r="AF663" i="2"/>
  <c r="AE665" i="2"/>
  <c r="E57" i="3"/>
  <c r="J109" i="3"/>
  <c r="N115" i="3"/>
  <c r="G115" i="3"/>
  <c r="V196" i="3"/>
  <c r="L202" i="3"/>
  <c r="E231" i="3"/>
  <c r="J260" i="3"/>
  <c r="N283" i="3"/>
  <c r="X283" i="3"/>
  <c r="M289" i="3"/>
  <c r="F318" i="3"/>
  <c r="K347" i="3"/>
  <c r="AC612" i="2"/>
  <c r="AE612" i="2"/>
  <c r="AG618" i="2"/>
  <c r="T619" i="2"/>
  <c r="Y620" i="2"/>
  <c r="Y622" i="2"/>
  <c r="AB627" i="2"/>
  <c r="AG631" i="2"/>
  <c r="S632" i="2"/>
  <c r="AF632" i="2"/>
  <c r="AG636" i="2"/>
  <c r="V637" i="2"/>
  <c r="AE638" i="2"/>
  <c r="AB641" i="2"/>
  <c r="X646" i="2"/>
  <c r="T649" i="2"/>
  <c r="X653" i="2"/>
  <c r="T656" i="2"/>
  <c r="X657" i="2"/>
  <c r="Z661" i="2"/>
  <c r="AG663" i="2"/>
  <c r="V664" i="2"/>
  <c r="K167" i="3"/>
  <c r="U167" i="3"/>
  <c r="J173" i="3"/>
  <c r="N173" i="3"/>
  <c r="G312" i="3"/>
  <c r="R312" i="3"/>
  <c r="G318" i="3"/>
  <c r="E370" i="3"/>
  <c r="P370" i="3"/>
  <c r="E376" i="3"/>
  <c r="J405" i="3"/>
  <c r="N405" i="3"/>
  <c r="P405" i="3" s="1"/>
  <c r="N428" i="3"/>
  <c r="X428" i="3"/>
  <c r="N109" i="3"/>
  <c r="I463" i="3"/>
  <c r="G463" i="3"/>
  <c r="M80" i="3"/>
  <c r="W80" i="3"/>
  <c r="I80" i="3"/>
  <c r="S80" i="3"/>
  <c r="F80" i="3"/>
  <c r="O109" i="3"/>
  <c r="Y109" i="3"/>
  <c r="O115" i="3"/>
  <c r="O144" i="3"/>
  <c r="Q144" i="3" s="1"/>
  <c r="G167" i="3"/>
  <c r="X170" i="3" s="1"/>
  <c r="R167" i="3"/>
  <c r="O202" i="3"/>
  <c r="M225" i="3"/>
  <c r="W225" i="3"/>
  <c r="M231" i="3"/>
  <c r="G283" i="3"/>
  <c r="R283" i="3"/>
  <c r="L312" i="3"/>
  <c r="V312" i="3"/>
  <c r="L318" i="3"/>
  <c r="N341" i="3"/>
  <c r="X341" i="3"/>
  <c r="Z341" i="3" s="1"/>
  <c r="J341" i="3"/>
  <c r="T341" i="3"/>
  <c r="O428" i="3"/>
  <c r="Y428" i="3"/>
  <c r="K434" i="3"/>
  <c r="V457" i="3"/>
  <c r="J463" i="3"/>
  <c r="X109" i="3"/>
  <c r="L138" i="3"/>
  <c r="J51" i="3"/>
  <c r="N80" i="3"/>
  <c r="X80" i="3"/>
  <c r="J80" i="3"/>
  <c r="T80" i="3"/>
  <c r="E80" i="3"/>
  <c r="P80" i="3"/>
  <c r="G80" i="3"/>
  <c r="G86" i="3"/>
  <c r="I167" i="3"/>
  <c r="S167" i="3"/>
  <c r="N231" i="3"/>
  <c r="K254" i="3"/>
  <c r="U254" i="3"/>
  <c r="L370" i="3"/>
  <c r="V370" i="3"/>
  <c r="E428" i="3"/>
  <c r="P428" i="3"/>
  <c r="E434" i="3"/>
  <c r="M457" i="3"/>
  <c r="E28" i="3"/>
  <c r="O51" i="3"/>
  <c r="Y51" i="3"/>
  <c r="K51" i="3"/>
  <c r="U51" i="3"/>
  <c r="F51" i="3"/>
  <c r="I51" i="3"/>
  <c r="N57" i="3"/>
  <c r="U80" i="3"/>
  <c r="O86" i="3"/>
  <c r="I138" i="3"/>
  <c r="S138" i="3"/>
  <c r="G144" i="3"/>
  <c r="F196" i="3"/>
  <c r="Q196" i="3"/>
  <c r="K231" i="3"/>
  <c r="L254" i="3"/>
  <c r="V254" i="3"/>
  <c r="G260" i="3"/>
  <c r="L260" i="3"/>
  <c r="J283" i="3"/>
  <c r="T283" i="3"/>
  <c r="E289" i="3"/>
  <c r="M370" i="3"/>
  <c r="W370" i="3"/>
  <c r="I370" i="3"/>
  <c r="S370" i="3"/>
  <c r="J399" i="3"/>
  <c r="T399" i="3"/>
  <c r="E86" i="3"/>
  <c r="F167" i="3"/>
  <c r="Q167" i="3"/>
  <c r="F173" i="3"/>
  <c r="G196" i="3"/>
  <c r="R196" i="3"/>
  <c r="K283" i="3"/>
  <c r="U283" i="3"/>
  <c r="F289" i="3"/>
  <c r="U286" i="3" s="1"/>
  <c r="O318" i="3"/>
  <c r="M347" i="3"/>
  <c r="J370" i="3"/>
  <c r="T370" i="3"/>
  <c r="J376" i="3"/>
  <c r="K399" i="3"/>
  <c r="U399" i="3"/>
  <c r="N434" i="3"/>
  <c r="O457" i="3"/>
  <c r="Q51" i="3"/>
  <c r="Q80" i="3"/>
  <c r="L167" i="3"/>
  <c r="V167" i="3"/>
  <c r="F225" i="3"/>
  <c r="Q225" i="3"/>
  <c r="L289" i="3"/>
  <c r="J312" i="3"/>
  <c r="T312" i="3"/>
  <c r="J318" i="3"/>
  <c r="I428" i="3"/>
  <c r="S428" i="3"/>
  <c r="G51" i="3"/>
  <c r="T51" i="3"/>
  <c r="F57" i="3"/>
  <c r="R80" i="3"/>
  <c r="F86" i="3"/>
  <c r="T109" i="3"/>
  <c r="K144" i="3"/>
  <c r="I173" i="3"/>
  <c r="E196" i="3"/>
  <c r="P196" i="3"/>
  <c r="E202" i="3"/>
  <c r="G225" i="3"/>
  <c r="R225" i="3"/>
  <c r="N225" i="3"/>
  <c r="X225" i="3"/>
  <c r="Z225" i="3" s="1"/>
  <c r="O254" i="3"/>
  <c r="Y254" i="3"/>
  <c r="I289" i="3"/>
  <c r="I341" i="3"/>
  <c r="S341" i="3"/>
  <c r="K341" i="3"/>
  <c r="U341" i="3"/>
  <c r="I347" i="3"/>
  <c r="L376" i="3"/>
  <c r="I399" i="3"/>
  <c r="S399" i="3"/>
  <c r="I405" i="3"/>
  <c r="G405" i="3"/>
  <c r="J428" i="3"/>
  <c r="T428" i="3"/>
  <c r="J86" i="3"/>
  <c r="Y167" i="3"/>
  <c r="K173" i="3"/>
  <c r="O173" i="3"/>
  <c r="F254" i="3"/>
  <c r="Q254" i="3"/>
  <c r="M254" i="3"/>
  <c r="W254" i="3"/>
  <c r="O283" i="3"/>
  <c r="Y283" i="3"/>
  <c r="J289" i="3"/>
  <c r="F347" i="3"/>
  <c r="G370" i="3"/>
  <c r="R370" i="3"/>
  <c r="G376" i="3"/>
  <c r="G428" i="3"/>
  <c r="R428" i="3"/>
  <c r="G434" i="3"/>
  <c r="F434" i="3"/>
  <c r="I457" i="3"/>
  <c r="S457" i="3"/>
  <c r="E463" i="3"/>
  <c r="L115" i="3"/>
  <c r="O167" i="3"/>
  <c r="K80" i="3"/>
  <c r="M109" i="3"/>
  <c r="W109" i="3"/>
  <c r="I109" i="3"/>
  <c r="S109" i="3"/>
  <c r="M115" i="3"/>
  <c r="F115" i="3"/>
  <c r="O138" i="3"/>
  <c r="Y138" i="3"/>
  <c r="N144" i="3"/>
  <c r="E173" i="3"/>
  <c r="I202" i="3"/>
  <c r="F231" i="3"/>
  <c r="N254" i="3"/>
  <c r="X254" i="3"/>
  <c r="Z254" i="3" s="1"/>
  <c r="N260" i="3"/>
  <c r="P260" i="3" s="1"/>
  <c r="N312" i="3"/>
  <c r="X312" i="3"/>
  <c r="I318" i="3"/>
  <c r="L341" i="3"/>
  <c r="V341" i="3"/>
  <c r="L405" i="3"/>
  <c r="F463" i="3"/>
  <c r="X6" i="3"/>
  <c r="U40" i="12"/>
  <c r="B33" i="5"/>
  <c r="B53" i="4"/>
  <c r="U47" i="12"/>
  <c r="U11" i="12"/>
  <c r="U15" i="12"/>
  <c r="E51" i="12"/>
  <c r="E22" i="3"/>
  <c r="E2" i="12"/>
  <c r="J2" i="3"/>
  <c r="T2" i="3"/>
  <c r="D3" i="5"/>
  <c r="D4" i="4"/>
  <c r="AA3" i="2"/>
  <c r="Z4" i="2"/>
  <c r="B5" i="5"/>
  <c r="B5" i="4"/>
  <c r="Y5" i="2"/>
  <c r="U8" i="12"/>
  <c r="Y14" i="3"/>
  <c r="W6" i="3"/>
  <c r="E38" i="12"/>
  <c r="D8" i="7"/>
  <c r="D12" i="4"/>
  <c r="AA13" i="2"/>
  <c r="Z14" i="2"/>
  <c r="B6" i="6"/>
  <c r="B13" i="4"/>
  <c r="Y15" i="2"/>
  <c r="U56" i="12"/>
  <c r="J25" i="3"/>
  <c r="J28" i="3" s="1"/>
  <c r="E31" i="12"/>
  <c r="D8" i="6"/>
  <c r="D19" i="4"/>
  <c r="AA30" i="2"/>
  <c r="Z31" i="2"/>
  <c r="B12" i="7"/>
  <c r="B17" i="5"/>
  <c r="B25" i="4"/>
  <c r="Y32" i="2"/>
  <c r="X33" i="2"/>
  <c r="U33" i="12"/>
  <c r="X34" i="2"/>
  <c r="B10" i="7"/>
  <c r="B15" i="5"/>
  <c r="B29" i="4"/>
  <c r="B13" i="6"/>
  <c r="B16" i="5"/>
  <c r="B24" i="4"/>
  <c r="D11" i="7"/>
  <c r="D12" i="6"/>
  <c r="D30" i="4"/>
  <c r="E45" i="12"/>
  <c r="W39" i="2"/>
  <c r="U25" i="12"/>
  <c r="X41" i="2"/>
  <c r="X42" i="2"/>
  <c r="Y43" i="2"/>
  <c r="AA44" i="2"/>
  <c r="W622" i="12"/>
  <c r="AF46" i="2"/>
  <c r="V46" i="2"/>
  <c r="AB46" i="2"/>
  <c r="U47" i="2"/>
  <c r="U19" i="12"/>
  <c r="W50" i="2"/>
  <c r="U34" i="12"/>
  <c r="AP51" i="2"/>
  <c r="V52" i="2"/>
  <c r="B14" i="6"/>
  <c r="B35" i="4"/>
  <c r="AA55" i="2"/>
  <c r="D18" i="6"/>
  <c r="D37" i="4"/>
  <c r="E57" i="12"/>
  <c r="V59" i="2"/>
  <c r="V60" i="2"/>
  <c r="W61" i="2"/>
  <c r="U30" i="12"/>
  <c r="X62" i="2"/>
  <c r="B24" i="5"/>
  <c r="B36" i="4"/>
  <c r="Z63" i="2"/>
  <c r="B24" i="7"/>
  <c r="B32" i="5"/>
  <c r="B50" i="4"/>
  <c r="AA65" i="2"/>
  <c r="D22" i="6"/>
  <c r="D46" i="4"/>
  <c r="E39" i="12"/>
  <c r="E101" i="12"/>
  <c r="E50" i="12"/>
  <c r="U73" i="2"/>
  <c r="V75" i="2"/>
  <c r="AG75" i="2"/>
  <c r="AP72" i="2"/>
  <c r="W77" i="2"/>
  <c r="U63" i="12"/>
  <c r="Z79" i="2"/>
  <c r="AF80" i="2"/>
  <c r="V80" i="2"/>
  <c r="AB80" i="2"/>
  <c r="U81" i="2"/>
  <c r="V82" i="2"/>
  <c r="AG82" i="2"/>
  <c r="AA84" i="2"/>
  <c r="E99" i="12"/>
  <c r="U46" i="12"/>
  <c r="AA87" i="2"/>
  <c r="X90" i="2"/>
  <c r="B35" i="5"/>
  <c r="B51" i="4"/>
  <c r="AD91" i="2"/>
  <c r="T91" i="2"/>
  <c r="Z91" i="2"/>
  <c r="AC91" i="2"/>
  <c r="E156" i="12"/>
  <c r="B30" i="7"/>
  <c r="B71" i="4"/>
  <c r="AB97" i="2"/>
  <c r="B34" i="6"/>
  <c r="B62" i="4"/>
  <c r="W620" i="12"/>
  <c r="AK103" i="2"/>
  <c r="AC105" i="2"/>
  <c r="AD110" i="2"/>
  <c r="T110" i="2"/>
  <c r="AB110" i="2"/>
  <c r="Z110" i="2"/>
  <c r="AE110" i="2"/>
  <c r="E84" i="12"/>
  <c r="X115" i="2"/>
  <c r="AG115" i="2"/>
  <c r="W115" i="2"/>
  <c r="AF115" i="2"/>
  <c r="V115" i="2"/>
  <c r="AD115" i="2"/>
  <c r="T115" i="2"/>
  <c r="U93" i="12"/>
  <c r="W119" i="2"/>
  <c r="AD128" i="2"/>
  <c r="T128" i="2"/>
  <c r="AC128" i="2"/>
  <c r="S128" i="2"/>
  <c r="AB128" i="2"/>
  <c r="Z128" i="2"/>
  <c r="AG128" i="2"/>
  <c r="X129" i="2"/>
  <c r="Y133" i="2"/>
  <c r="X133" i="2"/>
  <c r="AG133" i="2"/>
  <c r="W133" i="2"/>
  <c r="AE133" i="2"/>
  <c r="AF133" i="2"/>
  <c r="AR149" i="2"/>
  <c r="AQ149" i="2"/>
  <c r="E105" i="12"/>
  <c r="W606" i="12"/>
  <c r="AP153" i="2"/>
  <c r="AO153" i="2"/>
  <c r="AN153" i="2"/>
  <c r="AM153" i="2"/>
  <c r="AK153" i="2"/>
  <c r="U82" i="12"/>
  <c r="U170" i="12"/>
  <c r="E384" i="12"/>
  <c r="AE183" i="2"/>
  <c r="Y183" i="2"/>
  <c r="X183" i="2"/>
  <c r="W183" i="2"/>
  <c r="AG183" i="2"/>
  <c r="V183" i="2"/>
  <c r="AF183" i="2"/>
  <c r="T183" i="2"/>
  <c r="AD183" i="2"/>
  <c r="S183" i="2"/>
  <c r="AC183" i="2"/>
  <c r="Z183" i="2"/>
  <c r="E220" i="12"/>
  <c r="K2" i="3"/>
  <c r="B39" i="5"/>
  <c r="B63" i="4"/>
  <c r="AF108" i="2"/>
  <c r="V108" i="2"/>
  <c r="AD108" i="2"/>
  <c r="T108" i="2"/>
  <c r="AB108" i="2"/>
  <c r="AE108" i="2"/>
  <c r="U114" i="2"/>
  <c r="E192" i="12"/>
  <c r="AG116" i="2"/>
  <c r="W116" i="2"/>
  <c r="AF116" i="2"/>
  <c r="V116" i="2"/>
  <c r="AE116" i="2"/>
  <c r="AC116" i="2"/>
  <c r="S116" i="2"/>
  <c r="AF117" i="2"/>
  <c r="V117" i="2"/>
  <c r="AE117" i="2"/>
  <c r="AD117" i="2"/>
  <c r="T117" i="2"/>
  <c r="AB117" i="2"/>
  <c r="U164" i="12"/>
  <c r="Z122" i="2"/>
  <c r="Y122" i="2"/>
  <c r="X122" i="2"/>
  <c r="AF122" i="2"/>
  <c r="V122" i="2"/>
  <c r="AE122" i="2"/>
  <c r="U217" i="12"/>
  <c r="E77" i="12"/>
  <c r="X134" i="2"/>
  <c r="AG134" i="2"/>
  <c r="W134" i="2"/>
  <c r="AF134" i="2"/>
  <c r="V134" i="2"/>
  <c r="AD134" i="2"/>
  <c r="T134" i="2"/>
  <c r="U114" i="12"/>
  <c r="U136" i="12"/>
  <c r="Z142" i="2"/>
  <c r="Y142" i="2"/>
  <c r="X142" i="2"/>
  <c r="AG142" i="2"/>
  <c r="W142" i="2"/>
  <c r="AF142" i="2"/>
  <c r="V142" i="2"/>
  <c r="AE142" i="2"/>
  <c r="B43" i="7"/>
  <c r="B45" i="6"/>
  <c r="B99" i="4"/>
  <c r="W657" i="12"/>
  <c r="AP160" i="2"/>
  <c r="AO160" i="2"/>
  <c r="AN160" i="2"/>
  <c r="AM160" i="2"/>
  <c r="AL160" i="2" s="1"/>
  <c r="W633" i="12"/>
  <c r="AP177" i="2"/>
  <c r="AO177" i="2"/>
  <c r="AN177" i="2"/>
  <c r="AM177" i="2"/>
  <c r="U102" i="12"/>
  <c r="U250" i="12"/>
  <c r="E142" i="12"/>
  <c r="AE216" i="2"/>
  <c r="AD216" i="2"/>
  <c r="T216" i="2"/>
  <c r="Z216" i="2"/>
  <c r="AA216" i="2"/>
  <c r="Y216" i="2"/>
  <c r="X216" i="2"/>
  <c r="W216" i="2"/>
  <c r="V216" i="2"/>
  <c r="S216" i="2"/>
  <c r="AG216" i="2"/>
  <c r="AB216" i="2"/>
  <c r="E120" i="12"/>
  <c r="U36" i="12"/>
  <c r="D24" i="6"/>
  <c r="D22" i="7"/>
  <c r="D61" i="4"/>
  <c r="D16" i="7"/>
  <c r="D17" i="6"/>
  <c r="D33" i="4"/>
  <c r="E221" i="12"/>
  <c r="AG122" i="2"/>
  <c r="U133" i="2"/>
  <c r="B35" i="6"/>
  <c r="B82" i="4"/>
  <c r="E75" i="12"/>
  <c r="AG135" i="2"/>
  <c r="W135" i="2"/>
  <c r="AF135" i="2"/>
  <c r="V135" i="2"/>
  <c r="AE135" i="2"/>
  <c r="AC135" i="2"/>
  <c r="S135" i="2"/>
  <c r="E193" i="12"/>
  <c r="D55" i="5"/>
  <c r="D86" i="4"/>
  <c r="W661" i="12"/>
  <c r="AP151" i="2"/>
  <c r="AO151" i="2"/>
  <c r="AN151" i="2"/>
  <c r="B19" i="9"/>
  <c r="D66" i="5"/>
  <c r="D51" i="6"/>
  <c r="D102" i="4"/>
  <c r="B51" i="7"/>
  <c r="B70" i="5"/>
  <c r="B114" i="4"/>
  <c r="AK177" i="2"/>
  <c r="E145" i="12"/>
  <c r="U183" i="12"/>
  <c r="D61" i="7"/>
  <c r="D139" i="4"/>
  <c r="B26" i="9"/>
  <c r="AG36" i="2"/>
  <c r="W36" i="2"/>
  <c r="AB36" i="2"/>
  <c r="U161" i="12"/>
  <c r="W625" i="12"/>
  <c r="AP64" i="2"/>
  <c r="E79" i="12"/>
  <c r="AC97" i="2"/>
  <c r="E3" i="12"/>
  <c r="J10" i="3"/>
  <c r="B3" i="8"/>
  <c r="B14" i="3"/>
  <c r="E26" i="12"/>
  <c r="X35" i="2"/>
  <c r="U91" i="12"/>
  <c r="AC55" i="2"/>
  <c r="D24" i="5"/>
  <c r="D36" i="4"/>
  <c r="AB63" i="2"/>
  <c r="AC87" i="2"/>
  <c r="D30" i="7"/>
  <c r="D71" i="4"/>
  <c r="AE97" i="2"/>
  <c r="B28" i="8"/>
  <c r="AD3" i="2"/>
  <c r="D4" i="7"/>
  <c r="D7" i="4"/>
  <c r="AD13" i="2"/>
  <c r="AC31" i="2"/>
  <c r="AC35" i="2"/>
  <c r="S36" i="2"/>
  <c r="E44" i="12"/>
  <c r="AC43" i="2"/>
  <c r="S44" i="2"/>
  <c r="U98" i="12"/>
  <c r="B13" i="5"/>
  <c r="B27" i="4"/>
  <c r="AG54" i="2"/>
  <c r="W54" i="2"/>
  <c r="AB54" i="2"/>
  <c r="S55" i="2"/>
  <c r="AD55" i="2"/>
  <c r="B21" i="6"/>
  <c r="B25" i="5"/>
  <c r="B39" i="4"/>
  <c r="B14" i="7"/>
  <c r="B15" i="6"/>
  <c r="B49" i="4"/>
  <c r="B23" i="5"/>
  <c r="B20" i="6"/>
  <c r="B41" i="4"/>
  <c r="AB62" i="2"/>
  <c r="E48" i="12"/>
  <c r="AC63" i="2"/>
  <c r="S65" i="2"/>
  <c r="AD65" i="2"/>
  <c r="U62" i="12"/>
  <c r="D26" i="5"/>
  <c r="D44" i="4"/>
  <c r="X78" i="2"/>
  <c r="AB78" i="2"/>
  <c r="D28" i="5"/>
  <c r="D45" i="4"/>
  <c r="E74" i="12"/>
  <c r="AC79" i="2"/>
  <c r="U61" i="12"/>
  <c r="S84" i="2"/>
  <c r="AE84" i="2"/>
  <c r="E181" i="12"/>
  <c r="AD87" i="2"/>
  <c r="B16" i="8"/>
  <c r="E68" i="12"/>
  <c r="U95" i="2"/>
  <c r="U156" i="12"/>
  <c r="S97" i="2"/>
  <c r="AF97" i="2"/>
  <c r="B36" i="5"/>
  <c r="B58" i="4"/>
  <c r="U180" i="12"/>
  <c r="AC106" i="2"/>
  <c r="D39" i="5"/>
  <c r="D63" i="4"/>
  <c r="S108" i="2"/>
  <c r="U109" i="12"/>
  <c r="U218" i="12"/>
  <c r="T116" i="2"/>
  <c r="S117" i="2"/>
  <c r="B35" i="7"/>
  <c r="B47" i="5"/>
  <c r="B84" i="4"/>
  <c r="AE118" i="2"/>
  <c r="U103" i="12"/>
  <c r="S122" i="2"/>
  <c r="Y123" i="2"/>
  <c r="X123" i="2"/>
  <c r="AG123" i="2"/>
  <c r="W123" i="2"/>
  <c r="AE123" i="2"/>
  <c r="AF123" i="2"/>
  <c r="U130" i="2"/>
  <c r="D43" i="5"/>
  <c r="D77" i="4"/>
  <c r="S134" i="2"/>
  <c r="B39" i="6"/>
  <c r="B87" i="4"/>
  <c r="E114" i="12"/>
  <c r="B42" i="7"/>
  <c r="B44" i="6"/>
  <c r="B94" i="4"/>
  <c r="B50" i="5"/>
  <c r="B81" i="4"/>
  <c r="E87" i="12"/>
  <c r="U87" i="12"/>
  <c r="U78" i="12"/>
  <c r="S142" i="2"/>
  <c r="X144" i="2"/>
  <c r="AG144" i="2"/>
  <c r="W144" i="2"/>
  <c r="AF144" i="2"/>
  <c r="V144" i="2"/>
  <c r="AE144" i="2"/>
  <c r="AD144" i="2"/>
  <c r="T144" i="2"/>
  <c r="AC144" i="2"/>
  <c r="S144" i="2"/>
  <c r="D43" i="7"/>
  <c r="D45" i="6"/>
  <c r="D99" i="4"/>
  <c r="U117" i="12"/>
  <c r="AK151" i="2"/>
  <c r="B65" i="5"/>
  <c r="B103" i="4"/>
  <c r="B62" i="8"/>
  <c r="E150" i="12"/>
  <c r="E141" i="12"/>
  <c r="U383" i="12"/>
  <c r="AC216" i="2"/>
  <c r="V223" i="2"/>
  <c r="AE223" i="2"/>
  <c r="X223" i="2"/>
  <c r="W223" i="2"/>
  <c r="T223" i="2"/>
  <c r="S223" i="2"/>
  <c r="B4" i="7"/>
  <c r="B7" i="4"/>
  <c r="AA14" i="2"/>
  <c r="B17" i="6"/>
  <c r="B16" i="7"/>
  <c r="B33" i="4"/>
  <c r="U81" i="12"/>
  <c r="E60" i="12"/>
  <c r="Y105" i="2"/>
  <c r="AG105" i="2"/>
  <c r="W105" i="2"/>
  <c r="AE105" i="2"/>
  <c r="O6" i="3"/>
  <c r="E10" i="12"/>
  <c r="AK23" i="2"/>
  <c r="D12" i="7"/>
  <c r="D17" i="5"/>
  <c r="D25" i="4"/>
  <c r="AA32" i="2"/>
  <c r="AB35" i="2"/>
  <c r="E69" i="12"/>
  <c r="U106" i="12"/>
  <c r="AG108" i="2"/>
  <c r="S4" i="2"/>
  <c r="AB15" i="2"/>
  <c r="W637" i="12"/>
  <c r="E32" i="12"/>
  <c r="AD36" i="2"/>
  <c r="D3" i="8"/>
  <c r="D14" i="3"/>
  <c r="U12" i="12"/>
  <c r="N25" i="3"/>
  <c r="N28" i="3" s="1"/>
  <c r="AM23" i="2"/>
  <c r="E33" i="12"/>
  <c r="AE36" i="2"/>
  <c r="D8" i="5"/>
  <c r="D22" i="4"/>
  <c r="AC40" i="2"/>
  <c r="S40" i="2"/>
  <c r="AB40" i="2"/>
  <c r="AC41" i="2"/>
  <c r="E65" i="12"/>
  <c r="T44" i="2"/>
  <c r="U46" i="2"/>
  <c r="D17" i="7"/>
  <c r="D19" i="6"/>
  <c r="D40" i="4"/>
  <c r="AA50" i="2"/>
  <c r="X53" i="2"/>
  <c r="AB53" i="2"/>
  <c r="D21" i="7"/>
  <c r="D27" i="5"/>
  <c r="D43" i="4"/>
  <c r="E54" i="12"/>
  <c r="AC54" i="2"/>
  <c r="T55" i="2"/>
  <c r="U57" i="12"/>
  <c r="B20" i="5"/>
  <c r="B32" i="4"/>
  <c r="D20" i="6"/>
  <c r="D23" i="5"/>
  <c r="D41" i="4"/>
  <c r="AB61" i="2"/>
  <c r="D19" i="5"/>
  <c r="D34" i="4"/>
  <c r="E35" i="12"/>
  <c r="AC62" i="2"/>
  <c r="S63" i="2"/>
  <c r="AM64" i="2"/>
  <c r="T65" i="2"/>
  <c r="AF65" i="2"/>
  <c r="U39" i="12"/>
  <c r="AQ67" i="2"/>
  <c r="B32" i="6"/>
  <c r="B27" i="7"/>
  <c r="B59" i="4"/>
  <c r="AB77" i="2"/>
  <c r="E24" i="12"/>
  <c r="AC78" i="2"/>
  <c r="S79" i="2"/>
  <c r="AD79" i="2"/>
  <c r="AC83" i="2"/>
  <c r="S83" i="2"/>
  <c r="Y83" i="2"/>
  <c r="AD83" i="2"/>
  <c r="T84" i="2"/>
  <c r="AF84" i="2"/>
  <c r="U99" i="12"/>
  <c r="S87" i="2"/>
  <c r="AF87" i="2"/>
  <c r="AE90" i="2"/>
  <c r="AC90" i="2"/>
  <c r="U79" i="12"/>
  <c r="D25" i="6"/>
  <c r="D23" i="7"/>
  <c r="D68" i="4"/>
  <c r="AB93" i="2"/>
  <c r="X93" i="2"/>
  <c r="AC93" i="2"/>
  <c r="S94" i="2"/>
  <c r="AE94" i="2"/>
  <c r="AG97" i="2"/>
  <c r="AF99" i="2"/>
  <c r="V99" i="2"/>
  <c r="AB99" i="2"/>
  <c r="AC99" i="2"/>
  <c r="AC102" i="2"/>
  <c r="S102" i="2"/>
  <c r="Y102" i="2"/>
  <c r="AD102" i="2"/>
  <c r="T105" i="2"/>
  <c r="U105" i="2" s="1"/>
  <c r="B37" i="6"/>
  <c r="B31" i="7"/>
  <c r="B76" i="4"/>
  <c r="X106" i="2"/>
  <c r="AF106" i="2"/>
  <c r="V106" i="2"/>
  <c r="AD106" i="2"/>
  <c r="T106" i="2"/>
  <c r="AE106" i="2"/>
  <c r="D37" i="7"/>
  <c r="D83" i="4"/>
  <c r="X116" i="2"/>
  <c r="W117" i="2"/>
  <c r="E76" i="12"/>
  <c r="U76" i="12"/>
  <c r="T122" i="2"/>
  <c r="E52" i="12"/>
  <c r="X124" i="2"/>
  <c r="AG124" i="2"/>
  <c r="W124" i="2"/>
  <c r="AF124" i="2"/>
  <c r="V124" i="2"/>
  <c r="AD124" i="2"/>
  <c r="T124" i="2"/>
  <c r="U137" i="12"/>
  <c r="AC129" i="2"/>
  <c r="AE129" i="2"/>
  <c r="E94" i="12"/>
  <c r="D35" i="6"/>
  <c r="D82" i="4"/>
  <c r="T135" i="2"/>
  <c r="S136" i="2"/>
  <c r="T142" i="2"/>
  <c r="E185" i="12"/>
  <c r="X152" i="2"/>
  <c r="AG152" i="2"/>
  <c r="W152" i="2"/>
  <c r="AF152" i="2"/>
  <c r="V152" i="2"/>
  <c r="AE152" i="2"/>
  <c r="AD152" i="2"/>
  <c r="T152" i="2"/>
  <c r="AC152" i="2"/>
  <c r="S152" i="2"/>
  <c r="B44" i="8"/>
  <c r="U328" i="12"/>
  <c r="B50" i="6"/>
  <c r="B100" i="4"/>
  <c r="U104" i="12"/>
  <c r="W649" i="12"/>
  <c r="AP199" i="2"/>
  <c r="AO199" i="2"/>
  <c r="AN199" i="2"/>
  <c r="AM199" i="2"/>
  <c r="B54" i="7"/>
  <c r="B135" i="4"/>
  <c r="AF216" i="2"/>
  <c r="D3" i="7"/>
  <c r="D6" i="4"/>
  <c r="D10" i="3"/>
  <c r="N6" i="3"/>
  <c r="E14" i="12"/>
  <c r="D10" i="6"/>
  <c r="D20" i="4"/>
  <c r="D18" i="7"/>
  <c r="D22" i="5"/>
  <c r="D38" i="4"/>
  <c r="AF55" i="2"/>
  <c r="V55" i="2"/>
  <c r="AB55" i="2"/>
  <c r="B26" i="5"/>
  <c r="B44" i="4"/>
  <c r="U96" i="12"/>
  <c r="V2" i="3"/>
  <c r="AB4" i="2"/>
  <c r="Q14" i="3"/>
  <c r="L25" i="3"/>
  <c r="L28" i="3" s="1"/>
  <c r="U107" i="12"/>
  <c r="X63" i="2"/>
  <c r="AC94" i="2"/>
  <c r="D44" i="5"/>
  <c r="D69" i="4"/>
  <c r="W2" i="3"/>
  <c r="AC4" i="2"/>
  <c r="B5" i="7"/>
  <c r="B10" i="4"/>
  <c r="U6" i="12"/>
  <c r="Z6" i="3"/>
  <c r="T13" i="2"/>
  <c r="S14" i="2"/>
  <c r="M25" i="3"/>
  <c r="M28" i="3" s="1"/>
  <c r="U43" i="12"/>
  <c r="E22" i="12"/>
  <c r="AA33" i="2"/>
  <c r="AA41" i="2"/>
  <c r="AD44" i="2"/>
  <c r="E8" i="12"/>
  <c r="T14" i="2"/>
  <c r="AD14" i="2"/>
  <c r="AC15" i="2"/>
  <c r="AA17" i="2"/>
  <c r="AK24" i="2"/>
  <c r="E85" i="12"/>
  <c r="AC34" i="2"/>
  <c r="S35" i="2"/>
  <c r="AD35" i="2"/>
  <c r="O2" i="3"/>
  <c r="AC6" i="2"/>
  <c r="AA18" i="2"/>
  <c r="AN23" i="2"/>
  <c r="D11" i="6"/>
  <c r="D18" i="4"/>
  <c r="AA25" i="2"/>
  <c r="B10" i="5"/>
  <c r="B17" i="4"/>
  <c r="U58" i="12"/>
  <c r="V30" i="2"/>
  <c r="AF30" i="2"/>
  <c r="AE31" i="2"/>
  <c r="T32" i="2"/>
  <c r="AD32" i="2"/>
  <c r="S33" i="2"/>
  <c r="AC33" i="2"/>
  <c r="S34" i="2"/>
  <c r="AD34" i="2"/>
  <c r="T35" i="2"/>
  <c r="AE35" i="2"/>
  <c r="AF36" i="2"/>
  <c r="AD39" i="2"/>
  <c r="T39" i="2"/>
  <c r="AB39" i="2"/>
  <c r="E28" i="12"/>
  <c r="AD40" i="2"/>
  <c r="S41" i="2"/>
  <c r="AD41" i="2"/>
  <c r="S42" i="2"/>
  <c r="T43" i="2"/>
  <c r="AE43" i="2"/>
  <c r="AF44" i="2"/>
  <c r="AO45" i="2"/>
  <c r="W46" i="2"/>
  <c r="U41" i="12"/>
  <c r="D13" i="5"/>
  <c r="D27" i="4"/>
  <c r="AC49" i="2"/>
  <c r="S49" i="2"/>
  <c r="AB49" i="2"/>
  <c r="AC50" i="2"/>
  <c r="AK51" i="2"/>
  <c r="AB52" i="2"/>
  <c r="E129" i="12"/>
  <c r="AC53" i="2"/>
  <c r="S54" i="2"/>
  <c r="AD54" i="2"/>
  <c r="AG55" i="2"/>
  <c r="D21" i="6"/>
  <c r="D25" i="5"/>
  <c r="D39" i="4"/>
  <c r="AA59" i="2"/>
  <c r="E30" i="12"/>
  <c r="AC61" i="2"/>
  <c r="S62" i="2"/>
  <c r="AD62" i="2"/>
  <c r="T63" i="2"/>
  <c r="AE63" i="2"/>
  <c r="AN64" i="2"/>
  <c r="V65" i="2"/>
  <c r="AG65" i="2"/>
  <c r="U101" i="12"/>
  <c r="AQ69" i="2"/>
  <c r="B21" i="5"/>
  <c r="B42" i="4"/>
  <c r="W639" i="12"/>
  <c r="D27" i="7"/>
  <c r="D32" i="6"/>
  <c r="D59" i="4"/>
  <c r="AB76" i="2"/>
  <c r="D26" i="7"/>
  <c r="D30" i="6"/>
  <c r="D60" i="4"/>
  <c r="E63" i="12"/>
  <c r="AC77" i="2"/>
  <c r="S78" i="2"/>
  <c r="AD78" i="2"/>
  <c r="T79" i="2"/>
  <c r="AE79" i="2"/>
  <c r="W80" i="2"/>
  <c r="U60" i="12"/>
  <c r="B31" i="5"/>
  <c r="B48" i="4"/>
  <c r="D30" i="5"/>
  <c r="D26" i="6"/>
  <c r="D52" i="4"/>
  <c r="E42" i="12"/>
  <c r="AE83" i="2"/>
  <c r="T87" i="2"/>
  <c r="AG87" i="2"/>
  <c r="W627" i="12"/>
  <c r="AP89" i="2"/>
  <c r="E122" i="12"/>
  <c r="W91" i="2"/>
  <c r="AD93" i="2"/>
  <c r="T94" i="2"/>
  <c r="Y96" i="2"/>
  <c r="AE96" i="2"/>
  <c r="AC96" i="2"/>
  <c r="D36" i="5"/>
  <c r="D58" i="4"/>
  <c r="AD99" i="2"/>
  <c r="V100" i="2"/>
  <c r="U92" i="12"/>
  <c r="D33" i="6"/>
  <c r="D40" i="5"/>
  <c r="D65" i="4"/>
  <c r="E80" i="12"/>
  <c r="AE102" i="2"/>
  <c r="AP103" i="2"/>
  <c r="V105" i="2"/>
  <c r="E134" i="12"/>
  <c r="AG106" i="2"/>
  <c r="W108" i="2"/>
  <c r="B32" i="7"/>
  <c r="B40" i="6"/>
  <c r="B78" i="4"/>
  <c r="AC109" i="2"/>
  <c r="S109" i="2"/>
  <c r="W110" i="2"/>
  <c r="Z115" i="2"/>
  <c r="Y116" i="2"/>
  <c r="X117" i="2"/>
  <c r="V118" i="2"/>
  <c r="S123" i="2"/>
  <c r="B45" i="5"/>
  <c r="B73" i="4"/>
  <c r="E73" i="12"/>
  <c r="AG125" i="2"/>
  <c r="W125" i="2"/>
  <c r="AF125" i="2"/>
  <c r="V125" i="2"/>
  <c r="AE125" i="2"/>
  <c r="AC125" i="2"/>
  <c r="S125" i="2"/>
  <c r="AF126" i="2"/>
  <c r="V126" i="2"/>
  <c r="AE126" i="2"/>
  <c r="AD126" i="2"/>
  <c r="T126" i="2"/>
  <c r="AB126" i="2"/>
  <c r="U111" i="12"/>
  <c r="Z133" i="2"/>
  <c r="Y134" i="2"/>
  <c r="D39" i="6"/>
  <c r="D87" i="4"/>
  <c r="X135" i="2"/>
  <c r="W136" i="2"/>
  <c r="AA142" i="2"/>
  <c r="B37" i="8"/>
  <c r="Y144" i="2"/>
  <c r="U115" i="12"/>
  <c r="AC146" i="2"/>
  <c r="S146" i="2"/>
  <c r="B45" i="7"/>
  <c r="B46" i="6"/>
  <c r="B101" i="4"/>
  <c r="U125" i="12"/>
  <c r="U278" i="12"/>
  <c r="AM151" i="2"/>
  <c r="E113" i="12"/>
  <c r="U67" i="12"/>
  <c r="D67" i="5"/>
  <c r="D112" i="4"/>
  <c r="AK199" i="2"/>
  <c r="D64" i="5"/>
  <c r="D124" i="4"/>
  <c r="U2" i="3"/>
  <c r="AA4" i="2"/>
  <c r="U20" i="12"/>
  <c r="U66" i="12"/>
  <c r="AB84" i="2"/>
  <c r="X84" i="2"/>
  <c r="X97" i="2"/>
  <c r="AD97" i="2"/>
  <c r="T97" i="2"/>
  <c r="AB14" i="2"/>
  <c r="AB31" i="2"/>
  <c r="AC44" i="2"/>
  <c r="E92" i="12"/>
  <c r="T3" i="2"/>
  <c r="U3" i="2" s="1"/>
  <c r="D13" i="7"/>
  <c r="D18" i="5"/>
  <c r="D26" i="4"/>
  <c r="D14" i="5"/>
  <c r="D23" i="4"/>
  <c r="AA7" i="2"/>
  <c r="AE13" i="2"/>
  <c r="U17" i="12"/>
  <c r="T31" i="2"/>
  <c r="AB33" i="2"/>
  <c r="AC42" i="2"/>
  <c r="R6" i="3"/>
  <c r="U5" i="12"/>
  <c r="AF13" i="2"/>
  <c r="T15" i="2"/>
  <c r="D4" i="6"/>
  <c r="D7" i="5"/>
  <c r="D8" i="4"/>
  <c r="D6" i="3"/>
  <c r="AA9" i="2"/>
  <c r="B3" i="6"/>
  <c r="B6" i="5"/>
  <c r="B9" i="4"/>
  <c r="E13" i="12"/>
  <c r="AB25" i="2"/>
  <c r="AG30" i="2"/>
  <c r="AF31" i="2"/>
  <c r="T34" i="2"/>
  <c r="AE41" i="2"/>
  <c r="AE42" i="2"/>
  <c r="AF43" i="2"/>
  <c r="V44" i="2"/>
  <c r="AP45" i="2"/>
  <c r="AD48" i="2"/>
  <c r="T48" i="2"/>
  <c r="AB48" i="2"/>
  <c r="E20" i="12"/>
  <c r="AD53" i="2"/>
  <c r="U37" i="12"/>
  <c r="D20" i="5"/>
  <c r="D32" i="4"/>
  <c r="AC58" i="2"/>
  <c r="S58" i="2"/>
  <c r="AB58" i="2"/>
  <c r="E66" i="12"/>
  <c r="AC60" i="2"/>
  <c r="S61" i="2"/>
  <c r="AD61" i="2"/>
  <c r="T62" i="2"/>
  <c r="AE62" i="2"/>
  <c r="AF63" i="2"/>
  <c r="AO64" i="2"/>
  <c r="W65" i="2"/>
  <c r="U69" i="12"/>
  <c r="AD75" i="2"/>
  <c r="T75" i="2"/>
  <c r="AB75" i="2"/>
  <c r="E81" i="12"/>
  <c r="S77" i="2"/>
  <c r="AD77" i="2"/>
  <c r="T78" i="2"/>
  <c r="AE78" i="2"/>
  <c r="AD82" i="2"/>
  <c r="T82" i="2"/>
  <c r="AB82" i="2"/>
  <c r="T83" i="2"/>
  <c r="AF83" i="2"/>
  <c r="V84" i="2"/>
  <c r="B27" i="6"/>
  <c r="B34" i="5"/>
  <c r="B54" i="4"/>
  <c r="Z86" i="2"/>
  <c r="AF86" i="2"/>
  <c r="V86" i="2"/>
  <c r="AC86" i="2"/>
  <c r="U181" i="12"/>
  <c r="S90" i="2"/>
  <c r="S93" i="2"/>
  <c r="AE93" i="2"/>
  <c r="E71" i="12"/>
  <c r="W97" i="2"/>
  <c r="S99" i="2"/>
  <c r="AE99" i="2"/>
  <c r="T102" i="2"/>
  <c r="AF102" i="2"/>
  <c r="X105" i="2"/>
  <c r="D31" i="7"/>
  <c r="D37" i="6"/>
  <c r="D76" i="4"/>
  <c r="X108" i="2"/>
  <c r="Z116" i="2"/>
  <c r="Y117" i="2"/>
  <c r="W118" i="2"/>
  <c r="AD119" i="2"/>
  <c r="T119" i="2"/>
  <c r="AC119" i="2"/>
  <c r="S119" i="2"/>
  <c r="AB119" i="2"/>
  <c r="Z119" i="2"/>
  <c r="AG119" i="2"/>
  <c r="W122" i="2"/>
  <c r="D41" i="5"/>
  <c r="D70" i="4"/>
  <c r="T123" i="2"/>
  <c r="S124" i="2"/>
  <c r="B29" i="8"/>
  <c r="E137" i="12"/>
  <c r="B40" i="7"/>
  <c r="B52" i="5"/>
  <c r="B88" i="4"/>
  <c r="T127" i="2"/>
  <c r="AC127" i="2"/>
  <c r="S127" i="2"/>
  <c r="T129" i="2"/>
  <c r="Z134" i="2"/>
  <c r="Y135" i="2"/>
  <c r="X136" i="2"/>
  <c r="AB142" i="2"/>
  <c r="Z144" i="2"/>
  <c r="B51" i="5"/>
  <c r="B91" i="4"/>
  <c r="Y152" i="2"/>
  <c r="B28" i="6"/>
  <c r="B104" i="4"/>
  <c r="U149" i="12"/>
  <c r="D49" i="7"/>
  <c r="D53" i="6"/>
  <c r="D123" i="4"/>
  <c r="E341" i="12"/>
  <c r="U141" i="12"/>
  <c r="U216" i="12"/>
  <c r="B13" i="7"/>
  <c r="B18" i="5"/>
  <c r="B26" i="4"/>
  <c r="B14" i="5"/>
  <c r="B23" i="4"/>
  <c r="E41" i="12"/>
  <c r="B28" i="5"/>
  <c r="B45" i="4"/>
  <c r="U59" i="12"/>
  <c r="D5" i="5"/>
  <c r="D5" i="4"/>
  <c r="AA5" i="2"/>
  <c r="B8" i="5"/>
  <c r="B22" i="4"/>
  <c r="AL45" i="2"/>
  <c r="B17" i="7"/>
  <c r="B19" i="6"/>
  <c r="B40" i="4"/>
  <c r="B21" i="7"/>
  <c r="B27" i="5"/>
  <c r="B43" i="4"/>
  <c r="AK64" i="2"/>
  <c r="AG79" i="2"/>
  <c r="W79" i="2"/>
  <c r="AB79" i="2"/>
  <c r="Y87" i="2"/>
  <c r="AE87" i="2"/>
  <c r="E83" i="12"/>
  <c r="E180" i="12"/>
  <c r="E93" i="12"/>
  <c r="U2" i="2"/>
  <c r="AB5" i="2"/>
  <c r="AA6" i="2"/>
  <c r="E9" i="12"/>
  <c r="B7" i="6"/>
  <c r="B15" i="4"/>
  <c r="B11" i="6"/>
  <c r="B18" i="4"/>
  <c r="AB34" i="2"/>
  <c r="S5" i="2"/>
  <c r="Q6" i="3"/>
  <c r="E56" i="12"/>
  <c r="AB16" i="2"/>
  <c r="T36" i="2"/>
  <c r="B15" i="7"/>
  <c r="B16" i="6"/>
  <c r="B31" i="4"/>
  <c r="AE44" i="2"/>
  <c r="AE4" i="2"/>
  <c r="AD5" i="2"/>
  <c r="S6" i="2"/>
  <c r="E16" i="12"/>
  <c r="J14" i="3"/>
  <c r="AB7" i="2"/>
  <c r="AA8" i="2"/>
  <c r="B7" i="7"/>
  <c r="B5" i="6"/>
  <c r="B11" i="4"/>
  <c r="E72" i="12"/>
  <c r="B2" i="5"/>
  <c r="B2" i="4"/>
  <c r="U2" i="12"/>
  <c r="Z2" i="3"/>
  <c r="AG3" i="2"/>
  <c r="AF4" i="2"/>
  <c r="E11" i="12"/>
  <c r="U38" i="12"/>
  <c r="W13" i="2"/>
  <c r="AF14" i="2"/>
  <c r="S17" i="2"/>
  <c r="AC17" i="2"/>
  <c r="AA19" i="2"/>
  <c r="AO23" i="2"/>
  <c r="AA26" i="2"/>
  <c r="D15" i="7"/>
  <c r="D16" i="6"/>
  <c r="D31" i="4"/>
  <c r="S50" i="2"/>
  <c r="AD50" i="2"/>
  <c r="D11" i="5"/>
  <c r="D28" i="4"/>
  <c r="S53" i="2"/>
  <c r="T54" i="2"/>
  <c r="AE54" i="2"/>
  <c r="W55" i="2"/>
  <c r="B4" i="5"/>
  <c r="B3" i="4"/>
  <c r="B2" i="3"/>
  <c r="Q2" i="3"/>
  <c r="X3" i="2"/>
  <c r="U4" i="12"/>
  <c r="W4" i="2"/>
  <c r="AG4" i="2"/>
  <c r="V5" i="2"/>
  <c r="AF5" i="2"/>
  <c r="AE6" i="2"/>
  <c r="T7" i="2"/>
  <c r="AD7" i="2"/>
  <c r="S8" i="2"/>
  <c r="AC8" i="2"/>
  <c r="E6" i="12"/>
  <c r="J6" i="3"/>
  <c r="AB9" i="2"/>
  <c r="D7" i="7"/>
  <c r="D5" i="6"/>
  <c r="D11" i="4"/>
  <c r="AA10" i="2"/>
  <c r="Z11" i="2"/>
  <c r="X13" i="2"/>
  <c r="U14" i="12"/>
  <c r="W14" i="2"/>
  <c r="AG14" i="2"/>
  <c r="V15" i="2"/>
  <c r="AF15" i="2"/>
  <c r="AE16" i="2"/>
  <c r="T17" i="2"/>
  <c r="AD17" i="2"/>
  <c r="S18" i="2"/>
  <c r="AC18" i="2"/>
  <c r="E29" i="12"/>
  <c r="AB19" i="2"/>
  <c r="D9" i="6"/>
  <c r="D9" i="5"/>
  <c r="D16" i="4"/>
  <c r="AA20" i="2"/>
  <c r="Z21" i="2"/>
  <c r="B3" i="9"/>
  <c r="B25" i="3"/>
  <c r="AR22" i="2"/>
  <c r="AP23" i="2"/>
  <c r="AN24" i="2"/>
  <c r="S25" i="2"/>
  <c r="AC25" i="2"/>
  <c r="E43" i="12"/>
  <c r="AB26" i="2"/>
  <c r="D10" i="5"/>
  <c r="D17" i="4"/>
  <c r="AA27" i="2"/>
  <c r="Z28" i="2"/>
  <c r="B9" i="7"/>
  <c r="B12" i="5"/>
  <c r="B21" i="4"/>
  <c r="X30" i="2"/>
  <c r="U21" i="12"/>
  <c r="W31" i="2"/>
  <c r="AG31" i="2"/>
  <c r="V32" i="2"/>
  <c r="AF32" i="2"/>
  <c r="AE33" i="2"/>
  <c r="AF34" i="2"/>
  <c r="V35" i="2"/>
  <c r="AG35" i="2"/>
  <c r="X36" i="2"/>
  <c r="AE38" i="2"/>
  <c r="AB38" i="2"/>
  <c r="S39" i="2"/>
  <c r="AE39" i="2"/>
  <c r="AF40" i="2"/>
  <c r="AF41" i="2"/>
  <c r="V43" i="2"/>
  <c r="AG43" i="2"/>
  <c r="W44" i="2"/>
  <c r="U148" i="12"/>
  <c r="Y46" i="2"/>
  <c r="B20" i="8"/>
  <c r="AA47" i="2"/>
  <c r="E161" i="12"/>
  <c r="AC48" i="2"/>
  <c r="T49" i="2"/>
  <c r="AE49" i="2"/>
  <c r="T50" i="2"/>
  <c r="AE50" i="2"/>
  <c r="S52" i="2"/>
  <c r="AD52" i="2"/>
  <c r="T53" i="2"/>
  <c r="AE53" i="2"/>
  <c r="AF54" i="2"/>
  <c r="X55" i="2"/>
  <c r="AD57" i="2"/>
  <c r="T57" i="2"/>
  <c r="AB57" i="2"/>
  <c r="E27" i="12"/>
  <c r="AD58" i="2"/>
  <c r="S59" i="2"/>
  <c r="AD59" i="2"/>
  <c r="S60" i="2"/>
  <c r="T61" i="2"/>
  <c r="AE61" i="2"/>
  <c r="AF62" i="2"/>
  <c r="V63" i="2"/>
  <c r="AG63" i="2"/>
  <c r="X65" i="2"/>
  <c r="B19" i="7"/>
  <c r="B55" i="4"/>
  <c r="B20" i="7"/>
  <c r="B23" i="6"/>
  <c r="B56" i="4"/>
  <c r="AA73" i="2"/>
  <c r="D21" i="5"/>
  <c r="D42" i="4"/>
  <c r="E36" i="12"/>
  <c r="AC75" i="2"/>
  <c r="AM72" i="2"/>
  <c r="AL72" i="2" s="1"/>
  <c r="E106" i="12"/>
  <c r="AC74" i="2"/>
  <c r="S76" i="2"/>
  <c r="AD76" i="2"/>
  <c r="T77" i="2"/>
  <c r="AE77" i="2"/>
  <c r="AF78" i="2"/>
  <c r="V79" i="2"/>
  <c r="U74" i="12"/>
  <c r="Y80" i="2"/>
  <c r="B29" i="5"/>
  <c r="B47" i="4"/>
  <c r="AA81" i="2"/>
  <c r="D31" i="5"/>
  <c r="D48" i="4"/>
  <c r="E40" i="12"/>
  <c r="AC82" i="2"/>
  <c r="AG83" i="2"/>
  <c r="W84" i="2"/>
  <c r="D27" i="6"/>
  <c r="D34" i="5"/>
  <c r="D54" i="4"/>
  <c r="E46" i="12"/>
  <c r="AD86" i="2"/>
  <c r="W87" i="2"/>
  <c r="B28" i="7"/>
  <c r="B42" i="5"/>
  <c r="B66" i="4"/>
  <c r="AM89" i="2"/>
  <c r="T90" i="2"/>
  <c r="Y91" i="2"/>
  <c r="AC92" i="2"/>
  <c r="S92" i="2"/>
  <c r="Y92" i="2"/>
  <c r="AD92" i="2"/>
  <c r="T93" i="2"/>
  <c r="AF93" i="2"/>
  <c r="V94" i="2"/>
  <c r="U68" i="12"/>
  <c r="D38" i="5"/>
  <c r="D57" i="4"/>
  <c r="S96" i="2"/>
  <c r="AF96" i="2"/>
  <c r="Y97" i="2"/>
  <c r="B25" i="7"/>
  <c r="B72" i="4"/>
  <c r="T99" i="2"/>
  <c r="AG99" i="2"/>
  <c r="B29" i="6"/>
  <c r="B37" i="5"/>
  <c r="B64" i="4"/>
  <c r="AD101" i="2"/>
  <c r="T101" i="2"/>
  <c r="Z101" i="2"/>
  <c r="AC101" i="2"/>
  <c r="AG102" i="2"/>
  <c r="Z104" i="2"/>
  <c r="X104" i="2"/>
  <c r="AF104" i="2"/>
  <c r="V104" i="2"/>
  <c r="AD104" i="2"/>
  <c r="Z105" i="2"/>
  <c r="Y108" i="2"/>
  <c r="E100" i="12"/>
  <c r="Y110" i="2"/>
  <c r="E110" i="12"/>
  <c r="AR112" i="2"/>
  <c r="Z113" i="2"/>
  <c r="Y113" i="2"/>
  <c r="X113" i="2"/>
  <c r="AF113" i="2"/>
  <c r="V113" i="2"/>
  <c r="AE113" i="2"/>
  <c r="AB115" i="2"/>
  <c r="AA116" i="2"/>
  <c r="Z117" i="2"/>
  <c r="U195" i="12"/>
  <c r="AA122" i="2"/>
  <c r="V123" i="2"/>
  <c r="D45" i="5"/>
  <c r="D73" i="4"/>
  <c r="T125" i="2"/>
  <c r="S126" i="2"/>
  <c r="B46" i="5"/>
  <c r="B74" i="4"/>
  <c r="AE127" i="2"/>
  <c r="AA128" i="2"/>
  <c r="U186" i="12"/>
  <c r="U131" i="2"/>
  <c r="AB133" i="2"/>
  <c r="AA134" i="2"/>
  <c r="Z135" i="2"/>
  <c r="AC142" i="2"/>
  <c r="Y143" i="2"/>
  <c r="X143" i="2"/>
  <c r="AG143" i="2"/>
  <c r="W143" i="2"/>
  <c r="AF143" i="2"/>
  <c r="V143" i="2"/>
  <c r="AE143" i="2"/>
  <c r="AD143" i="2"/>
  <c r="T143" i="2"/>
  <c r="AA144" i="2"/>
  <c r="B43" i="6"/>
  <c r="B60" i="5"/>
  <c r="B93" i="4"/>
  <c r="Z152" i="2"/>
  <c r="E243" i="12"/>
  <c r="Z159" i="2"/>
  <c r="Y159" i="2"/>
  <c r="X159" i="2"/>
  <c r="AG159" i="2"/>
  <c r="W159" i="2"/>
  <c r="AF159" i="2"/>
  <c r="V159" i="2"/>
  <c r="AE159" i="2"/>
  <c r="AD159" i="2"/>
  <c r="T159" i="2"/>
  <c r="U135" i="12"/>
  <c r="E197" i="12"/>
  <c r="X168" i="2"/>
  <c r="AG168" i="2"/>
  <c r="W168" i="2"/>
  <c r="AF168" i="2"/>
  <c r="V168" i="2"/>
  <c r="AE168" i="2"/>
  <c r="AD168" i="2"/>
  <c r="T168" i="2"/>
  <c r="AC168" i="2"/>
  <c r="S168" i="2"/>
  <c r="AB168" i="2"/>
  <c r="Y168" i="2"/>
  <c r="B62" i="5"/>
  <c r="B105" i="4"/>
  <c r="D60" i="6"/>
  <c r="D120" i="4"/>
  <c r="D48" i="6"/>
  <c r="D122" i="4"/>
  <c r="AC218" i="2"/>
  <c r="S218" i="2"/>
  <c r="AB218" i="2"/>
  <c r="X218" i="2"/>
  <c r="AA218" i="2"/>
  <c r="Z218" i="2"/>
  <c r="Y218" i="2"/>
  <c r="W218" i="2"/>
  <c r="V218" i="2"/>
  <c r="AG218" i="2"/>
  <c r="T218" i="2"/>
  <c r="AD218" i="2"/>
  <c r="U343" i="12"/>
  <c r="D63" i="7"/>
  <c r="D88" i="5"/>
  <c r="D150" i="4"/>
  <c r="U16" i="12"/>
  <c r="Z14" i="3"/>
  <c r="U72" i="12"/>
  <c r="E21" i="12"/>
  <c r="U55" i="12"/>
  <c r="D35" i="5"/>
  <c r="D51" i="4"/>
  <c r="Y6" i="3"/>
  <c r="U11" i="2"/>
  <c r="D6" i="6"/>
  <c r="D13" i="4"/>
  <c r="U13" i="12"/>
  <c r="D10" i="7"/>
  <c r="D15" i="5"/>
  <c r="D29" i="4"/>
  <c r="D13" i="6"/>
  <c r="D16" i="5"/>
  <c r="D24" i="4"/>
  <c r="AC36" i="2"/>
  <c r="E37" i="12"/>
  <c r="AF105" i="2"/>
  <c r="B37" i="7"/>
  <c r="B83" i="4"/>
  <c r="R14" i="3"/>
  <c r="AC14" i="2"/>
  <c r="AA16" i="2"/>
  <c r="U29" i="12"/>
  <c r="U29" i="2"/>
  <c r="AB32" i="2"/>
  <c r="X2" i="3"/>
  <c r="AD4" i="2"/>
  <c r="AB6" i="2"/>
  <c r="B4" i="6"/>
  <c r="B7" i="5"/>
  <c r="B6" i="3"/>
  <c r="B8" i="4"/>
  <c r="S15" i="2"/>
  <c r="U23" i="12"/>
  <c r="S32" i="2"/>
  <c r="S43" i="2"/>
  <c r="V13" i="2"/>
  <c r="AE14" i="2"/>
  <c r="AD15" i="2"/>
  <c r="D7" i="6"/>
  <c r="D15" i="4"/>
  <c r="B9" i="6"/>
  <c r="B9" i="5"/>
  <c r="B16" i="4"/>
  <c r="U70" i="12"/>
  <c r="T6" i="2"/>
  <c r="T16" i="2"/>
  <c r="AQ22" i="2"/>
  <c r="E15" i="12"/>
  <c r="U31" i="12"/>
  <c r="AE32" i="2"/>
  <c r="T33" i="2"/>
  <c r="AE34" i="2"/>
  <c r="AF35" i="2"/>
  <c r="V36" i="2"/>
  <c r="T40" i="2"/>
  <c r="T41" i="2"/>
  <c r="E19" i="12"/>
  <c r="B3" i="5"/>
  <c r="B4" i="4"/>
  <c r="Y3" i="2"/>
  <c r="U3" i="12"/>
  <c r="Z10" i="3"/>
  <c r="W5" i="2"/>
  <c r="AG5" i="2"/>
  <c r="V6" i="2"/>
  <c r="E12" i="12"/>
  <c r="U10" i="12"/>
  <c r="W15" i="2"/>
  <c r="AG15" i="2"/>
  <c r="V16" i="2"/>
  <c r="AE17" i="2"/>
  <c r="S19" i="2"/>
  <c r="AC19" i="2"/>
  <c r="AA21" i="2"/>
  <c r="E23" i="12"/>
  <c r="AA28" i="2"/>
  <c r="B8" i="6"/>
  <c r="B19" i="4"/>
  <c r="Y30" i="2"/>
  <c r="X31" i="2"/>
  <c r="AF33" i="2"/>
  <c r="AG34" i="2"/>
  <c r="W35" i="2"/>
  <c r="Y36" i="2"/>
  <c r="B12" i="6"/>
  <c r="B11" i="7"/>
  <c r="B30" i="4"/>
  <c r="E91" i="12"/>
  <c r="AF39" i="2"/>
  <c r="V40" i="2"/>
  <c r="AG40" i="2"/>
  <c r="V41" i="2"/>
  <c r="AG41" i="2"/>
  <c r="V42" i="2"/>
  <c r="W43" i="2"/>
  <c r="U44" i="12"/>
  <c r="X44" i="2"/>
  <c r="Z46" i="2"/>
  <c r="AB47" i="2"/>
  <c r="S48" i="2"/>
  <c r="AE48" i="2"/>
  <c r="AF49" i="2"/>
  <c r="AF50" i="2"/>
  <c r="T52" i="2"/>
  <c r="AE52" i="2"/>
  <c r="AF53" i="2"/>
  <c r="V54" i="2"/>
  <c r="U54" i="12"/>
  <c r="Y55" i="2"/>
  <c r="B18" i="6"/>
  <c r="B37" i="4"/>
  <c r="E107" i="12"/>
  <c r="T58" i="2"/>
  <c r="AE58" i="2"/>
  <c r="T59" i="2"/>
  <c r="AE59" i="2"/>
  <c r="T60" i="2"/>
  <c r="AF61" i="2"/>
  <c r="V62" i="2"/>
  <c r="AG62" i="2"/>
  <c r="W63" i="2"/>
  <c r="Y65" i="2"/>
  <c r="B22" i="6"/>
  <c r="B46" i="4"/>
  <c r="W608" i="12"/>
  <c r="W635" i="12"/>
  <c r="W659" i="12"/>
  <c r="AP71" i="2"/>
  <c r="AB73" i="2"/>
  <c r="S75" i="2"/>
  <c r="AE75" i="2"/>
  <c r="AN72" i="2"/>
  <c r="S74" i="2"/>
  <c r="T76" i="2"/>
  <c r="AE76" i="2"/>
  <c r="AF77" i="2"/>
  <c r="V78" i="2"/>
  <c r="AG78" i="2"/>
  <c r="X79" i="2"/>
  <c r="Z80" i="2"/>
  <c r="AB81" i="2"/>
  <c r="S82" i="2"/>
  <c r="AE82" i="2"/>
  <c r="V83" i="2"/>
  <c r="U42" i="12"/>
  <c r="Y84" i="2"/>
  <c r="S86" i="2"/>
  <c r="AE86" i="2"/>
  <c r="X87" i="2"/>
  <c r="X88" i="2"/>
  <c r="AD88" i="2"/>
  <c r="T88" i="2"/>
  <c r="AC88" i="2"/>
  <c r="AN89" i="2"/>
  <c r="V90" i="2"/>
  <c r="U122" i="12"/>
  <c r="AA91" i="2"/>
  <c r="D29" i="7"/>
  <c r="D36" i="6"/>
  <c r="D67" i="4"/>
  <c r="E59" i="12"/>
  <c r="AG93" i="2"/>
  <c r="X94" i="2"/>
  <c r="T96" i="2"/>
  <c r="AG96" i="2"/>
  <c r="Z97" i="2"/>
  <c r="AG98" i="2"/>
  <c r="W98" i="2"/>
  <c r="AC98" i="2"/>
  <c r="S98" i="2"/>
  <c r="AD98" i="2"/>
  <c r="U53" i="12"/>
  <c r="D29" i="6"/>
  <c r="D37" i="5"/>
  <c r="D64" i="4"/>
  <c r="E47" i="12"/>
  <c r="V102" i="2"/>
  <c r="U80" i="12"/>
  <c r="E209" i="12"/>
  <c r="AA105" i="2"/>
  <c r="W106" i="2"/>
  <c r="B25" i="8"/>
  <c r="AG107" i="2"/>
  <c r="W107" i="2"/>
  <c r="AE107" i="2"/>
  <c r="AC107" i="2"/>
  <c r="S107" i="2"/>
  <c r="AF107" i="2"/>
  <c r="Z108" i="2"/>
  <c r="T109" i="2"/>
  <c r="U100" i="12"/>
  <c r="AA110" i="2"/>
  <c r="E90" i="12"/>
  <c r="AC115" i="2"/>
  <c r="AB116" i="2"/>
  <c r="AA117" i="2"/>
  <c r="AB122" i="2"/>
  <c r="Z123" i="2"/>
  <c r="Y124" i="2"/>
  <c r="X125" i="2"/>
  <c r="D40" i="7"/>
  <c r="D52" i="5"/>
  <c r="D88" i="4"/>
  <c r="W126" i="2"/>
  <c r="E64" i="12"/>
  <c r="U64" i="12"/>
  <c r="AE128" i="2"/>
  <c r="V129" i="2"/>
  <c r="B31" i="6"/>
  <c r="B79" i="4"/>
  <c r="U94" i="12"/>
  <c r="Z132" i="2"/>
  <c r="Y132" i="2"/>
  <c r="X132" i="2"/>
  <c r="AF132" i="2"/>
  <c r="V132" i="2"/>
  <c r="AE132" i="2"/>
  <c r="AC133" i="2"/>
  <c r="AB134" i="2"/>
  <c r="AA135" i="2"/>
  <c r="AD142" i="2"/>
  <c r="E95" i="12"/>
  <c r="AB144" i="2"/>
  <c r="W146" i="2"/>
  <c r="D51" i="5"/>
  <c r="D91" i="4"/>
  <c r="AA152" i="2"/>
  <c r="U158" i="2"/>
  <c r="E310" i="12"/>
  <c r="U166" i="2"/>
  <c r="U155" i="12"/>
  <c r="AR192" i="2"/>
  <c r="AQ192" i="2"/>
  <c r="E168" i="12"/>
  <c r="B58" i="8"/>
  <c r="P14" i="3"/>
  <c r="D6" i="7"/>
  <c r="D14" i="4"/>
  <c r="AA31" i="2"/>
  <c r="AB44" i="2"/>
  <c r="U27" i="12"/>
  <c r="AD105" i="2"/>
  <c r="AA15" i="2"/>
  <c r="E148" i="12"/>
  <c r="D14" i="6"/>
  <c r="D35" i="4"/>
  <c r="D24" i="7"/>
  <c r="D32" i="5"/>
  <c r="D50" i="4"/>
  <c r="AC65" i="2"/>
  <c r="AD84" i="2"/>
  <c r="B23" i="7"/>
  <c r="B25" i="6"/>
  <c r="B68" i="4"/>
  <c r="T118" i="2"/>
  <c r="AC118" i="2"/>
  <c r="S118" i="2"/>
  <c r="E7" i="12"/>
  <c r="P6" i="3"/>
  <c r="U12" i="2"/>
  <c r="S31" i="2"/>
  <c r="N2" i="3"/>
  <c r="AE3" i="2"/>
  <c r="T4" i="2"/>
  <c r="AC5" i="2"/>
  <c r="U30" i="2"/>
  <c r="AE30" i="2"/>
  <c r="AD31" i="2"/>
  <c r="AC32" i="2"/>
  <c r="U45" i="12"/>
  <c r="AD43" i="2"/>
  <c r="Y2" i="3"/>
  <c r="V3" i="2"/>
  <c r="AF3" i="2"/>
  <c r="T5" i="2"/>
  <c r="D5" i="7"/>
  <c r="D10" i="4"/>
  <c r="S16" i="2"/>
  <c r="AC16" i="2"/>
  <c r="AB17" i="2"/>
  <c r="P2" i="3"/>
  <c r="W3" i="2"/>
  <c r="V4" i="2"/>
  <c r="AE5" i="2"/>
  <c r="AD6" i="2"/>
  <c r="S7" i="2"/>
  <c r="AC7" i="2"/>
  <c r="AB8" i="2"/>
  <c r="AG13" i="2"/>
  <c r="V14" i="2"/>
  <c r="AE15" i="2"/>
  <c r="AD16" i="2"/>
  <c r="AB18" i="2"/>
  <c r="AM24" i="2"/>
  <c r="W30" i="2"/>
  <c r="V31" i="2"/>
  <c r="AD33" i="2"/>
  <c r="U51" i="12"/>
  <c r="B13" i="8"/>
  <c r="E25" i="12"/>
  <c r="AE40" i="2"/>
  <c r="T42" i="2"/>
  <c r="AG44" i="2"/>
  <c r="X46" i="2"/>
  <c r="R2" i="3"/>
  <c r="X4" i="2"/>
  <c r="AF6" i="2"/>
  <c r="AE7" i="2"/>
  <c r="T8" i="2"/>
  <c r="AD8" i="2"/>
  <c r="S9" i="2"/>
  <c r="AC9" i="2"/>
  <c r="D3" i="6"/>
  <c r="D6" i="5"/>
  <c r="D9" i="4"/>
  <c r="AA11" i="2"/>
  <c r="B8" i="7"/>
  <c r="B12" i="4"/>
  <c r="Y13" i="2"/>
  <c r="X14" i="2"/>
  <c r="AF16" i="2"/>
  <c r="T18" i="2"/>
  <c r="AD18" i="2"/>
  <c r="E17" i="12"/>
  <c r="AO24" i="2"/>
  <c r="T25" i="2"/>
  <c r="AD25" i="2"/>
  <c r="S26" i="2"/>
  <c r="AC26" i="2"/>
  <c r="U26" i="12"/>
  <c r="W32" i="2"/>
  <c r="AG32" i="2"/>
  <c r="V33" i="2"/>
  <c r="V34" i="2"/>
  <c r="D4" i="5"/>
  <c r="D3" i="4"/>
  <c r="D2" i="3"/>
  <c r="I22" i="3"/>
  <c r="AA2" i="2"/>
  <c r="B3" i="7"/>
  <c r="B6" i="4"/>
  <c r="B10" i="3"/>
  <c r="Y4" i="2"/>
  <c r="U7" i="12"/>
  <c r="W6" i="2"/>
  <c r="V7" i="2"/>
  <c r="AF7" i="2"/>
  <c r="T9" i="2"/>
  <c r="AD9" i="2"/>
  <c r="S10" i="2"/>
  <c r="E5" i="12"/>
  <c r="B6" i="7"/>
  <c r="B14" i="4"/>
  <c r="U9" i="12"/>
  <c r="W16" i="2"/>
  <c r="V17" i="2"/>
  <c r="T19" i="2"/>
  <c r="S20" i="2"/>
  <c r="E70" i="12"/>
  <c r="D3" i="9"/>
  <c r="D25" i="3"/>
  <c r="W641" i="12"/>
  <c r="I25" i="3"/>
  <c r="I28" i="3" s="1"/>
  <c r="AP24" i="2"/>
  <c r="T26" i="2"/>
  <c r="S27" i="2"/>
  <c r="E58" i="12"/>
  <c r="D9" i="7"/>
  <c r="D12" i="5"/>
  <c r="D21" i="4"/>
  <c r="B10" i="6"/>
  <c r="B20" i="4"/>
  <c r="U22" i="12"/>
  <c r="W33" i="2"/>
  <c r="W34" i="2"/>
  <c r="U85" i="12"/>
  <c r="Y35" i="2"/>
  <c r="Z36" i="2"/>
  <c r="AF37" i="2"/>
  <c r="V37" i="2"/>
  <c r="AB37" i="2"/>
  <c r="S38" i="2"/>
  <c r="AD38" i="2"/>
  <c r="V39" i="2"/>
  <c r="AG39" i="2"/>
  <c r="W40" i="2"/>
  <c r="U28" i="12"/>
  <c r="W41" i="2"/>
  <c r="U18" i="12"/>
  <c r="U65" i="12"/>
  <c r="X43" i="2"/>
  <c r="Z44" i="2"/>
  <c r="B18" i="7"/>
  <c r="B22" i="5"/>
  <c r="B38" i="4"/>
  <c r="AA46" i="2"/>
  <c r="E98" i="12"/>
  <c r="AC47" i="2"/>
  <c r="AF48" i="2"/>
  <c r="V49" i="2"/>
  <c r="AG49" i="2"/>
  <c r="V50" i="2"/>
  <c r="AG50" i="2"/>
  <c r="AF52" i="2"/>
  <c r="V53" i="2"/>
  <c r="AG53" i="2"/>
  <c r="X54" i="2"/>
  <c r="Z55" i="2"/>
  <c r="AE56" i="2"/>
  <c r="AB56" i="2"/>
  <c r="S57" i="2"/>
  <c r="AE57" i="2"/>
  <c r="AF58" i="2"/>
  <c r="AF59" i="2"/>
  <c r="V61" i="2"/>
  <c r="AG61" i="2"/>
  <c r="W62" i="2"/>
  <c r="U35" i="12"/>
  <c r="Y63" i="2"/>
  <c r="Z65" i="2"/>
  <c r="AD66" i="2"/>
  <c r="T66" i="2"/>
  <c r="AB66" i="2"/>
  <c r="AK67" i="2"/>
  <c r="AL67" i="2" s="1"/>
  <c r="AK69" i="2"/>
  <c r="D19" i="7"/>
  <c r="D55" i="4"/>
  <c r="X70" i="2"/>
  <c r="AB70" i="2"/>
  <c r="AK71" i="2"/>
  <c r="D20" i="7"/>
  <c r="D23" i="6"/>
  <c r="D56" i="4"/>
  <c r="E62" i="12"/>
  <c r="AC73" i="2"/>
  <c r="AF75" i="2"/>
  <c r="AO72" i="2"/>
  <c r="T74" i="2"/>
  <c r="AF76" i="2"/>
  <c r="V77" i="2"/>
  <c r="AG77" i="2"/>
  <c r="W78" i="2"/>
  <c r="Y79" i="2"/>
  <c r="B22" i="7"/>
  <c r="B24" i="6"/>
  <c r="B61" i="4"/>
  <c r="AA80" i="2"/>
  <c r="D29" i="5"/>
  <c r="D47" i="4"/>
  <c r="E61" i="12"/>
  <c r="AC81" i="2"/>
  <c r="AF82" i="2"/>
  <c r="W83" i="2"/>
  <c r="Z84" i="2"/>
  <c r="AC85" i="2"/>
  <c r="T86" i="2"/>
  <c r="AG86" i="2"/>
  <c r="Z87" i="2"/>
  <c r="D28" i="7"/>
  <c r="D42" i="5"/>
  <c r="D66" i="4"/>
  <c r="E89" i="12"/>
  <c r="AE88" i="2"/>
  <c r="AO89" i="2"/>
  <c r="AB91" i="2"/>
  <c r="T92" i="2"/>
  <c r="AF92" i="2"/>
  <c r="V93" i="2"/>
  <c r="Z95" i="2"/>
  <c r="AF95" i="2"/>
  <c r="V95" i="2"/>
  <c r="AC95" i="2"/>
  <c r="V96" i="2"/>
  <c r="U71" i="12"/>
  <c r="AA97" i="2"/>
  <c r="D25" i="7"/>
  <c r="D72" i="4"/>
  <c r="E96" i="12"/>
  <c r="AE98" i="2"/>
  <c r="W99" i="2"/>
  <c r="S101" i="2"/>
  <c r="AF101" i="2"/>
  <c r="W102" i="2"/>
  <c r="S104" i="2"/>
  <c r="AG104" i="2"/>
  <c r="AB105" i="2"/>
  <c r="Y106" i="2"/>
  <c r="E173" i="12"/>
  <c r="U173" i="12"/>
  <c r="AA108" i="2"/>
  <c r="V109" i="2"/>
  <c r="AC110" i="2"/>
  <c r="U110" i="12"/>
  <c r="D38" i="6"/>
  <c r="D75" i="4"/>
  <c r="S113" i="2"/>
  <c r="Y114" i="2"/>
  <c r="X114" i="2"/>
  <c r="AG114" i="2"/>
  <c r="W114" i="2"/>
  <c r="AE114" i="2"/>
  <c r="AF114" i="2"/>
  <c r="AE115" i="2"/>
  <c r="AD116" i="2"/>
  <c r="AC117" i="2"/>
  <c r="V119" i="2"/>
  <c r="AC122" i="2"/>
  <c r="AA123" i="2"/>
  <c r="Z124" i="2"/>
  <c r="Y125" i="2"/>
  <c r="X126" i="2"/>
  <c r="V127" i="2"/>
  <c r="AF128" i="2"/>
  <c r="E208" i="12"/>
  <c r="AG132" i="2"/>
  <c r="AD133" i="2"/>
  <c r="AC134" i="2"/>
  <c r="AB135" i="2"/>
  <c r="E88" i="12"/>
  <c r="S143" i="2"/>
  <c r="AG145" i="2"/>
  <c r="W145" i="2"/>
  <c r="AF145" i="2"/>
  <c r="V145" i="2"/>
  <c r="AE145" i="2"/>
  <c r="AD145" i="2"/>
  <c r="T145" i="2"/>
  <c r="AC145" i="2"/>
  <c r="S145" i="2"/>
  <c r="AB145" i="2"/>
  <c r="X146" i="2"/>
  <c r="AB152" i="2"/>
  <c r="U157" i="2"/>
  <c r="S159" i="2"/>
  <c r="B53" i="5"/>
  <c r="B96" i="4"/>
  <c r="Z168" i="2"/>
  <c r="V205" i="2"/>
  <c r="AE205" i="2"/>
  <c r="X205" i="2"/>
  <c r="W205" i="2"/>
  <c r="T205" i="2"/>
  <c r="S205" i="2"/>
  <c r="Z211" i="2"/>
  <c r="Y211" i="2"/>
  <c r="AE211" i="2"/>
  <c r="AB211" i="2"/>
  <c r="AA211" i="2"/>
  <c r="X211" i="2"/>
  <c r="W211" i="2"/>
  <c r="V211" i="2"/>
  <c r="T211" i="2"/>
  <c r="AG211" i="2"/>
  <c r="S211" i="2"/>
  <c r="AC211" i="2"/>
  <c r="AE218" i="2"/>
  <c r="AC223" i="2"/>
  <c r="AR234" i="2"/>
  <c r="W631" i="12"/>
  <c r="B51" i="6"/>
  <c r="B66" i="5"/>
  <c r="B102" i="4"/>
  <c r="U132" i="12"/>
  <c r="E108" i="12"/>
  <c r="AA176" i="2"/>
  <c r="U112" i="12"/>
  <c r="AD184" i="2"/>
  <c r="T184" i="2"/>
  <c r="U184" i="2" s="1"/>
  <c r="AB184" i="2"/>
  <c r="E300" i="12"/>
  <c r="Y193" i="2"/>
  <c r="AD193" i="2"/>
  <c r="T193" i="2"/>
  <c r="AC193" i="2"/>
  <c r="U197" i="2"/>
  <c r="E143" i="12"/>
  <c r="D44" i="7"/>
  <c r="D63" i="5"/>
  <c r="D134" i="4"/>
  <c r="U123" i="12"/>
  <c r="AD207" i="2"/>
  <c r="T207" i="2"/>
  <c r="AC207" i="2"/>
  <c r="S207" i="2"/>
  <c r="Y207" i="2"/>
  <c r="AF207" i="2"/>
  <c r="AC209" i="2"/>
  <c r="U118" i="12"/>
  <c r="X213" i="2"/>
  <c r="AG213" i="2"/>
  <c r="W213" i="2"/>
  <c r="AC213" i="2"/>
  <c r="S213" i="2"/>
  <c r="AE213" i="2"/>
  <c r="U302" i="12"/>
  <c r="Y221" i="2"/>
  <c r="X221" i="2"/>
  <c r="AD221" i="2"/>
  <c r="T221" i="2"/>
  <c r="AE221" i="2"/>
  <c r="W652" i="12"/>
  <c r="AM225" i="2"/>
  <c r="B63" i="7"/>
  <c r="B88" i="5"/>
  <c r="B150" i="4"/>
  <c r="AG230" i="2"/>
  <c r="W230" i="2"/>
  <c r="AF230" i="2"/>
  <c r="V230" i="2"/>
  <c r="AB230" i="2"/>
  <c r="AD230" i="2"/>
  <c r="U172" i="12"/>
  <c r="E130" i="12"/>
  <c r="W242" i="2"/>
  <c r="AE242" i="2"/>
  <c r="T242" i="2"/>
  <c r="S242" i="2"/>
  <c r="AC242" i="2"/>
  <c r="D68" i="7"/>
  <c r="D95" i="5"/>
  <c r="D158" i="4"/>
  <c r="AC250" i="2"/>
  <c r="S250" i="2"/>
  <c r="Y250" i="2"/>
  <c r="X250" i="2"/>
  <c r="AG250" i="2"/>
  <c r="V250" i="2"/>
  <c r="AF250" i="2"/>
  <c r="AE250" i="2"/>
  <c r="T250" i="2"/>
  <c r="AA250" i="2"/>
  <c r="U260" i="2"/>
  <c r="U169" i="12"/>
  <c r="E507" i="12"/>
  <c r="U396" i="12"/>
  <c r="D82" i="5"/>
  <c r="D127" i="4"/>
  <c r="E225" i="12"/>
  <c r="U225" i="12"/>
  <c r="X240" i="2"/>
  <c r="AE240" i="2"/>
  <c r="AD240" i="2"/>
  <c r="T240" i="2"/>
  <c r="AC240" i="2"/>
  <c r="S240" i="2"/>
  <c r="Z240" i="2"/>
  <c r="AB241" i="2"/>
  <c r="W241" i="2"/>
  <c r="AE241" i="2"/>
  <c r="T241" i="2"/>
  <c r="AD241" i="2"/>
  <c r="S241" i="2"/>
  <c r="AC241" i="2"/>
  <c r="Y241" i="2"/>
  <c r="U166" i="12"/>
  <c r="E270" i="12"/>
  <c r="U270" i="12"/>
  <c r="U245" i="2"/>
  <c r="E412" i="12"/>
  <c r="D57" i="6"/>
  <c r="D149" i="4"/>
  <c r="E237" i="12"/>
  <c r="B87" i="8"/>
  <c r="AE267" i="2"/>
  <c r="Z267" i="2"/>
  <c r="Y267" i="2"/>
  <c r="X267" i="2"/>
  <c r="W267" i="2"/>
  <c r="AG267" i="2"/>
  <c r="V267" i="2"/>
  <c r="AF267" i="2"/>
  <c r="T267" i="2"/>
  <c r="AD267" i="2"/>
  <c r="S267" i="2"/>
  <c r="AA267" i="2"/>
  <c r="Y282" i="2"/>
  <c r="X282" i="2"/>
  <c r="AD282" i="2"/>
  <c r="T282" i="2"/>
  <c r="AA282" i="2"/>
  <c r="Z282" i="2"/>
  <c r="W282" i="2"/>
  <c r="V282" i="2"/>
  <c r="AG282" i="2"/>
  <c r="S282" i="2"/>
  <c r="AF282" i="2"/>
  <c r="AB282" i="2"/>
  <c r="B80" i="8"/>
  <c r="B81" i="5"/>
  <c r="B129" i="4"/>
  <c r="E189" i="12"/>
  <c r="B81" i="8"/>
  <c r="B85" i="8"/>
  <c r="D141" i="4"/>
  <c r="D80" i="5"/>
  <c r="E373" i="12"/>
  <c r="X301" i="2"/>
  <c r="AG301" i="2"/>
  <c r="W301" i="2"/>
  <c r="AD301" i="2"/>
  <c r="T301" i="2"/>
  <c r="AC301" i="2"/>
  <c r="S301" i="2"/>
  <c r="AB301" i="2"/>
  <c r="AA301" i="2"/>
  <c r="Z301" i="2"/>
  <c r="Y301" i="2"/>
  <c r="V301" i="2"/>
  <c r="AE301" i="2"/>
  <c r="AR313" i="2"/>
  <c r="Y329" i="2"/>
  <c r="X329" i="2"/>
  <c r="AG329" i="2"/>
  <c r="W329" i="2"/>
  <c r="AE329" i="2"/>
  <c r="AD329" i="2"/>
  <c r="T329" i="2"/>
  <c r="AC329" i="2"/>
  <c r="S329" i="2"/>
  <c r="AF329" i="2"/>
  <c r="AB329" i="2"/>
  <c r="AA329" i="2"/>
  <c r="Z329" i="2"/>
  <c r="V329" i="2"/>
  <c r="U219" i="12"/>
  <c r="D50" i="6"/>
  <c r="D100" i="4"/>
  <c r="AA161" i="2"/>
  <c r="B34" i="7"/>
  <c r="B109" i="4"/>
  <c r="U140" i="12"/>
  <c r="AM167" i="2"/>
  <c r="AL167" i="2" s="1"/>
  <c r="E194" i="12"/>
  <c r="D51" i="7"/>
  <c r="D70" i="5"/>
  <c r="D114" i="4"/>
  <c r="AA169" i="2"/>
  <c r="B50" i="7"/>
  <c r="B55" i="6"/>
  <c r="B116" i="4"/>
  <c r="U211" i="12"/>
  <c r="T176" i="2"/>
  <c r="U176" i="2" s="1"/>
  <c r="AD176" i="2"/>
  <c r="D65" i="5"/>
  <c r="D103" i="4"/>
  <c r="AA178" i="2"/>
  <c r="B55" i="7"/>
  <c r="B61" i="6"/>
  <c r="B121" i="4"/>
  <c r="E297" i="12"/>
  <c r="AF184" i="2"/>
  <c r="U312" i="12"/>
  <c r="B57" i="5"/>
  <c r="B110" i="4"/>
  <c r="AG193" i="2"/>
  <c r="S196" i="2"/>
  <c r="AE196" i="2"/>
  <c r="B57" i="7"/>
  <c r="B133" i="4"/>
  <c r="E147" i="12"/>
  <c r="V207" i="2"/>
  <c r="B72" i="5"/>
  <c r="B117" i="4"/>
  <c r="S209" i="2"/>
  <c r="D62" i="7"/>
  <c r="D137" i="4"/>
  <c r="D87" i="5"/>
  <c r="AC214" i="2"/>
  <c r="B61" i="8"/>
  <c r="E352" i="12"/>
  <c r="E273" i="12"/>
  <c r="AO225" i="2"/>
  <c r="T230" i="2"/>
  <c r="AC231" i="2"/>
  <c r="U235" i="2"/>
  <c r="U130" i="12"/>
  <c r="Z236" i="2"/>
  <c r="Y236" i="2"/>
  <c r="X236" i="2"/>
  <c r="AE236" i="2"/>
  <c r="AF236" i="2"/>
  <c r="D81" i="5"/>
  <c r="D129" i="4"/>
  <c r="V240" i="2"/>
  <c r="Z243" i="2"/>
  <c r="X243" i="2"/>
  <c r="AF243" i="2"/>
  <c r="AE243" i="2"/>
  <c r="T243" i="2"/>
  <c r="AD243" i="2"/>
  <c r="S243" i="2"/>
  <c r="AA243" i="2"/>
  <c r="D66" i="6"/>
  <c r="D142" i="4"/>
  <c r="U428" i="12"/>
  <c r="Z250" i="2"/>
  <c r="AP251" i="2"/>
  <c r="AO251" i="2"/>
  <c r="E204" i="12"/>
  <c r="AB267" i="2"/>
  <c r="AC282" i="2"/>
  <c r="D78" i="7"/>
  <c r="D188" i="4"/>
  <c r="E424" i="12"/>
  <c r="AE340" i="2"/>
  <c r="T340" i="2"/>
  <c r="X340" i="2"/>
  <c r="D42" i="7"/>
  <c r="D44" i="6"/>
  <c r="D94" i="4"/>
  <c r="AA136" i="2"/>
  <c r="B41" i="7"/>
  <c r="B54" i="5"/>
  <c r="B95" i="4"/>
  <c r="Y138" i="2"/>
  <c r="U128" i="12"/>
  <c r="E115" i="12"/>
  <c r="D43" i="6"/>
  <c r="D60" i="5"/>
  <c r="D93" i="4"/>
  <c r="AA146" i="2"/>
  <c r="Y148" i="2"/>
  <c r="Y155" i="2"/>
  <c r="U275" i="12"/>
  <c r="E135" i="12"/>
  <c r="AB161" i="2"/>
  <c r="D53" i="5"/>
  <c r="D96" i="4"/>
  <c r="AA162" i="2"/>
  <c r="B48" i="7"/>
  <c r="B111" i="4"/>
  <c r="Y164" i="2"/>
  <c r="AQ165" i="2"/>
  <c r="AN167" i="2"/>
  <c r="E132" i="12"/>
  <c r="AB169" i="2"/>
  <c r="D28" i="6"/>
  <c r="D104" i="4"/>
  <c r="AA170" i="2"/>
  <c r="Y172" i="2"/>
  <c r="U282" i="12"/>
  <c r="AE176" i="2"/>
  <c r="E112" i="12"/>
  <c r="AB178" i="2"/>
  <c r="D62" i="5"/>
  <c r="D105" i="4"/>
  <c r="AA179" i="2"/>
  <c r="B49" i="6"/>
  <c r="B115" i="4"/>
  <c r="Z181" i="2"/>
  <c r="AF182" i="2"/>
  <c r="V182" i="2"/>
  <c r="AB182" i="2"/>
  <c r="V184" i="2"/>
  <c r="AG184" i="2"/>
  <c r="U300" i="12"/>
  <c r="U261" i="12"/>
  <c r="U127" i="12"/>
  <c r="Z189" i="2"/>
  <c r="AB191" i="2"/>
  <c r="AG191" i="2"/>
  <c r="W191" i="2"/>
  <c r="AC191" i="2"/>
  <c r="V193" i="2"/>
  <c r="U142" i="12"/>
  <c r="AG195" i="2"/>
  <c r="W195" i="2"/>
  <c r="AB195" i="2"/>
  <c r="AC195" i="2"/>
  <c r="T196" i="2"/>
  <c r="AD198" i="2"/>
  <c r="T198" i="2"/>
  <c r="Y198" i="2"/>
  <c r="AC198" i="2"/>
  <c r="U150" i="12"/>
  <c r="X203" i="2"/>
  <c r="AG203" i="2"/>
  <c r="W203" i="2"/>
  <c r="AC203" i="2"/>
  <c r="S203" i="2"/>
  <c r="AE203" i="2"/>
  <c r="AB206" i="2"/>
  <c r="W207" i="2"/>
  <c r="T209" i="2"/>
  <c r="U235" i="12"/>
  <c r="U220" i="12"/>
  <c r="AC212" i="2"/>
  <c r="V213" i="2"/>
  <c r="AG214" i="2"/>
  <c r="W214" i="2"/>
  <c r="AF214" i="2"/>
  <c r="V214" i="2"/>
  <c r="AB214" i="2"/>
  <c r="AD214" i="2"/>
  <c r="U352" i="12"/>
  <c r="AB217" i="2"/>
  <c r="AL220" i="2"/>
  <c r="V221" i="2"/>
  <c r="AB224" i="2"/>
  <c r="AP225" i="2"/>
  <c r="E394" i="12"/>
  <c r="AQ228" i="2"/>
  <c r="AB229" i="2"/>
  <c r="B75" i="8"/>
  <c r="E205" i="12"/>
  <c r="AG236" i="2"/>
  <c r="W240" i="2"/>
  <c r="D67" i="7"/>
  <c r="D94" i="5"/>
  <c r="D156" i="4"/>
  <c r="V241" i="2"/>
  <c r="V242" i="2"/>
  <c r="E166" i="12"/>
  <c r="AD249" i="2"/>
  <c r="T249" i="2"/>
  <c r="X249" i="2"/>
  <c r="W249" i="2"/>
  <c r="AF249" i="2"/>
  <c r="AE249" i="2"/>
  <c r="S249" i="2"/>
  <c r="AC249" i="2"/>
  <c r="Z249" i="2"/>
  <c r="AB250" i="2"/>
  <c r="U261" i="2"/>
  <c r="AC267" i="2"/>
  <c r="B88" i="8"/>
  <c r="U406" i="12"/>
  <c r="U163" i="12"/>
  <c r="AE282" i="2"/>
  <c r="U385" i="12"/>
  <c r="AF301" i="2"/>
  <c r="E427" i="12"/>
  <c r="AD334" i="2"/>
  <c r="T334" i="2"/>
  <c r="AC334" i="2"/>
  <c r="S334" i="2"/>
  <c r="AB334" i="2"/>
  <c r="Z334" i="2"/>
  <c r="Y334" i="2"/>
  <c r="X334" i="2"/>
  <c r="AF334" i="2"/>
  <c r="V334" i="2"/>
  <c r="AG334" i="2"/>
  <c r="AE334" i="2"/>
  <c r="AA334" i="2"/>
  <c r="W334" i="2"/>
  <c r="U345" i="2"/>
  <c r="B26" i="6"/>
  <c r="B30" i="5"/>
  <c r="B52" i="4"/>
  <c r="U157" i="12"/>
  <c r="AA90" i="2"/>
  <c r="B29" i="7"/>
  <c r="B36" i="6"/>
  <c r="B67" i="4"/>
  <c r="U49" i="12"/>
  <c r="E53" i="12"/>
  <c r="D34" i="6"/>
  <c r="D62" i="4"/>
  <c r="AA100" i="2"/>
  <c r="B33" i="6"/>
  <c r="B40" i="5"/>
  <c r="B65" i="4"/>
  <c r="E109" i="12"/>
  <c r="D32" i="7"/>
  <c r="D40" i="6"/>
  <c r="D78" i="4"/>
  <c r="AA109" i="2"/>
  <c r="B38" i="7"/>
  <c r="B49" i="5"/>
  <c r="B80" i="4"/>
  <c r="Y111" i="2"/>
  <c r="E164" i="12"/>
  <c r="D35" i="7"/>
  <c r="D47" i="5"/>
  <c r="D84" i="4"/>
  <c r="AA118" i="2"/>
  <c r="B39" i="7"/>
  <c r="B85" i="4"/>
  <c r="Y120" i="2"/>
  <c r="E111" i="12"/>
  <c r="D46" i="5"/>
  <c r="D74" i="4"/>
  <c r="AA127" i="2"/>
  <c r="Y129" i="2"/>
  <c r="X130" i="2"/>
  <c r="U86" i="12"/>
  <c r="E136" i="12"/>
  <c r="AB136" i="2"/>
  <c r="D50" i="5"/>
  <c r="D81" i="4"/>
  <c r="AA137" i="2"/>
  <c r="Z138" i="2"/>
  <c r="B47" i="7"/>
  <c r="B47" i="6"/>
  <c r="B97" i="4"/>
  <c r="Y139" i="2"/>
  <c r="X140" i="2"/>
  <c r="U121" i="12"/>
  <c r="E117" i="12"/>
  <c r="AB146" i="2"/>
  <c r="D45" i="7"/>
  <c r="D46" i="6"/>
  <c r="D101" i="4"/>
  <c r="AA147" i="2"/>
  <c r="Z148" i="2"/>
  <c r="AA154" i="2"/>
  <c r="Z155" i="2"/>
  <c r="Y156" i="2"/>
  <c r="X157" i="2"/>
  <c r="U223" i="12"/>
  <c r="S161" i="2"/>
  <c r="AC161" i="2"/>
  <c r="E104" i="12"/>
  <c r="AB162" i="2"/>
  <c r="D34" i="7"/>
  <c r="D109" i="4"/>
  <c r="AA163" i="2"/>
  <c r="Z164" i="2"/>
  <c r="AO167" i="2"/>
  <c r="S169" i="2"/>
  <c r="AC169" i="2"/>
  <c r="E82" i="12"/>
  <c r="AB170" i="2"/>
  <c r="D50" i="7"/>
  <c r="D55" i="6"/>
  <c r="D116" i="4"/>
  <c r="AA171" i="2"/>
  <c r="Z172" i="2"/>
  <c r="Y173" i="2"/>
  <c r="X174" i="2"/>
  <c r="U160" i="12"/>
  <c r="V176" i="2"/>
  <c r="AF176" i="2"/>
  <c r="S178" i="2"/>
  <c r="AC178" i="2"/>
  <c r="E102" i="12"/>
  <c r="AB179" i="2"/>
  <c r="AA180" i="2"/>
  <c r="D55" i="7"/>
  <c r="D61" i="6"/>
  <c r="D121" i="4"/>
  <c r="E126" i="12"/>
  <c r="AC182" i="2"/>
  <c r="W184" i="2"/>
  <c r="U145" i="12"/>
  <c r="X186" i="2"/>
  <c r="X187" i="2"/>
  <c r="Y188" i="2"/>
  <c r="AA189" i="2"/>
  <c r="X190" i="2"/>
  <c r="AB190" i="2"/>
  <c r="D57" i="5"/>
  <c r="D110" i="4"/>
  <c r="E116" i="12"/>
  <c r="AD191" i="2"/>
  <c r="W193" i="2"/>
  <c r="B56" i="5"/>
  <c r="B113" i="4"/>
  <c r="AD195" i="2"/>
  <c r="Y197" i="2"/>
  <c r="E407" i="12"/>
  <c r="AE198" i="2"/>
  <c r="Z201" i="2"/>
  <c r="Y201" i="2"/>
  <c r="AE201" i="2"/>
  <c r="AD201" i="2"/>
  <c r="D57" i="7"/>
  <c r="D133" i="4"/>
  <c r="E187" i="12"/>
  <c r="AF203" i="2"/>
  <c r="U147" i="12"/>
  <c r="X207" i="2"/>
  <c r="D72" i="5"/>
  <c r="D117" i="4"/>
  <c r="AC208" i="2"/>
  <c r="S208" i="2"/>
  <c r="AB208" i="2"/>
  <c r="X208" i="2"/>
  <c r="AE208" i="2"/>
  <c r="Y212" i="2"/>
  <c r="X212" i="2"/>
  <c r="AD212" i="2"/>
  <c r="T212" i="2"/>
  <c r="AE212" i="2"/>
  <c r="Y213" i="2"/>
  <c r="AE214" i="2"/>
  <c r="W221" i="2"/>
  <c r="W612" i="12"/>
  <c r="AP222" i="2"/>
  <c r="U273" i="12"/>
  <c r="B71" i="5"/>
  <c r="B125" i="4"/>
  <c r="X230" i="2"/>
  <c r="E301" i="12"/>
  <c r="D65" i="7"/>
  <c r="D91" i="5"/>
  <c r="D153" i="4"/>
  <c r="S236" i="2"/>
  <c r="AB237" i="2"/>
  <c r="Y237" i="2"/>
  <c r="X237" i="2"/>
  <c r="AG237" i="2"/>
  <c r="W237" i="2"/>
  <c r="AD237" i="2"/>
  <c r="T237" i="2"/>
  <c r="Y240" i="2"/>
  <c r="X241" i="2"/>
  <c r="X242" i="2"/>
  <c r="D69" i="5"/>
  <c r="D131" i="4"/>
  <c r="V243" i="2"/>
  <c r="U316" i="12"/>
  <c r="AD250" i="2"/>
  <c r="E139" i="12"/>
  <c r="AE288" i="2"/>
  <c r="U263" i="12"/>
  <c r="V325" i="2"/>
  <c r="T325" i="2"/>
  <c r="AE325" i="2"/>
  <c r="D41" i="7"/>
  <c r="D54" i="5"/>
  <c r="D95" i="4"/>
  <c r="AA138" i="2"/>
  <c r="B46" i="7"/>
  <c r="B98" i="4"/>
  <c r="U88" i="12"/>
  <c r="E125" i="12"/>
  <c r="AA148" i="2"/>
  <c r="U105" i="12"/>
  <c r="E328" i="12"/>
  <c r="AA155" i="2"/>
  <c r="U243" i="12"/>
  <c r="T161" i="2"/>
  <c r="AD161" i="2"/>
  <c r="S162" i="2"/>
  <c r="E67" i="12"/>
  <c r="D48" i="7"/>
  <c r="D111" i="4"/>
  <c r="AA164" i="2"/>
  <c r="U197" i="12"/>
  <c r="AP167" i="2"/>
  <c r="T169" i="2"/>
  <c r="AD169" i="2"/>
  <c r="S170" i="2"/>
  <c r="E170" i="12"/>
  <c r="AA172" i="2"/>
  <c r="B41" i="6"/>
  <c r="B58" i="5"/>
  <c r="B106" i="4"/>
  <c r="U108" i="12"/>
  <c r="W176" i="2"/>
  <c r="AG176" i="2"/>
  <c r="T178" i="2"/>
  <c r="AD178" i="2"/>
  <c r="S179" i="2"/>
  <c r="E250" i="12"/>
  <c r="D49" i="6"/>
  <c r="D115" i="4"/>
  <c r="AG181" i="2"/>
  <c r="W181" i="2"/>
  <c r="AB181" i="2"/>
  <c r="X184" i="2"/>
  <c r="B68" i="5"/>
  <c r="B108" i="4"/>
  <c r="AB189" i="2"/>
  <c r="E244" i="12"/>
  <c r="S191" i="2"/>
  <c r="X193" i="2"/>
  <c r="S195" i="2"/>
  <c r="W196" i="2"/>
  <c r="U341" i="12"/>
  <c r="E281" i="12"/>
  <c r="AE206" i="2"/>
  <c r="AD206" i="2"/>
  <c r="T206" i="2"/>
  <c r="Z206" i="2"/>
  <c r="AF206" i="2"/>
  <c r="Z207" i="2"/>
  <c r="V209" i="2"/>
  <c r="B118" i="4"/>
  <c r="B73" i="5"/>
  <c r="E191" i="12"/>
  <c r="Z213" i="2"/>
  <c r="U305" i="12"/>
  <c r="AD217" i="2"/>
  <c r="T217" i="2"/>
  <c r="AC217" i="2"/>
  <c r="S217" i="2"/>
  <c r="Y217" i="2"/>
  <c r="AF217" i="2"/>
  <c r="AC219" i="2"/>
  <c r="Z221" i="2"/>
  <c r="AE224" i="2"/>
  <c r="AD224" i="2"/>
  <c r="T224" i="2"/>
  <c r="Z224" i="2"/>
  <c r="AF224" i="2"/>
  <c r="X229" i="2"/>
  <c r="AG229" i="2"/>
  <c r="W229" i="2"/>
  <c r="AC229" i="2"/>
  <c r="S229" i="2"/>
  <c r="AE229" i="2"/>
  <c r="Y230" i="2"/>
  <c r="S231" i="2"/>
  <c r="U301" i="12"/>
  <c r="AO234" i="2"/>
  <c r="T236" i="2"/>
  <c r="AA240" i="2"/>
  <c r="Z241" i="2"/>
  <c r="W243" i="2"/>
  <c r="AF247" i="2"/>
  <c r="V247" i="2"/>
  <c r="AD247" i="2"/>
  <c r="S247" i="2"/>
  <c r="AC247" i="2"/>
  <c r="AA247" i="2"/>
  <c r="Z247" i="2"/>
  <c r="Y247" i="2"/>
  <c r="AG247" i="2"/>
  <c r="U252" i="2"/>
  <c r="Y253" i="2"/>
  <c r="AA253" i="2"/>
  <c r="Z253" i="2"/>
  <c r="X253" i="2"/>
  <c r="W253" i="2"/>
  <c r="AG253" i="2"/>
  <c r="V253" i="2"/>
  <c r="AF253" i="2"/>
  <c r="AC253" i="2"/>
  <c r="X276" i="2"/>
  <c r="W276" i="2"/>
  <c r="T276" i="2"/>
  <c r="S276" i="2"/>
  <c r="E385" i="12"/>
  <c r="Z290" i="2"/>
  <c r="Y290" i="2"/>
  <c r="AF290" i="2"/>
  <c r="V290" i="2"/>
  <c r="AE290" i="2"/>
  <c r="AB290" i="2"/>
  <c r="AA290" i="2"/>
  <c r="X290" i="2"/>
  <c r="W290" i="2"/>
  <c r="T290" i="2"/>
  <c r="S290" i="2"/>
  <c r="AC290" i="2"/>
  <c r="W291" i="2"/>
  <c r="V291" i="2"/>
  <c r="B97" i="8"/>
  <c r="AD305" i="2"/>
  <c r="T305" i="2"/>
  <c r="AC305" i="2"/>
  <c r="S305" i="2"/>
  <c r="Z305" i="2"/>
  <c r="Y305" i="2"/>
  <c r="AE305" i="2"/>
  <c r="AB305" i="2"/>
  <c r="AA305" i="2"/>
  <c r="X305" i="2"/>
  <c r="W305" i="2"/>
  <c r="V305" i="2"/>
  <c r="AF305" i="2"/>
  <c r="U209" i="12"/>
  <c r="E218" i="12"/>
  <c r="D38" i="7"/>
  <c r="D49" i="5"/>
  <c r="D80" i="4"/>
  <c r="AA111" i="2"/>
  <c r="U90" i="12"/>
  <c r="E195" i="12"/>
  <c r="D39" i="7"/>
  <c r="D85" i="4"/>
  <c r="AA120" i="2"/>
  <c r="U221" i="12"/>
  <c r="E217" i="12"/>
  <c r="AA129" i="2"/>
  <c r="Z130" i="2"/>
  <c r="B33" i="7"/>
  <c r="B92" i="4"/>
  <c r="U208" i="12"/>
  <c r="T136" i="2"/>
  <c r="AD136" i="2"/>
  <c r="S137" i="2"/>
  <c r="AC137" i="2"/>
  <c r="E78" i="12"/>
  <c r="AB138" i="2"/>
  <c r="D47" i="7"/>
  <c r="D47" i="6"/>
  <c r="D97" i="4"/>
  <c r="AA139" i="2"/>
  <c r="Z140" i="2"/>
  <c r="B42" i="6"/>
  <c r="B59" i="5"/>
  <c r="B89" i="4"/>
  <c r="U193" i="12"/>
  <c r="T146" i="2"/>
  <c r="AD146" i="2"/>
  <c r="S147" i="2"/>
  <c r="AC147" i="2"/>
  <c r="E278" i="12"/>
  <c r="AB148" i="2"/>
  <c r="W647" i="12"/>
  <c r="B48" i="5"/>
  <c r="B90" i="4"/>
  <c r="S154" i="2"/>
  <c r="AC154" i="2"/>
  <c r="E219" i="12"/>
  <c r="AB155" i="2"/>
  <c r="AA156" i="2"/>
  <c r="Z157" i="2"/>
  <c r="U310" i="12"/>
  <c r="AE161" i="2"/>
  <c r="T162" i="2"/>
  <c r="AD162" i="2"/>
  <c r="S163" i="2"/>
  <c r="AC163" i="2"/>
  <c r="E140" i="12"/>
  <c r="AB164" i="2"/>
  <c r="W629" i="12"/>
  <c r="AE169" i="2"/>
  <c r="T170" i="2"/>
  <c r="AD170" i="2"/>
  <c r="S171" i="2"/>
  <c r="AC171" i="2"/>
  <c r="E211" i="12"/>
  <c r="AB172" i="2"/>
  <c r="AA173" i="2"/>
  <c r="Z174" i="2"/>
  <c r="B56" i="6"/>
  <c r="B107" i="4"/>
  <c r="X176" i="2"/>
  <c r="U384" i="12"/>
  <c r="AE178" i="2"/>
  <c r="T179" i="2"/>
  <c r="AD179" i="2"/>
  <c r="S180" i="2"/>
  <c r="AC180" i="2"/>
  <c r="E149" i="12"/>
  <c r="AC181" i="2"/>
  <c r="T182" i="2"/>
  <c r="AE182" i="2"/>
  <c r="U297" i="12"/>
  <c r="Y184" i="2"/>
  <c r="Z186" i="2"/>
  <c r="AB188" i="2"/>
  <c r="D56" i="7"/>
  <c r="D76" i="5"/>
  <c r="D126" i="4"/>
  <c r="E155" i="12"/>
  <c r="AC189" i="2"/>
  <c r="S190" i="2"/>
  <c r="T191" i="2"/>
  <c r="AF191" i="2"/>
  <c r="Z193" i="2"/>
  <c r="D56" i="5"/>
  <c r="D113" i="4"/>
  <c r="X194" i="2"/>
  <c r="AC194" i="2"/>
  <c r="S194" i="2"/>
  <c r="AD194" i="2"/>
  <c r="T195" i="2"/>
  <c r="AF195" i="2"/>
  <c r="X196" i="2"/>
  <c r="AG198" i="2"/>
  <c r="U201" i="2"/>
  <c r="B53" i="7"/>
  <c r="B136" i="4"/>
  <c r="E177" i="12"/>
  <c r="AG206" i="2"/>
  <c r="AA207" i="2"/>
  <c r="E118" i="12"/>
  <c r="D64" i="7"/>
  <c r="D138" i="4"/>
  <c r="AA213" i="2"/>
  <c r="T214" i="2"/>
  <c r="V215" i="2"/>
  <c r="AE215" i="2"/>
  <c r="AC215" i="2"/>
  <c r="E167" i="12"/>
  <c r="AG217" i="2"/>
  <c r="AA221" i="2"/>
  <c r="B63" i="6"/>
  <c r="B132" i="4"/>
  <c r="E124" i="12"/>
  <c r="AG224" i="2"/>
  <c r="AC226" i="2"/>
  <c r="U227" i="2"/>
  <c r="U394" i="12"/>
  <c r="D71" i="5"/>
  <c r="D125" i="4"/>
  <c r="E174" i="12"/>
  <c r="AF229" i="2"/>
  <c r="Z230" i="2"/>
  <c r="T231" i="2"/>
  <c r="AE232" i="2"/>
  <c r="AD232" i="2"/>
  <c r="T232" i="2"/>
  <c r="AC232" i="2"/>
  <c r="S232" i="2"/>
  <c r="Z232" i="2"/>
  <c r="U309" i="12"/>
  <c r="V236" i="2"/>
  <c r="AB240" i="2"/>
  <c r="AA241" i="2"/>
  <c r="Y243" i="2"/>
  <c r="Y249" i="2"/>
  <c r="AD258" i="2"/>
  <c r="T258" i="2"/>
  <c r="Y258" i="2"/>
  <c r="X258" i="2"/>
  <c r="W258" i="2"/>
  <c r="AG258" i="2"/>
  <c r="V258" i="2"/>
  <c r="AF258" i="2"/>
  <c r="AE258" i="2"/>
  <c r="S258" i="2"/>
  <c r="AA258" i="2"/>
  <c r="X266" i="2"/>
  <c r="AE266" i="2"/>
  <c r="T266" i="2"/>
  <c r="E433" i="12"/>
  <c r="U322" i="2"/>
  <c r="U392" i="12"/>
  <c r="W653" i="12"/>
  <c r="B38" i="6"/>
  <c r="B75" i="4"/>
  <c r="U84" i="12"/>
  <c r="E103" i="12"/>
  <c r="W643" i="12"/>
  <c r="U52" i="12"/>
  <c r="E186" i="12"/>
  <c r="D31" i="6"/>
  <c r="D79" i="4"/>
  <c r="AA130" i="2"/>
  <c r="U77" i="12"/>
  <c r="AE136" i="2"/>
  <c r="S138" i="2"/>
  <c r="AC138" i="2"/>
  <c r="E128" i="12"/>
  <c r="D46" i="7"/>
  <c r="D98" i="4"/>
  <c r="AA140" i="2"/>
  <c r="U95" i="12"/>
  <c r="AE146" i="2"/>
  <c r="S148" i="2"/>
  <c r="AC148" i="2"/>
  <c r="S155" i="2"/>
  <c r="AC155" i="2"/>
  <c r="E275" i="12"/>
  <c r="AA157" i="2"/>
  <c r="V161" i="2"/>
  <c r="AF161" i="2"/>
  <c r="AE162" i="2"/>
  <c r="S164" i="2"/>
  <c r="AC164" i="2"/>
  <c r="V169" i="2"/>
  <c r="AF169" i="2"/>
  <c r="AE170" i="2"/>
  <c r="S172" i="2"/>
  <c r="AC172" i="2"/>
  <c r="E282" i="12"/>
  <c r="D41" i="6"/>
  <c r="D58" i="5"/>
  <c r="D106" i="4"/>
  <c r="AA174" i="2"/>
  <c r="Y176" i="2"/>
  <c r="V178" i="2"/>
  <c r="AF178" i="2"/>
  <c r="AE179" i="2"/>
  <c r="S181" i="2"/>
  <c r="AD181" i="2"/>
  <c r="AG182" i="2"/>
  <c r="Z184" i="2"/>
  <c r="AA186" i="2"/>
  <c r="E312" i="12"/>
  <c r="S189" i="2"/>
  <c r="AD189" i="2"/>
  <c r="T190" i="2"/>
  <c r="U116" i="12"/>
  <c r="AA193" i="2"/>
  <c r="E119" i="12"/>
  <c r="U299" i="12"/>
  <c r="B58" i="7"/>
  <c r="B128" i="4"/>
  <c r="AE197" i="2"/>
  <c r="Z197" i="2"/>
  <c r="AC197" i="2"/>
  <c r="V198" i="2"/>
  <c r="U407" i="12"/>
  <c r="U281" i="12"/>
  <c r="V203" i="2"/>
  <c r="B44" i="7"/>
  <c r="B63" i="5"/>
  <c r="B134" i="4"/>
  <c r="AG204" i="2"/>
  <c r="W204" i="2"/>
  <c r="AF204" i="2"/>
  <c r="V204" i="2"/>
  <c r="AB204" i="2"/>
  <c r="AD204" i="2"/>
  <c r="D53" i="7"/>
  <c r="D136" i="4"/>
  <c r="S206" i="2"/>
  <c r="U177" i="12"/>
  <c r="AB207" i="2"/>
  <c r="AB213" i="2"/>
  <c r="B71" i="8"/>
  <c r="D59" i="7"/>
  <c r="D65" i="6"/>
  <c r="D143" i="4"/>
  <c r="U167" i="12"/>
  <c r="AE219" i="2"/>
  <c r="AQ220" i="2"/>
  <c r="AB221" i="2"/>
  <c r="D63" i="6"/>
  <c r="D132" i="4"/>
  <c r="S224" i="2"/>
  <c r="U124" i="12"/>
  <c r="W614" i="12"/>
  <c r="AN228" i="2"/>
  <c r="T229" i="2"/>
  <c r="AA230" i="2"/>
  <c r="W231" i="2"/>
  <c r="B55" i="8"/>
  <c r="E309" i="12"/>
  <c r="W236" i="2"/>
  <c r="D60" i="7"/>
  <c r="D154" i="4"/>
  <c r="AF240" i="2"/>
  <c r="AF241" i="2"/>
  <c r="AB243" i="2"/>
  <c r="E212" i="12"/>
  <c r="T247" i="2"/>
  <c r="AA249" i="2"/>
  <c r="B62" i="6"/>
  <c r="B146" i="4"/>
  <c r="S253" i="2"/>
  <c r="U288" i="12"/>
  <c r="E146" i="12"/>
  <c r="U206" i="12"/>
  <c r="E406" i="12"/>
  <c r="B86" i="5"/>
  <c r="B148" i="4"/>
  <c r="AG284" i="2"/>
  <c r="W284" i="2"/>
  <c r="AF284" i="2"/>
  <c r="V284" i="2"/>
  <c r="AB284" i="2"/>
  <c r="AA284" i="2"/>
  <c r="Z284" i="2"/>
  <c r="Y284" i="2"/>
  <c r="X284" i="2"/>
  <c r="T284" i="2"/>
  <c r="S284" i="2"/>
  <c r="AC284" i="2"/>
  <c r="AD290" i="2"/>
  <c r="AG305" i="2"/>
  <c r="U32" i="12"/>
  <c r="E18" i="12"/>
  <c r="E34" i="12"/>
  <c r="W655" i="12"/>
  <c r="B11" i="5"/>
  <c r="B28" i="4"/>
  <c r="U129" i="12"/>
  <c r="E55" i="12"/>
  <c r="D14" i="7"/>
  <c r="D15" i="6"/>
  <c r="D49" i="4"/>
  <c r="B19" i="5"/>
  <c r="B34" i="4"/>
  <c r="U48" i="12"/>
  <c r="U50" i="12"/>
  <c r="B26" i="7"/>
  <c r="B30" i="6"/>
  <c r="B60" i="4"/>
  <c r="U24" i="12"/>
  <c r="E157" i="12"/>
  <c r="U89" i="12"/>
  <c r="E49" i="12"/>
  <c r="D33" i="5"/>
  <c r="D53" i="4"/>
  <c r="B38" i="5"/>
  <c r="B57" i="4"/>
  <c r="U83" i="12"/>
  <c r="U134" i="12"/>
  <c r="S111" i="2"/>
  <c r="AK112" i="2"/>
  <c r="B44" i="5"/>
  <c r="B69" i="4"/>
  <c r="U192" i="12"/>
  <c r="S120" i="2"/>
  <c r="AK121" i="2"/>
  <c r="B41" i="5"/>
  <c r="B70" i="4"/>
  <c r="U73" i="12"/>
  <c r="S129" i="2"/>
  <c r="E86" i="12"/>
  <c r="D33" i="7"/>
  <c r="D92" i="4"/>
  <c r="B43" i="5"/>
  <c r="B77" i="4"/>
  <c r="U75" i="12"/>
  <c r="V136" i="2"/>
  <c r="T138" i="2"/>
  <c r="S139" i="2"/>
  <c r="E121" i="12"/>
  <c r="D42" i="6"/>
  <c r="D59" i="5"/>
  <c r="D89" i="4"/>
  <c r="B55" i="5"/>
  <c r="B86" i="4"/>
  <c r="U185" i="12"/>
  <c r="V146" i="2"/>
  <c r="T148" i="2"/>
  <c r="AL149" i="2"/>
  <c r="D48" i="5"/>
  <c r="D90" i="4"/>
  <c r="U113" i="12"/>
  <c r="T155" i="2"/>
  <c r="S156" i="2"/>
  <c r="E223" i="12"/>
  <c r="W161" i="2"/>
  <c r="V162" i="2"/>
  <c r="T164" i="2"/>
  <c r="AL165" i="2"/>
  <c r="U194" i="12"/>
  <c r="W169" i="2"/>
  <c r="V170" i="2"/>
  <c r="T172" i="2"/>
  <c r="S173" i="2"/>
  <c r="E160" i="12"/>
  <c r="D56" i="6"/>
  <c r="D107" i="4"/>
  <c r="W178" i="2"/>
  <c r="V179" i="2"/>
  <c r="T181" i="2"/>
  <c r="AE181" i="2"/>
  <c r="W182" i="2"/>
  <c r="U126" i="12"/>
  <c r="B49" i="7"/>
  <c r="B53" i="6"/>
  <c r="B123" i="4"/>
  <c r="AA184" i="2"/>
  <c r="AC185" i="2"/>
  <c r="S185" i="2"/>
  <c r="AB185" i="2"/>
  <c r="AC186" i="2"/>
  <c r="E127" i="12"/>
  <c r="S188" i="2"/>
  <c r="AD188" i="2"/>
  <c r="T189" i="2"/>
  <c r="AE189" i="2"/>
  <c r="AF190" i="2"/>
  <c r="V191" i="2"/>
  <c r="AB193" i="2"/>
  <c r="T194" i="2"/>
  <c r="AF194" i="2"/>
  <c r="V195" i="2"/>
  <c r="D58" i="7"/>
  <c r="D128" i="4"/>
  <c r="E183" i="12"/>
  <c r="AD197" i="2"/>
  <c r="W198" i="2"/>
  <c r="B75" i="5"/>
  <c r="B59" i="6"/>
  <c r="B119" i="4"/>
  <c r="V201" i="2"/>
  <c r="Y202" i="2"/>
  <c r="X202" i="2"/>
  <c r="AD202" i="2"/>
  <c r="T202" i="2"/>
  <c r="AE202" i="2"/>
  <c r="Y203" i="2"/>
  <c r="AE204" i="2"/>
  <c r="V206" i="2"/>
  <c r="AE207" i="2"/>
  <c r="V208" i="2"/>
  <c r="V212" i="2"/>
  <c r="B61" i="7"/>
  <c r="B139" i="4"/>
  <c r="AD213" i="2"/>
  <c r="X214" i="2"/>
  <c r="E383" i="12"/>
  <c r="V217" i="2"/>
  <c r="AC221" i="2"/>
  <c r="AO222" i="2"/>
  <c r="V224" i="2"/>
  <c r="AK228" i="2"/>
  <c r="AC230" i="2"/>
  <c r="X231" i="2"/>
  <c r="V232" i="2"/>
  <c r="AD233" i="2"/>
  <c r="T233" i="2"/>
  <c r="AC233" i="2"/>
  <c r="S233" i="2"/>
  <c r="AB233" i="2"/>
  <c r="Y233" i="2"/>
  <c r="AG233" i="2"/>
  <c r="AA236" i="2"/>
  <c r="V237" i="2"/>
  <c r="AE239" i="2"/>
  <c r="T239" i="2"/>
  <c r="AG240" i="2"/>
  <c r="AG241" i="2"/>
  <c r="AC243" i="2"/>
  <c r="V244" i="2"/>
  <c r="AE244" i="2"/>
  <c r="T244" i="2"/>
  <c r="X245" i="2"/>
  <c r="AA245" i="2"/>
  <c r="Z245" i="2"/>
  <c r="W245" i="2"/>
  <c r="AG245" i="2"/>
  <c r="V245" i="2"/>
  <c r="AF245" i="2"/>
  <c r="AC245" i="2"/>
  <c r="W247" i="2"/>
  <c r="AB249" i="2"/>
  <c r="T253" i="2"/>
  <c r="V257" i="2"/>
  <c r="T257" i="2"/>
  <c r="Z258" i="2"/>
  <c r="X259" i="2"/>
  <c r="W259" i="2"/>
  <c r="V259" i="2"/>
  <c r="D76" i="7"/>
  <c r="D79" i="6"/>
  <c r="D103" i="5"/>
  <c r="D172" i="4"/>
  <c r="AG290" i="2"/>
  <c r="U299" i="2"/>
  <c r="B109" i="8"/>
  <c r="E261" i="12"/>
  <c r="D68" i="5"/>
  <c r="D108" i="4"/>
  <c r="B56" i="7"/>
  <c r="B76" i="5"/>
  <c r="B126" i="4"/>
  <c r="U244" i="12"/>
  <c r="E299" i="12"/>
  <c r="V200" i="2"/>
  <c r="AF200" i="2"/>
  <c r="E123" i="12"/>
  <c r="D54" i="7"/>
  <c r="D135" i="4"/>
  <c r="B48" i="6"/>
  <c r="B122" i="4"/>
  <c r="U144" i="12"/>
  <c r="W209" i="2"/>
  <c r="AG209" i="2"/>
  <c r="V210" i="2"/>
  <c r="AF210" i="2"/>
  <c r="E305" i="12"/>
  <c r="B59" i="7"/>
  <c r="B65" i="6"/>
  <c r="B143" i="4"/>
  <c r="U284" i="12"/>
  <c r="W219" i="2"/>
  <c r="AG219" i="2"/>
  <c r="W226" i="2"/>
  <c r="AG226" i="2"/>
  <c r="V227" i="2"/>
  <c r="AF227" i="2"/>
  <c r="E216" i="12"/>
  <c r="AA231" i="2"/>
  <c r="B82" i="5"/>
  <c r="B127" i="4"/>
  <c r="V235" i="2"/>
  <c r="AF235" i="2"/>
  <c r="AL238" i="2"/>
  <c r="D66" i="7"/>
  <c r="D93" i="5"/>
  <c r="D155" i="4"/>
  <c r="AA239" i="2"/>
  <c r="B67" i="7"/>
  <c r="B94" i="5"/>
  <c r="B156" i="4"/>
  <c r="B61" i="5"/>
  <c r="B130" i="4"/>
  <c r="B69" i="5"/>
  <c r="B131" i="4"/>
  <c r="AB244" i="2"/>
  <c r="E153" i="12"/>
  <c r="S246" i="2"/>
  <c r="AD246" i="2"/>
  <c r="W645" i="12"/>
  <c r="AK251" i="2"/>
  <c r="D62" i="6"/>
  <c r="D146" i="4"/>
  <c r="AB252" i="2"/>
  <c r="D52" i="6"/>
  <c r="D147" i="4"/>
  <c r="E159" i="12"/>
  <c r="S254" i="2"/>
  <c r="AD254" i="2"/>
  <c r="T255" i="2"/>
  <c r="AE255" i="2"/>
  <c r="U176" i="12"/>
  <c r="B57" i="6"/>
  <c r="B149" i="4"/>
  <c r="D69" i="7"/>
  <c r="D71" i="6"/>
  <c r="D169" i="4"/>
  <c r="AC259" i="2"/>
  <c r="S259" i="2"/>
  <c r="AB259" i="2"/>
  <c r="AC260" i="2"/>
  <c r="E420" i="12"/>
  <c r="AC261" i="2"/>
  <c r="S262" i="2"/>
  <c r="AD262" i="2"/>
  <c r="T263" i="2"/>
  <c r="AE263" i="2"/>
  <c r="AF264" i="2"/>
  <c r="U162" i="12"/>
  <c r="B92" i="8"/>
  <c r="D75" i="6"/>
  <c r="D100" i="5"/>
  <c r="D157" i="4"/>
  <c r="E262" i="12"/>
  <c r="AC268" i="2"/>
  <c r="T269" i="2"/>
  <c r="AE269" i="2"/>
  <c r="T270" i="2"/>
  <c r="AE270" i="2"/>
  <c r="T271" i="2"/>
  <c r="AE271" i="2"/>
  <c r="AF272" i="2"/>
  <c r="E206" i="12"/>
  <c r="AE275" i="2"/>
  <c r="W277" i="2"/>
  <c r="AD278" i="2"/>
  <c r="T278" i="2"/>
  <c r="AC278" i="2"/>
  <c r="S278" i="2"/>
  <c r="Y278" i="2"/>
  <c r="AF278" i="2"/>
  <c r="AR279" i="2"/>
  <c r="D64" i="6"/>
  <c r="D79" i="5"/>
  <c r="D163" i="4"/>
  <c r="S281" i="2"/>
  <c r="AG281" i="2"/>
  <c r="X285" i="2"/>
  <c r="AD287" i="2"/>
  <c r="T287" i="2"/>
  <c r="AC287" i="2"/>
  <c r="S287" i="2"/>
  <c r="Z287" i="2"/>
  <c r="Y287" i="2"/>
  <c r="AG287" i="2"/>
  <c r="E318" i="12"/>
  <c r="U318" i="12"/>
  <c r="Y300" i="2"/>
  <c r="X300" i="2"/>
  <c r="AE300" i="2"/>
  <c r="AD300" i="2"/>
  <c r="T300" i="2"/>
  <c r="AG300" i="2"/>
  <c r="B83" i="7"/>
  <c r="B89" i="6"/>
  <c r="B182" i="4"/>
  <c r="E269" i="12"/>
  <c r="U269" i="12"/>
  <c r="S309" i="2"/>
  <c r="D77" i="5"/>
  <c r="D165" i="4"/>
  <c r="W310" i="2"/>
  <c r="V311" i="2"/>
  <c r="T312" i="2"/>
  <c r="Z318" i="2"/>
  <c r="Y318" i="2"/>
  <c r="AF318" i="2"/>
  <c r="V318" i="2"/>
  <c r="AE318" i="2"/>
  <c r="AD318" i="2"/>
  <c r="T318" i="2"/>
  <c r="E307" i="12"/>
  <c r="X339" i="2"/>
  <c r="AG339" i="2"/>
  <c r="W339" i="2"/>
  <c r="AF339" i="2"/>
  <c r="V339" i="2"/>
  <c r="AE339" i="2"/>
  <c r="AD339" i="2"/>
  <c r="T339" i="2"/>
  <c r="AC339" i="2"/>
  <c r="S339" i="2"/>
  <c r="AB339" i="2"/>
  <c r="Z339" i="2"/>
  <c r="B90" i="6"/>
  <c r="B192" i="4"/>
  <c r="U325" i="12"/>
  <c r="X359" i="2"/>
  <c r="AG359" i="2"/>
  <c r="W359" i="2"/>
  <c r="AF359" i="2"/>
  <c r="V359" i="2"/>
  <c r="AE359" i="2"/>
  <c r="AD359" i="2"/>
  <c r="T359" i="2"/>
  <c r="AC359" i="2"/>
  <c r="S359" i="2"/>
  <c r="AB359" i="2"/>
  <c r="Z359" i="2"/>
  <c r="B137" i="8"/>
  <c r="U276" i="12"/>
  <c r="B143" i="8"/>
  <c r="W392" i="2"/>
  <c r="V392" i="2"/>
  <c r="AE392" i="2"/>
  <c r="T392" i="2"/>
  <c r="S392" i="2"/>
  <c r="AC392" i="2"/>
  <c r="AE398" i="2"/>
  <c r="AD398" i="2"/>
  <c r="T398" i="2"/>
  <c r="U398" i="2" s="1"/>
  <c r="AB398" i="2"/>
  <c r="AA398" i="2"/>
  <c r="Z398" i="2"/>
  <c r="Y398" i="2"/>
  <c r="X398" i="2"/>
  <c r="W398" i="2"/>
  <c r="V398" i="2"/>
  <c r="AF398" i="2"/>
  <c r="X401" i="2"/>
  <c r="W401" i="2"/>
  <c r="V401" i="2"/>
  <c r="T401" i="2"/>
  <c r="AE401" i="2"/>
  <c r="S401" i="2"/>
  <c r="AC401" i="2"/>
  <c r="B97" i="6"/>
  <c r="B219" i="4"/>
  <c r="W409" i="2"/>
  <c r="V409" i="2"/>
  <c r="U374" i="2"/>
  <c r="U542" i="12"/>
  <c r="E519" i="12"/>
  <c r="AE360" i="2"/>
  <c r="T360" i="2"/>
  <c r="AE370" i="2"/>
  <c r="T370" i="2"/>
  <c r="X395" i="2"/>
  <c r="AA395" i="2"/>
  <c r="Z395" i="2"/>
  <c r="Y395" i="2"/>
  <c r="W395" i="2"/>
  <c r="AG395" i="2"/>
  <c r="V395" i="2"/>
  <c r="AF395" i="2"/>
  <c r="AE395" i="2"/>
  <c r="T395" i="2"/>
  <c r="AC395" i="2"/>
  <c r="U336" i="12"/>
  <c r="E172" i="12"/>
  <c r="W623" i="12"/>
  <c r="B52" i="7"/>
  <c r="B151" i="4"/>
  <c r="U205" i="12"/>
  <c r="AO238" i="2"/>
  <c r="E182" i="12"/>
  <c r="E133" i="12"/>
  <c r="V246" i="2"/>
  <c r="U212" i="12"/>
  <c r="B82" i="8"/>
  <c r="E443" i="12"/>
  <c r="V254" i="2"/>
  <c r="AG254" i="2"/>
  <c r="X255" i="2"/>
  <c r="AE257" i="2"/>
  <c r="AB257" i="2"/>
  <c r="AF260" i="2"/>
  <c r="W263" i="2"/>
  <c r="U441" i="12"/>
  <c r="Y264" i="2"/>
  <c r="AF266" i="2"/>
  <c r="V266" i="2"/>
  <c r="AB266" i="2"/>
  <c r="V268" i="2"/>
  <c r="AG268" i="2"/>
  <c r="U154" i="12"/>
  <c r="W270" i="2"/>
  <c r="U131" i="12"/>
  <c r="W271" i="2"/>
  <c r="U552" i="12"/>
  <c r="X272" i="2"/>
  <c r="X274" i="2"/>
  <c r="AG274" i="2"/>
  <c r="W274" i="2"/>
  <c r="AC274" i="2"/>
  <c r="B99" i="8"/>
  <c r="AA277" i="2"/>
  <c r="V278" i="2"/>
  <c r="E179" i="12"/>
  <c r="E260" i="12"/>
  <c r="Z283" i="2"/>
  <c r="U329" i="12"/>
  <c r="AC288" i="2"/>
  <c r="S288" i="2"/>
  <c r="AB288" i="2"/>
  <c r="Y288" i="2"/>
  <c r="X288" i="2"/>
  <c r="AF288" i="2"/>
  <c r="E224" i="12"/>
  <c r="U224" i="12"/>
  <c r="Y291" i="2"/>
  <c r="X291" i="2"/>
  <c r="AE291" i="2"/>
  <c r="AD291" i="2"/>
  <c r="T291" i="2"/>
  <c r="AG291" i="2"/>
  <c r="B78" i="6"/>
  <c r="B102" i="5"/>
  <c r="B167" i="4"/>
  <c r="E178" i="12"/>
  <c r="U178" i="12"/>
  <c r="Z296" i="2"/>
  <c r="W299" i="2"/>
  <c r="V300" i="2"/>
  <c r="E366" i="12"/>
  <c r="AC306" i="2"/>
  <c r="S306" i="2"/>
  <c r="AB306" i="2"/>
  <c r="Y306" i="2"/>
  <c r="X306" i="2"/>
  <c r="AG306" i="2"/>
  <c r="W306" i="2"/>
  <c r="X307" i="2"/>
  <c r="V307" i="2"/>
  <c r="AE307" i="2"/>
  <c r="AA309" i="2"/>
  <c r="AB310" i="2"/>
  <c r="AA311" i="2"/>
  <c r="Z319" i="2"/>
  <c r="Y320" i="2"/>
  <c r="E241" i="12"/>
  <c r="U241" i="12"/>
  <c r="AD324" i="2"/>
  <c r="T324" i="2"/>
  <c r="AC324" i="2"/>
  <c r="S324" i="2"/>
  <c r="AB324" i="2"/>
  <c r="Z324" i="2"/>
  <c r="Y324" i="2"/>
  <c r="X324" i="2"/>
  <c r="AC325" i="2"/>
  <c r="E452" i="12"/>
  <c r="AA330" i="2"/>
  <c r="B92" i="6"/>
  <c r="B186" i="4"/>
  <c r="U332" i="2"/>
  <c r="E504" i="12"/>
  <c r="U504" i="12"/>
  <c r="AQ337" i="2"/>
  <c r="B84" i="6"/>
  <c r="B105" i="5"/>
  <c r="B191" i="4"/>
  <c r="E346" i="12"/>
  <c r="B114" i="8"/>
  <c r="U365" i="2"/>
  <c r="E228" i="12"/>
  <c r="E233" i="12"/>
  <c r="E368" i="12"/>
  <c r="E213" i="12"/>
  <c r="X392" i="2"/>
  <c r="AC394" i="2"/>
  <c r="AC398" i="2"/>
  <c r="E359" i="12"/>
  <c r="AC410" i="2"/>
  <c r="S410" i="2"/>
  <c r="AB410" i="2"/>
  <c r="AA410" i="2"/>
  <c r="Z410" i="2"/>
  <c r="Y410" i="2"/>
  <c r="X410" i="2"/>
  <c r="W410" i="2"/>
  <c r="V410" i="2"/>
  <c r="AG410" i="2"/>
  <c r="AE410" i="2"/>
  <c r="D105" i="6"/>
  <c r="D129" i="5"/>
  <c r="D226" i="4"/>
  <c r="U143" i="12"/>
  <c r="E144" i="12"/>
  <c r="AA209" i="2"/>
  <c r="B87" i="5"/>
  <c r="B62" i="7"/>
  <c r="B137" i="4"/>
  <c r="U191" i="12"/>
  <c r="E284" i="12"/>
  <c r="AA219" i="2"/>
  <c r="U120" i="12"/>
  <c r="AA226" i="2"/>
  <c r="AK234" i="2"/>
  <c r="B65" i="7"/>
  <c r="B91" i="5"/>
  <c r="B153" i="4"/>
  <c r="U201" i="12"/>
  <c r="X246" i="2"/>
  <c r="AE248" i="2"/>
  <c r="AB248" i="2"/>
  <c r="W254" i="2"/>
  <c r="Y255" i="2"/>
  <c r="B90" i="5"/>
  <c r="B140" i="4"/>
  <c r="E399" i="12"/>
  <c r="AC257" i="2"/>
  <c r="V260" i="2"/>
  <c r="AG260" i="2"/>
  <c r="V261" i="2"/>
  <c r="W262" i="2"/>
  <c r="U199" i="12"/>
  <c r="X263" i="2"/>
  <c r="Z264" i="2"/>
  <c r="B67" i="6"/>
  <c r="B152" i="4"/>
  <c r="E375" i="12"/>
  <c r="AC266" i="2"/>
  <c r="W268" i="2"/>
  <c r="U262" i="12"/>
  <c r="X269" i="2"/>
  <c r="X270" i="2"/>
  <c r="X271" i="2"/>
  <c r="Y272" i="2"/>
  <c r="E391" i="12"/>
  <c r="AD274" i="2"/>
  <c r="X275" i="2"/>
  <c r="E500" i="12"/>
  <c r="AB277" i="2"/>
  <c r="W278" i="2"/>
  <c r="X281" i="2"/>
  <c r="D73" i="7"/>
  <c r="D76" i="6"/>
  <c r="D173" i="4"/>
  <c r="AA283" i="2"/>
  <c r="AC285" i="2"/>
  <c r="AG288" i="2"/>
  <c r="E355" i="12"/>
  <c r="AD295" i="2"/>
  <c r="T295" i="2"/>
  <c r="AC295" i="2"/>
  <c r="S295" i="2"/>
  <c r="Z295" i="2"/>
  <c r="Y295" i="2"/>
  <c r="AG295" i="2"/>
  <c r="AA296" i="2"/>
  <c r="X299" i="2"/>
  <c r="W300" i="2"/>
  <c r="AG302" i="2"/>
  <c r="W302" i="2"/>
  <c r="AF302" i="2"/>
  <c r="V302" i="2"/>
  <c r="AC302" i="2"/>
  <c r="S302" i="2"/>
  <c r="AB302" i="2"/>
  <c r="U506" i="12"/>
  <c r="B36" i="7"/>
  <c r="B185" i="4"/>
  <c r="AB309" i="2"/>
  <c r="AF310" i="2"/>
  <c r="AE311" i="2"/>
  <c r="AD314" i="2"/>
  <c r="T314" i="2"/>
  <c r="AC314" i="2"/>
  <c r="S314" i="2"/>
  <c r="Z314" i="2"/>
  <c r="Y314" i="2"/>
  <c r="X314" i="2"/>
  <c r="AA319" i="2"/>
  <c r="Z320" i="2"/>
  <c r="X321" i="2"/>
  <c r="U327" i="2"/>
  <c r="Z328" i="2"/>
  <c r="Y328" i="2"/>
  <c r="X328" i="2"/>
  <c r="AF328" i="2"/>
  <c r="V328" i="2"/>
  <c r="AE328" i="2"/>
  <c r="AD328" i="2"/>
  <c r="T328" i="2"/>
  <c r="D84" i="6"/>
  <c r="D105" i="5"/>
  <c r="D191" i="4"/>
  <c r="U459" i="12"/>
  <c r="E466" i="12"/>
  <c r="Z357" i="2"/>
  <c r="Y357" i="2"/>
  <c r="X357" i="2"/>
  <c r="AG357" i="2"/>
  <c r="W357" i="2"/>
  <c r="AF357" i="2"/>
  <c r="V357" i="2"/>
  <c r="AE357" i="2"/>
  <c r="AD357" i="2"/>
  <c r="T357" i="2"/>
  <c r="AB357" i="2"/>
  <c r="D101" i="6"/>
  <c r="D120" i="5"/>
  <c r="D200" i="4"/>
  <c r="S395" i="2"/>
  <c r="B86" i="6"/>
  <c r="B214" i="4"/>
  <c r="AG398" i="2"/>
  <c r="U544" i="12"/>
  <c r="W665" i="12"/>
  <c r="B67" i="5"/>
  <c r="B112" i="4"/>
  <c r="U119" i="12"/>
  <c r="D59" i="6"/>
  <c r="D75" i="5"/>
  <c r="D119" i="4"/>
  <c r="B60" i="6"/>
  <c r="B120" i="4"/>
  <c r="U187" i="12"/>
  <c r="E235" i="12"/>
  <c r="D73" i="5"/>
  <c r="D118" i="4"/>
  <c r="B64" i="7"/>
  <c r="B138" i="4"/>
  <c r="U168" i="12"/>
  <c r="E302" i="12"/>
  <c r="W610" i="12"/>
  <c r="B64" i="5"/>
  <c r="B124" i="4"/>
  <c r="E343" i="12"/>
  <c r="U174" i="12"/>
  <c r="V231" i="2"/>
  <c r="D52" i="7"/>
  <c r="D151" i="4"/>
  <c r="B60" i="7"/>
  <c r="B154" i="4"/>
  <c r="V239" i="2"/>
  <c r="E316" i="12"/>
  <c r="AC248" i="2"/>
  <c r="U159" i="12"/>
  <c r="AF256" i="2"/>
  <c r="V256" i="2"/>
  <c r="AB256" i="2"/>
  <c r="S257" i="2"/>
  <c r="AD257" i="2"/>
  <c r="U237" i="12"/>
  <c r="W260" i="2"/>
  <c r="U175" i="12"/>
  <c r="U420" i="12"/>
  <c r="X262" i="2"/>
  <c r="Z263" i="2"/>
  <c r="AA264" i="2"/>
  <c r="AG265" i="2"/>
  <c r="W265" i="2"/>
  <c r="AB265" i="2"/>
  <c r="S266" i="2"/>
  <c r="AD266" i="2"/>
  <c r="X268" i="2"/>
  <c r="B145" i="4"/>
  <c r="B84" i="5"/>
  <c r="Y270" i="2"/>
  <c r="B68" i="6"/>
  <c r="B159" i="4"/>
  <c r="AA272" i="2"/>
  <c r="AB273" i="2"/>
  <c r="S274" i="2"/>
  <c r="AE274" i="2"/>
  <c r="Y275" i="2"/>
  <c r="U500" i="12"/>
  <c r="X278" i="2"/>
  <c r="W616" i="12"/>
  <c r="AK279" i="2"/>
  <c r="AL279" i="2" s="1"/>
  <c r="B72" i="8"/>
  <c r="X287" i="2"/>
  <c r="T288" i="2"/>
  <c r="D74" i="7"/>
  <c r="D177" i="4"/>
  <c r="S291" i="2"/>
  <c r="B80" i="7"/>
  <c r="B83" i="6"/>
  <c r="B178" i="4"/>
  <c r="X292" i="2"/>
  <c r="AG292" i="2"/>
  <c r="W292" i="2"/>
  <c r="AD292" i="2"/>
  <c r="T292" i="2"/>
  <c r="AC292" i="2"/>
  <c r="S292" i="2"/>
  <c r="E448" i="12"/>
  <c r="U448" i="12"/>
  <c r="AD296" i="2"/>
  <c r="U297" i="2"/>
  <c r="E403" i="12"/>
  <c r="AA299" i="2"/>
  <c r="Z300" i="2"/>
  <c r="AC303" i="2"/>
  <c r="D98" i="5"/>
  <c r="D162" i="4"/>
  <c r="T306" i="2"/>
  <c r="E473" i="12"/>
  <c r="AC315" i="2"/>
  <c r="S315" i="2"/>
  <c r="AB315" i="2"/>
  <c r="Y315" i="2"/>
  <c r="X315" i="2"/>
  <c r="AG315" i="2"/>
  <c r="W315" i="2"/>
  <c r="X316" i="2"/>
  <c r="V316" i="2"/>
  <c r="AE316" i="2"/>
  <c r="AA318" i="2"/>
  <c r="AB319" i="2"/>
  <c r="AA320" i="2"/>
  <c r="E222" i="12"/>
  <c r="AL337" i="2"/>
  <c r="X349" i="2"/>
  <c r="AG349" i="2"/>
  <c r="W349" i="2"/>
  <c r="AF349" i="2"/>
  <c r="V349" i="2"/>
  <c r="AE349" i="2"/>
  <c r="AD349" i="2"/>
  <c r="T349" i="2"/>
  <c r="AC349" i="2"/>
  <c r="S349" i="2"/>
  <c r="AB349" i="2"/>
  <c r="Z349" i="2"/>
  <c r="B138" i="8"/>
  <c r="U198" i="12"/>
  <c r="X360" i="2"/>
  <c r="W617" i="12"/>
  <c r="AP369" i="2"/>
  <c r="AO369" i="2"/>
  <c r="AN369" i="2"/>
  <c r="AM369" i="2"/>
  <c r="AK369" i="2"/>
  <c r="AE391" i="2"/>
  <c r="T391" i="2"/>
  <c r="AB395" i="2"/>
  <c r="E457" i="12"/>
  <c r="D86" i="6"/>
  <c r="D214" i="4"/>
  <c r="B166" i="8"/>
  <c r="T410" i="2"/>
  <c r="U412" i="12"/>
  <c r="U139" i="12"/>
  <c r="B72" i="7"/>
  <c r="B74" i="6"/>
  <c r="B166" i="4"/>
  <c r="D90" i="5"/>
  <c r="D140" i="4"/>
  <c r="E176" i="12"/>
  <c r="U146" i="12"/>
  <c r="X260" i="2"/>
  <c r="AB264" i="2"/>
  <c r="D67" i="6"/>
  <c r="D152" i="4"/>
  <c r="E162" i="12"/>
  <c r="U373" i="12"/>
  <c r="Y268" i="2"/>
  <c r="B74" i="5"/>
  <c r="B144" i="4"/>
  <c r="D68" i="6"/>
  <c r="D159" i="4"/>
  <c r="AB272" i="2"/>
  <c r="D54" i="6"/>
  <c r="D160" i="4"/>
  <c r="E158" i="12"/>
  <c r="Z275" i="2"/>
  <c r="AE277" i="2"/>
  <c r="AD277" i="2"/>
  <c r="T277" i="2"/>
  <c r="Z277" i="2"/>
  <c r="AF277" i="2"/>
  <c r="B97" i="5"/>
  <c r="B70" i="6"/>
  <c r="B164" i="4"/>
  <c r="E267" i="12"/>
  <c r="E232" i="12"/>
  <c r="AB299" i="2"/>
  <c r="B111" i="8"/>
  <c r="E227" i="12"/>
  <c r="AF319" i="2"/>
  <c r="AE320" i="2"/>
  <c r="U452" i="12"/>
  <c r="U328" i="2"/>
  <c r="U357" i="2"/>
  <c r="AR372" i="2"/>
  <c r="AQ372" i="2"/>
  <c r="AD395" i="2"/>
  <c r="U254" i="12"/>
  <c r="B97" i="7"/>
  <c r="B137" i="5"/>
  <c r="B111" i="6"/>
  <c r="B240" i="4"/>
  <c r="B66" i="6"/>
  <c r="B142" i="4"/>
  <c r="B68" i="7"/>
  <c r="B95" i="5"/>
  <c r="B158" i="4"/>
  <c r="E428" i="12"/>
  <c r="U443" i="12"/>
  <c r="AG255" i="2"/>
  <c r="W255" i="2"/>
  <c r="AB255" i="2"/>
  <c r="B80" i="5"/>
  <c r="B141" i="4"/>
  <c r="Y260" i="2"/>
  <c r="B71" i="7"/>
  <c r="B99" i="5"/>
  <c r="B170" i="4"/>
  <c r="AB263" i="2"/>
  <c r="E364" i="12"/>
  <c r="AC264" i="2"/>
  <c r="Z268" i="2"/>
  <c r="D84" i="5"/>
  <c r="D145" i="4"/>
  <c r="AA270" i="2"/>
  <c r="E169" i="12"/>
  <c r="AC272" i="2"/>
  <c r="AA275" i="2"/>
  <c r="B73" i="6"/>
  <c r="B161" i="4"/>
  <c r="E200" i="12"/>
  <c r="AG277" i="2"/>
  <c r="U179" i="12"/>
  <c r="X283" i="2"/>
  <c r="AG283" i="2"/>
  <c r="W283" i="2"/>
  <c r="AC283" i="2"/>
  <c r="S283" i="2"/>
  <c r="AE283" i="2"/>
  <c r="U267" i="12"/>
  <c r="AQ289" i="2"/>
  <c r="D80" i="7"/>
  <c r="D83" i="6"/>
  <c r="D178" i="4"/>
  <c r="W658" i="12"/>
  <c r="AP293" i="2"/>
  <c r="AO293" i="2"/>
  <c r="AK293" i="2"/>
  <c r="AC296" i="2"/>
  <c r="S296" i="2"/>
  <c r="AB296" i="2"/>
  <c r="Y296" i="2"/>
  <c r="X296" i="2"/>
  <c r="AF296" i="2"/>
  <c r="AC299" i="2"/>
  <c r="B82" i="7"/>
  <c r="B106" i="5"/>
  <c r="B187" i="4"/>
  <c r="U308" i="2"/>
  <c r="U229" i="12"/>
  <c r="Y310" i="2"/>
  <c r="X310" i="2"/>
  <c r="AE310" i="2"/>
  <c r="AD310" i="2"/>
  <c r="T310" i="2"/>
  <c r="AC310" i="2"/>
  <c r="S310" i="2"/>
  <c r="B79" i="7"/>
  <c r="B189" i="4"/>
  <c r="X311" i="2"/>
  <c r="AG311" i="2"/>
  <c r="W311" i="2"/>
  <c r="AD311" i="2"/>
  <c r="T311" i="2"/>
  <c r="AC311" i="2"/>
  <c r="S311" i="2"/>
  <c r="AB311" i="2"/>
  <c r="U426" i="12"/>
  <c r="D78" i="5"/>
  <c r="D168" i="4"/>
  <c r="AE350" i="2"/>
  <c r="T350" i="2"/>
  <c r="B89" i="5"/>
  <c r="B195" i="4"/>
  <c r="E458" i="12"/>
  <c r="AB373" i="2"/>
  <c r="Z373" i="2"/>
  <c r="Y373" i="2"/>
  <c r="X373" i="2"/>
  <c r="W373" i="2"/>
  <c r="AG373" i="2"/>
  <c r="V373" i="2"/>
  <c r="AF373" i="2"/>
  <c r="AE373" i="2"/>
  <c r="T373" i="2"/>
  <c r="AC373" i="2"/>
  <c r="AE380" i="2"/>
  <c r="Y380" i="2"/>
  <c r="X380" i="2"/>
  <c r="W380" i="2"/>
  <c r="AG380" i="2"/>
  <c r="V380" i="2"/>
  <c r="AF380" i="2"/>
  <c r="T380" i="2"/>
  <c r="AD380" i="2"/>
  <c r="S380" i="2"/>
  <c r="AC380" i="2"/>
  <c r="AA380" i="2"/>
  <c r="D110" i="5"/>
  <c r="D198" i="4"/>
  <c r="E592" i="12"/>
  <c r="D97" i="7"/>
  <c r="D111" i="6"/>
  <c r="D137" i="5"/>
  <c r="D240" i="4"/>
  <c r="AF407" i="2"/>
  <c r="V407" i="2"/>
  <c r="AE407" i="2"/>
  <c r="Z407" i="2"/>
  <c r="Y407" i="2"/>
  <c r="X407" i="2"/>
  <c r="W407" i="2"/>
  <c r="T407" i="2"/>
  <c r="AG407" i="2"/>
  <c r="S407" i="2"/>
  <c r="AD407" i="2"/>
  <c r="AB407" i="2"/>
  <c r="E201" i="12"/>
  <c r="W613" i="12"/>
  <c r="B66" i="7"/>
  <c r="B93" i="5"/>
  <c r="B155" i="4"/>
  <c r="U189" i="12"/>
  <c r="U182" i="12"/>
  <c r="U133" i="12"/>
  <c r="AG246" i="2"/>
  <c r="W246" i="2"/>
  <c r="AB246" i="2"/>
  <c r="D74" i="6"/>
  <c r="D72" i="7"/>
  <c r="D166" i="4"/>
  <c r="X254" i="2"/>
  <c r="AB254" i="2"/>
  <c r="E288" i="12"/>
  <c r="AC255" i="2"/>
  <c r="W257" i="2"/>
  <c r="U399" i="12"/>
  <c r="B69" i="7"/>
  <c r="B71" i="6"/>
  <c r="B169" i="4"/>
  <c r="Z260" i="2"/>
  <c r="D71" i="7"/>
  <c r="D99" i="5"/>
  <c r="D170" i="4"/>
  <c r="AB262" i="2"/>
  <c r="E441" i="12"/>
  <c r="AC263" i="2"/>
  <c r="S264" i="2"/>
  <c r="AD264" i="2"/>
  <c r="W266" i="2"/>
  <c r="U375" i="12"/>
  <c r="B100" i="5"/>
  <c r="B75" i="6"/>
  <c r="B157" i="4"/>
  <c r="D74" i="5"/>
  <c r="D144" i="4"/>
  <c r="AC269" i="2"/>
  <c r="S269" i="2"/>
  <c r="AB269" i="2"/>
  <c r="AC270" i="2"/>
  <c r="E552" i="12"/>
  <c r="S272" i="2"/>
  <c r="AD272" i="2"/>
  <c r="V274" i="2"/>
  <c r="D73" i="6"/>
  <c r="D161" i="4"/>
  <c r="S277" i="2"/>
  <c r="U200" i="12"/>
  <c r="Z281" i="2"/>
  <c r="Y281" i="2"/>
  <c r="AE281" i="2"/>
  <c r="AD281" i="2"/>
  <c r="D70" i="6"/>
  <c r="D97" i="5"/>
  <c r="D164" i="4"/>
  <c r="E184" i="12"/>
  <c r="AF283" i="2"/>
  <c r="W288" i="2"/>
  <c r="AM293" i="2"/>
  <c r="AG296" i="2"/>
  <c r="U298" i="2"/>
  <c r="U303" i="2"/>
  <c r="U501" i="12"/>
  <c r="U307" i="2"/>
  <c r="Z309" i="2"/>
  <c r="Y309" i="2"/>
  <c r="AF309" i="2"/>
  <c r="V309" i="2"/>
  <c r="AE309" i="2"/>
  <c r="AD309" i="2"/>
  <c r="T309" i="2"/>
  <c r="E151" i="12"/>
  <c r="E263" i="12"/>
  <c r="D75" i="7"/>
  <c r="D199" i="4"/>
  <c r="X330" i="2"/>
  <c r="AG330" i="2"/>
  <c r="W330" i="2"/>
  <c r="AF330" i="2"/>
  <c r="V330" i="2"/>
  <c r="AD330" i="2"/>
  <c r="T330" i="2"/>
  <c r="AC330" i="2"/>
  <c r="S330" i="2"/>
  <c r="AB330" i="2"/>
  <c r="E296" i="12"/>
  <c r="B85" i="7"/>
  <c r="B111" i="5"/>
  <c r="B208" i="4"/>
  <c r="U355" i="2"/>
  <c r="E266" i="12"/>
  <c r="B38" i="9"/>
  <c r="U376" i="2"/>
  <c r="U548" i="12"/>
  <c r="D93" i="6"/>
  <c r="D222" i="4"/>
  <c r="U540" i="12"/>
  <c r="AA260" i="2"/>
  <c r="E199" i="12"/>
  <c r="AD268" i="2"/>
  <c r="T268" i="2"/>
  <c r="AB268" i="2"/>
  <c r="E154" i="12"/>
  <c r="B79" i="6"/>
  <c r="B76" i="7"/>
  <c r="B103" i="5"/>
  <c r="B172" i="4"/>
  <c r="AG275" i="2"/>
  <c r="W275" i="2"/>
  <c r="AF275" i="2"/>
  <c r="V275" i="2"/>
  <c r="AB275" i="2"/>
  <c r="AD275" i="2"/>
  <c r="E163" i="12"/>
  <c r="B77" i="7"/>
  <c r="B80" i="6"/>
  <c r="B176" i="4"/>
  <c r="E247" i="12"/>
  <c r="U247" i="12"/>
  <c r="U403" i="12"/>
  <c r="Z299" i="2"/>
  <c r="Y299" i="2"/>
  <c r="AF299" i="2"/>
  <c r="V299" i="2"/>
  <c r="AE299" i="2"/>
  <c r="AG299" i="2"/>
  <c r="U227" i="12"/>
  <c r="E229" i="12"/>
  <c r="D79" i="7"/>
  <c r="D189" i="4"/>
  <c r="B36" i="9"/>
  <c r="B82" i="6"/>
  <c r="B104" i="5"/>
  <c r="B175" i="4"/>
  <c r="U427" i="12"/>
  <c r="Y319" i="2"/>
  <c r="X319" i="2"/>
  <c r="AE319" i="2"/>
  <c r="AD319" i="2"/>
  <c r="T319" i="2"/>
  <c r="AC319" i="2"/>
  <c r="S319" i="2"/>
  <c r="X320" i="2"/>
  <c r="AG320" i="2"/>
  <c r="W320" i="2"/>
  <c r="AD320" i="2"/>
  <c r="T320" i="2"/>
  <c r="AC320" i="2"/>
  <c r="S320" i="2"/>
  <c r="AB320" i="2"/>
  <c r="U524" i="12"/>
  <c r="U190" i="12"/>
  <c r="E445" i="12"/>
  <c r="Z347" i="2"/>
  <c r="Y347" i="2"/>
  <c r="X347" i="2"/>
  <c r="AG347" i="2"/>
  <c r="W347" i="2"/>
  <c r="AF347" i="2"/>
  <c r="V347" i="2"/>
  <c r="AE347" i="2"/>
  <c r="AD347" i="2"/>
  <c r="T347" i="2"/>
  <c r="AB347" i="2"/>
  <c r="D85" i="7"/>
  <c r="D111" i="5"/>
  <c r="D208" i="4"/>
  <c r="D101" i="5"/>
  <c r="D183" i="4"/>
  <c r="U438" i="12"/>
  <c r="E259" i="12"/>
  <c r="Z367" i="2"/>
  <c r="Y367" i="2"/>
  <c r="X367" i="2"/>
  <c r="AG367" i="2"/>
  <c r="W367" i="2"/>
  <c r="AF367" i="2"/>
  <c r="V367" i="2"/>
  <c r="AE367" i="2"/>
  <c r="AD367" i="2"/>
  <c r="T367" i="2"/>
  <c r="U367" i="2" s="1"/>
  <c r="AB367" i="2"/>
  <c r="AD381" i="2"/>
  <c r="T381" i="2"/>
  <c r="AA381" i="2"/>
  <c r="Z381" i="2"/>
  <c r="Y381" i="2"/>
  <c r="X381" i="2"/>
  <c r="W381" i="2"/>
  <c r="AG381" i="2"/>
  <c r="V381" i="2"/>
  <c r="AF381" i="2"/>
  <c r="AC381" i="2"/>
  <c r="B89" i="7"/>
  <c r="B100" i="6"/>
  <c r="B235" i="4"/>
  <c r="Z393" i="2"/>
  <c r="X393" i="2"/>
  <c r="W393" i="2"/>
  <c r="AG393" i="2"/>
  <c r="V393" i="2"/>
  <c r="AF393" i="2"/>
  <c r="AE393" i="2"/>
  <c r="T393" i="2"/>
  <c r="AD393" i="2"/>
  <c r="S393" i="2"/>
  <c r="AC393" i="2"/>
  <c r="AA393" i="2"/>
  <c r="U515" i="12"/>
  <c r="AA407" i="2"/>
  <c r="E320" i="12"/>
  <c r="E540" i="12"/>
  <c r="AA420" i="2"/>
  <c r="B91" i="6"/>
  <c r="B228" i="4"/>
  <c r="E242" i="12"/>
  <c r="AD427" i="2"/>
  <c r="X429" i="2"/>
  <c r="AG429" i="2"/>
  <c r="W429" i="2"/>
  <c r="AF429" i="2"/>
  <c r="V429" i="2"/>
  <c r="AD429" i="2"/>
  <c r="T429" i="2"/>
  <c r="AC429" i="2"/>
  <c r="S429" i="2"/>
  <c r="B171" i="8"/>
  <c r="E536" i="12"/>
  <c r="D131" i="5"/>
  <c r="D220" i="4"/>
  <c r="E322" i="12"/>
  <c r="U464" i="2"/>
  <c r="B110" i="7"/>
  <c r="B281" i="4"/>
  <c r="U503" i="12"/>
  <c r="AL524" i="2"/>
  <c r="U226" i="12"/>
  <c r="D95" i="6"/>
  <c r="D190" i="4"/>
  <c r="AA338" i="2"/>
  <c r="B70" i="7"/>
  <c r="B72" i="6"/>
  <c r="B203" i="4"/>
  <c r="U272" i="12"/>
  <c r="V343" i="2"/>
  <c r="AF343" i="2"/>
  <c r="E374" i="12"/>
  <c r="AA348" i="2"/>
  <c r="U538" i="12"/>
  <c r="V353" i="2"/>
  <c r="AF353" i="2"/>
  <c r="E202" i="12"/>
  <c r="D107" i="5"/>
  <c r="D184" i="4"/>
  <c r="AA358" i="2"/>
  <c r="U404" i="12"/>
  <c r="V363" i="2"/>
  <c r="AF363" i="2"/>
  <c r="E291" i="12"/>
  <c r="D81" i="6"/>
  <c r="D201" i="4"/>
  <c r="AA368" i="2"/>
  <c r="AE371" i="2"/>
  <c r="AB371" i="2"/>
  <c r="E476" i="12"/>
  <c r="V378" i="2"/>
  <c r="U498" i="12"/>
  <c r="B160" i="8"/>
  <c r="D69" i="6"/>
  <c r="D207" i="4"/>
  <c r="E196" i="12"/>
  <c r="B90" i="7"/>
  <c r="B236" i="4"/>
  <c r="B88" i="6"/>
  <c r="B211" i="4"/>
  <c r="AB394" i="2"/>
  <c r="E531" i="12"/>
  <c r="E257" i="12"/>
  <c r="X399" i="2"/>
  <c r="X405" i="2"/>
  <c r="AG405" i="2"/>
  <c r="W405" i="2"/>
  <c r="AC405" i="2"/>
  <c r="Y414" i="2"/>
  <c r="X414" i="2"/>
  <c r="AC414" i="2"/>
  <c r="U417" i="2"/>
  <c r="X423" i="2"/>
  <c r="Y428" i="2"/>
  <c r="X428" i="2"/>
  <c r="AG428" i="2"/>
  <c r="W428" i="2"/>
  <c r="AE428" i="2"/>
  <c r="AD428" i="2"/>
  <c r="T428" i="2"/>
  <c r="E566" i="12"/>
  <c r="U493" i="12"/>
  <c r="AD433" i="2"/>
  <c r="T433" i="2"/>
  <c r="AC433" i="2"/>
  <c r="S433" i="2"/>
  <c r="AB433" i="2"/>
  <c r="Z433" i="2"/>
  <c r="Y433" i="2"/>
  <c r="AE433" i="2"/>
  <c r="B112" i="6"/>
  <c r="B138" i="5"/>
  <c r="B233" i="4"/>
  <c r="U570" i="12"/>
  <c r="Y466" i="2"/>
  <c r="X466" i="2"/>
  <c r="AG466" i="2"/>
  <c r="W466" i="2"/>
  <c r="AF466" i="2"/>
  <c r="V466" i="2"/>
  <c r="AE466" i="2"/>
  <c r="AD466" i="2"/>
  <c r="T466" i="2"/>
  <c r="AC466" i="2"/>
  <c r="S466" i="2"/>
  <c r="Z466" i="2"/>
  <c r="U589" i="12"/>
  <c r="U530" i="12"/>
  <c r="D94" i="7"/>
  <c r="D271" i="4"/>
  <c r="U306" i="12"/>
  <c r="E258" i="12"/>
  <c r="AB523" i="2"/>
  <c r="Y523" i="2"/>
  <c r="X523" i="2"/>
  <c r="AG523" i="2"/>
  <c r="W523" i="2"/>
  <c r="AC523" i="2"/>
  <c r="AA523" i="2"/>
  <c r="Z523" i="2"/>
  <c r="V523" i="2"/>
  <c r="T523" i="2"/>
  <c r="S523" i="2"/>
  <c r="AF523" i="2"/>
  <c r="AD523" i="2"/>
  <c r="U369" i="12"/>
  <c r="AF420" i="2"/>
  <c r="V420" i="2"/>
  <c r="AC420" i="2"/>
  <c r="S420" i="2"/>
  <c r="AB420" i="2"/>
  <c r="AE420" i="2"/>
  <c r="Z427" i="2"/>
  <c r="Y427" i="2"/>
  <c r="X427" i="2"/>
  <c r="AF427" i="2"/>
  <c r="V427" i="2"/>
  <c r="AE427" i="2"/>
  <c r="E294" i="12"/>
  <c r="U585" i="12"/>
  <c r="U315" i="12"/>
  <c r="E463" i="12"/>
  <c r="B113" i="6"/>
  <c r="B249" i="4"/>
  <c r="U356" i="12"/>
  <c r="U236" i="12"/>
  <c r="U503" i="2"/>
  <c r="B204" i="8"/>
  <c r="E415" i="12"/>
  <c r="B125" i="6"/>
  <c r="B275" i="4"/>
  <c r="U433" i="12"/>
  <c r="E203" i="12"/>
  <c r="AA312" i="2"/>
  <c r="U473" i="12"/>
  <c r="E409" i="12"/>
  <c r="AA321" i="2"/>
  <c r="B84" i="7"/>
  <c r="B196" i="4"/>
  <c r="U387" i="12"/>
  <c r="W325" i="2"/>
  <c r="AG325" i="2"/>
  <c r="V326" i="2"/>
  <c r="E429" i="12"/>
  <c r="AA331" i="2"/>
  <c r="U398" i="12"/>
  <c r="W335" i="2"/>
  <c r="AG335" i="2"/>
  <c r="V336" i="2"/>
  <c r="S338" i="2"/>
  <c r="AC338" i="2"/>
  <c r="E246" i="12"/>
  <c r="D70" i="7"/>
  <c r="D72" i="6"/>
  <c r="D203" i="4"/>
  <c r="AA340" i="2"/>
  <c r="B88" i="7"/>
  <c r="B99" i="6"/>
  <c r="B204" i="4"/>
  <c r="X343" i="2"/>
  <c r="U207" i="12"/>
  <c r="W344" i="2"/>
  <c r="AG344" i="2"/>
  <c r="V345" i="2"/>
  <c r="U346" i="2"/>
  <c r="S348" i="2"/>
  <c r="AC348" i="2"/>
  <c r="E215" i="12"/>
  <c r="AA350" i="2"/>
  <c r="B85" i="5"/>
  <c r="B180" i="4"/>
  <c r="X353" i="2"/>
  <c r="U444" i="12"/>
  <c r="W354" i="2"/>
  <c r="AG354" i="2"/>
  <c r="V355" i="2"/>
  <c r="U356" i="2"/>
  <c r="S358" i="2"/>
  <c r="AC358" i="2"/>
  <c r="E562" i="12"/>
  <c r="AA360" i="2"/>
  <c r="B92" i="7"/>
  <c r="B127" i="5"/>
  <c r="B216" i="4"/>
  <c r="X363" i="2"/>
  <c r="U245" i="12"/>
  <c r="W364" i="2"/>
  <c r="AG364" i="2"/>
  <c r="V365" i="2"/>
  <c r="U366" i="2"/>
  <c r="S368" i="2"/>
  <c r="AC368" i="2"/>
  <c r="AF370" i="2"/>
  <c r="V370" i="2"/>
  <c r="AB370" i="2"/>
  <c r="S371" i="2"/>
  <c r="AD371" i="2"/>
  <c r="U375" i="2"/>
  <c r="V376" i="2"/>
  <c r="W377" i="2"/>
  <c r="Y378" i="2"/>
  <c r="E575" i="12"/>
  <c r="V383" i="2"/>
  <c r="AO384" i="2"/>
  <c r="U385" i="2"/>
  <c r="X388" i="2"/>
  <c r="D90" i="7"/>
  <c r="D236" i="4"/>
  <c r="AA391" i="2"/>
  <c r="E517" i="12"/>
  <c r="S394" i="2"/>
  <c r="AD394" i="2"/>
  <c r="U396" i="2"/>
  <c r="U457" i="12"/>
  <c r="U257" i="12"/>
  <c r="Z399" i="2"/>
  <c r="AC400" i="2"/>
  <c r="S400" i="2"/>
  <c r="AB400" i="2"/>
  <c r="AD400" i="2"/>
  <c r="U402" i="2"/>
  <c r="W403" i="2"/>
  <c r="S405" i="2"/>
  <c r="AE405" i="2"/>
  <c r="Y406" i="2"/>
  <c r="E292" i="12"/>
  <c r="Y408" i="2"/>
  <c r="AD409" i="2"/>
  <c r="T409" i="2"/>
  <c r="AC409" i="2"/>
  <c r="S409" i="2"/>
  <c r="AE409" i="2"/>
  <c r="V411" i="2"/>
  <c r="U496" i="12"/>
  <c r="S414" i="2"/>
  <c r="AE414" i="2"/>
  <c r="AG420" i="2"/>
  <c r="AE423" i="2"/>
  <c r="U303" i="12"/>
  <c r="E289" i="12"/>
  <c r="S428" i="2"/>
  <c r="Y429" i="2"/>
  <c r="V433" i="2"/>
  <c r="U330" i="12"/>
  <c r="E430" i="12"/>
  <c r="D112" i="6"/>
  <c r="D138" i="5"/>
  <c r="D233" i="4"/>
  <c r="V441" i="2"/>
  <c r="AE441" i="2"/>
  <c r="T441" i="2"/>
  <c r="AC441" i="2"/>
  <c r="S441" i="2"/>
  <c r="W441" i="2"/>
  <c r="X449" i="2"/>
  <c r="AG449" i="2"/>
  <c r="W449" i="2"/>
  <c r="AF449" i="2"/>
  <c r="V449" i="2"/>
  <c r="AE449" i="2"/>
  <c r="AD449" i="2"/>
  <c r="T449" i="2"/>
  <c r="AC449" i="2"/>
  <c r="S449" i="2"/>
  <c r="AB449" i="2"/>
  <c r="Y449" i="2"/>
  <c r="B200" i="8"/>
  <c r="AA466" i="2"/>
  <c r="X467" i="2"/>
  <c r="AG467" i="2"/>
  <c r="W467" i="2"/>
  <c r="AF467" i="2"/>
  <c r="V467" i="2"/>
  <c r="AE467" i="2"/>
  <c r="AD467" i="2"/>
  <c r="T467" i="2"/>
  <c r="AC467" i="2"/>
  <c r="S467" i="2"/>
  <c r="AB467" i="2"/>
  <c r="Y467" i="2"/>
  <c r="U340" i="12"/>
  <c r="U583" i="12"/>
  <c r="U512" i="2"/>
  <c r="E447" i="12"/>
  <c r="AE523" i="2"/>
  <c r="D128" i="6"/>
  <c r="D283" i="4"/>
  <c r="AA276" i="2"/>
  <c r="E329" i="12"/>
  <c r="AA285" i="2"/>
  <c r="Z286" i="2"/>
  <c r="U402" i="12"/>
  <c r="Z294" i="2"/>
  <c r="U313" i="12"/>
  <c r="W297" i="2"/>
  <c r="AG297" i="2"/>
  <c r="E506" i="12"/>
  <c r="AA303" i="2"/>
  <c r="Z304" i="2"/>
  <c r="U165" i="12"/>
  <c r="W307" i="2"/>
  <c r="AG307" i="2"/>
  <c r="E426" i="12"/>
  <c r="AB312" i="2"/>
  <c r="W618" i="12"/>
  <c r="U152" i="12"/>
  <c r="W316" i="2"/>
  <c r="AG316" i="2"/>
  <c r="E524" i="12"/>
  <c r="AB321" i="2"/>
  <c r="AA322" i="2"/>
  <c r="Z323" i="2"/>
  <c r="X325" i="2"/>
  <c r="U171" i="12"/>
  <c r="W326" i="2"/>
  <c r="AG326" i="2"/>
  <c r="E396" i="12"/>
  <c r="AB331" i="2"/>
  <c r="D92" i="6"/>
  <c r="D186" i="4"/>
  <c r="AA332" i="2"/>
  <c r="Z333" i="2"/>
  <c r="X335" i="2"/>
  <c r="U238" i="12"/>
  <c r="W336" i="2"/>
  <c r="AG336" i="2"/>
  <c r="T338" i="2"/>
  <c r="AD338" i="2"/>
  <c r="E190" i="12"/>
  <c r="AB340" i="2"/>
  <c r="D90" i="6"/>
  <c r="D192" i="4"/>
  <c r="AA341" i="2"/>
  <c r="Z342" i="2"/>
  <c r="B87" i="6"/>
  <c r="B194" i="4"/>
  <c r="Y343" i="2"/>
  <c r="X344" i="2"/>
  <c r="U231" i="12"/>
  <c r="W345" i="2"/>
  <c r="AG345" i="2"/>
  <c r="T348" i="2"/>
  <c r="AD348" i="2"/>
  <c r="E459" i="12"/>
  <c r="AB350" i="2"/>
  <c r="AA351" i="2"/>
  <c r="Z352" i="2"/>
  <c r="Y353" i="2"/>
  <c r="X354" i="2"/>
  <c r="U234" i="12"/>
  <c r="W355" i="2"/>
  <c r="AG355" i="2"/>
  <c r="T358" i="2"/>
  <c r="AD358" i="2"/>
  <c r="E438" i="12"/>
  <c r="AB360" i="2"/>
  <c r="AA361" i="2"/>
  <c r="Z362" i="2"/>
  <c r="B86" i="7"/>
  <c r="B217" i="4"/>
  <c r="Y363" i="2"/>
  <c r="X364" i="2"/>
  <c r="U453" i="12"/>
  <c r="W365" i="2"/>
  <c r="AG365" i="2"/>
  <c r="T368" i="2"/>
  <c r="AD368" i="2"/>
  <c r="D195" i="4"/>
  <c r="D89" i="5"/>
  <c r="E188" i="12"/>
  <c r="AC370" i="2"/>
  <c r="T371" i="2"/>
  <c r="AF371" i="2"/>
  <c r="W376" i="2"/>
  <c r="U474" i="12"/>
  <c r="Y377" i="2"/>
  <c r="Z378" i="2"/>
  <c r="AF379" i="2"/>
  <c r="V379" i="2"/>
  <c r="AB379" i="2"/>
  <c r="U368" i="12"/>
  <c r="W383" i="2"/>
  <c r="U286" i="12"/>
  <c r="AP384" i="2"/>
  <c r="Y388" i="2"/>
  <c r="D89" i="7"/>
  <c r="D100" i="6"/>
  <c r="D235" i="4"/>
  <c r="AC390" i="2"/>
  <c r="S390" i="2"/>
  <c r="AB390" i="2"/>
  <c r="AC391" i="2"/>
  <c r="E214" i="12"/>
  <c r="T394" i="2"/>
  <c r="AE394" i="2"/>
  <c r="AA399" i="2"/>
  <c r="AE400" i="2"/>
  <c r="X403" i="2"/>
  <c r="Y404" i="2"/>
  <c r="X404" i="2"/>
  <c r="AC404" i="2"/>
  <c r="T405" i="2"/>
  <c r="AF405" i="2"/>
  <c r="Z406" i="2"/>
  <c r="D97" i="6"/>
  <c r="D219" i="4"/>
  <c r="Z408" i="2"/>
  <c r="E534" i="12"/>
  <c r="AF409" i="2"/>
  <c r="U239" i="12"/>
  <c r="W411" i="2"/>
  <c r="Z413" i="2"/>
  <c r="Y413" i="2"/>
  <c r="AC413" i="2"/>
  <c r="T414" i="2"/>
  <c r="AF414" i="2"/>
  <c r="B126" i="5"/>
  <c r="B206" i="4"/>
  <c r="AG416" i="2"/>
  <c r="W416" i="2"/>
  <c r="AF416" i="2"/>
  <c r="V416" i="2"/>
  <c r="AC416" i="2"/>
  <c r="B175" i="8"/>
  <c r="X418" i="2"/>
  <c r="AE418" i="2"/>
  <c r="AD418" i="2"/>
  <c r="T418" i="2"/>
  <c r="U418" i="2" s="1"/>
  <c r="AF418" i="2"/>
  <c r="T420" i="2"/>
  <c r="U408" i="12"/>
  <c r="AF423" i="2"/>
  <c r="E303" i="12"/>
  <c r="S427" i="2"/>
  <c r="V428" i="2"/>
  <c r="Z429" i="2"/>
  <c r="D98" i="7"/>
  <c r="D246" i="4"/>
  <c r="W433" i="2"/>
  <c r="U437" i="2"/>
  <c r="B123" i="5"/>
  <c r="B221" i="4"/>
  <c r="U252" i="12"/>
  <c r="E547" i="12"/>
  <c r="D115" i="6"/>
  <c r="D144" i="5"/>
  <c r="D241" i="4"/>
  <c r="E509" i="12"/>
  <c r="AB466" i="2"/>
  <c r="U514" i="2"/>
  <c r="U514" i="12"/>
  <c r="E308" i="12"/>
  <c r="D80" i="6"/>
  <c r="D77" i="7"/>
  <c r="D176" i="4"/>
  <c r="AA286" i="2"/>
  <c r="D78" i="6"/>
  <c r="D102" i="5"/>
  <c r="D167" i="4"/>
  <c r="AA294" i="2"/>
  <c r="U277" i="12"/>
  <c r="E501" i="12"/>
  <c r="D83" i="7"/>
  <c r="D89" i="6"/>
  <c r="D182" i="4"/>
  <c r="AA304" i="2"/>
  <c r="B162" i="4"/>
  <c r="B98" i="5"/>
  <c r="U97" i="12"/>
  <c r="S312" i="2"/>
  <c r="AC312" i="2"/>
  <c r="B78" i="5"/>
  <c r="B168" i="4"/>
  <c r="U413" i="12"/>
  <c r="S321" i="2"/>
  <c r="AC321" i="2"/>
  <c r="E392" i="12"/>
  <c r="D84" i="7"/>
  <c r="D196" i="4"/>
  <c r="AA323" i="2"/>
  <c r="B92" i="5"/>
  <c r="B171" i="4"/>
  <c r="Y325" i="2"/>
  <c r="U372" i="12"/>
  <c r="S331" i="2"/>
  <c r="AC331" i="2"/>
  <c r="E226" i="12"/>
  <c r="AA333" i="2"/>
  <c r="B96" i="5"/>
  <c r="B174" i="4"/>
  <c r="Y335" i="2"/>
  <c r="U475" i="12"/>
  <c r="AE338" i="2"/>
  <c r="S340" i="2"/>
  <c r="AC340" i="2"/>
  <c r="E272" i="12"/>
  <c r="D88" i="7"/>
  <c r="D99" i="6"/>
  <c r="D204" i="4"/>
  <c r="AA342" i="2"/>
  <c r="Z343" i="2"/>
  <c r="B83" i="5"/>
  <c r="B179" i="4"/>
  <c r="Y344" i="2"/>
  <c r="U532" i="12"/>
  <c r="AE348" i="2"/>
  <c r="S350" i="2"/>
  <c r="AC350" i="2"/>
  <c r="E538" i="12"/>
  <c r="D85" i="5"/>
  <c r="D180" i="4"/>
  <c r="AA352" i="2"/>
  <c r="Z353" i="2"/>
  <c r="B108" i="5"/>
  <c r="B181" i="4"/>
  <c r="Y354" i="2"/>
  <c r="U469" i="12"/>
  <c r="AE358" i="2"/>
  <c r="S360" i="2"/>
  <c r="AC360" i="2"/>
  <c r="E404" i="12"/>
  <c r="D92" i="7"/>
  <c r="D127" i="5"/>
  <c r="D216" i="4"/>
  <c r="AA362" i="2"/>
  <c r="Z363" i="2"/>
  <c r="Y364" i="2"/>
  <c r="U210" i="12"/>
  <c r="AE368" i="2"/>
  <c r="S370" i="2"/>
  <c r="AD370" i="2"/>
  <c r="V371" i="2"/>
  <c r="AG371" i="2"/>
  <c r="U233" i="12"/>
  <c r="B98" i="6"/>
  <c r="B205" i="4"/>
  <c r="E512" i="12"/>
  <c r="U196" i="12"/>
  <c r="U213" i="12"/>
  <c r="AD389" i="2"/>
  <c r="T389" i="2"/>
  <c r="U389" i="2" s="1"/>
  <c r="AB389" i="2"/>
  <c r="E268" i="12"/>
  <c r="S391" i="2"/>
  <c r="AD391" i="2"/>
  <c r="AF394" i="2"/>
  <c r="B96" i="6"/>
  <c r="B213" i="4"/>
  <c r="AF397" i="2"/>
  <c r="V397" i="2"/>
  <c r="AE397" i="2"/>
  <c r="AC397" i="2"/>
  <c r="B77" i="6"/>
  <c r="B215" i="4"/>
  <c r="T400" i="2"/>
  <c r="AF400" i="2"/>
  <c r="U592" i="12"/>
  <c r="D113" i="5"/>
  <c r="D202" i="4"/>
  <c r="E256" i="12"/>
  <c r="U292" i="12"/>
  <c r="AG409" i="2"/>
  <c r="X411" i="2"/>
  <c r="B106" i="6"/>
  <c r="B130" i="5"/>
  <c r="B223" i="4"/>
  <c r="D94" i="6"/>
  <c r="D224" i="4"/>
  <c r="E285" i="12"/>
  <c r="AG414" i="2"/>
  <c r="E293" i="12"/>
  <c r="E573" i="12"/>
  <c r="V421" i="2"/>
  <c r="AE421" i="2"/>
  <c r="U242" i="12"/>
  <c r="D110" i="6"/>
  <c r="D136" i="5"/>
  <c r="D231" i="4"/>
  <c r="T427" i="2"/>
  <c r="D128" i="5"/>
  <c r="D212" i="4"/>
  <c r="Z428" i="2"/>
  <c r="AA429" i="2"/>
  <c r="V431" i="2"/>
  <c r="AE431" i="2"/>
  <c r="T431" i="2"/>
  <c r="W431" i="2"/>
  <c r="X433" i="2"/>
  <c r="X439" i="2"/>
  <c r="AG439" i="2"/>
  <c r="W439" i="2"/>
  <c r="AF439" i="2"/>
  <c r="V439" i="2"/>
  <c r="AE439" i="2"/>
  <c r="AD439" i="2"/>
  <c r="T439" i="2"/>
  <c r="AC439" i="2"/>
  <c r="S439" i="2"/>
  <c r="Y439" i="2"/>
  <c r="U447" i="2"/>
  <c r="AR455" i="2"/>
  <c r="U465" i="2"/>
  <c r="Z476" i="2"/>
  <c r="X476" i="2"/>
  <c r="W476" i="2"/>
  <c r="AG476" i="2"/>
  <c r="V476" i="2"/>
  <c r="AF476" i="2"/>
  <c r="AE476" i="2"/>
  <c r="T476" i="2"/>
  <c r="AD476" i="2"/>
  <c r="S476" i="2"/>
  <c r="AC476" i="2"/>
  <c r="Y476" i="2"/>
  <c r="D119" i="5"/>
  <c r="D256" i="4"/>
  <c r="E362" i="12"/>
  <c r="U553" i="2"/>
  <c r="E325" i="12"/>
  <c r="D87" i="6"/>
  <c r="D194" i="4"/>
  <c r="AA343" i="2"/>
  <c r="U445" i="12"/>
  <c r="E198" i="12"/>
  <c r="AA353" i="2"/>
  <c r="U466" i="12"/>
  <c r="E276" i="12"/>
  <c r="D86" i="7"/>
  <c r="D217" i="4"/>
  <c r="AA363" i="2"/>
  <c r="B112" i="5"/>
  <c r="B193" i="4"/>
  <c r="U259" i="12"/>
  <c r="U458" i="12"/>
  <c r="U490" i="12"/>
  <c r="U476" i="12"/>
  <c r="AG378" i="2"/>
  <c r="W378" i="2"/>
  <c r="AB378" i="2"/>
  <c r="B115" i="5"/>
  <c r="B197" i="4"/>
  <c r="B152" i="8"/>
  <c r="E548" i="12"/>
  <c r="E264" i="12"/>
  <c r="AD399" i="2"/>
  <c r="T399" i="2"/>
  <c r="AC399" i="2"/>
  <c r="S399" i="2"/>
  <c r="AE399" i="2"/>
  <c r="U248" i="12"/>
  <c r="U534" i="12"/>
  <c r="D126" i="5"/>
  <c r="D206" i="4"/>
  <c r="W420" i="2"/>
  <c r="B176" i="8"/>
  <c r="AD423" i="2"/>
  <c r="T423" i="2"/>
  <c r="AC423" i="2"/>
  <c r="S423" i="2"/>
  <c r="AB423" i="2"/>
  <c r="Z423" i="2"/>
  <c r="Y423" i="2"/>
  <c r="U323" i="12"/>
  <c r="W427" i="2"/>
  <c r="AB429" i="2"/>
  <c r="U470" i="12"/>
  <c r="E314" i="12"/>
  <c r="B181" i="8"/>
  <c r="Y456" i="2"/>
  <c r="X456" i="2"/>
  <c r="AG456" i="2"/>
  <c r="W456" i="2"/>
  <c r="AF456" i="2"/>
  <c r="V456" i="2"/>
  <c r="AE456" i="2"/>
  <c r="AD456" i="2"/>
  <c r="T456" i="2"/>
  <c r="AC456" i="2"/>
  <c r="S456" i="2"/>
  <c r="Z456" i="2"/>
  <c r="U455" i="12"/>
  <c r="AG478" i="2"/>
  <c r="W478" i="2"/>
  <c r="Z478" i="2"/>
  <c r="Y478" i="2"/>
  <c r="X478" i="2"/>
  <c r="V478" i="2"/>
  <c r="AF478" i="2"/>
  <c r="AE478" i="2"/>
  <c r="T478" i="2"/>
  <c r="AD478" i="2"/>
  <c r="S478" i="2"/>
  <c r="AA478" i="2"/>
  <c r="U255" i="12"/>
  <c r="U582" i="12"/>
  <c r="E595" i="12"/>
  <c r="U386" i="12"/>
  <c r="B190" i="8"/>
  <c r="E387" i="12"/>
  <c r="D92" i="5"/>
  <c r="D171" i="4"/>
  <c r="AA325" i="2"/>
  <c r="U222" i="12"/>
  <c r="E398" i="12"/>
  <c r="D96" i="5"/>
  <c r="D174" i="4"/>
  <c r="AA335" i="2"/>
  <c r="W338" i="2"/>
  <c r="AG338" i="2"/>
  <c r="E207" i="12"/>
  <c r="AB343" i="2"/>
  <c r="D83" i="5"/>
  <c r="D179" i="4"/>
  <c r="AA344" i="2"/>
  <c r="U374" i="12"/>
  <c r="W348" i="2"/>
  <c r="AG348" i="2"/>
  <c r="E444" i="12"/>
  <c r="AB353" i="2"/>
  <c r="D108" i="5"/>
  <c r="D181" i="4"/>
  <c r="AA354" i="2"/>
  <c r="U202" i="12"/>
  <c r="W358" i="2"/>
  <c r="AG358" i="2"/>
  <c r="E245" i="12"/>
  <c r="AB363" i="2"/>
  <c r="AA364" i="2"/>
  <c r="B91" i="7"/>
  <c r="B121" i="5"/>
  <c r="B227" i="4"/>
  <c r="U291" i="12"/>
  <c r="W368" i="2"/>
  <c r="AG368" i="2"/>
  <c r="X371" i="2"/>
  <c r="D98" i="6"/>
  <c r="D205" i="4"/>
  <c r="X377" i="2"/>
  <c r="AB377" i="2"/>
  <c r="E498" i="12"/>
  <c r="AC378" i="2"/>
  <c r="U575" i="12"/>
  <c r="W624" i="12"/>
  <c r="AP387" i="2"/>
  <c r="AE388" i="2"/>
  <c r="AB388" i="2"/>
  <c r="W394" i="2"/>
  <c r="U519" i="12"/>
  <c r="D96" i="6"/>
  <c r="D213" i="4"/>
  <c r="D77" i="6"/>
  <c r="D215" i="4"/>
  <c r="E240" i="12"/>
  <c r="AF399" i="2"/>
  <c r="U410" i="12"/>
  <c r="Z403" i="2"/>
  <c r="Y403" i="2"/>
  <c r="AC403" i="2"/>
  <c r="Y405" i="2"/>
  <c r="AG406" i="2"/>
  <c r="W406" i="2"/>
  <c r="AF406" i="2"/>
  <c r="V406" i="2"/>
  <c r="AC406" i="2"/>
  <c r="B132" i="8"/>
  <c r="AE408" i="2"/>
  <c r="AD408" i="2"/>
  <c r="T408" i="2"/>
  <c r="AC408" i="2"/>
  <c r="E336" i="12"/>
  <c r="W414" i="2"/>
  <c r="U293" i="12"/>
  <c r="X420" i="2"/>
  <c r="AC424" i="2"/>
  <c r="S424" i="2"/>
  <c r="AE424" i="2"/>
  <c r="U426" i="2"/>
  <c r="AA427" i="2"/>
  <c r="AB428" i="2"/>
  <c r="AE429" i="2"/>
  <c r="E493" i="12"/>
  <c r="AF433" i="2"/>
  <c r="U436" i="2"/>
  <c r="U304" i="12"/>
  <c r="E550" i="12"/>
  <c r="B95" i="7"/>
  <c r="B258" i="4"/>
  <c r="U361" i="12"/>
  <c r="W662" i="12"/>
  <c r="AP477" i="2"/>
  <c r="AO477" i="2"/>
  <c r="AN477" i="2"/>
  <c r="AM477" i="2"/>
  <c r="E265" i="12"/>
  <c r="B107" i="7"/>
  <c r="B280" i="4"/>
  <c r="AG487" i="2"/>
  <c r="W487" i="2"/>
  <c r="Y487" i="2"/>
  <c r="X487" i="2"/>
  <c r="V487" i="2"/>
  <c r="AF487" i="2"/>
  <c r="AE487" i="2"/>
  <c r="T487" i="2"/>
  <c r="AD487" i="2"/>
  <c r="S487" i="2"/>
  <c r="AC487" i="2"/>
  <c r="Z487" i="2"/>
  <c r="U494" i="2"/>
  <c r="D111" i="7"/>
  <c r="D293" i="4"/>
  <c r="U532" i="2"/>
  <c r="B58" i="6"/>
  <c r="B299" i="4"/>
  <c r="U158" i="12"/>
  <c r="AE276" i="2"/>
  <c r="B64" i="6"/>
  <c r="B79" i="5"/>
  <c r="B163" i="4"/>
  <c r="U260" i="12"/>
  <c r="T286" i="2"/>
  <c r="AD286" i="2"/>
  <c r="E402" i="12"/>
  <c r="W604" i="12"/>
  <c r="B74" i="7"/>
  <c r="B177" i="4"/>
  <c r="U355" i="12"/>
  <c r="T294" i="2"/>
  <c r="AD294" i="2"/>
  <c r="E313" i="12"/>
  <c r="AA297" i="2"/>
  <c r="U507" i="12"/>
  <c r="T304" i="2"/>
  <c r="AD304" i="2"/>
  <c r="E165" i="12"/>
  <c r="D36" i="7"/>
  <c r="D185" i="4"/>
  <c r="AA307" i="2"/>
  <c r="B78" i="7"/>
  <c r="B188" i="4"/>
  <c r="U151" i="12"/>
  <c r="V312" i="2"/>
  <c r="AF312" i="2"/>
  <c r="E152" i="12"/>
  <c r="AA316" i="2"/>
  <c r="U307" i="12"/>
  <c r="V321" i="2"/>
  <c r="AF321" i="2"/>
  <c r="T323" i="2"/>
  <c r="AD323" i="2"/>
  <c r="E171" i="12"/>
  <c r="AB325" i="2"/>
  <c r="AA326" i="2"/>
  <c r="B75" i="7"/>
  <c r="B199" i="4"/>
  <c r="U424" i="12"/>
  <c r="V331" i="2"/>
  <c r="AF331" i="2"/>
  <c r="T333" i="2"/>
  <c r="U333" i="2" s="1"/>
  <c r="AD333" i="2"/>
  <c r="E238" i="12"/>
  <c r="AB335" i="2"/>
  <c r="AA336" i="2"/>
  <c r="X338" i="2"/>
  <c r="U296" i="12"/>
  <c r="V340" i="2"/>
  <c r="AF340" i="2"/>
  <c r="U341" i="2"/>
  <c r="T342" i="2"/>
  <c r="U342" i="2" s="1"/>
  <c r="AD342" i="2"/>
  <c r="S343" i="2"/>
  <c r="AC343" i="2"/>
  <c r="E231" i="12"/>
  <c r="AB344" i="2"/>
  <c r="AA345" i="2"/>
  <c r="X348" i="2"/>
  <c r="U346" i="12"/>
  <c r="V350" i="2"/>
  <c r="AF350" i="2"/>
  <c r="U351" i="2"/>
  <c r="T352" i="2"/>
  <c r="U352" i="2" s="1"/>
  <c r="AD352" i="2"/>
  <c r="S353" i="2"/>
  <c r="AC353" i="2"/>
  <c r="E234" i="12"/>
  <c r="AB354" i="2"/>
  <c r="AA355" i="2"/>
  <c r="B101" i="5"/>
  <c r="B183" i="4"/>
  <c r="X358" i="2"/>
  <c r="U266" i="12"/>
  <c r="V360" i="2"/>
  <c r="AF360" i="2"/>
  <c r="U361" i="2"/>
  <c r="T362" i="2"/>
  <c r="U362" i="2" s="1"/>
  <c r="AD362" i="2"/>
  <c r="S363" i="2"/>
  <c r="AC363" i="2"/>
  <c r="E453" i="12"/>
  <c r="AB364" i="2"/>
  <c r="D112" i="5"/>
  <c r="D193" i="4"/>
  <c r="AA365" i="2"/>
  <c r="B120" i="5"/>
  <c r="B101" i="6"/>
  <c r="B200" i="4"/>
  <c r="X368" i="2"/>
  <c r="U228" i="12"/>
  <c r="W370" i="2"/>
  <c r="U188" i="12"/>
  <c r="Y371" i="2"/>
  <c r="B81" i="7"/>
  <c r="B229" i="4"/>
  <c r="AB376" i="2"/>
  <c r="E253" i="12"/>
  <c r="AC377" i="2"/>
  <c r="S378" i="2"/>
  <c r="AD378" i="2"/>
  <c r="U379" i="2"/>
  <c r="D115" i="5"/>
  <c r="D197" i="4"/>
  <c r="AA383" i="2"/>
  <c r="X386" i="2"/>
  <c r="AB386" i="2"/>
  <c r="AK387" i="2"/>
  <c r="AL387" i="2" s="1"/>
  <c r="E542" i="12"/>
  <c r="AC388" i="2"/>
  <c r="AF389" i="2"/>
  <c r="V390" i="2"/>
  <c r="AG390" i="2"/>
  <c r="V391" i="2"/>
  <c r="AG391" i="2"/>
  <c r="U517" i="12"/>
  <c r="X394" i="2"/>
  <c r="T397" i="2"/>
  <c r="U397" i="2" s="1"/>
  <c r="U264" i="12"/>
  <c r="AG399" i="2"/>
  <c r="W400" i="2"/>
  <c r="D85" i="6"/>
  <c r="D218" i="4"/>
  <c r="E254" i="12"/>
  <c r="AD403" i="2"/>
  <c r="U404" i="2"/>
  <c r="AG404" i="2"/>
  <c r="Z405" i="2"/>
  <c r="E515" i="12"/>
  <c r="AD406" i="2"/>
  <c r="E544" i="12"/>
  <c r="AF408" i="2"/>
  <c r="X409" i="2"/>
  <c r="B93" i="6"/>
  <c r="B222" i="4"/>
  <c r="U413" i="2"/>
  <c r="AG413" i="2"/>
  <c r="Z414" i="2"/>
  <c r="X415" i="2"/>
  <c r="AG415" i="2"/>
  <c r="W415" i="2"/>
  <c r="AC415" i="2"/>
  <c r="U416" i="2"/>
  <c r="W418" i="2"/>
  <c r="AG419" i="2"/>
  <c r="W419" i="2"/>
  <c r="AD419" i="2"/>
  <c r="T419" i="2"/>
  <c r="AC419" i="2"/>
  <c r="S419" i="2"/>
  <c r="AF419" i="2"/>
  <c r="Y420" i="2"/>
  <c r="S421" i="2"/>
  <c r="U577" i="12"/>
  <c r="D118" i="5"/>
  <c r="D209" i="4"/>
  <c r="AB427" i="2"/>
  <c r="AC428" i="2"/>
  <c r="B134" i="8"/>
  <c r="S431" i="2"/>
  <c r="B177" i="8"/>
  <c r="AG433" i="2"/>
  <c r="AA439" i="2"/>
  <c r="B42" i="9"/>
  <c r="AA456" i="2"/>
  <c r="X457" i="2"/>
  <c r="AG457" i="2"/>
  <c r="W457" i="2"/>
  <c r="AF457" i="2"/>
  <c r="V457" i="2"/>
  <c r="AE457" i="2"/>
  <c r="AD457" i="2"/>
  <c r="T457" i="2"/>
  <c r="AC457" i="2"/>
  <c r="S457" i="2"/>
  <c r="AB457" i="2"/>
  <c r="Y457" i="2"/>
  <c r="D139" i="5"/>
  <c r="D238" i="4"/>
  <c r="B104" i="7"/>
  <c r="B146" i="5"/>
  <c r="B263" i="4"/>
  <c r="B118" i="6"/>
  <c r="B251" i="4"/>
  <c r="W607" i="12"/>
  <c r="AK475" i="2"/>
  <c r="AP475" i="2"/>
  <c r="AO475" i="2"/>
  <c r="AN475" i="2"/>
  <c r="AM475" i="2"/>
  <c r="AB476" i="2"/>
  <c r="AK477" i="2"/>
  <c r="AB478" i="2"/>
  <c r="D130" i="4"/>
  <c r="D61" i="5"/>
  <c r="U153" i="12"/>
  <c r="B52" i="6"/>
  <c r="B147" i="4"/>
  <c r="U204" i="12"/>
  <c r="E175" i="12"/>
  <c r="U364" i="12"/>
  <c r="E131" i="12"/>
  <c r="B54" i="6"/>
  <c r="B160" i="4"/>
  <c r="U391" i="12"/>
  <c r="V276" i="2"/>
  <c r="D86" i="5"/>
  <c r="D148" i="4"/>
  <c r="B73" i="7"/>
  <c r="B76" i="6"/>
  <c r="B173" i="4"/>
  <c r="U184" i="12"/>
  <c r="V285" i="2"/>
  <c r="AK289" i="2"/>
  <c r="U232" i="12"/>
  <c r="E277" i="12"/>
  <c r="U366" i="12"/>
  <c r="V303" i="2"/>
  <c r="E97" i="12"/>
  <c r="D106" i="5"/>
  <c r="D82" i="7"/>
  <c r="D187" i="4"/>
  <c r="B77" i="5"/>
  <c r="B165" i="4"/>
  <c r="U203" i="12"/>
  <c r="W312" i="2"/>
  <c r="AO313" i="2"/>
  <c r="E413" i="12"/>
  <c r="D82" i="6"/>
  <c r="D104" i="5"/>
  <c r="D175" i="4"/>
  <c r="U409" i="12"/>
  <c r="W321" i="2"/>
  <c r="V322" i="2"/>
  <c r="S325" i="2"/>
  <c r="E372" i="12"/>
  <c r="U429" i="12"/>
  <c r="W331" i="2"/>
  <c r="V332" i="2"/>
  <c r="S335" i="2"/>
  <c r="E475" i="12"/>
  <c r="W619" i="12"/>
  <c r="B95" i="6"/>
  <c r="B190" i="4"/>
  <c r="U246" i="12"/>
  <c r="W340" i="2"/>
  <c r="V341" i="2"/>
  <c r="T343" i="2"/>
  <c r="S344" i="2"/>
  <c r="E532" i="12"/>
  <c r="U215" i="12"/>
  <c r="W350" i="2"/>
  <c r="V351" i="2"/>
  <c r="T353" i="2"/>
  <c r="S354" i="2"/>
  <c r="E469" i="12"/>
  <c r="B107" i="5"/>
  <c r="B184" i="4"/>
  <c r="U562" i="12"/>
  <c r="W360" i="2"/>
  <c r="V361" i="2"/>
  <c r="T363" i="2"/>
  <c r="S364" i="2"/>
  <c r="E210" i="12"/>
  <c r="D91" i="7"/>
  <c r="D121" i="5"/>
  <c r="D227" i="4"/>
  <c r="B81" i="6"/>
  <c r="B201" i="4"/>
  <c r="X370" i="2"/>
  <c r="Z371" i="2"/>
  <c r="W605" i="12"/>
  <c r="AM372" i="2"/>
  <c r="D81" i="7"/>
  <c r="D229" i="4"/>
  <c r="AB375" i="2"/>
  <c r="E474" i="12"/>
  <c r="AC376" i="2"/>
  <c r="S377" i="2"/>
  <c r="AD377" i="2"/>
  <c r="T378" i="2"/>
  <c r="AE378" i="2"/>
  <c r="W379" i="2"/>
  <c r="U512" i="12"/>
  <c r="B69" i="6"/>
  <c r="B207" i="4"/>
  <c r="AC382" i="2"/>
  <c r="S382" i="2"/>
  <c r="AB382" i="2"/>
  <c r="AC383" i="2"/>
  <c r="AB385" i="2"/>
  <c r="E553" i="12"/>
  <c r="AC386" i="2"/>
  <c r="S388" i="2"/>
  <c r="AD388" i="2"/>
  <c r="V389" i="2"/>
  <c r="AG389" i="2"/>
  <c r="W390" i="2"/>
  <c r="U268" i="12"/>
  <c r="W391" i="2"/>
  <c r="U249" i="12"/>
  <c r="U214" i="12"/>
  <c r="Z394" i="2"/>
  <c r="AG396" i="2"/>
  <c r="W396" i="2"/>
  <c r="AF396" i="2"/>
  <c r="AB396" i="2"/>
  <c r="W397" i="2"/>
  <c r="V399" i="2"/>
  <c r="U240" i="12"/>
  <c r="X400" i="2"/>
  <c r="B93" i="7"/>
  <c r="B239" i="4"/>
  <c r="S403" i="2"/>
  <c r="AE403" i="2"/>
  <c r="V404" i="2"/>
  <c r="AA405" i="2"/>
  <c r="S406" i="2"/>
  <c r="AE406" i="2"/>
  <c r="S408" i="2"/>
  <c r="AG408" i="2"/>
  <c r="Y409" i="2"/>
  <c r="V413" i="2"/>
  <c r="U285" i="12"/>
  <c r="AA414" i="2"/>
  <c r="E541" i="12"/>
  <c r="AD415" i="2"/>
  <c r="X416" i="2"/>
  <c r="B139" i="8"/>
  <c r="AF417" i="2"/>
  <c r="V417" i="2"/>
  <c r="AE417" i="2"/>
  <c r="AC417" i="2"/>
  <c r="Y418" i="2"/>
  <c r="E482" i="12"/>
  <c r="U482" i="12"/>
  <c r="Z420" i="2"/>
  <c r="T421" i="2"/>
  <c r="V423" i="2"/>
  <c r="AC427" i="2"/>
  <c r="AF428" i="2"/>
  <c r="AG430" i="2"/>
  <c r="W430" i="2"/>
  <c r="AF430" i="2"/>
  <c r="V430" i="2"/>
  <c r="AE430" i="2"/>
  <c r="AC430" i="2"/>
  <c r="S430" i="2"/>
  <c r="AB430" i="2"/>
  <c r="X430" i="2"/>
  <c r="X431" i="2"/>
  <c r="U317" i="12"/>
  <c r="AC434" i="2"/>
  <c r="S434" i="2"/>
  <c r="T434" i="2"/>
  <c r="Y438" i="2"/>
  <c r="X438" i="2"/>
  <c r="AG438" i="2"/>
  <c r="W438" i="2"/>
  <c r="AE438" i="2"/>
  <c r="AD438" i="2"/>
  <c r="T438" i="2"/>
  <c r="Z438" i="2"/>
  <c r="AB439" i="2"/>
  <c r="AG440" i="2"/>
  <c r="W440" i="2"/>
  <c r="AF440" i="2"/>
  <c r="V440" i="2"/>
  <c r="AE440" i="2"/>
  <c r="AD440" i="2"/>
  <c r="T440" i="2"/>
  <c r="AC440" i="2"/>
  <c r="S440" i="2"/>
  <c r="AB440" i="2"/>
  <c r="X440" i="2"/>
  <c r="U445" i="2"/>
  <c r="U446" i="2"/>
  <c r="Y448" i="2"/>
  <c r="X448" i="2"/>
  <c r="AG448" i="2"/>
  <c r="W448" i="2"/>
  <c r="AF448" i="2"/>
  <c r="V448" i="2"/>
  <c r="AE448" i="2"/>
  <c r="AD448" i="2"/>
  <c r="T448" i="2"/>
  <c r="Z448" i="2"/>
  <c r="AB456" i="2"/>
  <c r="B188" i="8"/>
  <c r="AC478" i="2"/>
  <c r="U479" i="2"/>
  <c r="U597" i="12"/>
  <c r="AA487" i="2"/>
  <c r="E588" i="12"/>
  <c r="U511" i="12"/>
  <c r="AD518" i="2"/>
  <c r="T518" i="2"/>
  <c r="AC518" i="2"/>
  <c r="S518" i="2"/>
  <c r="AB518" i="2"/>
  <c r="Z518" i="2"/>
  <c r="Y518" i="2"/>
  <c r="X518" i="2"/>
  <c r="W518" i="2"/>
  <c r="V518" i="2"/>
  <c r="AG518" i="2"/>
  <c r="AA518" i="2"/>
  <c r="B102" i="6"/>
  <c r="B282" i="4"/>
  <c r="U533" i="12"/>
  <c r="E330" i="12"/>
  <c r="AA437" i="2"/>
  <c r="B131" i="5"/>
  <c r="B220" i="4"/>
  <c r="U295" i="12"/>
  <c r="AE443" i="2"/>
  <c r="T444" i="2"/>
  <c r="E338" i="12"/>
  <c r="AA447" i="2"/>
  <c r="AE452" i="2"/>
  <c r="T453" i="2"/>
  <c r="X458" i="2"/>
  <c r="U528" i="12"/>
  <c r="W459" i="2"/>
  <c r="AE461" i="2"/>
  <c r="T462" i="2"/>
  <c r="S463" i="2"/>
  <c r="AC463" i="2"/>
  <c r="E251" i="12"/>
  <c r="AB464" i="2"/>
  <c r="AA465" i="2"/>
  <c r="B139" i="5"/>
  <c r="B238" i="4"/>
  <c r="X468" i="2"/>
  <c r="U348" i="12"/>
  <c r="W469" i="2"/>
  <c r="AE471" i="2"/>
  <c r="V472" i="2"/>
  <c r="AG472" i="2"/>
  <c r="X473" i="2"/>
  <c r="B94" i="7"/>
  <c r="B271" i="4"/>
  <c r="D147" i="5"/>
  <c r="D243" i="4"/>
  <c r="E332" i="12"/>
  <c r="AC479" i="2"/>
  <c r="T480" i="2"/>
  <c r="U480" i="2" s="1"/>
  <c r="AF482" i="2"/>
  <c r="W485" i="2"/>
  <c r="U569" i="12"/>
  <c r="W648" i="12"/>
  <c r="AO488" i="2"/>
  <c r="AD489" i="2"/>
  <c r="T489" i="2"/>
  <c r="AB489" i="2"/>
  <c r="E520" i="12"/>
  <c r="AE490" i="2"/>
  <c r="T491" i="2"/>
  <c r="Y494" i="2"/>
  <c r="X494" i="2"/>
  <c r="AC494" i="2"/>
  <c r="T495" i="2"/>
  <c r="AF495" i="2"/>
  <c r="S497" i="2"/>
  <c r="AG497" i="2"/>
  <c r="D117" i="6"/>
  <c r="D265" i="4"/>
  <c r="E386" i="12"/>
  <c r="AF499" i="2"/>
  <c r="Y503" i="2"/>
  <c r="X503" i="2"/>
  <c r="AC503" i="2"/>
  <c r="T504" i="2"/>
  <c r="AF504" i="2"/>
  <c r="S506" i="2"/>
  <c r="AG506" i="2"/>
  <c r="E503" i="12"/>
  <c r="AF508" i="2"/>
  <c r="V509" i="2"/>
  <c r="U393" i="12"/>
  <c r="W510" i="2"/>
  <c r="Z512" i="2"/>
  <c r="Y512" i="2"/>
  <c r="AC512" i="2"/>
  <c r="B111" i="7"/>
  <c r="B293" i="4"/>
  <c r="X514" i="2"/>
  <c r="AG514" i="2"/>
  <c r="W514" i="2"/>
  <c r="AF514" i="2"/>
  <c r="V514" i="2"/>
  <c r="AD514" i="2"/>
  <c r="D158" i="5"/>
  <c r="D261" i="4"/>
  <c r="E545" i="12"/>
  <c r="B195" i="8"/>
  <c r="E488" i="12"/>
  <c r="E271" i="12"/>
  <c r="Z542" i="2"/>
  <c r="Y542" i="2"/>
  <c r="X542" i="2"/>
  <c r="AG542" i="2"/>
  <c r="W542" i="2"/>
  <c r="AF542" i="2"/>
  <c r="V542" i="2"/>
  <c r="AE542" i="2"/>
  <c r="AD542" i="2"/>
  <c r="T542" i="2"/>
  <c r="B143" i="5"/>
  <c r="B274" i="4"/>
  <c r="W654" i="12"/>
  <c r="AN546" i="2"/>
  <c r="AP546" i="2"/>
  <c r="AO546" i="2"/>
  <c r="AM546" i="2"/>
  <c r="AK546" i="2"/>
  <c r="D124" i="7"/>
  <c r="D314" i="4"/>
  <c r="U380" i="12"/>
  <c r="D165" i="5"/>
  <c r="D289" i="4"/>
  <c r="E602" i="12"/>
  <c r="U465" i="12"/>
  <c r="B136" i="6"/>
  <c r="B311" i="4"/>
  <c r="E454" i="12"/>
  <c r="U593" i="2"/>
  <c r="Y605" i="2"/>
  <c r="X605" i="2"/>
  <c r="AA605" i="2"/>
  <c r="Z605" i="2"/>
  <c r="W605" i="2"/>
  <c r="V605" i="2"/>
  <c r="AG605" i="2"/>
  <c r="AF605" i="2"/>
  <c r="T605" i="2"/>
  <c r="AE605" i="2"/>
  <c r="S605" i="2"/>
  <c r="AD605" i="2"/>
  <c r="AB605" i="2"/>
  <c r="D166" i="5"/>
  <c r="D290" i="4"/>
  <c r="X574" i="2"/>
  <c r="V574" i="2"/>
  <c r="AB576" i="2"/>
  <c r="Y576" i="2"/>
  <c r="X576" i="2"/>
  <c r="W576" i="2"/>
  <c r="AG576" i="2"/>
  <c r="V576" i="2"/>
  <c r="AF576" i="2"/>
  <c r="AE576" i="2"/>
  <c r="T576" i="2"/>
  <c r="AD576" i="2"/>
  <c r="S576" i="2"/>
  <c r="E461" i="12"/>
  <c r="B121" i="7"/>
  <c r="B351" i="4"/>
  <c r="B162" i="5"/>
  <c r="B315" i="4"/>
  <c r="D102" i="6"/>
  <c r="D282" i="4"/>
  <c r="D143" i="5"/>
  <c r="D274" i="4"/>
  <c r="W545" i="2"/>
  <c r="V545" i="2"/>
  <c r="AE545" i="2"/>
  <c r="T545" i="2"/>
  <c r="B53" i="9"/>
  <c r="B191" i="8"/>
  <c r="B134" i="6"/>
  <c r="B170" i="5"/>
  <c r="B292" i="4"/>
  <c r="AC557" i="2"/>
  <c r="S557" i="2"/>
  <c r="Z557" i="2"/>
  <c r="Y557" i="2"/>
  <c r="X557" i="2"/>
  <c r="W557" i="2"/>
  <c r="AG557" i="2"/>
  <c r="V557" i="2"/>
  <c r="AF557" i="2"/>
  <c r="AE557" i="2"/>
  <c r="T557" i="2"/>
  <c r="AE565" i="2"/>
  <c r="Y565" i="2"/>
  <c r="X565" i="2"/>
  <c r="W565" i="2"/>
  <c r="AG565" i="2"/>
  <c r="V565" i="2"/>
  <c r="AF565" i="2"/>
  <c r="T565" i="2"/>
  <c r="AD565" i="2"/>
  <c r="S565" i="2"/>
  <c r="AC565" i="2"/>
  <c r="D136" i="6"/>
  <c r="D311" i="4"/>
  <c r="AE599" i="2"/>
  <c r="Z599" i="2"/>
  <c r="Y599" i="2"/>
  <c r="X599" i="2"/>
  <c r="W599" i="2"/>
  <c r="AG599" i="2"/>
  <c r="V599" i="2"/>
  <c r="AF599" i="2"/>
  <c r="T599" i="2"/>
  <c r="AD599" i="2"/>
  <c r="S599" i="2"/>
  <c r="AA599" i="2"/>
  <c r="U497" i="12"/>
  <c r="U608" i="2"/>
  <c r="E564" i="12"/>
  <c r="W650" i="12"/>
  <c r="U510" i="12"/>
  <c r="E560" i="12"/>
  <c r="AA458" i="2"/>
  <c r="U339" i="12"/>
  <c r="E335" i="12"/>
  <c r="D104" i="7"/>
  <c r="D146" i="5"/>
  <c r="D263" i="4"/>
  <c r="AA468" i="2"/>
  <c r="U287" i="12"/>
  <c r="B103" i="7"/>
  <c r="B268" i="4"/>
  <c r="D118" i="6"/>
  <c r="D251" i="4"/>
  <c r="AC474" i="2"/>
  <c r="S474" i="2"/>
  <c r="AB474" i="2"/>
  <c r="E580" i="12"/>
  <c r="D107" i="7"/>
  <c r="D280" i="4"/>
  <c r="X486" i="2"/>
  <c r="AB486" i="2"/>
  <c r="D110" i="7"/>
  <c r="D281" i="4"/>
  <c r="E423" i="12"/>
  <c r="U520" i="12"/>
  <c r="Z493" i="2"/>
  <c r="Y493" i="2"/>
  <c r="AC493" i="2"/>
  <c r="B122" i="6"/>
  <c r="B108" i="7"/>
  <c r="B285" i="4"/>
  <c r="AG496" i="2"/>
  <c r="W496" i="2"/>
  <c r="AF496" i="2"/>
  <c r="V496" i="2"/>
  <c r="AC496" i="2"/>
  <c r="B179" i="8"/>
  <c r="AE498" i="2"/>
  <c r="AD498" i="2"/>
  <c r="T498" i="2"/>
  <c r="AC498" i="2"/>
  <c r="Z502" i="2"/>
  <c r="Y502" i="2"/>
  <c r="AC502" i="2"/>
  <c r="AG505" i="2"/>
  <c r="W505" i="2"/>
  <c r="AF505" i="2"/>
  <c r="V505" i="2"/>
  <c r="AC505" i="2"/>
  <c r="B87" i="7"/>
  <c r="B291" i="4"/>
  <c r="AE507" i="2"/>
  <c r="AD507" i="2"/>
  <c r="T507" i="2"/>
  <c r="AC507" i="2"/>
  <c r="E518" i="12"/>
  <c r="AG515" i="2"/>
  <c r="W515" i="2"/>
  <c r="AF515" i="2"/>
  <c r="V515" i="2"/>
  <c r="AE515" i="2"/>
  <c r="AD515" i="2"/>
  <c r="D125" i="6"/>
  <c r="D275" i="4"/>
  <c r="B104" i="6"/>
  <c r="B277" i="4"/>
  <c r="B264" i="4"/>
  <c r="B151" i="5"/>
  <c r="U537" i="2"/>
  <c r="D101" i="7"/>
  <c r="D316" i="4"/>
  <c r="E401" i="12"/>
  <c r="E494" i="12"/>
  <c r="U467" i="12"/>
  <c r="Z576" i="2"/>
  <c r="U581" i="2"/>
  <c r="U487" i="12"/>
  <c r="E442" i="12"/>
  <c r="U606" i="2"/>
  <c r="E410" i="12"/>
  <c r="D93" i="7"/>
  <c r="D239" i="4"/>
  <c r="AA401" i="2"/>
  <c r="B85" i="6"/>
  <c r="B218" i="4"/>
  <c r="U256" i="12"/>
  <c r="E239" i="12"/>
  <c r="AA411" i="2"/>
  <c r="B94" i="6"/>
  <c r="B224" i="4"/>
  <c r="U320" i="12"/>
  <c r="E408" i="12"/>
  <c r="AA421" i="2"/>
  <c r="B118" i="5"/>
  <c r="B209" i="4"/>
  <c r="X424" i="2"/>
  <c r="U298" i="12"/>
  <c r="W425" i="2"/>
  <c r="AG425" i="2"/>
  <c r="V426" i="2"/>
  <c r="AF426" i="2"/>
  <c r="E533" i="12"/>
  <c r="AA431" i="2"/>
  <c r="B98" i="7"/>
  <c r="B246" i="4"/>
  <c r="X434" i="2"/>
  <c r="U574" i="12"/>
  <c r="W435" i="2"/>
  <c r="AG435" i="2"/>
  <c r="V436" i="2"/>
  <c r="AF436" i="2"/>
  <c r="AE437" i="2"/>
  <c r="E295" i="12"/>
  <c r="AA441" i="2"/>
  <c r="B103" i="6"/>
  <c r="B237" i="4"/>
  <c r="Y443" i="2"/>
  <c r="X444" i="2"/>
  <c r="U290" i="12"/>
  <c r="W445" i="2"/>
  <c r="AG445" i="2"/>
  <c r="V446" i="2"/>
  <c r="AF446" i="2"/>
  <c r="AE447" i="2"/>
  <c r="AK450" i="2"/>
  <c r="Y452" i="2"/>
  <c r="X453" i="2"/>
  <c r="U400" i="12"/>
  <c r="W454" i="2"/>
  <c r="AG454" i="2"/>
  <c r="AO455" i="2"/>
  <c r="E528" i="12"/>
  <c r="AB458" i="2"/>
  <c r="D95" i="7"/>
  <c r="D258" i="4"/>
  <c r="AA459" i="2"/>
  <c r="B114" i="6"/>
  <c r="B242" i="4"/>
  <c r="Y461" i="2"/>
  <c r="X462" i="2"/>
  <c r="U283" i="12"/>
  <c r="W463" i="2"/>
  <c r="AG463" i="2"/>
  <c r="V464" i="2"/>
  <c r="AF464" i="2"/>
  <c r="AE465" i="2"/>
  <c r="E348" i="12"/>
  <c r="AB468" i="2"/>
  <c r="D113" i="6"/>
  <c r="D249" i="4"/>
  <c r="AA469" i="2"/>
  <c r="B108" i="6"/>
  <c r="B134" i="5"/>
  <c r="B250" i="4"/>
  <c r="Y471" i="2"/>
  <c r="Z472" i="2"/>
  <c r="AD473" i="2"/>
  <c r="T473" i="2"/>
  <c r="AB473" i="2"/>
  <c r="E324" i="12"/>
  <c r="AD474" i="2"/>
  <c r="W479" i="2"/>
  <c r="U332" i="12"/>
  <c r="Y480" i="2"/>
  <c r="B105" i="7"/>
  <c r="B279" i="4"/>
  <c r="Y482" i="2"/>
  <c r="B122" i="5"/>
  <c r="B245" i="4"/>
  <c r="AB485" i="2"/>
  <c r="E331" i="12"/>
  <c r="AC486" i="2"/>
  <c r="AN488" i="2"/>
  <c r="V489" i="2"/>
  <c r="AG489" i="2"/>
  <c r="W490" i="2"/>
  <c r="X491" i="2"/>
  <c r="E358" i="12"/>
  <c r="AD493" i="2"/>
  <c r="AG494" i="2"/>
  <c r="Z495" i="2"/>
  <c r="E344" i="12"/>
  <c r="AD496" i="2"/>
  <c r="Y497" i="2"/>
  <c r="E535" i="12"/>
  <c r="AF498" i="2"/>
  <c r="X499" i="2"/>
  <c r="B132" i="5"/>
  <c r="B254" i="4"/>
  <c r="D142" i="5"/>
  <c r="D255" i="4"/>
  <c r="E377" i="12"/>
  <c r="AD502" i="2"/>
  <c r="AG503" i="2"/>
  <c r="Z504" i="2"/>
  <c r="E554" i="12"/>
  <c r="AD505" i="2"/>
  <c r="Y506" i="2"/>
  <c r="E274" i="12"/>
  <c r="AF507" i="2"/>
  <c r="X508" i="2"/>
  <c r="B123" i="6"/>
  <c r="B272" i="4"/>
  <c r="Z509" i="2"/>
  <c r="AC510" i="2"/>
  <c r="AG512" i="2"/>
  <c r="AB513" i="2"/>
  <c r="B152" i="5"/>
  <c r="B260" i="4"/>
  <c r="E334" i="12"/>
  <c r="U334" i="12"/>
  <c r="Z517" i="2"/>
  <c r="U390" i="12"/>
  <c r="AA522" i="2"/>
  <c r="AP524" i="2"/>
  <c r="Z525" i="2"/>
  <c r="AA526" i="2"/>
  <c r="U367" i="12"/>
  <c r="AE539" i="2"/>
  <c r="AB542" i="2"/>
  <c r="Y543" i="2"/>
  <c r="X543" i="2"/>
  <c r="AG543" i="2"/>
  <c r="W543" i="2"/>
  <c r="AF543" i="2"/>
  <c r="V543" i="2"/>
  <c r="AE543" i="2"/>
  <c r="AD543" i="2"/>
  <c r="T543" i="2"/>
  <c r="AC543" i="2"/>
  <c r="S543" i="2"/>
  <c r="U552" i="2"/>
  <c r="AA557" i="2"/>
  <c r="AB558" i="2"/>
  <c r="Z558" i="2"/>
  <c r="Y558" i="2"/>
  <c r="X558" i="2"/>
  <c r="W558" i="2"/>
  <c r="AG558" i="2"/>
  <c r="V558" i="2"/>
  <c r="AF558" i="2"/>
  <c r="AE558" i="2"/>
  <c r="T558" i="2"/>
  <c r="B120" i="7"/>
  <c r="B324" i="4"/>
  <c r="Z565" i="2"/>
  <c r="AA576" i="2"/>
  <c r="U579" i="2"/>
  <c r="D137" i="6"/>
  <c r="D322" i="4"/>
  <c r="U592" i="2"/>
  <c r="U594" i="2"/>
  <c r="AB599" i="2"/>
  <c r="E490" i="12"/>
  <c r="U253" i="12"/>
  <c r="E286" i="12"/>
  <c r="W666" i="12"/>
  <c r="B110" i="5"/>
  <c r="B198" i="4"/>
  <c r="U553" i="12"/>
  <c r="E249" i="12"/>
  <c r="D88" i="6"/>
  <c r="D211" i="4"/>
  <c r="U531" i="12"/>
  <c r="E248" i="12"/>
  <c r="B113" i="5"/>
  <c r="B202" i="4"/>
  <c r="U359" i="12"/>
  <c r="E496" i="12"/>
  <c r="D106" i="6"/>
  <c r="D130" i="5"/>
  <c r="D223" i="4"/>
  <c r="B105" i="6"/>
  <c r="B129" i="5"/>
  <c r="B226" i="4"/>
  <c r="U541" i="12"/>
  <c r="E577" i="12"/>
  <c r="D91" i="6"/>
  <c r="D228" i="4"/>
  <c r="B107" i="6"/>
  <c r="B133" i="5"/>
  <c r="B230" i="4"/>
  <c r="Y424" i="2"/>
  <c r="X425" i="2"/>
  <c r="U456" i="12"/>
  <c r="W426" i="2"/>
  <c r="AG426" i="2"/>
  <c r="E470" i="12"/>
  <c r="Y434" i="2"/>
  <c r="X435" i="2"/>
  <c r="U419" i="12"/>
  <c r="W436" i="2"/>
  <c r="AG436" i="2"/>
  <c r="V437" i="2"/>
  <c r="AF437" i="2"/>
  <c r="E585" i="12"/>
  <c r="D123" i="5"/>
  <c r="D221" i="4"/>
  <c r="Z443" i="2"/>
  <c r="B125" i="5"/>
  <c r="B225" i="4"/>
  <c r="Y444" i="2"/>
  <c r="X445" i="2"/>
  <c r="U483" i="12"/>
  <c r="W446" i="2"/>
  <c r="AG446" i="2"/>
  <c r="V447" i="2"/>
  <c r="AF447" i="2"/>
  <c r="Z452" i="2"/>
  <c r="Y453" i="2"/>
  <c r="X454" i="2"/>
  <c r="U388" i="12"/>
  <c r="S458" i="2"/>
  <c r="AC458" i="2"/>
  <c r="E315" i="12"/>
  <c r="Z461" i="2"/>
  <c r="B117" i="5"/>
  <c r="B232" i="4"/>
  <c r="Y462" i="2"/>
  <c r="X463" i="2"/>
  <c r="U357" i="12"/>
  <c r="W464" i="2"/>
  <c r="AG464" i="2"/>
  <c r="V465" i="2"/>
  <c r="AF465" i="2"/>
  <c r="S468" i="2"/>
  <c r="AC468" i="2"/>
  <c r="E361" i="12"/>
  <c r="Z471" i="2"/>
  <c r="B186" i="8"/>
  <c r="AA472" i="2"/>
  <c r="D103" i="7"/>
  <c r="D268" i="4"/>
  <c r="E371" i="12"/>
  <c r="AC473" i="2"/>
  <c r="T474" i="2"/>
  <c r="AE474" i="2"/>
  <c r="X479" i="2"/>
  <c r="W644" i="12"/>
  <c r="AM481" i="2"/>
  <c r="AL481" i="2" s="1"/>
  <c r="Z482" i="2"/>
  <c r="AB484" i="2"/>
  <c r="E569" i="12"/>
  <c r="AC485" i="2"/>
  <c r="S486" i="2"/>
  <c r="AD486" i="2"/>
  <c r="AP488" i="2"/>
  <c r="W489" i="2"/>
  <c r="U588" i="12"/>
  <c r="X490" i="2"/>
  <c r="B247" i="4"/>
  <c r="B109" i="5"/>
  <c r="S493" i="2"/>
  <c r="AE493" i="2"/>
  <c r="V494" i="2"/>
  <c r="D108" i="7"/>
  <c r="D122" i="6"/>
  <c r="D285" i="4"/>
  <c r="S496" i="2"/>
  <c r="AE496" i="2"/>
  <c r="Z497" i="2"/>
  <c r="S498" i="2"/>
  <c r="AG498" i="2"/>
  <c r="Y499" i="2"/>
  <c r="S502" i="2"/>
  <c r="AE502" i="2"/>
  <c r="V503" i="2"/>
  <c r="S505" i="2"/>
  <c r="AE505" i="2"/>
  <c r="Z506" i="2"/>
  <c r="D87" i="7"/>
  <c r="D291" i="4"/>
  <c r="S507" i="2"/>
  <c r="AG507" i="2"/>
  <c r="Y508" i="2"/>
  <c r="V512" i="2"/>
  <c r="Y514" i="2"/>
  <c r="S515" i="2"/>
  <c r="AF516" i="2"/>
  <c r="V516" i="2"/>
  <c r="AE516" i="2"/>
  <c r="AD516" i="2"/>
  <c r="T516" i="2"/>
  <c r="AG516" i="2"/>
  <c r="AA517" i="2"/>
  <c r="U521" i="2"/>
  <c r="AB522" i="2"/>
  <c r="AA525" i="2"/>
  <c r="AB526" i="2"/>
  <c r="W634" i="12"/>
  <c r="AP533" i="2"/>
  <c r="AO533" i="2"/>
  <c r="AN533" i="2"/>
  <c r="AM533" i="2"/>
  <c r="AL533" i="2" s="1"/>
  <c r="W535" i="2"/>
  <c r="V535" i="2"/>
  <c r="T535" i="2"/>
  <c r="D120" i="6"/>
  <c r="D288" i="4"/>
  <c r="AC542" i="2"/>
  <c r="E370" i="12"/>
  <c r="B212" i="8"/>
  <c r="X545" i="2"/>
  <c r="Z550" i="2"/>
  <c r="Y550" i="2"/>
  <c r="X550" i="2"/>
  <c r="W550" i="2"/>
  <c r="AG550" i="2"/>
  <c r="V550" i="2"/>
  <c r="AF550" i="2"/>
  <c r="AE550" i="2"/>
  <c r="T550" i="2"/>
  <c r="AD550" i="2"/>
  <c r="S550" i="2"/>
  <c r="AB557" i="2"/>
  <c r="AA565" i="2"/>
  <c r="AD566" i="2"/>
  <c r="T566" i="2"/>
  <c r="U566" i="2" s="1"/>
  <c r="AA566" i="2"/>
  <c r="Z566" i="2"/>
  <c r="Y566" i="2"/>
  <c r="X566" i="2"/>
  <c r="W566" i="2"/>
  <c r="AG566" i="2"/>
  <c r="V566" i="2"/>
  <c r="AF566" i="2"/>
  <c r="B161" i="5"/>
  <c r="B294" i="4"/>
  <c r="AC576" i="2"/>
  <c r="E558" i="12"/>
  <c r="AC599" i="2"/>
  <c r="D140" i="6"/>
  <c r="D346" i="4"/>
  <c r="E304" i="12"/>
  <c r="D103" i="6"/>
  <c r="D237" i="4"/>
  <c r="AA443" i="2"/>
  <c r="U338" i="12"/>
  <c r="AM450" i="2"/>
  <c r="E570" i="12"/>
  <c r="AA452" i="2"/>
  <c r="B102" i="7"/>
  <c r="B257" i="4"/>
  <c r="T458" i="2"/>
  <c r="AD458" i="2"/>
  <c r="S459" i="2"/>
  <c r="AC459" i="2"/>
  <c r="E455" i="12"/>
  <c r="D114" i="6"/>
  <c r="D242" i="4"/>
  <c r="AA461" i="2"/>
  <c r="B109" i="6"/>
  <c r="B244" i="4"/>
  <c r="U251" i="12"/>
  <c r="T468" i="2"/>
  <c r="AD468" i="2"/>
  <c r="S469" i="2"/>
  <c r="AC469" i="2"/>
  <c r="E589" i="12"/>
  <c r="D108" i="6"/>
  <c r="D134" i="5"/>
  <c r="D250" i="4"/>
  <c r="AA471" i="2"/>
  <c r="AB472" i="2"/>
  <c r="S473" i="2"/>
  <c r="AE473" i="2"/>
  <c r="AF474" i="2"/>
  <c r="U265" i="12"/>
  <c r="B106" i="7"/>
  <c r="B154" i="5"/>
  <c r="B276" i="4"/>
  <c r="D105" i="7"/>
  <c r="D279" i="4"/>
  <c r="AA482" i="2"/>
  <c r="E597" i="12"/>
  <c r="S485" i="2"/>
  <c r="T486" i="2"/>
  <c r="AE486" i="2"/>
  <c r="E582" i="12"/>
  <c r="T493" i="2"/>
  <c r="AF493" i="2"/>
  <c r="B135" i="5"/>
  <c r="B252" i="4"/>
  <c r="T496" i="2"/>
  <c r="U344" i="12"/>
  <c r="V498" i="2"/>
  <c r="U535" i="12"/>
  <c r="W651" i="12"/>
  <c r="AK500" i="2"/>
  <c r="E306" i="12"/>
  <c r="T502" i="2"/>
  <c r="AF502" i="2"/>
  <c r="T505" i="2"/>
  <c r="U554" i="12"/>
  <c r="V507" i="2"/>
  <c r="U274" i="12"/>
  <c r="D123" i="6"/>
  <c r="D272" i="4"/>
  <c r="AC509" i="2"/>
  <c r="S509" i="2"/>
  <c r="AB509" i="2"/>
  <c r="AD509" i="2"/>
  <c r="S510" i="2"/>
  <c r="AE510" i="2"/>
  <c r="Y513" i="2"/>
  <c r="X513" i="2"/>
  <c r="AG513" i="2"/>
  <c r="W513" i="2"/>
  <c r="AD513" i="2"/>
  <c r="D152" i="5"/>
  <c r="D260" i="4"/>
  <c r="T515" i="2"/>
  <c r="B172" i="8"/>
  <c r="E477" i="12"/>
  <c r="U477" i="12"/>
  <c r="AB525" i="2"/>
  <c r="E345" i="12"/>
  <c r="W621" i="12"/>
  <c r="AK531" i="2"/>
  <c r="AP531" i="2"/>
  <c r="U230" i="12"/>
  <c r="U563" i="12"/>
  <c r="E460" i="12"/>
  <c r="AB548" i="2"/>
  <c r="X548" i="2"/>
  <c r="W548" i="2"/>
  <c r="AG548" i="2"/>
  <c r="V548" i="2"/>
  <c r="AF548" i="2"/>
  <c r="AE548" i="2"/>
  <c r="T548" i="2"/>
  <c r="AD548" i="2"/>
  <c r="S548" i="2"/>
  <c r="AC548" i="2"/>
  <c r="E579" i="12"/>
  <c r="AD557" i="2"/>
  <c r="S558" i="2"/>
  <c r="AB565" i="2"/>
  <c r="E378" i="12"/>
  <c r="AR570" i="2"/>
  <c r="D138" i="6"/>
  <c r="D313" i="4"/>
  <c r="AQ583" i="2"/>
  <c r="E323" i="12"/>
  <c r="D107" i="6"/>
  <c r="D133" i="5"/>
  <c r="D230" i="4"/>
  <c r="Z425" i="2"/>
  <c r="B124" i="5"/>
  <c r="B210" i="4"/>
  <c r="Y426" i="2"/>
  <c r="U289" i="12"/>
  <c r="E317" i="12"/>
  <c r="Z435" i="2"/>
  <c r="B100" i="7"/>
  <c r="B248" i="4"/>
  <c r="Y436" i="2"/>
  <c r="X437" i="2"/>
  <c r="U430" i="12"/>
  <c r="E252" i="12"/>
  <c r="AB443" i="2"/>
  <c r="D125" i="5"/>
  <c r="D225" i="4"/>
  <c r="Z445" i="2"/>
  <c r="B96" i="7"/>
  <c r="B253" i="4"/>
  <c r="Y446" i="2"/>
  <c r="X447" i="2"/>
  <c r="U547" i="12"/>
  <c r="AN450" i="2"/>
  <c r="E510" i="12"/>
  <c r="AB452" i="2"/>
  <c r="Z454" i="2"/>
  <c r="AE458" i="2"/>
  <c r="T459" i="2"/>
  <c r="E339" i="12"/>
  <c r="AB461" i="2"/>
  <c r="D117" i="5"/>
  <c r="D232" i="4"/>
  <c r="Z463" i="2"/>
  <c r="B114" i="5"/>
  <c r="B234" i="4"/>
  <c r="Y464" i="2"/>
  <c r="U509" i="12"/>
  <c r="AE468" i="2"/>
  <c r="T469" i="2"/>
  <c r="E287" i="12"/>
  <c r="AB471" i="2"/>
  <c r="E530" i="12"/>
  <c r="AC472" i="2"/>
  <c r="V474" i="2"/>
  <c r="AG474" i="2"/>
  <c r="Z479" i="2"/>
  <c r="AE480" i="2"/>
  <c r="AB480" i="2"/>
  <c r="AC482" i="2"/>
  <c r="E255" i="12"/>
  <c r="T485" i="2"/>
  <c r="AE485" i="2"/>
  <c r="AF486" i="2"/>
  <c r="U423" i="12"/>
  <c r="Y489" i="2"/>
  <c r="Z490" i="2"/>
  <c r="AC491" i="2"/>
  <c r="AG493" i="2"/>
  <c r="X495" i="2"/>
  <c r="AG495" i="2"/>
  <c r="W495" i="2"/>
  <c r="AC495" i="2"/>
  <c r="W498" i="2"/>
  <c r="AA499" i="2"/>
  <c r="AM500" i="2"/>
  <c r="AG502" i="2"/>
  <c r="X504" i="2"/>
  <c r="AG504" i="2"/>
  <c r="W504" i="2"/>
  <c r="AC504" i="2"/>
  <c r="W507" i="2"/>
  <c r="AA508" i="2"/>
  <c r="AE509" i="2"/>
  <c r="T510" i="2"/>
  <c r="X512" i="2"/>
  <c r="E381" i="12"/>
  <c r="AE513" i="2"/>
  <c r="AA514" i="2"/>
  <c r="X515" i="2"/>
  <c r="U362" i="12"/>
  <c r="AC525" i="2"/>
  <c r="U327" i="12"/>
  <c r="B269" i="4"/>
  <c r="B116" i="5"/>
  <c r="E418" i="12"/>
  <c r="AC539" i="2"/>
  <c r="S539" i="2"/>
  <c r="AB539" i="2"/>
  <c r="Z539" i="2"/>
  <c r="Y539" i="2"/>
  <c r="X539" i="2"/>
  <c r="AG539" i="2"/>
  <c r="W539" i="2"/>
  <c r="U541" i="2"/>
  <c r="U417" i="12"/>
  <c r="D113" i="7"/>
  <c r="D318" i="4"/>
  <c r="AA558" i="2"/>
  <c r="E586" i="12"/>
  <c r="E446" i="12"/>
  <c r="D117" i="7"/>
  <c r="D358" i="4"/>
  <c r="U573" i="12"/>
  <c r="E298" i="12"/>
  <c r="Z426" i="2"/>
  <c r="B110" i="6"/>
  <c r="B136" i="5"/>
  <c r="B231" i="4"/>
  <c r="U294" i="12"/>
  <c r="E574" i="12"/>
  <c r="AA435" i="2"/>
  <c r="Z436" i="2"/>
  <c r="Y437" i="2"/>
  <c r="U536" i="12"/>
  <c r="S443" i="2"/>
  <c r="AC443" i="2"/>
  <c r="E290" i="12"/>
  <c r="AA445" i="2"/>
  <c r="Z446" i="2"/>
  <c r="Y447" i="2"/>
  <c r="U322" i="12"/>
  <c r="AO450" i="2"/>
  <c r="S452" i="2"/>
  <c r="AC452" i="2"/>
  <c r="E400" i="12"/>
  <c r="D102" i="7"/>
  <c r="D257" i="4"/>
  <c r="AA454" i="2"/>
  <c r="U550" i="12"/>
  <c r="V458" i="2"/>
  <c r="AF458" i="2"/>
  <c r="AE459" i="2"/>
  <c r="S461" i="2"/>
  <c r="AC461" i="2"/>
  <c r="E283" i="12"/>
  <c r="D109" i="6"/>
  <c r="D244" i="4"/>
  <c r="AA463" i="2"/>
  <c r="Z464" i="2"/>
  <c r="U463" i="12"/>
  <c r="V468" i="2"/>
  <c r="AF468" i="2"/>
  <c r="AE469" i="2"/>
  <c r="S471" i="2"/>
  <c r="AC471" i="2"/>
  <c r="S472" i="2"/>
  <c r="AD472" i="2"/>
  <c r="V473" i="2"/>
  <c r="W474" i="2"/>
  <c r="U324" i="12"/>
  <c r="U580" i="12"/>
  <c r="B147" i="5"/>
  <c r="B243" i="4"/>
  <c r="D106" i="7"/>
  <c r="D154" i="5"/>
  <c r="D276" i="4"/>
  <c r="E340" i="12"/>
  <c r="AC480" i="2"/>
  <c r="S482" i="2"/>
  <c r="AD482" i="2"/>
  <c r="V486" i="2"/>
  <c r="AG486" i="2"/>
  <c r="V493" i="2"/>
  <c r="U358" i="12"/>
  <c r="D135" i="5"/>
  <c r="D252" i="4"/>
  <c r="E311" i="12"/>
  <c r="X496" i="2"/>
  <c r="B205" i="8"/>
  <c r="AF497" i="2"/>
  <c r="V497" i="2"/>
  <c r="AE497" i="2"/>
  <c r="AC497" i="2"/>
  <c r="X498" i="2"/>
  <c r="B117" i="6"/>
  <c r="B265" i="4"/>
  <c r="AN500" i="2"/>
  <c r="V502" i="2"/>
  <c r="U377" i="12"/>
  <c r="E557" i="12"/>
  <c r="AD504" i="2"/>
  <c r="X505" i="2"/>
  <c r="B196" i="8"/>
  <c r="AF506" i="2"/>
  <c r="V506" i="2"/>
  <c r="AE506" i="2"/>
  <c r="AC506" i="2"/>
  <c r="X507" i="2"/>
  <c r="T509" i="2"/>
  <c r="AF509" i="2"/>
  <c r="U518" i="12"/>
  <c r="AA512" i="2"/>
  <c r="D145" i="5"/>
  <c r="D259" i="4"/>
  <c r="S513" i="2"/>
  <c r="AF513" i="2"/>
  <c r="AB514" i="2"/>
  <c r="Y515" i="2"/>
  <c r="B158" i="5"/>
  <c r="B261" i="4"/>
  <c r="AE517" i="2"/>
  <c r="AD517" i="2"/>
  <c r="T517" i="2"/>
  <c r="AC517" i="2"/>
  <c r="S517" i="2"/>
  <c r="AG517" i="2"/>
  <c r="U520" i="2"/>
  <c r="AC522" i="2"/>
  <c r="S522" i="2"/>
  <c r="Z522" i="2"/>
  <c r="Y522" i="2"/>
  <c r="X522" i="2"/>
  <c r="AF522" i="2"/>
  <c r="W640" i="12"/>
  <c r="AP527" i="2"/>
  <c r="AN527" i="2"/>
  <c r="AM527" i="2"/>
  <c r="AK527" i="2"/>
  <c r="AM531" i="2"/>
  <c r="X534" i="2"/>
  <c r="AG534" i="2"/>
  <c r="W534" i="2"/>
  <c r="AE534" i="2"/>
  <c r="AD534" i="2"/>
  <c r="T534" i="2"/>
  <c r="AC534" i="2"/>
  <c r="S534" i="2"/>
  <c r="AB534" i="2"/>
  <c r="B116" i="6"/>
  <c r="B286" i="4"/>
  <c r="X544" i="2"/>
  <c r="AG544" i="2"/>
  <c r="W544" i="2"/>
  <c r="AF544" i="2"/>
  <c r="V544" i="2"/>
  <c r="AE544" i="2"/>
  <c r="AD544" i="2"/>
  <c r="T544" i="2"/>
  <c r="AC544" i="2"/>
  <c r="S544" i="2"/>
  <c r="AB544" i="2"/>
  <c r="B124" i="7"/>
  <c r="B314" i="4"/>
  <c r="Y551" i="2"/>
  <c r="AA551" i="2"/>
  <c r="Z551" i="2"/>
  <c r="X551" i="2"/>
  <c r="W551" i="2"/>
  <c r="AG551" i="2"/>
  <c r="V551" i="2"/>
  <c r="AF551" i="2"/>
  <c r="AE551" i="2"/>
  <c r="T551" i="2"/>
  <c r="U551" i="2" s="1"/>
  <c r="E353" i="12"/>
  <c r="U560" i="2"/>
  <c r="U571" i="2"/>
  <c r="AC575" i="2"/>
  <c r="S575" i="2"/>
  <c r="Y575" i="2"/>
  <c r="X575" i="2"/>
  <c r="W575" i="2"/>
  <c r="AG575" i="2"/>
  <c r="V575" i="2"/>
  <c r="AF575" i="2"/>
  <c r="AE575" i="2"/>
  <c r="T575" i="2"/>
  <c r="AD575" i="2"/>
  <c r="AL580" i="2"/>
  <c r="U491" i="12"/>
  <c r="U499" i="12"/>
  <c r="U588" i="2"/>
  <c r="AF589" i="2"/>
  <c r="V589" i="2"/>
  <c r="Y589" i="2"/>
  <c r="X589" i="2"/>
  <c r="W589" i="2"/>
  <c r="AG589" i="2"/>
  <c r="AE589" i="2"/>
  <c r="T589" i="2"/>
  <c r="AD589" i="2"/>
  <c r="S589" i="2"/>
  <c r="AC589" i="2"/>
  <c r="Z589" i="2"/>
  <c r="E456" i="12"/>
  <c r="D124" i="5"/>
  <c r="D210" i="4"/>
  <c r="B128" i="5"/>
  <c r="B212" i="4"/>
  <c r="U566" i="12"/>
  <c r="U432" i="2"/>
  <c r="E419" i="12"/>
  <c r="D100" i="7"/>
  <c r="D248" i="4"/>
  <c r="U314" i="12"/>
  <c r="U442" i="2"/>
  <c r="T443" i="2"/>
  <c r="S444" i="2"/>
  <c r="E483" i="12"/>
  <c r="D96" i="7"/>
  <c r="D253" i="4"/>
  <c r="B115" i="6"/>
  <c r="B144" i="5"/>
  <c r="B241" i="4"/>
  <c r="U564" i="12"/>
  <c r="AP450" i="2"/>
  <c r="U451" i="2"/>
  <c r="T452" i="2"/>
  <c r="S453" i="2"/>
  <c r="E388" i="12"/>
  <c r="W611" i="12"/>
  <c r="U560" i="12"/>
  <c r="W458" i="2"/>
  <c r="U460" i="2"/>
  <c r="T461" i="2"/>
  <c r="S462" i="2"/>
  <c r="E357" i="12"/>
  <c r="D234" i="4"/>
  <c r="D114" i="5"/>
  <c r="U335" i="12"/>
  <c r="W468" i="2"/>
  <c r="U470" i="2"/>
  <c r="T471" i="2"/>
  <c r="T472" i="2"/>
  <c r="AF472" i="2"/>
  <c r="U371" i="12"/>
  <c r="X474" i="2"/>
  <c r="AF479" i="2"/>
  <c r="V479" i="2"/>
  <c r="AB479" i="2"/>
  <c r="T482" i="2"/>
  <c r="AE482" i="2"/>
  <c r="W486" i="2"/>
  <c r="AC490" i="2"/>
  <c r="S490" i="2"/>
  <c r="AB490" i="2"/>
  <c r="AD490" i="2"/>
  <c r="S491" i="2"/>
  <c r="W493" i="2"/>
  <c r="S495" i="2"/>
  <c r="Y496" i="2"/>
  <c r="E511" i="12"/>
  <c r="Y498" i="2"/>
  <c r="AD499" i="2"/>
  <c r="T499" i="2"/>
  <c r="AC499" i="2"/>
  <c r="S499" i="2"/>
  <c r="AE499" i="2"/>
  <c r="AO500" i="2"/>
  <c r="W502" i="2"/>
  <c r="S504" i="2"/>
  <c r="Y505" i="2"/>
  <c r="E583" i="12"/>
  <c r="Y507" i="2"/>
  <c r="AD508" i="2"/>
  <c r="T508" i="2"/>
  <c r="AC508" i="2"/>
  <c r="S508" i="2"/>
  <c r="AE508" i="2"/>
  <c r="AG509" i="2"/>
  <c r="U516" i="12"/>
  <c r="T513" i="2"/>
  <c r="Z515" i="2"/>
  <c r="E379" i="12"/>
  <c r="U379" i="12"/>
  <c r="U280" i="12"/>
  <c r="D153" i="5"/>
  <c r="D262" i="4"/>
  <c r="E360" i="12"/>
  <c r="Y525" i="2"/>
  <c r="AF525" i="2"/>
  <c r="V525" i="2"/>
  <c r="AE525" i="2"/>
  <c r="AD525" i="2"/>
  <c r="T525" i="2"/>
  <c r="U545" i="12"/>
  <c r="X526" i="2"/>
  <c r="AF526" i="2"/>
  <c r="V526" i="2"/>
  <c r="AE526" i="2"/>
  <c r="AD526" i="2"/>
  <c r="T526" i="2"/>
  <c r="AC526" i="2"/>
  <c r="S526" i="2"/>
  <c r="B50" i="9"/>
  <c r="AN531" i="2"/>
  <c r="B128" i="6"/>
  <c r="B283" i="4"/>
  <c r="D112" i="7"/>
  <c r="D131" i="6"/>
  <c r="D306" i="4"/>
  <c r="D150" i="5"/>
  <c r="D273" i="4"/>
  <c r="X547" i="2"/>
  <c r="W547" i="2"/>
  <c r="V547" i="2"/>
  <c r="X549" i="2"/>
  <c r="W549" i="2"/>
  <c r="V549" i="2"/>
  <c r="AE549" i="2"/>
  <c r="T549" i="2"/>
  <c r="S549" i="2"/>
  <c r="AC549" i="2"/>
  <c r="B203" i="8"/>
  <c r="E350" i="12"/>
  <c r="AD556" i="2"/>
  <c r="T556" i="2"/>
  <c r="Y556" i="2"/>
  <c r="X556" i="2"/>
  <c r="W556" i="2"/>
  <c r="AG556" i="2"/>
  <c r="V556" i="2"/>
  <c r="AF556" i="2"/>
  <c r="AE556" i="2"/>
  <c r="S556" i="2"/>
  <c r="AC556" i="2"/>
  <c r="AR580" i="2"/>
  <c r="D129" i="7"/>
  <c r="D340" i="4"/>
  <c r="AB578" i="2"/>
  <c r="D126" i="7"/>
  <c r="D341" i="4"/>
  <c r="E489" i="12"/>
  <c r="AB590" i="2"/>
  <c r="E449" i="12"/>
  <c r="U495" i="12"/>
  <c r="B117" i="7"/>
  <c r="B358" i="4"/>
  <c r="D181" i="5"/>
  <c r="D317" i="4"/>
  <c r="E411" i="12"/>
  <c r="E555" i="12"/>
  <c r="D135" i="7"/>
  <c r="D197" i="5"/>
  <c r="D366" i="4"/>
  <c r="U525" i="12"/>
  <c r="B185" i="5"/>
  <c r="B329" i="4"/>
  <c r="B167" i="5"/>
  <c r="B337" i="4"/>
  <c r="D184" i="5"/>
  <c r="D344" i="4"/>
  <c r="B136" i="7"/>
  <c r="B374" i="4"/>
  <c r="B171" i="5"/>
  <c r="B326" i="4"/>
  <c r="E471" i="12"/>
  <c r="W616" i="2"/>
  <c r="T616" i="2"/>
  <c r="AC616" i="2"/>
  <c r="S616" i="2"/>
  <c r="B140" i="5"/>
  <c r="B332" i="4"/>
  <c r="D132" i="7"/>
  <c r="D363" i="4"/>
  <c r="E578" i="12"/>
  <c r="U555" i="12"/>
  <c r="D179" i="5"/>
  <c r="D330" i="4"/>
  <c r="X616" i="2"/>
  <c r="D140" i="5"/>
  <c r="D332" i="4"/>
  <c r="E347" i="12"/>
  <c r="Z633" i="2"/>
  <c r="Y633" i="2"/>
  <c r="X633" i="2"/>
  <c r="AG633" i="2"/>
  <c r="W633" i="2"/>
  <c r="AF633" i="2"/>
  <c r="V633" i="2"/>
  <c r="AE633" i="2"/>
  <c r="AD633" i="2"/>
  <c r="T633" i="2"/>
  <c r="AC633" i="2"/>
  <c r="S633" i="2"/>
  <c r="U415" i="12"/>
  <c r="E390" i="12"/>
  <c r="AA519" i="2"/>
  <c r="B121" i="6"/>
  <c r="B278" i="4"/>
  <c r="U360" i="12"/>
  <c r="AO524" i="2"/>
  <c r="B266" i="4"/>
  <c r="B156" i="5"/>
  <c r="X530" i="2"/>
  <c r="U345" i="12"/>
  <c r="AE532" i="2"/>
  <c r="E351" i="12"/>
  <c r="D116" i="5"/>
  <c r="D269" i="4"/>
  <c r="AA535" i="2"/>
  <c r="X538" i="2"/>
  <c r="U418" i="12"/>
  <c r="V540" i="2"/>
  <c r="AF540" i="2"/>
  <c r="AE541" i="2"/>
  <c r="E349" i="12"/>
  <c r="AA545" i="2"/>
  <c r="AC547" i="2"/>
  <c r="S547" i="2"/>
  <c r="AB547" i="2"/>
  <c r="E439" i="12"/>
  <c r="AF552" i="2"/>
  <c r="V553" i="2"/>
  <c r="U480" i="12"/>
  <c r="Y554" i="2"/>
  <c r="B119" i="6"/>
  <c r="B298" i="4"/>
  <c r="D58" i="6"/>
  <c r="D299" i="4"/>
  <c r="E138" i="12"/>
  <c r="T559" i="2"/>
  <c r="AE559" i="2"/>
  <c r="AF560" i="2"/>
  <c r="V561" i="2"/>
  <c r="W562" i="2"/>
  <c r="Y563" i="2"/>
  <c r="B160" i="5"/>
  <c r="B287" i="4"/>
  <c r="D120" i="7"/>
  <c r="D324" i="4"/>
  <c r="E425" i="12"/>
  <c r="V567" i="2"/>
  <c r="AG567" i="2"/>
  <c r="V568" i="2"/>
  <c r="AO569" i="2"/>
  <c r="AN570" i="2"/>
  <c r="AF571" i="2"/>
  <c r="X572" i="2"/>
  <c r="AD574" i="2"/>
  <c r="T574" i="2"/>
  <c r="AB574" i="2"/>
  <c r="E434" i="12"/>
  <c r="S577" i="2"/>
  <c r="T578" i="2"/>
  <c r="U578" i="2" s="1"/>
  <c r="AE578" i="2"/>
  <c r="AF579" i="2"/>
  <c r="AO580" i="2"/>
  <c r="AQ580" i="2" s="1"/>
  <c r="W581" i="2"/>
  <c r="U481" i="12"/>
  <c r="B130" i="7"/>
  <c r="B347" i="4"/>
  <c r="B155" i="5"/>
  <c r="B304" i="4"/>
  <c r="B118" i="7"/>
  <c r="B350" i="4"/>
  <c r="D121" i="7"/>
  <c r="D351" i="4"/>
  <c r="E405" i="12"/>
  <c r="T590" i="2"/>
  <c r="AF590" i="2"/>
  <c r="AP591" i="2"/>
  <c r="AF592" i="2"/>
  <c r="W595" i="2"/>
  <c r="U333" i="12"/>
  <c r="Y596" i="2"/>
  <c r="AF598" i="2"/>
  <c r="V598" i="2"/>
  <c r="AB598" i="2"/>
  <c r="V600" i="2"/>
  <c r="AG600" i="2"/>
  <c r="U513" i="12"/>
  <c r="W602" i="2"/>
  <c r="U508" i="12"/>
  <c r="W608" i="2"/>
  <c r="X610" i="2"/>
  <c r="D171" i="5"/>
  <c r="D326" i="4"/>
  <c r="AC611" i="2"/>
  <c r="S611" i="2"/>
  <c r="AB611" i="2"/>
  <c r="Z611" i="2"/>
  <c r="X611" i="2"/>
  <c r="AF611" i="2"/>
  <c r="Z614" i="2"/>
  <c r="Y614" i="2"/>
  <c r="X614" i="2"/>
  <c r="AG614" i="2"/>
  <c r="W614" i="2"/>
  <c r="AF614" i="2"/>
  <c r="V614" i="2"/>
  <c r="AE614" i="2"/>
  <c r="AC614" i="2"/>
  <c r="S614" i="2"/>
  <c r="E559" i="12"/>
  <c r="U279" i="12"/>
  <c r="E484" i="12"/>
  <c r="Z624" i="2"/>
  <c r="Y624" i="2"/>
  <c r="X624" i="2"/>
  <c r="AG624" i="2"/>
  <c r="W624" i="2"/>
  <c r="AF624" i="2"/>
  <c r="V624" i="2"/>
  <c r="AE624" i="2"/>
  <c r="AD624" i="2"/>
  <c r="T624" i="2"/>
  <c r="AC624" i="2"/>
  <c r="S624" i="2"/>
  <c r="U546" i="12"/>
  <c r="U632" i="2"/>
  <c r="E581" i="12"/>
  <c r="P86" i="3"/>
  <c r="Q86" i="3"/>
  <c r="D109" i="5"/>
  <c r="D247" i="4"/>
  <c r="AA491" i="2"/>
  <c r="U595" i="12"/>
  <c r="B142" i="5"/>
  <c r="B255" i="4"/>
  <c r="U258" i="12"/>
  <c r="E393" i="12"/>
  <c r="AA510" i="2"/>
  <c r="U381" i="12"/>
  <c r="E514" i="12"/>
  <c r="AB519" i="2"/>
  <c r="D104" i="6"/>
  <c r="D277" i="4"/>
  <c r="AA520" i="2"/>
  <c r="B262" i="4"/>
  <c r="B153" i="5"/>
  <c r="U591" i="12"/>
  <c r="D151" i="5"/>
  <c r="D264" i="4"/>
  <c r="AA528" i="2"/>
  <c r="B267" i="4"/>
  <c r="B148" i="5"/>
  <c r="Y530" i="2"/>
  <c r="V532" i="2"/>
  <c r="AF532" i="2"/>
  <c r="E230" i="12"/>
  <c r="AB535" i="2"/>
  <c r="D116" i="6"/>
  <c r="D286" i="4"/>
  <c r="AA536" i="2"/>
  <c r="B119" i="7"/>
  <c r="B305" i="4"/>
  <c r="Y538" i="2"/>
  <c r="U395" i="12"/>
  <c r="W540" i="2"/>
  <c r="AG540" i="2"/>
  <c r="V541" i="2"/>
  <c r="AF541" i="2"/>
  <c r="E571" i="12"/>
  <c r="AB545" i="2"/>
  <c r="E505" i="12"/>
  <c r="AD547" i="2"/>
  <c r="V552" i="2"/>
  <c r="AG552" i="2"/>
  <c r="X553" i="2"/>
  <c r="Z554" i="2"/>
  <c r="AE555" i="2"/>
  <c r="AB555" i="2"/>
  <c r="V560" i="2"/>
  <c r="AG560" i="2"/>
  <c r="W561" i="2"/>
  <c r="U440" i="12"/>
  <c r="Y562" i="2"/>
  <c r="Z563" i="2"/>
  <c r="AF564" i="2"/>
  <c r="V564" i="2"/>
  <c r="AB564" i="2"/>
  <c r="W567" i="2"/>
  <c r="U602" i="12"/>
  <c r="W568" i="2"/>
  <c r="U464" i="12"/>
  <c r="AP569" i="2"/>
  <c r="AO570" i="2"/>
  <c r="AQ570" i="2" s="1"/>
  <c r="V571" i="2"/>
  <c r="U446" i="12"/>
  <c r="Y572" i="2"/>
  <c r="B116" i="7"/>
  <c r="B334" i="4"/>
  <c r="D161" i="5"/>
  <c r="D294" i="4"/>
  <c r="E365" i="12"/>
  <c r="AC574" i="2"/>
  <c r="T577" i="2"/>
  <c r="AE577" i="2"/>
  <c r="AF578" i="2"/>
  <c r="V579" i="2"/>
  <c r="AG579" i="2"/>
  <c r="X581" i="2"/>
  <c r="Z582" i="2"/>
  <c r="W609" i="12"/>
  <c r="AM583" i="2"/>
  <c r="Z586" i="2"/>
  <c r="AG588" i="2"/>
  <c r="W588" i="2"/>
  <c r="AB588" i="2"/>
  <c r="V590" i="2"/>
  <c r="AG590" i="2"/>
  <c r="V592" i="2"/>
  <c r="AG592" i="2"/>
  <c r="V593" i="2"/>
  <c r="W594" i="2"/>
  <c r="U435" i="12"/>
  <c r="X595" i="2"/>
  <c r="B312" i="4"/>
  <c r="B141" i="5"/>
  <c r="Z596" i="2"/>
  <c r="B139" i="6"/>
  <c r="B335" i="4"/>
  <c r="D162" i="5"/>
  <c r="D315" i="4"/>
  <c r="E319" i="12"/>
  <c r="AC598" i="2"/>
  <c r="W600" i="2"/>
  <c r="U411" i="12"/>
  <c r="X601" i="2"/>
  <c r="X602" i="2"/>
  <c r="Z604" i="2"/>
  <c r="Y604" i="2"/>
  <c r="AC604" i="2"/>
  <c r="Y606" i="2"/>
  <c r="B132" i="6"/>
  <c r="B345" i="4"/>
  <c r="AG607" i="2"/>
  <c r="W607" i="2"/>
  <c r="AF607" i="2"/>
  <c r="V607" i="2"/>
  <c r="AC607" i="2"/>
  <c r="X608" i="2"/>
  <c r="B173" i="5"/>
  <c r="B325" i="4"/>
  <c r="AE609" i="2"/>
  <c r="AD609" i="2"/>
  <c r="T609" i="2"/>
  <c r="Z609" i="2"/>
  <c r="AF609" i="2"/>
  <c r="Z610" i="2"/>
  <c r="AG611" i="2"/>
  <c r="U613" i="2"/>
  <c r="E432" i="12"/>
  <c r="B177" i="5"/>
  <c r="B331" i="4"/>
  <c r="U623" i="2"/>
  <c r="E478" i="12"/>
  <c r="B142" i="6"/>
  <c r="B359" i="4"/>
  <c r="AQ630" i="2"/>
  <c r="AA633" i="2"/>
  <c r="Y634" i="2"/>
  <c r="X634" i="2"/>
  <c r="AG634" i="2"/>
  <c r="W634" i="2"/>
  <c r="AF634" i="2"/>
  <c r="V634" i="2"/>
  <c r="AE634" i="2"/>
  <c r="AD634" i="2"/>
  <c r="T634" i="2"/>
  <c r="AC634" i="2"/>
  <c r="S634" i="2"/>
  <c r="AB634" i="2"/>
  <c r="E356" i="12"/>
  <c r="D122" i="5"/>
  <c r="D245" i="4"/>
  <c r="U331" i="12"/>
  <c r="E236" i="12"/>
  <c r="U311" i="12"/>
  <c r="D132" i="5"/>
  <c r="D254" i="4"/>
  <c r="B119" i="5"/>
  <c r="B256" i="4"/>
  <c r="U557" i="12"/>
  <c r="E516" i="12"/>
  <c r="B145" i="5"/>
  <c r="B259" i="4"/>
  <c r="U447" i="12"/>
  <c r="S519" i="2"/>
  <c r="E280" i="12"/>
  <c r="D121" i="6"/>
  <c r="D278" i="4"/>
  <c r="E327" i="12"/>
  <c r="D156" i="5"/>
  <c r="D266" i="4"/>
  <c r="Z530" i="2"/>
  <c r="W532" i="2"/>
  <c r="AG532" i="2"/>
  <c r="S535" i="2"/>
  <c r="E369" i="12"/>
  <c r="Z538" i="2"/>
  <c r="B112" i="7"/>
  <c r="B131" i="6"/>
  <c r="B306" i="4"/>
  <c r="X540" i="2"/>
  <c r="U321" i="12"/>
  <c r="W541" i="2"/>
  <c r="AG541" i="2"/>
  <c r="S545" i="2"/>
  <c r="AC545" i="2"/>
  <c r="T547" i="2"/>
  <c r="AE547" i="2"/>
  <c r="W552" i="2"/>
  <c r="B126" i="6"/>
  <c r="B297" i="4"/>
  <c r="D119" i="6"/>
  <c r="D298" i="4"/>
  <c r="E326" i="12"/>
  <c r="AC555" i="2"/>
  <c r="V559" i="2"/>
  <c r="W560" i="2"/>
  <c r="U586" i="12"/>
  <c r="X561" i="2"/>
  <c r="B149" i="5"/>
  <c r="B284" i="4"/>
  <c r="Z562" i="2"/>
  <c r="B109" i="7"/>
  <c r="B321" i="4"/>
  <c r="D160" i="5"/>
  <c r="D287" i="4"/>
  <c r="E342" i="12"/>
  <c r="AC564" i="2"/>
  <c r="U378" i="12"/>
  <c r="X567" i="2"/>
  <c r="X568" i="2"/>
  <c r="X571" i="2"/>
  <c r="Z572" i="2"/>
  <c r="AE573" i="2"/>
  <c r="AB573" i="2"/>
  <c r="S574" i="2"/>
  <c r="AE574" i="2"/>
  <c r="V578" i="2"/>
  <c r="AG578" i="2"/>
  <c r="W579" i="2"/>
  <c r="U489" i="12"/>
  <c r="B127" i="7"/>
  <c r="B343" i="4"/>
  <c r="AA582" i="2"/>
  <c r="AK583" i="2"/>
  <c r="D130" i="7"/>
  <c r="D347" i="4"/>
  <c r="AA584" i="2"/>
  <c r="AA586" i="2"/>
  <c r="D155" i="5"/>
  <c r="D304" i="4"/>
  <c r="X587" i="2"/>
  <c r="AB587" i="2"/>
  <c r="D118" i="7"/>
  <c r="D350" i="4"/>
  <c r="E431" i="12"/>
  <c r="AC588" i="2"/>
  <c r="W590" i="2"/>
  <c r="U454" i="12"/>
  <c r="W592" i="2"/>
  <c r="U416" i="12"/>
  <c r="U449" i="12"/>
  <c r="X594" i="2"/>
  <c r="Z595" i="2"/>
  <c r="AA596" i="2"/>
  <c r="AG597" i="2"/>
  <c r="W597" i="2"/>
  <c r="AB597" i="2"/>
  <c r="S598" i="2"/>
  <c r="AD598" i="2"/>
  <c r="X600" i="2"/>
  <c r="Y601" i="2"/>
  <c r="B128" i="7"/>
  <c r="B361" i="4"/>
  <c r="Y602" i="2"/>
  <c r="B180" i="5"/>
  <c r="B320" i="4"/>
  <c r="D122" i="7"/>
  <c r="D362" i="4"/>
  <c r="E450" i="12"/>
  <c r="AD604" i="2"/>
  <c r="Z606" i="2"/>
  <c r="E397" i="12"/>
  <c r="AD607" i="2"/>
  <c r="Y608" i="2"/>
  <c r="E382" i="12"/>
  <c r="AG609" i="2"/>
  <c r="AA610" i="2"/>
  <c r="T611" i="2"/>
  <c r="T614" i="2"/>
  <c r="W618" i="2"/>
  <c r="AA624" i="2"/>
  <c r="Y625" i="2"/>
  <c r="X625" i="2"/>
  <c r="AG625" i="2"/>
  <c r="W625" i="2"/>
  <c r="AF625" i="2"/>
  <c r="V625" i="2"/>
  <c r="AE625" i="2"/>
  <c r="AD625" i="2"/>
  <c r="T625" i="2"/>
  <c r="AC625" i="2"/>
  <c r="S625" i="2"/>
  <c r="AB625" i="2"/>
  <c r="U631" i="2"/>
  <c r="AB633" i="2"/>
  <c r="E367" i="12"/>
  <c r="D148" i="5"/>
  <c r="D267" i="4"/>
  <c r="AA530" i="2"/>
  <c r="X532" i="2"/>
  <c r="U271" i="12"/>
  <c r="E563" i="12"/>
  <c r="D119" i="7"/>
  <c r="D305" i="4"/>
  <c r="AA538" i="2"/>
  <c r="B99" i="7"/>
  <c r="B307" i="4"/>
  <c r="X541" i="2"/>
  <c r="U460" i="12"/>
  <c r="U350" i="12"/>
  <c r="Y552" i="2"/>
  <c r="AF554" i="2"/>
  <c r="V554" i="2"/>
  <c r="AB554" i="2"/>
  <c r="U555" i="2"/>
  <c r="U494" i="12"/>
  <c r="U572" i="12"/>
  <c r="U353" i="12"/>
  <c r="X560" i="2"/>
  <c r="AA562" i="2"/>
  <c r="AG563" i="2"/>
  <c r="W563" i="2"/>
  <c r="AB563" i="2"/>
  <c r="Y567" i="2"/>
  <c r="B115" i="7"/>
  <c r="B328" i="4"/>
  <c r="Y571" i="2"/>
  <c r="B114" i="7"/>
  <c r="B333" i="4"/>
  <c r="D116" i="7"/>
  <c r="D334" i="4"/>
  <c r="E467" i="12"/>
  <c r="V577" i="2"/>
  <c r="W578" i="2"/>
  <c r="U461" i="12"/>
  <c r="X579" i="2"/>
  <c r="AB582" i="2"/>
  <c r="AB586" i="2"/>
  <c r="E376" i="12"/>
  <c r="X590" i="2"/>
  <c r="X592" i="2"/>
  <c r="AA595" i="2"/>
  <c r="D141" i="5"/>
  <c r="D312" i="4"/>
  <c r="AB596" i="2"/>
  <c r="D139" i="6"/>
  <c r="D335" i="4"/>
  <c r="E495" i="12"/>
  <c r="T598" i="2"/>
  <c r="AE598" i="2"/>
  <c r="U442" i="12"/>
  <c r="Y600" i="2"/>
  <c r="B188" i="5"/>
  <c r="B319" i="4"/>
  <c r="Z602" i="2"/>
  <c r="D132" i="6"/>
  <c r="D345" i="4"/>
  <c r="S607" i="2"/>
  <c r="Z608" i="2"/>
  <c r="D173" i="5"/>
  <c r="D325" i="4"/>
  <c r="U609" i="2"/>
  <c r="U382" i="12"/>
  <c r="AA614" i="2"/>
  <c r="X618" i="2"/>
  <c r="U622" i="2"/>
  <c r="AB624" i="2"/>
  <c r="B164" i="5"/>
  <c r="B270" i="4"/>
  <c r="U308" i="12"/>
  <c r="U579" i="12"/>
  <c r="B127" i="6"/>
  <c r="B295" i="4"/>
  <c r="B130" i="6"/>
  <c r="B296" i="4"/>
  <c r="D126" i="6"/>
  <c r="D297" i="4"/>
  <c r="E417" i="12"/>
  <c r="U138" i="12"/>
  <c r="D149" i="5"/>
  <c r="D284" i="4"/>
  <c r="AB562" i="2"/>
  <c r="D109" i="7"/>
  <c r="D321" i="4"/>
  <c r="E380" i="12"/>
  <c r="U425" i="12"/>
  <c r="AF572" i="2"/>
  <c r="V572" i="2"/>
  <c r="AB572" i="2"/>
  <c r="U573" i="2"/>
  <c r="U434" i="12"/>
  <c r="U468" i="12"/>
  <c r="W577" i="2"/>
  <c r="U558" i="12"/>
  <c r="X578" i="2"/>
  <c r="B169" i="5"/>
  <c r="B300" i="4"/>
  <c r="D127" i="7"/>
  <c r="D343" i="4"/>
  <c r="E491" i="12"/>
  <c r="D303" i="4"/>
  <c r="D175" i="5"/>
  <c r="E499" i="12"/>
  <c r="U405" i="12"/>
  <c r="Y590" i="2"/>
  <c r="B172" i="5"/>
  <c r="B308" i="4"/>
  <c r="B123" i="7"/>
  <c r="B353" i="4"/>
  <c r="B168" i="5"/>
  <c r="B309" i="4"/>
  <c r="AB595" i="2"/>
  <c r="E337" i="12"/>
  <c r="D128" i="7"/>
  <c r="D361" i="4"/>
  <c r="AA602" i="2"/>
  <c r="E497" i="12"/>
  <c r="B176" i="5"/>
  <c r="B323" i="4"/>
  <c r="U397" i="12"/>
  <c r="D125" i="7"/>
  <c r="D368" i="4"/>
  <c r="Y615" i="2"/>
  <c r="X615" i="2"/>
  <c r="AG615" i="2"/>
  <c r="W615" i="2"/>
  <c r="AF615" i="2"/>
  <c r="V615" i="2"/>
  <c r="AE615" i="2"/>
  <c r="AD615" i="2"/>
  <c r="T615" i="2"/>
  <c r="AB615" i="2"/>
  <c r="AC626" i="2"/>
  <c r="S626" i="2"/>
  <c r="D131" i="7"/>
  <c r="D379" i="4"/>
  <c r="X54" i="3"/>
  <c r="E591" i="12"/>
  <c r="W632" i="12"/>
  <c r="U488" i="12"/>
  <c r="U528" i="2"/>
  <c r="S530" i="2"/>
  <c r="Z532" i="2"/>
  <c r="U536" i="2"/>
  <c r="S538" i="2"/>
  <c r="E395" i="12"/>
  <c r="D99" i="7"/>
  <c r="D307" i="4"/>
  <c r="Z541" i="2"/>
  <c r="B120" i="6"/>
  <c r="B288" i="4"/>
  <c r="U370" i="12"/>
  <c r="U505" i="12"/>
  <c r="U549" i="12"/>
  <c r="U439" i="12"/>
  <c r="AA552" i="2"/>
  <c r="AG553" i="2"/>
  <c r="W553" i="2"/>
  <c r="AB553" i="2"/>
  <c r="S554" i="2"/>
  <c r="AD554" i="2"/>
  <c r="B124" i="6"/>
  <c r="B159" i="5"/>
  <c r="B301" i="4"/>
  <c r="AA560" i="2"/>
  <c r="AB561" i="2"/>
  <c r="E354" i="12"/>
  <c r="AC562" i="2"/>
  <c r="S563" i="2"/>
  <c r="AD563" i="2"/>
  <c r="U564" i="2"/>
  <c r="D115" i="7"/>
  <c r="D328" i="4"/>
  <c r="AA568" i="2"/>
  <c r="B166" i="5"/>
  <c r="B290" i="4"/>
  <c r="D114" i="7"/>
  <c r="D333" i="4"/>
  <c r="E465" i="12"/>
  <c r="AC572" i="2"/>
  <c r="W574" i="2"/>
  <c r="U365" i="12"/>
  <c r="Y578" i="2"/>
  <c r="AA579" i="2"/>
  <c r="W626" i="12"/>
  <c r="AF581" i="2"/>
  <c r="V581" i="2"/>
  <c r="AB581" i="2"/>
  <c r="S582" i="2"/>
  <c r="AD582" i="2"/>
  <c r="S586" i="2"/>
  <c r="AD586" i="2"/>
  <c r="Z590" i="2"/>
  <c r="W636" i="12"/>
  <c r="AM591" i="2"/>
  <c r="AL591" i="2" s="1"/>
  <c r="Z592" i="2"/>
  <c r="D168" i="5"/>
  <c r="D309" i="4"/>
  <c r="AB594" i="2"/>
  <c r="D163" i="5"/>
  <c r="D310" i="4"/>
  <c r="E333" i="12"/>
  <c r="AC595" i="2"/>
  <c r="S596" i="2"/>
  <c r="AD596" i="2"/>
  <c r="W598" i="2"/>
  <c r="U319" i="12"/>
  <c r="B181" i="5"/>
  <c r="B317" i="4"/>
  <c r="D188" i="5"/>
  <c r="D319" i="4"/>
  <c r="AC601" i="2"/>
  <c r="S601" i="2"/>
  <c r="AB601" i="2"/>
  <c r="AC602" i="2"/>
  <c r="U604" i="2"/>
  <c r="X606" i="2"/>
  <c r="AG606" i="2"/>
  <c r="W606" i="2"/>
  <c r="AC606" i="2"/>
  <c r="AD610" i="2"/>
  <c r="T610" i="2"/>
  <c r="AC610" i="2"/>
  <c r="S610" i="2"/>
  <c r="Y610" i="2"/>
  <c r="AF610" i="2"/>
  <c r="W611" i="2"/>
  <c r="AD614" i="2"/>
  <c r="AG617" i="2"/>
  <c r="W617" i="2"/>
  <c r="AF617" i="2"/>
  <c r="V617" i="2"/>
  <c r="AE617" i="2"/>
  <c r="AD617" i="2"/>
  <c r="T617" i="2"/>
  <c r="AC617" i="2"/>
  <c r="S617" i="2"/>
  <c r="AB617" i="2"/>
  <c r="Z617" i="2"/>
  <c r="D141" i="6"/>
  <c r="D356" i="4"/>
  <c r="X626" i="2"/>
  <c r="U351" i="12"/>
  <c r="E321" i="12"/>
  <c r="D164" i="5"/>
  <c r="D270" i="4"/>
  <c r="B150" i="5"/>
  <c r="B273" i="4"/>
  <c r="U349" i="12"/>
  <c r="U571" i="12"/>
  <c r="D127" i="6"/>
  <c r="D295" i="4"/>
  <c r="AB552" i="2"/>
  <c r="D130" i="6"/>
  <c r="D296" i="4"/>
  <c r="E480" i="12"/>
  <c r="U326" i="12"/>
  <c r="B113" i="7"/>
  <c r="B318" i="4"/>
  <c r="AB560" i="2"/>
  <c r="D135" i="6"/>
  <c r="D302" i="4"/>
  <c r="E440" i="12"/>
  <c r="S562" i="2"/>
  <c r="AD562" i="2"/>
  <c r="U342" i="12"/>
  <c r="B165" i="5"/>
  <c r="B289" i="4"/>
  <c r="AC567" i="2"/>
  <c r="S567" i="2"/>
  <c r="AB567" i="2"/>
  <c r="W630" i="12"/>
  <c r="AG571" i="2"/>
  <c r="W571" i="2"/>
  <c r="AB571" i="2"/>
  <c r="S572" i="2"/>
  <c r="AD572" i="2"/>
  <c r="B138" i="6"/>
  <c r="B313" i="4"/>
  <c r="B129" i="7"/>
  <c r="B340" i="4"/>
  <c r="AA578" i="2"/>
  <c r="AB579" i="2"/>
  <c r="D169" i="5"/>
  <c r="D300" i="4"/>
  <c r="E481" i="12"/>
  <c r="U584" i="2"/>
  <c r="U587" i="2"/>
  <c r="U431" i="12"/>
  <c r="B137" i="6"/>
  <c r="B322" i="4"/>
  <c r="AA590" i="2"/>
  <c r="D172" i="5"/>
  <c r="D308" i="4"/>
  <c r="AA592" i="2"/>
  <c r="E435" i="12"/>
  <c r="S595" i="2"/>
  <c r="AD595" i="2"/>
  <c r="U597" i="2"/>
  <c r="AD600" i="2"/>
  <c r="T600" i="2"/>
  <c r="AB600" i="2"/>
  <c r="E513" i="12"/>
  <c r="S602" i="2"/>
  <c r="AD602" i="2"/>
  <c r="U450" i="12"/>
  <c r="D176" i="5"/>
  <c r="D323" i="4"/>
  <c r="E485" i="12"/>
  <c r="B140" i="6"/>
  <c r="B346" i="4"/>
  <c r="AF608" i="2"/>
  <c r="V608" i="2"/>
  <c r="AE608" i="2"/>
  <c r="AC608" i="2"/>
  <c r="E525" i="12"/>
  <c r="Y611" i="2"/>
  <c r="U421" i="12"/>
  <c r="S615" i="2"/>
  <c r="U462" i="12"/>
  <c r="U565" i="12"/>
  <c r="D129" i="6"/>
  <c r="D367" i="4"/>
  <c r="B61" i="9"/>
  <c r="AR650" i="2"/>
  <c r="AQ650" i="2"/>
  <c r="E492" i="12"/>
  <c r="D192" i="5"/>
  <c r="D365" i="4"/>
  <c r="AA642" i="2"/>
  <c r="B182" i="5"/>
  <c r="B369" i="4"/>
  <c r="U568" i="12"/>
  <c r="U436" i="12"/>
  <c r="E590" i="12"/>
  <c r="D150" i="6"/>
  <c r="D387" i="4"/>
  <c r="AA658" i="2"/>
  <c r="B201" i="5"/>
  <c r="B148" i="6"/>
  <c r="B389" i="4"/>
  <c r="U527" i="12"/>
  <c r="U567" i="12"/>
  <c r="E543" i="12"/>
  <c r="AB642" i="2"/>
  <c r="D133" i="7"/>
  <c r="D384" i="4"/>
  <c r="AA643" i="2"/>
  <c r="B147" i="6"/>
  <c r="B376" i="4"/>
  <c r="U522" i="12"/>
  <c r="AL650" i="2"/>
  <c r="W656" i="12"/>
  <c r="B373" i="4"/>
  <c r="B194" i="5"/>
  <c r="U561" i="12"/>
  <c r="E596" i="12"/>
  <c r="AB658" i="2"/>
  <c r="D204" i="5"/>
  <c r="D383" i="4"/>
  <c r="AA659" i="2"/>
  <c r="B199" i="5"/>
  <c r="B386" i="4"/>
  <c r="U576" i="12"/>
  <c r="Z109" i="3"/>
  <c r="Q289" i="3"/>
  <c r="P289" i="3"/>
  <c r="Z428" i="3"/>
  <c r="Q434" i="3"/>
  <c r="E479" i="12"/>
  <c r="D177" i="5"/>
  <c r="D331" i="4"/>
  <c r="AA616" i="2"/>
  <c r="B191" i="5"/>
  <c r="B336" i="4"/>
  <c r="Y618" i="2"/>
  <c r="X619" i="2"/>
  <c r="U414" i="12"/>
  <c r="V621" i="2"/>
  <c r="AF621" i="2"/>
  <c r="AE622" i="2"/>
  <c r="E437" i="12"/>
  <c r="D136" i="7"/>
  <c r="D374" i="4"/>
  <c r="AA626" i="2"/>
  <c r="B143" i="6"/>
  <c r="B360" i="4"/>
  <c r="Y628" i="2"/>
  <c r="X629" i="2"/>
  <c r="U521" i="12"/>
  <c r="AE631" i="2"/>
  <c r="E389" i="12"/>
  <c r="W660" i="12"/>
  <c r="B134" i="7"/>
  <c r="B381" i="4"/>
  <c r="Y636" i="2"/>
  <c r="X637" i="2"/>
  <c r="U523" i="12"/>
  <c r="V639" i="2"/>
  <c r="AF639" i="2"/>
  <c r="U640" i="2"/>
  <c r="AE640" i="2"/>
  <c r="S642" i="2"/>
  <c r="AC642" i="2"/>
  <c r="E529" i="12"/>
  <c r="AB643" i="2"/>
  <c r="D182" i="5"/>
  <c r="D369" i="4"/>
  <c r="AA644" i="2"/>
  <c r="B145" i="6"/>
  <c r="B378" i="4"/>
  <c r="Y646" i="2"/>
  <c r="X647" i="2"/>
  <c r="U486" i="12"/>
  <c r="U649" i="2"/>
  <c r="AE649" i="2"/>
  <c r="AK651" i="2"/>
  <c r="B200" i="5"/>
  <c r="B375" i="4"/>
  <c r="Y653" i="2"/>
  <c r="X654" i="2"/>
  <c r="U584" i="12"/>
  <c r="U656" i="2"/>
  <c r="AE656" i="2"/>
  <c r="S658" i="2"/>
  <c r="AC658" i="2"/>
  <c r="E600" i="12"/>
  <c r="AB659" i="2"/>
  <c r="D148" i="6"/>
  <c r="D201" i="5"/>
  <c r="D389" i="4"/>
  <c r="AA660" i="2"/>
  <c r="B202" i="5"/>
  <c r="B388" i="4"/>
  <c r="Y662" i="2"/>
  <c r="X663" i="2"/>
  <c r="U594" i="12"/>
  <c r="V665" i="2"/>
  <c r="AF665" i="2"/>
  <c r="M51" i="3"/>
  <c r="W51" i="3"/>
  <c r="O80" i="3"/>
  <c r="Y80" i="3"/>
  <c r="Z80" i="3" s="1"/>
  <c r="I196" i="3"/>
  <c r="S196" i="3"/>
  <c r="O196" i="3"/>
  <c r="Y196" i="3"/>
  <c r="E225" i="3"/>
  <c r="P225" i="3"/>
  <c r="F312" i="3"/>
  <c r="Q312" i="3"/>
  <c r="L399" i="3"/>
  <c r="V399" i="3"/>
  <c r="F428" i="3"/>
  <c r="Q428" i="3"/>
  <c r="X460" i="3"/>
  <c r="P463" i="3"/>
  <c r="X620" i="2"/>
  <c r="U422" i="12"/>
  <c r="W621" i="2"/>
  <c r="AG621" i="2"/>
  <c r="E539" i="12"/>
  <c r="AB626" i="2"/>
  <c r="D142" i="6"/>
  <c r="D359" i="4"/>
  <c r="AA627" i="2"/>
  <c r="Z628" i="2"/>
  <c r="B190" i="5"/>
  <c r="B348" i="4"/>
  <c r="AK635" i="2"/>
  <c r="Z636" i="2"/>
  <c r="B186" i="5"/>
  <c r="B355" i="4"/>
  <c r="X638" i="2"/>
  <c r="U502" i="12"/>
  <c r="W639" i="2"/>
  <c r="AG639" i="2"/>
  <c r="V640" i="2"/>
  <c r="U641" i="2"/>
  <c r="T642" i="2"/>
  <c r="AD642" i="2"/>
  <c r="S643" i="2"/>
  <c r="AC643" i="2"/>
  <c r="E472" i="12"/>
  <c r="AB644" i="2"/>
  <c r="D147" i="6"/>
  <c r="D376" i="4"/>
  <c r="AA645" i="2"/>
  <c r="Z646" i="2"/>
  <c r="B196" i="5"/>
  <c r="B370" i="4"/>
  <c r="D194" i="5"/>
  <c r="D373" i="4"/>
  <c r="AA652" i="2"/>
  <c r="Z653" i="2"/>
  <c r="B203" i="5"/>
  <c r="B377" i="4"/>
  <c r="U657" i="2"/>
  <c r="T658" i="2"/>
  <c r="AD658" i="2"/>
  <c r="S659" i="2"/>
  <c r="AC659" i="2"/>
  <c r="E599" i="12"/>
  <c r="AB660" i="2"/>
  <c r="D199" i="5"/>
  <c r="D386" i="4"/>
  <c r="AA661" i="2"/>
  <c r="Z662" i="2"/>
  <c r="B152" i="6"/>
  <c r="B390" i="4"/>
  <c r="X664" i="2"/>
  <c r="U601" i="12"/>
  <c r="W665" i="2"/>
  <c r="AG665" i="2"/>
  <c r="N51" i="3"/>
  <c r="X51" i="3"/>
  <c r="Z51" i="3" s="1"/>
  <c r="E109" i="3"/>
  <c r="P109" i="3"/>
  <c r="F144" i="3"/>
  <c r="N167" i="3"/>
  <c r="X167" i="3"/>
  <c r="Z167" i="3" s="1"/>
  <c r="U228" i="3"/>
  <c r="U344" i="3"/>
  <c r="N376" i="3"/>
  <c r="P376" i="3" s="1"/>
  <c r="X457" i="3"/>
  <c r="Z457" i="3" s="1"/>
  <c r="K463" i="3"/>
  <c r="B135" i="7"/>
  <c r="B197" i="5"/>
  <c r="B366" i="4"/>
  <c r="U363" i="12"/>
  <c r="W612" i="2"/>
  <c r="AG612" i="2"/>
  <c r="V613" i="2"/>
  <c r="E279" i="12"/>
  <c r="D191" i="5"/>
  <c r="D336" i="4"/>
  <c r="AA618" i="2"/>
  <c r="B133" i="6"/>
  <c r="B354" i="4"/>
  <c r="U451" i="12"/>
  <c r="E565" i="12"/>
  <c r="D143" i="6"/>
  <c r="D360" i="4"/>
  <c r="AA628" i="2"/>
  <c r="D134" i="7"/>
  <c r="D381" i="4"/>
  <c r="AA636" i="2"/>
  <c r="B195" i="5"/>
  <c r="B357" i="4"/>
  <c r="U556" i="12"/>
  <c r="AE642" i="2"/>
  <c r="T643" i="2"/>
  <c r="AD643" i="2"/>
  <c r="S644" i="2"/>
  <c r="E568" i="12"/>
  <c r="D145" i="6"/>
  <c r="D378" i="4"/>
  <c r="AA646" i="2"/>
  <c r="AM651" i="2"/>
  <c r="E436" i="12"/>
  <c r="D200" i="5"/>
  <c r="D375" i="4"/>
  <c r="AA653" i="2"/>
  <c r="AE658" i="2"/>
  <c r="T659" i="2"/>
  <c r="AD659" i="2"/>
  <c r="S660" i="2"/>
  <c r="E527" i="12"/>
  <c r="D202" i="5"/>
  <c r="D388" i="4"/>
  <c r="AA662" i="2"/>
  <c r="B206" i="5"/>
  <c r="B391" i="4"/>
  <c r="U598" i="12"/>
  <c r="F109" i="3"/>
  <c r="U112" i="3" s="1"/>
  <c r="Q109" i="3"/>
  <c r="K196" i="3"/>
  <c r="U196" i="3"/>
  <c r="Q260" i="3"/>
  <c r="I312" i="3"/>
  <c r="S312" i="3"/>
  <c r="N318" i="3"/>
  <c r="N399" i="3"/>
  <c r="X399" i="3"/>
  <c r="Z399" i="3" s="1"/>
  <c r="E462" i="12"/>
  <c r="AB618" i="2"/>
  <c r="D167" i="5"/>
  <c r="D337" i="4"/>
  <c r="AA619" i="2"/>
  <c r="Z620" i="2"/>
  <c r="B187" i="5"/>
  <c r="B338" i="4"/>
  <c r="Y621" i="2"/>
  <c r="X622" i="2"/>
  <c r="U526" i="12"/>
  <c r="T626" i="2"/>
  <c r="AD626" i="2"/>
  <c r="S627" i="2"/>
  <c r="AC627" i="2"/>
  <c r="E546" i="12"/>
  <c r="AB628" i="2"/>
  <c r="D348" i="4"/>
  <c r="D190" i="5"/>
  <c r="AA629" i="2"/>
  <c r="X631" i="2"/>
  <c r="U587" i="12"/>
  <c r="AM635" i="2"/>
  <c r="E567" i="12"/>
  <c r="AB636" i="2"/>
  <c r="D186" i="5"/>
  <c r="D355" i="4"/>
  <c r="AA637" i="2"/>
  <c r="Z638" i="2"/>
  <c r="B146" i="6"/>
  <c r="B371" i="4"/>
  <c r="Y639" i="2"/>
  <c r="U551" i="12"/>
  <c r="V642" i="2"/>
  <c r="AF642" i="2"/>
  <c r="AE643" i="2"/>
  <c r="T644" i="2"/>
  <c r="AD644" i="2"/>
  <c r="S645" i="2"/>
  <c r="AC645" i="2"/>
  <c r="E522" i="12"/>
  <c r="AB646" i="2"/>
  <c r="D196" i="5"/>
  <c r="D370" i="4"/>
  <c r="AA647" i="2"/>
  <c r="X649" i="2"/>
  <c r="U593" i="12"/>
  <c r="AN651" i="2"/>
  <c r="S652" i="2"/>
  <c r="AC652" i="2"/>
  <c r="E561" i="12"/>
  <c r="AB653" i="2"/>
  <c r="D203" i="5"/>
  <c r="D377" i="4"/>
  <c r="AA654" i="2"/>
  <c r="X656" i="2"/>
  <c r="U537" i="12"/>
  <c r="V658" i="2"/>
  <c r="AF658" i="2"/>
  <c r="AE659" i="2"/>
  <c r="T660" i="2"/>
  <c r="AD660" i="2"/>
  <c r="S661" i="2"/>
  <c r="AC661" i="2"/>
  <c r="E576" i="12"/>
  <c r="AB662" i="2"/>
  <c r="D152" i="6"/>
  <c r="D390" i="4"/>
  <c r="AA663" i="2"/>
  <c r="Z664" i="2"/>
  <c r="B205" i="5"/>
  <c r="B392" i="4"/>
  <c r="Y665" i="2"/>
  <c r="E51" i="3"/>
  <c r="P51" i="3"/>
  <c r="M86" i="3"/>
  <c r="J138" i="3"/>
  <c r="T138" i="3"/>
  <c r="Q173" i="3"/>
  <c r="P173" i="3"/>
  <c r="G202" i="3"/>
  <c r="X199" i="3" s="1"/>
  <c r="P231" i="3"/>
  <c r="X286" i="3"/>
  <c r="K370" i="3"/>
  <c r="U370" i="3"/>
  <c r="I376" i="3"/>
  <c r="Q376" i="3" s="1"/>
  <c r="K405" i="3"/>
  <c r="E457" i="3"/>
  <c r="P457" i="3"/>
  <c r="B327" i="4"/>
  <c r="B174" i="5"/>
  <c r="Y612" i="2"/>
  <c r="U471" i="12"/>
  <c r="AE616" i="2"/>
  <c r="S618" i="2"/>
  <c r="AC618" i="2"/>
  <c r="E414" i="12"/>
  <c r="D133" i="6"/>
  <c r="D354" i="4"/>
  <c r="AA620" i="2"/>
  <c r="Z621" i="2"/>
  <c r="B193" i="5"/>
  <c r="B339" i="4"/>
  <c r="U484" i="12"/>
  <c r="AE626" i="2"/>
  <c r="S628" i="2"/>
  <c r="AC628" i="2"/>
  <c r="E521" i="12"/>
  <c r="W628" i="12"/>
  <c r="B183" i="5"/>
  <c r="B349" i="4"/>
  <c r="U347" i="12"/>
  <c r="AN635" i="2"/>
  <c r="S636" i="2"/>
  <c r="AC636" i="2"/>
  <c r="E523" i="12"/>
  <c r="D195" i="5"/>
  <c r="D357" i="4"/>
  <c r="AA638" i="2"/>
  <c r="Z639" i="2"/>
  <c r="B144" i="6"/>
  <c r="B372" i="4"/>
  <c r="U492" i="12"/>
  <c r="W642" i="2"/>
  <c r="AG642" i="2"/>
  <c r="V643" i="2"/>
  <c r="AF643" i="2"/>
  <c r="AE644" i="2"/>
  <c r="T645" i="2"/>
  <c r="S646" i="2"/>
  <c r="AC646" i="2"/>
  <c r="E486" i="12"/>
  <c r="W638" i="12"/>
  <c r="B149" i="6"/>
  <c r="B382" i="4"/>
  <c r="AO651" i="2"/>
  <c r="T652" i="2"/>
  <c r="S653" i="2"/>
  <c r="AC653" i="2"/>
  <c r="E584" i="12"/>
  <c r="W664" i="12"/>
  <c r="B198" i="5"/>
  <c r="B380" i="4"/>
  <c r="U590" i="12"/>
  <c r="W658" i="2"/>
  <c r="AG658" i="2"/>
  <c r="V659" i="2"/>
  <c r="AF659" i="2"/>
  <c r="AE660" i="2"/>
  <c r="T661" i="2"/>
  <c r="S662" i="2"/>
  <c r="AC662" i="2"/>
  <c r="E594" i="12"/>
  <c r="D206" i="5"/>
  <c r="D391" i="4"/>
  <c r="AA664" i="2"/>
  <c r="Z665" i="2"/>
  <c r="K138" i="3"/>
  <c r="U138" i="3"/>
  <c r="F138" i="3"/>
  <c r="Q138" i="3"/>
  <c r="M196" i="3"/>
  <c r="W196" i="3"/>
  <c r="J225" i="3"/>
  <c r="T225" i="3"/>
  <c r="U257" i="3"/>
  <c r="E318" i="3"/>
  <c r="E341" i="3"/>
  <c r="P341" i="3"/>
  <c r="E399" i="3"/>
  <c r="P399" i="3"/>
  <c r="U432" i="12"/>
  <c r="V616" i="2"/>
  <c r="AF616" i="2"/>
  <c r="T618" i="2"/>
  <c r="AD618" i="2"/>
  <c r="S619" i="2"/>
  <c r="E422" i="12"/>
  <c r="D187" i="5"/>
  <c r="D338" i="4"/>
  <c r="AA621" i="2"/>
  <c r="B342" i="4"/>
  <c r="B189" i="5"/>
  <c r="U478" i="12"/>
  <c r="V626" i="2"/>
  <c r="AF626" i="2"/>
  <c r="T628" i="2"/>
  <c r="AD628" i="2"/>
  <c r="S629" i="2"/>
  <c r="B157" i="5"/>
  <c r="B352" i="4"/>
  <c r="U581" i="12"/>
  <c r="T636" i="2"/>
  <c r="AD636" i="2"/>
  <c r="S637" i="2"/>
  <c r="E502" i="12"/>
  <c r="D146" i="6"/>
  <c r="D371" i="4"/>
  <c r="AA639" i="2"/>
  <c r="B178" i="5"/>
  <c r="B364" i="4"/>
  <c r="X642" i="2"/>
  <c r="U543" i="12"/>
  <c r="W643" i="2"/>
  <c r="AG643" i="2"/>
  <c r="V644" i="2"/>
  <c r="AF644" i="2"/>
  <c r="T646" i="2"/>
  <c r="AD646" i="2"/>
  <c r="S647" i="2"/>
  <c r="AP651" i="2"/>
  <c r="T653" i="2"/>
  <c r="AD653" i="2"/>
  <c r="S654" i="2"/>
  <c r="B151" i="6"/>
  <c r="B385" i="4"/>
  <c r="X658" i="2"/>
  <c r="U596" i="12"/>
  <c r="W659" i="2"/>
  <c r="AG659" i="2"/>
  <c r="V660" i="2"/>
  <c r="AF660" i="2"/>
  <c r="T662" i="2"/>
  <c r="AD662" i="2"/>
  <c r="S663" i="2"/>
  <c r="E601" i="12"/>
  <c r="D205" i="5"/>
  <c r="D392" i="4"/>
  <c r="AA665" i="2"/>
  <c r="G138" i="3"/>
  <c r="X141" i="3" s="1"/>
  <c r="R138" i="3"/>
  <c r="K318" i="3"/>
  <c r="M405" i="3"/>
  <c r="B122" i="7"/>
  <c r="B362" i="4"/>
  <c r="U578" i="12"/>
  <c r="E363" i="12"/>
  <c r="D174" i="5"/>
  <c r="D327" i="4"/>
  <c r="AA612" i="2"/>
  <c r="B125" i="7"/>
  <c r="B368" i="4"/>
  <c r="U479" i="12"/>
  <c r="S620" i="2"/>
  <c r="AC620" i="2"/>
  <c r="E451" i="12"/>
  <c r="AB621" i="2"/>
  <c r="D193" i="5"/>
  <c r="D339" i="4"/>
  <c r="AA622" i="2"/>
  <c r="B141" i="6"/>
  <c r="B356" i="4"/>
  <c r="U437" i="12"/>
  <c r="W626" i="2"/>
  <c r="AG626" i="2"/>
  <c r="V627" i="2"/>
  <c r="AF627" i="2"/>
  <c r="AE628" i="2"/>
  <c r="T629" i="2"/>
  <c r="AD629" i="2"/>
  <c r="D183" i="5"/>
  <c r="D349" i="4"/>
  <c r="AA631" i="2"/>
  <c r="B131" i="7"/>
  <c r="B379" i="4"/>
  <c r="U389" i="12"/>
  <c r="AP635" i="2"/>
  <c r="AE636" i="2"/>
  <c r="T637" i="2"/>
  <c r="AD637" i="2"/>
  <c r="S638" i="2"/>
  <c r="AC638" i="2"/>
  <c r="E556" i="12"/>
  <c r="AB639" i="2"/>
  <c r="D144" i="6"/>
  <c r="D372" i="4"/>
  <c r="AA640" i="2"/>
  <c r="B192" i="5"/>
  <c r="B365" i="4"/>
  <c r="Y642" i="2"/>
  <c r="X643" i="2"/>
  <c r="U529" i="12"/>
  <c r="W644" i="2"/>
  <c r="AG644" i="2"/>
  <c r="V645" i="2"/>
  <c r="AF645" i="2"/>
  <c r="AE646" i="2"/>
  <c r="T647" i="2"/>
  <c r="AD647" i="2"/>
  <c r="D149" i="6"/>
  <c r="D382" i="4"/>
  <c r="AA649" i="2"/>
  <c r="V652" i="2"/>
  <c r="AF652" i="2"/>
  <c r="AE653" i="2"/>
  <c r="T654" i="2"/>
  <c r="AD654" i="2"/>
  <c r="D198" i="5"/>
  <c r="D380" i="4"/>
  <c r="AA656" i="2"/>
  <c r="B150" i="6"/>
  <c r="B387" i="4"/>
  <c r="Y658" i="2"/>
  <c r="X659" i="2"/>
  <c r="U600" i="12"/>
  <c r="W660" i="2"/>
  <c r="AG660" i="2"/>
  <c r="V661" i="2"/>
  <c r="AF661" i="2"/>
  <c r="AE662" i="2"/>
  <c r="T663" i="2"/>
  <c r="AD663" i="2"/>
  <c r="S664" i="2"/>
  <c r="AC664" i="2"/>
  <c r="E598" i="12"/>
  <c r="AB665" i="2"/>
  <c r="O57" i="3"/>
  <c r="K109" i="3"/>
  <c r="U109" i="3"/>
  <c r="M138" i="3"/>
  <c r="W138" i="3"/>
  <c r="Q202" i="3"/>
  <c r="L225" i="3"/>
  <c r="V225" i="3"/>
  <c r="X228" i="3"/>
  <c r="I254" i="3"/>
  <c r="S254" i="3"/>
  <c r="E283" i="3"/>
  <c r="P283" i="3"/>
  <c r="L283" i="3"/>
  <c r="V283" i="3"/>
  <c r="M312" i="3"/>
  <c r="W312" i="3"/>
  <c r="G341" i="3"/>
  <c r="X344" i="3" s="1"/>
  <c r="R341" i="3"/>
  <c r="G399" i="3"/>
  <c r="X402" i="3" s="1"/>
  <c r="R399" i="3"/>
  <c r="M428" i="3"/>
  <c r="W428" i="3"/>
  <c r="E549" i="12"/>
  <c r="D134" i="6"/>
  <c r="D170" i="5"/>
  <c r="D292" i="4"/>
  <c r="B101" i="7"/>
  <c r="B316" i="4"/>
  <c r="U401" i="12"/>
  <c r="E572" i="12"/>
  <c r="D124" i="6"/>
  <c r="D159" i="5"/>
  <c r="D301" i="4"/>
  <c r="B135" i="6"/>
  <c r="B302" i="4"/>
  <c r="U354" i="12"/>
  <c r="E464" i="12"/>
  <c r="W615" i="12"/>
  <c r="E468" i="12"/>
  <c r="B126" i="7"/>
  <c r="B341" i="4"/>
  <c r="E487" i="12"/>
  <c r="W646" i="12"/>
  <c r="B175" i="5"/>
  <c r="B303" i="4"/>
  <c r="U376" i="12"/>
  <c r="E416" i="12"/>
  <c r="D123" i="7"/>
  <c r="D353" i="4"/>
  <c r="B163" i="5"/>
  <c r="B310" i="4"/>
  <c r="U337" i="12"/>
  <c r="E508" i="12"/>
  <c r="D180" i="5"/>
  <c r="D320" i="4"/>
  <c r="B132" i="7"/>
  <c r="B363" i="4"/>
  <c r="U485" i="12"/>
  <c r="E421" i="12"/>
  <c r="D329" i="4"/>
  <c r="D185" i="5"/>
  <c r="B179" i="5"/>
  <c r="B330" i="4"/>
  <c r="U559" i="12"/>
  <c r="V618" i="2"/>
  <c r="T620" i="2"/>
  <c r="S621" i="2"/>
  <c r="E526" i="12"/>
  <c r="D189" i="5"/>
  <c r="D342" i="4"/>
  <c r="B344" i="4"/>
  <c r="B184" i="5"/>
  <c r="U539" i="12"/>
  <c r="W627" i="2"/>
  <c r="V628" i="2"/>
  <c r="AM630" i="2"/>
  <c r="AL630" i="2" s="1"/>
  <c r="E587" i="12"/>
  <c r="D157" i="5"/>
  <c r="D352" i="4"/>
  <c r="B129" i="6"/>
  <c r="B367" i="4"/>
  <c r="V636" i="2"/>
  <c r="T638" i="2"/>
  <c r="S639" i="2"/>
  <c r="E551" i="12"/>
  <c r="D178" i="5"/>
  <c r="D364" i="4"/>
  <c r="B133" i="7"/>
  <c r="B384" i="4"/>
  <c r="U472" i="12"/>
  <c r="W645" i="2"/>
  <c r="V646" i="2"/>
  <c r="AM648" i="2"/>
  <c r="AL648" i="2" s="1"/>
  <c r="E593" i="12"/>
  <c r="W642" i="12"/>
  <c r="W652" i="2"/>
  <c r="V653" i="2"/>
  <c r="AM655" i="2"/>
  <c r="AL655" i="2" s="1"/>
  <c r="E537" i="12"/>
  <c r="D151" i="6"/>
  <c r="D385" i="4"/>
  <c r="B383" i="4"/>
  <c r="B204" i="5"/>
  <c r="U599" i="12"/>
  <c r="W661" i="2"/>
  <c r="V662" i="2"/>
  <c r="T664" i="2"/>
  <c r="S665" i="2"/>
  <c r="L80" i="3"/>
  <c r="V80" i="3"/>
  <c r="L109" i="3"/>
  <c r="V109" i="3"/>
  <c r="G109" i="3"/>
  <c r="X112" i="3" s="1"/>
  <c r="R109" i="3"/>
  <c r="J144" i="3"/>
  <c r="J167" i="3"/>
  <c r="T167" i="3"/>
  <c r="E167" i="3"/>
  <c r="P167" i="3"/>
  <c r="I231" i="3"/>
  <c r="Q231" i="3" s="1"/>
  <c r="E260" i="3"/>
  <c r="O347" i="3"/>
  <c r="O370" i="3"/>
  <c r="Y370" i="3"/>
  <c r="Z370" i="3" s="1"/>
  <c r="Q405" i="3"/>
  <c r="J434" i="3"/>
  <c r="J457" i="3"/>
  <c r="T457" i="3"/>
  <c r="X83" i="3" l="1"/>
  <c r="Q463" i="3"/>
  <c r="P202" i="3"/>
  <c r="U285" i="2"/>
  <c r="U317" i="2"/>
  <c r="AL384" i="2"/>
  <c r="U248" i="2"/>
  <c r="U204" i="2"/>
  <c r="U215" i="2"/>
  <c r="U275" i="2"/>
  <c r="U100" i="2"/>
  <c r="AL570" i="2"/>
  <c r="P144" i="3"/>
  <c r="U431" i="3"/>
  <c r="U422" i="2"/>
  <c r="U13" i="2"/>
  <c r="U484" i="2"/>
  <c r="U612" i="2"/>
  <c r="X628" i="12"/>
  <c r="Z312" i="3"/>
  <c r="Q115" i="3"/>
  <c r="L593" i="12"/>
  <c r="X315" i="3"/>
  <c r="U21" i="2"/>
  <c r="P28" i="3"/>
  <c r="P318" i="3"/>
  <c r="U315" i="3"/>
  <c r="Q28" i="3"/>
  <c r="Z196" i="3"/>
  <c r="Q497" i="12"/>
  <c r="U186" i="2"/>
  <c r="AL22" i="2"/>
  <c r="K25" i="3" s="1"/>
  <c r="K28" i="3" s="1"/>
  <c r="AL64" i="2"/>
  <c r="U150" i="2"/>
  <c r="AL177" i="2"/>
  <c r="AA660" i="12"/>
  <c r="AL23" i="2"/>
  <c r="AL455" i="2"/>
  <c r="U141" i="2"/>
  <c r="X638" i="12"/>
  <c r="U454" i="2"/>
  <c r="U411" i="2"/>
  <c r="U316" i="2"/>
  <c r="AB660" i="12"/>
  <c r="U336" i="2"/>
  <c r="U210" i="2"/>
  <c r="U132" i="2"/>
  <c r="X257" i="3"/>
  <c r="U199" i="3"/>
  <c r="U373" i="3"/>
  <c r="P434" i="3"/>
  <c r="U170" i="3"/>
  <c r="Z283" i="3"/>
  <c r="X431" i="3"/>
  <c r="P115" i="3"/>
  <c r="X373" i="3"/>
  <c r="Z138" i="3"/>
  <c r="S553" i="12"/>
  <c r="R504" i="12"/>
  <c r="Q357" i="12"/>
  <c r="I276" i="12"/>
  <c r="K108" i="12"/>
  <c r="S242" i="12"/>
  <c r="R236" i="12"/>
  <c r="N512" i="12"/>
  <c r="J404" i="12"/>
  <c r="F291" i="12"/>
  <c r="T191" i="12"/>
  <c r="M143" i="12"/>
  <c r="AR585" i="2"/>
  <c r="AQ585" i="2"/>
  <c r="U561" i="2"/>
  <c r="U174" i="2"/>
  <c r="G449" i="12"/>
  <c r="I546" i="12"/>
  <c r="S431" i="12"/>
  <c r="U141" i="3"/>
  <c r="T556" i="12"/>
  <c r="O600" i="12"/>
  <c r="Q461" i="12"/>
  <c r="F158" i="12"/>
  <c r="S239" i="12"/>
  <c r="AB604" i="12"/>
  <c r="U460" i="3"/>
  <c r="J376" i="12"/>
  <c r="Z626" i="12"/>
  <c r="N551" i="12"/>
  <c r="L421" i="12"/>
  <c r="R362" i="12"/>
  <c r="N449" i="12"/>
  <c r="K587" i="12"/>
  <c r="I345" i="12"/>
  <c r="F306" i="12"/>
  <c r="AB644" i="12"/>
  <c r="M563" i="12"/>
  <c r="F347" i="12"/>
  <c r="N382" i="12"/>
  <c r="S298" i="12"/>
  <c r="G419" i="12"/>
  <c r="U54" i="3"/>
  <c r="U492" i="2"/>
  <c r="U386" i="2"/>
  <c r="P527" i="12"/>
  <c r="O369" i="12"/>
  <c r="Z621" i="12"/>
  <c r="T508" i="12"/>
  <c r="L348" i="12"/>
  <c r="U542" i="2"/>
  <c r="Q414" i="12"/>
  <c r="O334" i="12"/>
  <c r="T496" i="12"/>
  <c r="L517" i="12"/>
  <c r="K277" i="12"/>
  <c r="I364" i="12"/>
  <c r="U280" i="2"/>
  <c r="M502" i="12"/>
  <c r="J492" i="12"/>
  <c r="K377" i="12"/>
  <c r="K369" i="12"/>
  <c r="Q415" i="12"/>
  <c r="T341" i="12"/>
  <c r="AQ481" i="2"/>
  <c r="AR481" i="2"/>
  <c r="U140" i="2"/>
  <c r="R567" i="12"/>
  <c r="L397" i="12"/>
  <c r="X632" i="12"/>
  <c r="T598" i="12"/>
  <c r="J568" i="12"/>
  <c r="R454" i="12"/>
  <c r="P480" i="12"/>
  <c r="AB640" i="12"/>
  <c r="O595" i="12"/>
  <c r="N595" i="12"/>
  <c r="M540" i="12"/>
  <c r="S496" i="12"/>
  <c r="G512" i="12"/>
  <c r="O585" i="12"/>
  <c r="P199" i="12"/>
  <c r="K226" i="12"/>
  <c r="U412" i="2"/>
  <c r="U256" i="2"/>
  <c r="U187" i="2"/>
  <c r="U80" i="2"/>
  <c r="N537" i="12"/>
  <c r="N349" i="12"/>
  <c r="S337" i="12"/>
  <c r="Z604" i="12"/>
  <c r="F545" i="12"/>
  <c r="M470" i="12"/>
  <c r="O355" i="12"/>
  <c r="P178" i="12"/>
  <c r="S212" i="12"/>
  <c r="P225" i="12"/>
  <c r="G462" i="12"/>
  <c r="AA626" i="12"/>
  <c r="X644" i="12"/>
  <c r="P523" i="12"/>
  <c r="I485" i="12"/>
  <c r="S527" i="12"/>
  <c r="K537" i="12"/>
  <c r="K593" i="12"/>
  <c r="Q556" i="12"/>
  <c r="Q417" i="12"/>
  <c r="J430" i="12"/>
  <c r="I311" i="12"/>
  <c r="K540" i="12"/>
  <c r="R574" i="12"/>
  <c r="AL369" i="2"/>
  <c r="G199" i="12"/>
  <c r="U383" i="2"/>
  <c r="U85" i="2"/>
  <c r="AQ121" i="2"/>
  <c r="AR121" i="2"/>
  <c r="U28" i="2"/>
  <c r="AQ112" i="2"/>
  <c r="Q318" i="3"/>
  <c r="U83" i="3"/>
  <c r="Q57" i="3"/>
  <c r="P57" i="3"/>
  <c r="J576" i="12"/>
  <c r="O435" i="12"/>
  <c r="S461" i="12"/>
  <c r="K334" i="12"/>
  <c r="I378" i="12"/>
  <c r="O439" i="12"/>
  <c r="P358" i="12"/>
  <c r="S570" i="12"/>
  <c r="S304" i="12"/>
  <c r="F419" i="12"/>
  <c r="R367" i="12"/>
  <c r="F390" i="12"/>
  <c r="U518" i="2"/>
  <c r="O361" i="12"/>
  <c r="G322" i="12"/>
  <c r="U448" i="2"/>
  <c r="Q295" i="12"/>
  <c r="R536" i="12"/>
  <c r="P574" i="12"/>
  <c r="S533" i="12"/>
  <c r="I323" i="12"/>
  <c r="R540" i="12"/>
  <c r="R515" i="12"/>
  <c r="F542" i="12"/>
  <c r="U388" i="2"/>
  <c r="K188" i="12"/>
  <c r="N331" i="12"/>
  <c r="AR475" i="2"/>
  <c r="AQ475" i="2"/>
  <c r="L560" i="12"/>
  <c r="T560" i="12"/>
  <c r="J290" i="12"/>
  <c r="T317" i="12"/>
  <c r="G482" i="12"/>
  <c r="K541" i="12"/>
  <c r="K534" i="12"/>
  <c r="Q254" i="12"/>
  <c r="X624" i="12"/>
  <c r="M259" i="12"/>
  <c r="O234" i="12"/>
  <c r="G504" i="12"/>
  <c r="Q241" i="12"/>
  <c r="I426" i="12"/>
  <c r="G269" i="12"/>
  <c r="U304" i="2"/>
  <c r="R447" i="12"/>
  <c r="O358" i="12"/>
  <c r="I423" i="12"/>
  <c r="AR477" i="2"/>
  <c r="AQ477" i="2"/>
  <c r="L585" i="12"/>
  <c r="R566" i="12"/>
  <c r="K408" i="12"/>
  <c r="P336" i="12"/>
  <c r="I515" i="12"/>
  <c r="L592" i="12"/>
  <c r="F264" i="12"/>
  <c r="S268" i="12"/>
  <c r="M286" i="12"/>
  <c r="G404" i="12"/>
  <c r="J346" i="12"/>
  <c r="F325" i="12"/>
  <c r="M372" i="12"/>
  <c r="I514" i="12"/>
  <c r="I340" i="12"/>
  <c r="M265" i="12"/>
  <c r="S550" i="12"/>
  <c r="G547" i="12"/>
  <c r="Q298" i="12"/>
  <c r="Q323" i="12"/>
  <c r="L496" i="12"/>
  <c r="R240" i="12"/>
  <c r="G268" i="12"/>
  <c r="Q438" i="12"/>
  <c r="F538" i="12"/>
  <c r="O325" i="12"/>
  <c r="K516" i="12"/>
  <c r="R588" i="12"/>
  <c r="G580" i="12"/>
  <c r="S510" i="12"/>
  <c r="P314" i="12"/>
  <c r="G430" i="12"/>
  <c r="Q533" i="12"/>
  <c r="L540" i="12"/>
  <c r="S264" i="12"/>
  <c r="R228" i="12"/>
  <c r="O404" i="12"/>
  <c r="L238" i="12"/>
  <c r="J452" i="12"/>
  <c r="P524" i="12"/>
  <c r="O501" i="12"/>
  <c r="O315" i="12"/>
  <c r="I294" i="12"/>
  <c r="S320" i="12"/>
  <c r="K254" i="12"/>
  <c r="P249" i="12"/>
  <c r="T233" i="12"/>
  <c r="S445" i="12"/>
  <c r="M504" i="12"/>
  <c r="K171" i="12"/>
  <c r="S179" i="12"/>
  <c r="P335" i="12"/>
  <c r="K509" i="12"/>
  <c r="P564" i="12"/>
  <c r="L493" i="12"/>
  <c r="R534" i="12"/>
  <c r="F359" i="12"/>
  <c r="U405" i="2"/>
  <c r="N268" i="12"/>
  <c r="Q458" i="12"/>
  <c r="T171" i="12"/>
  <c r="M381" i="12"/>
  <c r="R330" i="12"/>
  <c r="S456" i="12"/>
  <c r="T339" i="12"/>
  <c r="Q303" i="12"/>
  <c r="R368" i="12"/>
  <c r="F233" i="12"/>
  <c r="S444" i="12"/>
  <c r="F251" i="12"/>
  <c r="K566" i="12"/>
  <c r="J285" i="12"/>
  <c r="R276" i="12"/>
  <c r="T272" i="12"/>
  <c r="J409" i="12"/>
  <c r="Q206" i="12"/>
  <c r="L391" i="12"/>
  <c r="Q263" i="12"/>
  <c r="P247" i="12"/>
  <c r="K364" i="12"/>
  <c r="AA645" i="12"/>
  <c r="O264" i="12"/>
  <c r="M473" i="12"/>
  <c r="I420" i="12"/>
  <c r="O239" i="12"/>
  <c r="R207" i="12"/>
  <c r="Q179" i="12"/>
  <c r="I204" i="12"/>
  <c r="S286" i="12"/>
  <c r="P226" i="12"/>
  <c r="G385" i="12"/>
  <c r="I153" i="12"/>
  <c r="R143" i="12"/>
  <c r="O329" i="12"/>
  <c r="R309" i="12"/>
  <c r="T124" i="12"/>
  <c r="R135" i="12"/>
  <c r="L224" i="12"/>
  <c r="S159" i="12"/>
  <c r="I443" i="12"/>
  <c r="R153" i="12"/>
  <c r="R177" i="12"/>
  <c r="Q201" i="12"/>
  <c r="K130" i="12"/>
  <c r="L183" i="12"/>
  <c r="O244" i="12"/>
  <c r="T108" i="12"/>
  <c r="I261" i="12"/>
  <c r="O137" i="12"/>
  <c r="L555" i="12"/>
  <c r="J381" i="12"/>
  <c r="S344" i="12"/>
  <c r="O233" i="12"/>
  <c r="I392" i="12"/>
  <c r="X604" i="12"/>
  <c r="AL289" i="2"/>
  <c r="X618" i="12"/>
  <c r="R415" i="12"/>
  <c r="I356" i="12"/>
  <c r="X607" i="12"/>
  <c r="O560" i="12"/>
  <c r="K560" i="12"/>
  <c r="K304" i="12"/>
  <c r="N298" i="12"/>
  <c r="Q482" i="12"/>
  <c r="M320" i="12"/>
  <c r="S544" i="12"/>
  <c r="T214" i="12"/>
  <c r="O553" i="12"/>
  <c r="L476" i="12"/>
  <c r="N210" i="12"/>
  <c r="K346" i="12"/>
  <c r="S396" i="12"/>
  <c r="G241" i="12"/>
  <c r="K582" i="12"/>
  <c r="K423" i="12"/>
  <c r="J340" i="12"/>
  <c r="M314" i="12"/>
  <c r="O294" i="12"/>
  <c r="S515" i="12"/>
  <c r="R548" i="12"/>
  <c r="M368" i="12"/>
  <c r="N474" i="12"/>
  <c r="O444" i="12"/>
  <c r="Q272" i="12"/>
  <c r="N171" i="12"/>
  <c r="N265" i="12"/>
  <c r="J265" i="12"/>
  <c r="J455" i="12"/>
  <c r="J550" i="12"/>
  <c r="T304" i="12"/>
  <c r="N317" i="12"/>
  <c r="K242" i="12"/>
  <c r="R293" i="12"/>
  <c r="F240" i="12"/>
  <c r="U399" i="2"/>
  <c r="P548" i="12"/>
  <c r="K233" i="12"/>
  <c r="S266" i="12"/>
  <c r="Q459" i="12"/>
  <c r="F350" i="12"/>
  <c r="O274" i="12"/>
  <c r="R580" i="12"/>
  <c r="F509" i="12"/>
  <c r="M564" i="12"/>
  <c r="G314" i="12"/>
  <c r="F330" i="12"/>
  <c r="N566" i="12"/>
  <c r="Q293" i="12"/>
  <c r="J592" i="12"/>
  <c r="O548" i="12"/>
  <c r="T259" i="12"/>
  <c r="R346" i="12"/>
  <c r="F524" i="12"/>
  <c r="U321" i="2"/>
  <c r="T227" i="12"/>
  <c r="F447" i="12"/>
  <c r="M528" i="12"/>
  <c r="O536" i="12"/>
  <c r="F289" i="12"/>
  <c r="U427" i="2"/>
  <c r="G408" i="12"/>
  <c r="G320" i="12"/>
  <c r="M544" i="12"/>
  <c r="T592" i="12"/>
  <c r="O268" i="12"/>
  <c r="J286" i="12"/>
  <c r="I233" i="12"/>
  <c r="Q228" i="12"/>
  <c r="M276" i="12"/>
  <c r="K234" i="12"/>
  <c r="T532" i="12"/>
  <c r="N226" i="12"/>
  <c r="M241" i="12"/>
  <c r="O426" i="12"/>
  <c r="S403" i="12"/>
  <c r="N500" i="12"/>
  <c r="G335" i="12"/>
  <c r="G357" i="12"/>
  <c r="G564" i="12"/>
  <c r="M547" i="12"/>
  <c r="I585" i="12"/>
  <c r="M533" i="12"/>
  <c r="L482" i="12"/>
  <c r="J254" i="12"/>
  <c r="K542" i="12"/>
  <c r="L498" i="12"/>
  <c r="I475" i="12"/>
  <c r="L533" i="12"/>
  <c r="I298" i="12"/>
  <c r="K591" i="12"/>
  <c r="K597" i="12"/>
  <c r="N455" i="12"/>
  <c r="L317" i="12"/>
  <c r="G533" i="12"/>
  <c r="N456" i="12"/>
  <c r="P359" i="12"/>
  <c r="O519" i="12"/>
  <c r="G368" i="12"/>
  <c r="T276" i="12"/>
  <c r="I444" i="12"/>
  <c r="S339" i="12"/>
  <c r="I291" i="12"/>
  <c r="T409" i="12"/>
  <c r="N355" i="12"/>
  <c r="O206" i="12"/>
  <c r="S158" i="12"/>
  <c r="K506" i="12"/>
  <c r="I316" i="12"/>
  <c r="L240" i="12"/>
  <c r="I490" i="12"/>
  <c r="N263" i="12"/>
  <c r="O259" i="12"/>
  <c r="T267" i="12"/>
  <c r="M154" i="12"/>
  <c r="N441" i="12"/>
  <c r="L131" i="12"/>
  <c r="M441" i="12"/>
  <c r="I176" i="12"/>
  <c r="L272" i="12"/>
  <c r="F473" i="12"/>
  <c r="U314" i="2"/>
  <c r="T175" i="12"/>
  <c r="F239" i="12"/>
  <c r="U410" i="2"/>
  <c r="G387" i="12"/>
  <c r="R139" i="12"/>
  <c r="T524" i="12"/>
  <c r="G263" i="12"/>
  <c r="Q385" i="12"/>
  <c r="Q224" i="12"/>
  <c r="M88" i="12"/>
  <c r="G375" i="12"/>
  <c r="G301" i="12"/>
  <c r="R132" i="12"/>
  <c r="F224" i="12"/>
  <c r="U290" i="2"/>
  <c r="M224" i="12"/>
  <c r="I159" i="12"/>
  <c r="P174" i="12"/>
  <c r="N123" i="12"/>
  <c r="F316" i="12"/>
  <c r="J201" i="12"/>
  <c r="AA623" i="12"/>
  <c r="X647" i="12"/>
  <c r="M486" i="12"/>
  <c r="K414" i="12"/>
  <c r="T486" i="12"/>
  <c r="T525" i="12"/>
  <c r="R563" i="12"/>
  <c r="R568" i="12"/>
  <c r="M489" i="12"/>
  <c r="O337" i="12"/>
  <c r="P431" i="12"/>
  <c r="I319" i="12"/>
  <c r="I414" i="12"/>
  <c r="S380" i="12"/>
  <c r="R386" i="12"/>
  <c r="R405" i="12"/>
  <c r="N415" i="12"/>
  <c r="AA644" i="12"/>
  <c r="K395" i="12"/>
  <c r="M386" i="12"/>
  <c r="G401" i="12"/>
  <c r="L511" i="12"/>
  <c r="K574" i="12"/>
  <c r="O525" i="12"/>
  <c r="Q308" i="12"/>
  <c r="T315" i="12"/>
  <c r="O598" i="12"/>
  <c r="M537" i="12"/>
  <c r="F521" i="12"/>
  <c r="U629" i="2"/>
  <c r="N486" i="12"/>
  <c r="S492" i="12"/>
  <c r="O599" i="12"/>
  <c r="K594" i="12"/>
  <c r="J502" i="12"/>
  <c r="J486" i="12"/>
  <c r="K568" i="12"/>
  <c r="S376" i="12"/>
  <c r="S369" i="12"/>
  <c r="F497" i="12"/>
  <c r="K472" i="12"/>
  <c r="F487" i="12"/>
  <c r="M389" i="12"/>
  <c r="F326" i="12"/>
  <c r="N337" i="12"/>
  <c r="S319" i="12"/>
  <c r="P581" i="12"/>
  <c r="G421" i="12"/>
  <c r="L545" i="12"/>
  <c r="R465" i="12"/>
  <c r="AA632" i="12"/>
  <c r="R361" i="12"/>
  <c r="M342" i="12"/>
  <c r="Z632" i="12"/>
  <c r="Q597" i="12"/>
  <c r="Q549" i="12"/>
  <c r="G362" i="12"/>
  <c r="S338" i="12"/>
  <c r="N465" i="12"/>
  <c r="L358" i="12"/>
  <c r="L570" i="12"/>
  <c r="I499" i="12"/>
  <c r="R440" i="12"/>
  <c r="AB648" i="12"/>
  <c r="T599" i="12"/>
  <c r="T472" i="12"/>
  <c r="AQ635" i="2"/>
  <c r="AR635" i="2"/>
  <c r="G521" i="12"/>
  <c r="G414" i="12"/>
  <c r="N598" i="12"/>
  <c r="S599" i="12"/>
  <c r="X664" i="12"/>
  <c r="Q522" i="12"/>
  <c r="L492" i="12"/>
  <c r="Q567" i="12"/>
  <c r="Q546" i="12"/>
  <c r="M526" i="12"/>
  <c r="S559" i="12"/>
  <c r="S600" i="12"/>
  <c r="O584" i="12"/>
  <c r="M556" i="12"/>
  <c r="K347" i="12"/>
  <c r="Q599" i="12"/>
  <c r="S543" i="12"/>
  <c r="M594" i="12"/>
  <c r="R596" i="12"/>
  <c r="O436" i="12"/>
  <c r="I492" i="12"/>
  <c r="J421" i="12"/>
  <c r="L486" i="12"/>
  <c r="F529" i="12"/>
  <c r="U643" i="2"/>
  <c r="T451" i="12"/>
  <c r="L576" i="12"/>
  <c r="P596" i="12"/>
  <c r="L522" i="12"/>
  <c r="F543" i="12"/>
  <c r="U642" i="2"/>
  <c r="Q484" i="12"/>
  <c r="L527" i="12"/>
  <c r="F590" i="12"/>
  <c r="J523" i="12"/>
  <c r="K527" i="12"/>
  <c r="X642" i="12"/>
  <c r="L472" i="12"/>
  <c r="P598" i="12"/>
  <c r="J567" i="12"/>
  <c r="R414" i="12"/>
  <c r="Q485" i="12"/>
  <c r="Q508" i="12"/>
  <c r="R337" i="12"/>
  <c r="O416" i="12"/>
  <c r="I467" i="12"/>
  <c r="P602" i="12"/>
  <c r="G417" i="12"/>
  <c r="I369" i="12"/>
  <c r="K539" i="12"/>
  <c r="O279" i="12"/>
  <c r="Q432" i="12"/>
  <c r="J382" i="12"/>
  <c r="P508" i="12"/>
  <c r="R495" i="12"/>
  <c r="G376" i="12"/>
  <c r="Q491" i="12"/>
  <c r="S467" i="12"/>
  <c r="L440" i="12"/>
  <c r="O480" i="12"/>
  <c r="R369" i="12"/>
  <c r="L529" i="12"/>
  <c r="P539" i="12"/>
  <c r="R479" i="12"/>
  <c r="R421" i="12"/>
  <c r="M411" i="12"/>
  <c r="G431" i="12"/>
  <c r="AA609" i="12"/>
  <c r="K461" i="12"/>
  <c r="I465" i="12"/>
  <c r="M401" i="12"/>
  <c r="M321" i="12"/>
  <c r="G587" i="12"/>
  <c r="L471" i="12"/>
  <c r="F397" i="12"/>
  <c r="U607" i="2"/>
  <c r="L411" i="12"/>
  <c r="J461" i="12"/>
  <c r="L446" i="12"/>
  <c r="N354" i="12"/>
  <c r="O417" i="12"/>
  <c r="K460" i="12"/>
  <c r="F369" i="12"/>
  <c r="F327" i="12"/>
  <c r="J521" i="12"/>
  <c r="J437" i="12"/>
  <c r="J471" i="12"/>
  <c r="M333" i="12"/>
  <c r="S558" i="12"/>
  <c r="K602" i="12"/>
  <c r="J460" i="12"/>
  <c r="T271" i="12"/>
  <c r="R486" i="12"/>
  <c r="S389" i="12"/>
  <c r="M382" i="12"/>
  <c r="I397" i="12"/>
  <c r="L497" i="12"/>
  <c r="T416" i="12"/>
  <c r="M487" i="12"/>
  <c r="G558" i="12"/>
  <c r="L465" i="12"/>
  <c r="I342" i="12"/>
  <c r="O326" i="12"/>
  <c r="N369" i="12"/>
  <c r="N280" i="12"/>
  <c r="O587" i="12"/>
  <c r="I478" i="12"/>
  <c r="I422" i="12"/>
  <c r="S432" i="12"/>
  <c r="M363" i="12"/>
  <c r="O450" i="12"/>
  <c r="M495" i="12"/>
  <c r="G454" i="12"/>
  <c r="K499" i="12"/>
  <c r="R461" i="12"/>
  <c r="S446" i="12"/>
  <c r="R353" i="12"/>
  <c r="L417" i="12"/>
  <c r="O537" i="12"/>
  <c r="G581" i="12"/>
  <c r="N279" i="12"/>
  <c r="R363" i="12"/>
  <c r="T565" i="12"/>
  <c r="J546" i="12"/>
  <c r="N363" i="12"/>
  <c r="F485" i="12"/>
  <c r="R333" i="12"/>
  <c r="T376" i="12"/>
  <c r="P489" i="12"/>
  <c r="T513" i="12"/>
  <c r="P558" i="12"/>
  <c r="S354" i="12"/>
  <c r="I138" i="12"/>
  <c r="P579" i="12"/>
  <c r="M549" i="12"/>
  <c r="P367" i="12"/>
  <c r="I488" i="12"/>
  <c r="P386" i="12"/>
  <c r="J358" i="12"/>
  <c r="T569" i="12"/>
  <c r="O332" i="12"/>
  <c r="R589" i="12"/>
  <c r="F283" i="12"/>
  <c r="U462" i="2"/>
  <c r="S585" i="12"/>
  <c r="S333" i="12"/>
  <c r="J405" i="12"/>
  <c r="R434" i="12"/>
  <c r="T350" i="12"/>
  <c r="T349" i="12"/>
  <c r="O351" i="12"/>
  <c r="N367" i="12"/>
  <c r="S360" i="12"/>
  <c r="R514" i="12"/>
  <c r="R306" i="12"/>
  <c r="S511" i="12"/>
  <c r="S569" i="12"/>
  <c r="I371" i="12"/>
  <c r="S348" i="12"/>
  <c r="P339" i="12"/>
  <c r="N450" i="12"/>
  <c r="I354" i="12"/>
  <c r="N579" i="12"/>
  <c r="M395" i="12"/>
  <c r="R381" i="12"/>
  <c r="P557" i="12"/>
  <c r="N386" i="12"/>
  <c r="F582" i="12"/>
  <c r="F597" i="12"/>
  <c r="S371" i="12"/>
  <c r="F455" i="12"/>
  <c r="P304" i="12"/>
  <c r="P493" i="12"/>
  <c r="AB609" i="12"/>
  <c r="S602" i="12"/>
  <c r="Q494" i="12"/>
  <c r="M370" i="12"/>
  <c r="X634" i="12"/>
  <c r="Q360" i="12"/>
  <c r="K381" i="12"/>
  <c r="P393" i="12"/>
  <c r="J258" i="12"/>
  <c r="I535" i="12"/>
  <c r="P582" i="12"/>
  <c r="F569" i="12"/>
  <c r="U485" i="2"/>
  <c r="N340" i="12"/>
  <c r="F371" i="12"/>
  <c r="U473" i="2"/>
  <c r="F361" i="12"/>
  <c r="U469" i="2"/>
  <c r="G528" i="12"/>
  <c r="O304" i="12"/>
  <c r="J378" i="12"/>
  <c r="G354" i="12"/>
  <c r="F579" i="12"/>
  <c r="U550" i="2"/>
  <c r="M579" i="12"/>
  <c r="Q321" i="12"/>
  <c r="AA634" i="12"/>
  <c r="O488" i="12"/>
  <c r="Q477" i="12"/>
  <c r="Q516" i="12"/>
  <c r="R377" i="12"/>
  <c r="O597" i="12"/>
  <c r="G324" i="12"/>
  <c r="K357" i="12"/>
  <c r="S430" i="12"/>
  <c r="F416" i="12"/>
  <c r="N558" i="12"/>
  <c r="K572" i="12"/>
  <c r="F370" i="12"/>
  <c r="U543" i="2"/>
  <c r="L370" i="12"/>
  <c r="P280" i="12"/>
  <c r="S274" i="12"/>
  <c r="AA648" i="12"/>
  <c r="L356" i="12"/>
  <c r="Q371" i="12"/>
  <c r="O348" i="12"/>
  <c r="L339" i="12"/>
  <c r="T388" i="12"/>
  <c r="I338" i="12"/>
  <c r="AA636" i="12"/>
  <c r="R446" i="12"/>
  <c r="Q350" i="12"/>
  <c r="R230" i="12"/>
  <c r="G447" i="12"/>
  <c r="G274" i="12"/>
  <c r="J554" i="12"/>
  <c r="P535" i="12"/>
  <c r="J344" i="12"/>
  <c r="M358" i="12"/>
  <c r="O331" i="12"/>
  <c r="G509" i="12"/>
  <c r="N528" i="12"/>
  <c r="Q442" i="12"/>
  <c r="N319" i="12"/>
  <c r="F461" i="12"/>
  <c r="R494" i="12"/>
  <c r="N138" i="12"/>
  <c r="T497" i="12"/>
  <c r="T468" i="12"/>
  <c r="M397" i="12"/>
  <c r="J578" i="12"/>
  <c r="F480" i="12"/>
  <c r="AR546" i="2"/>
  <c r="AQ546" i="2"/>
  <c r="I308" i="12"/>
  <c r="G369" i="12"/>
  <c r="L477" i="12"/>
  <c r="L415" i="12"/>
  <c r="F583" i="12"/>
  <c r="U506" i="2"/>
  <c r="T582" i="12"/>
  <c r="S589" i="12"/>
  <c r="N547" i="12"/>
  <c r="T585" i="12"/>
  <c r="S493" i="12"/>
  <c r="N390" i="12"/>
  <c r="G390" i="12"/>
  <c r="R322" i="12"/>
  <c r="I252" i="12"/>
  <c r="I295" i="12"/>
  <c r="T536" i="12"/>
  <c r="T533" i="12"/>
  <c r="N242" i="12"/>
  <c r="S540" i="12"/>
  <c r="I285" i="12"/>
  <c r="N359" i="12"/>
  <c r="P553" i="12"/>
  <c r="M233" i="12"/>
  <c r="I404" i="12"/>
  <c r="I272" i="12"/>
  <c r="J524" i="12"/>
  <c r="I267" i="12"/>
  <c r="O518" i="12"/>
  <c r="O265" i="12"/>
  <c r="F560" i="12"/>
  <c r="U457" i="2"/>
  <c r="N550" i="12"/>
  <c r="M585" i="12"/>
  <c r="J482" i="12"/>
  <c r="T285" i="12"/>
  <c r="T249" i="12"/>
  <c r="K553" i="12"/>
  <c r="Q498" i="12"/>
  <c r="L458" i="12"/>
  <c r="S438" i="12"/>
  <c r="P444" i="12"/>
  <c r="M445" i="12"/>
  <c r="S190" i="12"/>
  <c r="I396" i="12"/>
  <c r="S524" i="12"/>
  <c r="M403" i="12"/>
  <c r="Q247" i="12"/>
  <c r="G520" i="12"/>
  <c r="L423" i="12"/>
  <c r="N332" i="12"/>
  <c r="N580" i="12"/>
  <c r="N289" i="12"/>
  <c r="I573" i="12"/>
  <c r="M496" i="12"/>
  <c r="J515" i="12"/>
  <c r="F548" i="12"/>
  <c r="L233" i="12"/>
  <c r="L445" i="12"/>
  <c r="G272" i="12"/>
  <c r="N334" i="12"/>
  <c r="F265" i="12"/>
  <c r="U478" i="2"/>
  <c r="T265" i="12"/>
  <c r="K315" i="12"/>
  <c r="T550" i="12"/>
  <c r="K585" i="12"/>
  <c r="N493" i="12"/>
  <c r="O577" i="12"/>
  <c r="F293" i="12"/>
  <c r="O544" i="12"/>
  <c r="P240" i="12"/>
  <c r="L368" i="12"/>
  <c r="M453" i="12"/>
  <c r="S346" i="12"/>
  <c r="P272" i="12"/>
  <c r="J418" i="12"/>
  <c r="M554" i="12"/>
  <c r="L331" i="12"/>
  <c r="S580" i="12"/>
  <c r="Q314" i="12"/>
  <c r="M294" i="12"/>
  <c r="J242" i="12"/>
  <c r="K496" i="12"/>
  <c r="T248" i="12"/>
  <c r="G548" i="12"/>
  <c r="J259" i="12"/>
  <c r="P438" i="12"/>
  <c r="M444" i="12"/>
  <c r="T445" i="12"/>
  <c r="L171" i="12"/>
  <c r="J227" i="12"/>
  <c r="T403" i="12"/>
  <c r="N274" i="12"/>
  <c r="M340" i="12"/>
  <c r="R338" i="12"/>
  <c r="M482" i="12"/>
  <c r="P293" i="12"/>
  <c r="P285" i="12"/>
  <c r="I592" i="12"/>
  <c r="F268" i="12"/>
  <c r="U390" i="2"/>
  <c r="S476" i="12"/>
  <c r="G228" i="12"/>
  <c r="N404" i="12"/>
  <c r="L444" i="12"/>
  <c r="J532" i="12"/>
  <c r="O190" i="12"/>
  <c r="N392" i="12"/>
  <c r="T277" i="12"/>
  <c r="Q335" i="12"/>
  <c r="N295" i="12"/>
  <c r="O293" i="12"/>
  <c r="P534" i="12"/>
  <c r="S592" i="12"/>
  <c r="T553" i="12"/>
  <c r="O188" i="12"/>
  <c r="N190" i="12"/>
  <c r="T238" i="12"/>
  <c r="L577" i="12"/>
  <c r="S591" i="12"/>
  <c r="L591" i="12"/>
  <c r="T356" i="12"/>
  <c r="M317" i="12"/>
  <c r="K323" i="12"/>
  <c r="J359" i="12"/>
  <c r="N557" i="12"/>
  <c r="M560" i="12"/>
  <c r="S291" i="12"/>
  <c r="R387" i="12"/>
  <c r="N165" i="12"/>
  <c r="J544" i="12"/>
  <c r="O212" i="12"/>
  <c r="M292" i="12"/>
  <c r="K264" i="12"/>
  <c r="T490" i="12"/>
  <c r="L266" i="12"/>
  <c r="J179" i="12"/>
  <c r="O413" i="12"/>
  <c r="AQ369" i="2"/>
  <c r="AR369" i="2"/>
  <c r="L269" i="12"/>
  <c r="S176" i="12"/>
  <c r="M228" i="12"/>
  <c r="P375" i="12"/>
  <c r="R239" i="12"/>
  <c r="R233" i="12"/>
  <c r="N429" i="12"/>
  <c r="Q387" i="12"/>
  <c r="F196" i="12"/>
  <c r="Q246" i="12"/>
  <c r="M152" i="12"/>
  <c r="S364" i="12"/>
  <c r="F237" i="12"/>
  <c r="U259" i="2"/>
  <c r="Q204" i="12"/>
  <c r="Q212" i="12"/>
  <c r="T118" i="12"/>
  <c r="O168" i="12"/>
  <c r="P211" i="12"/>
  <c r="S226" i="12"/>
  <c r="R375" i="12"/>
  <c r="G224" i="12"/>
  <c r="J174" i="12"/>
  <c r="Q132" i="12"/>
  <c r="Q359" i="12"/>
  <c r="Q176" i="12"/>
  <c r="Q154" i="12"/>
  <c r="Q171" i="12"/>
  <c r="Q453" i="12"/>
  <c r="Q408" i="12"/>
  <c r="Q441" i="12"/>
  <c r="Q207" i="12"/>
  <c r="Q469" i="12"/>
  <c r="Q338" i="12"/>
  <c r="Q490" i="12"/>
  <c r="Q368" i="12"/>
  <c r="Q133" i="12"/>
  <c r="Q524" i="12"/>
  <c r="Q131" i="12"/>
  <c r="Q231" i="12"/>
  <c r="Q413" i="12"/>
  <c r="Q238" i="12"/>
  <c r="Q403" i="12"/>
  <c r="Q501" i="12"/>
  <c r="Q419" i="12"/>
  <c r="Q475" i="12"/>
  <c r="Q227" i="12"/>
  <c r="Q552" i="12"/>
  <c r="Q540" i="12"/>
  <c r="Q259" i="12"/>
  <c r="Q456" i="12"/>
  <c r="Q457" i="12"/>
  <c r="Q426" i="12"/>
  <c r="Q184" i="12"/>
  <c r="Q162" i="12"/>
  <c r="Q445" i="12"/>
  <c r="Q510" i="12"/>
  <c r="Q287" i="12"/>
  <c r="Q210" i="12"/>
  <c r="Q444" i="12"/>
  <c r="Q239" i="12"/>
  <c r="Q330" i="12"/>
  <c r="O144" i="12"/>
  <c r="L328" i="12"/>
  <c r="G524" i="12"/>
  <c r="R543" i="12"/>
  <c r="G497" i="12"/>
  <c r="J326" i="12"/>
  <c r="G525" i="12"/>
  <c r="G479" i="12"/>
  <c r="G342" i="12"/>
  <c r="K489" i="12"/>
  <c r="T495" i="12"/>
  <c r="F230" i="12"/>
  <c r="U535" i="2"/>
  <c r="L450" i="12"/>
  <c r="L345" i="12"/>
  <c r="S363" i="12"/>
  <c r="I440" i="12"/>
  <c r="P521" i="12"/>
  <c r="R138" i="12"/>
  <c r="S350" i="12"/>
  <c r="R511" i="12"/>
  <c r="Q304" i="12"/>
  <c r="O252" i="12"/>
  <c r="G554" i="12"/>
  <c r="I588" i="12"/>
  <c r="M304" i="12"/>
  <c r="J334" i="12"/>
  <c r="M442" i="12"/>
  <c r="S386" i="12"/>
  <c r="I576" i="12"/>
  <c r="I527" i="12"/>
  <c r="K543" i="12"/>
  <c r="N584" i="12"/>
  <c r="N567" i="12"/>
  <c r="L584" i="12"/>
  <c r="T523" i="12"/>
  <c r="K397" i="12"/>
  <c r="P380" i="12"/>
  <c r="T380" i="12"/>
  <c r="G432" i="12"/>
  <c r="I389" i="12"/>
  <c r="O342" i="12"/>
  <c r="R462" i="12"/>
  <c r="K431" i="12"/>
  <c r="R488" i="12"/>
  <c r="Q340" i="12"/>
  <c r="S513" i="12"/>
  <c r="I377" i="12"/>
  <c r="N388" i="12"/>
  <c r="P401" i="12"/>
  <c r="Q582" i="12"/>
  <c r="AA650" i="12"/>
  <c r="AA658" i="12"/>
  <c r="AA624" i="12"/>
  <c r="AA666" i="12"/>
  <c r="AA605" i="12"/>
  <c r="AA643" i="12"/>
  <c r="G358" i="12"/>
  <c r="L579" i="12"/>
  <c r="O271" i="12"/>
  <c r="K283" i="12"/>
  <c r="T334" i="12"/>
  <c r="Q509" i="12"/>
  <c r="L505" i="12"/>
  <c r="P446" i="12"/>
  <c r="P415" i="12"/>
  <c r="I570" i="12"/>
  <c r="K280" i="12"/>
  <c r="M348" i="12"/>
  <c r="J599" i="12"/>
  <c r="J472" i="12"/>
  <c r="O556" i="12"/>
  <c r="M484" i="12"/>
  <c r="T559" i="12"/>
  <c r="I599" i="12"/>
  <c r="F584" i="12"/>
  <c r="U654" i="2"/>
  <c r="G522" i="12"/>
  <c r="G567" i="12"/>
  <c r="G546" i="12"/>
  <c r="N451" i="12"/>
  <c r="I559" i="12"/>
  <c r="O594" i="12"/>
  <c r="I600" i="12"/>
  <c r="S529" i="12"/>
  <c r="N502" i="12"/>
  <c r="L587" i="12"/>
  <c r="R539" i="12"/>
  <c r="O414" i="12"/>
  <c r="G599" i="12"/>
  <c r="I543" i="12"/>
  <c r="K526" i="12"/>
  <c r="Q559" i="12"/>
  <c r="N576" i="12"/>
  <c r="S590" i="12"/>
  <c r="T551" i="12"/>
  <c r="O565" i="12"/>
  <c r="K601" i="12"/>
  <c r="P600" i="12"/>
  <c r="Q543" i="12"/>
  <c r="K502" i="12"/>
  <c r="J451" i="12"/>
  <c r="F596" i="12"/>
  <c r="U658" i="2"/>
  <c r="Q492" i="12"/>
  <c r="K523" i="12"/>
  <c r="K521" i="12"/>
  <c r="G484" i="12"/>
  <c r="Q537" i="12"/>
  <c r="K522" i="12"/>
  <c r="P492" i="12"/>
  <c r="L599" i="12"/>
  <c r="P537" i="12"/>
  <c r="P593" i="12"/>
  <c r="K382" i="12"/>
  <c r="F508" i="12"/>
  <c r="U602" i="2"/>
  <c r="G337" i="12"/>
  <c r="R499" i="12"/>
  <c r="O489" i="12"/>
  <c r="T230" i="12"/>
  <c r="N437" i="12"/>
  <c r="F279" i="12"/>
  <c r="U617" i="2"/>
  <c r="O471" i="12"/>
  <c r="P485" i="12"/>
  <c r="O513" i="12"/>
  <c r="G495" i="12"/>
  <c r="F491" i="12"/>
  <c r="U582" i="2"/>
  <c r="G467" i="12"/>
  <c r="N586" i="12"/>
  <c r="J480" i="12"/>
  <c r="K551" i="12"/>
  <c r="M437" i="12"/>
  <c r="I479" i="12"/>
  <c r="O421" i="12"/>
  <c r="S450" i="12"/>
  <c r="T319" i="12"/>
  <c r="L449" i="12"/>
  <c r="Q376" i="12"/>
  <c r="P491" i="12"/>
  <c r="S465" i="12"/>
  <c r="S326" i="12"/>
  <c r="Q421" i="12"/>
  <c r="O499" i="12"/>
  <c r="T558" i="12"/>
  <c r="L464" i="12"/>
  <c r="M440" i="12"/>
  <c r="I417" i="12"/>
  <c r="L321" i="12"/>
  <c r="Q230" i="12"/>
  <c r="O437" i="12"/>
  <c r="T437" i="12"/>
  <c r="M485" i="12"/>
  <c r="X609" i="12"/>
  <c r="AL583" i="2"/>
  <c r="K440" i="12"/>
  <c r="J271" i="12"/>
  <c r="R502" i="12"/>
  <c r="J389" i="12"/>
  <c r="G382" i="12"/>
  <c r="S397" i="12"/>
  <c r="K508" i="12"/>
  <c r="I416" i="12"/>
  <c r="P365" i="12"/>
  <c r="S342" i="12"/>
  <c r="R326" i="12"/>
  <c r="S460" i="12"/>
  <c r="M367" i="12"/>
  <c r="Q601" i="12"/>
  <c r="AB628" i="12"/>
  <c r="S478" i="12"/>
  <c r="J414" i="12"/>
  <c r="J432" i="12"/>
  <c r="O363" i="12"/>
  <c r="K497" i="12"/>
  <c r="L337" i="12"/>
  <c r="L487" i="12"/>
  <c r="G461" i="12"/>
  <c r="AA630" i="12"/>
  <c r="G353" i="12"/>
  <c r="R460" i="12"/>
  <c r="L362" i="12"/>
  <c r="Q581" i="12"/>
  <c r="J525" i="12"/>
  <c r="T527" i="12"/>
  <c r="M539" i="12"/>
  <c r="Q363" i="12"/>
  <c r="F551" i="12"/>
  <c r="G565" i="12"/>
  <c r="J450" i="12"/>
  <c r="G333" i="12"/>
  <c r="I376" i="12"/>
  <c r="J513" i="12"/>
  <c r="T465" i="12"/>
  <c r="Q440" i="12"/>
  <c r="T138" i="12"/>
  <c r="I505" i="12"/>
  <c r="K327" i="12"/>
  <c r="S488" i="12"/>
  <c r="T360" i="12"/>
  <c r="R503" i="12"/>
  <c r="F557" i="12"/>
  <c r="U504" i="2"/>
  <c r="G386" i="12"/>
  <c r="S582" i="12"/>
  <c r="S597" i="12"/>
  <c r="I332" i="12"/>
  <c r="G339" i="12"/>
  <c r="F400" i="12"/>
  <c r="U453" i="2"/>
  <c r="R449" i="12"/>
  <c r="K405" i="12"/>
  <c r="T481" i="12"/>
  <c r="S434" i="12"/>
  <c r="F446" i="12"/>
  <c r="J350" i="12"/>
  <c r="O349" i="12"/>
  <c r="K349" i="12"/>
  <c r="F351" i="12"/>
  <c r="U534" i="2"/>
  <c r="J327" i="12"/>
  <c r="K360" i="12"/>
  <c r="P514" i="12"/>
  <c r="J477" i="12"/>
  <c r="J518" i="12"/>
  <c r="G306" i="12"/>
  <c r="R597" i="12"/>
  <c r="I348" i="12"/>
  <c r="F339" i="12"/>
  <c r="U461" i="2"/>
  <c r="L547" i="12"/>
  <c r="R481" i="12"/>
  <c r="M571" i="12"/>
  <c r="O395" i="12"/>
  <c r="J362" i="12"/>
  <c r="J557" i="12"/>
  <c r="J535" i="12"/>
  <c r="P236" i="12"/>
  <c r="P255" i="12"/>
  <c r="P530" i="12"/>
  <c r="L251" i="12"/>
  <c r="Q315" i="12"/>
  <c r="K547" i="12"/>
  <c r="F304" i="12"/>
  <c r="F493" i="12"/>
  <c r="I326" i="12"/>
  <c r="G549" i="12"/>
  <c r="Q271" i="12"/>
  <c r="L381" i="12"/>
  <c r="S377" i="12"/>
  <c r="N511" i="12"/>
  <c r="P597" i="12"/>
  <c r="O530" i="12"/>
  <c r="Q348" i="12"/>
  <c r="M283" i="12"/>
  <c r="T547" i="12"/>
  <c r="M431" i="12"/>
  <c r="K467" i="12"/>
  <c r="K378" i="12"/>
  <c r="G440" i="12"/>
  <c r="Q579" i="12"/>
  <c r="K571" i="12"/>
  <c r="AB634" i="12"/>
  <c r="N545" i="12"/>
  <c r="R477" i="12"/>
  <c r="L503" i="12"/>
  <c r="F377" i="12"/>
  <c r="U502" i="2"/>
  <c r="K520" i="12"/>
  <c r="M597" i="12"/>
  <c r="P371" i="12"/>
  <c r="P348" i="12"/>
  <c r="L283" i="12"/>
  <c r="K388" i="12"/>
  <c r="K483" i="12"/>
  <c r="I430" i="12"/>
  <c r="K456" i="12"/>
  <c r="AB636" i="12"/>
  <c r="N468" i="12"/>
  <c r="F440" i="12"/>
  <c r="L572" i="12"/>
  <c r="P370" i="12"/>
  <c r="O308" i="12"/>
  <c r="S345" i="12"/>
  <c r="O280" i="12"/>
  <c r="T415" i="12"/>
  <c r="M311" i="12"/>
  <c r="M530" i="12"/>
  <c r="J388" i="12"/>
  <c r="T483" i="12"/>
  <c r="R430" i="12"/>
  <c r="M493" i="12"/>
  <c r="Q454" i="12"/>
  <c r="Q464" i="12"/>
  <c r="N351" i="12"/>
  <c r="N381" i="12"/>
  <c r="Q274" i="12"/>
  <c r="T554" i="12"/>
  <c r="G535" i="12"/>
  <c r="T344" i="12"/>
  <c r="L582" i="12"/>
  <c r="K331" i="12"/>
  <c r="O324" i="12"/>
  <c r="K287" i="12"/>
  <c r="R251" i="12"/>
  <c r="G442" i="12"/>
  <c r="L495" i="12"/>
  <c r="O434" i="12"/>
  <c r="I425" i="12"/>
  <c r="S494" i="12"/>
  <c r="K326" i="12"/>
  <c r="Q345" i="12"/>
  <c r="I497" i="12"/>
  <c r="X636" i="12"/>
  <c r="J468" i="12"/>
  <c r="N485" i="12"/>
  <c r="M578" i="12"/>
  <c r="N439" i="12"/>
  <c r="AA654" i="12"/>
  <c r="S308" i="12"/>
  <c r="L230" i="12"/>
  <c r="Q447" i="12"/>
  <c r="M415" i="12"/>
  <c r="S557" i="12"/>
  <c r="I582" i="12"/>
  <c r="I589" i="12"/>
  <c r="P357" i="12"/>
  <c r="K528" i="12"/>
  <c r="O338" i="12"/>
  <c r="I493" i="12"/>
  <c r="T390" i="12"/>
  <c r="Q390" i="12"/>
  <c r="F332" i="12"/>
  <c r="R283" i="12"/>
  <c r="I322" i="12"/>
  <c r="L304" i="12"/>
  <c r="S295" i="12"/>
  <c r="K536" i="12"/>
  <c r="K470" i="12"/>
  <c r="S294" i="12"/>
  <c r="G577" i="12"/>
  <c r="R336" i="12"/>
  <c r="I256" i="12"/>
  <c r="I240" i="12"/>
  <c r="J249" i="12"/>
  <c r="J512" i="12"/>
  <c r="J438" i="12"/>
  <c r="I538" i="12"/>
  <c r="J190" i="12"/>
  <c r="I226" i="12"/>
  <c r="N518" i="12"/>
  <c r="X662" i="12"/>
  <c r="M324" i="12"/>
  <c r="P560" i="12"/>
  <c r="Z611" i="12"/>
  <c r="N314" i="12"/>
  <c r="F470" i="12"/>
  <c r="U431" i="2"/>
  <c r="T482" i="12"/>
  <c r="I249" i="12"/>
  <c r="N213" i="12"/>
  <c r="F498" i="12"/>
  <c r="U378" i="2"/>
  <c r="I438" i="12"/>
  <c r="F444" i="12"/>
  <c r="U353" i="2"/>
  <c r="N532" i="12"/>
  <c r="I190" i="12"/>
  <c r="I524" i="12"/>
  <c r="N277" i="12"/>
  <c r="G247" i="12"/>
  <c r="U286" i="2"/>
  <c r="M423" i="12"/>
  <c r="J423" i="12"/>
  <c r="O430" i="12"/>
  <c r="N540" i="12"/>
  <c r="P544" i="12"/>
  <c r="T515" i="12"/>
  <c r="S240" i="12"/>
  <c r="M457" i="12"/>
  <c r="O542" i="12"/>
  <c r="R512" i="12"/>
  <c r="K476" i="12"/>
  <c r="M210" i="12"/>
  <c r="T266" i="12"/>
  <c r="P198" i="12"/>
  <c r="M532" i="12"/>
  <c r="P504" i="12"/>
  <c r="N358" i="12"/>
  <c r="Q265" i="12"/>
  <c r="M550" i="12"/>
  <c r="K550" i="12"/>
  <c r="L323" i="12"/>
  <c r="O515" i="12"/>
  <c r="G240" i="12"/>
  <c r="Q512" i="12"/>
  <c r="J476" i="12"/>
  <c r="N245" i="12"/>
  <c r="K466" i="12"/>
  <c r="F272" i="12"/>
  <c r="T255" i="12"/>
  <c r="I580" i="12"/>
  <c r="Q339" i="12"/>
  <c r="F547" i="12"/>
  <c r="R314" i="12"/>
  <c r="M574" i="12"/>
  <c r="Q577" i="12"/>
  <c r="M541" i="12"/>
  <c r="T534" i="12"/>
  <c r="S410" i="12"/>
  <c r="Q548" i="12"/>
  <c r="J233" i="12"/>
  <c r="F438" i="12"/>
  <c r="U360" i="2"/>
  <c r="N198" i="12"/>
  <c r="J445" i="12"/>
  <c r="O272" i="12"/>
  <c r="N504" i="12"/>
  <c r="T263" i="12"/>
  <c r="J403" i="12"/>
  <c r="G511" i="12"/>
  <c r="Q388" i="12"/>
  <c r="R483" i="12"/>
  <c r="F430" i="12"/>
  <c r="S573" i="12"/>
  <c r="I293" i="12"/>
  <c r="L285" i="12"/>
  <c r="S248" i="12"/>
  <c r="P268" i="12"/>
  <c r="O512" i="12"/>
  <c r="S259" i="12"/>
  <c r="O438" i="12"/>
  <c r="M198" i="12"/>
  <c r="O524" i="12"/>
  <c r="S227" i="12"/>
  <c r="J277" i="12"/>
  <c r="O138" i="12"/>
  <c r="F415" i="12"/>
  <c r="F340" i="12"/>
  <c r="R335" i="12"/>
  <c r="I315" i="12"/>
  <c r="R564" i="12"/>
  <c r="Q483" i="12"/>
  <c r="F294" i="12"/>
  <c r="U428" i="2"/>
  <c r="G534" i="12"/>
  <c r="S213" i="12"/>
  <c r="T474" i="12"/>
  <c r="J238" i="12"/>
  <c r="S97" i="12"/>
  <c r="I510" i="12"/>
  <c r="R408" i="12"/>
  <c r="F591" i="12"/>
  <c r="U523" i="2"/>
  <c r="J570" i="12"/>
  <c r="G294" i="12"/>
  <c r="K404" i="12"/>
  <c r="N346" i="12"/>
  <c r="N535" i="12"/>
  <c r="O241" i="12"/>
  <c r="O262" i="12"/>
  <c r="J429" i="12"/>
  <c r="Q163" i="12"/>
  <c r="G176" i="12"/>
  <c r="R292" i="12"/>
  <c r="N202" i="12"/>
  <c r="AA616" i="12"/>
  <c r="N212" i="12"/>
  <c r="T229" i="12"/>
  <c r="T323" i="12"/>
  <c r="P501" i="12"/>
  <c r="T448" i="12"/>
  <c r="I199" i="12"/>
  <c r="N498" i="12"/>
  <c r="S231" i="12"/>
  <c r="R246" i="12"/>
  <c r="P237" i="12"/>
  <c r="F204" i="12"/>
  <c r="U254" i="2"/>
  <c r="T176" i="12"/>
  <c r="G118" i="12"/>
  <c r="F282" i="12"/>
  <c r="U173" i="2"/>
  <c r="R102" i="12"/>
  <c r="R372" i="12"/>
  <c r="P250" i="12"/>
  <c r="M300" i="12"/>
  <c r="R305" i="12"/>
  <c r="F144" i="12"/>
  <c r="U208" i="2"/>
  <c r="R47" i="12"/>
  <c r="R599" i="12"/>
  <c r="I471" i="12"/>
  <c r="R484" i="12"/>
  <c r="G347" i="12"/>
  <c r="F354" i="12"/>
  <c r="U562" i="2"/>
  <c r="J279" i="12"/>
  <c r="N464" i="12"/>
  <c r="O485" i="12"/>
  <c r="Q431" i="12"/>
  <c r="M354" i="12"/>
  <c r="M525" i="12"/>
  <c r="S353" i="12"/>
  <c r="S489" i="12"/>
  <c r="I421" i="12"/>
  <c r="P411" i="12"/>
  <c r="F311" i="12"/>
  <c r="U495" i="2"/>
  <c r="G493" i="12"/>
  <c r="F570" i="12"/>
  <c r="R344" i="12"/>
  <c r="Q377" i="12"/>
  <c r="O371" i="12"/>
  <c r="M336" i="12"/>
  <c r="Q327" i="12"/>
  <c r="K340" i="12"/>
  <c r="F523" i="12"/>
  <c r="U637" i="2"/>
  <c r="Q565" i="12"/>
  <c r="F527" i="12"/>
  <c r="U661" i="2"/>
  <c r="N522" i="12"/>
  <c r="P529" i="12"/>
  <c r="L561" i="12"/>
  <c r="P590" i="12"/>
  <c r="R376" i="12"/>
  <c r="P327" i="12"/>
  <c r="I461" i="12"/>
  <c r="F514" i="12"/>
  <c r="U519" i="2"/>
  <c r="I449" i="12"/>
  <c r="M362" i="12"/>
  <c r="S454" i="12"/>
  <c r="K546" i="12"/>
  <c r="F481" i="12"/>
  <c r="J349" i="12"/>
  <c r="I331" i="12"/>
  <c r="G304" i="12"/>
  <c r="N447" i="12"/>
  <c r="R348" i="12"/>
  <c r="P230" i="12"/>
  <c r="R371" i="12"/>
  <c r="I380" i="12"/>
  <c r="S327" i="12"/>
  <c r="I258" i="12"/>
  <c r="J338" i="12"/>
  <c r="N505" i="12"/>
  <c r="G371" i="12"/>
  <c r="I525" i="12"/>
  <c r="J514" i="12"/>
  <c r="T332" i="12"/>
  <c r="P494" i="12"/>
  <c r="O555" i="12"/>
  <c r="T369" i="12"/>
  <c r="O251" i="12"/>
  <c r="Q574" i="12"/>
  <c r="O242" i="12"/>
  <c r="F515" i="12"/>
  <c r="U406" i="2"/>
  <c r="T600" i="12"/>
  <c r="Q561" i="12"/>
  <c r="T596" i="12"/>
  <c r="P561" i="12"/>
  <c r="O486" i="12"/>
  <c r="I529" i="12"/>
  <c r="M601" i="12"/>
  <c r="O561" i="12"/>
  <c r="O522" i="12"/>
  <c r="T492" i="12"/>
  <c r="O567" i="12"/>
  <c r="O546" i="12"/>
  <c r="L451" i="12"/>
  <c r="T471" i="12"/>
  <c r="I590" i="12"/>
  <c r="Z656" i="12"/>
  <c r="O568" i="12"/>
  <c r="J551" i="12"/>
  <c r="S347" i="12"/>
  <c r="M414" i="12"/>
  <c r="L594" i="12"/>
  <c r="F600" i="12"/>
  <c r="U659" i="2"/>
  <c r="M561" i="12"/>
  <c r="G543" i="12"/>
  <c r="L523" i="12"/>
  <c r="M546" i="12"/>
  <c r="Q590" i="12"/>
  <c r="M436" i="12"/>
  <c r="G492" i="12"/>
  <c r="L567" i="12"/>
  <c r="L546" i="12"/>
  <c r="R526" i="12"/>
  <c r="N559" i="12"/>
  <c r="G537" i="12"/>
  <c r="L568" i="12"/>
  <c r="F492" i="12"/>
  <c r="Q598" i="12"/>
  <c r="F537" i="12"/>
  <c r="F593" i="12"/>
  <c r="P599" i="12"/>
  <c r="F479" i="12"/>
  <c r="U615" i="2"/>
  <c r="P555" i="12"/>
  <c r="Q513" i="12"/>
  <c r="G499" i="12"/>
  <c r="L489" i="12"/>
  <c r="Q465" i="12"/>
  <c r="O586" i="12"/>
  <c r="P279" i="12"/>
  <c r="S421" i="12"/>
  <c r="J485" i="12"/>
  <c r="F513" i="12"/>
  <c r="U601" i="2"/>
  <c r="Q337" i="12"/>
  <c r="M449" i="12"/>
  <c r="Q499" i="12"/>
  <c r="O481" i="12"/>
  <c r="P465" i="12"/>
  <c r="T342" i="12"/>
  <c r="L353" i="12"/>
  <c r="T480" i="12"/>
  <c r="M460" i="12"/>
  <c r="S230" i="12"/>
  <c r="G556" i="12"/>
  <c r="G526" i="12"/>
  <c r="S479" i="12"/>
  <c r="I363" i="12"/>
  <c r="G450" i="12"/>
  <c r="Q495" i="12"/>
  <c r="F376" i="12"/>
  <c r="J558" i="12"/>
  <c r="M446" i="12"/>
  <c r="G326" i="12"/>
  <c r="P594" i="12"/>
  <c r="O478" i="12"/>
  <c r="R319" i="12"/>
  <c r="N333" i="12"/>
  <c r="L499" i="12"/>
  <c r="I558" i="12"/>
  <c r="S417" i="12"/>
  <c r="S576" i="12"/>
  <c r="F437" i="12"/>
  <c r="U625" i="2"/>
  <c r="K437" i="12"/>
  <c r="L513" i="12"/>
  <c r="K435" i="12"/>
  <c r="O376" i="12"/>
  <c r="N491" i="12"/>
  <c r="P342" i="12"/>
  <c r="J401" i="12"/>
  <c r="K321" i="12"/>
  <c r="M345" i="12"/>
  <c r="O389" i="12"/>
  <c r="T389" i="12"/>
  <c r="Q382" i="12"/>
  <c r="J397" i="12"/>
  <c r="K513" i="12"/>
  <c r="M337" i="12"/>
  <c r="T454" i="12"/>
  <c r="Z609" i="12"/>
  <c r="I446" i="12"/>
  <c r="M380" i="12"/>
  <c r="M417" i="12"/>
  <c r="I460" i="12"/>
  <c r="N327" i="12"/>
  <c r="M306" i="12"/>
  <c r="J478" i="12"/>
  <c r="S462" i="12"/>
  <c r="T432" i="12"/>
  <c r="F363" i="12"/>
  <c r="U611" i="2"/>
  <c r="Q558" i="12"/>
  <c r="N342" i="12"/>
  <c r="I480" i="12"/>
  <c r="S321" i="12"/>
  <c r="R271" i="12"/>
  <c r="S561" i="12"/>
  <c r="R581" i="12"/>
  <c r="I587" i="12"/>
  <c r="O382" i="12"/>
  <c r="M596" i="12"/>
  <c r="F559" i="12"/>
  <c r="U616" i="2"/>
  <c r="R523" i="12"/>
  <c r="L539" i="12"/>
  <c r="S497" i="12"/>
  <c r="Q435" i="12"/>
  <c r="S499" i="12"/>
  <c r="R411" i="12"/>
  <c r="G446" i="12"/>
  <c r="G586" i="12"/>
  <c r="J138" i="12"/>
  <c r="J505" i="12"/>
  <c r="K230" i="12"/>
  <c r="K488" i="12"/>
  <c r="K477" i="12"/>
  <c r="F503" i="12"/>
  <c r="U508" i="2"/>
  <c r="O258" i="12"/>
  <c r="Q386" i="12"/>
  <c r="S332" i="12"/>
  <c r="G510" i="12"/>
  <c r="Q416" i="12"/>
  <c r="L405" i="12"/>
  <c r="P481" i="12"/>
  <c r="I434" i="12"/>
  <c r="P572" i="12"/>
  <c r="K350" i="12"/>
  <c r="F349" i="12"/>
  <c r="U544" i="2"/>
  <c r="O370" i="12"/>
  <c r="P351" i="12"/>
  <c r="X640" i="12"/>
  <c r="L360" i="12"/>
  <c r="T379" i="12"/>
  <c r="L334" i="12"/>
  <c r="T516" i="12"/>
  <c r="K554" i="12"/>
  <c r="I358" i="12"/>
  <c r="G597" i="12"/>
  <c r="Q530" i="12"/>
  <c r="Q455" i="12"/>
  <c r="O400" i="12"/>
  <c r="M338" i="12"/>
  <c r="L430" i="12"/>
  <c r="N353" i="12"/>
  <c r="N370" i="12"/>
  <c r="F395" i="12"/>
  <c r="U539" i="2"/>
  <c r="AL531" i="2"/>
  <c r="S280" i="12"/>
  <c r="K415" i="12"/>
  <c r="T557" i="12"/>
  <c r="P311" i="12"/>
  <c r="O236" i="12"/>
  <c r="G315" i="12"/>
  <c r="L338" i="12"/>
  <c r="Q585" i="12"/>
  <c r="Q470" i="12"/>
  <c r="P242" i="12"/>
  <c r="T417" i="12"/>
  <c r="R549" i="12"/>
  <c r="R321" i="12"/>
  <c r="AR531" i="2"/>
  <c r="AQ531" i="2"/>
  <c r="T362" i="12"/>
  <c r="J415" i="12"/>
  <c r="G377" i="12"/>
  <c r="M236" i="12"/>
  <c r="R530" i="12"/>
  <c r="G348" i="12"/>
  <c r="N339" i="12"/>
  <c r="L388" i="12"/>
  <c r="J547" i="12"/>
  <c r="P421" i="12"/>
  <c r="K487" i="12"/>
  <c r="G465" i="12"/>
  <c r="L378" i="12"/>
  <c r="Q353" i="12"/>
  <c r="G579" i="12"/>
  <c r="S418" i="12"/>
  <c r="AR533" i="2"/>
  <c r="AQ533" i="2"/>
  <c r="O360" i="12"/>
  <c r="I477" i="12"/>
  <c r="T274" i="12"/>
  <c r="O306" i="12"/>
  <c r="M255" i="12"/>
  <c r="F348" i="12"/>
  <c r="U468" i="2"/>
  <c r="L400" i="12"/>
  <c r="L290" i="12"/>
  <c r="T330" i="12"/>
  <c r="L298" i="12"/>
  <c r="R397" i="12"/>
  <c r="P353" i="12"/>
  <c r="M572" i="12"/>
  <c r="G370" i="12"/>
  <c r="Q518" i="12"/>
  <c r="T595" i="12"/>
  <c r="P331" i="12"/>
  <c r="L287" i="12"/>
  <c r="R509" i="12"/>
  <c r="J483" i="12"/>
  <c r="N470" i="12"/>
  <c r="M242" i="12"/>
  <c r="L379" i="12"/>
  <c r="S415" i="12"/>
  <c r="R274" i="12"/>
  <c r="L557" i="12"/>
  <c r="Q535" i="12"/>
  <c r="J236" i="12"/>
  <c r="F324" i="12"/>
  <c r="U474" i="2"/>
  <c r="L589" i="12"/>
  <c r="S357" i="12"/>
  <c r="AA611" i="12"/>
  <c r="S442" i="12"/>
  <c r="I337" i="12"/>
  <c r="T425" i="12"/>
  <c r="I494" i="12"/>
  <c r="J417" i="12"/>
  <c r="F308" i="12"/>
  <c r="S367" i="12"/>
  <c r="M319" i="12"/>
  <c r="U590" i="2"/>
  <c r="K468" i="12"/>
  <c r="G602" i="12"/>
  <c r="O578" i="12"/>
  <c r="N578" i="12"/>
  <c r="N405" i="12"/>
  <c r="N549" i="12"/>
  <c r="J308" i="12"/>
  <c r="I351" i="12"/>
  <c r="I447" i="12"/>
  <c r="L518" i="12"/>
  <c r="G557" i="12"/>
  <c r="S236" i="12"/>
  <c r="J569" i="12"/>
  <c r="T361" i="12"/>
  <c r="F357" i="12"/>
  <c r="U463" i="2"/>
  <c r="X611" i="12"/>
  <c r="T470" i="12"/>
  <c r="I390" i="12"/>
  <c r="P381" i="12"/>
  <c r="P265" i="12"/>
  <c r="S322" i="12"/>
  <c r="K295" i="12"/>
  <c r="J295" i="12"/>
  <c r="L536" i="12"/>
  <c r="K533" i="12"/>
  <c r="M408" i="12"/>
  <c r="G336" i="12"/>
  <c r="R254" i="12"/>
  <c r="J264" i="12"/>
  <c r="O213" i="12"/>
  <c r="J459" i="12"/>
  <c r="J396" i="12"/>
  <c r="S395" i="12"/>
  <c r="G583" i="12"/>
  <c r="O580" i="12"/>
  <c r="G560" i="12"/>
  <c r="P430" i="12"/>
  <c r="J573" i="12"/>
  <c r="Q515" i="12"/>
  <c r="J410" i="12"/>
  <c r="T268" i="12"/>
  <c r="N286" i="12"/>
  <c r="P253" i="12"/>
  <c r="J188" i="12"/>
  <c r="O453" i="12"/>
  <c r="Q198" i="12"/>
  <c r="O231" i="12"/>
  <c r="M227" i="12"/>
  <c r="O350" i="12"/>
  <c r="P423" i="12"/>
  <c r="T423" i="12"/>
  <c r="L456" i="12"/>
  <c r="G544" i="12"/>
  <c r="L359" i="12"/>
  <c r="R542" i="12"/>
  <c r="K458" i="12"/>
  <c r="N453" i="12"/>
  <c r="J266" i="12"/>
  <c r="F198" i="12"/>
  <c r="N231" i="12"/>
  <c r="F504" i="12"/>
  <c r="L516" i="12"/>
  <c r="G265" i="12"/>
  <c r="L324" i="12"/>
  <c r="F550" i="12"/>
  <c r="U456" i="2"/>
  <c r="L550" i="12"/>
  <c r="O470" i="12"/>
  <c r="M323" i="12"/>
  <c r="R256" i="12"/>
  <c r="Q240" i="12"/>
  <c r="N542" i="12"/>
  <c r="F512" i="12"/>
  <c r="L469" i="12"/>
  <c r="K445" i="12"/>
  <c r="Q190" i="12"/>
  <c r="M230" i="12"/>
  <c r="I255" i="12"/>
  <c r="T580" i="12"/>
  <c r="T455" i="12"/>
  <c r="N338" i="12"/>
  <c r="I314" i="12"/>
  <c r="K317" i="12"/>
  <c r="R577" i="12"/>
  <c r="T320" i="12"/>
  <c r="G410" i="12"/>
  <c r="K457" i="12"/>
  <c r="L553" i="12"/>
  <c r="T476" i="12"/>
  <c r="L453" i="12"/>
  <c r="O226" i="12"/>
  <c r="J263" i="12"/>
  <c r="O344" i="12"/>
  <c r="R400" i="12"/>
  <c r="T290" i="12"/>
  <c r="J574" i="12"/>
  <c r="G456" i="12"/>
  <c r="G573" i="12"/>
  <c r="S293" i="12"/>
  <c r="M285" i="12"/>
  <c r="M515" i="12"/>
  <c r="R410" i="12"/>
  <c r="I512" i="12"/>
  <c r="T210" i="12"/>
  <c r="N538" i="12"/>
  <c r="K231" i="12"/>
  <c r="Q296" i="12"/>
  <c r="O396" i="12"/>
  <c r="T97" i="12"/>
  <c r="O503" i="12"/>
  <c r="R332" i="12"/>
  <c r="I335" i="12"/>
  <c r="I564" i="12"/>
  <c r="S290" i="12"/>
  <c r="R320" i="12"/>
  <c r="Q534" i="12"/>
  <c r="F519" i="12"/>
  <c r="U394" i="2"/>
  <c r="S188" i="12"/>
  <c r="K245" i="12"/>
  <c r="L198" i="12"/>
  <c r="I532" i="12"/>
  <c r="Q332" i="12"/>
  <c r="K570" i="12"/>
  <c r="R289" i="12"/>
  <c r="O408" i="12"/>
  <c r="I381" i="12"/>
  <c r="I463" i="12"/>
  <c r="Q294" i="12"/>
  <c r="F540" i="12"/>
  <c r="N228" i="12"/>
  <c r="L438" i="12"/>
  <c r="Q547" i="12"/>
  <c r="P196" i="12"/>
  <c r="L538" i="12"/>
  <c r="J374" i="12"/>
  <c r="T429" i="12"/>
  <c r="P288" i="12"/>
  <c r="O292" i="12"/>
  <c r="K575" i="12"/>
  <c r="F267" i="12"/>
  <c r="P158" i="12"/>
  <c r="P577" i="12"/>
  <c r="R249" i="12"/>
  <c r="L206" i="12"/>
  <c r="S147" i="12"/>
  <c r="J392" i="12"/>
  <c r="L448" i="12"/>
  <c r="Q391" i="12"/>
  <c r="K97" i="12"/>
  <c r="S420" i="12"/>
  <c r="Q301" i="12"/>
  <c r="J531" i="12"/>
  <c r="G154" i="12"/>
  <c r="S302" i="12"/>
  <c r="J126" i="12"/>
  <c r="J163" i="12"/>
  <c r="J298" i="12"/>
  <c r="J252" i="12"/>
  <c r="J504" i="12"/>
  <c r="J226" i="12"/>
  <c r="J276" i="12"/>
  <c r="J139" i="12"/>
  <c r="J178" i="12"/>
  <c r="J323" i="12"/>
  <c r="J325" i="12"/>
  <c r="J387" i="12"/>
  <c r="J448" i="12"/>
  <c r="J493" i="12"/>
  <c r="J385" i="12"/>
  <c r="J538" i="12"/>
  <c r="J542" i="12"/>
  <c r="J540" i="12"/>
  <c r="J198" i="12"/>
  <c r="J306" i="12"/>
  <c r="J553" i="12"/>
  <c r="J458" i="12"/>
  <c r="J241" i="12"/>
  <c r="J240" i="12"/>
  <c r="J444" i="12"/>
  <c r="J473" i="12"/>
  <c r="J256" i="12"/>
  <c r="J577" i="12"/>
  <c r="J510" i="12"/>
  <c r="J130" i="12"/>
  <c r="J282" i="12"/>
  <c r="R183" i="12"/>
  <c r="S112" i="12"/>
  <c r="S404" i="12"/>
  <c r="S541" i="12"/>
  <c r="S283" i="12"/>
  <c r="S520" i="12"/>
  <c r="S475" i="12"/>
  <c r="S532" i="12"/>
  <c r="S501" i="12"/>
  <c r="S325" i="12"/>
  <c r="S269" i="12"/>
  <c r="S507" i="12"/>
  <c r="S542" i="12"/>
  <c r="S252" i="12"/>
  <c r="S163" i="12"/>
  <c r="S385" i="12"/>
  <c r="S419" i="12"/>
  <c r="S390" i="12"/>
  <c r="S133" i="12"/>
  <c r="O312" i="12"/>
  <c r="G205" i="12"/>
  <c r="L168" i="12"/>
  <c r="K61" i="12"/>
  <c r="R327" i="12"/>
  <c r="L586" i="12"/>
  <c r="Q571" i="12"/>
  <c r="T461" i="12"/>
  <c r="L565" i="12"/>
  <c r="AR591" i="2"/>
  <c r="AQ591" i="2"/>
  <c r="L581" i="12"/>
  <c r="R304" i="12"/>
  <c r="K351" i="12"/>
  <c r="J324" i="12"/>
  <c r="G518" i="12"/>
  <c r="T338" i="12"/>
  <c r="L369" i="12"/>
  <c r="F563" i="12"/>
  <c r="N442" i="12"/>
  <c r="T354" i="12"/>
  <c r="N509" i="12"/>
  <c r="N523" i="12"/>
  <c r="T421" i="12"/>
  <c r="L521" i="12"/>
  <c r="P543" i="12"/>
  <c r="K576" i="12"/>
  <c r="K436" i="12"/>
  <c r="N416" i="12"/>
  <c r="F602" i="12"/>
  <c r="U567" i="2"/>
  <c r="S546" i="12"/>
  <c r="J365" i="12"/>
  <c r="F417" i="12"/>
  <c r="U554" i="2"/>
  <c r="F539" i="12"/>
  <c r="U626" i="2"/>
  <c r="O465" i="12"/>
  <c r="K337" i="12"/>
  <c r="S437" i="12"/>
  <c r="T460" i="12"/>
  <c r="M450" i="12"/>
  <c r="R478" i="12"/>
  <c r="F386" i="12"/>
  <c r="U499" i="2"/>
  <c r="F586" i="12"/>
  <c r="I511" i="12"/>
  <c r="AB650" i="12"/>
  <c r="T381" i="12"/>
  <c r="F393" i="12"/>
  <c r="U509" i="2"/>
  <c r="Q528" i="12"/>
  <c r="G477" i="12"/>
  <c r="M287" i="12"/>
  <c r="J572" i="12"/>
  <c r="Q344" i="12"/>
  <c r="AB611" i="12"/>
  <c r="G435" i="12"/>
  <c r="P274" i="12"/>
  <c r="M315" i="12"/>
  <c r="F442" i="12"/>
  <c r="U599" i="2"/>
  <c r="I468" i="12"/>
  <c r="R308" i="12"/>
  <c r="J315" i="12"/>
  <c r="P390" i="12"/>
  <c r="Q322" i="12"/>
  <c r="J536" i="12"/>
  <c r="I540" i="12"/>
  <c r="G584" i="12"/>
  <c r="P502" i="12"/>
  <c r="M497" i="12"/>
  <c r="O601" i="12"/>
  <c r="J600" i="12"/>
  <c r="G561" i="12"/>
  <c r="M551" i="12"/>
  <c r="R565" i="12"/>
  <c r="P576" i="12"/>
  <c r="J596" i="12"/>
  <c r="F561" i="12"/>
  <c r="U653" i="2"/>
  <c r="T543" i="12"/>
  <c r="K484" i="12"/>
  <c r="P462" i="12"/>
  <c r="N594" i="12"/>
  <c r="R600" i="12"/>
  <c r="T537" i="12"/>
  <c r="I347" i="12"/>
  <c r="S484" i="12"/>
  <c r="N462" i="12"/>
  <c r="Q596" i="12"/>
  <c r="N436" i="12"/>
  <c r="M522" i="12"/>
  <c r="N565" i="12"/>
  <c r="K422" i="12"/>
  <c r="M527" i="12"/>
  <c r="G590" i="12"/>
  <c r="X656" i="12"/>
  <c r="M568" i="12"/>
  <c r="S451" i="12"/>
  <c r="R598" i="12"/>
  <c r="M599" i="12"/>
  <c r="Q551" i="12"/>
  <c r="G598" i="12"/>
  <c r="AA664" i="12"/>
  <c r="AA638" i="12"/>
  <c r="M529" i="12"/>
  <c r="P471" i="12"/>
  <c r="R555" i="12"/>
  <c r="Q333" i="12"/>
  <c r="N454" i="12"/>
  <c r="AA646" i="12"/>
  <c r="N461" i="12"/>
  <c r="F465" i="12"/>
  <c r="U572" i="2"/>
  <c r="M586" i="12"/>
  <c r="G279" i="12"/>
  <c r="J363" i="12"/>
  <c r="T485" i="12"/>
  <c r="P513" i="12"/>
  <c r="F337" i="12"/>
  <c r="U596" i="2"/>
  <c r="M416" i="12"/>
  <c r="F499" i="12"/>
  <c r="U586" i="2"/>
  <c r="I481" i="12"/>
  <c r="N401" i="12"/>
  <c r="M271" i="12"/>
  <c r="Q362" i="12"/>
  <c r="Q502" i="12"/>
  <c r="J479" i="12"/>
  <c r="P497" i="12"/>
  <c r="F495" i="12"/>
  <c r="P499" i="12"/>
  <c r="O354" i="12"/>
  <c r="P417" i="12"/>
  <c r="R450" i="12"/>
  <c r="G319" i="12"/>
  <c r="L435" i="12"/>
  <c r="X646" i="12"/>
  <c r="S365" i="12"/>
  <c r="K586" i="12"/>
  <c r="M480" i="12"/>
  <c r="K271" i="12"/>
  <c r="P437" i="12"/>
  <c r="L437" i="12"/>
  <c r="G363" i="12"/>
  <c r="Q450" i="12"/>
  <c r="K411" i="12"/>
  <c r="K376" i="12"/>
  <c r="R365" i="12"/>
  <c r="J586" i="12"/>
  <c r="F389" i="12"/>
  <c r="U634" i="2"/>
  <c r="K389" i="12"/>
  <c r="R382" i="12"/>
  <c r="T397" i="12"/>
  <c r="I454" i="12"/>
  <c r="AB630" i="12"/>
  <c r="L354" i="12"/>
  <c r="K480" i="12"/>
  <c r="T321" i="12"/>
  <c r="O230" i="12"/>
  <c r="O514" i="12"/>
  <c r="P584" i="12"/>
  <c r="K565" i="12"/>
  <c r="T478" i="12"/>
  <c r="K432" i="12"/>
  <c r="P363" i="12"/>
  <c r="J508" i="12"/>
  <c r="J333" i="12"/>
  <c r="F558" i="12"/>
  <c r="U577" i="2"/>
  <c r="AB615" i="12"/>
  <c r="S401" i="12"/>
  <c r="I321" i="12"/>
  <c r="O593" i="12"/>
  <c r="I581" i="12"/>
  <c r="AA628" i="12"/>
  <c r="K559" i="12"/>
  <c r="I537" i="12"/>
  <c r="P484" i="12"/>
  <c r="P559" i="12"/>
  <c r="K567" i="12"/>
  <c r="K279" i="12"/>
  <c r="F435" i="12"/>
  <c r="AB646" i="12"/>
  <c r="T333" i="12"/>
  <c r="Z630" i="12"/>
  <c r="U559" i="2"/>
  <c r="K138" i="12"/>
  <c r="P439" i="12"/>
  <c r="K505" i="12"/>
  <c r="M334" i="12"/>
  <c r="P503" i="12"/>
  <c r="J377" i="12"/>
  <c r="L535" i="12"/>
  <c r="F236" i="12"/>
  <c r="U491" i="2"/>
  <c r="R255" i="12"/>
  <c r="S361" i="12"/>
  <c r="R455" i="12"/>
  <c r="O456" i="12"/>
  <c r="M405" i="12"/>
  <c r="I405" i="12"/>
  <c r="T434" i="12"/>
  <c r="Z615" i="12"/>
  <c r="N417" i="12"/>
  <c r="M350" i="12"/>
  <c r="P349" i="12"/>
  <c r="G351" i="12"/>
  <c r="AL527" i="2"/>
  <c r="M360" i="12"/>
  <c r="F379" i="12"/>
  <c r="U517" i="2"/>
  <c r="O447" i="12"/>
  <c r="S393" i="12"/>
  <c r="AA651" i="12"/>
  <c r="K344" i="12"/>
  <c r="R582" i="12"/>
  <c r="F530" i="12"/>
  <c r="U472" i="2"/>
  <c r="L509" i="12"/>
  <c r="G455" i="12"/>
  <c r="N483" i="12"/>
  <c r="M330" i="12"/>
  <c r="M303" i="12"/>
  <c r="J465" i="12"/>
  <c r="N572" i="12"/>
  <c r="P395" i="12"/>
  <c r="G345" i="12"/>
  <c r="G280" i="12"/>
  <c r="T518" i="12"/>
  <c r="K557" i="12"/>
  <c r="J311" i="12"/>
  <c r="M520" i="12"/>
  <c r="P356" i="12"/>
  <c r="O287" i="12"/>
  <c r="R528" i="12"/>
  <c r="F242" i="12"/>
  <c r="S549" i="12"/>
  <c r="N321" i="12"/>
  <c r="X621" i="12"/>
  <c r="I362" i="12"/>
  <c r="G334" i="12"/>
  <c r="S518" i="12"/>
  <c r="M503" i="12"/>
  <c r="P306" i="12"/>
  <c r="G344" i="12"/>
  <c r="L520" i="12"/>
  <c r="O255" i="12"/>
  <c r="N287" i="12"/>
  <c r="G489" i="12"/>
  <c r="X615" i="12"/>
  <c r="M378" i="12"/>
  <c r="R579" i="12"/>
  <c r="T563" i="12"/>
  <c r="S362" i="12"/>
  <c r="S477" i="12"/>
  <c r="F274" i="12"/>
  <c r="U507" i="2"/>
  <c r="N306" i="12"/>
  <c r="I595" i="12"/>
  <c r="J588" i="12"/>
  <c r="M356" i="12"/>
  <c r="M510" i="12"/>
  <c r="J330" i="12"/>
  <c r="L365" i="12"/>
  <c r="O572" i="12"/>
  <c r="Q370" i="12"/>
  <c r="P321" i="12"/>
  <c r="J367" i="12"/>
  <c r="M379" i="12"/>
  <c r="F518" i="12"/>
  <c r="L583" i="12"/>
  <c r="Q358" i="12"/>
  <c r="L340" i="12"/>
  <c r="M455" i="12"/>
  <c r="K400" i="12"/>
  <c r="S330" i="12"/>
  <c r="N577" i="12"/>
  <c r="G485" i="12"/>
  <c r="K491" i="12"/>
  <c r="R586" i="12"/>
  <c r="M439" i="12"/>
  <c r="L271" i="12"/>
  <c r="M488" i="12"/>
  <c r="O477" i="12"/>
  <c r="G415" i="12"/>
  <c r="S258" i="12"/>
  <c r="R535" i="12"/>
  <c r="P324" i="12"/>
  <c r="M361" i="12"/>
  <c r="I357" i="12"/>
  <c r="S388" i="12"/>
  <c r="I442" i="12"/>
  <c r="P454" i="12"/>
  <c r="J425" i="12"/>
  <c r="T494" i="12"/>
  <c r="P350" i="12"/>
  <c r="Q460" i="12"/>
  <c r="F454" i="12"/>
  <c r="F468" i="12"/>
  <c r="U576" i="2"/>
  <c r="L468" i="12"/>
  <c r="N380" i="12"/>
  <c r="Q578" i="12"/>
  <c r="K578" i="12"/>
  <c r="L349" i="12"/>
  <c r="T308" i="12"/>
  <c r="G360" i="12"/>
  <c r="S447" i="12"/>
  <c r="J516" i="12"/>
  <c r="P258" i="12"/>
  <c r="T511" i="12"/>
  <c r="G236" i="12"/>
  <c r="T597" i="12"/>
  <c r="J361" i="12"/>
  <c r="Q283" i="12"/>
  <c r="P388" i="12"/>
  <c r="P483" i="12"/>
  <c r="J390" i="12"/>
  <c r="N393" i="12"/>
  <c r="X648" i="12"/>
  <c r="J322" i="12"/>
  <c r="O295" i="12"/>
  <c r="T295" i="12"/>
  <c r="Q430" i="12"/>
  <c r="O533" i="12"/>
  <c r="P289" i="12"/>
  <c r="K293" i="12"/>
  <c r="F254" i="12"/>
  <c r="U403" i="2"/>
  <c r="O457" i="12"/>
  <c r="J268" i="12"/>
  <c r="L213" i="12"/>
  <c r="R498" i="12"/>
  <c r="M476" i="12"/>
  <c r="P563" i="12"/>
  <c r="O554" i="12"/>
  <c r="AL475" i="2"/>
  <c r="Q560" i="12"/>
  <c r="F577" i="12"/>
  <c r="U421" i="2"/>
  <c r="O540" i="12"/>
  <c r="Q336" i="12"/>
  <c r="T240" i="12"/>
  <c r="I268" i="12"/>
  <c r="O286" i="12"/>
  <c r="K266" i="12"/>
  <c r="G198" i="12"/>
  <c r="K296" i="12"/>
  <c r="M263" i="12"/>
  <c r="N97" i="12"/>
  <c r="Q178" i="12"/>
  <c r="N554" i="12"/>
  <c r="F423" i="12"/>
  <c r="U487" i="2"/>
  <c r="M331" i="12"/>
  <c r="AL477" i="2"/>
  <c r="I339" i="12"/>
  <c r="F338" i="12"/>
  <c r="I419" i="12"/>
  <c r="R298" i="12"/>
  <c r="G293" i="12"/>
  <c r="Q544" i="12"/>
  <c r="S256" i="12"/>
  <c r="J519" i="12"/>
  <c r="AR387" i="2"/>
  <c r="AQ387" i="2"/>
  <c r="P498" i="12"/>
  <c r="T188" i="12"/>
  <c r="O245" i="12"/>
  <c r="Q538" i="12"/>
  <c r="T296" i="12"/>
  <c r="Q226" i="12"/>
  <c r="P241" i="12"/>
  <c r="J582" i="12"/>
  <c r="R265" i="12"/>
  <c r="T287" i="12"/>
  <c r="P550" i="12"/>
  <c r="O388" i="12"/>
  <c r="O566" i="12"/>
  <c r="O323" i="12"/>
  <c r="J408" i="12"/>
  <c r="N541" i="12"/>
  <c r="F256" i="12"/>
  <c r="Q264" i="12"/>
  <c r="O498" i="12"/>
  <c r="M234" i="12"/>
  <c r="L532" i="12"/>
  <c r="S296" i="12"/>
  <c r="O345" i="12"/>
  <c r="T386" i="12"/>
  <c r="J580" i="12"/>
  <c r="AQ455" i="2"/>
  <c r="S483" i="12"/>
  <c r="S314" i="12"/>
  <c r="O493" i="12"/>
  <c r="G289" i="12"/>
  <c r="I577" i="12"/>
  <c r="Q285" i="12"/>
  <c r="Q256" i="12"/>
  <c r="S519" i="12"/>
  <c r="I476" i="12"/>
  <c r="M245" i="12"/>
  <c r="R266" i="12"/>
  <c r="L231" i="12"/>
  <c r="P190" i="12"/>
  <c r="N241" i="12"/>
  <c r="N178" i="12"/>
  <c r="P460" i="12"/>
  <c r="R311" i="12"/>
  <c r="O463" i="12"/>
  <c r="N290" i="12"/>
  <c r="J317" i="12"/>
  <c r="M298" i="12"/>
  <c r="Q573" i="12"/>
  <c r="J293" i="12"/>
  <c r="L336" i="12"/>
  <c r="S359" i="12"/>
  <c r="N240" i="12"/>
  <c r="S512" i="12"/>
  <c r="S458" i="12"/>
  <c r="J210" i="12"/>
  <c r="Q266" i="12"/>
  <c r="O459" i="12"/>
  <c r="L207" i="12"/>
  <c r="G296" i="12"/>
  <c r="J97" i="12"/>
  <c r="M178" i="12"/>
  <c r="S564" i="12"/>
  <c r="T252" i="12"/>
  <c r="O410" i="12"/>
  <c r="AB666" i="12"/>
  <c r="S233" i="12"/>
  <c r="P228" i="12"/>
  <c r="L276" i="12"/>
  <c r="R466" i="12"/>
  <c r="T231" i="12"/>
  <c r="M392" i="12"/>
  <c r="I516" i="12"/>
  <c r="I287" i="12"/>
  <c r="N322" i="12"/>
  <c r="I289" i="12"/>
  <c r="J393" i="12"/>
  <c r="S463" i="12"/>
  <c r="P317" i="12"/>
  <c r="G541" i="12"/>
  <c r="Q592" i="12"/>
  <c r="F445" i="12"/>
  <c r="N254" i="12"/>
  <c r="R253" i="12"/>
  <c r="T374" i="12"/>
  <c r="X605" i="12"/>
  <c r="R238" i="12"/>
  <c r="S229" i="12"/>
  <c r="Z666" i="12"/>
  <c r="N575" i="12"/>
  <c r="L575" i="12"/>
  <c r="AB658" i="12"/>
  <c r="O445" i="12"/>
  <c r="K524" i="12"/>
  <c r="M238" i="12"/>
  <c r="J165" i="12"/>
  <c r="Q355" i="12"/>
  <c r="F402" i="12"/>
  <c r="U288" i="2"/>
  <c r="T262" i="12"/>
  <c r="I212" i="12"/>
  <c r="L531" i="12"/>
  <c r="G248" i="12"/>
  <c r="N257" i="12"/>
  <c r="J214" i="12"/>
  <c r="G562" i="12"/>
  <c r="T507" i="12"/>
  <c r="P262" i="12"/>
  <c r="P469" i="12"/>
  <c r="T169" i="12"/>
  <c r="I167" i="12"/>
  <c r="P261" i="12"/>
  <c r="P219" i="12"/>
  <c r="P427" i="12"/>
  <c r="P283" i="12"/>
  <c r="P445" i="12"/>
  <c r="P372" i="12"/>
  <c r="P231" i="12"/>
  <c r="P512" i="12"/>
  <c r="P176" i="12"/>
  <c r="P334" i="12"/>
  <c r="P234" i="12"/>
  <c r="P466" i="12"/>
  <c r="P458" i="12"/>
  <c r="P330" i="12"/>
  <c r="P447" i="12"/>
  <c r="P470" i="12"/>
  <c r="P277" i="12"/>
  <c r="P238" i="12"/>
  <c r="P251" i="12"/>
  <c r="P532" i="12"/>
  <c r="P269" i="12"/>
  <c r="P303" i="12"/>
  <c r="P202" i="12"/>
  <c r="P392" i="12"/>
  <c r="P476" i="12"/>
  <c r="P509" i="12"/>
  <c r="P338" i="12"/>
  <c r="P290" i="12"/>
  <c r="P212" i="12"/>
  <c r="Q302" i="12"/>
  <c r="T407" i="12"/>
  <c r="T316" i="12"/>
  <c r="T493" i="12"/>
  <c r="T504" i="12"/>
  <c r="T528" i="12"/>
  <c r="T488" i="12"/>
  <c r="T459" i="12"/>
  <c r="T289" i="12"/>
  <c r="T325" i="12"/>
  <c r="T254" i="12"/>
  <c r="T336" i="12"/>
  <c r="T540" i="12"/>
  <c r="T340" i="12"/>
  <c r="T430" i="12"/>
  <c r="T570" i="12"/>
  <c r="T589" i="12"/>
  <c r="T545" i="12"/>
  <c r="T286" i="12"/>
  <c r="T247" i="12"/>
  <c r="T426" i="12"/>
  <c r="T269" i="12"/>
  <c r="T404" i="12"/>
  <c r="T198" i="12"/>
  <c r="T520" i="12"/>
  <c r="T170" i="12"/>
  <c r="M142" i="12"/>
  <c r="M312" i="12"/>
  <c r="I433" i="12"/>
  <c r="G433" i="12"/>
  <c r="AB623" i="12"/>
  <c r="AB619" i="12"/>
  <c r="AB616" i="12"/>
  <c r="AQ234" i="2"/>
  <c r="AB624" i="12"/>
  <c r="F299" i="12"/>
  <c r="U195" i="2"/>
  <c r="N219" i="12"/>
  <c r="I133" i="12"/>
  <c r="T64" i="12"/>
  <c r="I154" i="12"/>
  <c r="L50" i="12"/>
  <c r="F150" i="12"/>
  <c r="S568" i="12"/>
  <c r="F422" i="12"/>
  <c r="U620" i="2"/>
  <c r="N546" i="12"/>
  <c r="O602" i="12"/>
  <c r="T462" i="12"/>
  <c r="O487" i="12"/>
  <c r="R584" i="12"/>
  <c r="M499" i="12"/>
  <c r="Q478" i="12"/>
  <c r="N571" i="12"/>
  <c r="T521" i="12"/>
  <c r="J439" i="12"/>
  <c r="T331" i="12"/>
  <c r="F378" i="12"/>
  <c r="T324" i="12"/>
  <c r="O549" i="12"/>
  <c r="O393" i="12"/>
  <c r="K342" i="12"/>
  <c r="L236" i="12"/>
  <c r="I554" i="12"/>
  <c r="S468" i="12"/>
  <c r="I418" i="12"/>
  <c r="G340" i="12"/>
  <c r="J565" i="12"/>
  <c r="F486" i="12"/>
  <c r="U647" i="2"/>
  <c r="O462" i="12"/>
  <c r="J598" i="12"/>
  <c r="S526" i="12"/>
  <c r="R587" i="12"/>
  <c r="O543" i="12"/>
  <c r="P551" i="12"/>
  <c r="T467" i="12"/>
  <c r="M279" i="12"/>
  <c r="M435" i="12"/>
  <c r="Q397" i="12"/>
  <c r="S382" i="12"/>
  <c r="O571" i="12"/>
  <c r="K363" i="12"/>
  <c r="S571" i="12"/>
  <c r="J331" i="12"/>
  <c r="I350" i="12"/>
  <c r="S583" i="12"/>
  <c r="T371" i="12"/>
  <c r="T499" i="12"/>
  <c r="Z651" i="12"/>
  <c r="T378" i="12"/>
  <c r="Z634" i="12"/>
  <c r="F344" i="12"/>
  <c r="U496" i="2"/>
  <c r="J303" i="12"/>
  <c r="O381" i="12"/>
  <c r="N585" i="12"/>
  <c r="J386" i="12"/>
  <c r="R442" i="12"/>
  <c r="AB654" i="12"/>
  <c r="R287" i="12"/>
  <c r="I304" i="12"/>
  <c r="O386" i="12"/>
  <c r="R295" i="12"/>
  <c r="J533" i="12"/>
  <c r="K410" i="12"/>
  <c r="Q347" i="3"/>
  <c r="P347" i="3"/>
  <c r="P601" i="12"/>
  <c r="N526" i="12"/>
  <c r="K600" i="12"/>
  <c r="G594" i="12"/>
  <c r="L543" i="12"/>
  <c r="M347" i="12"/>
  <c r="S565" i="12"/>
  <c r="S472" i="12"/>
  <c r="N556" i="12"/>
  <c r="L347" i="12"/>
  <c r="S539" i="12"/>
  <c r="O422" i="12"/>
  <c r="F576" i="12"/>
  <c r="U662" i="2"/>
  <c r="Q436" i="12"/>
  <c r="P522" i="12"/>
  <c r="J543" i="12"/>
  <c r="O523" i="12"/>
  <c r="L526" i="12"/>
  <c r="F462" i="12"/>
  <c r="U618" i="2"/>
  <c r="S596" i="12"/>
  <c r="P436" i="12"/>
  <c r="P568" i="12"/>
  <c r="Z660" i="12"/>
  <c r="P565" i="12"/>
  <c r="O527" i="12"/>
  <c r="J537" i="12"/>
  <c r="AB642" i="12"/>
  <c r="F472" i="12"/>
  <c r="U644" i="2"/>
  <c r="K556" i="12"/>
  <c r="T587" i="12"/>
  <c r="I484" i="12"/>
  <c r="G596" i="12"/>
  <c r="N568" i="12"/>
  <c r="R492" i="12"/>
  <c r="S598" i="12"/>
  <c r="N599" i="12"/>
  <c r="Z642" i="12"/>
  <c r="N472" i="12"/>
  <c r="R551" i="12"/>
  <c r="I451" i="12"/>
  <c r="S601" i="12"/>
  <c r="N600" i="12"/>
  <c r="AB664" i="12"/>
  <c r="Q593" i="12"/>
  <c r="G551" i="12"/>
  <c r="R601" i="12"/>
  <c r="S584" i="12"/>
  <c r="S486" i="12"/>
  <c r="N543" i="12"/>
  <c r="J590" i="12"/>
  <c r="K471" i="12"/>
  <c r="I555" i="12"/>
  <c r="O411" i="12"/>
  <c r="F333" i="12"/>
  <c r="U595" i="2"/>
  <c r="S487" i="12"/>
  <c r="O446" i="12"/>
  <c r="J342" i="12"/>
  <c r="M353" i="12"/>
  <c r="O401" i="12"/>
  <c r="O321" i="12"/>
  <c r="T436" i="12"/>
  <c r="S422" i="12"/>
  <c r="Q279" i="12"/>
  <c r="S525" i="12"/>
  <c r="K485" i="12"/>
  <c r="P333" i="12"/>
  <c r="Z646" i="12"/>
  <c r="S481" i="12"/>
  <c r="F345" i="12"/>
  <c r="U530" i="2"/>
  <c r="S523" i="12"/>
  <c r="R422" i="12"/>
  <c r="T479" i="12"/>
  <c r="I382" i="12"/>
  <c r="P337" i="12"/>
  <c r="L416" i="12"/>
  <c r="M464" i="12"/>
  <c r="K354" i="12"/>
  <c r="T439" i="12"/>
  <c r="F450" i="12"/>
  <c r="P495" i="12"/>
  <c r="K449" i="12"/>
  <c r="P487" i="12"/>
  <c r="P467" i="12"/>
  <c r="L602" i="12"/>
  <c r="L401" i="12"/>
  <c r="N418" i="12"/>
  <c r="N345" i="12"/>
  <c r="P556" i="12"/>
  <c r="N478" i="12"/>
  <c r="N525" i="12"/>
  <c r="Q319" i="12"/>
  <c r="F365" i="12"/>
  <c r="U574" i="2"/>
  <c r="T353" i="12"/>
  <c r="R505" i="12"/>
  <c r="P389" i="12"/>
  <c r="L389" i="12"/>
  <c r="J411" i="12"/>
  <c r="O431" i="12"/>
  <c r="M491" i="12"/>
  <c r="AR569" i="2"/>
  <c r="AQ569" i="2"/>
  <c r="T401" i="12"/>
  <c r="J321" i="12"/>
  <c r="M582" i="12"/>
  <c r="P486" i="12"/>
  <c r="K478" i="12"/>
  <c r="L432" i="12"/>
  <c r="T435" i="12"/>
  <c r="N431" i="12"/>
  <c r="L491" i="12"/>
  <c r="T464" i="12"/>
  <c r="K345" i="12"/>
  <c r="M280" i="12"/>
  <c r="S581" i="12"/>
  <c r="R521" i="12"/>
  <c r="P479" i="12"/>
  <c r="G555" i="12"/>
  <c r="I593" i="12"/>
  <c r="J484" i="12"/>
  <c r="G559" i="12"/>
  <c r="R527" i="12"/>
  <c r="M479" i="12"/>
  <c r="R508" i="12"/>
  <c r="P449" i="12"/>
  <c r="T487" i="12"/>
  <c r="O461" i="12"/>
  <c r="R416" i="12"/>
  <c r="AA615" i="12"/>
  <c r="F353" i="12"/>
  <c r="L138" i="12"/>
  <c r="F439" i="12"/>
  <c r="U549" i="2"/>
  <c r="G545" i="12"/>
  <c r="G503" i="12"/>
  <c r="S306" i="12"/>
  <c r="Q511" i="12"/>
  <c r="Q520" i="12"/>
  <c r="G255" i="12"/>
  <c r="K324" i="12"/>
  <c r="J348" i="12"/>
  <c r="R570" i="12"/>
  <c r="P405" i="12"/>
  <c r="S405" i="12"/>
  <c r="X626" i="12"/>
  <c r="J434" i="12"/>
  <c r="F464" i="12"/>
  <c r="L480" i="12"/>
  <c r="N350" i="12"/>
  <c r="G349" i="12"/>
  <c r="G460" i="12"/>
  <c r="Q351" i="12"/>
  <c r="F360" i="12"/>
  <c r="U522" i="2"/>
  <c r="P379" i="12"/>
  <c r="S381" i="12"/>
  <c r="G393" i="12"/>
  <c r="Q557" i="12"/>
  <c r="G582" i="12"/>
  <c r="Q255" i="12"/>
  <c r="P287" i="12"/>
  <c r="M251" i="12"/>
  <c r="P510" i="12"/>
  <c r="O290" i="12"/>
  <c r="N419" i="12"/>
  <c r="O298" i="12"/>
  <c r="K319" i="12"/>
  <c r="I518" i="12"/>
  <c r="M258" i="12"/>
  <c r="T311" i="12"/>
  <c r="L588" i="12"/>
  <c r="M357" i="12"/>
  <c r="M388" i="12"/>
  <c r="K430" i="12"/>
  <c r="L303" i="12"/>
  <c r="T555" i="12"/>
  <c r="O425" i="12"/>
  <c r="R480" i="12"/>
  <c r="I549" i="12"/>
  <c r="T418" i="12"/>
  <c r="R280" i="12"/>
  <c r="O311" i="12"/>
  <c r="K588" i="12"/>
  <c r="N255" i="12"/>
  <c r="T509" i="12"/>
  <c r="K338" i="12"/>
  <c r="S464" i="12"/>
  <c r="N378" i="12"/>
  <c r="O494" i="12"/>
  <c r="S579" i="12"/>
  <c r="I563" i="12"/>
  <c r="P271" i="12"/>
  <c r="F334" i="12"/>
  <c r="U515" i="2"/>
  <c r="L386" i="12"/>
  <c r="R358" i="12"/>
  <c r="AR488" i="2"/>
  <c r="AQ488" i="2"/>
  <c r="M339" i="12"/>
  <c r="AL450" i="2"/>
  <c r="L431" i="12"/>
  <c r="J467" i="12"/>
  <c r="G572" i="12"/>
  <c r="N494" i="12"/>
  <c r="R370" i="12"/>
  <c r="R395" i="12"/>
  <c r="N488" i="12"/>
  <c r="P516" i="12"/>
  <c r="Q554" i="12"/>
  <c r="K386" i="12"/>
  <c r="O569" i="12"/>
  <c r="S251" i="12"/>
  <c r="N315" i="12"/>
  <c r="L510" i="12"/>
  <c r="K290" i="12"/>
  <c r="I330" i="12"/>
  <c r="S303" i="12"/>
  <c r="M592" i="12"/>
  <c r="I508" i="12"/>
  <c r="O353" i="12"/>
  <c r="M505" i="12"/>
  <c r="R345" i="12"/>
  <c r="K545" i="12"/>
  <c r="Q334" i="12"/>
  <c r="P518" i="12"/>
  <c r="G258" i="12"/>
  <c r="I520" i="12"/>
  <c r="N569" i="12"/>
  <c r="N348" i="12"/>
  <c r="T283" i="12"/>
  <c r="I388" i="12"/>
  <c r="F555" i="12"/>
  <c r="T442" i="12"/>
  <c r="L376" i="12"/>
  <c r="Q446" i="12"/>
  <c r="K425" i="12"/>
  <c r="J494" i="12"/>
  <c r="L439" i="12"/>
  <c r="G571" i="12"/>
  <c r="N395" i="12"/>
  <c r="L488" i="12"/>
  <c r="O405" i="12"/>
  <c r="Q468" i="12"/>
  <c r="O468" i="12"/>
  <c r="S440" i="12"/>
  <c r="F578" i="12"/>
  <c r="U605" i="2"/>
  <c r="L578" i="12"/>
  <c r="R378" i="12"/>
  <c r="K308" i="12"/>
  <c r="J345" i="12"/>
  <c r="J280" i="12"/>
  <c r="J447" i="12"/>
  <c r="K258" i="12"/>
  <c r="F511" i="12"/>
  <c r="U497" i="2"/>
  <c r="R520" i="12"/>
  <c r="I597" i="12"/>
  <c r="G283" i="12"/>
  <c r="F388" i="12"/>
  <c r="F483" i="12"/>
  <c r="N430" i="12"/>
  <c r="K390" i="12"/>
  <c r="T503" i="12"/>
  <c r="N423" i="12"/>
  <c r="O550" i="12"/>
  <c r="T322" i="12"/>
  <c r="F295" i="12"/>
  <c r="U440" i="2"/>
  <c r="O314" i="12"/>
  <c r="F533" i="12"/>
  <c r="U430" i="2"/>
  <c r="O303" i="12"/>
  <c r="Q496" i="12"/>
  <c r="O592" i="12"/>
  <c r="S457" i="12"/>
  <c r="T548" i="12"/>
  <c r="P286" i="12"/>
  <c r="G498" i="12"/>
  <c r="N563" i="12"/>
  <c r="Q258" i="12"/>
  <c r="Z607" i="12"/>
  <c r="R560" i="12"/>
  <c r="K330" i="12"/>
  <c r="P294" i="12"/>
  <c r="L408" i="12"/>
  <c r="F336" i="12"/>
  <c r="M359" i="12"/>
  <c r="S548" i="12"/>
  <c r="O474" i="12"/>
  <c r="K228" i="12"/>
  <c r="P245" i="12"/>
  <c r="P207" i="12"/>
  <c r="N475" i="12"/>
  <c r="M452" i="12"/>
  <c r="N413" i="12"/>
  <c r="G178" i="12"/>
  <c r="U294" i="2"/>
  <c r="F271" i="12"/>
  <c r="Q423" i="12"/>
  <c r="Z662" i="12"/>
  <c r="K455" i="12"/>
  <c r="I290" i="12"/>
  <c r="F298" i="12"/>
  <c r="U424" i="2"/>
  <c r="O541" i="12"/>
  <c r="R544" i="12"/>
  <c r="G256" i="12"/>
  <c r="S214" i="12"/>
  <c r="T228" i="12"/>
  <c r="L466" i="12"/>
  <c r="G538" i="12"/>
  <c r="J296" i="12"/>
  <c r="G226" i="12"/>
  <c r="F241" i="12"/>
  <c r="S265" i="12"/>
  <c r="N589" i="12"/>
  <c r="G550" i="12"/>
  <c r="N400" i="12"/>
  <c r="N294" i="12"/>
  <c r="F323" i="12"/>
  <c r="U423" i="2"/>
  <c r="R285" i="12"/>
  <c r="O254" i="12"/>
  <c r="J498" i="12"/>
  <c r="S228" i="12"/>
  <c r="O276" i="12"/>
  <c r="N444" i="12"/>
  <c r="M231" i="12"/>
  <c r="J488" i="12"/>
  <c r="J511" i="12"/>
  <c r="L580" i="12"/>
  <c r="K580" i="12"/>
  <c r="O483" i="12"/>
  <c r="J314" i="12"/>
  <c r="J470" i="12"/>
  <c r="N482" i="12"/>
  <c r="Q214" i="12"/>
  <c r="J213" i="12"/>
  <c r="T458" i="12"/>
  <c r="N276" i="12"/>
  <c r="T466" i="12"/>
  <c r="O538" i="12"/>
  <c r="F190" i="12"/>
  <c r="U340" i="2"/>
  <c r="P396" i="12"/>
  <c r="N269" i="12"/>
  <c r="N362" i="12"/>
  <c r="R595" i="12"/>
  <c r="S323" i="12"/>
  <c r="R573" i="12"/>
  <c r="T293" i="12"/>
  <c r="J496" i="12"/>
  <c r="G359" i="12"/>
  <c r="I457" i="12"/>
  <c r="M498" i="12"/>
  <c r="G458" i="12"/>
  <c r="G266" i="12"/>
  <c r="T475" i="12"/>
  <c r="S452" i="12"/>
  <c r="S263" i="12"/>
  <c r="I557" i="12"/>
  <c r="J287" i="12"/>
  <c r="J335" i="12"/>
  <c r="N303" i="12"/>
  <c r="O285" i="12"/>
  <c r="F410" i="12"/>
  <c r="U400" i="2"/>
  <c r="O214" i="12"/>
  <c r="I286" i="12"/>
  <c r="F228" i="12"/>
  <c r="U368" i="2"/>
  <c r="J231" i="12"/>
  <c r="U525" i="2"/>
  <c r="K589" i="12"/>
  <c r="N304" i="12"/>
  <c r="S289" i="12"/>
  <c r="P320" i="12"/>
  <c r="F592" i="12"/>
  <c r="K548" i="12"/>
  <c r="Q532" i="12"/>
  <c r="G475" i="12"/>
  <c r="I566" i="12"/>
  <c r="N517" i="12"/>
  <c r="J517" i="12"/>
  <c r="N476" i="12"/>
  <c r="N458" i="12"/>
  <c r="L229" i="12"/>
  <c r="J402" i="12"/>
  <c r="O154" i="12"/>
  <c r="R162" i="12"/>
  <c r="M420" i="12"/>
  <c r="P575" i="12"/>
  <c r="I231" i="12"/>
  <c r="AQ293" i="2"/>
  <c r="AR293" i="2"/>
  <c r="N154" i="12"/>
  <c r="P592" i="12"/>
  <c r="G506" i="12"/>
  <c r="O263" i="12"/>
  <c r="P152" i="12"/>
  <c r="T232" i="12"/>
  <c r="O247" i="12"/>
  <c r="N515" i="12"/>
  <c r="Q222" i="12"/>
  <c r="I506" i="12"/>
  <c r="R355" i="12"/>
  <c r="P402" i="12"/>
  <c r="I262" i="12"/>
  <c r="I248" i="12"/>
  <c r="O257" i="12"/>
  <c r="M249" i="12"/>
  <c r="Q562" i="12"/>
  <c r="G507" i="12"/>
  <c r="U300" i="2"/>
  <c r="R206" i="12"/>
  <c r="I325" i="12"/>
  <c r="I131" i="12"/>
  <c r="G119" i="12"/>
  <c r="G469" i="12"/>
  <c r="G474" i="12"/>
  <c r="G496" i="12"/>
  <c r="G476" i="12"/>
  <c r="G466" i="12"/>
  <c r="G364" i="12"/>
  <c r="G413" i="12"/>
  <c r="G253" i="12"/>
  <c r="G158" i="12"/>
  <c r="G267" i="12"/>
  <c r="G313" i="12"/>
  <c r="G298" i="12"/>
  <c r="G286" i="12"/>
  <c r="G501" i="12"/>
  <c r="G210" i="12"/>
  <c r="G227" i="12"/>
  <c r="G540" i="12"/>
  <c r="G251" i="12"/>
  <c r="G184" i="12"/>
  <c r="G592" i="12"/>
  <c r="G332" i="12"/>
  <c r="G532" i="12"/>
  <c r="G237" i="12"/>
  <c r="F219" i="12"/>
  <c r="U155" i="2"/>
  <c r="F372" i="12"/>
  <c r="F469" i="12"/>
  <c r="F501" i="12"/>
  <c r="F441" i="12"/>
  <c r="F541" i="12"/>
  <c r="F178" i="12"/>
  <c r="F452" i="12"/>
  <c r="F222" i="12"/>
  <c r="F496" i="12"/>
  <c r="F131" i="12"/>
  <c r="F456" i="12"/>
  <c r="F474" i="12"/>
  <c r="F227" i="12"/>
  <c r="F475" i="12"/>
  <c r="F476" i="12"/>
  <c r="F277" i="12"/>
  <c r="F226" i="12"/>
  <c r="F286" i="12"/>
  <c r="F202" i="12"/>
  <c r="F552" i="12"/>
  <c r="F210" i="12"/>
  <c r="F457" i="12"/>
  <c r="F258" i="12"/>
  <c r="F179" i="12"/>
  <c r="F403" i="12"/>
  <c r="F97" i="12"/>
  <c r="F162" i="12"/>
  <c r="F588" i="12"/>
  <c r="F247" i="12"/>
  <c r="F490" i="12"/>
  <c r="F322" i="12"/>
  <c r="F553" i="12"/>
  <c r="F263" i="12"/>
  <c r="F259" i="12"/>
  <c r="F213" i="12"/>
  <c r="F153" i="12"/>
  <c r="O103" i="12"/>
  <c r="Q97" i="12"/>
  <c r="O302" i="12"/>
  <c r="K341" i="12"/>
  <c r="S116" i="12"/>
  <c r="N110" i="12"/>
  <c r="J433" i="12"/>
  <c r="Q433" i="12"/>
  <c r="P167" i="12"/>
  <c r="K142" i="12"/>
  <c r="K474" i="12"/>
  <c r="K325" i="12"/>
  <c r="K198" i="12"/>
  <c r="K504" i="12"/>
  <c r="K272" i="12"/>
  <c r="K361" i="12"/>
  <c r="K498" i="12"/>
  <c r="K178" i="12"/>
  <c r="K210" i="12"/>
  <c r="K276" i="12"/>
  <c r="K139" i="12"/>
  <c r="K241" i="12"/>
  <c r="K532" i="12"/>
  <c r="K448" i="12"/>
  <c r="K269" i="12"/>
  <c r="K427" i="12"/>
  <c r="K475" i="12"/>
  <c r="K482" i="12"/>
  <c r="K392" i="12"/>
  <c r="K179" i="12"/>
  <c r="K249" i="12"/>
  <c r="K538" i="12"/>
  <c r="K515" i="12"/>
  <c r="K285" i="12"/>
  <c r="K252" i="12"/>
  <c r="K493" i="12"/>
  <c r="K420" i="12"/>
  <c r="K452" i="12"/>
  <c r="K514" i="12"/>
  <c r="K396" i="12"/>
  <c r="K577" i="12"/>
  <c r="K393" i="12"/>
  <c r="K302" i="12"/>
  <c r="O328" i="12"/>
  <c r="G420" i="12"/>
  <c r="F394" i="12"/>
  <c r="L128" i="12"/>
  <c r="L263" i="12"/>
  <c r="L552" i="12"/>
  <c r="L277" i="12"/>
  <c r="L226" i="12"/>
  <c r="L225" i="12"/>
  <c r="L500" i="12"/>
  <c r="L232" i="12"/>
  <c r="L97" i="12"/>
  <c r="L190" i="12"/>
  <c r="L214" i="12"/>
  <c r="L154" i="12"/>
  <c r="L375" i="12"/>
  <c r="L133" i="12"/>
  <c r="L475" i="12"/>
  <c r="L441" i="12"/>
  <c r="L139" i="12"/>
  <c r="L280" i="12"/>
  <c r="L519" i="12"/>
  <c r="L351" i="12"/>
  <c r="L371" i="12"/>
  <c r="L528" i="12"/>
  <c r="L273" i="12"/>
  <c r="L413" i="12"/>
  <c r="L228" i="12"/>
  <c r="L404" i="12"/>
  <c r="L237" i="12"/>
  <c r="L215" i="12"/>
  <c r="L184" i="12"/>
  <c r="L130" i="12"/>
  <c r="L524" i="12"/>
  <c r="L178" i="12"/>
  <c r="L179" i="12"/>
  <c r="L459" i="12"/>
  <c r="L316" i="12"/>
  <c r="L270" i="12"/>
  <c r="L247" i="12"/>
  <c r="L158" i="12"/>
  <c r="L296" i="12"/>
  <c r="L506" i="12"/>
  <c r="L268" i="12"/>
  <c r="L295" i="12"/>
  <c r="L341" i="12"/>
  <c r="L235" i="12"/>
  <c r="L562" i="12"/>
  <c r="L548" i="12"/>
  <c r="L372" i="12"/>
  <c r="L410" i="12"/>
  <c r="L512" i="12"/>
  <c r="L241" i="12"/>
  <c r="L325" i="12"/>
  <c r="L200" i="12"/>
  <c r="L426" i="12"/>
  <c r="L188" i="12"/>
  <c r="L392" i="12"/>
  <c r="L420" i="12"/>
  <c r="L264" i="12"/>
  <c r="L504" i="12"/>
  <c r="L346" i="12"/>
  <c r="L199" i="12"/>
  <c r="L396" i="12"/>
  <c r="L249" i="12"/>
  <c r="L153" i="12"/>
  <c r="L383" i="12"/>
  <c r="L156" i="12"/>
  <c r="L250" i="12"/>
  <c r="T94" i="12"/>
  <c r="N100" i="12"/>
  <c r="N188" i="12"/>
  <c r="N473" i="12"/>
  <c r="N534" i="12"/>
  <c r="N560" i="12"/>
  <c r="N544" i="12"/>
  <c r="N574" i="12"/>
  <c r="N323" i="12"/>
  <c r="N387" i="12"/>
  <c r="N259" i="12"/>
  <c r="N548" i="12"/>
  <c r="N283" i="12"/>
  <c r="N573" i="12"/>
  <c r="N264" i="12"/>
  <c r="N536" i="12"/>
  <c r="N222" i="12"/>
  <c r="N420" i="12"/>
  <c r="N214" i="12"/>
  <c r="G128" i="12"/>
  <c r="M33" i="12"/>
  <c r="N601" i="12"/>
  <c r="M523" i="12"/>
  <c r="S537" i="12"/>
  <c r="K584" i="12"/>
  <c r="I431" i="12"/>
  <c r="G563" i="12"/>
  <c r="N435" i="12"/>
  <c r="N432" i="12"/>
  <c r="I437" i="12"/>
  <c r="R389" i="12"/>
  <c r="T449" i="12"/>
  <c r="R432" i="12"/>
  <c r="N230" i="12"/>
  <c r="R471" i="12"/>
  <c r="I495" i="12"/>
  <c r="S545" i="12"/>
  <c r="Q434" i="12"/>
  <c r="I583" i="12"/>
  <c r="O283" i="12"/>
  <c r="G361" i="12"/>
  <c r="J353" i="12"/>
  <c r="G327" i="12"/>
  <c r="L357" i="12"/>
  <c r="K367" i="12"/>
  <c r="J251" i="12"/>
  <c r="T370" i="12"/>
  <c r="J503" i="12"/>
  <c r="L455" i="12"/>
  <c r="G271" i="12"/>
  <c r="Q521" i="12"/>
  <c r="R472" i="12"/>
  <c r="R529" i="12"/>
  <c r="J556" i="12"/>
  <c r="Q525" i="12"/>
  <c r="O464" i="12"/>
  <c r="N513" i="12"/>
  <c r="M555" i="12"/>
  <c r="R558" i="12"/>
  <c r="O397" i="12"/>
  <c r="M581" i="12"/>
  <c r="R485" i="12"/>
  <c r="R489" i="12"/>
  <c r="P340" i="12"/>
  <c r="S485" i="12"/>
  <c r="J274" i="12"/>
  <c r="P455" i="12"/>
  <c r="O545" i="12"/>
  <c r="Q569" i="12"/>
  <c r="G416" i="12"/>
  <c r="K503" i="12"/>
  <c r="K298" i="12"/>
  <c r="O327" i="12"/>
  <c r="L530" i="12"/>
  <c r="S425" i="12"/>
  <c r="I578" i="12"/>
  <c r="T583" i="12"/>
  <c r="J527" i="12"/>
  <c r="J436" i="12"/>
  <c r="F601" i="12"/>
  <c r="U664" i="2"/>
  <c r="Q486" i="12"/>
  <c r="G486" i="12"/>
  <c r="F556" i="12"/>
  <c r="U639" i="2"/>
  <c r="Q523" i="12"/>
  <c r="I565" i="12"/>
  <c r="M471" i="12"/>
  <c r="F594" i="12"/>
  <c r="U663" i="2"/>
  <c r="I472" i="12"/>
  <c r="I539" i="12"/>
  <c r="Q527" i="12"/>
  <c r="K590" i="12"/>
  <c r="G436" i="12"/>
  <c r="F522" i="12"/>
  <c r="U646" i="2"/>
  <c r="O521" i="12"/>
  <c r="I596" i="12"/>
  <c r="F436" i="12"/>
  <c r="U652" i="2"/>
  <c r="F568" i="12"/>
  <c r="U645" i="2"/>
  <c r="L556" i="12"/>
  <c r="F565" i="12"/>
  <c r="U627" i="2"/>
  <c r="M422" i="12"/>
  <c r="T593" i="12"/>
  <c r="Q529" i="12"/>
  <c r="L502" i="12"/>
  <c r="J587" i="12"/>
  <c r="T526" i="12"/>
  <c r="M576" i="12"/>
  <c r="M567" i="12"/>
  <c r="I598" i="12"/>
  <c r="R537" i="12"/>
  <c r="M565" i="12"/>
  <c r="T422" i="12"/>
  <c r="I601" i="12"/>
  <c r="T584" i="12"/>
  <c r="G593" i="12"/>
  <c r="M472" i="12"/>
  <c r="S594" i="12"/>
  <c r="M600" i="12"/>
  <c r="I584" i="12"/>
  <c r="I486" i="12"/>
  <c r="O347" i="12"/>
  <c r="S555" i="12"/>
  <c r="G411" i="12"/>
  <c r="U600" i="2"/>
  <c r="P435" i="12"/>
  <c r="J446" i="12"/>
  <c r="R380" i="12"/>
  <c r="K401" i="12"/>
  <c r="T568" i="12"/>
  <c r="R279" i="12"/>
  <c r="L525" i="12"/>
  <c r="T450" i="12"/>
  <c r="Z636" i="12"/>
  <c r="Q380" i="12"/>
  <c r="Q367" i="12"/>
  <c r="S567" i="12"/>
  <c r="M462" i="12"/>
  <c r="K479" i="12"/>
  <c r="N555" i="12"/>
  <c r="N508" i="12"/>
  <c r="N481" i="12"/>
  <c r="T365" i="12"/>
  <c r="M602" i="12"/>
  <c r="T505" i="12"/>
  <c r="P472" i="12"/>
  <c r="F526" i="12"/>
  <c r="O497" i="12"/>
  <c r="K416" i="12"/>
  <c r="O491" i="12"/>
  <c r="Q342" i="12"/>
  <c r="G437" i="12"/>
  <c r="R451" i="12"/>
  <c r="T382" i="12"/>
  <c r="F319" i="12"/>
  <c r="U598" i="2"/>
  <c r="J416" i="12"/>
  <c r="O467" i="12"/>
  <c r="I353" i="12"/>
  <c r="G505" i="12"/>
  <c r="N581" i="12"/>
  <c r="F484" i="12"/>
  <c r="P319" i="12"/>
  <c r="K333" i="12"/>
  <c r="J431" i="12"/>
  <c r="K481" i="12"/>
  <c r="J440" i="12"/>
  <c r="I401" i="12"/>
  <c r="N236" i="12"/>
  <c r="F478" i="12"/>
  <c r="U624" i="2"/>
  <c r="L478" i="12"/>
  <c r="M432" i="12"/>
  <c r="T411" i="12"/>
  <c r="I435" i="12"/>
  <c r="O365" i="12"/>
  <c r="I464" i="12"/>
  <c r="L380" i="12"/>
  <c r="O505" i="12"/>
  <c r="K418" i="12"/>
  <c r="L367" i="12"/>
  <c r="N514" i="12"/>
  <c r="S522" i="12"/>
  <c r="J581" i="12"/>
  <c r="T546" i="12"/>
  <c r="N397" i="12"/>
  <c r="T567" i="12"/>
  <c r="P526" i="12"/>
  <c r="J559" i="12"/>
  <c r="K599" i="12"/>
  <c r="P347" i="12"/>
  <c r="Q471" i="12"/>
  <c r="L382" i="12"/>
  <c r="G508" i="12"/>
  <c r="I487" i="12"/>
  <c r="M461" i="12"/>
  <c r="G464" i="12"/>
  <c r="Q572" i="12"/>
  <c r="G138" i="12"/>
  <c r="G439" i="12"/>
  <c r="F488" i="12"/>
  <c r="U526" i="2"/>
  <c r="Q545" i="12"/>
  <c r="G381" i="12"/>
  <c r="Q503" i="12"/>
  <c r="O520" i="12"/>
  <c r="R356" i="12"/>
  <c r="F290" i="12"/>
  <c r="U444" i="2"/>
  <c r="R493" i="12"/>
  <c r="R242" i="12"/>
  <c r="F405" i="12"/>
  <c r="U589" i="2"/>
  <c r="Q489" i="12"/>
  <c r="K434" i="12"/>
  <c r="O378" i="12"/>
  <c r="Q401" i="12"/>
  <c r="L350" i="12"/>
  <c r="Q349" i="12"/>
  <c r="R351" i="12"/>
  <c r="Z640" i="12"/>
  <c r="P360" i="12"/>
  <c r="G379" i="12"/>
  <c r="F381" i="12"/>
  <c r="U513" i="2"/>
  <c r="K274" i="12"/>
  <c r="Q311" i="12"/>
  <c r="F255" i="12"/>
  <c r="F287" i="12"/>
  <c r="U471" i="2"/>
  <c r="N357" i="12"/>
  <c r="R315" i="12"/>
  <c r="F510" i="12"/>
  <c r="U452" i="2"/>
  <c r="O574" i="12"/>
  <c r="T337" i="12"/>
  <c r="F460" i="12"/>
  <c r="I327" i="12"/>
  <c r="Q514" i="12"/>
  <c r="S516" i="12"/>
  <c r="T377" i="12"/>
  <c r="K311" i="12"/>
  <c r="O340" i="12"/>
  <c r="P589" i="12"/>
  <c r="O510" i="12"/>
  <c r="M483" i="12"/>
  <c r="L330" i="12"/>
  <c r="K450" i="12"/>
  <c r="N365" i="12"/>
  <c r="L342" i="12"/>
  <c r="T549" i="12"/>
  <c r="P418" i="12"/>
  <c r="F280" i="12"/>
  <c r="R516" i="12"/>
  <c r="I274" i="12"/>
  <c r="X651" i="12"/>
  <c r="N356" i="12"/>
  <c r="L332" i="12"/>
  <c r="J509" i="12"/>
  <c r="O455" i="12"/>
  <c r="M400" i="12"/>
  <c r="L483" i="12"/>
  <c r="S508" i="12"/>
  <c r="P464" i="12"/>
  <c r="G378" i="12"/>
  <c r="I579" i="12"/>
  <c r="G230" i="12"/>
  <c r="Q280" i="12"/>
  <c r="L447" i="12"/>
  <c r="T535" i="12"/>
  <c r="F358" i="12"/>
  <c r="U493" i="2"/>
  <c r="Z644" i="12"/>
  <c r="S509" i="12"/>
  <c r="M252" i="12"/>
  <c r="K419" i="12"/>
  <c r="I513" i="12"/>
  <c r="J487" i="12"/>
  <c r="R464" i="12"/>
  <c r="R572" i="12"/>
  <c r="M326" i="12"/>
  <c r="I370" i="12"/>
  <c r="R418" i="12"/>
  <c r="M545" i="12"/>
  <c r="O516" i="12"/>
  <c r="S535" i="12"/>
  <c r="K236" i="12"/>
  <c r="L569" i="12"/>
  <c r="J332" i="12"/>
  <c r="I251" i="12"/>
  <c r="M570" i="12"/>
  <c r="L252" i="12"/>
  <c r="T419" i="12"/>
  <c r="I303" i="12"/>
  <c r="N248" i="12"/>
  <c r="N411" i="12"/>
  <c r="P461" i="12"/>
  <c r="N308" i="12"/>
  <c r="J360" i="12"/>
  <c r="R334" i="12"/>
  <c r="P377" i="12"/>
  <c r="L311" i="12"/>
  <c r="S588" i="12"/>
  <c r="L597" i="12"/>
  <c r="J283" i="12"/>
  <c r="T400" i="12"/>
  <c r="P578" i="12"/>
  <c r="J442" i="12"/>
  <c r="J499" i="12"/>
  <c r="P425" i="12"/>
  <c r="L425" i="12"/>
  <c r="K494" i="12"/>
  <c r="R571" i="12"/>
  <c r="O418" i="12"/>
  <c r="J545" i="12"/>
  <c r="N434" i="12"/>
  <c r="P440" i="12"/>
  <c r="R578" i="12"/>
  <c r="M513" i="12"/>
  <c r="X654" i="12"/>
  <c r="L308" i="12"/>
  <c r="F367" i="12"/>
  <c r="T514" i="12"/>
  <c r="T447" i="12"/>
  <c r="I393" i="12"/>
  <c r="L258" i="12"/>
  <c r="S311" i="12"/>
  <c r="S255" i="12"/>
  <c r="K371" i="12"/>
  <c r="K348" i="12"/>
  <c r="R339" i="12"/>
  <c r="Q400" i="12"/>
  <c r="Q290" i="12"/>
  <c r="O330" i="12"/>
  <c r="L390" i="12"/>
  <c r="J583" i="12"/>
  <c r="N324" i="12"/>
  <c r="G388" i="12"/>
  <c r="K322" i="12"/>
  <c r="P295" i="12"/>
  <c r="M536" i="12"/>
  <c r="S574" i="12"/>
  <c r="P533" i="12"/>
  <c r="Q541" i="12"/>
  <c r="L534" i="12"/>
  <c r="N592" i="12"/>
  <c r="J457" i="12"/>
  <c r="I548" i="12"/>
  <c r="O368" i="12"/>
  <c r="Q253" i="12"/>
  <c r="Z605" i="12"/>
  <c r="AL372" i="2"/>
  <c r="F453" i="12"/>
  <c r="U364" i="2"/>
  <c r="F231" i="12"/>
  <c r="U344" i="2"/>
  <c r="F171" i="12"/>
  <c r="U325" i="2"/>
  <c r="I501" i="12"/>
  <c r="S351" i="12"/>
  <c r="M535" i="12"/>
  <c r="J530" i="12"/>
  <c r="N251" i="12"/>
  <c r="I560" i="12"/>
  <c r="O547" i="12"/>
  <c r="L419" i="12"/>
  <c r="O289" i="12"/>
  <c r="S482" i="12"/>
  <c r="P541" i="12"/>
  <c r="O496" i="12"/>
  <c r="T256" i="12"/>
  <c r="G264" i="12"/>
  <c r="L474" i="12"/>
  <c r="F245" i="12"/>
  <c r="U363" i="2"/>
  <c r="F207" i="12"/>
  <c r="U343" i="2"/>
  <c r="O238" i="12"/>
  <c r="N372" i="12"/>
  <c r="G423" i="12"/>
  <c r="L315" i="12"/>
  <c r="Q252" i="12"/>
  <c r="S317" i="12"/>
  <c r="P298" i="12"/>
  <c r="J320" i="12"/>
  <c r="P254" i="12"/>
  <c r="N553" i="12"/>
  <c r="O253" i="12"/>
  <c r="J228" i="12"/>
  <c r="P276" i="12"/>
  <c r="M469" i="12"/>
  <c r="O207" i="12"/>
  <c r="I503" i="12"/>
  <c r="I265" i="12"/>
  <c r="T348" i="12"/>
  <c r="Q550" i="12"/>
  <c r="T510" i="12"/>
  <c r="S536" i="12"/>
  <c r="J289" i="12"/>
  <c r="P323" i="12"/>
  <c r="O482" i="12"/>
  <c r="F285" i="12"/>
  <c r="K592" i="12"/>
  <c r="L457" i="12"/>
  <c r="M553" i="12"/>
  <c r="T498" i="12"/>
  <c r="O198" i="12"/>
  <c r="N207" i="12"/>
  <c r="M138" i="12"/>
  <c r="N311" i="12"/>
  <c r="P580" i="12"/>
  <c r="M580" i="12"/>
  <c r="R388" i="12"/>
  <c r="T314" i="12"/>
  <c r="G470" i="12"/>
  <c r="T573" i="12"/>
  <c r="P264" i="12"/>
  <c r="Q249" i="12"/>
  <c r="K368" i="12"/>
  <c r="I458" i="12"/>
  <c r="J466" i="12"/>
  <c r="F396" i="12"/>
  <c r="U331" i="2"/>
  <c r="K358" i="12"/>
  <c r="P322" i="12"/>
  <c r="K573" i="12"/>
  <c r="P256" i="12"/>
  <c r="R519" i="12"/>
  <c r="L542" i="12"/>
  <c r="L253" i="12"/>
  <c r="P188" i="12"/>
  <c r="K453" i="12"/>
  <c r="S466" i="12"/>
  <c r="Q346" i="12"/>
  <c r="J475" i="12"/>
  <c r="T372" i="12"/>
  <c r="T413" i="12"/>
  <c r="M269" i="12"/>
  <c r="M247" i="12"/>
  <c r="L335" i="12"/>
  <c r="T335" i="12"/>
  <c r="L564" i="12"/>
  <c r="T564" i="12"/>
  <c r="F585" i="12"/>
  <c r="U441" i="2"/>
  <c r="R323" i="12"/>
  <c r="K336" i="12"/>
  <c r="L515" i="12"/>
  <c r="P410" i="12"/>
  <c r="N249" i="12"/>
  <c r="T368" i="12"/>
  <c r="R476" i="12"/>
  <c r="R259" i="12"/>
  <c r="M538" i="12"/>
  <c r="R452" i="12"/>
  <c r="O377" i="12"/>
  <c r="L361" i="12"/>
  <c r="N591" i="12"/>
  <c r="N377" i="12"/>
  <c r="J589" i="12"/>
  <c r="K240" i="12"/>
  <c r="T542" i="12"/>
  <c r="I498" i="12"/>
  <c r="K569" i="12"/>
  <c r="T196" i="12"/>
  <c r="S318" i="12"/>
  <c r="R385" i="12"/>
  <c r="F154" i="12"/>
  <c r="U269" i="2"/>
  <c r="G162" i="12"/>
  <c r="P203" i="12"/>
  <c r="G151" i="12"/>
  <c r="M262" i="12"/>
  <c r="F176" i="12"/>
  <c r="I410" i="12"/>
  <c r="N507" i="12"/>
  <c r="Z616" i="12"/>
  <c r="N288" i="12"/>
  <c r="Q248" i="12"/>
  <c r="R413" i="12"/>
  <c r="K232" i="12"/>
  <c r="Q267" i="12"/>
  <c r="R222" i="12"/>
  <c r="S506" i="12"/>
  <c r="I542" i="12"/>
  <c r="P413" i="12"/>
  <c r="T391" i="12"/>
  <c r="F257" i="12"/>
  <c r="R538" i="12"/>
  <c r="P130" i="12"/>
  <c r="K301" i="12"/>
  <c r="O142" i="12"/>
  <c r="Q343" i="12"/>
  <c r="N261" i="12"/>
  <c r="L212" i="12"/>
  <c r="G167" i="12"/>
  <c r="L343" i="12"/>
  <c r="M278" i="12"/>
  <c r="M500" i="12"/>
  <c r="M501" i="12"/>
  <c r="M131" i="12"/>
  <c r="M438" i="12"/>
  <c r="M355" i="12"/>
  <c r="M410" i="12"/>
  <c r="M569" i="12"/>
  <c r="M197" i="12"/>
  <c r="M253" i="12"/>
  <c r="M214" i="12"/>
  <c r="M552" i="12"/>
  <c r="M575" i="12"/>
  <c r="M293" i="12"/>
  <c r="M295" i="12"/>
  <c r="M272" i="12"/>
  <c r="M548" i="12"/>
  <c r="M371" i="12"/>
  <c r="M225" i="12"/>
  <c r="M203" i="12"/>
  <c r="M147" i="12"/>
  <c r="M268" i="12"/>
  <c r="M176" i="12"/>
  <c r="M199" i="12"/>
  <c r="M243" i="12"/>
  <c r="M341" i="12"/>
  <c r="M273" i="12"/>
  <c r="M139" i="12"/>
  <c r="M346" i="12"/>
  <c r="M171" i="12"/>
  <c r="M188" i="12"/>
  <c r="M150" i="12"/>
  <c r="M162" i="12"/>
  <c r="M426" i="12"/>
  <c r="M542" i="12"/>
  <c r="M248" i="12"/>
  <c r="M169" i="12"/>
  <c r="M165" i="12"/>
  <c r="M264" i="12"/>
  <c r="M344" i="12"/>
  <c r="M105" i="12"/>
  <c r="M108" i="12"/>
  <c r="M512" i="12"/>
  <c r="M394" i="12"/>
  <c r="M524" i="12"/>
  <c r="M190" i="12"/>
  <c r="M270" i="12"/>
  <c r="M266" i="12"/>
  <c r="M573" i="12"/>
  <c r="M256" i="12"/>
  <c r="M226" i="12"/>
  <c r="M396" i="12"/>
  <c r="M534" i="12"/>
  <c r="M118" i="12"/>
  <c r="M237" i="12"/>
  <c r="M277" i="12"/>
  <c r="M349" i="12"/>
  <c r="M274" i="12"/>
  <c r="M235" i="12"/>
  <c r="M232" i="12"/>
  <c r="M158" i="12"/>
  <c r="M130" i="12"/>
  <c r="M204" i="12"/>
  <c r="M406" i="12"/>
  <c r="M402" i="12"/>
  <c r="M296" i="12"/>
  <c r="M144" i="12"/>
  <c r="M102" i="12"/>
  <c r="M399" i="12"/>
  <c r="N76" i="12"/>
  <c r="Q394" i="12"/>
  <c r="F546" i="12"/>
  <c r="U628" i="2"/>
  <c r="S587" i="12"/>
  <c r="T502" i="12"/>
  <c r="K561" i="12"/>
  <c r="P451" i="12"/>
  <c r="T571" i="12"/>
  <c r="Q487" i="12"/>
  <c r="K446" i="12"/>
  <c r="L414" i="12"/>
  <c r="J602" i="12"/>
  <c r="J555" i="12"/>
  <c r="M327" i="12"/>
  <c r="L279" i="12"/>
  <c r="M558" i="12"/>
  <c r="S514" i="12"/>
  <c r="N588" i="12"/>
  <c r="P434" i="12"/>
  <c r="N503" i="12"/>
  <c r="K579" i="12"/>
  <c r="P569" i="12"/>
  <c r="T572" i="12"/>
  <c r="K417" i="12"/>
  <c r="L306" i="12"/>
  <c r="G425" i="12"/>
  <c r="T578" i="12"/>
  <c r="Q588" i="12"/>
  <c r="I462" i="12"/>
  <c r="N593" i="12"/>
  <c r="N521" i="12"/>
  <c r="L462" i="12"/>
  <c r="O590" i="12"/>
  <c r="T414" i="12"/>
  <c r="R417" i="12"/>
  <c r="J319" i="12"/>
  <c r="Q479" i="12"/>
  <c r="K353" i="12"/>
  <c r="P369" i="12"/>
  <c r="L508" i="12"/>
  <c r="P397" i="12"/>
  <c r="I432" i="12"/>
  <c r="S586" i="12"/>
  <c r="K439" i="12"/>
  <c r="T393" i="12"/>
  <c r="T405" i="12"/>
  <c r="F572" i="12"/>
  <c r="U558" i="2"/>
  <c r="O557" i="12"/>
  <c r="Z650" i="12"/>
  <c r="N460" i="12"/>
  <c r="R324" i="12"/>
  <c r="K370" i="12"/>
  <c r="S554" i="12"/>
  <c r="G494" i="12"/>
  <c r="F449" i="12"/>
  <c r="L595" i="12"/>
  <c r="I561" i="12"/>
  <c r="Q584" i="12"/>
  <c r="R546" i="12"/>
  <c r="Q594" i="12"/>
  <c r="K529" i="12"/>
  <c r="Z638" i="12"/>
  <c r="L596" i="12"/>
  <c r="F502" i="12"/>
  <c r="U638" i="2"/>
  <c r="F598" i="12"/>
  <c r="U665" i="2"/>
  <c r="Z628" i="12"/>
  <c r="R561" i="12"/>
  <c r="N587" i="12"/>
  <c r="O451" i="12"/>
  <c r="K596" i="12"/>
  <c r="G601" i="12"/>
  <c r="G502" i="12"/>
  <c r="F451" i="12"/>
  <c r="U621" i="2"/>
  <c r="R576" i="12"/>
  <c r="R522" i="12"/>
  <c r="G523" i="12"/>
  <c r="T539" i="12"/>
  <c r="N421" i="12"/>
  <c r="Q576" i="12"/>
  <c r="L590" i="12"/>
  <c r="AR651" i="2"/>
  <c r="AQ651" i="2"/>
  <c r="T529" i="12"/>
  <c r="F414" i="12"/>
  <c r="U619" i="2"/>
  <c r="G527" i="12"/>
  <c r="L537" i="12"/>
  <c r="Q568" i="12"/>
  <c r="K492" i="12"/>
  <c r="P567" i="12"/>
  <c r="R559" i="12"/>
  <c r="O576" i="12"/>
  <c r="T590" i="12"/>
  <c r="AA656" i="12"/>
  <c r="Q472" i="12"/>
  <c r="T347" i="12"/>
  <c r="Q539" i="12"/>
  <c r="N414" i="12"/>
  <c r="K598" i="12"/>
  <c r="F599" i="12"/>
  <c r="U660" i="2"/>
  <c r="M584" i="12"/>
  <c r="J593" i="12"/>
  <c r="G529" i="12"/>
  <c r="J526" i="12"/>
  <c r="N527" i="12"/>
  <c r="R590" i="12"/>
  <c r="AL651" i="2"/>
  <c r="S551" i="12"/>
  <c r="X660" i="12"/>
  <c r="AL635" i="2"/>
  <c r="O539" i="12"/>
  <c r="T601" i="12"/>
  <c r="R593" i="12"/>
  <c r="S556" i="12"/>
  <c r="N539" i="12"/>
  <c r="J422" i="12"/>
  <c r="T594" i="12"/>
  <c r="J584" i="12"/>
  <c r="N529" i="12"/>
  <c r="R556" i="12"/>
  <c r="I594" i="12"/>
  <c r="N596" i="12"/>
  <c r="T561" i="12"/>
  <c r="T522" i="12"/>
  <c r="S521" i="12"/>
  <c r="F421" i="12"/>
  <c r="I450" i="12"/>
  <c r="Q411" i="12"/>
  <c r="S491" i="12"/>
  <c r="L558" i="12"/>
  <c r="T446" i="12"/>
  <c r="G380" i="12"/>
  <c r="Q418" i="12"/>
  <c r="M543" i="12"/>
  <c r="S414" i="12"/>
  <c r="I279" i="12"/>
  <c r="F525" i="12"/>
  <c r="U610" i="2"/>
  <c r="R487" i="12"/>
  <c r="N489" i="12"/>
  <c r="F380" i="12"/>
  <c r="U563" i="2"/>
  <c r="T326" i="12"/>
  <c r="F418" i="12"/>
  <c r="U538" i="2"/>
  <c r="G367" i="12"/>
  <c r="R594" i="12"/>
  <c r="N389" i="12"/>
  <c r="O479" i="12"/>
  <c r="L479" i="12"/>
  <c r="O508" i="12"/>
  <c r="O333" i="12"/>
  <c r="Q467" i="12"/>
  <c r="K462" i="12"/>
  <c r="F382" i="12"/>
  <c r="N497" i="12"/>
  <c r="K454" i="12"/>
  <c r="R491" i="12"/>
  <c r="F342" i="12"/>
  <c r="S439" i="12"/>
  <c r="O581" i="12"/>
  <c r="Q437" i="12"/>
  <c r="J462" i="12"/>
  <c r="O495" i="12"/>
  <c r="N499" i="12"/>
  <c r="R467" i="12"/>
  <c r="P326" i="12"/>
  <c r="P571" i="12"/>
  <c r="M418" i="12"/>
  <c r="G389" i="12"/>
  <c r="O526" i="12"/>
  <c r="M421" i="12"/>
  <c r="L485" i="12"/>
  <c r="T431" i="12"/>
  <c r="T489" i="12"/>
  <c r="N467" i="12"/>
  <c r="J464" i="12"/>
  <c r="T586" i="12"/>
  <c r="Q439" i="12"/>
  <c r="L418" i="12"/>
  <c r="S271" i="12"/>
  <c r="M518" i="12"/>
  <c r="P478" i="12"/>
  <c r="M478" i="12"/>
  <c r="F432" i="12"/>
  <c r="U614" i="2"/>
  <c r="G471" i="12"/>
  <c r="K525" i="12"/>
  <c r="I411" i="12"/>
  <c r="S449" i="12"/>
  <c r="J481" i="12"/>
  <c r="G365" i="12"/>
  <c r="T602" i="12"/>
  <c r="J354" i="12"/>
  <c r="N326" i="12"/>
  <c r="F505" i="12"/>
  <c r="U547" i="2"/>
  <c r="L563" i="12"/>
  <c r="I523" i="12"/>
  <c r="T581" i="12"/>
  <c r="N484" i="12"/>
  <c r="N347" i="12"/>
  <c r="G451" i="12"/>
  <c r="N479" i="12"/>
  <c r="L600" i="12"/>
  <c r="J347" i="12"/>
  <c r="N471" i="12"/>
  <c r="Q555" i="12"/>
  <c r="R513" i="12"/>
  <c r="L319" i="12"/>
  <c r="P416" i="12"/>
  <c r="T491" i="12"/>
  <c r="L481" i="12"/>
  <c r="N602" i="12"/>
  <c r="P138" i="12"/>
  <c r="Q138" i="12"/>
  <c r="R439" i="12"/>
  <c r="G321" i="12"/>
  <c r="N271" i="12"/>
  <c r="P488" i="12"/>
  <c r="R545" i="12"/>
  <c r="O415" i="12"/>
  <c r="L274" i="12"/>
  <c r="AB651" i="12"/>
  <c r="L344" i="12"/>
  <c r="F520" i="12"/>
  <c r="U490" i="2"/>
  <c r="G356" i="12"/>
  <c r="S530" i="12"/>
  <c r="M509" i="12"/>
  <c r="S315" i="12"/>
  <c r="G252" i="12"/>
  <c r="Q405" i="12"/>
  <c r="L434" i="12"/>
  <c r="G350" i="12"/>
  <c r="O579" i="12"/>
  <c r="R349" i="12"/>
  <c r="F321" i="12"/>
  <c r="J351" i="12"/>
  <c r="AA640" i="12"/>
  <c r="K362" i="12"/>
  <c r="Q379" i="12"/>
  <c r="P583" i="12"/>
  <c r="N258" i="12"/>
  <c r="K535" i="12"/>
  <c r="Q236" i="12"/>
  <c r="Q356" i="12"/>
  <c r="Q589" i="12"/>
  <c r="S528" i="12"/>
  <c r="Q570" i="12"/>
  <c r="P252" i="12"/>
  <c r="Q242" i="12"/>
  <c r="Q449" i="12"/>
  <c r="X630" i="12"/>
  <c r="J395" i="12"/>
  <c r="K563" i="12"/>
  <c r="U516" i="2"/>
  <c r="G516" i="12"/>
  <c r="M595" i="12"/>
  <c r="S331" i="12"/>
  <c r="R340" i="12"/>
  <c r="F589" i="12"/>
  <c r="L467" i="12"/>
  <c r="K380" i="12"/>
  <c r="J549" i="12"/>
  <c r="M514" i="12"/>
  <c r="M447" i="12"/>
  <c r="F516" i="12"/>
  <c r="U510" i="2"/>
  <c r="N583" i="12"/>
  <c r="AL500" i="2"/>
  <c r="R331" i="12"/>
  <c r="O356" i="12"/>
  <c r="N510" i="12"/>
  <c r="M290" i="12"/>
  <c r="F411" i="12"/>
  <c r="P468" i="12"/>
  <c r="R602" i="12"/>
  <c r="Q378" i="12"/>
  <c r="Q480" i="12"/>
  <c r="T579" i="12"/>
  <c r="P308" i="12"/>
  <c r="I230" i="12"/>
  <c r="T345" i="12"/>
  <c r="L514" i="12"/>
  <c r="I415" i="12"/>
  <c r="M583" i="12"/>
  <c r="F535" i="12"/>
  <c r="U498" i="2"/>
  <c r="O582" i="12"/>
  <c r="Q331" i="12"/>
  <c r="N530" i="12"/>
  <c r="I509" i="12"/>
  <c r="P528" i="12"/>
  <c r="S547" i="12"/>
  <c r="L574" i="12"/>
  <c r="O442" i="12"/>
  <c r="Q602" i="12"/>
  <c r="S572" i="12"/>
  <c r="S370" i="12"/>
  <c r="AQ524" i="2"/>
  <c r="AR524" i="2"/>
  <c r="M393" i="12"/>
  <c r="M557" i="12"/>
  <c r="J520" i="12"/>
  <c r="N597" i="12"/>
  <c r="Q324" i="12"/>
  <c r="M589" i="12"/>
  <c r="T357" i="12"/>
  <c r="X650" i="12"/>
  <c r="J419" i="12"/>
  <c r="T456" i="12"/>
  <c r="K558" i="12"/>
  <c r="Q395" i="12"/>
  <c r="T367" i="12"/>
  <c r="F362" i="12"/>
  <c r="I334" i="12"/>
  <c r="M516" i="12"/>
  <c r="K583" i="12"/>
  <c r="L377" i="12"/>
  <c r="K511" i="12"/>
  <c r="S595" i="12"/>
  <c r="Z648" i="12"/>
  <c r="K255" i="12"/>
  <c r="N371" i="12"/>
  <c r="J400" i="12"/>
  <c r="K442" i="12"/>
  <c r="J491" i="12"/>
  <c r="F425" i="12"/>
  <c r="U565" i="2"/>
  <c r="R425" i="12"/>
  <c r="L494" i="12"/>
  <c r="I571" i="12"/>
  <c r="J369" i="12"/>
  <c r="I360" i="12"/>
  <c r="K495" i="12"/>
  <c r="G468" i="12"/>
  <c r="I365" i="12"/>
  <c r="P586" i="12"/>
  <c r="G578" i="12"/>
  <c r="S411" i="12"/>
  <c r="M434" i="12"/>
  <c r="AL546" i="2"/>
  <c r="M308" i="12"/>
  <c r="L327" i="12"/>
  <c r="G514" i="12"/>
  <c r="K447" i="12"/>
  <c r="S503" i="12"/>
  <c r="T306" i="12"/>
  <c r="G311" i="12"/>
  <c r="O588" i="12"/>
  <c r="S356" i="12"/>
  <c r="T530" i="12"/>
  <c r="S455" i="12"/>
  <c r="G400" i="12"/>
  <c r="G290" i="12"/>
  <c r="M390" i="12"/>
  <c r="R557" i="12"/>
  <c r="J371" i="12"/>
  <c r="I400" i="12"/>
  <c r="L322" i="12"/>
  <c r="G536" i="12"/>
  <c r="G574" i="12"/>
  <c r="R533" i="12"/>
  <c r="P456" i="12"/>
  <c r="L573" i="12"/>
  <c r="T544" i="12"/>
  <c r="L248" i="12"/>
  <c r="T457" i="12"/>
  <c r="F368" i="12"/>
  <c r="U382" i="2"/>
  <c r="F253" i="12"/>
  <c r="U377" i="2"/>
  <c r="G245" i="12"/>
  <c r="F234" i="12"/>
  <c r="U354" i="2"/>
  <c r="G207" i="12"/>
  <c r="AB618" i="12"/>
  <c r="AQ313" i="2"/>
  <c r="AB621" i="12"/>
  <c r="AA607" i="12"/>
  <c r="R357" i="12"/>
  <c r="S560" i="12"/>
  <c r="G338" i="12"/>
  <c r="F482" i="12"/>
  <c r="U419" i="2"/>
  <c r="J541" i="12"/>
  <c r="N457" i="12"/>
  <c r="P542" i="12"/>
  <c r="N368" i="12"/>
  <c r="N233" i="12"/>
  <c r="Q276" i="12"/>
  <c r="M466" i="12"/>
  <c r="S459" i="12"/>
  <c r="Q325" i="12"/>
  <c r="O171" i="12"/>
  <c r="AA618" i="12"/>
  <c r="M179" i="12"/>
  <c r="J379" i="12"/>
  <c r="R423" i="12"/>
  <c r="AA662" i="12"/>
  <c r="L242" i="12"/>
  <c r="S285" i="12"/>
  <c r="L254" i="12"/>
  <c r="T264" i="12"/>
  <c r="S249" i="12"/>
  <c r="M213" i="12"/>
  <c r="K253" i="12"/>
  <c r="F276" i="12"/>
  <c r="N234" i="12"/>
  <c r="M475" i="12"/>
  <c r="O583" i="12"/>
  <c r="J255" i="12"/>
  <c r="K265" i="12"/>
  <c r="N335" i="12"/>
  <c r="R550" i="12"/>
  <c r="N570" i="12"/>
  <c r="G303" i="12"/>
  <c r="O336" i="12"/>
  <c r="T519" i="12"/>
  <c r="K213" i="12"/>
  <c r="N253" i="12"/>
  <c r="K259" i="12"/>
  <c r="P404" i="12"/>
  <c r="I236" i="12"/>
  <c r="F580" i="12"/>
  <c r="U476" i="2"/>
  <c r="S287" i="12"/>
  <c r="S400" i="12"/>
  <c r="L314" i="12"/>
  <c r="K314" i="12"/>
  <c r="R470" i="12"/>
  <c r="R264" i="12"/>
  <c r="F249" i="12"/>
  <c r="U391" i="2"/>
  <c r="Q188" i="12"/>
  <c r="P459" i="12"/>
  <c r="M207" i="12"/>
  <c r="R296" i="12"/>
  <c r="O392" i="12"/>
  <c r="P426" i="12"/>
  <c r="S379" i="12"/>
  <c r="P588" i="12"/>
  <c r="Q251" i="12"/>
  <c r="N533" i="12"/>
  <c r="T242" i="12"/>
  <c r="S534" i="12"/>
  <c r="K256" i="12"/>
  <c r="G519" i="12"/>
  <c r="T213" i="12"/>
  <c r="R591" i="12"/>
  <c r="N344" i="12"/>
  <c r="O335" i="12"/>
  <c r="K335" i="12"/>
  <c r="P585" i="12"/>
  <c r="N330" i="12"/>
  <c r="I368" i="12"/>
  <c r="S469" i="12"/>
  <c r="N459" i="12"/>
  <c r="S372" i="12"/>
  <c r="R263" i="12"/>
  <c r="K306" i="12"/>
  <c r="I536" i="12"/>
  <c r="P591" i="12"/>
  <c r="M463" i="12"/>
  <c r="K463" i="12"/>
  <c r="U438" i="2"/>
  <c r="G553" i="12"/>
  <c r="S253" i="12"/>
  <c r="P259" i="12"/>
  <c r="J597" i="12"/>
  <c r="T574" i="12"/>
  <c r="L293" i="12"/>
  <c r="J196" i="12"/>
  <c r="L318" i="12"/>
  <c r="J267" i="12"/>
  <c r="F200" i="12"/>
  <c r="U277" i="2"/>
  <c r="G396" i="12"/>
  <c r="G203" i="12"/>
  <c r="Q151" i="12"/>
  <c r="S313" i="12"/>
  <c r="O288" i="12"/>
  <c r="O215" i="12"/>
  <c r="K215" i="12"/>
  <c r="Q313" i="12"/>
  <c r="Q202" i="12"/>
  <c r="O469" i="12"/>
  <c r="P227" i="12"/>
  <c r="J204" i="12"/>
  <c r="R152" i="12"/>
  <c r="K391" i="12"/>
  <c r="M459" i="12"/>
  <c r="I534" i="12"/>
  <c r="T302" i="12"/>
  <c r="J235" i="12"/>
  <c r="Q506" i="12"/>
  <c r="N130" i="12"/>
  <c r="X612" i="12"/>
  <c r="O372" i="12"/>
  <c r="N443" i="12"/>
  <c r="O343" i="12"/>
  <c r="L147" i="12"/>
  <c r="I187" i="12"/>
  <c r="O261" i="12"/>
  <c r="F140" i="12"/>
  <c r="U164" i="2"/>
  <c r="R136" i="12"/>
  <c r="R241" i="12"/>
  <c r="R394" i="12"/>
  <c r="R178" i="12"/>
  <c r="R496" i="12"/>
  <c r="R176" i="12"/>
  <c r="R325" i="12"/>
  <c r="R553" i="12"/>
  <c r="R456" i="12"/>
  <c r="R165" i="12"/>
  <c r="R482" i="12"/>
  <c r="R404" i="12"/>
  <c r="R541" i="12"/>
  <c r="R474" i="12"/>
  <c r="R232" i="12"/>
  <c r="R245" i="12"/>
  <c r="R267" i="12"/>
  <c r="R396" i="12"/>
  <c r="R212" i="12"/>
  <c r="R473" i="12"/>
  <c r="R453" i="12"/>
  <c r="R444" i="12"/>
  <c r="R210" i="12"/>
  <c r="R364" i="12"/>
  <c r="R313" i="12"/>
  <c r="R237" i="12"/>
  <c r="R532" i="12"/>
  <c r="R234" i="12"/>
  <c r="R303" i="12"/>
  <c r="R227" i="12"/>
  <c r="R445" i="12"/>
  <c r="R301" i="12"/>
  <c r="R262" i="12"/>
  <c r="R277" i="12"/>
  <c r="R196" i="12"/>
  <c r="R469" i="12"/>
  <c r="R475" i="12"/>
  <c r="R457" i="12"/>
  <c r="R158" i="12"/>
  <c r="R247" i="12"/>
  <c r="R286" i="12"/>
  <c r="R419" i="12"/>
  <c r="R390" i="12"/>
  <c r="R179" i="12"/>
  <c r="R198" i="12"/>
  <c r="R403" i="12"/>
  <c r="R272" i="12"/>
  <c r="R592" i="12"/>
  <c r="R169" i="12"/>
  <c r="R269" i="12"/>
  <c r="R392" i="12"/>
  <c r="R290" i="12"/>
  <c r="R172" i="12"/>
  <c r="R118" i="12"/>
  <c r="R204" i="12"/>
  <c r="R226" i="12"/>
  <c r="R501" i="12"/>
  <c r="R86" i="12"/>
  <c r="R426" i="12"/>
  <c r="I146" i="12"/>
  <c r="L105" i="12"/>
  <c r="O78" i="12"/>
  <c r="O12" i="12"/>
  <c r="O281" i="12"/>
  <c r="O282" i="12"/>
  <c r="O175" i="12"/>
  <c r="O170" i="12"/>
  <c r="O275" i="12"/>
  <c r="O127" i="12"/>
  <c r="O266" i="12"/>
  <c r="O476" i="12"/>
  <c r="O210" i="12"/>
  <c r="O248" i="12"/>
  <c r="O153" i="12"/>
  <c r="O184" i="12"/>
  <c r="O118" i="12"/>
  <c r="O225" i="12"/>
  <c r="O130" i="12"/>
  <c r="O133" i="12"/>
  <c r="O150" i="12"/>
  <c r="O296" i="12"/>
  <c r="O227" i="12"/>
  <c r="O163" i="12"/>
  <c r="O427" i="12"/>
  <c r="O131" i="12"/>
  <c r="O385" i="12"/>
  <c r="O406" i="12"/>
  <c r="O178" i="12"/>
  <c r="O222" i="12"/>
  <c r="O205" i="12"/>
  <c r="O179" i="12"/>
  <c r="O125" i="12"/>
  <c r="O277" i="12"/>
  <c r="O186" i="12"/>
  <c r="O466" i="12"/>
  <c r="O517" i="12"/>
  <c r="O240" i="12"/>
  <c r="O534" i="12"/>
  <c r="O532" i="12"/>
  <c r="O423" i="12"/>
  <c r="O191" i="12"/>
  <c r="O128" i="12"/>
  <c r="O575" i="12"/>
  <c r="O475" i="12"/>
  <c r="O269" i="12"/>
  <c r="O507" i="12"/>
  <c r="O504" i="12"/>
  <c r="O509" i="12"/>
  <c r="O309" i="12"/>
  <c r="O391" i="12"/>
  <c r="O143" i="12"/>
  <c r="O452" i="12"/>
  <c r="O267" i="12"/>
  <c r="O403" i="12"/>
  <c r="O552" i="12"/>
  <c r="O357" i="12"/>
  <c r="O535" i="12"/>
  <c r="O249" i="12"/>
  <c r="O256" i="12"/>
  <c r="O196" i="12"/>
  <c r="O573" i="12"/>
  <c r="O419" i="12"/>
  <c r="O250" i="12"/>
  <c r="O97" i="12"/>
  <c r="O359" i="12"/>
  <c r="O228" i="12"/>
  <c r="O420" i="12"/>
  <c r="O86" i="12"/>
  <c r="O23" i="12"/>
  <c r="F206" i="12"/>
  <c r="Q124" i="12"/>
  <c r="R171" i="12"/>
  <c r="O104" i="12"/>
  <c r="N125" i="12"/>
  <c r="P179" i="12"/>
  <c r="I436" i="12"/>
  <c r="N422" i="12"/>
  <c r="G600" i="12"/>
  <c r="K451" i="12"/>
  <c r="I502" i="12"/>
  <c r="F467" i="12"/>
  <c r="J380" i="12"/>
  <c r="M467" i="12"/>
  <c r="F581" i="12"/>
  <c r="U633" i="2"/>
  <c r="O484" i="12"/>
  <c r="Q481" i="12"/>
  <c r="Q488" i="12"/>
  <c r="G287" i="12"/>
  <c r="S349" i="12"/>
  <c r="G569" i="12"/>
  <c r="M419" i="12"/>
  <c r="F549" i="12"/>
  <c r="U548" i="2"/>
  <c r="S358" i="12"/>
  <c r="F315" i="12"/>
  <c r="U459" i="2"/>
  <c r="T477" i="12"/>
  <c r="F554" i="12"/>
  <c r="U505" i="2"/>
  <c r="T303" i="12"/>
  <c r="J337" i="12"/>
  <c r="I344" i="12"/>
  <c r="K510" i="12"/>
  <c r="F494" i="12"/>
  <c r="U557" i="2"/>
  <c r="R525" i="12"/>
  <c r="K595" i="12"/>
  <c r="I567" i="12"/>
  <c r="I568" i="12"/>
  <c r="L598" i="12"/>
  <c r="T484" i="12"/>
  <c r="L422" i="12"/>
  <c r="S593" i="12"/>
  <c r="K486" i="12"/>
  <c r="L436" i="12"/>
  <c r="T279" i="12"/>
  <c r="O440" i="12"/>
  <c r="R431" i="12"/>
  <c r="P376" i="12"/>
  <c r="F587" i="12"/>
  <c r="K464" i="12"/>
  <c r="L559" i="12"/>
  <c r="N495" i="12"/>
  <c r="I526" i="12"/>
  <c r="K465" i="12"/>
  <c r="AB632" i="12"/>
  <c r="Q422" i="12"/>
  <c r="S138" i="12"/>
  <c r="L554" i="12"/>
  <c r="G434" i="12"/>
  <c r="L395" i="12"/>
  <c r="I324" i="12"/>
  <c r="L571" i="12"/>
  <c r="P361" i="12"/>
  <c r="N496" i="12"/>
  <c r="P332" i="12"/>
  <c r="Z664" i="12"/>
  <c r="I522" i="12"/>
  <c r="G422" i="12"/>
  <c r="M590" i="12"/>
  <c r="S436" i="12"/>
  <c r="M492" i="12"/>
  <c r="J539" i="12"/>
  <c r="P422" i="12"/>
  <c r="G576" i="12"/>
  <c r="M593" i="12"/>
  <c r="J529" i="12"/>
  <c r="O502" i="12"/>
  <c r="M587" i="12"/>
  <c r="L484" i="12"/>
  <c r="Q462" i="12"/>
  <c r="M598" i="12"/>
  <c r="AB656" i="12"/>
  <c r="G568" i="12"/>
  <c r="L551" i="12"/>
  <c r="F567" i="12"/>
  <c r="U636" i="2"/>
  <c r="P546" i="12"/>
  <c r="M451" i="12"/>
  <c r="G472" i="12"/>
  <c r="G539" i="12"/>
  <c r="L601" i="12"/>
  <c r="Q600" i="12"/>
  <c r="N561" i="12"/>
  <c r="M521" i="12"/>
  <c r="S471" i="12"/>
  <c r="AA642" i="12"/>
  <c r="O472" i="12"/>
  <c r="I551" i="12"/>
  <c r="R347" i="12"/>
  <c r="J601" i="12"/>
  <c r="O529" i="12"/>
  <c r="I556" i="12"/>
  <c r="Q347" i="12"/>
  <c r="J594" i="12"/>
  <c r="O596" i="12"/>
  <c r="AB638" i="12"/>
  <c r="S502" i="12"/>
  <c r="T576" i="12"/>
  <c r="J561" i="12"/>
  <c r="J522" i="12"/>
  <c r="O492" i="12"/>
  <c r="L363" i="12"/>
  <c r="R497" i="12"/>
  <c r="S495" i="12"/>
  <c r="O449" i="12"/>
  <c r="G491" i="12"/>
  <c r="Q354" i="12"/>
  <c r="G418" i="12"/>
  <c r="O551" i="12"/>
  <c r="P414" i="12"/>
  <c r="S279" i="12"/>
  <c r="P525" i="12"/>
  <c r="M454" i="12"/>
  <c r="G487" i="12"/>
  <c r="L461" i="12"/>
  <c r="P354" i="12"/>
  <c r="Q563" i="12"/>
  <c r="R436" i="12"/>
  <c r="O432" i="12"/>
  <c r="G397" i="12"/>
  <c r="L333" i="12"/>
  <c r="L454" i="12"/>
  <c r="R342" i="12"/>
  <c r="N440" i="12"/>
  <c r="N480" i="12"/>
  <c r="L460" i="12"/>
  <c r="N492" i="12"/>
  <c r="O559" i="12"/>
  <c r="M508" i="12"/>
  <c r="M481" i="12"/>
  <c r="O380" i="12"/>
  <c r="Q326" i="12"/>
  <c r="S505" i="12"/>
  <c r="O563" i="12"/>
  <c r="O367" i="12"/>
  <c r="R437" i="12"/>
  <c r="M559" i="12"/>
  <c r="J495" i="12"/>
  <c r="J454" i="12"/>
  <c r="N487" i="12"/>
  <c r="J489" i="12"/>
  <c r="M465" i="12"/>
  <c r="F571" i="12"/>
  <c r="U545" i="2"/>
  <c r="Q389" i="12"/>
  <c r="I521" i="12"/>
  <c r="Q451" i="12"/>
  <c r="T363" i="12"/>
  <c r="K555" i="12"/>
  <c r="P450" i="12"/>
  <c r="J435" i="12"/>
  <c r="N376" i="12"/>
  <c r="I489" i="12"/>
  <c r="I586" i="12"/>
  <c r="Q505" i="12"/>
  <c r="I271" i="12"/>
  <c r="N516" i="12"/>
  <c r="G478" i="12"/>
  <c r="P432" i="12"/>
  <c r="K421" i="12"/>
  <c r="P382" i="12"/>
  <c r="O319" i="12"/>
  <c r="S416" i="12"/>
  <c r="M376" i="12"/>
  <c r="AB626" i="12"/>
  <c r="Q365" i="12"/>
  <c r="I602" i="12"/>
  <c r="T440" i="12"/>
  <c r="P505" i="12"/>
  <c r="M369" i="12"/>
  <c r="K581" i="12"/>
  <c r="Q526" i="12"/>
  <c r="F471" i="12"/>
  <c r="Q587" i="12"/>
  <c r="N590" i="12"/>
  <c r="P587" i="12"/>
  <c r="G513" i="12"/>
  <c r="O454" i="12"/>
  <c r="I491" i="12"/>
  <c r="P378" i="12"/>
  <c r="F138" i="12"/>
  <c r="U556" i="2"/>
  <c r="R401" i="12"/>
  <c r="I439" i="12"/>
  <c r="G395" i="12"/>
  <c r="AA621" i="12"/>
  <c r="G488" i="12"/>
  <c r="I545" i="12"/>
  <c r="I280" i="12"/>
  <c r="K518" i="12"/>
  <c r="Q583" i="12"/>
  <c r="P520" i="12"/>
  <c r="G530" i="12"/>
  <c r="J528" i="12"/>
  <c r="AQ450" i="2"/>
  <c r="AR450" i="2"/>
  <c r="S470" i="12"/>
  <c r="S577" i="12"/>
  <c r="G405" i="12"/>
  <c r="F431" i="12"/>
  <c r="O558" i="12"/>
  <c r="F434" i="12"/>
  <c r="U575" i="2"/>
  <c r="R354" i="12"/>
  <c r="R350" i="12"/>
  <c r="L549" i="12"/>
  <c r="I349" i="12"/>
  <c r="T351" i="12"/>
  <c r="AQ527" i="2"/>
  <c r="AR527" i="2"/>
  <c r="T280" i="12"/>
  <c r="R379" i="12"/>
  <c r="R583" i="12"/>
  <c r="P511" i="12"/>
  <c r="M588" i="12"/>
  <c r="F356" i="12"/>
  <c r="U482" i="2"/>
  <c r="G589" i="12"/>
  <c r="I528" i="12"/>
  <c r="G570" i="12"/>
  <c r="F252" i="12"/>
  <c r="U443" i="2"/>
  <c r="Q493" i="12"/>
  <c r="G242" i="12"/>
  <c r="J449" i="12"/>
  <c r="S480" i="12"/>
  <c r="T395" i="12"/>
  <c r="Q369" i="12"/>
  <c r="P545" i="12"/>
  <c r="F477" i="12"/>
  <c r="R393" i="12"/>
  <c r="Q306" i="12"/>
  <c r="T358" i="12"/>
  <c r="R569" i="12"/>
  <c r="M332" i="12"/>
  <c r="Q361" i="12"/>
  <c r="O339" i="12"/>
  <c r="P570" i="12"/>
  <c r="M456" i="12"/>
  <c r="I333" i="12"/>
  <c r="N446" i="12"/>
  <c r="P549" i="12"/>
  <c r="K549" i="12"/>
  <c r="J563" i="12"/>
  <c r="T327" i="12"/>
  <c r="O379" i="12"/>
  <c r="Q381" i="12"/>
  <c r="Q393" i="12"/>
  <c r="J595" i="12"/>
  <c r="G331" i="12"/>
  <c r="S324" i="12"/>
  <c r="O589" i="12"/>
  <c r="K251" i="12"/>
  <c r="P315" i="12"/>
  <c r="O570" i="12"/>
  <c r="N252" i="12"/>
  <c r="P442" i="12"/>
  <c r="M365" i="12"/>
  <c r="S378" i="12"/>
  <c r="N425" i="12"/>
  <c r="J579" i="12"/>
  <c r="J230" i="12"/>
  <c r="P345" i="12"/>
  <c r="N379" i="12"/>
  <c r="R518" i="12"/>
  <c r="R554" i="12"/>
  <c r="M511" i="12"/>
  <c r="N582" i="12"/>
  <c r="F331" i="12"/>
  <c r="U486" i="2"/>
  <c r="K332" i="12"/>
  <c r="T251" i="12"/>
  <c r="F528" i="12"/>
  <c r="U458" i="2"/>
  <c r="I547" i="12"/>
  <c r="F489" i="12"/>
  <c r="M425" i="12"/>
  <c r="I572" i="12"/>
  <c r="F401" i="12"/>
  <c r="J370" i="12"/>
  <c r="S563" i="12"/>
  <c r="N360" i="12"/>
  <c r="T258" i="12"/>
  <c r="T588" i="12"/>
  <c r="L255" i="12"/>
  <c r="N361" i="12"/>
  <c r="J357" i="12"/>
  <c r="O528" i="12"/>
  <c r="R547" i="12"/>
  <c r="J456" i="12"/>
  <c r="M468" i="12"/>
  <c r="L326" i="12"/>
  <c r="I367" i="12"/>
  <c r="S334" i="12"/>
  <c r="L393" i="12"/>
  <c r="P554" i="12"/>
  <c r="M377" i="12"/>
  <c r="P344" i="12"/>
  <c r="G595" i="12"/>
  <c r="K356" i="12"/>
  <c r="K339" i="12"/>
  <c r="J497" i="12"/>
  <c r="L442" i="12"/>
  <c r="G481" i="12"/>
  <c r="Q425" i="12"/>
  <c r="Q586" i="12"/>
  <c r="M494" i="12"/>
  <c r="J571" i="12"/>
  <c r="M351" i="12"/>
  <c r="P362" i="12"/>
  <c r="S435" i="12"/>
  <c r="R468" i="12"/>
  <c r="K365" i="12"/>
  <c r="S578" i="12"/>
  <c r="R435" i="12"/>
  <c r="Z654" i="12"/>
  <c r="G308" i="12"/>
  <c r="O460" i="12"/>
  <c r="I379" i="12"/>
  <c r="I306" i="12"/>
  <c r="P595" i="12"/>
  <c r="G588" i="12"/>
  <c r="U489" i="2"/>
  <c r="S340" i="12"/>
  <c r="I530" i="12"/>
  <c r="I455" i="12"/>
  <c r="R510" i="12"/>
  <c r="R252" i="12"/>
  <c r="P419" i="12"/>
  <c r="O390" i="12"/>
  <c r="R258" i="12"/>
  <c r="J356" i="12"/>
  <c r="K530" i="12"/>
  <c r="M322" i="12"/>
  <c r="P547" i="12"/>
  <c r="G295" i="12"/>
  <c r="Q536" i="12"/>
  <c r="F574" i="12"/>
  <c r="U434" i="2"/>
  <c r="I533" i="12"/>
  <c r="T298" i="12"/>
  <c r="P540" i="12"/>
  <c r="N320" i="12"/>
  <c r="F544" i="12"/>
  <c r="U408" i="2"/>
  <c r="M519" i="12"/>
  <c r="Q542" i="12"/>
  <c r="P368" i="12"/>
  <c r="P474" i="12"/>
  <c r="M458" i="12"/>
  <c r="G444" i="12"/>
  <c r="F238" i="12"/>
  <c r="U335" i="2"/>
  <c r="U323" i="2"/>
  <c r="J426" i="12"/>
  <c r="I500" i="12"/>
  <c r="K379" i="12"/>
  <c r="AB607" i="12"/>
  <c r="I361" i="12"/>
  <c r="J339" i="12"/>
  <c r="J560" i="12"/>
  <c r="G483" i="12"/>
  <c r="K303" i="12"/>
  <c r="P482" i="12"/>
  <c r="T541" i="12"/>
  <c r="K519" i="12"/>
  <c r="T512" i="12"/>
  <c r="G276" i="12"/>
  <c r="N469" i="12"/>
  <c r="I459" i="12"/>
  <c r="G325" i="12"/>
  <c r="Q504" i="12"/>
  <c r="S426" i="12"/>
  <c r="Q269" i="12"/>
  <c r="R500" i="12"/>
  <c r="P477" i="12"/>
  <c r="F595" i="12"/>
  <c r="S423" i="12"/>
  <c r="I569" i="12"/>
  <c r="AB662" i="12"/>
  <c r="J304" i="12"/>
  <c r="T577" i="12"/>
  <c r="G285" i="12"/>
  <c r="P515" i="12"/>
  <c r="M254" i="12"/>
  <c r="L259" i="12"/>
  <c r="Q404" i="12"/>
  <c r="T346" i="12"/>
  <c r="P325" i="12"/>
  <c r="N238" i="12"/>
  <c r="L452" i="12"/>
  <c r="R360" i="12"/>
  <c r="AQ500" i="2"/>
  <c r="L265" i="12"/>
  <c r="I550" i="12"/>
  <c r="N564" i="12"/>
  <c r="G330" i="12"/>
  <c r="I456" i="12"/>
  <c r="G323" i="12"/>
  <c r="F573" i="12"/>
  <c r="N336" i="12"/>
  <c r="T410" i="12"/>
  <c r="R268" i="12"/>
  <c r="L286" i="12"/>
  <c r="M474" i="12"/>
  <c r="L210" i="12"/>
  <c r="F404" i="12"/>
  <c r="P538" i="12"/>
  <c r="G480" i="12"/>
  <c r="N477" i="12"/>
  <c r="N520" i="12"/>
  <c r="Q580" i="12"/>
  <c r="M335" i="12"/>
  <c r="P400" i="12"/>
  <c r="F314" i="12"/>
  <c r="U439" i="2"/>
  <c r="P536" i="12"/>
  <c r="I470" i="12"/>
  <c r="F303" i="12"/>
  <c r="I264" i="12"/>
  <c r="Q268" i="12"/>
  <c r="F188" i="12"/>
  <c r="U370" i="2"/>
  <c r="L234" i="12"/>
  <c r="F459" i="12"/>
  <c r="U350" i="2"/>
  <c r="N325" i="12"/>
  <c r="T452" i="12"/>
  <c r="F426" i="12"/>
  <c r="U312" i="2"/>
  <c r="N247" i="12"/>
  <c r="M477" i="12"/>
  <c r="I283" i="12"/>
  <c r="M566" i="12"/>
  <c r="I242" i="12"/>
  <c r="L541" i="12"/>
  <c r="L256" i="12"/>
  <c r="AR384" i="2"/>
  <c r="AQ384" i="2"/>
  <c r="J474" i="12"/>
  <c r="J469" i="12"/>
  <c r="N272" i="12"/>
  <c r="K238" i="12"/>
  <c r="O362" i="12"/>
  <c r="Q595" i="12"/>
  <c r="F335" i="12"/>
  <c r="U467" i="2"/>
  <c r="N463" i="12"/>
  <c r="F564" i="12"/>
  <c r="U449" i="2"/>
  <c r="O322" i="12"/>
  <c r="G585" i="12"/>
  <c r="I317" i="12"/>
  <c r="M577" i="12"/>
  <c r="AB605" i="12"/>
  <c r="S210" i="12"/>
  <c r="M404" i="12"/>
  <c r="I469" i="12"/>
  <c r="AA619" i="12"/>
  <c r="I372" i="12"/>
  <c r="S413" i="12"/>
  <c r="O511" i="12"/>
  <c r="M430" i="12"/>
  <c r="I395" i="12"/>
  <c r="T236" i="12"/>
  <c r="F463" i="12"/>
  <c r="U466" i="2"/>
  <c r="L463" i="12"/>
  <c r="F536" i="12"/>
  <c r="L294" i="12"/>
  <c r="I336" i="12"/>
  <c r="Q213" i="12"/>
  <c r="Q233" i="12"/>
  <c r="F466" i="12"/>
  <c r="L470" i="12"/>
  <c r="T566" i="12"/>
  <c r="O320" i="12"/>
  <c r="Q517" i="12"/>
  <c r="Q245" i="12"/>
  <c r="F413" i="12"/>
  <c r="J222" i="12"/>
  <c r="K313" i="12"/>
  <c r="Q158" i="12"/>
  <c r="N285" i="12"/>
  <c r="I387" i="12"/>
  <c r="F215" i="12"/>
  <c r="U349" i="2"/>
  <c r="O346" i="12"/>
  <c r="X619" i="12"/>
  <c r="R202" i="12"/>
  <c r="Q234" i="12"/>
  <c r="I227" i="12"/>
  <c r="S139" i="12"/>
  <c r="R231" i="12"/>
  <c r="R213" i="12"/>
  <c r="M97" i="12"/>
  <c r="I130" i="12"/>
  <c r="J302" i="12"/>
  <c r="S153" i="12"/>
  <c r="P166" i="12"/>
  <c r="J407" i="12"/>
  <c r="J336" i="12"/>
  <c r="T387" i="12"/>
  <c r="N329" i="12"/>
  <c r="Q67" i="12"/>
  <c r="O232" i="12"/>
  <c r="T146" i="12"/>
  <c r="P343" i="12"/>
  <c r="Z645" i="12"/>
  <c r="S428" i="12"/>
  <c r="R124" i="12"/>
  <c r="O67" i="12"/>
  <c r="G171" i="12"/>
  <c r="I384" i="12"/>
  <c r="I263" i="12"/>
  <c r="I445" i="12"/>
  <c r="I320" i="12"/>
  <c r="I232" i="12"/>
  <c r="I200" i="12"/>
  <c r="I152" i="12"/>
  <c r="I483" i="12"/>
  <c r="I386" i="12"/>
  <c r="I574" i="12"/>
  <c r="I234" i="12"/>
  <c r="I504" i="12"/>
  <c r="I359" i="12"/>
  <c r="I466" i="12"/>
  <c r="I448" i="12"/>
  <c r="I519" i="12"/>
  <c r="I277" i="12"/>
  <c r="I296" i="12"/>
  <c r="I473" i="12"/>
  <c r="I453" i="12"/>
  <c r="I151" i="12"/>
  <c r="I139" i="12"/>
  <c r="I178" i="12"/>
  <c r="I241" i="12"/>
  <c r="I266" i="12"/>
  <c r="I259" i="12"/>
  <c r="I541" i="12"/>
  <c r="I198" i="12"/>
  <c r="I253" i="12"/>
  <c r="I482" i="12"/>
  <c r="I223" i="12"/>
  <c r="I127" i="12"/>
  <c r="O82" i="12"/>
  <c r="G121" i="12"/>
  <c r="P299" i="12"/>
  <c r="I126" i="12"/>
  <c r="O132" i="12"/>
  <c r="N136" i="12"/>
  <c r="K166" i="12"/>
  <c r="S260" i="12"/>
  <c r="L260" i="12"/>
  <c r="Z652" i="12"/>
  <c r="AL225" i="2"/>
  <c r="F141" i="12"/>
  <c r="U207" i="2"/>
  <c r="T220" i="12"/>
  <c r="T46" i="12"/>
  <c r="N60" i="12"/>
  <c r="N391" i="12"/>
  <c r="N143" i="12"/>
  <c r="N232" i="12"/>
  <c r="N150" i="12"/>
  <c r="N126" i="12"/>
  <c r="N490" i="12"/>
  <c r="N244" i="12"/>
  <c r="N394" i="12"/>
  <c r="N152" i="12"/>
  <c r="N402" i="12"/>
  <c r="N179" i="12"/>
  <c r="N151" i="12"/>
  <c r="N262" i="12"/>
  <c r="G106" i="12"/>
  <c r="S161" i="12"/>
  <c r="N40" i="12"/>
  <c r="S56" i="12"/>
  <c r="P6" i="12"/>
  <c r="U6" i="3"/>
  <c r="I121" i="12"/>
  <c r="R78" i="12"/>
  <c r="Q89" i="12"/>
  <c r="K148" i="12"/>
  <c r="S43" i="12"/>
  <c r="I52" i="12"/>
  <c r="K37" i="12"/>
  <c r="AA637" i="12"/>
  <c r="AA647" i="12"/>
  <c r="AA641" i="12"/>
  <c r="AA635" i="12"/>
  <c r="AA659" i="12"/>
  <c r="T186" i="12"/>
  <c r="K114" i="12"/>
  <c r="Q110" i="12"/>
  <c r="Q122" i="12"/>
  <c r="Q18" i="12"/>
  <c r="Q402" i="12"/>
  <c r="Q282" i="12"/>
  <c r="Q329" i="12"/>
  <c r="Q187" i="12"/>
  <c r="Q316" i="12"/>
  <c r="Q159" i="12"/>
  <c r="Q103" i="12"/>
  <c r="N119" i="12"/>
  <c r="G113" i="12"/>
  <c r="F80" i="12"/>
  <c r="U102" i="2"/>
  <c r="M134" i="12"/>
  <c r="L398" i="12"/>
  <c r="I182" i="12"/>
  <c r="K187" i="12"/>
  <c r="S126" i="12"/>
  <c r="R384" i="12"/>
  <c r="S203" i="12"/>
  <c r="N167" i="12"/>
  <c r="T150" i="12"/>
  <c r="T261" i="12"/>
  <c r="T275" i="12"/>
  <c r="R366" i="12"/>
  <c r="J366" i="12"/>
  <c r="K399" i="12"/>
  <c r="P133" i="12"/>
  <c r="P141" i="12"/>
  <c r="F183" i="12"/>
  <c r="G220" i="12"/>
  <c r="F147" i="12"/>
  <c r="U205" i="2"/>
  <c r="G46" i="12"/>
  <c r="P98" i="12"/>
  <c r="M99" i="12"/>
  <c r="P43" i="12"/>
  <c r="K250" i="12"/>
  <c r="F218" i="12"/>
  <c r="J4" i="12"/>
  <c r="J65" i="12"/>
  <c r="J66" i="12"/>
  <c r="J278" i="12"/>
  <c r="J61" i="12"/>
  <c r="J89" i="12"/>
  <c r="J11" i="12"/>
  <c r="J20" i="12"/>
  <c r="J107" i="12"/>
  <c r="J23" i="12"/>
  <c r="J78" i="12"/>
  <c r="J104" i="12"/>
  <c r="J229" i="12"/>
  <c r="J86" i="12"/>
  <c r="J87" i="12"/>
  <c r="J29" i="12"/>
  <c r="J140" i="12"/>
  <c r="J312" i="12"/>
  <c r="J172" i="12"/>
  <c r="J225" i="12"/>
  <c r="J27" i="12"/>
  <c r="J36" i="12"/>
  <c r="J328" i="12"/>
  <c r="J88" i="12"/>
  <c r="J70" i="12"/>
  <c r="J99" i="12"/>
  <c r="J219" i="12"/>
  <c r="J144" i="12"/>
  <c r="J118" i="12"/>
  <c r="J81" i="12"/>
  <c r="J250" i="12"/>
  <c r="J58" i="12"/>
  <c r="J217" i="12"/>
  <c r="J197" i="12"/>
  <c r="J209" i="12"/>
  <c r="J105" i="12"/>
  <c r="J183" i="12"/>
  <c r="J270" i="12"/>
  <c r="J121" i="12"/>
  <c r="J300" i="12"/>
  <c r="J143" i="12"/>
  <c r="J129" i="12"/>
  <c r="J100" i="12"/>
  <c r="J110" i="12"/>
  <c r="J59" i="12"/>
  <c r="J62" i="12"/>
  <c r="J15" i="12"/>
  <c r="J40" i="12"/>
  <c r="J31" i="12"/>
  <c r="J91" i="12"/>
  <c r="J281" i="12"/>
  <c r="J420" i="12"/>
  <c r="J247" i="12"/>
  <c r="J186" i="12"/>
  <c r="J49" i="12"/>
  <c r="J46" i="12"/>
  <c r="J16" i="12"/>
  <c r="J98" i="12"/>
  <c r="J57" i="12"/>
  <c r="J155" i="12"/>
  <c r="J68" i="12"/>
  <c r="J43" i="12"/>
  <c r="J90" i="12"/>
  <c r="J47" i="12"/>
  <c r="J177" i="12"/>
  <c r="J309" i="12"/>
  <c r="J261" i="12"/>
  <c r="J208" i="12"/>
  <c r="J6" i="12"/>
  <c r="J12" i="12"/>
  <c r="J39" i="12"/>
  <c r="J156" i="12"/>
  <c r="J101" i="12"/>
  <c r="J383" i="12"/>
  <c r="J13" i="12"/>
  <c r="J92" i="12"/>
  <c r="J119" i="12"/>
  <c r="J17" i="12"/>
  <c r="J5" i="12"/>
  <c r="J244" i="12"/>
  <c r="J82" i="12"/>
  <c r="J191" i="12"/>
  <c r="J124" i="12"/>
  <c r="J64" i="12"/>
  <c r="J72" i="12"/>
  <c r="J170" i="12"/>
  <c r="J2" i="12"/>
  <c r="J243" i="12"/>
  <c r="J45" i="12"/>
  <c r="J167" i="12"/>
  <c r="J211" i="12"/>
  <c r="J19" i="12"/>
  <c r="J122" i="12"/>
  <c r="J71" i="12"/>
  <c r="J161" i="12"/>
  <c r="J94" i="12"/>
  <c r="L208" i="12"/>
  <c r="F96" i="12"/>
  <c r="U98" i="2"/>
  <c r="N217" i="12"/>
  <c r="N221" i="12"/>
  <c r="G122" i="12"/>
  <c r="Q66" i="12"/>
  <c r="S54" i="12"/>
  <c r="Q63" i="12"/>
  <c r="F18" i="12"/>
  <c r="U41" i="2"/>
  <c r="P8" i="12"/>
  <c r="P374" i="12"/>
  <c r="P500" i="12"/>
  <c r="P97" i="12"/>
  <c r="P475" i="12"/>
  <c r="P205" i="12"/>
  <c r="P150" i="12"/>
  <c r="P139" i="12"/>
  <c r="P88" i="12"/>
  <c r="P160" i="12"/>
  <c r="P292" i="12"/>
  <c r="P394" i="12"/>
  <c r="P355" i="12"/>
  <c r="P177" i="12"/>
  <c r="P121" i="12"/>
  <c r="I96" i="12"/>
  <c r="S102" i="12"/>
  <c r="J564" i="12"/>
  <c r="L566" i="12"/>
  <c r="T408" i="12"/>
  <c r="I496" i="12"/>
  <c r="R359" i="12"/>
  <c r="M240" i="12"/>
  <c r="J253" i="12"/>
  <c r="F458" i="12"/>
  <c r="U371" i="2"/>
  <c r="I210" i="12"/>
  <c r="N438" i="12"/>
  <c r="T234" i="12"/>
  <c r="P346" i="12"/>
  <c r="J171" i="12"/>
  <c r="K289" i="12"/>
  <c r="F408" i="12"/>
  <c r="U420" i="2"/>
  <c r="G591" i="12"/>
  <c r="O591" i="12"/>
  <c r="P463" i="12"/>
  <c r="G317" i="12"/>
  <c r="R294" i="12"/>
  <c r="K320" i="12"/>
  <c r="T359" i="12"/>
  <c r="N266" i="12"/>
  <c r="Q289" i="12"/>
  <c r="G517" i="12"/>
  <c r="K196" i="12"/>
  <c r="U373" i="2"/>
  <c r="J291" i="12"/>
  <c r="K374" i="12"/>
  <c r="K409" i="12"/>
  <c r="M318" i="12"/>
  <c r="I206" i="12"/>
  <c r="G262" i="12"/>
  <c r="K429" i="12"/>
  <c r="M229" i="12"/>
  <c r="R163" i="12"/>
  <c r="P154" i="12"/>
  <c r="Q364" i="12"/>
  <c r="M175" i="12"/>
  <c r="J212" i="12"/>
  <c r="Q292" i="12"/>
  <c r="I292" i="12"/>
  <c r="G457" i="12"/>
  <c r="F575" i="12"/>
  <c r="U380" i="2"/>
  <c r="R575" i="12"/>
  <c r="J490" i="12"/>
  <c r="G152" i="12"/>
  <c r="Q203" i="12"/>
  <c r="R151" i="12"/>
  <c r="G97" i="12"/>
  <c r="L313" i="12"/>
  <c r="R184" i="12"/>
  <c r="N406" i="12"/>
  <c r="P169" i="12"/>
  <c r="T375" i="12"/>
  <c r="J288" i="12"/>
  <c r="P210" i="12"/>
  <c r="O318" i="12"/>
  <c r="P573" i="12"/>
  <c r="P215" i="12"/>
  <c r="G452" i="12"/>
  <c r="I413" i="12"/>
  <c r="S267" i="12"/>
  <c r="R391" i="12"/>
  <c r="K199" i="12"/>
  <c r="F531" i="12"/>
  <c r="U395" i="2"/>
  <c r="I202" i="12"/>
  <c r="I222" i="12"/>
  <c r="M409" i="12"/>
  <c r="P473" i="12"/>
  <c r="J506" i="12"/>
  <c r="M448" i="12"/>
  <c r="K163" i="12"/>
  <c r="N162" i="12"/>
  <c r="I175" i="12"/>
  <c r="P239" i="12"/>
  <c r="Q466" i="12"/>
  <c r="T190" i="12"/>
  <c r="T473" i="12"/>
  <c r="T165" i="12"/>
  <c r="I507" i="12"/>
  <c r="K355" i="12"/>
  <c r="I385" i="12"/>
  <c r="I406" i="12"/>
  <c r="O375" i="12"/>
  <c r="G139" i="12"/>
  <c r="M531" i="12"/>
  <c r="K286" i="12"/>
  <c r="G438" i="12"/>
  <c r="T253" i="12"/>
  <c r="G259" i="12"/>
  <c r="J534" i="12"/>
  <c r="J248" i="12"/>
  <c r="G257" i="12"/>
  <c r="K268" i="12"/>
  <c r="S453" i="12"/>
  <c r="R562" i="12"/>
  <c r="I246" i="12"/>
  <c r="Z618" i="12"/>
  <c r="Q507" i="12"/>
  <c r="S406" i="12"/>
  <c r="T158" i="12"/>
  <c r="R441" i="12"/>
  <c r="F212" i="12"/>
  <c r="U246" i="2"/>
  <c r="Q396" i="12"/>
  <c r="F318" i="12"/>
  <c r="T153" i="12"/>
  <c r="T182" i="12"/>
  <c r="T172" i="12"/>
  <c r="P216" i="12"/>
  <c r="G143" i="12"/>
  <c r="Q183" i="12"/>
  <c r="I116" i="12"/>
  <c r="O300" i="12"/>
  <c r="R149" i="12"/>
  <c r="G211" i="12"/>
  <c r="I104" i="12"/>
  <c r="G278" i="12"/>
  <c r="F128" i="12"/>
  <c r="U139" i="2"/>
  <c r="F186" i="12"/>
  <c r="U129" i="2"/>
  <c r="I329" i="12"/>
  <c r="J316" i="12"/>
  <c r="Z613" i="12"/>
  <c r="R302" i="12"/>
  <c r="Q123" i="12"/>
  <c r="G244" i="12"/>
  <c r="N300" i="12"/>
  <c r="I112" i="12"/>
  <c r="F211" i="12"/>
  <c r="U172" i="2"/>
  <c r="Q328" i="12"/>
  <c r="N121" i="12"/>
  <c r="M94" i="12"/>
  <c r="K372" i="12"/>
  <c r="I184" i="12"/>
  <c r="K375" i="12"/>
  <c r="J146" i="12"/>
  <c r="P270" i="12"/>
  <c r="M216" i="12"/>
  <c r="T167" i="12"/>
  <c r="S299" i="12"/>
  <c r="G116" i="12"/>
  <c r="M127" i="12"/>
  <c r="F250" i="12"/>
  <c r="U180" i="2"/>
  <c r="M160" i="12"/>
  <c r="L197" i="12"/>
  <c r="L88" i="12"/>
  <c r="M86" i="12"/>
  <c r="Q452" i="12"/>
  <c r="K433" i="12"/>
  <c r="J224" i="12"/>
  <c r="I169" i="12"/>
  <c r="T159" i="12"/>
  <c r="T428" i="12"/>
  <c r="N172" i="12"/>
  <c r="T174" i="12"/>
  <c r="Q167" i="12"/>
  <c r="S281" i="12"/>
  <c r="L261" i="12"/>
  <c r="L160" i="12"/>
  <c r="G132" i="12"/>
  <c r="M128" i="12"/>
  <c r="I171" i="12"/>
  <c r="R402" i="12"/>
  <c r="Q153" i="12"/>
  <c r="T201" i="12"/>
  <c r="M172" i="12"/>
  <c r="R191" i="12"/>
  <c r="P144" i="12"/>
  <c r="Q281" i="12"/>
  <c r="Q299" i="12"/>
  <c r="K244" i="12"/>
  <c r="P132" i="12"/>
  <c r="P135" i="12"/>
  <c r="M398" i="12"/>
  <c r="P200" i="12"/>
  <c r="N399" i="12"/>
  <c r="J443" i="12"/>
  <c r="K343" i="12"/>
  <c r="P281" i="12"/>
  <c r="K312" i="12"/>
  <c r="M149" i="12"/>
  <c r="S108" i="12"/>
  <c r="M151" i="12"/>
  <c r="L176" i="12"/>
  <c r="J275" i="12"/>
  <c r="I366" i="12"/>
  <c r="T366" i="12"/>
  <c r="O79" i="12"/>
  <c r="K54" i="12"/>
  <c r="S16" i="12"/>
  <c r="X14" i="3"/>
  <c r="S504" i="12"/>
  <c r="S250" i="12"/>
  <c r="S343" i="12"/>
  <c r="S225" i="12"/>
  <c r="S199" i="12"/>
  <c r="S235" i="12"/>
  <c r="S241" i="12"/>
  <c r="S243" i="12"/>
  <c r="S409" i="12"/>
  <c r="S355" i="12"/>
  <c r="S197" i="12"/>
  <c r="S105" i="12"/>
  <c r="S155" i="12"/>
  <c r="S441" i="12"/>
  <c r="S309" i="12"/>
  <c r="S143" i="12"/>
  <c r="S171" i="12"/>
  <c r="L96" i="12"/>
  <c r="R9" i="12"/>
  <c r="F26" i="12"/>
  <c r="U31" i="2"/>
  <c r="G70" i="12"/>
  <c r="M208" i="12"/>
  <c r="P96" i="12"/>
  <c r="AA655" i="12"/>
  <c r="M23" i="12"/>
  <c r="T310" i="12"/>
  <c r="Z627" i="12"/>
  <c r="AL89" i="2"/>
  <c r="F66" i="12"/>
  <c r="U60" i="2"/>
  <c r="R33" i="12"/>
  <c r="M35" i="12"/>
  <c r="AB663" i="12"/>
  <c r="AB635" i="12"/>
  <c r="AB641" i="12"/>
  <c r="AB653" i="12"/>
  <c r="AB620" i="12"/>
  <c r="AB655" i="12"/>
  <c r="AB659" i="12"/>
  <c r="AB608" i="12"/>
  <c r="AB610" i="12"/>
  <c r="AB647" i="12"/>
  <c r="T157" i="12"/>
  <c r="F63" i="12"/>
  <c r="U77" i="2"/>
  <c r="G83" i="12"/>
  <c r="K124" i="12"/>
  <c r="L135" i="12"/>
  <c r="J50" i="12"/>
  <c r="L98" i="12"/>
  <c r="S128" i="12"/>
  <c r="S134" i="12"/>
  <c r="G57" i="12"/>
  <c r="T453" i="12"/>
  <c r="J234" i="12"/>
  <c r="F346" i="12"/>
  <c r="U348" i="2"/>
  <c r="K207" i="12"/>
  <c r="N426" i="12"/>
  <c r="L289" i="12"/>
  <c r="P408" i="12"/>
  <c r="G463" i="12"/>
  <c r="Q317" i="12"/>
  <c r="J294" i="12"/>
  <c r="L320" i="12"/>
  <c r="K359" i="12"/>
  <c r="S207" i="12"/>
  <c r="N296" i="12"/>
  <c r="F566" i="12"/>
  <c r="U429" i="2"/>
  <c r="N408" i="12"/>
  <c r="R517" i="12"/>
  <c r="L196" i="12"/>
  <c r="T291" i="12"/>
  <c r="L374" i="12"/>
  <c r="F307" i="12"/>
  <c r="U319" i="2"/>
  <c r="S206" i="12"/>
  <c r="Q262" i="12"/>
  <c r="O429" i="12"/>
  <c r="L163" i="12"/>
  <c r="I391" i="12"/>
  <c r="F364" i="12"/>
  <c r="U264" i="2"/>
  <c r="O204" i="12"/>
  <c r="T212" i="12"/>
  <c r="F292" i="12"/>
  <c r="U407" i="2"/>
  <c r="S292" i="12"/>
  <c r="Q575" i="12"/>
  <c r="K490" i="12"/>
  <c r="J203" i="12"/>
  <c r="K151" i="12"/>
  <c r="O313" i="12"/>
  <c r="F184" i="12"/>
  <c r="U283" i="2"/>
  <c r="T200" i="12"/>
  <c r="T288" i="12"/>
  <c r="G515" i="12"/>
  <c r="Q531" i="12"/>
  <c r="G453" i="12"/>
  <c r="S200" i="12"/>
  <c r="L262" i="12"/>
  <c r="N293" i="12"/>
  <c r="G213" i="12"/>
  <c r="K438" i="12"/>
  <c r="G215" i="12"/>
  <c r="G372" i="12"/>
  <c r="K413" i="12"/>
  <c r="M507" i="12"/>
  <c r="F391" i="12"/>
  <c r="U274" i="2"/>
  <c r="K262" i="12"/>
  <c r="T139" i="12"/>
  <c r="S254" i="12"/>
  <c r="S202" i="12"/>
  <c r="S222" i="12"/>
  <c r="G473" i="12"/>
  <c r="T506" i="12"/>
  <c r="F448" i="12"/>
  <c r="U295" i="2"/>
  <c r="T402" i="12"/>
  <c r="N158" i="12"/>
  <c r="T237" i="12"/>
  <c r="O316" i="12"/>
  <c r="X623" i="12"/>
  <c r="T239" i="12"/>
  <c r="N466" i="12"/>
  <c r="N246" i="12"/>
  <c r="P171" i="12"/>
  <c r="K165" i="12"/>
  <c r="J318" i="12"/>
  <c r="L355" i="12"/>
  <c r="K247" i="12"/>
  <c r="N200" i="12"/>
  <c r="I375" i="12"/>
  <c r="S175" i="12"/>
  <c r="Q225" i="12"/>
  <c r="N531" i="12"/>
  <c r="R438" i="12"/>
  <c r="Q320" i="12"/>
  <c r="Q553" i="12"/>
  <c r="Q474" i="12"/>
  <c r="K248" i="12"/>
  <c r="Q257" i="12"/>
  <c r="P213" i="12"/>
  <c r="I562" i="12"/>
  <c r="S246" i="12"/>
  <c r="G427" i="12"/>
  <c r="G426" i="12"/>
  <c r="R507" i="12"/>
  <c r="L406" i="12"/>
  <c r="S169" i="12"/>
  <c r="G441" i="12"/>
  <c r="U263" i="2"/>
  <c r="N301" i="12"/>
  <c r="T224" i="12"/>
  <c r="G159" i="12"/>
  <c r="J153" i="12"/>
  <c r="L172" i="12"/>
  <c r="X614" i="12"/>
  <c r="AL228" i="2"/>
  <c r="K305" i="12"/>
  <c r="I144" i="12"/>
  <c r="Q143" i="12"/>
  <c r="F300" i="12"/>
  <c r="U185" i="2"/>
  <c r="G149" i="12"/>
  <c r="J135" i="12"/>
  <c r="G78" i="12"/>
  <c r="X653" i="12"/>
  <c r="AL112" i="2"/>
  <c r="P229" i="12"/>
  <c r="P329" i="12"/>
  <c r="S329" i="12"/>
  <c r="G428" i="12"/>
  <c r="J301" i="12"/>
  <c r="F118" i="12"/>
  <c r="O123" i="12"/>
  <c r="M145" i="12"/>
  <c r="L384" i="12"/>
  <c r="Q170" i="12"/>
  <c r="R104" i="12"/>
  <c r="N86" i="12"/>
  <c r="Q76" i="12"/>
  <c r="T364" i="12"/>
  <c r="K146" i="12"/>
  <c r="L166" i="12"/>
  <c r="S174" i="12"/>
  <c r="Q118" i="12"/>
  <c r="G299" i="12"/>
  <c r="Q244" i="12"/>
  <c r="M261" i="12"/>
  <c r="Q102" i="12"/>
  <c r="N282" i="12"/>
  <c r="L243" i="12"/>
  <c r="P87" i="12"/>
  <c r="N186" i="12"/>
  <c r="N452" i="12"/>
  <c r="N433" i="12"/>
  <c r="K224" i="12"/>
  <c r="J154" i="12"/>
  <c r="J159" i="12"/>
  <c r="L428" i="12"/>
  <c r="N270" i="12"/>
  <c r="T309" i="12"/>
  <c r="K174" i="12"/>
  <c r="F116" i="12"/>
  <c r="U191" i="2"/>
  <c r="L300" i="12"/>
  <c r="F104" i="12"/>
  <c r="U162" i="2"/>
  <c r="N78" i="12"/>
  <c r="U318" i="2"/>
  <c r="L267" i="12"/>
  <c r="N237" i="12"/>
  <c r="I166" i="12"/>
  <c r="K201" i="12"/>
  <c r="T301" i="12"/>
  <c r="G191" i="12"/>
  <c r="U212" i="2"/>
  <c r="R281" i="12"/>
  <c r="N155" i="12"/>
  <c r="K160" i="12"/>
  <c r="F132" i="12"/>
  <c r="U169" i="2"/>
  <c r="F532" i="12"/>
  <c r="O398" i="12"/>
  <c r="K501" i="12"/>
  <c r="P206" i="12"/>
  <c r="I288" i="12"/>
  <c r="K443" i="12"/>
  <c r="Z623" i="12"/>
  <c r="O305" i="12"/>
  <c r="Q144" i="12"/>
  <c r="I108" i="12"/>
  <c r="J223" i="12"/>
  <c r="S88" i="12"/>
  <c r="P301" i="12"/>
  <c r="I141" i="12"/>
  <c r="T300" i="12"/>
  <c r="K140" i="12"/>
  <c r="L366" i="12"/>
  <c r="K366" i="12"/>
  <c r="P201" i="12"/>
  <c r="F130" i="12"/>
  <c r="J168" i="12"/>
  <c r="J102" i="12"/>
  <c r="AB627" i="12"/>
  <c r="T129" i="12"/>
  <c r="T127" i="12"/>
  <c r="T223" i="12"/>
  <c r="T241" i="12"/>
  <c r="T243" i="12"/>
  <c r="T147" i="12"/>
  <c r="T222" i="12"/>
  <c r="T68" i="12"/>
  <c r="T154" i="12"/>
  <c r="T131" i="12"/>
  <c r="T119" i="12"/>
  <c r="T133" i="12"/>
  <c r="T552" i="12"/>
  <c r="T121" i="12"/>
  <c r="T406" i="12"/>
  <c r="T160" i="12"/>
  <c r="T99" i="12"/>
  <c r="T383" i="12"/>
  <c r="T443" i="12"/>
  <c r="T82" i="12"/>
  <c r="T441" i="12"/>
  <c r="I16" i="12"/>
  <c r="N14" i="3"/>
  <c r="I409" i="12"/>
  <c r="I307" i="12"/>
  <c r="I243" i="12"/>
  <c r="I346" i="12"/>
  <c r="I343" i="12"/>
  <c r="I247" i="12"/>
  <c r="I197" i="12"/>
  <c r="I174" i="12"/>
  <c r="I402" i="12"/>
  <c r="I105" i="12"/>
  <c r="I172" i="12"/>
  <c r="I300" i="12"/>
  <c r="I88" i="12"/>
  <c r="I278" i="12"/>
  <c r="I341" i="12"/>
  <c r="I140" i="12"/>
  <c r="I31" i="12"/>
  <c r="I244" i="12"/>
  <c r="I302" i="12"/>
  <c r="I6" i="12"/>
  <c r="I10" i="12"/>
  <c r="G21" i="12"/>
  <c r="Q157" i="12"/>
  <c r="K72" i="12"/>
  <c r="I219" i="12"/>
  <c r="M136" i="12"/>
  <c r="F36" i="12"/>
  <c r="U75" i="2"/>
  <c r="G123" i="12"/>
  <c r="P194" i="12"/>
  <c r="AB629" i="12"/>
  <c r="K310" i="12"/>
  <c r="L101" i="12"/>
  <c r="R25" i="12"/>
  <c r="K80" i="12"/>
  <c r="L122" i="12"/>
  <c r="Q160" i="12"/>
  <c r="R65" i="12"/>
  <c r="Q83" i="12"/>
  <c r="P243" i="12"/>
  <c r="F52" i="12"/>
  <c r="U123" i="2"/>
  <c r="J55" i="12"/>
  <c r="Q73" i="12"/>
  <c r="O564" i="12"/>
  <c r="K564" i="12"/>
  <c r="J585" i="12"/>
  <c r="F534" i="12"/>
  <c r="U409" i="2"/>
  <c r="I474" i="12"/>
  <c r="I188" i="12"/>
  <c r="J453" i="12"/>
  <c r="P266" i="12"/>
  <c r="P296" i="12"/>
  <c r="M289" i="12"/>
  <c r="I408" i="12"/>
  <c r="I591" i="12"/>
  <c r="Q463" i="12"/>
  <c r="T294" i="12"/>
  <c r="O458" i="12"/>
  <c r="I207" i="12"/>
  <c r="P566" i="12"/>
  <c r="S517" i="12"/>
  <c r="M196" i="12"/>
  <c r="K291" i="12"/>
  <c r="O374" i="12"/>
  <c r="M374" i="12"/>
  <c r="P307" i="12"/>
  <c r="J206" i="12"/>
  <c r="G169" i="12"/>
  <c r="S162" i="12"/>
  <c r="N175" i="12"/>
  <c r="N445" i="12"/>
  <c r="F429" i="12"/>
  <c r="U330" i="2"/>
  <c r="T313" i="12"/>
  <c r="M163" i="12"/>
  <c r="P441" i="12"/>
  <c r="K204" i="12"/>
  <c r="T292" i="12"/>
  <c r="G575" i="12"/>
  <c r="L490" i="12"/>
  <c r="T203" i="12"/>
  <c r="L151" i="12"/>
  <c r="T501" i="12"/>
  <c r="F313" i="12"/>
  <c r="U296" i="2"/>
  <c r="P184" i="12"/>
  <c r="L175" i="12"/>
  <c r="N204" i="12"/>
  <c r="G542" i="12"/>
  <c r="G231" i="12"/>
  <c r="M200" i="12"/>
  <c r="O169" i="12"/>
  <c r="K175" i="12"/>
  <c r="P496" i="12"/>
  <c r="X617" i="12"/>
  <c r="Q215" i="12"/>
  <c r="J152" i="12"/>
  <c r="N318" i="12"/>
  <c r="O158" i="12"/>
  <c r="Q375" i="12"/>
  <c r="AL234" i="2"/>
  <c r="S383" i="12"/>
  <c r="P453" i="12"/>
  <c r="J202" i="12"/>
  <c r="T538" i="12"/>
  <c r="K222" i="12"/>
  <c r="N307" i="12"/>
  <c r="Q473" i="12"/>
  <c r="J507" i="12"/>
  <c r="P448" i="12"/>
  <c r="L169" i="12"/>
  <c r="P399" i="12"/>
  <c r="R316" i="12"/>
  <c r="N235" i="12"/>
  <c r="I239" i="12"/>
  <c r="K387" i="12"/>
  <c r="N203" i="12"/>
  <c r="L165" i="12"/>
  <c r="Q500" i="12"/>
  <c r="K169" i="12"/>
  <c r="S375" i="12"/>
  <c r="S237" i="12"/>
  <c r="AB613" i="12"/>
  <c r="P531" i="12"/>
  <c r="K531" i="12"/>
  <c r="I213" i="12"/>
  <c r="P233" i="12"/>
  <c r="S257" i="12"/>
  <c r="R257" i="12"/>
  <c r="Q286" i="12"/>
  <c r="S562" i="12"/>
  <c r="J246" i="12"/>
  <c r="Q427" i="12"/>
  <c r="I203" i="12"/>
  <c r="K507" i="12"/>
  <c r="AA604" i="12"/>
  <c r="K267" i="12"/>
  <c r="F406" i="12"/>
  <c r="U278" i="2"/>
  <c r="R552" i="12"/>
  <c r="Q199" i="12"/>
  <c r="O270" i="12"/>
  <c r="N225" i="12"/>
  <c r="I237" i="12"/>
  <c r="O443" i="12"/>
  <c r="M153" i="12"/>
  <c r="T189" i="12"/>
  <c r="O172" i="12"/>
  <c r="K394" i="12"/>
  <c r="K143" i="12"/>
  <c r="S244" i="12"/>
  <c r="P300" i="12"/>
  <c r="I117" i="12"/>
  <c r="F110" i="12"/>
  <c r="U111" i="2"/>
  <c r="T433" i="12"/>
  <c r="F329" i="12"/>
  <c r="U284" i="2"/>
  <c r="J329" i="12"/>
  <c r="N216" i="12"/>
  <c r="F124" i="12"/>
  <c r="U224" i="2"/>
  <c r="I123" i="12"/>
  <c r="G281" i="12"/>
  <c r="Q155" i="12"/>
  <c r="T126" i="12"/>
  <c r="S135" i="12"/>
  <c r="Q318" i="12"/>
  <c r="K200" i="12"/>
  <c r="I441" i="12"/>
  <c r="L146" i="12"/>
  <c r="M133" i="12"/>
  <c r="Q119" i="12"/>
  <c r="F244" i="12"/>
  <c r="U190" i="2"/>
  <c r="G102" i="12"/>
  <c r="O211" i="12"/>
  <c r="O140" i="12"/>
  <c r="M223" i="12"/>
  <c r="O278" i="12"/>
  <c r="F87" i="12"/>
  <c r="U137" i="2"/>
  <c r="T392" i="12"/>
  <c r="O433" i="12"/>
  <c r="M267" i="12"/>
  <c r="T394" i="12"/>
  <c r="AA610" i="12"/>
  <c r="M168" i="12"/>
  <c r="S144" i="12"/>
  <c r="K150" i="12"/>
  <c r="P244" i="12"/>
  <c r="K145" i="12"/>
  <c r="F102" i="12"/>
  <c r="U179" i="2"/>
  <c r="Q135" i="12"/>
  <c r="K105" i="12"/>
  <c r="F427" i="12"/>
  <c r="M78" i="12"/>
  <c r="N64" i="12"/>
  <c r="J398" i="12"/>
  <c r="F398" i="12"/>
  <c r="U334" i="2"/>
  <c r="S366" i="12"/>
  <c r="G204" i="12"/>
  <c r="G443" i="12"/>
  <c r="O124" i="12"/>
  <c r="J127" i="12"/>
  <c r="J160" i="12"/>
  <c r="N374" i="12"/>
  <c r="P305" i="12"/>
  <c r="N177" i="12"/>
  <c r="L119" i="12"/>
  <c r="L67" i="12"/>
  <c r="M366" i="12"/>
  <c r="S552" i="12"/>
  <c r="Q205" i="12"/>
  <c r="K162" i="12"/>
  <c r="L412" i="12"/>
  <c r="J216" i="12"/>
  <c r="T168" i="12"/>
  <c r="G115" i="12"/>
  <c r="J128" i="12"/>
  <c r="I71" i="12"/>
  <c r="J56" i="12"/>
  <c r="N42" i="12"/>
  <c r="P14" i="12"/>
  <c r="N114" i="12"/>
  <c r="O62" i="12"/>
  <c r="L195" i="12"/>
  <c r="G194" i="12"/>
  <c r="J67" i="12"/>
  <c r="L87" i="12"/>
  <c r="T80" i="12"/>
  <c r="S49" i="12"/>
  <c r="M39" i="12"/>
  <c r="M19" i="12"/>
  <c r="O74" i="12"/>
  <c r="F99" i="12"/>
  <c r="S282" i="12"/>
  <c r="S80" i="12"/>
  <c r="R18" i="12"/>
  <c r="P137" i="12"/>
  <c r="J103" i="12"/>
  <c r="P71" i="12"/>
  <c r="O20" i="12"/>
  <c r="M43" i="12"/>
  <c r="F266" i="12"/>
  <c r="U358" i="2"/>
  <c r="K444" i="12"/>
  <c r="F296" i="12"/>
  <c r="U338" i="2"/>
  <c r="N396" i="12"/>
  <c r="S408" i="12"/>
  <c r="M591" i="12"/>
  <c r="R463" i="12"/>
  <c r="R317" i="12"/>
  <c r="K294" i="12"/>
  <c r="R458" i="12"/>
  <c r="S245" i="12"/>
  <c r="G566" i="12"/>
  <c r="I517" i="12"/>
  <c r="N196" i="12"/>
  <c r="L291" i="12"/>
  <c r="G374" i="12"/>
  <c r="U347" i="2"/>
  <c r="O409" i="12"/>
  <c r="G307" i="12"/>
  <c r="T206" i="12"/>
  <c r="P429" i="12"/>
  <c r="G292" i="12"/>
  <c r="S575" i="12"/>
  <c r="P490" i="12"/>
  <c r="M490" i="12"/>
  <c r="G459" i="12"/>
  <c r="K203" i="12"/>
  <c r="P313" i="12"/>
  <c r="J184" i="12"/>
  <c r="N552" i="12"/>
  <c r="P364" i="12"/>
  <c r="R409" i="12"/>
  <c r="G200" i="12"/>
  <c r="P162" i="12"/>
  <c r="G239" i="12"/>
  <c r="S234" i="12"/>
  <c r="R215" i="12"/>
  <c r="T152" i="12"/>
  <c r="F232" i="12"/>
  <c r="U292" i="2"/>
  <c r="F355" i="12"/>
  <c r="U291" i="2"/>
  <c r="G179" i="12"/>
  <c r="F375" i="12"/>
  <c r="U266" i="2"/>
  <c r="J175" i="12"/>
  <c r="P316" i="12"/>
  <c r="T245" i="12"/>
  <c r="T202" i="12"/>
  <c r="L222" i="12"/>
  <c r="K318" i="12"/>
  <c r="G448" i="12"/>
  <c r="J406" i="12"/>
  <c r="K552" i="12"/>
  <c r="M364" i="12"/>
  <c r="K212" i="12"/>
  <c r="N343" i="12"/>
  <c r="J239" i="12"/>
  <c r="K469" i="12"/>
  <c r="L387" i="12"/>
  <c r="G392" i="12"/>
  <c r="O151" i="12"/>
  <c r="O165" i="12"/>
  <c r="I403" i="12"/>
  <c r="S500" i="12"/>
  <c r="O399" i="12"/>
  <c r="G531" i="12"/>
  <c r="N519" i="12"/>
  <c r="G188" i="12"/>
  <c r="I544" i="12"/>
  <c r="I257" i="12"/>
  <c r="P214" i="12"/>
  <c r="J562" i="12"/>
  <c r="M246" i="12"/>
  <c r="T246" i="12"/>
  <c r="R427" i="12"/>
  <c r="J151" i="12"/>
  <c r="L507" i="12"/>
  <c r="T385" i="12"/>
  <c r="P406" i="12"/>
  <c r="G552" i="12"/>
  <c r="U271" i="2"/>
  <c r="F199" i="12"/>
  <c r="U262" i="2"/>
  <c r="O139" i="12"/>
  <c r="T307" i="12"/>
  <c r="I163" i="12"/>
  <c r="J237" i="12"/>
  <c r="N153" i="12"/>
  <c r="G225" i="12"/>
  <c r="U239" i="2"/>
  <c r="F172" i="12"/>
  <c r="U233" i="2"/>
  <c r="I124" i="12"/>
  <c r="Q168" i="12"/>
  <c r="R141" i="12"/>
  <c r="L143" i="12"/>
  <c r="N145" i="12"/>
  <c r="I82" i="12"/>
  <c r="F275" i="12"/>
  <c r="U156" i="2"/>
  <c r="I136" i="12"/>
  <c r="N506" i="12"/>
  <c r="G329" i="12"/>
  <c r="T329" i="12"/>
  <c r="P204" i="12"/>
  <c r="Q270" i="12"/>
  <c r="J205" i="12"/>
  <c r="G174" i="12"/>
  <c r="O141" i="12"/>
  <c r="S123" i="12"/>
  <c r="F155" i="12"/>
  <c r="U189" i="2"/>
  <c r="N160" i="12"/>
  <c r="R82" i="12"/>
  <c r="I135" i="12"/>
  <c r="P278" i="12"/>
  <c r="S277" i="12"/>
  <c r="G206" i="12"/>
  <c r="G146" i="12"/>
  <c r="N182" i="12"/>
  <c r="M309" i="12"/>
  <c r="P383" i="12"/>
  <c r="T144" i="12"/>
  <c r="F119" i="12"/>
  <c r="U194" i="2"/>
  <c r="P155" i="12"/>
  <c r="L145" i="12"/>
  <c r="N275" i="12"/>
  <c r="Q136" i="12"/>
  <c r="K263" i="12"/>
  <c r="R433" i="12"/>
  <c r="N224" i="12"/>
  <c r="N163" i="12"/>
  <c r="Q237" i="12"/>
  <c r="M159" i="12"/>
  <c r="N428" i="12"/>
  <c r="M182" i="12"/>
  <c r="F301" i="12"/>
  <c r="U231" i="2"/>
  <c r="G394" i="12"/>
  <c r="S191" i="12"/>
  <c r="M141" i="12"/>
  <c r="S407" i="12"/>
  <c r="Q112" i="12"/>
  <c r="AR167" i="2"/>
  <c r="AQ167" i="2"/>
  <c r="G135" i="12"/>
  <c r="N278" i="12"/>
  <c r="K158" i="12"/>
  <c r="O201" i="12"/>
  <c r="T197" i="12"/>
  <c r="K223" i="12"/>
  <c r="O117" i="12"/>
  <c r="N87" i="12"/>
  <c r="J158" i="12"/>
  <c r="Q139" i="12"/>
  <c r="Q443" i="12"/>
  <c r="J189" i="12"/>
  <c r="S301" i="12"/>
  <c r="T273" i="12"/>
  <c r="S305" i="12"/>
  <c r="O177" i="12"/>
  <c r="L407" i="12"/>
  <c r="I142" i="12"/>
  <c r="M250" i="12"/>
  <c r="L219" i="12"/>
  <c r="K190" i="12"/>
  <c r="P260" i="12"/>
  <c r="G216" i="12"/>
  <c r="U230" i="2"/>
  <c r="T142" i="12"/>
  <c r="M82" i="12"/>
  <c r="P552" i="12"/>
  <c r="J412" i="12"/>
  <c r="T130" i="12"/>
  <c r="S373" i="12"/>
  <c r="M288" i="12"/>
  <c r="F412" i="12"/>
  <c r="U250" i="2"/>
  <c r="T216" i="12"/>
  <c r="Q115" i="12"/>
  <c r="S47" i="12"/>
  <c r="O39" i="12"/>
  <c r="S55" i="12"/>
  <c r="N50" i="12"/>
  <c r="S12" i="12"/>
  <c r="T110" i="12"/>
  <c r="T173" i="12"/>
  <c r="T90" i="12"/>
  <c r="N91" i="12"/>
  <c r="M284" i="12"/>
  <c r="L136" i="12"/>
  <c r="T100" i="12"/>
  <c r="P47" i="12"/>
  <c r="L41" i="12"/>
  <c r="M89" i="12"/>
  <c r="L2" i="12"/>
  <c r="Q34" i="12"/>
  <c r="I38" i="12"/>
  <c r="L124" i="12"/>
  <c r="K87" i="12"/>
  <c r="L164" i="12"/>
  <c r="G80" i="12"/>
  <c r="G42" i="12"/>
  <c r="Q30" i="12"/>
  <c r="Q129" i="12"/>
  <c r="K110" i="12"/>
  <c r="U202" i="2"/>
  <c r="K217" i="12"/>
  <c r="R137" i="12"/>
  <c r="R74" i="12"/>
  <c r="M81" i="12"/>
  <c r="O55" i="12"/>
  <c r="L19" i="12"/>
  <c r="L8" i="12"/>
  <c r="O243" i="12"/>
  <c r="K98" i="12"/>
  <c r="L13" i="12"/>
  <c r="I245" i="12"/>
  <c r="Q566" i="12"/>
  <c r="T517" i="12"/>
  <c r="G196" i="12"/>
  <c r="O291" i="12"/>
  <c r="M291" i="12"/>
  <c r="Q374" i="12"/>
  <c r="F409" i="12"/>
  <c r="U320" i="2"/>
  <c r="Q307" i="12"/>
  <c r="G429" i="12"/>
  <c r="G229" i="12"/>
  <c r="S184" i="12"/>
  <c r="Q169" i="12"/>
  <c r="O199" i="12"/>
  <c r="J292" i="12"/>
  <c r="O490" i="12"/>
  <c r="R459" i="12"/>
  <c r="P318" i="12"/>
  <c r="T184" i="12"/>
  <c r="N131" i="12"/>
  <c r="Z619" i="12"/>
  <c r="S307" i="12"/>
  <c r="Q200" i="12"/>
  <c r="S399" i="12"/>
  <c r="I215" i="12"/>
  <c r="S238" i="12"/>
  <c r="K152" i="12"/>
  <c r="N227" i="12"/>
  <c r="P232" i="12"/>
  <c r="X616" i="12"/>
  <c r="N169" i="12"/>
  <c r="O162" i="12"/>
  <c r="I301" i="12"/>
  <c r="Z624" i="12"/>
  <c r="K202" i="12"/>
  <c r="M222" i="12"/>
  <c r="P403" i="12"/>
  <c r="Q448" i="12"/>
  <c r="P267" i="12"/>
  <c r="O200" i="12"/>
  <c r="K131" i="12"/>
  <c r="K441" i="12"/>
  <c r="N176" i="12"/>
  <c r="S270" i="12"/>
  <c r="K239" i="12"/>
  <c r="P257" i="12"/>
  <c r="S368" i="12"/>
  <c r="S198" i="12"/>
  <c r="M387" i="12"/>
  <c r="L409" i="12"/>
  <c r="N229" i="12"/>
  <c r="F165" i="12"/>
  <c r="U306" i="2"/>
  <c r="S402" i="12"/>
  <c r="M184" i="12"/>
  <c r="J552" i="12"/>
  <c r="L364" i="12"/>
  <c r="R399" i="12"/>
  <c r="N316" i="12"/>
  <c r="K544" i="12"/>
  <c r="R531" i="12"/>
  <c r="R188" i="12"/>
  <c r="X666" i="12"/>
  <c r="N256" i="12"/>
  <c r="J257" i="12"/>
  <c r="F214" i="12"/>
  <c r="U392" i="2"/>
  <c r="K512" i="12"/>
  <c r="M562" i="12"/>
  <c r="T562" i="12"/>
  <c r="O246" i="12"/>
  <c r="K246" i="12"/>
  <c r="Q372" i="12"/>
  <c r="I427" i="12"/>
  <c r="L385" i="12"/>
  <c r="T163" i="12"/>
  <c r="G406" i="12"/>
  <c r="R131" i="12"/>
  <c r="P420" i="12"/>
  <c r="S394" i="12"/>
  <c r="K237" i="12"/>
  <c r="J428" i="12"/>
  <c r="K153" i="12"/>
  <c r="R225" i="12"/>
  <c r="P172" i="12"/>
  <c r="I177" i="12"/>
  <c r="I281" i="12"/>
  <c r="R155" i="12"/>
  <c r="I102" i="12"/>
  <c r="J132" i="12"/>
  <c r="G219" i="12"/>
  <c r="P507" i="12"/>
  <c r="O166" i="12"/>
  <c r="AA614" i="12"/>
  <c r="J123" i="12"/>
  <c r="P312" i="12"/>
  <c r="Q149" i="12"/>
  <c r="S132" i="12"/>
  <c r="F278" i="12"/>
  <c r="U148" i="2"/>
  <c r="F392" i="12"/>
  <c r="J169" i="12"/>
  <c r="N146" i="12"/>
  <c r="Q146" i="12"/>
  <c r="O189" i="12"/>
  <c r="F309" i="12"/>
  <c r="U232" i="2"/>
  <c r="R383" i="12"/>
  <c r="N141" i="12"/>
  <c r="T281" i="12"/>
  <c r="P119" i="12"/>
  <c r="R112" i="12"/>
  <c r="P170" i="12"/>
  <c r="P67" i="12"/>
  <c r="O219" i="12"/>
  <c r="P125" i="12"/>
  <c r="M121" i="12"/>
  <c r="G136" i="12"/>
  <c r="N103" i="12"/>
  <c r="S473" i="12"/>
  <c r="L433" i="12"/>
  <c r="F500" i="12"/>
  <c r="U276" i="2"/>
  <c r="Q288" i="12"/>
  <c r="N159" i="12"/>
  <c r="P428" i="12"/>
  <c r="N189" i="12"/>
  <c r="L216" i="12"/>
  <c r="M343" i="12"/>
  <c r="P302" i="12"/>
  <c r="S177" i="12"/>
  <c r="N183" i="12"/>
  <c r="O155" i="12"/>
  <c r="Q126" i="12"/>
  <c r="G112" i="12"/>
  <c r="M282" i="12"/>
  <c r="U268" i="2"/>
  <c r="Q412" i="12"/>
  <c r="K133" i="12"/>
  <c r="F205" i="12"/>
  <c r="U236" i="2"/>
  <c r="J120" i="12"/>
  <c r="L191" i="12"/>
  <c r="J150" i="12"/>
  <c r="AA665" i="12"/>
  <c r="K261" i="12"/>
  <c r="N170" i="12"/>
  <c r="M140" i="12"/>
  <c r="L275" i="12"/>
  <c r="L110" i="12"/>
  <c r="N122" i="12"/>
  <c r="R398" i="12"/>
  <c r="G398" i="12"/>
  <c r="K225" i="12"/>
  <c r="I120" i="12"/>
  <c r="R187" i="12"/>
  <c r="G407" i="12"/>
  <c r="U198" i="2"/>
  <c r="Z665" i="12"/>
  <c r="M328" i="12"/>
  <c r="G190" i="12"/>
  <c r="S205" i="12"/>
  <c r="N174" i="12"/>
  <c r="N116" i="12"/>
  <c r="N132" i="12"/>
  <c r="N424" i="12"/>
  <c r="K424" i="12"/>
  <c r="S131" i="12"/>
  <c r="S165" i="12"/>
  <c r="I373" i="12"/>
  <c r="P146" i="12"/>
  <c r="J272" i="12"/>
  <c r="S204" i="12"/>
  <c r="K116" i="12"/>
  <c r="F47" i="12"/>
  <c r="U101" i="2"/>
  <c r="G39" i="12"/>
  <c r="U66" i="2"/>
  <c r="K125" i="12"/>
  <c r="Q45" i="12"/>
  <c r="R21" i="12"/>
  <c r="R127" i="12"/>
  <c r="N218" i="12"/>
  <c r="S63" i="12"/>
  <c r="J7" i="12"/>
  <c r="I51" i="12"/>
  <c r="J38" i="12"/>
  <c r="Q243" i="12"/>
  <c r="I106" i="12"/>
  <c r="N284" i="12"/>
  <c r="R90" i="12"/>
  <c r="R63" i="12"/>
  <c r="F34" i="12"/>
  <c r="U50" i="2"/>
  <c r="K103" i="12"/>
  <c r="M93" i="12"/>
  <c r="P46" i="12"/>
  <c r="O40" i="12"/>
  <c r="F30" i="12"/>
  <c r="U61" i="2"/>
  <c r="M13" i="12"/>
  <c r="X649" i="12"/>
  <c r="AL199" i="2"/>
  <c r="L185" i="12"/>
  <c r="R42" i="12"/>
  <c r="G74" i="12"/>
  <c r="O18" i="12"/>
  <c r="T83" i="12"/>
  <c r="Q38" i="12"/>
  <c r="Q196" i="12"/>
  <c r="G291" i="12"/>
  <c r="R374" i="12"/>
  <c r="P409" i="12"/>
  <c r="R307" i="12"/>
  <c r="T318" i="12"/>
  <c r="Q429" i="12"/>
  <c r="Q229" i="12"/>
  <c r="Z658" i="12"/>
  <c r="F169" i="12"/>
  <c r="U272" i="2"/>
  <c r="I575" i="12"/>
  <c r="G490" i="12"/>
  <c r="K184" i="12"/>
  <c r="O441" i="12"/>
  <c r="R200" i="12"/>
  <c r="O531" i="12"/>
  <c r="Z617" i="12"/>
  <c r="S215" i="12"/>
  <c r="N409" i="12"/>
  <c r="L152" i="12"/>
  <c r="G165" i="12"/>
  <c r="G232" i="12"/>
  <c r="J162" i="12"/>
  <c r="Q399" i="12"/>
  <c r="T270" i="12"/>
  <c r="T257" i="12"/>
  <c r="L202" i="12"/>
  <c r="S152" i="12"/>
  <c r="R203" i="12"/>
  <c r="O506" i="12"/>
  <c r="N403" i="12"/>
  <c r="T500" i="12"/>
  <c r="K154" i="12"/>
  <c r="N302" i="12"/>
  <c r="L239" i="12"/>
  <c r="P457" i="12"/>
  <c r="S538" i="12"/>
  <c r="O387" i="12"/>
  <c r="M307" i="12"/>
  <c r="P165" i="12"/>
  <c r="M313" i="12"/>
  <c r="K402" i="12"/>
  <c r="S531" i="12"/>
  <c r="G254" i="12"/>
  <c r="P248" i="12"/>
  <c r="K257" i="12"/>
  <c r="G214" i="12"/>
  <c r="O562" i="12"/>
  <c r="K562" i="12"/>
  <c r="F246" i="12"/>
  <c r="U339" i="2"/>
  <c r="S427" i="12"/>
  <c r="M385" i="12"/>
  <c r="F163" i="12"/>
  <c r="U281" i="2"/>
  <c r="Q406" i="12"/>
  <c r="G131" i="12"/>
  <c r="U270" i="2"/>
  <c r="I394" i="12"/>
  <c r="S118" i="12"/>
  <c r="M146" i="12"/>
  <c r="G212" i="12"/>
  <c r="G270" i="12"/>
  <c r="AA613" i="12"/>
  <c r="G172" i="12"/>
  <c r="AB612" i="12"/>
  <c r="I299" i="12"/>
  <c r="G155" i="12"/>
  <c r="J112" i="12"/>
  <c r="X643" i="12"/>
  <c r="AL121" i="2"/>
  <c r="J313" i="12"/>
  <c r="K329" i="12"/>
  <c r="G163" i="12"/>
  <c r="I158" i="12"/>
  <c r="F159" i="12"/>
  <c r="U253" i="2"/>
  <c r="Q383" i="12"/>
  <c r="T123" i="12"/>
  <c r="I407" i="12"/>
  <c r="F149" i="12"/>
  <c r="U181" i="2"/>
  <c r="I132" i="12"/>
  <c r="N223" i="12"/>
  <c r="Q125" i="12"/>
  <c r="P78" i="12"/>
  <c r="I313" i="12"/>
  <c r="I552" i="12"/>
  <c r="F146" i="12"/>
  <c r="U258" i="2"/>
  <c r="J176" i="12"/>
  <c r="P309" i="12"/>
  <c r="I383" i="12"/>
  <c r="T177" i="12"/>
  <c r="K119" i="12"/>
  <c r="R126" i="12"/>
  <c r="F170" i="12"/>
  <c r="U171" i="2"/>
  <c r="F67" i="12"/>
  <c r="U163" i="2"/>
  <c r="F125" i="12"/>
  <c r="U147" i="2"/>
  <c r="N128" i="12"/>
  <c r="I355" i="12"/>
  <c r="R224" i="12"/>
  <c r="G500" i="12"/>
  <c r="L159" i="12"/>
  <c r="F428" i="12"/>
  <c r="U247" i="2"/>
  <c r="S124" i="12"/>
  <c r="S167" i="12"/>
  <c r="M177" i="12"/>
  <c r="L155" i="12"/>
  <c r="O149" i="12"/>
  <c r="N211" i="12"/>
  <c r="K197" i="12"/>
  <c r="L246" i="12"/>
  <c r="K182" i="12"/>
  <c r="Z610" i="12"/>
  <c r="S187" i="12"/>
  <c r="R407" i="12"/>
  <c r="Q116" i="12"/>
  <c r="P112" i="12"/>
  <c r="N67" i="12"/>
  <c r="M219" i="12"/>
  <c r="T88" i="12"/>
  <c r="T398" i="12"/>
  <c r="Q398" i="12"/>
  <c r="S154" i="12"/>
  <c r="M443" i="12"/>
  <c r="S201" i="12"/>
  <c r="F187" i="12"/>
  <c r="U203" i="2"/>
  <c r="Q407" i="12"/>
  <c r="P116" i="12"/>
  <c r="M67" i="12"/>
  <c r="R190" i="12"/>
  <c r="G166" i="12"/>
  <c r="R205" i="12"/>
  <c r="S160" i="12"/>
  <c r="O424" i="12"/>
  <c r="L424" i="12"/>
  <c r="U244" i="2"/>
  <c r="Q130" i="12"/>
  <c r="T244" i="12"/>
  <c r="S170" i="12"/>
  <c r="J84" i="12"/>
  <c r="N109" i="12"/>
  <c r="F223" i="12"/>
  <c r="AB614" i="12"/>
  <c r="L126" i="12"/>
  <c r="I42" i="12"/>
  <c r="R72" i="12"/>
  <c r="F44" i="12"/>
  <c r="U43" i="2"/>
  <c r="F50" i="12"/>
  <c r="Z614" i="12"/>
  <c r="I90" i="12"/>
  <c r="G63" i="12"/>
  <c r="G34" i="12"/>
  <c r="R8" i="12"/>
  <c r="R211" i="12"/>
  <c r="R130" i="12"/>
  <c r="R506" i="12"/>
  <c r="R108" i="12"/>
  <c r="R201" i="12"/>
  <c r="R175" i="12"/>
  <c r="R448" i="12"/>
  <c r="R159" i="12"/>
  <c r="R243" i="12"/>
  <c r="R197" i="12"/>
  <c r="R406" i="12"/>
  <c r="R329" i="12"/>
  <c r="R524" i="12"/>
  <c r="R428" i="12"/>
  <c r="R429" i="12"/>
  <c r="R209" i="12"/>
  <c r="R312" i="12"/>
  <c r="R420" i="12"/>
  <c r="R199" i="12"/>
  <c r="R62" i="12"/>
  <c r="R170" i="12"/>
  <c r="R195" i="12"/>
  <c r="AA629" i="12"/>
  <c r="S100" i="12"/>
  <c r="I46" i="12"/>
  <c r="J109" i="12"/>
  <c r="X629" i="12"/>
  <c r="P91" i="12"/>
  <c r="Q94" i="12"/>
  <c r="AA653" i="12"/>
  <c r="F208" i="12"/>
  <c r="L245" i="12"/>
  <c r="T469" i="12"/>
  <c r="G346" i="12"/>
  <c r="M325" i="12"/>
  <c r="J372" i="12"/>
  <c r="J413" i="12"/>
  <c r="N501" i="12"/>
  <c r="N267" i="12"/>
  <c r="S335" i="12"/>
  <c r="Q564" i="12"/>
  <c r="R585" i="12"/>
  <c r="F320" i="12"/>
  <c r="U414" i="2"/>
  <c r="L544" i="12"/>
  <c r="Q410" i="12"/>
  <c r="Q519" i="12"/>
  <c r="N524" i="12"/>
  <c r="J591" i="12"/>
  <c r="J463" i="12"/>
  <c r="O317" i="12"/>
  <c r="S566" i="12"/>
  <c r="P517" i="12"/>
  <c r="K517" i="12"/>
  <c r="S196" i="12"/>
  <c r="Q291" i="12"/>
  <c r="T444" i="12"/>
  <c r="I374" i="12"/>
  <c r="G409" i="12"/>
  <c r="K307" i="12"/>
  <c r="R318" i="12"/>
  <c r="S276" i="12"/>
  <c r="N215" i="12"/>
  <c r="S272" i="12"/>
  <c r="I429" i="12"/>
  <c r="T427" i="12"/>
  <c r="R229" i="12"/>
  <c r="J399" i="12"/>
  <c r="K292" i="12"/>
  <c r="T575" i="12"/>
  <c r="R490" i="12"/>
  <c r="O203" i="12"/>
  <c r="F151" i="12"/>
  <c r="U310" i="2"/>
  <c r="G403" i="12"/>
  <c r="X658" i="12"/>
  <c r="S247" i="12"/>
  <c r="P163" i="12"/>
  <c r="T399" i="12"/>
  <c r="S316" i="12"/>
  <c r="P263" i="12"/>
  <c r="M206" i="12"/>
  <c r="S498" i="12"/>
  <c r="AA617" i="12"/>
  <c r="J215" i="12"/>
  <c r="O307" i="12"/>
  <c r="O152" i="12"/>
  <c r="Q232" i="12"/>
  <c r="G402" i="12"/>
  <c r="T162" i="12"/>
  <c r="F399" i="12"/>
  <c r="U257" i="2"/>
  <c r="S341" i="12"/>
  <c r="O202" i="12"/>
  <c r="M202" i="12"/>
  <c r="T207" i="12"/>
  <c r="K473" i="12"/>
  <c r="S151" i="12"/>
  <c r="F506" i="12"/>
  <c r="U302" i="2"/>
  <c r="G277" i="12"/>
  <c r="N184" i="12"/>
  <c r="J199" i="12"/>
  <c r="M239" i="12"/>
  <c r="P519" i="12"/>
  <c r="S474" i="12"/>
  <c r="T438" i="12"/>
  <c r="F387" i="12"/>
  <c r="U324" i="2"/>
  <c r="J427" i="12"/>
  <c r="R97" i="12"/>
  <c r="J269" i="12"/>
  <c r="S448" i="12"/>
  <c r="T355" i="12"/>
  <c r="L402" i="12"/>
  <c r="P391" i="12"/>
  <c r="J131" i="12"/>
  <c r="J441" i="12"/>
  <c r="K288" i="12"/>
  <c r="I254" i="12"/>
  <c r="I531" i="12"/>
  <c r="J548" i="12"/>
  <c r="N291" i="12"/>
  <c r="N410" i="12"/>
  <c r="J368" i="12"/>
  <c r="F248" i="12"/>
  <c r="U401" i="2"/>
  <c r="L257" i="12"/>
  <c r="R214" i="12"/>
  <c r="Q476" i="12"/>
  <c r="F562" i="12"/>
  <c r="U359" i="2"/>
  <c r="P246" i="12"/>
  <c r="Q392" i="12"/>
  <c r="L427" i="12"/>
  <c r="F229" i="12"/>
  <c r="U309" i="2"/>
  <c r="J501" i="12"/>
  <c r="K403" i="12"/>
  <c r="F385" i="12"/>
  <c r="U287" i="2"/>
  <c r="J200" i="12"/>
  <c r="P175" i="12"/>
  <c r="R288" i="12"/>
  <c r="T343" i="12"/>
  <c r="I118" i="12"/>
  <c r="S150" i="12"/>
  <c r="P291" i="12"/>
  <c r="G399" i="12"/>
  <c r="R270" i="12"/>
  <c r="I201" i="12"/>
  <c r="Q172" i="12"/>
  <c r="I191" i="12"/>
  <c r="R123" i="12"/>
  <c r="Q312" i="12"/>
  <c r="F103" i="12"/>
  <c r="U120" i="2"/>
  <c r="T226" i="12"/>
  <c r="T178" i="12"/>
  <c r="L329" i="12"/>
  <c r="S182" i="12"/>
  <c r="S172" i="12"/>
  <c r="J394" i="12"/>
  <c r="AA612" i="12"/>
  <c r="N383" i="12"/>
  <c r="F177" i="12"/>
  <c r="U206" i="2"/>
  <c r="P183" i="12"/>
  <c r="N142" i="12"/>
  <c r="Q250" i="12"/>
  <c r="F78" i="12"/>
  <c r="U138" i="2"/>
  <c r="Q64" i="12"/>
  <c r="J207" i="12"/>
  <c r="N448" i="12"/>
  <c r="R146" i="12"/>
  <c r="S288" i="12"/>
  <c r="X613" i="12"/>
  <c r="G309" i="12"/>
  <c r="Z612" i="12"/>
  <c r="G305" i="12"/>
  <c r="U214" i="2"/>
  <c r="F281" i="12"/>
  <c r="G126" i="12"/>
  <c r="U182" i="2"/>
  <c r="K384" i="12"/>
  <c r="Q82" i="12"/>
  <c r="Q104" i="12"/>
  <c r="P328" i="12"/>
  <c r="Q117" i="12"/>
  <c r="Q165" i="12"/>
  <c r="F433" i="12"/>
  <c r="U305" i="2"/>
  <c r="J355" i="12"/>
  <c r="I224" i="12"/>
  <c r="J500" i="12"/>
  <c r="P159" i="12"/>
  <c r="Q428" i="12"/>
  <c r="AQ238" i="2"/>
  <c r="R174" i="12"/>
  <c r="M124" i="12"/>
  <c r="L167" i="12"/>
  <c r="P118" i="12"/>
  <c r="G177" i="12"/>
  <c r="J341" i="12"/>
  <c r="N312" i="12"/>
  <c r="J149" i="12"/>
  <c r="T384" i="12"/>
  <c r="N140" i="12"/>
  <c r="K243" i="12"/>
  <c r="P452" i="12"/>
  <c r="I165" i="12"/>
  <c r="I162" i="12"/>
  <c r="L189" i="12"/>
  <c r="M302" i="12"/>
  <c r="R144" i="12"/>
  <c r="J145" i="12"/>
  <c r="F112" i="12"/>
  <c r="U178" i="2"/>
  <c r="N328" i="12"/>
  <c r="I398" i="12"/>
  <c r="M429" i="12"/>
  <c r="R260" i="12"/>
  <c r="P373" i="12"/>
  <c r="P443" i="12"/>
  <c r="K270" i="12"/>
  <c r="O167" i="12"/>
  <c r="I168" i="12"/>
  <c r="P187" i="12"/>
  <c r="K183" i="12"/>
  <c r="N104" i="12"/>
  <c r="I179" i="12"/>
  <c r="K316" i="12"/>
  <c r="R166" i="12"/>
  <c r="K205" i="12"/>
  <c r="I143" i="12"/>
  <c r="I160" i="12"/>
  <c r="S424" i="12"/>
  <c r="S387" i="12"/>
  <c r="F270" i="12"/>
  <c r="Q182" i="12"/>
  <c r="Q189" i="12"/>
  <c r="G302" i="12"/>
  <c r="M187" i="12"/>
  <c r="Q300" i="12"/>
  <c r="I170" i="12"/>
  <c r="AB665" i="12"/>
  <c r="P105" i="12"/>
  <c r="T84" i="12"/>
  <c r="X659" i="12"/>
  <c r="AL71" i="2"/>
  <c r="O45" i="12"/>
  <c r="M2" i="12"/>
  <c r="Q106" i="12"/>
  <c r="G7" i="12"/>
  <c r="G282" i="12"/>
  <c r="G391" i="12"/>
  <c r="G153" i="12"/>
  <c r="G250" i="12"/>
  <c r="G168" i="12"/>
  <c r="G197" i="12"/>
  <c r="G234" i="12"/>
  <c r="G175" i="12"/>
  <c r="G445" i="12"/>
  <c r="G243" i="12"/>
  <c r="G261" i="12"/>
  <c r="G312" i="12"/>
  <c r="G318" i="12"/>
  <c r="G150" i="12"/>
  <c r="G343" i="12"/>
  <c r="G130" i="12"/>
  <c r="G84" i="12"/>
  <c r="P21" i="12"/>
  <c r="P76" i="12"/>
  <c r="S98" i="12"/>
  <c r="AA652" i="12"/>
  <c r="K26" i="12"/>
  <c r="K459" i="12"/>
  <c r="K88" i="12"/>
  <c r="K155" i="12"/>
  <c r="K428" i="12"/>
  <c r="K176" i="12"/>
  <c r="K211" i="12"/>
  <c r="K123" i="12"/>
  <c r="K172" i="12"/>
  <c r="K132" i="12"/>
  <c r="K309" i="12"/>
  <c r="K78" i="12"/>
  <c r="O22" i="12"/>
  <c r="O119" i="12"/>
  <c r="O383" i="12"/>
  <c r="O473" i="12"/>
  <c r="O428" i="12"/>
  <c r="O147" i="12"/>
  <c r="O407" i="12"/>
  <c r="O448" i="12"/>
  <c r="O87" i="12"/>
  <c r="O108" i="12"/>
  <c r="O341" i="12"/>
  <c r="O159" i="12"/>
  <c r="O500" i="12"/>
  <c r="P108" i="12"/>
  <c r="J125" i="12"/>
  <c r="S95" i="12"/>
  <c r="N61" i="12"/>
  <c r="S9" i="12"/>
  <c r="R148" i="12"/>
  <c r="K15" i="12"/>
  <c r="N44" i="12"/>
  <c r="I119" i="12"/>
  <c r="I67" i="12"/>
  <c r="R100" i="12"/>
  <c r="K101" i="12"/>
  <c r="T98" i="12"/>
  <c r="I107" i="12"/>
  <c r="N173" i="12"/>
  <c r="R48" i="12"/>
  <c r="R26" i="12"/>
  <c r="AA620" i="12"/>
  <c r="T278" i="12"/>
  <c r="X639" i="12"/>
  <c r="Q591" i="12"/>
  <c r="T591" i="12"/>
  <c r="T463" i="12"/>
  <c r="F317" i="12"/>
  <c r="U433" i="2"/>
  <c r="J566" i="12"/>
  <c r="N292" i="12"/>
  <c r="F517" i="12"/>
  <c r="U393" i="2"/>
  <c r="M517" i="12"/>
  <c r="I196" i="12"/>
  <c r="R291" i="12"/>
  <c r="S374" i="12"/>
  <c r="Q409" i="12"/>
  <c r="L307" i="12"/>
  <c r="I318" i="12"/>
  <c r="S429" i="12"/>
  <c r="I229" i="12"/>
  <c r="P131" i="12"/>
  <c r="J375" i="12"/>
  <c r="L292" i="12"/>
  <c r="J575" i="12"/>
  <c r="S490" i="12"/>
  <c r="F203" i="12"/>
  <c r="U311" i="2"/>
  <c r="P151" i="12"/>
  <c r="AL293" i="2"/>
  <c r="N206" i="12"/>
  <c r="N199" i="12"/>
  <c r="G316" i="12"/>
  <c r="N385" i="12"/>
  <c r="T179" i="12"/>
  <c r="S391" i="12"/>
  <c r="O364" i="12"/>
  <c r="G249" i="12"/>
  <c r="G233" i="12"/>
  <c r="AB617" i="12"/>
  <c r="M215" i="12"/>
  <c r="T215" i="12"/>
  <c r="T396" i="12"/>
  <c r="N427" i="12"/>
  <c r="F152" i="12"/>
  <c r="U315" i="2"/>
  <c r="J232" i="12"/>
  <c r="K385" i="12"/>
  <c r="K406" i="12"/>
  <c r="N364" i="12"/>
  <c r="O176" i="12"/>
  <c r="I225" i="12"/>
  <c r="S273" i="12"/>
  <c r="G202" i="12"/>
  <c r="G222" i="12"/>
  <c r="L473" i="12"/>
  <c r="O229" i="12"/>
  <c r="P506" i="12"/>
  <c r="N313" i="12"/>
  <c r="S232" i="12"/>
  <c r="K206" i="12"/>
  <c r="J262" i="12"/>
  <c r="T420" i="12"/>
  <c r="L288" i="12"/>
  <c r="N239" i="12"/>
  <c r="K214" i="12"/>
  <c r="N562" i="12"/>
  <c r="P387" i="12"/>
  <c r="I97" i="12"/>
  <c r="G355" i="12"/>
  <c r="O402" i="12"/>
  <c r="J391" i="12"/>
  <c r="T199" i="12"/>
  <c r="T204" i="12"/>
  <c r="T531" i="12"/>
  <c r="I553" i="12"/>
  <c r="J245" i="12"/>
  <c r="U381" i="2"/>
  <c r="I228" i="12"/>
  <c r="S336" i="12"/>
  <c r="R248" i="12"/>
  <c r="M257" i="12"/>
  <c r="I214" i="12"/>
  <c r="P562" i="12"/>
  <c r="G246" i="12"/>
  <c r="S392" i="12"/>
  <c r="M427" i="12"/>
  <c r="K227" i="12"/>
  <c r="Q277" i="12"/>
  <c r="P385" i="12"/>
  <c r="R154" i="12"/>
  <c r="O237" i="12"/>
  <c r="G288" i="12"/>
  <c r="U255" i="2"/>
  <c r="X645" i="12"/>
  <c r="AL251" i="2"/>
  <c r="S130" i="12"/>
  <c r="J343" i="12"/>
  <c r="T235" i="12"/>
  <c r="I150" i="12"/>
  <c r="F269" i="12"/>
  <c r="I399" i="12"/>
  <c r="P153" i="12"/>
  <c r="I270" i="12"/>
  <c r="N205" i="12"/>
  <c r="I309" i="12"/>
  <c r="P120" i="12"/>
  <c r="L187" i="12"/>
  <c r="S119" i="12"/>
  <c r="F312" i="12"/>
  <c r="U188" i="2"/>
  <c r="G140" i="12"/>
  <c r="P222" i="12"/>
  <c r="M329" i="12"/>
  <c r="S189" i="12"/>
  <c r="O120" i="12"/>
  <c r="M183" i="12"/>
  <c r="N127" i="12"/>
  <c r="P140" i="12"/>
  <c r="R117" i="12"/>
  <c r="Q87" i="12"/>
  <c r="I238" i="12"/>
  <c r="K426" i="12"/>
  <c r="S178" i="12"/>
  <c r="S262" i="12"/>
  <c r="S146" i="12"/>
  <c r="L443" i="12"/>
  <c r="I205" i="12"/>
  <c r="Q309" i="12"/>
  <c r="N120" i="12"/>
  <c r="N168" i="12"/>
  <c r="L150" i="12"/>
  <c r="P149" i="12"/>
  <c r="L108" i="12"/>
  <c r="G82" i="12"/>
  <c r="G104" i="12"/>
  <c r="F328" i="12"/>
  <c r="U154" i="2"/>
  <c r="G117" i="12"/>
  <c r="L94" i="12"/>
  <c r="G238" i="12"/>
  <c r="S433" i="12"/>
  <c r="P433" i="12"/>
  <c r="P224" i="12"/>
  <c r="S224" i="12"/>
  <c r="K500" i="12"/>
  <c r="F139" i="12"/>
  <c r="I428" i="12"/>
  <c r="F174" i="12"/>
  <c r="U229" i="2"/>
  <c r="G124" i="12"/>
  <c r="F167" i="12"/>
  <c r="U217" i="2"/>
  <c r="N118" i="12"/>
  <c r="Q177" i="12"/>
  <c r="L127" i="12"/>
  <c r="T149" i="12"/>
  <c r="J384" i="12"/>
  <c r="L223" i="12"/>
  <c r="L121" i="12"/>
  <c r="I452" i="12"/>
  <c r="L501" i="12"/>
  <c r="J364" i="12"/>
  <c r="G201" i="12"/>
  <c r="U237" i="2"/>
  <c r="M383" i="12"/>
  <c r="K144" i="12"/>
  <c r="P126" i="12"/>
  <c r="S384" i="12"/>
  <c r="T105" i="12"/>
  <c r="K121" i="12"/>
  <c r="F443" i="12"/>
  <c r="U249" i="2"/>
  <c r="P191" i="12"/>
  <c r="J187" i="12"/>
  <c r="T116" i="12"/>
  <c r="M87" i="12"/>
  <c r="Q152" i="12"/>
  <c r="S166" i="12"/>
  <c r="X610" i="12"/>
  <c r="L149" i="12"/>
  <c r="T282" i="12"/>
  <c r="F424" i="12"/>
  <c r="U329" i="2"/>
  <c r="J307" i="12"/>
  <c r="O260" i="12"/>
  <c r="K260" i="12"/>
  <c r="R189" i="12"/>
  <c r="I269" i="12"/>
  <c r="Q211" i="12"/>
  <c r="N105" i="12"/>
  <c r="AB643" i="12"/>
  <c r="I45" i="12"/>
  <c r="Z653" i="12"/>
  <c r="S168" i="12"/>
  <c r="G5" i="12"/>
  <c r="G76" i="12"/>
  <c r="K27" i="12"/>
  <c r="F197" i="12"/>
  <c r="O185" i="12"/>
  <c r="O221" i="12"/>
  <c r="G89" i="12"/>
  <c r="U88" i="2"/>
  <c r="N39" i="12"/>
  <c r="R55" i="12"/>
  <c r="M41" i="12"/>
  <c r="M119" i="12"/>
  <c r="M506" i="12"/>
  <c r="M170" i="12"/>
  <c r="M275" i="12"/>
  <c r="M125" i="12"/>
  <c r="M413" i="12"/>
  <c r="M244" i="12"/>
  <c r="M316" i="12"/>
  <c r="M301" i="12"/>
  <c r="M104" i="12"/>
  <c r="M391" i="12"/>
  <c r="M92" i="12"/>
  <c r="M116" i="12"/>
  <c r="M375" i="12"/>
  <c r="S25" i="12"/>
  <c r="L21" i="12"/>
  <c r="L123" i="12"/>
  <c r="L302" i="12"/>
  <c r="L203" i="12"/>
  <c r="L204" i="12"/>
  <c r="L305" i="12"/>
  <c r="L394" i="12"/>
  <c r="L162" i="12"/>
  <c r="L170" i="12"/>
  <c r="L118" i="12"/>
  <c r="L227" i="12"/>
  <c r="L301" i="12"/>
  <c r="L309" i="12"/>
  <c r="L429" i="12"/>
  <c r="L403" i="12"/>
  <c r="L299" i="12"/>
  <c r="L33" i="12"/>
  <c r="J106" i="12"/>
  <c r="J108" i="12"/>
  <c r="J95" i="12"/>
  <c r="F15" i="12"/>
  <c r="U25" i="2"/>
  <c r="F420" i="12"/>
  <c r="F127" i="12"/>
  <c r="F123" i="12"/>
  <c r="F175" i="12"/>
  <c r="F288" i="12"/>
  <c r="F383" i="12"/>
  <c r="F374" i="12"/>
  <c r="F262" i="12"/>
  <c r="F507" i="12"/>
  <c r="L86" i="12"/>
  <c r="S14" i="12"/>
  <c r="P148" i="12"/>
  <c r="R145" i="12"/>
  <c r="J79" i="12"/>
  <c r="G48" i="12"/>
  <c r="R32" i="12"/>
  <c r="P9" i="12"/>
  <c r="R167" i="12"/>
  <c r="O129" i="12"/>
  <c r="M53" i="12"/>
  <c r="N72" i="12"/>
  <c r="N18" i="12"/>
  <c r="N54" i="12"/>
  <c r="O3" i="12"/>
  <c r="T10" i="3"/>
  <c r="N48" i="12"/>
  <c r="P113" i="12"/>
  <c r="N208" i="12"/>
  <c r="G73" i="12"/>
  <c r="O90" i="12"/>
  <c r="I134" i="12"/>
  <c r="L80" i="12"/>
  <c r="N46" i="12"/>
  <c r="M40" i="12"/>
  <c r="N81" i="12"/>
  <c r="I101" i="12"/>
  <c r="M161" i="12"/>
  <c r="P28" i="12"/>
  <c r="L29" i="12"/>
  <c r="S70" i="12"/>
  <c r="K173" i="12"/>
  <c r="L30" i="12"/>
  <c r="I17" i="12"/>
  <c r="R79" i="12"/>
  <c r="R150" i="12"/>
  <c r="S67" i="12"/>
  <c r="X661" i="12"/>
  <c r="F185" i="12"/>
  <c r="U144" i="2"/>
  <c r="P95" i="12"/>
  <c r="G77" i="12"/>
  <c r="M64" i="12"/>
  <c r="I84" i="12"/>
  <c r="L173" i="12"/>
  <c r="N53" i="12"/>
  <c r="Q181" i="12"/>
  <c r="R60" i="12"/>
  <c r="N63" i="12"/>
  <c r="S101" i="12"/>
  <c r="L35" i="12"/>
  <c r="O54" i="12"/>
  <c r="L161" i="12"/>
  <c r="Q21" i="12"/>
  <c r="L100" i="12"/>
  <c r="G50" i="12"/>
  <c r="K32" i="12"/>
  <c r="P83" i="12"/>
  <c r="I43" i="12"/>
  <c r="O384" i="12"/>
  <c r="S219" i="12"/>
  <c r="R278" i="12"/>
  <c r="T78" i="12"/>
  <c r="J114" i="12"/>
  <c r="L174" i="12"/>
  <c r="N352" i="12"/>
  <c r="P143" i="12"/>
  <c r="M193" i="12"/>
  <c r="I75" i="12"/>
  <c r="M186" i="12"/>
  <c r="K221" i="12"/>
  <c r="Q164" i="12"/>
  <c r="T93" i="12"/>
  <c r="P157" i="12"/>
  <c r="Q273" i="12"/>
  <c r="R299" i="12"/>
  <c r="F297" i="12"/>
  <c r="U183" i="2"/>
  <c r="N149" i="12"/>
  <c r="Z606" i="12"/>
  <c r="L117" i="12"/>
  <c r="T77" i="12"/>
  <c r="P217" i="12"/>
  <c r="G192" i="12"/>
  <c r="R218" i="12"/>
  <c r="M74" i="12"/>
  <c r="Q62" i="12"/>
  <c r="S107" i="12"/>
  <c r="AQ51" i="2"/>
  <c r="AR51" i="2"/>
  <c r="I41" i="12"/>
  <c r="G91" i="12"/>
  <c r="N21" i="12"/>
  <c r="S15" i="12"/>
  <c r="I13" i="12"/>
  <c r="I11" i="12"/>
  <c r="N4" i="12"/>
  <c r="M28" i="12"/>
  <c r="F134" i="12"/>
  <c r="R66" i="12"/>
  <c r="K8" i="12"/>
  <c r="Q221" i="12"/>
  <c r="P12" i="12"/>
  <c r="O52" i="12"/>
  <c r="I83" i="12"/>
  <c r="I181" i="12"/>
  <c r="P107" i="12"/>
  <c r="O181" i="12"/>
  <c r="P352" i="12"/>
  <c r="F145" i="12"/>
  <c r="G67" i="12"/>
  <c r="P185" i="12"/>
  <c r="F193" i="12"/>
  <c r="U142" i="2"/>
  <c r="P111" i="12"/>
  <c r="N195" i="12"/>
  <c r="N90" i="12"/>
  <c r="P134" i="12"/>
  <c r="Q68" i="12"/>
  <c r="G60" i="12"/>
  <c r="L81" i="12"/>
  <c r="N30" i="12"/>
  <c r="J54" i="12"/>
  <c r="N80" i="12"/>
  <c r="O48" i="12"/>
  <c r="F156" i="12"/>
  <c r="I29" i="12"/>
  <c r="O183" i="12"/>
  <c r="S328" i="12"/>
  <c r="T117" i="12"/>
  <c r="T114" i="12"/>
  <c r="G86" i="12"/>
  <c r="M352" i="12"/>
  <c r="T183" i="12"/>
  <c r="I211" i="12"/>
  <c r="O310" i="12"/>
  <c r="G88" i="12"/>
  <c r="S75" i="12"/>
  <c r="L221" i="12"/>
  <c r="R164" i="12"/>
  <c r="G109" i="12"/>
  <c r="L28" i="12"/>
  <c r="Q297" i="12"/>
  <c r="T250" i="12"/>
  <c r="AA606" i="12"/>
  <c r="M95" i="12"/>
  <c r="K77" i="12"/>
  <c r="G217" i="12"/>
  <c r="Q192" i="12"/>
  <c r="M218" i="12"/>
  <c r="T47" i="12"/>
  <c r="Q156" i="12"/>
  <c r="K122" i="12"/>
  <c r="N157" i="12"/>
  <c r="K35" i="12"/>
  <c r="P57" i="12"/>
  <c r="S41" i="12"/>
  <c r="P45" i="12"/>
  <c r="I15" i="12"/>
  <c r="T72" i="12"/>
  <c r="O38" i="12"/>
  <c r="L53" i="12"/>
  <c r="L148" i="12"/>
  <c r="O96" i="12"/>
  <c r="N38" i="12"/>
  <c r="K76" i="12"/>
  <c r="G110" i="12"/>
  <c r="L10" i="12"/>
  <c r="P55" i="12"/>
  <c r="L54" i="12"/>
  <c r="F260" i="12"/>
  <c r="U282" i="2"/>
  <c r="T373" i="12"/>
  <c r="G182" i="12"/>
  <c r="K189" i="12"/>
  <c r="P412" i="12"/>
  <c r="F133" i="12"/>
  <c r="U242" i="2"/>
  <c r="K168" i="12"/>
  <c r="G141" i="12"/>
  <c r="O145" i="12"/>
  <c r="N384" i="12"/>
  <c r="I220" i="12"/>
  <c r="G147" i="12"/>
  <c r="R115" i="12"/>
  <c r="S217" i="12"/>
  <c r="K84" i="12"/>
  <c r="P156" i="12"/>
  <c r="P99" i="12"/>
  <c r="O50" i="12"/>
  <c r="Q39" i="12"/>
  <c r="I129" i="12"/>
  <c r="J18" i="12"/>
  <c r="S45" i="12"/>
  <c r="J8" i="12"/>
  <c r="F43" i="12"/>
  <c r="U26" i="2"/>
  <c r="K10" i="12"/>
  <c r="F6" i="12"/>
  <c r="K6" i="3"/>
  <c r="U9" i="2"/>
  <c r="Q33" i="12"/>
  <c r="T14" i="12"/>
  <c r="K2" i="12"/>
  <c r="S4" i="12"/>
  <c r="T23" i="12"/>
  <c r="F60" i="12"/>
  <c r="F4" i="12"/>
  <c r="O148" i="12"/>
  <c r="N113" i="12"/>
  <c r="J96" i="12"/>
  <c r="K89" i="12"/>
  <c r="R40" i="12"/>
  <c r="R81" i="12"/>
  <c r="G55" i="12"/>
  <c r="L37" i="12"/>
  <c r="S34" i="12"/>
  <c r="I56" i="12"/>
  <c r="I58" i="12"/>
  <c r="S39" i="12"/>
  <c r="T6" i="12"/>
  <c r="O69" i="12"/>
  <c r="R12" i="12"/>
  <c r="X652" i="12"/>
  <c r="K284" i="12"/>
  <c r="R160" i="12"/>
  <c r="Q194" i="12"/>
  <c r="S104" i="12"/>
  <c r="L310" i="12"/>
  <c r="T95" i="12"/>
  <c r="M114" i="12"/>
  <c r="R64" i="12"/>
  <c r="Z643" i="12"/>
  <c r="S90" i="12"/>
  <c r="L109" i="12"/>
  <c r="M47" i="12"/>
  <c r="L83" i="12"/>
  <c r="G49" i="12"/>
  <c r="Q81" i="12"/>
  <c r="N62" i="12"/>
  <c r="K69" i="12"/>
  <c r="Q55" i="12"/>
  <c r="R19" i="12"/>
  <c r="J148" i="12"/>
  <c r="F25" i="12"/>
  <c r="U39" i="2"/>
  <c r="O29" i="12"/>
  <c r="I9" i="12"/>
  <c r="Q19" i="12"/>
  <c r="N29" i="12"/>
  <c r="S3" i="12"/>
  <c r="X10" i="3"/>
  <c r="L6" i="12"/>
  <c r="I70" i="12"/>
  <c r="T218" i="12"/>
  <c r="J74" i="12"/>
  <c r="S17" i="12"/>
  <c r="S61" i="12"/>
  <c r="P127" i="12"/>
  <c r="P282" i="12"/>
  <c r="P104" i="12"/>
  <c r="Q278" i="12"/>
  <c r="K136" i="12"/>
  <c r="G186" i="12"/>
  <c r="T195" i="12"/>
  <c r="N192" i="12"/>
  <c r="K109" i="12"/>
  <c r="O47" i="12"/>
  <c r="R49" i="12"/>
  <c r="S46" i="12"/>
  <c r="G40" i="12"/>
  <c r="P81" i="12"/>
  <c r="L39" i="12"/>
  <c r="P66" i="12"/>
  <c r="R14" i="12"/>
  <c r="M18" i="12"/>
  <c r="K83" i="12"/>
  <c r="R23" i="12"/>
  <c r="G183" i="12"/>
  <c r="R282" i="12"/>
  <c r="O111" i="12"/>
  <c r="I137" i="12"/>
  <c r="I76" i="12"/>
  <c r="J218" i="12"/>
  <c r="T134" i="12"/>
  <c r="R71" i="12"/>
  <c r="Q24" i="12"/>
  <c r="L20" i="12"/>
  <c r="J41" i="12"/>
  <c r="Q28" i="12"/>
  <c r="G32" i="12"/>
  <c r="S21" i="12"/>
  <c r="N15" i="12"/>
  <c r="Q10" i="12"/>
  <c r="N33" i="12"/>
  <c r="P68" i="12"/>
  <c r="L25" i="12"/>
  <c r="Q2" i="12"/>
  <c r="O37" i="12"/>
  <c r="S352" i="12"/>
  <c r="Z649" i="12"/>
  <c r="S142" i="12"/>
  <c r="M112" i="12"/>
  <c r="Q113" i="12"/>
  <c r="P128" i="12"/>
  <c r="I73" i="12"/>
  <c r="O110" i="12"/>
  <c r="K134" i="12"/>
  <c r="P80" i="12"/>
  <c r="O71" i="12"/>
  <c r="M59" i="12"/>
  <c r="I99" i="12"/>
  <c r="T60" i="12"/>
  <c r="O30" i="12"/>
  <c r="L107" i="12"/>
  <c r="K129" i="12"/>
  <c r="T41" i="12"/>
  <c r="O9" i="12"/>
  <c r="M71" i="12"/>
  <c r="K161" i="12"/>
  <c r="O297" i="12"/>
  <c r="P384" i="12"/>
  <c r="T104" i="12"/>
  <c r="S278" i="12"/>
  <c r="G185" i="12"/>
  <c r="R128" i="12"/>
  <c r="Q137" i="12"/>
  <c r="T76" i="12"/>
  <c r="L46" i="12"/>
  <c r="P74" i="12"/>
  <c r="K106" i="12"/>
  <c r="T39" i="12"/>
  <c r="T54" i="12"/>
  <c r="M72" i="12"/>
  <c r="R83" i="12"/>
  <c r="R58" i="12"/>
  <c r="F57" i="12"/>
  <c r="P38" i="12"/>
  <c r="M305" i="12"/>
  <c r="U193" i="2"/>
  <c r="G328" i="12"/>
  <c r="L115" i="12"/>
  <c r="T87" i="12"/>
  <c r="I59" i="12"/>
  <c r="G352" i="12"/>
  <c r="Q341" i="12"/>
  <c r="Z633" i="12"/>
  <c r="R140" i="12"/>
  <c r="R219" i="12"/>
  <c r="N95" i="12"/>
  <c r="J75" i="12"/>
  <c r="K64" i="12"/>
  <c r="M221" i="12"/>
  <c r="I164" i="12"/>
  <c r="Q109" i="12"/>
  <c r="O14" i="12"/>
  <c r="G297" i="12"/>
  <c r="R250" i="12"/>
  <c r="T132" i="12"/>
  <c r="AB606" i="12"/>
  <c r="R88" i="12"/>
  <c r="L77" i="12"/>
  <c r="Q217" i="12"/>
  <c r="I192" i="12"/>
  <c r="O218" i="12"/>
  <c r="O92" i="12"/>
  <c r="T40" i="12"/>
  <c r="J63" i="12"/>
  <c r="F62" i="12"/>
  <c r="J34" i="12"/>
  <c r="K85" i="12"/>
  <c r="T16" i="12"/>
  <c r="G31" i="12"/>
  <c r="T56" i="12"/>
  <c r="M14" i="12"/>
  <c r="P84" i="12"/>
  <c r="R13" i="12"/>
  <c r="K92" i="12"/>
  <c r="R75" i="12"/>
  <c r="F180" i="12"/>
  <c r="Q29" i="12"/>
  <c r="T260" i="12"/>
  <c r="J373" i="12"/>
  <c r="R182" i="12"/>
  <c r="N412" i="12"/>
  <c r="G133" i="12"/>
  <c r="Q141" i="12"/>
  <c r="G145" i="12"/>
  <c r="J220" i="12"/>
  <c r="J147" i="12"/>
  <c r="I115" i="12"/>
  <c r="I64" i="12"/>
  <c r="I195" i="12"/>
  <c r="L84" i="12"/>
  <c r="L134" i="12"/>
  <c r="J53" i="12"/>
  <c r="I156" i="12"/>
  <c r="R89" i="12"/>
  <c r="N99" i="12"/>
  <c r="AB639" i="12"/>
  <c r="K50" i="12"/>
  <c r="M69" i="12"/>
  <c r="S27" i="12"/>
  <c r="S20" i="12"/>
  <c r="N41" i="12"/>
  <c r="M51" i="12"/>
  <c r="N45" i="12"/>
  <c r="Q15" i="12"/>
  <c r="L14" i="12"/>
  <c r="Q11" i="12"/>
  <c r="K41" i="12"/>
  <c r="I26" i="12"/>
  <c r="K38" i="12"/>
  <c r="M29" i="12"/>
  <c r="I4" i="12"/>
  <c r="O134" i="12"/>
  <c r="Q41" i="12"/>
  <c r="Q180" i="12"/>
  <c r="T91" i="12"/>
  <c r="K67" i="12"/>
  <c r="Q193" i="12"/>
  <c r="O75" i="12"/>
  <c r="I94" i="12"/>
  <c r="J111" i="12"/>
  <c r="L76" i="12"/>
  <c r="G100" i="12"/>
  <c r="J134" i="12"/>
  <c r="T96" i="12"/>
  <c r="K181" i="12"/>
  <c r="F40" i="12"/>
  <c r="U82" i="2"/>
  <c r="G81" i="12"/>
  <c r="AR71" i="2"/>
  <c r="AQ71" i="2"/>
  <c r="L69" i="12"/>
  <c r="J44" i="12"/>
  <c r="T9" i="12"/>
  <c r="L4" i="12"/>
  <c r="S32" i="12"/>
  <c r="P25" i="3"/>
  <c r="F22" i="12"/>
  <c r="U32" i="2"/>
  <c r="K43" i="12"/>
  <c r="M8" i="12"/>
  <c r="Q284" i="12"/>
  <c r="O284" i="12"/>
  <c r="O160" i="12"/>
  <c r="R194" i="12"/>
  <c r="M310" i="12"/>
  <c r="K95" i="12"/>
  <c r="N75" i="12"/>
  <c r="M103" i="12"/>
  <c r="K90" i="12"/>
  <c r="M180" i="12"/>
  <c r="G47" i="12"/>
  <c r="S71" i="12"/>
  <c r="J157" i="12"/>
  <c r="F81" i="12"/>
  <c r="U76" i="2"/>
  <c r="T48" i="12"/>
  <c r="F55" i="12"/>
  <c r="U59" i="2"/>
  <c r="R129" i="12"/>
  <c r="G19" i="12"/>
  <c r="T44" i="12"/>
  <c r="O91" i="12"/>
  <c r="S22" i="12"/>
  <c r="M58" i="12"/>
  <c r="AR23" i="2"/>
  <c r="AQ23" i="2"/>
  <c r="T10" i="12"/>
  <c r="O6" i="12"/>
  <c r="T6" i="3"/>
  <c r="S7" i="12"/>
  <c r="M98" i="12"/>
  <c r="P72" i="12"/>
  <c r="T4" i="12"/>
  <c r="N11" i="12"/>
  <c r="M11" i="12"/>
  <c r="T74" i="12"/>
  <c r="M56" i="12"/>
  <c r="N191" i="12"/>
  <c r="S261" i="12"/>
  <c r="T211" i="12"/>
  <c r="M135" i="12"/>
  <c r="I125" i="12"/>
  <c r="L114" i="12"/>
  <c r="L217" i="12"/>
  <c r="M195" i="12"/>
  <c r="F49" i="12"/>
  <c r="U93" i="2"/>
  <c r="M46" i="12"/>
  <c r="Q40" i="12"/>
  <c r="O161" i="12"/>
  <c r="G85" i="12"/>
  <c r="N6" i="12"/>
  <c r="S6" i="3"/>
  <c r="M6" i="12"/>
  <c r="K12" i="12"/>
  <c r="R31" i="12"/>
  <c r="F79" i="12"/>
  <c r="G45" i="12"/>
  <c r="L49" i="12"/>
  <c r="N341" i="12"/>
  <c r="K282" i="12"/>
  <c r="R223" i="12"/>
  <c r="L75" i="12"/>
  <c r="S137" i="12"/>
  <c r="K164" i="12"/>
  <c r="Q100" i="12"/>
  <c r="N47" i="12"/>
  <c r="L71" i="12"/>
  <c r="F24" i="12"/>
  <c r="U78" i="2"/>
  <c r="Q35" i="12"/>
  <c r="X655" i="12"/>
  <c r="AL51" i="2"/>
  <c r="AB622" i="12"/>
  <c r="I21" i="12"/>
  <c r="Q32" i="12"/>
  <c r="G10" i="12"/>
  <c r="K46" i="12"/>
  <c r="I37" i="12"/>
  <c r="G383" i="12"/>
  <c r="R116" i="12"/>
  <c r="Q223" i="12"/>
  <c r="R113" i="12"/>
  <c r="T125" i="12"/>
  <c r="Q78" i="12"/>
  <c r="I86" i="12"/>
  <c r="S73" i="12"/>
  <c r="L47" i="12"/>
  <c r="S157" i="12"/>
  <c r="M30" i="12"/>
  <c r="N20" i="12"/>
  <c r="L91" i="12"/>
  <c r="M49" i="12"/>
  <c r="O32" i="12"/>
  <c r="I91" i="12"/>
  <c r="F273" i="12"/>
  <c r="U223" i="2"/>
  <c r="N305" i="12"/>
  <c r="M407" i="12"/>
  <c r="P223" i="12"/>
  <c r="S125" i="12"/>
  <c r="Q185" i="12"/>
  <c r="K128" i="12"/>
  <c r="S52" i="12"/>
  <c r="R76" i="12"/>
  <c r="M110" i="12"/>
  <c r="L209" i="12"/>
  <c r="K96" i="12"/>
  <c r="N49" i="12"/>
  <c r="L36" i="12"/>
  <c r="I39" i="12"/>
  <c r="L27" i="12"/>
  <c r="N129" i="12"/>
  <c r="F148" i="12"/>
  <c r="U44" i="2"/>
  <c r="Q14" i="12"/>
  <c r="T29" i="12"/>
  <c r="T11" i="12"/>
  <c r="F142" i="12"/>
  <c r="P82" i="12"/>
  <c r="S140" i="12"/>
  <c r="O95" i="12"/>
  <c r="R87" i="12"/>
  <c r="L64" i="12"/>
  <c r="O352" i="12"/>
  <c r="Q352" i="12"/>
  <c r="AA633" i="12"/>
  <c r="L104" i="12"/>
  <c r="R105" i="12"/>
  <c r="R193" i="12"/>
  <c r="S78" i="12"/>
  <c r="T75" i="12"/>
  <c r="M111" i="12"/>
  <c r="S164" i="12"/>
  <c r="I109" i="12"/>
  <c r="X665" i="12"/>
  <c r="S297" i="12"/>
  <c r="K112" i="12"/>
  <c r="N194" i="12"/>
  <c r="AR153" i="2"/>
  <c r="AQ153" i="2"/>
  <c r="F88" i="12"/>
  <c r="S192" i="12"/>
  <c r="G218" i="12"/>
  <c r="M68" i="12"/>
  <c r="S89" i="12"/>
  <c r="I40" i="12"/>
  <c r="T81" i="12"/>
  <c r="P50" i="12"/>
  <c r="N69" i="12"/>
  <c r="J30" i="12"/>
  <c r="N148" i="12"/>
  <c r="O31" i="12"/>
  <c r="X641" i="12"/>
  <c r="P5" i="12"/>
  <c r="Q70" i="12"/>
  <c r="K9" i="12"/>
  <c r="T8" i="12"/>
  <c r="K56" i="12"/>
  <c r="X627" i="12"/>
  <c r="S72" i="12"/>
  <c r="R37" i="12"/>
  <c r="O136" i="12"/>
  <c r="L103" i="12"/>
  <c r="N92" i="12"/>
  <c r="N398" i="12"/>
  <c r="P398" i="12"/>
  <c r="O412" i="12"/>
  <c r="AR225" i="2"/>
  <c r="AQ225" i="2"/>
  <c r="Q305" i="12"/>
  <c r="G235" i="12"/>
  <c r="T187" i="12"/>
  <c r="G341" i="12"/>
  <c r="J116" i="12"/>
  <c r="AA631" i="12"/>
  <c r="M166" i="12"/>
  <c r="L205" i="12"/>
  <c r="N112" i="12"/>
  <c r="P424" i="12"/>
  <c r="N366" i="12"/>
  <c r="I260" i="12"/>
  <c r="K373" i="12"/>
  <c r="J182" i="12"/>
  <c r="Q420" i="12"/>
  <c r="G412" i="12"/>
  <c r="R133" i="12"/>
  <c r="O273" i="12"/>
  <c r="K299" i="12"/>
  <c r="Q145" i="12"/>
  <c r="P273" i="12"/>
  <c r="K220" i="12"/>
  <c r="K147" i="12"/>
  <c r="S127" i="12"/>
  <c r="M194" i="12"/>
  <c r="F310" i="12"/>
  <c r="U159" i="2"/>
  <c r="L125" i="12"/>
  <c r="S115" i="12"/>
  <c r="O114" i="12"/>
  <c r="K111" i="12"/>
  <c r="M76" i="12"/>
  <c r="F90" i="12"/>
  <c r="U113" i="2"/>
  <c r="S156" i="12"/>
  <c r="M157" i="12"/>
  <c r="L48" i="12"/>
  <c r="J28" i="12"/>
  <c r="L32" i="12"/>
  <c r="L3" i="12"/>
  <c r="Q10" i="3"/>
  <c r="Q22" i="3" s="1"/>
  <c r="I85" i="12"/>
  <c r="G15" i="12"/>
  <c r="G11" i="12"/>
  <c r="T148" i="12"/>
  <c r="J21" i="12"/>
  <c r="O11" i="12"/>
  <c r="O72" i="12"/>
  <c r="P7" i="12"/>
  <c r="I47" i="12"/>
  <c r="N32" i="12"/>
  <c r="Q5" i="12"/>
  <c r="L102" i="12"/>
  <c r="P77" i="12"/>
  <c r="N164" i="12"/>
  <c r="M109" i="12"/>
  <c r="N180" i="12"/>
  <c r="M83" i="12"/>
  <c r="N79" i="12"/>
  <c r="R46" i="12"/>
  <c r="O61" i="12"/>
  <c r="J48" i="12"/>
  <c r="R27" i="12"/>
  <c r="I54" i="12"/>
  <c r="S19" i="12"/>
  <c r="T65" i="12"/>
  <c r="N58" i="12"/>
  <c r="J9" i="12"/>
  <c r="G56" i="12"/>
  <c r="O8" i="12"/>
  <c r="L34" i="12"/>
  <c r="F21" i="12"/>
  <c r="Q57" i="12"/>
  <c r="G284" i="12"/>
  <c r="F284" i="12"/>
  <c r="U218" i="2"/>
  <c r="I194" i="12"/>
  <c r="G310" i="12"/>
  <c r="L95" i="12"/>
  <c r="L90" i="12"/>
  <c r="Q47" i="12"/>
  <c r="F71" i="12"/>
  <c r="U96" i="2"/>
  <c r="Q59" i="12"/>
  <c r="T42" i="12"/>
  <c r="L60" i="12"/>
  <c r="P106" i="12"/>
  <c r="I48" i="12"/>
  <c r="Q27" i="12"/>
  <c r="G129" i="12"/>
  <c r="P161" i="12"/>
  <c r="I44" i="12"/>
  <c r="R91" i="12"/>
  <c r="I22" i="12"/>
  <c r="N23" i="12"/>
  <c r="Q25" i="3"/>
  <c r="P13" i="12"/>
  <c r="J10" i="12"/>
  <c r="I7" i="12"/>
  <c r="J37" i="12"/>
  <c r="F72" i="12"/>
  <c r="U17" i="2"/>
  <c r="O16" i="12"/>
  <c r="T14" i="3"/>
  <c r="G51" i="12"/>
  <c r="F7" i="12"/>
  <c r="U5" i="2"/>
  <c r="N24" i="12"/>
  <c r="G38" i="12"/>
  <c r="F45" i="12"/>
  <c r="R235" i="12"/>
  <c r="G300" i="12"/>
  <c r="K82" i="12"/>
  <c r="S117" i="12"/>
  <c r="M75" i="12"/>
  <c r="S64" i="12"/>
  <c r="O195" i="12"/>
  <c r="O84" i="12"/>
  <c r="O173" i="12"/>
  <c r="R53" i="12"/>
  <c r="O59" i="12"/>
  <c r="M61" i="12"/>
  <c r="O106" i="12"/>
  <c r="J69" i="12"/>
  <c r="O27" i="12"/>
  <c r="G161" i="12"/>
  <c r="S26" i="12"/>
  <c r="P65" i="12"/>
  <c r="N16" i="12"/>
  <c r="S14" i="3"/>
  <c r="L15" i="12"/>
  <c r="G99" i="12"/>
  <c r="O26" i="12"/>
  <c r="K157" i="12"/>
  <c r="M191" i="12"/>
  <c r="M299" i="12"/>
  <c r="S211" i="12"/>
  <c r="O223" i="12"/>
  <c r="M77" i="12"/>
  <c r="G111" i="12"/>
  <c r="J137" i="12"/>
  <c r="L93" i="12"/>
  <c r="F100" i="12"/>
  <c r="U109" i="2"/>
  <c r="K156" i="12"/>
  <c r="AR89" i="2"/>
  <c r="AQ89" i="2"/>
  <c r="P63" i="12"/>
  <c r="M106" i="12"/>
  <c r="K39" i="12"/>
  <c r="F35" i="12"/>
  <c r="U62" i="2"/>
  <c r="M107" i="12"/>
  <c r="P34" i="12"/>
  <c r="S148" i="12"/>
  <c r="O25" i="12"/>
  <c r="Q85" i="12"/>
  <c r="T31" i="12"/>
  <c r="F32" i="12"/>
  <c r="U35" i="2"/>
  <c r="P3" i="12"/>
  <c r="U10" i="3"/>
  <c r="T61" i="12"/>
  <c r="S37" i="12"/>
  <c r="F31" i="12"/>
  <c r="AA649" i="12"/>
  <c r="S275" i="12"/>
  <c r="I113" i="12"/>
  <c r="R125" i="12"/>
  <c r="I87" i="12"/>
  <c r="R186" i="12"/>
  <c r="J73" i="12"/>
  <c r="J164" i="12"/>
  <c r="I218" i="12"/>
  <c r="T92" i="12"/>
  <c r="R68" i="12"/>
  <c r="I79" i="12"/>
  <c r="G157" i="12"/>
  <c r="Q74" i="12"/>
  <c r="L106" i="12"/>
  <c r="S69" i="12"/>
  <c r="N34" i="12"/>
  <c r="AA622" i="12"/>
  <c r="R51" i="12"/>
  <c r="F3" i="12"/>
  <c r="K10" i="3"/>
  <c r="U4" i="2"/>
  <c r="I89" i="12"/>
  <c r="N22" i="12"/>
  <c r="P4" i="12"/>
  <c r="G62" i="12"/>
  <c r="P31" i="12"/>
  <c r="G273" i="12"/>
  <c r="K170" i="12"/>
  <c r="R275" i="12"/>
  <c r="G125" i="12"/>
  <c r="R185" i="12"/>
  <c r="R52" i="12"/>
  <c r="S83" i="12"/>
  <c r="K59" i="12"/>
  <c r="R157" i="12"/>
  <c r="Q69" i="12"/>
  <c r="K107" i="12"/>
  <c r="M20" i="12"/>
  <c r="P44" i="12"/>
  <c r="T12" i="12"/>
  <c r="K55" i="12"/>
  <c r="F14" i="12"/>
  <c r="T89" i="12"/>
  <c r="X622" i="12"/>
  <c r="M7" i="12"/>
  <c r="L132" i="12"/>
  <c r="S136" i="12"/>
  <c r="T221" i="12"/>
  <c r="T352" i="12"/>
  <c r="R352" i="12"/>
  <c r="AB633" i="12"/>
  <c r="F105" i="12"/>
  <c r="I193" i="12"/>
  <c r="S87" i="12"/>
  <c r="K75" i="12"/>
  <c r="N137" i="12"/>
  <c r="S103" i="12"/>
  <c r="F93" i="12"/>
  <c r="U116" i="2"/>
  <c r="F84" i="12"/>
  <c r="S109" i="12"/>
  <c r="F2" i="12"/>
  <c r="K235" i="12"/>
  <c r="L244" i="12"/>
  <c r="I297" i="12"/>
  <c r="K104" i="12"/>
  <c r="S86" i="12"/>
  <c r="R103" i="12"/>
  <c r="J192" i="12"/>
  <c r="Q218" i="12"/>
  <c r="T59" i="12"/>
  <c r="F89" i="12"/>
  <c r="Q61" i="12"/>
  <c r="I81" i="12"/>
  <c r="T66" i="12"/>
  <c r="T161" i="12"/>
  <c r="L44" i="12"/>
  <c r="K33" i="12"/>
  <c r="P70" i="12"/>
  <c r="L9" i="12"/>
  <c r="F5" i="12"/>
  <c r="O2" i="12"/>
  <c r="R70" i="12"/>
  <c r="M9" i="12"/>
  <c r="R106" i="12"/>
  <c r="K7" i="12"/>
  <c r="O70" i="12"/>
  <c r="O89" i="12"/>
  <c r="R73" i="12"/>
  <c r="Q114" i="12"/>
  <c r="N36" i="12"/>
  <c r="K135" i="12"/>
  <c r="O135" i="12"/>
  <c r="I189" i="12"/>
  <c r="M205" i="12"/>
  <c r="S145" i="12"/>
  <c r="N135" i="12"/>
  <c r="G424" i="12"/>
  <c r="O366" i="12"/>
  <c r="J260" i="12"/>
  <c r="L373" i="12"/>
  <c r="O182" i="12"/>
  <c r="R412" i="12"/>
  <c r="J133" i="12"/>
  <c r="R120" i="12"/>
  <c r="K126" i="12"/>
  <c r="F302" i="12"/>
  <c r="N220" i="12"/>
  <c r="R147" i="12"/>
  <c r="K117" i="12"/>
  <c r="J115" i="12"/>
  <c r="P75" i="12"/>
  <c r="L137" i="12"/>
  <c r="P164" i="12"/>
  <c r="O180" i="12"/>
  <c r="R96" i="12"/>
  <c r="M156" i="12"/>
  <c r="J42" i="12"/>
  <c r="L74" i="12"/>
  <c r="S36" i="12"/>
  <c r="R107" i="12"/>
  <c r="T34" i="12"/>
  <c r="T25" i="12"/>
  <c r="F23" i="12"/>
  <c r="U27" i="2"/>
  <c r="F17" i="12"/>
  <c r="U20" i="2"/>
  <c r="F12" i="12"/>
  <c r="U10" i="2"/>
  <c r="I33" i="12"/>
  <c r="G65" i="12"/>
  <c r="K31" i="12"/>
  <c r="P16" i="12"/>
  <c r="U14" i="3"/>
  <c r="P56" i="12"/>
  <c r="T2" i="12"/>
  <c r="G3" i="12"/>
  <c r="L10" i="3"/>
  <c r="T156" i="12"/>
  <c r="O68" i="12"/>
  <c r="N26" i="12"/>
  <c r="Q108" i="12"/>
  <c r="O105" i="12"/>
  <c r="Q86" i="12"/>
  <c r="O93" i="12"/>
  <c r="S173" i="12"/>
  <c r="T71" i="12"/>
  <c r="F46" i="12"/>
  <c r="U86" i="2"/>
  <c r="R61" i="12"/>
  <c r="T35" i="12"/>
  <c r="G27" i="12"/>
  <c r="I65" i="12"/>
  <c r="R85" i="12"/>
  <c r="Q3" i="12"/>
  <c r="V10" i="3"/>
  <c r="N56" i="12"/>
  <c r="S180" i="12"/>
  <c r="I173" i="12"/>
  <c r="G98" i="12"/>
  <c r="T284" i="12"/>
  <c r="P284" i="12"/>
  <c r="T155" i="12"/>
  <c r="S194" i="12"/>
  <c r="Q310" i="12"/>
  <c r="N185" i="12"/>
  <c r="P193" i="12"/>
  <c r="O77" i="12"/>
  <c r="M164" i="12"/>
  <c r="M90" i="12"/>
  <c r="Q209" i="12"/>
  <c r="L59" i="12"/>
  <c r="J181" i="12"/>
  <c r="P40" i="12"/>
  <c r="S35" i="12"/>
  <c r="S65" i="12"/>
  <c r="M45" i="12"/>
  <c r="T26" i="12"/>
  <c r="F13" i="12"/>
  <c r="U18" i="2"/>
  <c r="T3" i="12"/>
  <c r="Y10" i="3"/>
  <c r="Y22" i="3" s="1"/>
  <c r="R54" i="12"/>
  <c r="T58" i="12"/>
  <c r="G41" i="12"/>
  <c r="K36" i="12"/>
  <c r="N7" i="12"/>
  <c r="K63" i="12"/>
  <c r="N243" i="12"/>
  <c r="M185" i="12"/>
  <c r="N77" i="12"/>
  <c r="F64" i="12"/>
  <c r="U127" i="2"/>
  <c r="F73" i="12"/>
  <c r="U124" i="2"/>
  <c r="F195" i="12"/>
  <c r="U119" i="2"/>
  <c r="Q90" i="12"/>
  <c r="F53" i="12"/>
  <c r="U99" i="2"/>
  <c r="K79" i="12"/>
  <c r="K60" i="12"/>
  <c r="N106" i="12"/>
  <c r="AB625" i="12"/>
  <c r="F27" i="12"/>
  <c r="U58" i="2"/>
  <c r="Q161" i="12"/>
  <c r="T21" i="12"/>
  <c r="N25" i="12"/>
  <c r="K29" i="12"/>
  <c r="M63" i="12"/>
  <c r="Q31" i="12"/>
  <c r="O157" i="12"/>
  <c r="N3" i="12"/>
  <c r="S10" i="3"/>
  <c r="P197" i="12"/>
  <c r="Q219" i="12"/>
  <c r="N193" i="12"/>
  <c r="O208" i="12"/>
  <c r="Q111" i="12"/>
  <c r="T137" i="12"/>
  <c r="M192" i="12"/>
  <c r="P100" i="12"/>
  <c r="I180" i="12"/>
  <c r="I92" i="12"/>
  <c r="S68" i="12"/>
  <c r="T69" i="12"/>
  <c r="P30" i="12"/>
  <c r="K57" i="12"/>
  <c r="O19" i="12"/>
  <c r="R44" i="12"/>
  <c r="G25" i="12"/>
  <c r="F85" i="12"/>
  <c r="U34" i="2"/>
  <c r="AA663" i="12"/>
  <c r="P85" i="12"/>
  <c r="K81" i="12"/>
  <c r="L129" i="12"/>
  <c r="T15" i="12"/>
  <c r="AB649" i="12"/>
  <c r="I312" i="12"/>
  <c r="T67" i="12"/>
  <c r="P275" i="12"/>
  <c r="S113" i="12"/>
  <c r="N115" i="12"/>
  <c r="F136" i="12"/>
  <c r="U136" i="2"/>
  <c r="P186" i="12"/>
  <c r="T73" i="12"/>
  <c r="K93" i="12"/>
  <c r="O100" i="12"/>
  <c r="G92" i="12"/>
  <c r="F68" i="12"/>
  <c r="U94" i="2"/>
  <c r="P122" i="12"/>
  <c r="F74" i="12"/>
  <c r="U79" i="2"/>
  <c r="M36" i="12"/>
  <c r="G69" i="12"/>
  <c r="G37" i="12"/>
  <c r="O34" i="12"/>
  <c r="G148" i="12"/>
  <c r="N28" i="12"/>
  <c r="I61" i="12"/>
  <c r="R180" i="12"/>
  <c r="R39" i="12"/>
  <c r="J273" i="12"/>
  <c r="K118" i="12"/>
  <c r="R119" i="12"/>
  <c r="K149" i="12"/>
  <c r="S82" i="12"/>
  <c r="K275" i="12"/>
  <c r="I185" i="12"/>
  <c r="P94" i="12"/>
  <c r="J52" i="12"/>
  <c r="M100" i="12"/>
  <c r="O80" i="12"/>
  <c r="F83" i="12"/>
  <c r="U97" i="2"/>
  <c r="T79" i="12"/>
  <c r="F157" i="12"/>
  <c r="U84" i="2"/>
  <c r="F69" i="12"/>
  <c r="U65" i="2"/>
  <c r="L66" i="12"/>
  <c r="T57" i="12"/>
  <c r="P37" i="12"/>
  <c r="I12" i="12"/>
  <c r="P60" i="12"/>
  <c r="L18" i="12"/>
  <c r="M174" i="12"/>
  <c r="S220" i="12"/>
  <c r="T135" i="12"/>
  <c r="AA661" i="12"/>
  <c r="F114" i="12"/>
  <c r="U135" i="2"/>
  <c r="F352" i="12"/>
  <c r="U216" i="2"/>
  <c r="T312" i="12"/>
  <c r="AR177" i="2"/>
  <c r="AQ177" i="2"/>
  <c r="K278" i="12"/>
  <c r="S193" i="12"/>
  <c r="G87" i="12"/>
  <c r="O73" i="12"/>
  <c r="K195" i="12"/>
  <c r="P93" i="12"/>
  <c r="N147" i="12"/>
  <c r="S312" i="12"/>
  <c r="T297" i="12"/>
  <c r="N310" i="12"/>
  <c r="Q105" i="12"/>
  <c r="K186" i="12"/>
  <c r="P103" i="12"/>
  <c r="T192" i="12"/>
  <c r="P79" i="12"/>
  <c r="N181" i="12"/>
  <c r="S106" i="12"/>
  <c r="P101" i="12"/>
  <c r="I66" i="12"/>
  <c r="N37" i="12"/>
  <c r="I161" i="12"/>
  <c r="K65" i="12"/>
  <c r="L22" i="12"/>
  <c r="P58" i="12"/>
  <c r="F70" i="12"/>
  <c r="Q12" i="12"/>
  <c r="J22" i="3"/>
  <c r="L72" i="12"/>
  <c r="Q48" i="12"/>
  <c r="P109" i="12"/>
  <c r="Q43" i="12"/>
  <c r="N27" i="12"/>
  <c r="L24" i="12"/>
  <c r="P52" i="12"/>
  <c r="K42" i="12"/>
  <c r="P136" i="12"/>
  <c r="T33" i="12"/>
  <c r="I305" i="12"/>
  <c r="J141" i="12"/>
  <c r="O299" i="12"/>
  <c r="O116" i="12"/>
  <c r="N102" i="12"/>
  <c r="L278" i="12"/>
  <c r="Z631" i="12"/>
  <c r="Q424" i="12"/>
  <c r="F366" i="12"/>
  <c r="U301" i="2"/>
  <c r="M260" i="12"/>
  <c r="N373" i="12"/>
  <c r="M373" i="12"/>
  <c r="N133" i="12"/>
  <c r="M189" i="12"/>
  <c r="N201" i="12"/>
  <c r="S412" i="12"/>
  <c r="T225" i="12"/>
  <c r="Q216" i="12"/>
  <c r="G120" i="12"/>
  <c r="P235" i="12"/>
  <c r="P142" i="12"/>
  <c r="Q127" i="12"/>
  <c r="S149" i="12"/>
  <c r="F160" i="12"/>
  <c r="R284" i="12"/>
  <c r="O220" i="12"/>
  <c r="I147" i="12"/>
  <c r="M126" i="12"/>
  <c r="O115" i="12"/>
  <c r="T115" i="12"/>
  <c r="Q77" i="12"/>
  <c r="M73" i="12"/>
  <c r="Q93" i="12"/>
  <c r="L68" i="12"/>
  <c r="S40" i="12"/>
  <c r="J24" i="12"/>
  <c r="P62" i="12"/>
  <c r="X635" i="12"/>
  <c r="AL69" i="2"/>
  <c r="J35" i="12"/>
  <c r="F107" i="12"/>
  <c r="U57" i="2"/>
  <c r="I34" i="12"/>
  <c r="I25" i="12"/>
  <c r="J85" i="12"/>
  <c r="G43" i="12"/>
  <c r="G29" i="12"/>
  <c r="Q6" i="12"/>
  <c r="V6" i="3"/>
  <c r="T22" i="12"/>
  <c r="AB637" i="12"/>
  <c r="N5" i="12"/>
  <c r="R16" i="12"/>
  <c r="W14" i="3"/>
  <c r="R28" i="12"/>
  <c r="Z637" i="12"/>
  <c r="F16" i="12"/>
  <c r="K14" i="3"/>
  <c r="U7" i="2"/>
  <c r="F56" i="12"/>
  <c r="U16" i="2"/>
  <c r="Q44" i="12"/>
  <c r="R4" i="12"/>
  <c r="K6" i="12"/>
  <c r="P69" i="12"/>
  <c r="N85" i="12"/>
  <c r="R99" i="12"/>
  <c r="O21" i="12"/>
  <c r="K16" i="12"/>
  <c r="M167" i="12"/>
  <c r="N108" i="12"/>
  <c r="N88" i="12"/>
  <c r="R208" i="12"/>
  <c r="P192" i="12"/>
  <c r="F173" i="12"/>
  <c r="U107" i="2"/>
  <c r="L92" i="12"/>
  <c r="G71" i="12"/>
  <c r="I122" i="12"/>
  <c r="O99" i="12"/>
  <c r="M60" i="12"/>
  <c r="F106" i="12"/>
  <c r="U74" i="2"/>
  <c r="I35" i="12"/>
  <c r="S129" i="12"/>
  <c r="R161" i="12"/>
  <c r="T18" i="12"/>
  <c r="L51" i="12"/>
  <c r="N70" i="12"/>
  <c r="M38" i="12"/>
  <c r="L57" i="12"/>
  <c r="G33" i="12"/>
  <c r="L5" i="12"/>
  <c r="Q9" i="12"/>
  <c r="M15" i="12"/>
  <c r="P10" i="12"/>
  <c r="M65" i="12"/>
  <c r="T43" i="12"/>
  <c r="K71" i="12"/>
  <c r="L65" i="12"/>
  <c r="K167" i="12"/>
  <c r="K102" i="12"/>
  <c r="L82" i="12"/>
  <c r="J194" i="12"/>
  <c r="R310" i="12"/>
  <c r="K328" i="12"/>
  <c r="G95" i="12"/>
  <c r="O88" i="12"/>
  <c r="Q208" i="12"/>
  <c r="F111" i="12"/>
  <c r="U126" i="2"/>
  <c r="N93" i="12"/>
  <c r="I209" i="12"/>
  <c r="F59" i="12"/>
  <c r="U92" i="2"/>
  <c r="I74" i="12"/>
  <c r="Z639" i="12"/>
  <c r="O107" i="12"/>
  <c r="Q20" i="12"/>
  <c r="K51" i="12"/>
  <c r="J26" i="12"/>
  <c r="Q72" i="12"/>
  <c r="K14" i="12"/>
  <c r="P11" i="12"/>
  <c r="J3" i="12"/>
  <c r="O10" i="3"/>
  <c r="O22" i="3" s="1"/>
  <c r="G54" i="12"/>
  <c r="S10" i="12"/>
  <c r="S5" i="12"/>
  <c r="G156" i="12"/>
  <c r="R101" i="12"/>
  <c r="Q50" i="12"/>
  <c r="G275" i="12"/>
  <c r="O193" i="12"/>
  <c r="P64" i="12"/>
  <c r="G52" i="12"/>
  <c r="P195" i="12"/>
  <c r="N96" i="12"/>
  <c r="S122" i="12"/>
  <c r="O36" i="12"/>
  <c r="S48" i="12"/>
  <c r="P27" i="12"/>
  <c r="AQ45" i="2"/>
  <c r="AR45" i="2"/>
  <c r="L58" i="12"/>
  <c r="O33" i="12"/>
  <c r="Z622" i="12"/>
  <c r="R38" i="12"/>
  <c r="K13" i="12"/>
  <c r="M24" i="12"/>
  <c r="Q235" i="12"/>
  <c r="I328" i="12"/>
  <c r="Q121" i="12"/>
  <c r="R94" i="12"/>
  <c r="R111" i="12"/>
  <c r="N84" i="12"/>
  <c r="O209" i="12"/>
  <c r="Q53" i="12"/>
  <c r="G68" i="12"/>
  <c r="I69" i="12"/>
  <c r="T37" i="12"/>
  <c r="F19" i="12"/>
  <c r="U49" i="2"/>
  <c r="G44" i="12"/>
  <c r="Q25" i="12"/>
  <c r="P33" i="12"/>
  <c r="T5" i="12"/>
  <c r="R2" i="12"/>
  <c r="R50" i="12"/>
  <c r="Z641" i="12"/>
  <c r="K19" i="12"/>
  <c r="R17" i="12"/>
  <c r="F216" i="12"/>
  <c r="AQ199" i="2"/>
  <c r="AR199" i="2"/>
  <c r="R300" i="12"/>
  <c r="R67" i="12"/>
  <c r="J113" i="12"/>
  <c r="G114" i="12"/>
  <c r="K73" i="12"/>
  <c r="M173" i="12"/>
  <c r="G180" i="12"/>
  <c r="P53" i="12"/>
  <c r="P49" i="12"/>
  <c r="R122" i="12"/>
  <c r="Q42" i="12"/>
  <c r="P24" i="12"/>
  <c r="K62" i="12"/>
  <c r="Z625" i="12"/>
  <c r="P54" i="12"/>
  <c r="Q51" i="12"/>
  <c r="N111" i="12"/>
  <c r="J180" i="12"/>
  <c r="T13" i="12"/>
  <c r="K273" i="12"/>
  <c r="G144" i="12"/>
  <c r="R142" i="12"/>
  <c r="M132" i="12"/>
  <c r="T219" i="12"/>
  <c r="M115" i="12"/>
  <c r="S185" i="12"/>
  <c r="N94" i="12"/>
  <c r="T52" i="12"/>
  <c r="K47" i="12"/>
  <c r="N71" i="12"/>
  <c r="O122" i="12"/>
  <c r="O42" i="12"/>
  <c r="O24" i="12"/>
  <c r="I57" i="12"/>
  <c r="M34" i="12"/>
  <c r="N65" i="12"/>
  <c r="P181" i="12"/>
  <c r="M129" i="12"/>
  <c r="O51" i="12"/>
  <c r="P124" i="12"/>
  <c r="X657" i="12"/>
  <c r="AB661" i="12"/>
  <c r="P114" i="12"/>
  <c r="T103" i="12"/>
  <c r="I352" i="12"/>
  <c r="F191" i="12"/>
  <c r="Z657" i="12"/>
  <c r="M117" i="12"/>
  <c r="J193" i="12"/>
  <c r="G208" i="12"/>
  <c r="R93" i="12"/>
  <c r="S218" i="12"/>
  <c r="F201" i="12"/>
  <c r="G187" i="12"/>
  <c r="G127" i="12"/>
  <c r="J297" i="12"/>
  <c r="K219" i="12"/>
  <c r="T136" i="12"/>
  <c r="T217" i="12"/>
  <c r="J195" i="12"/>
  <c r="K192" i="12"/>
  <c r="G173" i="12"/>
  <c r="S96" i="12"/>
  <c r="M79" i="12"/>
  <c r="F61" i="12"/>
  <c r="T55" i="12"/>
  <c r="Q98" i="12"/>
  <c r="K18" i="12"/>
  <c r="F58" i="12"/>
  <c r="Q17" i="12"/>
  <c r="G12" i="12"/>
  <c r="L7" i="12"/>
  <c r="N74" i="12"/>
  <c r="S6" i="12"/>
  <c r="S74" i="12"/>
  <c r="O46" i="12"/>
  <c r="S284" i="12"/>
  <c r="U110" i="2"/>
  <c r="K28" i="12"/>
  <c r="S195" i="12"/>
  <c r="L26" i="12"/>
  <c r="K22" i="12"/>
  <c r="J299" i="12"/>
  <c r="T145" i="12"/>
  <c r="L211" i="12"/>
  <c r="AB645" i="12"/>
  <c r="N166" i="12"/>
  <c r="R341" i="12"/>
  <c r="Q384" i="12"/>
  <c r="R424" i="12"/>
  <c r="P366" i="12"/>
  <c r="N260" i="12"/>
  <c r="F373" i="12"/>
  <c r="U267" i="2"/>
  <c r="R373" i="12"/>
  <c r="L182" i="12"/>
  <c r="F189" i="12"/>
  <c r="U240" i="2"/>
  <c r="I412" i="12"/>
  <c r="O216" i="12"/>
  <c r="Q120" i="12"/>
  <c r="R168" i="12"/>
  <c r="G142" i="12"/>
  <c r="R220" i="12"/>
  <c r="K281" i="12"/>
  <c r="F115" i="12"/>
  <c r="U145" i="2"/>
  <c r="F95" i="12"/>
  <c r="U143" i="2"/>
  <c r="T208" i="12"/>
  <c r="N52" i="12"/>
  <c r="R192" i="12"/>
  <c r="T209" i="12"/>
  <c r="I49" i="12"/>
  <c r="P61" i="12"/>
  <c r="T63" i="12"/>
  <c r="O101" i="12"/>
  <c r="T30" i="12"/>
  <c r="O57" i="12"/>
  <c r="T19" i="12"/>
  <c r="M148" i="12"/>
  <c r="J33" i="12"/>
  <c r="G6" i="12"/>
  <c r="L6" i="3"/>
  <c r="J22" i="12"/>
  <c r="M17" i="12"/>
  <c r="Q8" i="12"/>
  <c r="T38" i="12"/>
  <c r="S23" i="12"/>
  <c r="G61" i="12"/>
  <c r="G58" i="12"/>
  <c r="O4" i="12"/>
  <c r="L116" i="12"/>
  <c r="G170" i="12"/>
  <c r="F243" i="12"/>
  <c r="F121" i="12"/>
  <c r="I208" i="12"/>
  <c r="K137" i="12"/>
  <c r="Q84" i="12"/>
  <c r="P173" i="12"/>
  <c r="O156" i="12"/>
  <c r="K74" i="12"/>
  <c r="AA639" i="12"/>
  <c r="M101" i="12"/>
  <c r="S30" i="12"/>
  <c r="F161" i="12"/>
  <c r="U48" i="2"/>
  <c r="I18" i="12"/>
  <c r="J32" i="12"/>
  <c r="O17" i="12"/>
  <c r="G8" i="12"/>
  <c r="S2" i="12"/>
  <c r="I5" i="12"/>
  <c r="Q92" i="12"/>
  <c r="P51" i="12"/>
  <c r="K25" i="12"/>
  <c r="I284" i="12"/>
  <c r="L144" i="12"/>
  <c r="L194" i="12"/>
  <c r="T194" i="12"/>
  <c r="I310" i="12"/>
  <c r="M113" i="12"/>
  <c r="Q95" i="12"/>
  <c r="G137" i="12"/>
  <c r="S110" i="12"/>
  <c r="S209" i="12"/>
  <c r="N156" i="12"/>
  <c r="P59" i="12"/>
  <c r="Q46" i="12"/>
  <c r="P36" i="12"/>
  <c r="M50" i="12"/>
  <c r="R30" i="12"/>
  <c r="G107" i="12"/>
  <c r="F20" i="12"/>
  <c r="U52" i="2"/>
  <c r="N98" i="12"/>
  <c r="S18" i="12"/>
  <c r="T32" i="12"/>
  <c r="O43" i="12"/>
  <c r="M70" i="12"/>
  <c r="G72" i="12"/>
  <c r="L38" i="12"/>
  <c r="F11" i="12"/>
  <c r="U8" i="2"/>
  <c r="F129" i="12"/>
  <c r="U53" i="2"/>
  <c r="J14" i="12"/>
  <c r="F8" i="12"/>
  <c r="U6" i="2"/>
  <c r="T70" i="12"/>
  <c r="O85" i="12"/>
  <c r="N8" i="12"/>
  <c r="S79" i="12"/>
  <c r="X625" i="12"/>
  <c r="R69" i="12"/>
  <c r="Q147" i="12"/>
  <c r="P208" i="12"/>
  <c r="G64" i="12"/>
  <c r="G195" i="12"/>
  <c r="R110" i="12"/>
  <c r="J83" i="12"/>
  <c r="F122" i="12"/>
  <c r="U90" i="2"/>
  <c r="L99" i="12"/>
  <c r="R24" i="12"/>
  <c r="G36" i="12"/>
  <c r="I148" i="12"/>
  <c r="O15" i="12"/>
  <c r="G26" i="12"/>
  <c r="L11" i="12"/>
  <c r="K66" i="12"/>
  <c r="O10" i="12"/>
  <c r="P2" i="12"/>
  <c r="T141" i="12"/>
  <c r="R244" i="12"/>
  <c r="Z629" i="12"/>
  <c r="T128" i="12"/>
  <c r="F94" i="12"/>
  <c r="I111" i="12"/>
  <c r="AQ103" i="2"/>
  <c r="AR103" i="2"/>
  <c r="Q49" i="12"/>
  <c r="T181" i="12"/>
  <c r="L61" i="12"/>
  <c r="O66" i="12"/>
  <c r="Q54" i="12"/>
  <c r="P19" i="12"/>
  <c r="M91" i="12"/>
  <c r="F33" i="12"/>
  <c r="U33" i="2"/>
  <c r="K58" i="12"/>
  <c r="K23" i="12"/>
  <c r="T17" i="12"/>
  <c r="Q52" i="12"/>
  <c r="G101" i="12"/>
  <c r="R5" i="12"/>
  <c r="L56" i="12"/>
  <c r="O394" i="12"/>
  <c r="M123" i="12"/>
  <c r="P145" i="12"/>
  <c r="T113" i="12"/>
  <c r="O64" i="12"/>
  <c r="R134" i="12"/>
  <c r="N209" i="12"/>
  <c r="O53" i="12"/>
  <c r="K49" i="12"/>
  <c r="L89" i="12"/>
  <c r="L42" i="12"/>
  <c r="T50" i="12"/>
  <c r="F48" i="12"/>
  <c r="U63" i="2"/>
  <c r="M66" i="12"/>
  <c r="P18" i="12"/>
  <c r="Z663" i="12"/>
  <c r="G103" i="12"/>
  <c r="I62" i="12"/>
  <c r="T180" i="12"/>
  <c r="T107" i="12"/>
  <c r="N10" i="12"/>
  <c r="R273" i="12"/>
  <c r="I155" i="12"/>
  <c r="P102" i="12"/>
  <c r="J185" i="12"/>
  <c r="K52" i="12"/>
  <c r="F109" i="12"/>
  <c r="U108" i="2"/>
  <c r="S92" i="12"/>
  <c r="L40" i="12"/>
  <c r="K24" i="12"/>
  <c r="S50" i="12"/>
  <c r="P48" i="12"/>
  <c r="F51" i="12"/>
  <c r="U36" i="2"/>
  <c r="Q4" i="12"/>
  <c r="S99" i="12"/>
  <c r="F41" i="12"/>
  <c r="Q101" i="12"/>
  <c r="J51" i="12"/>
  <c r="U221" i="2"/>
  <c r="L177" i="12"/>
  <c r="N297" i="12"/>
  <c r="P310" i="12"/>
  <c r="AR151" i="2"/>
  <c r="AQ151" i="2"/>
  <c r="R114" i="12"/>
  <c r="F77" i="12"/>
  <c r="Z620" i="12"/>
  <c r="J352" i="12"/>
  <c r="Q220" i="12"/>
  <c r="AA657" i="12"/>
  <c r="K115" i="12"/>
  <c r="T193" i="12"/>
  <c r="R221" i="12"/>
  <c r="O164" i="12"/>
  <c r="I93" i="12"/>
  <c r="K100" i="12"/>
  <c r="N134" i="12"/>
  <c r="N281" i="12"/>
  <c r="K297" i="12"/>
  <c r="F108" i="12"/>
  <c r="X606" i="12"/>
  <c r="S77" i="12"/>
  <c r="M217" i="12"/>
  <c r="P180" i="12"/>
  <c r="G96" i="12"/>
  <c r="G79" i="12"/>
  <c r="O60" i="12"/>
  <c r="AR72" i="2"/>
  <c r="AQ72" i="2"/>
  <c r="Z608" i="12"/>
  <c r="I55" i="12"/>
  <c r="Q23" i="12"/>
  <c r="G17" i="12"/>
  <c r="M10" i="12"/>
  <c r="Z659" i="12"/>
  <c r="L111" i="12"/>
  <c r="N31" i="12"/>
  <c r="P20" i="12"/>
  <c r="N51" i="12"/>
  <c r="R11" i="12"/>
  <c r="U115" i="2"/>
  <c r="M433" i="12"/>
  <c r="O224" i="12"/>
  <c r="K159" i="12"/>
  <c r="M428" i="12"/>
  <c r="J166" i="12"/>
  <c r="M120" i="12"/>
  <c r="I235" i="12"/>
  <c r="F82" i="12"/>
  <c r="U170" i="2"/>
  <c r="L201" i="12"/>
  <c r="AQ222" i="2"/>
  <c r="AR222" i="2"/>
  <c r="Q191" i="12"/>
  <c r="L281" i="12"/>
  <c r="L312" i="12"/>
  <c r="N250" i="12"/>
  <c r="L282" i="12"/>
  <c r="F135" i="12"/>
  <c r="U161" i="2"/>
  <c r="K86" i="12"/>
  <c r="S398" i="12"/>
  <c r="R443" i="12"/>
  <c r="T205" i="12"/>
  <c r="J305" i="12"/>
  <c r="T299" i="12"/>
  <c r="M155" i="12"/>
  <c r="I145" i="12"/>
  <c r="L140" i="12"/>
  <c r="N117" i="12"/>
  <c r="L78" i="12"/>
  <c r="O373" i="12"/>
  <c r="AR251" i="2"/>
  <c r="AQ251" i="2"/>
  <c r="F166" i="12"/>
  <c r="U243" i="2"/>
  <c r="AB652" i="12"/>
  <c r="K383" i="12"/>
  <c r="F235" i="12"/>
  <c r="U209" i="2"/>
  <c r="F341" i="12"/>
  <c r="U196" i="2"/>
  <c r="G384" i="12"/>
  <c r="I424" i="12"/>
  <c r="J424" i="12"/>
  <c r="G366" i="12"/>
  <c r="Q175" i="12"/>
  <c r="F225" i="12"/>
  <c r="G260" i="12"/>
  <c r="Q373" i="12"/>
  <c r="N375" i="12"/>
  <c r="M212" i="12"/>
  <c r="P182" i="12"/>
  <c r="P189" i="12"/>
  <c r="T151" i="12"/>
  <c r="O146" i="12"/>
  <c r="T412" i="12"/>
  <c r="I216" i="12"/>
  <c r="F343" i="12"/>
  <c r="K120" i="12"/>
  <c r="F168" i="12"/>
  <c r="U213" i="2"/>
  <c r="S141" i="12"/>
  <c r="K407" i="12"/>
  <c r="Q142" i="12"/>
  <c r="Q261" i="12"/>
  <c r="I250" i="12"/>
  <c r="P220" i="12"/>
  <c r="L220" i="12"/>
  <c r="O113" i="12"/>
  <c r="P115" i="12"/>
  <c r="Q88" i="12"/>
  <c r="S84" i="12"/>
  <c r="P218" i="12"/>
  <c r="F209" i="12"/>
  <c r="U104" i="2"/>
  <c r="S59" i="12"/>
  <c r="I63" i="12"/>
  <c r="N101" i="12"/>
  <c r="I30" i="12"/>
  <c r="R57" i="12"/>
  <c r="I19" i="12"/>
  <c r="Q91" i="12"/>
  <c r="N2" i="12"/>
  <c r="S2" i="3"/>
  <c r="Q13" i="12"/>
  <c r="S8" i="12"/>
  <c r="O13" i="12"/>
  <c r="R7" i="12"/>
  <c r="L12" i="12"/>
  <c r="P22" i="12"/>
  <c r="I2" i="12"/>
  <c r="P73" i="12"/>
  <c r="T106" i="12"/>
  <c r="O301" i="12"/>
  <c r="F305" i="12"/>
  <c r="X631" i="12"/>
  <c r="G223" i="12"/>
  <c r="I128" i="12"/>
  <c r="S208" i="12"/>
  <c r="I186" i="12"/>
  <c r="L73" i="12"/>
  <c r="R173" i="12"/>
  <c r="I80" i="12"/>
  <c r="K68" i="12"/>
  <c r="AA627" i="12"/>
  <c r="L157" i="12"/>
  <c r="T24" i="12"/>
  <c r="N57" i="12"/>
  <c r="R20" i="12"/>
  <c r="O98" i="12"/>
  <c r="T28" i="12"/>
  <c r="T85" i="12"/>
  <c r="P29" i="12"/>
  <c r="I8" i="12"/>
  <c r="G18" i="12"/>
  <c r="R22" i="12"/>
  <c r="R10" i="12"/>
  <c r="F9" i="12"/>
  <c r="U15" i="2"/>
  <c r="R41" i="12"/>
  <c r="N68" i="12"/>
  <c r="M85" i="12"/>
  <c r="J284" i="12"/>
  <c r="O194" i="12"/>
  <c r="K194" i="12"/>
  <c r="S310" i="12"/>
  <c r="R95" i="12"/>
  <c r="S121" i="12"/>
  <c r="P86" i="12"/>
  <c r="O192" i="12"/>
  <c r="K209" i="12"/>
  <c r="T53" i="12"/>
  <c r="L79" i="12"/>
  <c r="S24" i="12"/>
  <c r="G30" i="12"/>
  <c r="Q107" i="12"/>
  <c r="Z655" i="12"/>
  <c r="I32" i="12"/>
  <c r="K21" i="12"/>
  <c r="N17" i="12"/>
  <c r="M5" i="12"/>
  <c r="Q16" i="12"/>
  <c r="V14" i="3"/>
  <c r="K4" i="12"/>
  <c r="L45" i="12"/>
  <c r="L17" i="12"/>
  <c r="Q7" i="12"/>
  <c r="O56" i="12"/>
  <c r="L85" i="12"/>
  <c r="O7" i="12"/>
  <c r="R181" i="12"/>
  <c r="N35" i="12"/>
  <c r="P92" i="12"/>
  <c r="K30" i="12"/>
  <c r="Q58" i="12"/>
  <c r="I183" i="12"/>
  <c r="Q197" i="12"/>
  <c r="L113" i="12"/>
  <c r="R121" i="12"/>
  <c r="S94" i="12"/>
  <c r="Q195" i="12"/>
  <c r="P110" i="12"/>
  <c r="K180" i="12"/>
  <c r="Q71" i="12"/>
  <c r="N89" i="12"/>
  <c r="I157" i="12"/>
  <c r="G24" i="12"/>
  <c r="Q36" i="12"/>
  <c r="R35" i="12"/>
  <c r="S44" i="12"/>
  <c r="L70" i="12"/>
  <c r="K70" i="12"/>
  <c r="S31" i="12"/>
  <c r="G4" i="12"/>
  <c r="S57" i="12"/>
  <c r="F39" i="12"/>
  <c r="R216" i="12"/>
  <c r="P147" i="12"/>
  <c r="R261" i="12"/>
  <c r="Q140" i="12"/>
  <c r="F117" i="12"/>
  <c r="U146" i="2"/>
  <c r="S111" i="12"/>
  <c r="P90" i="12"/>
  <c r="R80" i="12"/>
  <c r="N59" i="12"/>
  <c r="G181" i="12"/>
  <c r="AA625" i="12"/>
  <c r="N66" i="12"/>
  <c r="F54" i="12"/>
  <c r="U54" i="2"/>
  <c r="Q65" i="12"/>
  <c r="K45" i="12"/>
  <c r="Q22" i="12"/>
  <c r="L23" i="12"/>
  <c r="N13" i="12"/>
  <c r="X637" i="12"/>
  <c r="Q148" i="12"/>
  <c r="F10" i="12"/>
  <c r="U14" i="2"/>
  <c r="K48" i="12"/>
  <c r="S62" i="12"/>
  <c r="N273" i="12"/>
  <c r="N187" i="12"/>
  <c r="K113" i="12"/>
  <c r="G193" i="12"/>
  <c r="T111" i="12"/>
  <c r="G221" i="12"/>
  <c r="L192" i="12"/>
  <c r="G134" i="12"/>
  <c r="I53" i="12"/>
  <c r="O49" i="12"/>
  <c r="S181" i="12"/>
  <c r="F42" i="12"/>
  <c r="U83" i="2"/>
  <c r="O63" i="12"/>
  <c r="I50" i="12"/>
  <c r="P35" i="12"/>
  <c r="M55" i="12"/>
  <c r="O28" i="12"/>
  <c r="S58" i="12"/>
  <c r="F192" i="12"/>
  <c r="I23" i="12"/>
  <c r="L180" i="12"/>
  <c r="M54" i="12"/>
  <c r="F38" i="12"/>
  <c r="I273" i="12"/>
  <c r="L112" i="12"/>
  <c r="T140" i="12"/>
  <c r="T328" i="12"/>
  <c r="T185" i="12"/>
  <c r="Q186" i="12"/>
  <c r="L52" i="12"/>
  <c r="F164" i="12"/>
  <c r="U117" i="2"/>
  <c r="Q37" i="12"/>
  <c r="P32" i="12"/>
  <c r="Q60" i="12"/>
  <c r="O44" i="12"/>
  <c r="AR64" i="2"/>
  <c r="AQ64" i="2"/>
  <c r="T51" i="12"/>
  <c r="F120" i="12"/>
  <c r="T143" i="12"/>
  <c r="I149" i="12"/>
  <c r="Q275" i="12"/>
  <c r="Q128" i="12"/>
  <c r="I114" i="12"/>
  <c r="T62" i="12"/>
  <c r="P41" i="12"/>
  <c r="K352" i="12"/>
  <c r="O235" i="12"/>
  <c r="F384" i="12"/>
  <c r="AB657" i="12"/>
  <c r="K193" i="12"/>
  <c r="G75" i="12"/>
  <c r="T86" i="12"/>
  <c r="I221" i="12"/>
  <c r="S93" i="12"/>
  <c r="R109" i="12"/>
  <c r="M80" i="12"/>
  <c r="M297" i="12"/>
  <c r="L297" i="12"/>
  <c r="G160" i="12"/>
  <c r="AL153" i="2"/>
  <c r="R77" i="12"/>
  <c r="O217" i="12"/>
  <c r="O76" i="12"/>
  <c r="G90" i="12"/>
  <c r="G209" i="12"/>
  <c r="O83" i="12"/>
  <c r="Q79" i="12"/>
  <c r="I60" i="12"/>
  <c r="T36" i="12"/>
  <c r="P39" i="12"/>
  <c r="M48" i="12"/>
  <c r="T27" i="12"/>
  <c r="T20" i="12"/>
  <c r="F98" i="12"/>
  <c r="J25" i="12"/>
  <c r="G23" i="12"/>
  <c r="R29" i="12"/>
  <c r="N14" i="12"/>
  <c r="R6" i="12"/>
  <c r="I98" i="12"/>
  <c r="F101" i="12"/>
  <c r="T164" i="12"/>
  <c r="M21" i="12"/>
  <c r="P17" i="12"/>
  <c r="O58" i="12"/>
  <c r="M4" i="12"/>
  <c r="O5" i="12"/>
  <c r="M32" i="12"/>
  <c r="U91" i="2"/>
  <c r="K216" i="12"/>
  <c r="K191" i="12"/>
  <c r="K141" i="12"/>
  <c r="M281" i="12"/>
  <c r="J142" i="12"/>
  <c r="K127" i="12"/>
  <c r="O102" i="12"/>
  <c r="M211" i="12"/>
  <c r="AB631" i="12"/>
  <c r="L186" i="12"/>
  <c r="K398" i="12"/>
  <c r="S443" i="12"/>
  <c r="O174" i="12"/>
  <c r="T305" i="12"/>
  <c r="P407" i="12"/>
  <c r="O126" i="12"/>
  <c r="O112" i="12"/>
  <c r="N82" i="12"/>
  <c r="M412" i="12"/>
  <c r="Q166" i="12"/>
  <c r="N309" i="12"/>
  <c r="N124" i="12"/>
  <c r="N144" i="12"/>
  <c r="N299" i="12"/>
  <c r="S223" i="12"/>
  <c r="M424" i="12"/>
  <c r="T424" i="12"/>
  <c r="Q366" i="12"/>
  <c r="N139" i="12"/>
  <c r="K229" i="12"/>
  <c r="Q260" i="12"/>
  <c r="G373" i="12"/>
  <c r="F182" i="12"/>
  <c r="U241" i="2"/>
  <c r="G189" i="12"/>
  <c r="L399" i="12"/>
  <c r="K412" i="12"/>
  <c r="T166" i="12"/>
  <c r="M201" i="12"/>
  <c r="S216" i="12"/>
  <c r="L120" i="12"/>
  <c r="P168" i="12"/>
  <c r="L141" i="12"/>
  <c r="S183" i="12"/>
  <c r="L142" i="12"/>
  <c r="F261" i="12"/>
  <c r="T102" i="12"/>
  <c r="O197" i="12"/>
  <c r="F220" i="12"/>
  <c r="U211" i="2"/>
  <c r="M220" i="12"/>
  <c r="F407" i="12"/>
  <c r="M384" i="12"/>
  <c r="K94" i="12"/>
  <c r="P221" i="12"/>
  <c r="R84" i="12"/>
  <c r="I100" i="12"/>
  <c r="J80" i="12"/>
  <c r="N83" i="12"/>
  <c r="G59" i="12"/>
  <c r="M181" i="12"/>
  <c r="S81" i="12"/>
  <c r="X608" i="12"/>
  <c r="S66" i="12"/>
  <c r="M37" i="12"/>
  <c r="K44" i="12"/>
  <c r="F91" i="12"/>
  <c r="U38" i="2"/>
  <c r="AR24" i="2"/>
  <c r="AQ24" i="2"/>
  <c r="I72" i="12"/>
  <c r="M31" i="12"/>
  <c r="G13" i="12"/>
  <c r="K3" i="12"/>
  <c r="P10" i="3"/>
  <c r="P22" i="3" s="1"/>
  <c r="Q56" i="12"/>
  <c r="I3" i="12"/>
  <c r="N10" i="3"/>
  <c r="Q26" i="12"/>
  <c r="M25" i="12"/>
  <c r="F76" i="12"/>
  <c r="U118" i="2"/>
  <c r="M122" i="12"/>
  <c r="N9" i="12"/>
  <c r="Z635" i="12"/>
  <c r="Q174" i="12"/>
  <c r="I275" i="12"/>
  <c r="J117" i="12"/>
  <c r="K208" i="12"/>
  <c r="R217" i="12"/>
  <c r="M52" i="12"/>
  <c r="J173" i="12"/>
  <c r="Q96" i="12"/>
  <c r="T49" i="12"/>
  <c r="P89" i="12"/>
  <c r="I24" i="12"/>
  <c r="R36" i="12"/>
  <c r="G66" i="12"/>
  <c r="G20" i="12"/>
  <c r="R98" i="12"/>
  <c r="I28" i="12"/>
  <c r="S33" i="12"/>
  <c r="F29" i="12"/>
  <c r="U19" i="2"/>
  <c r="T7" i="12"/>
  <c r="G28" i="12"/>
  <c r="AL24" i="2"/>
  <c r="I14" i="12"/>
  <c r="S38" i="12"/>
  <c r="T45" i="12"/>
  <c r="M16" i="12"/>
  <c r="K40" i="12"/>
  <c r="M42" i="12"/>
  <c r="L284" i="12"/>
  <c r="F194" i="12"/>
  <c r="U168" i="2"/>
  <c r="J310" i="12"/>
  <c r="Z647" i="12"/>
  <c r="I95" i="12"/>
  <c r="I78" i="12"/>
  <c r="L218" i="12"/>
  <c r="M209" i="12"/>
  <c r="G53" i="12"/>
  <c r="I68" i="12"/>
  <c r="T122" i="12"/>
  <c r="M57" i="12"/>
  <c r="R34" i="12"/>
  <c r="S28" i="12"/>
  <c r="S85" i="12"/>
  <c r="L31" i="12"/>
  <c r="P15" i="12"/>
  <c r="R56" i="12"/>
  <c r="N12" i="12"/>
  <c r="G16" i="12"/>
  <c r="L14" i="3"/>
  <c r="N43" i="12"/>
  <c r="M12" i="12"/>
  <c r="R3" i="12"/>
  <c r="W10" i="3"/>
  <c r="M2" i="3"/>
  <c r="L181" i="12"/>
  <c r="R45" i="12"/>
  <c r="S29" i="12"/>
  <c r="N197" i="12"/>
  <c r="O121" i="12"/>
  <c r="G94" i="12"/>
  <c r="J221" i="12"/>
  <c r="J76" i="12"/>
  <c r="K218" i="12"/>
  <c r="P209" i="12"/>
  <c r="S42" i="12"/>
  <c r="M62" i="12"/>
  <c r="G35" i="12"/>
  <c r="N107" i="12"/>
  <c r="G9" i="12"/>
  <c r="L43" i="12"/>
  <c r="K91" i="12"/>
  <c r="S76" i="12"/>
  <c r="K20" i="12"/>
  <c r="K11" i="12"/>
  <c r="R343" i="12"/>
  <c r="O187" i="12"/>
  <c r="S300" i="12"/>
  <c r="Z661" i="12"/>
  <c r="P117" i="12"/>
  <c r="J136" i="12"/>
  <c r="S186" i="12"/>
  <c r="F137" i="12"/>
  <c r="U125" i="2"/>
  <c r="M96" i="12"/>
  <c r="K99" i="12"/>
  <c r="J60" i="12"/>
  <c r="O81" i="12"/>
  <c r="L62" i="12"/>
  <c r="N55" i="12"/>
  <c r="P129" i="12"/>
  <c r="F65" i="12"/>
  <c r="U42" i="2"/>
  <c r="S51" i="12"/>
  <c r="G22" i="12"/>
  <c r="K5" i="12"/>
  <c r="K17" i="12"/>
  <c r="O65" i="12"/>
  <c r="G14" i="12"/>
  <c r="L16" i="12"/>
  <c r="AA608" i="12"/>
  <c r="T120" i="12"/>
  <c r="F143" i="12"/>
  <c r="N407" i="12"/>
  <c r="F126" i="12"/>
  <c r="F113" i="12"/>
  <c r="U152" i="2"/>
  <c r="AL151" i="2"/>
  <c r="I77" i="12"/>
  <c r="I103" i="12"/>
  <c r="M84" i="12"/>
  <c r="Q134" i="12"/>
  <c r="Q80" i="12"/>
  <c r="S53" i="12"/>
  <c r="F181" i="12"/>
  <c r="U87" i="2"/>
  <c r="P42" i="12"/>
  <c r="L63" i="12"/>
  <c r="T101" i="12"/>
  <c r="M27" i="12"/>
  <c r="N19" i="12"/>
  <c r="F28" i="12"/>
  <c r="U40" i="2"/>
  <c r="T109" i="12"/>
  <c r="X663" i="12"/>
  <c r="R156" i="12"/>
  <c r="K34" i="12"/>
  <c r="S120" i="12"/>
  <c r="P123" i="12"/>
  <c r="K300" i="12"/>
  <c r="R328" i="12"/>
  <c r="K185" i="12"/>
  <c r="F75" i="12"/>
  <c r="U134" i="2"/>
  <c r="I217" i="12"/>
  <c r="F221" i="12"/>
  <c r="U122" i="2"/>
  <c r="G93" i="12"/>
  <c r="F92" i="12"/>
  <c r="O35" i="12"/>
  <c r="L55" i="12"/>
  <c r="F37" i="12"/>
  <c r="U55" i="2"/>
  <c r="P26" i="12"/>
  <c r="M22" i="12"/>
  <c r="Q150" i="12"/>
  <c r="X633" i="12"/>
  <c r="G105" i="12"/>
  <c r="S114" i="12"/>
  <c r="O94" i="12"/>
  <c r="L352" i="12"/>
  <c r="K177" i="12"/>
  <c r="T112" i="12"/>
  <c r="G108" i="12"/>
  <c r="AR160" i="2"/>
  <c r="AQ160" i="2"/>
  <c r="L193" i="12"/>
  <c r="Q75" i="12"/>
  <c r="F86" i="12"/>
  <c r="S221" i="12"/>
  <c r="G164" i="12"/>
  <c r="J93" i="12"/>
  <c r="O109" i="12"/>
  <c r="R92" i="12"/>
  <c r="P341" i="12"/>
  <c r="P297" i="12"/>
  <c r="R297" i="12"/>
  <c r="I282" i="12"/>
  <c r="J77" i="12"/>
  <c r="F217" i="12"/>
  <c r="U128" i="2"/>
  <c r="I110" i="12"/>
  <c r="X620" i="12"/>
  <c r="AL103" i="2"/>
  <c r="Q99" i="12"/>
  <c r="S60" i="12"/>
  <c r="I36" i="12"/>
  <c r="I27" i="12"/>
  <c r="I20" i="12"/>
  <c r="O41" i="12"/>
  <c r="S91" i="12"/>
  <c r="M26" i="12"/>
  <c r="R43" i="12"/>
  <c r="S13" i="12"/>
  <c r="S11" i="12"/>
  <c r="M3" i="12"/>
  <c r="R10" i="3"/>
  <c r="R22" i="3" s="1"/>
  <c r="M44" i="12"/>
  <c r="G2" i="12"/>
  <c r="U106" i="2"/>
  <c r="P23" i="12"/>
  <c r="M137" i="12"/>
  <c r="N161" i="12"/>
  <c r="N73" i="12"/>
  <c r="Q173" i="12"/>
  <c r="K53" i="12"/>
  <c r="R15" i="12"/>
  <c r="R59" i="12"/>
  <c r="P25" i="12"/>
  <c r="AC625" i="12" l="1"/>
  <c r="U22" i="3"/>
  <c r="N22" i="3"/>
  <c r="AD640" i="12"/>
  <c r="H243" i="12"/>
  <c r="C243" i="12" s="1"/>
  <c r="H460" i="12"/>
  <c r="C460" i="12" s="1"/>
  <c r="H338" i="12"/>
  <c r="C338" i="12" s="1"/>
  <c r="I446" i="2" s="1"/>
  <c r="Y624" i="12"/>
  <c r="AD626" i="12"/>
  <c r="L22" i="3"/>
  <c r="V22" i="3"/>
  <c r="K22" i="3"/>
  <c r="T22" i="3"/>
  <c r="X22" i="3"/>
  <c r="Z22" i="3" s="1"/>
  <c r="W22" i="3"/>
  <c r="S22" i="3"/>
  <c r="Y661" i="12"/>
  <c r="H223" i="12"/>
  <c r="C223" i="12" s="1"/>
  <c r="H157" i="12"/>
  <c r="C157" i="12" s="1"/>
  <c r="I23" i="8" s="1"/>
  <c r="H142" i="12"/>
  <c r="C142" i="12" s="1"/>
  <c r="H394" i="12"/>
  <c r="C394" i="12" s="1"/>
  <c r="H21" i="12"/>
  <c r="C21" i="12" s="1"/>
  <c r="I30" i="2" s="1"/>
  <c r="Y653" i="12"/>
  <c r="H425" i="12"/>
  <c r="C425" i="12" s="1"/>
  <c r="H396" i="12"/>
  <c r="C396" i="12" s="1"/>
  <c r="I123" i="8" s="1"/>
  <c r="H492" i="12"/>
  <c r="C492" i="12" s="1"/>
  <c r="I641" i="2" s="1"/>
  <c r="H565" i="12"/>
  <c r="C565" i="12" s="1"/>
  <c r="I627" i="2" s="1"/>
  <c r="H522" i="12"/>
  <c r="C522" i="12" s="1"/>
  <c r="I646" i="2" s="1"/>
  <c r="H507" i="12"/>
  <c r="C507" i="12" s="1"/>
  <c r="I108" i="8" s="1"/>
  <c r="H533" i="12"/>
  <c r="C533" i="12" s="1"/>
  <c r="I171" i="8" s="1"/>
  <c r="AC615" i="12"/>
  <c r="H526" i="12"/>
  <c r="C526" i="12" s="1"/>
  <c r="I622" i="2" s="1"/>
  <c r="H333" i="12"/>
  <c r="C333" i="12" s="1"/>
  <c r="I595" i="2" s="1"/>
  <c r="AD624" i="12"/>
  <c r="Y662" i="12"/>
  <c r="H555" i="12"/>
  <c r="C555" i="12" s="1"/>
  <c r="I608" i="2" s="1"/>
  <c r="J608" i="2" s="1"/>
  <c r="H236" i="12"/>
  <c r="C236" i="12" s="1"/>
  <c r="I491" i="2" s="1"/>
  <c r="E109" i="5" s="1"/>
  <c r="H353" i="12"/>
  <c r="C353" i="12" s="1"/>
  <c r="I559" i="2" s="1"/>
  <c r="H342" i="12"/>
  <c r="C342" i="12" s="1"/>
  <c r="I564" i="2" s="1"/>
  <c r="H483" i="12"/>
  <c r="C483" i="12" s="1"/>
  <c r="H324" i="12"/>
  <c r="C324" i="12" s="1"/>
  <c r="I474" i="2"/>
  <c r="Y621" i="12"/>
  <c r="H514" i="12"/>
  <c r="C514" i="12" s="1"/>
  <c r="I182" i="8" s="1"/>
  <c r="H527" i="12"/>
  <c r="C527" i="12" s="1"/>
  <c r="I661" i="2" s="1"/>
  <c r="H311" i="12"/>
  <c r="C311" i="12" s="1"/>
  <c r="H326" i="12"/>
  <c r="C326" i="12" s="1"/>
  <c r="I555" i="2" s="1"/>
  <c r="E298" i="4" s="1"/>
  <c r="H540" i="12"/>
  <c r="C540" i="12" s="1"/>
  <c r="H438" i="12"/>
  <c r="C438" i="12" s="1"/>
  <c r="I135" i="8" s="1"/>
  <c r="AC617" i="12"/>
  <c r="H376" i="12"/>
  <c r="C376" i="12" s="1"/>
  <c r="I587" i="2" s="1"/>
  <c r="H495" i="12"/>
  <c r="C495" i="12" s="1"/>
  <c r="I597" i="2" s="1"/>
  <c r="H457" i="12"/>
  <c r="C457" i="12" s="1"/>
  <c r="E96" i="7"/>
  <c r="E253" i="4"/>
  <c r="J446" i="2"/>
  <c r="H32" i="12"/>
  <c r="C32" i="12" s="1"/>
  <c r="I35" i="2"/>
  <c r="H278" i="12"/>
  <c r="C278" i="12" s="1"/>
  <c r="H36" i="12"/>
  <c r="C36" i="12" s="1"/>
  <c r="Y619" i="12"/>
  <c r="H2" i="12"/>
  <c r="C2" i="12" s="1"/>
  <c r="I2" i="2" s="1"/>
  <c r="H352" i="12"/>
  <c r="C352" i="12" s="1"/>
  <c r="H450" i="12"/>
  <c r="C450" i="12" s="1"/>
  <c r="I604" i="2" s="1"/>
  <c r="E122" i="7" s="1"/>
  <c r="H231" i="12"/>
  <c r="C231" i="12" s="1"/>
  <c r="I344" i="2" s="1"/>
  <c r="AC648" i="12"/>
  <c r="AD615" i="12"/>
  <c r="J595" i="2"/>
  <c r="H468" i="12"/>
  <c r="C468" i="12" s="1"/>
  <c r="H379" i="12"/>
  <c r="C379" i="12" s="1"/>
  <c r="I517" i="2" s="1"/>
  <c r="H389" i="12"/>
  <c r="C389" i="12" s="1"/>
  <c r="H561" i="12"/>
  <c r="C561" i="12" s="1"/>
  <c r="H395" i="12"/>
  <c r="C395" i="12" s="1"/>
  <c r="I539" i="2" s="1"/>
  <c r="H303" i="12"/>
  <c r="C303" i="12" s="1"/>
  <c r="I426" i="2" s="1"/>
  <c r="H339" i="12"/>
  <c r="C339" i="12" s="1"/>
  <c r="I461" i="2" s="1"/>
  <c r="H351" i="12"/>
  <c r="C351" i="12" s="1"/>
  <c r="I534" i="2"/>
  <c r="H557" i="12"/>
  <c r="C557" i="12" s="1"/>
  <c r="H265" i="12"/>
  <c r="C265" i="12" s="1"/>
  <c r="I478" i="2"/>
  <c r="H361" i="12"/>
  <c r="C361" i="12" s="1"/>
  <c r="I469" i="2" s="1"/>
  <c r="E113" i="6" s="1"/>
  <c r="AD660" i="12"/>
  <c r="H521" i="12"/>
  <c r="C521" i="12" s="1"/>
  <c r="H435" i="12"/>
  <c r="C435" i="12" s="1"/>
  <c r="I594" i="2" s="1"/>
  <c r="H239" i="12"/>
  <c r="C239" i="12" s="1"/>
  <c r="I410" i="2" s="1"/>
  <c r="E93" i="6" s="1"/>
  <c r="H269" i="12"/>
  <c r="C269" i="12" s="1"/>
  <c r="I304" i="2" s="1"/>
  <c r="H512" i="12"/>
  <c r="C512" i="12" s="1"/>
  <c r="H542" i="12"/>
  <c r="C542" i="12" s="1"/>
  <c r="I565" i="2"/>
  <c r="Y664" i="12"/>
  <c r="AC620" i="12"/>
  <c r="H161" i="12"/>
  <c r="C161" i="12" s="1"/>
  <c r="I22" i="8" s="1"/>
  <c r="AD647" i="12"/>
  <c r="H235" i="12"/>
  <c r="C235" i="12" s="1"/>
  <c r="AC612" i="12"/>
  <c r="H366" i="12"/>
  <c r="C366" i="12" s="1"/>
  <c r="I97" i="8" s="1"/>
  <c r="H3" i="12"/>
  <c r="C3" i="12" s="1"/>
  <c r="I4" i="2" s="1"/>
  <c r="E3" i="7" s="1"/>
  <c r="M10" i="3"/>
  <c r="H286" i="12"/>
  <c r="C286" i="12" s="1"/>
  <c r="I383" i="2" s="1"/>
  <c r="E197" i="4" s="1"/>
  <c r="H496" i="12"/>
  <c r="C496" i="12" s="1"/>
  <c r="H413" i="12"/>
  <c r="C413" i="12" s="1"/>
  <c r="H541" i="12"/>
  <c r="C541" i="12" s="1"/>
  <c r="H553" i="12"/>
  <c r="C553" i="12" s="1"/>
  <c r="H162" i="12"/>
  <c r="C162" i="12" s="1"/>
  <c r="I265" i="2" s="1"/>
  <c r="H475" i="12"/>
  <c r="C475" i="12" s="1"/>
  <c r="H158" i="12"/>
  <c r="C158" i="12" s="1"/>
  <c r="I273" i="2" s="1"/>
  <c r="J273" i="2" s="1"/>
  <c r="H388" i="12"/>
  <c r="C388" i="12" s="1"/>
  <c r="I454" i="2" s="1"/>
  <c r="E102" i="7" s="1"/>
  <c r="H440" i="12"/>
  <c r="C440" i="12" s="1"/>
  <c r="I561" i="2" s="1"/>
  <c r="H372" i="12"/>
  <c r="C372" i="12" s="1"/>
  <c r="H242" i="12"/>
  <c r="C242" i="12" s="1"/>
  <c r="I422" i="2" s="1"/>
  <c r="H336" i="12"/>
  <c r="C336" i="12" s="1"/>
  <c r="I412" i="2" s="1"/>
  <c r="H306" i="12"/>
  <c r="C306" i="12" s="1"/>
  <c r="I501" i="2" s="1"/>
  <c r="H179" i="12"/>
  <c r="C179" i="12" s="1"/>
  <c r="I280" i="2" s="1"/>
  <c r="H518" i="12"/>
  <c r="C518" i="12" s="1"/>
  <c r="H321" i="12"/>
  <c r="C321" i="12" s="1"/>
  <c r="I540" i="2" s="1"/>
  <c r="H367" i="12"/>
  <c r="C367" i="12" s="1"/>
  <c r="I529" i="2" s="1"/>
  <c r="H497" i="12"/>
  <c r="C497" i="12" s="1"/>
  <c r="I603" i="2" s="1"/>
  <c r="H464" i="12"/>
  <c r="C464" i="12" s="1"/>
  <c r="I568" i="2" s="1"/>
  <c r="H597" i="12"/>
  <c r="C597" i="12" s="1"/>
  <c r="H582" i="12"/>
  <c r="C582" i="12" s="1"/>
  <c r="I198" i="8" s="1"/>
  <c r="H421" i="12"/>
  <c r="C421" i="12" s="1"/>
  <c r="I612" i="2" s="1"/>
  <c r="H255" i="12"/>
  <c r="C255" i="12" s="1"/>
  <c r="I483" i="2" s="1"/>
  <c r="H456" i="12"/>
  <c r="C456" i="12" s="1"/>
  <c r="H419" i="12"/>
  <c r="C419" i="12" s="1"/>
  <c r="E4" i="5"/>
  <c r="E3" i="4"/>
  <c r="H310" i="12"/>
  <c r="C310" i="12" s="1"/>
  <c r="I45" i="8" s="1"/>
  <c r="AD606" i="12"/>
  <c r="H148" i="12"/>
  <c r="C148" i="12" s="1"/>
  <c r="H273" i="12"/>
  <c r="C273" i="12" s="1"/>
  <c r="I58" i="8" s="1"/>
  <c r="AC663" i="12"/>
  <c r="AC616" i="12"/>
  <c r="AC644" i="12"/>
  <c r="AC664" i="12"/>
  <c r="AC646" i="12"/>
  <c r="AC638" i="12"/>
  <c r="AD659" i="12"/>
  <c r="H25" i="12"/>
  <c r="C25" i="12" s="1"/>
  <c r="I39" i="2" s="1"/>
  <c r="H6" i="12"/>
  <c r="C6" i="12" s="1"/>
  <c r="I9" i="2" s="1"/>
  <c r="J9" i="2" s="1"/>
  <c r="M6" i="3"/>
  <c r="H150" i="12"/>
  <c r="C150" i="12" s="1"/>
  <c r="I200" i="2" s="1"/>
  <c r="E119" i="4" s="1"/>
  <c r="H229" i="12"/>
  <c r="C229" i="12" s="1"/>
  <c r="I309" i="2" s="1"/>
  <c r="H387" i="12"/>
  <c r="C387" i="12" s="1"/>
  <c r="I116" i="8" s="1"/>
  <c r="H277" i="12"/>
  <c r="C277" i="12" s="1"/>
  <c r="H159" i="12"/>
  <c r="C159" i="12" s="1"/>
  <c r="I253" i="2" s="1"/>
  <c r="H169" i="12"/>
  <c r="C169" i="12" s="1"/>
  <c r="Y649" i="12"/>
  <c r="H343" i="12"/>
  <c r="C343" i="12" s="1"/>
  <c r="H309" i="12"/>
  <c r="C309" i="12" s="1"/>
  <c r="I55" i="8" s="1"/>
  <c r="I232" i="2"/>
  <c r="H165" i="12"/>
  <c r="C165" i="12" s="1"/>
  <c r="I306" i="2" s="1"/>
  <c r="H143" i="12"/>
  <c r="C143" i="12" s="1"/>
  <c r="I202" i="2" s="1"/>
  <c r="H216" i="12"/>
  <c r="C216" i="12" s="1"/>
  <c r="I230" i="2" s="1"/>
  <c r="AD631" i="12"/>
  <c r="H202" i="12"/>
  <c r="C202" i="12" s="1"/>
  <c r="I357" i="2" s="1"/>
  <c r="H191" i="12"/>
  <c r="C191" i="12" s="1"/>
  <c r="I212" i="2" s="1"/>
  <c r="H104" i="12"/>
  <c r="C104" i="12" s="1"/>
  <c r="I162" i="2" s="1"/>
  <c r="Y614" i="12"/>
  <c r="H448" i="12"/>
  <c r="C448" i="12" s="1"/>
  <c r="H147" i="12"/>
  <c r="C147" i="12" s="1"/>
  <c r="I205" i="2" s="1"/>
  <c r="H183" i="12"/>
  <c r="C183" i="12" s="1"/>
  <c r="I197" i="2" s="1"/>
  <c r="H335" i="12"/>
  <c r="C335" i="12" s="1"/>
  <c r="I467" i="2"/>
  <c r="AC666" i="12"/>
  <c r="H459" i="12"/>
  <c r="C459" i="12" s="1"/>
  <c r="H549" i="12"/>
  <c r="C549" i="12" s="1"/>
  <c r="H581" i="12"/>
  <c r="C581" i="12" s="1"/>
  <c r="H249" i="12"/>
  <c r="C249" i="12" s="1"/>
  <c r="I391" i="2" s="1"/>
  <c r="AC618" i="12"/>
  <c r="H253" i="12"/>
  <c r="C253" i="12" s="1"/>
  <c r="I377" i="2" s="1"/>
  <c r="AC632" i="12"/>
  <c r="H418" i="12"/>
  <c r="C418" i="12" s="1"/>
  <c r="I538" i="2" s="1"/>
  <c r="H525" i="12"/>
  <c r="C525" i="12" s="1"/>
  <c r="H572" i="12"/>
  <c r="C572" i="12" s="1"/>
  <c r="I210" i="8" s="1"/>
  <c r="H207" i="12"/>
  <c r="C207" i="12" s="1"/>
  <c r="I343" i="2" s="1"/>
  <c r="H510" i="12"/>
  <c r="C510" i="12" s="1"/>
  <c r="I157" i="8" s="1"/>
  <c r="H290" i="12"/>
  <c r="C290" i="12" s="1"/>
  <c r="H488" i="12"/>
  <c r="C488" i="12" s="1"/>
  <c r="H601" i="12"/>
  <c r="C601" i="12" s="1"/>
  <c r="I664" i="2" s="1"/>
  <c r="AD658" i="12"/>
  <c r="H233" i="12"/>
  <c r="C233" i="12" s="1"/>
  <c r="I375" i="2" s="1"/>
  <c r="AD648" i="12"/>
  <c r="H365" i="12"/>
  <c r="C365" i="12" s="1"/>
  <c r="AC623" i="12"/>
  <c r="H402" i="12"/>
  <c r="C402" i="12" s="1"/>
  <c r="I102" i="8" s="1"/>
  <c r="AC611" i="12"/>
  <c r="H423" i="12"/>
  <c r="C423" i="12" s="1"/>
  <c r="I487" i="2" s="1"/>
  <c r="H577" i="12"/>
  <c r="C577" i="12" s="1"/>
  <c r="H530" i="12"/>
  <c r="C530" i="12" s="1"/>
  <c r="I186" i="8" s="1"/>
  <c r="Y626" i="12"/>
  <c r="H602" i="12"/>
  <c r="C602" i="12" s="1"/>
  <c r="I213" i="8" s="1"/>
  <c r="H282" i="12"/>
  <c r="C282" i="12" s="1"/>
  <c r="H285" i="12"/>
  <c r="C285" i="12" s="1"/>
  <c r="I413" i="2" s="1"/>
  <c r="H400" i="12"/>
  <c r="C400" i="12" s="1"/>
  <c r="I148" i="8" s="1"/>
  <c r="H596" i="12"/>
  <c r="C596" i="12" s="1"/>
  <c r="I658" i="2" s="1"/>
  <c r="J658" i="2" s="1"/>
  <c r="H584" i="12"/>
  <c r="C584" i="12" s="1"/>
  <c r="I654" i="2" s="1"/>
  <c r="J654" i="2" s="1"/>
  <c r="AC630" i="12"/>
  <c r="AC660" i="12"/>
  <c r="H322" i="12"/>
  <c r="C322" i="12" s="1"/>
  <c r="I448" i="2" s="1"/>
  <c r="I633" i="2"/>
  <c r="Y634" i="12"/>
  <c r="H77" i="12"/>
  <c r="C77" i="12" s="1"/>
  <c r="I133" i="2" s="1"/>
  <c r="E43" i="5" s="1"/>
  <c r="H59" i="12"/>
  <c r="C59" i="12" s="1"/>
  <c r="I92" i="2" s="1"/>
  <c r="H53" i="12"/>
  <c r="C53" i="12" s="1"/>
  <c r="I99" i="2" s="1"/>
  <c r="H12" i="12"/>
  <c r="C12" i="12" s="1"/>
  <c r="H84" i="12"/>
  <c r="C84" i="12" s="1"/>
  <c r="I114" i="2" s="1"/>
  <c r="J114" i="2" s="1"/>
  <c r="H55" i="12"/>
  <c r="C55" i="12" s="1"/>
  <c r="H427" i="12"/>
  <c r="C427" i="12" s="1"/>
  <c r="I101" i="8" s="1"/>
  <c r="H128" i="12"/>
  <c r="C128" i="12" s="1"/>
  <c r="H113" i="12"/>
  <c r="C113" i="12" s="1"/>
  <c r="I152" i="2" s="1"/>
  <c r="E51" i="5" s="1"/>
  <c r="H208" i="12"/>
  <c r="C208" i="12" s="1"/>
  <c r="AD612" i="12"/>
  <c r="H58" i="12"/>
  <c r="C58" i="12" s="1"/>
  <c r="I10" i="8" s="1"/>
  <c r="H89" i="12"/>
  <c r="C89" i="12" s="1"/>
  <c r="I88" i="2" s="1"/>
  <c r="Y657" i="12"/>
  <c r="H476" i="12"/>
  <c r="C476" i="12" s="1"/>
  <c r="H516" i="12"/>
  <c r="C516" i="12" s="1"/>
  <c r="I190" i="8" s="1"/>
  <c r="H537" i="12"/>
  <c r="C537" i="12" s="1"/>
  <c r="I656" i="2" s="1"/>
  <c r="J656" i="2" s="1"/>
  <c r="AC637" i="12"/>
  <c r="H182" i="12"/>
  <c r="C182" i="12" s="1"/>
  <c r="I241" i="2" s="1"/>
  <c r="H29" i="12"/>
  <c r="C29" i="12" s="1"/>
  <c r="I7" i="8" s="1"/>
  <c r="I19" i="2"/>
  <c r="AD637" i="12"/>
  <c r="Y606" i="12"/>
  <c r="F6" i="3"/>
  <c r="H209" i="12"/>
  <c r="C209" i="12" s="1"/>
  <c r="H8" i="12"/>
  <c r="C8" i="12" s="1"/>
  <c r="I6" i="2"/>
  <c r="AD618" i="12"/>
  <c r="H107" i="12"/>
  <c r="C107" i="12" s="1"/>
  <c r="I19" i="8" s="1"/>
  <c r="H83" i="12"/>
  <c r="C83" i="12" s="1"/>
  <c r="I97" i="2" s="1"/>
  <c r="H85" i="12"/>
  <c r="C85" i="12" s="1"/>
  <c r="I11" i="8" s="1"/>
  <c r="H195" i="12"/>
  <c r="C195" i="12" s="1"/>
  <c r="H13" i="12"/>
  <c r="C13" i="12" s="1"/>
  <c r="I18" i="2" s="1"/>
  <c r="H17" i="12"/>
  <c r="C17" i="12" s="1"/>
  <c r="I20" i="2" s="1"/>
  <c r="H121" i="12"/>
  <c r="C121" i="12" s="1"/>
  <c r="I140" i="2" s="1"/>
  <c r="H93" i="12"/>
  <c r="C93" i="12" s="1"/>
  <c r="I116" i="2"/>
  <c r="AC627" i="12"/>
  <c r="H383" i="12"/>
  <c r="C383" i="12" s="1"/>
  <c r="AC652" i="12"/>
  <c r="AD663" i="12"/>
  <c r="AD613" i="12"/>
  <c r="AD614" i="12"/>
  <c r="AD651" i="12"/>
  <c r="AD604" i="12"/>
  <c r="AD629" i="12"/>
  <c r="AD638" i="12"/>
  <c r="AD628" i="12"/>
  <c r="AD619" i="12"/>
  <c r="AD664" i="12"/>
  <c r="AD609" i="12"/>
  <c r="AD646" i="12"/>
  <c r="AD644" i="12"/>
  <c r="H81" i="12"/>
  <c r="C81" i="12" s="1"/>
  <c r="I76" i="2" s="1"/>
  <c r="AD655" i="12"/>
  <c r="AD605" i="12"/>
  <c r="H317" i="12"/>
  <c r="C317" i="12" s="1"/>
  <c r="I433" i="2" s="1"/>
  <c r="H126" i="12"/>
  <c r="C126" i="12" s="1"/>
  <c r="I182" i="2" s="1"/>
  <c r="Y613" i="12"/>
  <c r="H248" i="12"/>
  <c r="C248" i="12" s="1"/>
  <c r="I401" i="2" s="1"/>
  <c r="AC605" i="12"/>
  <c r="H187" i="12"/>
  <c r="C187" i="12" s="1"/>
  <c r="I203" i="2" s="1"/>
  <c r="H170" i="12"/>
  <c r="C170" i="12" s="1"/>
  <c r="I171" i="2" s="1"/>
  <c r="H246" i="12"/>
  <c r="C246" i="12" s="1"/>
  <c r="I339" i="2" s="1"/>
  <c r="I272" i="2"/>
  <c r="H34" i="12"/>
  <c r="C34" i="12" s="1"/>
  <c r="I50" i="2" s="1"/>
  <c r="E17" i="7" s="1"/>
  <c r="AC604" i="12"/>
  <c r="H412" i="12"/>
  <c r="C412" i="12" s="1"/>
  <c r="H232" i="12"/>
  <c r="C232" i="12" s="1"/>
  <c r="I292" i="2" s="1"/>
  <c r="H406" i="12"/>
  <c r="C406" i="12" s="1"/>
  <c r="I93" i="8" s="1"/>
  <c r="Y623" i="12"/>
  <c r="AC635" i="12"/>
  <c r="I193" i="2"/>
  <c r="H391" i="12"/>
  <c r="C391" i="12" s="1"/>
  <c r="I88" i="8" s="1"/>
  <c r="H292" i="12"/>
  <c r="C292" i="12" s="1"/>
  <c r="I407" i="2" s="1"/>
  <c r="H566" i="12"/>
  <c r="C566" i="12" s="1"/>
  <c r="H211" i="12"/>
  <c r="C211" i="12" s="1"/>
  <c r="I50" i="8" s="1"/>
  <c r="I172" i="2"/>
  <c r="AD666" i="12"/>
  <c r="H241" i="12"/>
  <c r="C241" i="12" s="1"/>
  <c r="I323" i="2" s="1"/>
  <c r="H544" i="12"/>
  <c r="C544" i="12" s="1"/>
  <c r="I132" i="8" s="1"/>
  <c r="H528" i="12"/>
  <c r="C528" i="12" s="1"/>
  <c r="H356" i="12"/>
  <c r="C356" i="12" s="1"/>
  <c r="I482" i="2"/>
  <c r="H571" i="12"/>
  <c r="C571" i="12" s="1"/>
  <c r="I212" i="8" s="1"/>
  <c r="J604" i="2"/>
  <c r="H573" i="12"/>
  <c r="C573" i="12" s="1"/>
  <c r="H482" i="12"/>
  <c r="C482" i="12" s="1"/>
  <c r="I161" i="8" s="1"/>
  <c r="H431" i="12"/>
  <c r="C431" i="12" s="1"/>
  <c r="I588" i="2" s="1"/>
  <c r="H520" i="12"/>
  <c r="C520" i="12" s="1"/>
  <c r="I444" i="2"/>
  <c r="H568" i="12"/>
  <c r="C568" i="12" s="1"/>
  <c r="I645" i="2" s="1"/>
  <c r="AC658" i="12"/>
  <c r="E115" i="5"/>
  <c r="H178" i="12"/>
  <c r="C178" i="12" s="1"/>
  <c r="I294" i="2" s="1"/>
  <c r="E78" i="6" s="1"/>
  <c r="H345" i="12"/>
  <c r="C345" i="12" s="1"/>
  <c r="I530" i="2" s="1"/>
  <c r="H449" i="12"/>
  <c r="C449" i="12" s="1"/>
  <c r="I593" i="2" s="1"/>
  <c r="I288" i="2"/>
  <c r="H280" i="12"/>
  <c r="C280" i="12" s="1"/>
  <c r="I520" i="2" s="1"/>
  <c r="H330" i="12"/>
  <c r="C330" i="12" s="1"/>
  <c r="I436" i="2" s="1"/>
  <c r="J436" i="2" s="1"/>
  <c r="AC621" i="12"/>
  <c r="H559" i="12"/>
  <c r="C559" i="12" s="1"/>
  <c r="I616" i="2" s="1"/>
  <c r="H523" i="12"/>
  <c r="C523" i="12" s="1"/>
  <c r="I637" i="2" s="1"/>
  <c r="J637" i="2" s="1"/>
  <c r="H444" i="12"/>
  <c r="C444" i="12" s="1"/>
  <c r="I133" i="8" s="1"/>
  <c r="I453" i="2"/>
  <c r="H369" i="12"/>
  <c r="C369" i="12" s="1"/>
  <c r="I536" i="2" s="1"/>
  <c r="E116" i="6" s="1"/>
  <c r="H547" i="12"/>
  <c r="C547" i="12" s="1"/>
  <c r="H371" i="12"/>
  <c r="C371" i="12" s="1"/>
  <c r="I473" i="2" s="1"/>
  <c r="J473" i="2" s="1"/>
  <c r="H283" i="12"/>
  <c r="C283" i="12" s="1"/>
  <c r="I462" i="2" s="1"/>
  <c r="H509" i="12"/>
  <c r="C509" i="12" s="1"/>
  <c r="AC607" i="12"/>
  <c r="H94" i="12"/>
  <c r="C94" i="12" s="1"/>
  <c r="I131" i="2" s="1"/>
  <c r="H14" i="12"/>
  <c r="C14" i="12" s="1"/>
  <c r="I13" i="2" s="1"/>
  <c r="E8" i="7" s="1"/>
  <c r="H160" i="12"/>
  <c r="C160" i="12" s="1"/>
  <c r="I174" i="2" s="1"/>
  <c r="E58" i="5" s="1"/>
  <c r="H87" i="12"/>
  <c r="C87" i="12" s="1"/>
  <c r="H42" i="12"/>
  <c r="C42" i="12" s="1"/>
  <c r="I83" i="2" s="1"/>
  <c r="H167" i="12"/>
  <c r="C167" i="12" s="1"/>
  <c r="I217" i="2" s="1"/>
  <c r="H501" i="12"/>
  <c r="C501" i="12" s="1"/>
  <c r="H67" i="12"/>
  <c r="C67" i="12" s="1"/>
  <c r="AC608" i="12"/>
  <c r="AC631" i="12"/>
  <c r="H301" i="12"/>
  <c r="C301" i="12" s="1"/>
  <c r="I75" i="8" s="1"/>
  <c r="AD610" i="12"/>
  <c r="H221" i="12"/>
  <c r="C221" i="12" s="1"/>
  <c r="I34" i="8" s="1"/>
  <c r="H197" i="12"/>
  <c r="C197" i="12" s="1"/>
  <c r="H153" i="12"/>
  <c r="C153" i="12" s="1"/>
  <c r="I245" i="2" s="1"/>
  <c r="E66" i="6" s="1"/>
  <c r="H135" i="12"/>
  <c r="C135" i="12" s="1"/>
  <c r="I161" i="2" s="1"/>
  <c r="H192" i="12"/>
  <c r="C192" i="12" s="1"/>
  <c r="I36" i="8" s="1"/>
  <c r="H98" i="12"/>
  <c r="C98" i="12" s="1"/>
  <c r="H95" i="12"/>
  <c r="C95" i="12" s="1"/>
  <c r="I143" i="2" s="1"/>
  <c r="H108" i="12"/>
  <c r="C108" i="12" s="1"/>
  <c r="I175" i="2" s="1"/>
  <c r="AD622" i="12"/>
  <c r="AD653" i="12"/>
  <c r="I57" i="2"/>
  <c r="AD665" i="12"/>
  <c r="H56" i="12"/>
  <c r="C56" i="12" s="1"/>
  <c r="I5" i="8" s="1"/>
  <c r="H175" i="12"/>
  <c r="C175" i="12" s="1"/>
  <c r="I260" i="2" s="1"/>
  <c r="E80" i="5" s="1"/>
  <c r="H114" i="12"/>
  <c r="C114" i="12" s="1"/>
  <c r="I135" i="2"/>
  <c r="H27" i="12"/>
  <c r="C27" i="12" s="1"/>
  <c r="I58" i="2"/>
  <c r="AD627" i="12"/>
  <c r="H38" i="12"/>
  <c r="C38" i="12" s="1"/>
  <c r="H90" i="12"/>
  <c r="C90" i="12" s="1"/>
  <c r="I113" i="2" s="1"/>
  <c r="E38" i="6" s="1"/>
  <c r="AD652" i="12"/>
  <c r="H24" i="12"/>
  <c r="C24" i="12" s="1"/>
  <c r="I78" i="2" s="1"/>
  <c r="E26" i="5" s="1"/>
  <c r="AC641" i="12"/>
  <c r="H40" i="12"/>
  <c r="C40" i="12" s="1"/>
  <c r="I82" i="2" s="1"/>
  <c r="Y663" i="12"/>
  <c r="AC655" i="12"/>
  <c r="H31" i="12"/>
  <c r="C31" i="12" s="1"/>
  <c r="I29" i="2" s="1"/>
  <c r="E21" i="4" s="1"/>
  <c r="H424" i="12"/>
  <c r="C424" i="12" s="1"/>
  <c r="H196" i="12"/>
  <c r="C196" i="12" s="1"/>
  <c r="I381" i="2" s="1"/>
  <c r="E69" i="6" s="1"/>
  <c r="H177" i="12"/>
  <c r="C177" i="12" s="1"/>
  <c r="I206" i="2" s="1"/>
  <c r="H103" i="12"/>
  <c r="C103" i="12" s="1"/>
  <c r="I120" i="2" s="1"/>
  <c r="AC619" i="12"/>
  <c r="H320" i="12"/>
  <c r="C320" i="12" s="1"/>
  <c r="I414" i="2" s="1"/>
  <c r="I48" i="2"/>
  <c r="H146" i="12"/>
  <c r="C146" i="12" s="1"/>
  <c r="I258" i="2" s="1"/>
  <c r="H149" i="12"/>
  <c r="C149" i="12" s="1"/>
  <c r="Y608" i="12"/>
  <c r="H124" i="12"/>
  <c r="C124" i="12" s="1"/>
  <c r="I224" i="2" s="1"/>
  <c r="H110" i="12"/>
  <c r="C110" i="12" s="1"/>
  <c r="I111" i="2" s="1"/>
  <c r="J111" i="2" s="1"/>
  <c r="H97" i="12"/>
  <c r="C97" i="12" s="1"/>
  <c r="I307" i="2" s="1"/>
  <c r="E36" i="7" s="1"/>
  <c r="Y612" i="12"/>
  <c r="Y639" i="12"/>
  <c r="H575" i="12"/>
  <c r="C575" i="12" s="1"/>
  <c r="I160" i="8" s="1"/>
  <c r="H96" i="12"/>
  <c r="C96" i="12" s="1"/>
  <c r="I98" i="2" s="1"/>
  <c r="Y631" i="12"/>
  <c r="H141" i="12"/>
  <c r="C141" i="12" s="1"/>
  <c r="I207" i="2" s="1"/>
  <c r="E48" i="6" s="1"/>
  <c r="H378" i="12"/>
  <c r="C378" i="12" s="1"/>
  <c r="I566" i="2" s="1"/>
  <c r="AD650" i="12"/>
  <c r="E168" i="5"/>
  <c r="E309" i="4"/>
  <c r="J594" i="2"/>
  <c r="Y628" i="12"/>
  <c r="H536" i="12"/>
  <c r="C536" i="12" s="1"/>
  <c r="H368" i="12"/>
  <c r="C368" i="12" s="1"/>
  <c r="I96" i="8" s="1"/>
  <c r="Y660" i="12"/>
  <c r="H414" i="12"/>
  <c r="C414" i="12" s="1"/>
  <c r="I619" i="2" s="1"/>
  <c r="H598" i="12"/>
  <c r="C598" i="12" s="1"/>
  <c r="I665" i="2" s="1"/>
  <c r="E205" i="5" s="1"/>
  <c r="AC609" i="12"/>
  <c r="H206" i="12"/>
  <c r="C206" i="12" s="1"/>
  <c r="I275" i="2" s="1"/>
  <c r="E76" i="7" s="1"/>
  <c r="H538" i="12"/>
  <c r="C538" i="12" s="1"/>
  <c r="AC626" i="12"/>
  <c r="H323" i="12"/>
  <c r="C323" i="12" s="1"/>
  <c r="I423" i="2" s="1"/>
  <c r="E209" i="4" s="1"/>
  <c r="H295" i="12"/>
  <c r="C295" i="12" s="1"/>
  <c r="I440" i="2" s="1"/>
  <c r="Y644" i="12"/>
  <c r="Y640" i="12"/>
  <c r="H499" i="12"/>
  <c r="C499" i="12" s="1"/>
  <c r="I586" i="2" s="1"/>
  <c r="H465" i="12"/>
  <c r="C465" i="12" s="1"/>
  <c r="I572" i="2" s="1"/>
  <c r="J572" i="2" s="1"/>
  <c r="AC634" i="12"/>
  <c r="AD621" i="12"/>
  <c r="H349" i="12"/>
  <c r="C349" i="12" s="1"/>
  <c r="I544" i="2" s="1"/>
  <c r="H437" i="12"/>
  <c r="C437" i="12" s="1"/>
  <c r="I625" i="2" s="1"/>
  <c r="E344" i="4" s="1"/>
  <c r="H591" i="12"/>
  <c r="C591" i="12" s="1"/>
  <c r="H592" i="12"/>
  <c r="C592" i="12" s="1"/>
  <c r="AD630" i="12"/>
  <c r="H230" i="12"/>
  <c r="C230" i="12" s="1"/>
  <c r="I535" i="2" s="1"/>
  <c r="J535" i="2" s="1"/>
  <c r="H237" i="12"/>
  <c r="C237" i="12" s="1"/>
  <c r="I259" i="2" s="1"/>
  <c r="J259" i="2" s="1"/>
  <c r="H430" i="12"/>
  <c r="C430" i="12" s="1"/>
  <c r="H579" i="12"/>
  <c r="C579" i="12" s="1"/>
  <c r="H529" i="12"/>
  <c r="C529" i="12" s="1"/>
  <c r="I643" i="2" s="1"/>
  <c r="H224" i="12"/>
  <c r="C224" i="12" s="1"/>
  <c r="I290" i="2" s="1"/>
  <c r="E74" i="7" s="1"/>
  <c r="H524" i="12"/>
  <c r="C524" i="12" s="1"/>
  <c r="I120" i="8" s="1"/>
  <c r="AC662" i="12"/>
  <c r="AD607" i="12"/>
  <c r="E42" i="5"/>
  <c r="E28" i="7"/>
  <c r="E66" i="4"/>
  <c r="J88" i="2"/>
  <c r="H318" i="12"/>
  <c r="C318" i="12" s="1"/>
  <c r="AC606" i="12"/>
  <c r="Y633" i="12"/>
  <c r="H151" i="12"/>
  <c r="C151" i="12" s="1"/>
  <c r="I310" i="2" s="1"/>
  <c r="H441" i="12"/>
  <c r="C441" i="12" s="1"/>
  <c r="H219" i="12"/>
  <c r="C219" i="12" s="1"/>
  <c r="I39" i="8" s="1"/>
  <c r="H65" i="12"/>
  <c r="C65" i="12" s="1"/>
  <c r="H91" i="12"/>
  <c r="C91" i="12" s="1"/>
  <c r="I13" i="8" s="1"/>
  <c r="H9" i="12"/>
  <c r="C9" i="12" s="1"/>
  <c r="I15" i="2" s="1"/>
  <c r="H82" i="12"/>
  <c r="C82" i="12" s="1"/>
  <c r="I170" i="2" s="1"/>
  <c r="H88" i="12"/>
  <c r="C88" i="12" s="1"/>
  <c r="I141" i="2" s="1"/>
  <c r="H109" i="12"/>
  <c r="C109" i="12" s="1"/>
  <c r="I108" i="2" s="1"/>
  <c r="H48" i="12"/>
  <c r="C48" i="12" s="1"/>
  <c r="I63" i="2" s="1"/>
  <c r="H189" i="12"/>
  <c r="C189" i="12" s="1"/>
  <c r="I240" i="2" s="1"/>
  <c r="AC622" i="12"/>
  <c r="H73" i="12"/>
  <c r="C73" i="12" s="1"/>
  <c r="I124" i="2" s="1"/>
  <c r="H7" i="12"/>
  <c r="C7" i="12" s="1"/>
  <c r="I5" i="2" s="1"/>
  <c r="E59" i="4"/>
  <c r="J76" i="2"/>
  <c r="H260" i="12"/>
  <c r="C260" i="12" s="1"/>
  <c r="I282" i="2"/>
  <c r="AC614" i="12"/>
  <c r="H174" i="12"/>
  <c r="C174" i="12" s="1"/>
  <c r="I229" i="2" s="1"/>
  <c r="Y645" i="12"/>
  <c r="H112" i="12"/>
  <c r="C112" i="12" s="1"/>
  <c r="I178" i="2" s="1"/>
  <c r="H433" i="12"/>
  <c r="C433" i="12" s="1"/>
  <c r="I90" i="8" s="1"/>
  <c r="H506" i="12"/>
  <c r="C506" i="12" s="1"/>
  <c r="I103" i="8" s="1"/>
  <c r="H131" i="12"/>
  <c r="C131" i="12" s="1"/>
  <c r="I270" i="2" s="1"/>
  <c r="E84" i="5" s="1"/>
  <c r="H407" i="12"/>
  <c r="C407" i="12" s="1"/>
  <c r="I66" i="8" s="1"/>
  <c r="H500" i="12"/>
  <c r="C500" i="12" s="1"/>
  <c r="H155" i="12"/>
  <c r="C155" i="12" s="1"/>
  <c r="I189" i="2" s="1"/>
  <c r="E56" i="7" s="1"/>
  <c r="H429" i="12"/>
  <c r="C429" i="12" s="1"/>
  <c r="I115" i="8" s="1"/>
  <c r="H534" i="12"/>
  <c r="C534" i="12" s="1"/>
  <c r="I166" i="8" s="1"/>
  <c r="I409" i="2"/>
  <c r="H52" i="12"/>
  <c r="C52" i="12" s="1"/>
  <c r="I123" i="2" s="1"/>
  <c r="H184" i="12"/>
  <c r="C184" i="12" s="1"/>
  <c r="I283" i="2" s="1"/>
  <c r="H63" i="12"/>
  <c r="C63" i="12" s="1"/>
  <c r="I77" i="2" s="1"/>
  <c r="Y627" i="12"/>
  <c r="H531" i="12"/>
  <c r="C531" i="12" s="1"/>
  <c r="I159" i="8" s="1"/>
  <c r="I395" i="2"/>
  <c r="H490" i="12"/>
  <c r="C490" i="12" s="1"/>
  <c r="I145" i="8" s="1"/>
  <c r="H18" i="12"/>
  <c r="C18" i="12" s="1"/>
  <c r="I41" i="2" s="1"/>
  <c r="E14" i="5" s="1"/>
  <c r="H145" i="12"/>
  <c r="C145" i="12" s="1"/>
  <c r="I184" i="2" s="1"/>
  <c r="J184" i="2" s="1"/>
  <c r="H215" i="12"/>
  <c r="C215" i="12" s="1"/>
  <c r="I349" i="2" s="1"/>
  <c r="H426" i="12"/>
  <c r="C426" i="12" s="1"/>
  <c r="I117" i="8" s="1"/>
  <c r="H314" i="12"/>
  <c r="C314" i="12" s="1"/>
  <c r="H238" i="12"/>
  <c r="C238" i="12" s="1"/>
  <c r="I335" i="2" s="1"/>
  <c r="AC650" i="12"/>
  <c r="H590" i="12"/>
  <c r="C590" i="12" s="1"/>
  <c r="I657" i="2" s="1"/>
  <c r="H554" i="12"/>
  <c r="C554" i="12" s="1"/>
  <c r="H347" i="12"/>
  <c r="C347" i="12" s="1"/>
  <c r="I632" i="2" s="1"/>
  <c r="H259" i="12"/>
  <c r="C259" i="12" s="1"/>
  <c r="I366" i="2" s="1"/>
  <c r="H480" i="12"/>
  <c r="C480" i="12" s="1"/>
  <c r="I553" i="2" s="1"/>
  <c r="E130" i="6" s="1"/>
  <c r="I382" i="2"/>
  <c r="H401" i="12"/>
  <c r="C401" i="12" s="1"/>
  <c r="I552" i="2" s="1"/>
  <c r="E127" i="6" s="1"/>
  <c r="H493" i="12"/>
  <c r="C493" i="12" s="1"/>
  <c r="AC628" i="12"/>
  <c r="H380" i="12"/>
  <c r="C380" i="12" s="1"/>
  <c r="I563" i="2" s="1"/>
  <c r="J563" i="2" s="1"/>
  <c r="H599" i="12"/>
  <c r="C599" i="12" s="1"/>
  <c r="I660" i="2"/>
  <c r="H245" i="12"/>
  <c r="C245" i="12" s="1"/>
  <c r="I363" i="2" s="1"/>
  <c r="H453" i="12"/>
  <c r="C453" i="12" s="1"/>
  <c r="H381" i="12"/>
  <c r="C381" i="12" s="1"/>
  <c r="I513" i="2" s="1"/>
  <c r="H570" i="12"/>
  <c r="C570" i="12" s="1"/>
  <c r="H551" i="12"/>
  <c r="C551" i="12" s="1"/>
  <c r="I640" i="2" s="1"/>
  <c r="E372" i="4" s="1"/>
  <c r="H436" i="12"/>
  <c r="C436" i="12" s="1"/>
  <c r="I652" i="2" s="1"/>
  <c r="E194" i="5" s="1"/>
  <c r="I610" i="2"/>
  <c r="H545" i="12"/>
  <c r="C545" i="12" s="1"/>
  <c r="I192" i="8" s="1"/>
  <c r="H190" i="12"/>
  <c r="C190" i="12" s="1"/>
  <c r="I340" i="2" s="1"/>
  <c r="H298" i="12"/>
  <c r="C298" i="12" s="1"/>
  <c r="I424" i="2" s="1"/>
  <c r="H481" i="12"/>
  <c r="C481" i="12" s="1"/>
  <c r="I581" i="2" s="1"/>
  <c r="H334" i="12"/>
  <c r="C334" i="12" s="1"/>
  <c r="I515" i="2" s="1"/>
  <c r="H439" i="12"/>
  <c r="C439" i="12" s="1"/>
  <c r="I549" i="2" s="1"/>
  <c r="H471" i="12"/>
  <c r="C471" i="12" s="1"/>
  <c r="I613" i="2" s="1"/>
  <c r="J613" i="2" s="1"/>
  <c r="E160" i="5"/>
  <c r="E287" i="4"/>
  <c r="J564" i="2"/>
  <c r="H271" i="12"/>
  <c r="C271" i="12" s="1"/>
  <c r="I532" i="2" s="1"/>
  <c r="E333" i="4"/>
  <c r="H304" i="12"/>
  <c r="C304" i="12" s="1"/>
  <c r="I442" i="2" s="1"/>
  <c r="H539" i="12"/>
  <c r="C539" i="12" s="1"/>
  <c r="I626" i="2" s="1"/>
  <c r="AD634" i="12"/>
  <c r="H354" i="12"/>
  <c r="C354" i="12" s="1"/>
  <c r="I562" i="2" s="1"/>
  <c r="H144" i="12"/>
  <c r="C144" i="12" s="1"/>
  <c r="I208" i="2" s="1"/>
  <c r="H247" i="12"/>
  <c r="C247" i="12" s="1"/>
  <c r="I286" i="2" s="1"/>
  <c r="H470" i="12"/>
  <c r="C470" i="12" s="1"/>
  <c r="I134" i="8" s="1"/>
  <c r="E269" i="4"/>
  <c r="E116" i="5"/>
  <c r="AC654" i="12"/>
  <c r="H473" i="12"/>
  <c r="C473" i="12" s="1"/>
  <c r="I321" i="2"/>
  <c r="H272" i="12"/>
  <c r="C272" i="12" s="1"/>
  <c r="I341" i="2" s="1"/>
  <c r="E90" i="6" s="1"/>
  <c r="AD662" i="12"/>
  <c r="H340" i="12"/>
  <c r="C340" i="12" s="1"/>
  <c r="I480" i="2" s="1"/>
  <c r="J480" i="2" s="1"/>
  <c r="H33" i="12"/>
  <c r="C33" i="12" s="1"/>
  <c r="I33" i="2" s="1"/>
  <c r="H72" i="12"/>
  <c r="C72" i="12" s="1"/>
  <c r="Y655" i="12"/>
  <c r="H262" i="12"/>
  <c r="C262" i="12" s="1"/>
  <c r="I268" i="2" s="1"/>
  <c r="J268" i="2" s="1"/>
  <c r="Y659" i="12"/>
  <c r="H374" i="12"/>
  <c r="C374" i="12" s="1"/>
  <c r="I119" i="8" s="1"/>
  <c r="H66" i="12"/>
  <c r="C66" i="12" s="1"/>
  <c r="I60" i="2" s="1"/>
  <c r="AD657" i="12"/>
  <c r="H217" i="12"/>
  <c r="C217" i="12" s="1"/>
  <c r="I40" i="8" s="1"/>
  <c r="H220" i="12"/>
  <c r="C220" i="12" s="1"/>
  <c r="I211" i="2" s="1"/>
  <c r="H117" i="12"/>
  <c r="C117" i="12" s="1"/>
  <c r="I146" i="2" s="1"/>
  <c r="H166" i="12"/>
  <c r="C166" i="12" s="1"/>
  <c r="I243" i="2" s="1"/>
  <c r="AC647" i="12"/>
  <c r="AC661" i="12"/>
  <c r="H129" i="12"/>
  <c r="C129" i="12" s="1"/>
  <c r="H115" i="12"/>
  <c r="C115" i="12" s="1"/>
  <c r="I145" i="2" s="1"/>
  <c r="E45" i="6" s="1"/>
  <c r="H127" i="12"/>
  <c r="C127" i="12" s="1"/>
  <c r="I187" i="2" s="1"/>
  <c r="J187" i="2" s="1"/>
  <c r="H111" i="12"/>
  <c r="C111" i="12" s="1"/>
  <c r="H173" i="12"/>
  <c r="C173" i="12" s="1"/>
  <c r="H16" i="12"/>
  <c r="C16" i="12" s="1"/>
  <c r="I3" i="8" s="1"/>
  <c r="M14" i="3"/>
  <c r="M22" i="3" s="1"/>
  <c r="Y635" i="12"/>
  <c r="AC665" i="12"/>
  <c r="H23" i="12"/>
  <c r="C23" i="12" s="1"/>
  <c r="I27" i="2" s="1"/>
  <c r="E17" i="4" s="1"/>
  <c r="H123" i="12"/>
  <c r="C123" i="12" s="1"/>
  <c r="I204" i="2" s="1"/>
  <c r="E44" i="7" s="1"/>
  <c r="H43" i="12"/>
  <c r="C43" i="12" s="1"/>
  <c r="H193" i="12"/>
  <c r="C193" i="12" s="1"/>
  <c r="H443" i="12"/>
  <c r="C443" i="12" s="1"/>
  <c r="I79" i="8" s="1"/>
  <c r="I249" i="2"/>
  <c r="H399" i="12"/>
  <c r="C399" i="12" s="1"/>
  <c r="E58" i="7"/>
  <c r="E128" i="4"/>
  <c r="J197" i="2"/>
  <c r="Y616" i="12"/>
  <c r="H222" i="12"/>
  <c r="C222" i="12" s="1"/>
  <c r="I328" i="2" s="1"/>
  <c r="H30" i="12"/>
  <c r="C30" i="12" s="1"/>
  <c r="I61" i="2" s="1"/>
  <c r="H47" i="12"/>
  <c r="C47" i="12" s="1"/>
  <c r="I101" i="2" s="1"/>
  <c r="H205" i="12"/>
  <c r="C205" i="12" s="1"/>
  <c r="I236" i="2" s="1"/>
  <c r="H227" i="12"/>
  <c r="C227" i="12" s="1"/>
  <c r="I308" i="2" s="1"/>
  <c r="H172" i="12"/>
  <c r="C172" i="12" s="1"/>
  <c r="I233" i="2" s="1"/>
  <c r="H199" i="12"/>
  <c r="C199" i="12" s="1"/>
  <c r="I262" i="2" s="1"/>
  <c r="H226" i="12"/>
  <c r="C226" i="12" s="1"/>
  <c r="I332" i="2" s="1"/>
  <c r="E92" i="6" s="1"/>
  <c r="H102" i="12"/>
  <c r="C102" i="12" s="1"/>
  <c r="I179" i="2" s="1"/>
  <c r="H132" i="12"/>
  <c r="C132" i="12" s="1"/>
  <c r="I169" i="2" s="1"/>
  <c r="H116" i="12"/>
  <c r="C116" i="12" s="1"/>
  <c r="I191" i="2" s="1"/>
  <c r="H300" i="12"/>
  <c r="C300" i="12" s="1"/>
  <c r="H307" i="12"/>
  <c r="C307" i="12" s="1"/>
  <c r="I74" i="8" s="1"/>
  <c r="H250" i="12"/>
  <c r="C250" i="12" s="1"/>
  <c r="I56" i="8" s="1"/>
  <c r="H403" i="12"/>
  <c r="C403" i="12" s="1"/>
  <c r="H458" i="12"/>
  <c r="C458" i="12" s="1"/>
  <c r="H532" i="12"/>
  <c r="C532" i="12" s="1"/>
  <c r="Y652" i="12"/>
  <c r="H188" i="12"/>
  <c r="C188" i="12" s="1"/>
  <c r="I370" i="2" s="1"/>
  <c r="J370" i="2" s="1"/>
  <c r="H264" i="12"/>
  <c r="C264" i="12" s="1"/>
  <c r="I397" i="2" s="1"/>
  <c r="E96" i="6" s="1"/>
  <c r="H588" i="12"/>
  <c r="C588" i="12" s="1"/>
  <c r="AD642" i="12"/>
  <c r="H567" i="12"/>
  <c r="C567" i="12" s="1"/>
  <c r="I636" i="2" s="1"/>
  <c r="AD616" i="12"/>
  <c r="H595" i="12"/>
  <c r="C595" i="12" s="1"/>
  <c r="H477" i="12"/>
  <c r="C477" i="12" s="1"/>
  <c r="I172" i="8" s="1"/>
  <c r="I516" i="2"/>
  <c r="H505" i="12"/>
  <c r="C505" i="12" s="1"/>
  <c r="E109" i="7"/>
  <c r="E321" i="4"/>
  <c r="I653" i="2"/>
  <c r="H585" i="12"/>
  <c r="C585" i="12" s="1"/>
  <c r="H171" i="12"/>
  <c r="C171" i="12" s="1"/>
  <c r="I325" i="2" s="1"/>
  <c r="J325" i="2" s="1"/>
  <c r="H358" i="12"/>
  <c r="C358" i="12" s="1"/>
  <c r="H287" i="12"/>
  <c r="C287" i="12" s="1"/>
  <c r="H478" i="12"/>
  <c r="C478" i="12" s="1"/>
  <c r="I624" i="2" s="1"/>
  <c r="H319" i="12"/>
  <c r="C319" i="12" s="1"/>
  <c r="I598" i="2" s="1"/>
  <c r="E162" i="5" s="1"/>
  <c r="H487" i="12"/>
  <c r="C487" i="12" s="1"/>
  <c r="I584" i="2" s="1"/>
  <c r="E144" i="6"/>
  <c r="H556" i="12"/>
  <c r="C556" i="12" s="1"/>
  <c r="I639" i="2" s="1"/>
  <c r="E146" i="6" s="1"/>
  <c r="H198" i="12"/>
  <c r="C198" i="12" s="1"/>
  <c r="I352" i="2" s="1"/>
  <c r="E85" i="5" s="1"/>
  <c r="H293" i="12"/>
  <c r="C293" i="12" s="1"/>
  <c r="I416" i="2" s="1"/>
  <c r="H455" i="12"/>
  <c r="C455" i="12" s="1"/>
  <c r="H484" i="12"/>
  <c r="C484" i="12" s="1"/>
  <c r="I623" i="2" s="1"/>
  <c r="E189" i="5" s="1"/>
  <c r="H576" i="12"/>
  <c r="C576" i="12" s="1"/>
  <c r="I662" i="2" s="1"/>
  <c r="AC610" i="12"/>
  <c r="I439" i="2"/>
  <c r="Y607" i="12"/>
  <c r="H254" i="12"/>
  <c r="C254" i="12" s="1"/>
  <c r="I403" i="2" s="1"/>
  <c r="I452" i="2"/>
  <c r="H442" i="12"/>
  <c r="C442" i="12" s="1"/>
  <c r="I599" i="2" s="1"/>
  <c r="E117" i="7" s="1"/>
  <c r="H386" i="12"/>
  <c r="C386" i="12" s="1"/>
  <c r="I499" i="2" s="1"/>
  <c r="H550" i="12"/>
  <c r="C550" i="12" s="1"/>
  <c r="I187" i="8" s="1"/>
  <c r="H348" i="12"/>
  <c r="C348" i="12" s="1"/>
  <c r="I468" i="2" s="1"/>
  <c r="J468" i="2" s="1"/>
  <c r="H363" i="12"/>
  <c r="C363" i="12" s="1"/>
  <c r="I611" i="2" s="1"/>
  <c r="H513" i="12"/>
  <c r="C513" i="12" s="1"/>
  <c r="I601" i="2" s="1"/>
  <c r="E188" i="5" s="1"/>
  <c r="H504" i="12"/>
  <c r="C504" i="12" s="1"/>
  <c r="H294" i="12"/>
  <c r="C294" i="12" s="1"/>
  <c r="I428" i="2" s="1"/>
  <c r="E128" i="5" s="1"/>
  <c r="H498" i="12"/>
  <c r="C498" i="12" s="1"/>
  <c r="I155" i="8" s="1"/>
  <c r="H308" i="12"/>
  <c r="C308" i="12" s="1"/>
  <c r="I542" i="2" s="1"/>
  <c r="E288" i="4" s="1"/>
  <c r="H589" i="12"/>
  <c r="C589" i="12" s="1"/>
  <c r="H560" i="12"/>
  <c r="C560" i="12" s="1"/>
  <c r="I189" i="8" s="1"/>
  <c r="H332" i="12"/>
  <c r="C332" i="12" s="1"/>
  <c r="I479" i="2" s="1"/>
  <c r="AD654" i="12"/>
  <c r="H370" i="12"/>
  <c r="C370" i="12" s="1"/>
  <c r="I543" i="2" s="1"/>
  <c r="H289" i="12"/>
  <c r="C289" i="12" s="1"/>
  <c r="I427" i="2" s="1"/>
  <c r="H240" i="12"/>
  <c r="C240" i="12" s="1"/>
  <c r="I399" i="2" s="1"/>
  <c r="H325" i="12"/>
  <c r="C325" i="12" s="1"/>
  <c r="I342" i="2" s="1"/>
  <c r="E204" i="4" s="1"/>
  <c r="H390" i="12"/>
  <c r="C390" i="12" s="1"/>
  <c r="I518" i="2" s="1"/>
  <c r="E275" i="4" s="1"/>
  <c r="I525" i="2"/>
  <c r="H28" i="12"/>
  <c r="C28" i="12" s="1"/>
  <c r="I40" i="2" s="1"/>
  <c r="H194" i="12"/>
  <c r="C194" i="12" s="1"/>
  <c r="I168" i="2" s="1"/>
  <c r="Y637" i="12"/>
  <c r="Y641" i="12"/>
  <c r="Y648" i="12"/>
  <c r="C648" i="12" s="1"/>
  <c r="Y646" i="12"/>
  <c r="C646" i="12" s="1"/>
  <c r="Y618" i="12"/>
  <c r="Y630" i="12"/>
  <c r="Y611" i="12"/>
  <c r="Y615" i="12"/>
  <c r="C615" i="12" s="1"/>
  <c r="H76" i="12"/>
  <c r="C76" i="12" s="1"/>
  <c r="AC629" i="12"/>
  <c r="Y665" i="12"/>
  <c r="H270" i="12"/>
  <c r="C270" i="12" s="1"/>
  <c r="I52" i="8" s="1"/>
  <c r="H452" i="12"/>
  <c r="C452" i="12" s="1"/>
  <c r="H4" i="12"/>
  <c r="C4" i="12" s="1"/>
  <c r="I3" i="2" s="1"/>
  <c r="E4" i="4" s="1"/>
  <c r="H80" i="12"/>
  <c r="C80" i="12" s="1"/>
  <c r="I102" i="2" s="1"/>
  <c r="AC657" i="12"/>
  <c r="H156" i="12"/>
  <c r="C156" i="12" s="1"/>
  <c r="H420" i="12"/>
  <c r="C420" i="12" s="1"/>
  <c r="Y625" i="12"/>
  <c r="H428" i="12"/>
  <c r="C428" i="12" s="1"/>
  <c r="I89" i="8" s="1"/>
  <c r="I247" i="2"/>
  <c r="H355" i="12"/>
  <c r="C355" i="12" s="1"/>
  <c r="I106" i="8" s="1"/>
  <c r="I139" i="2"/>
  <c r="AC640" i="12"/>
  <c r="H580" i="12"/>
  <c r="C580" i="12" s="1"/>
  <c r="I188" i="8" s="1"/>
  <c r="H134" i="12"/>
  <c r="C134" i="12" s="1"/>
  <c r="I106" i="2" s="1"/>
  <c r="H137" i="12"/>
  <c r="C137" i="12" s="1"/>
  <c r="H54" i="12"/>
  <c r="C54" i="12" s="1"/>
  <c r="I54" i="2" s="1"/>
  <c r="AC639" i="12"/>
  <c r="AD661" i="12"/>
  <c r="H51" i="12"/>
  <c r="C51" i="12" s="1"/>
  <c r="I36" i="2" s="1"/>
  <c r="H20" i="12"/>
  <c r="C20" i="12" s="1"/>
  <c r="I52" i="2" s="1"/>
  <c r="H130" i="12"/>
  <c r="C130" i="12" s="1"/>
  <c r="I235" i="2" s="1"/>
  <c r="E52" i="7" s="1"/>
  <c r="H106" i="12"/>
  <c r="C106" i="12" s="1"/>
  <c r="H64" i="12"/>
  <c r="C64" i="12" s="1"/>
  <c r="I127" i="2" s="1"/>
  <c r="H46" i="12"/>
  <c r="C46" i="12" s="1"/>
  <c r="I86" i="2" s="1"/>
  <c r="AD641" i="12"/>
  <c r="H60" i="12"/>
  <c r="C60" i="12" s="1"/>
  <c r="I80" i="2" s="1"/>
  <c r="H62" i="12"/>
  <c r="C62" i="12" s="1"/>
  <c r="I73" i="2" s="1"/>
  <c r="H101" i="12"/>
  <c r="C101" i="12" s="1"/>
  <c r="H201" i="12"/>
  <c r="C201" i="12" s="1"/>
  <c r="I237" i="2"/>
  <c r="Y658" i="12"/>
  <c r="C658" i="12" s="1"/>
  <c r="I34" i="9" s="1"/>
  <c r="H517" i="12"/>
  <c r="C517" i="12" s="1"/>
  <c r="I174" i="8" s="1"/>
  <c r="AC613" i="12"/>
  <c r="H305" i="12"/>
  <c r="C305" i="12" s="1"/>
  <c r="I54" i="8" s="1"/>
  <c r="I214" i="2"/>
  <c r="H562" i="12"/>
  <c r="C562" i="12" s="1"/>
  <c r="I114" i="8" s="1"/>
  <c r="I359" i="2"/>
  <c r="H409" i="12"/>
  <c r="C409" i="12" s="1"/>
  <c r="I112" i="8" s="1"/>
  <c r="H275" i="12"/>
  <c r="C275" i="12" s="1"/>
  <c r="I46" i="8" s="1"/>
  <c r="Y632" i="12"/>
  <c r="H296" i="12"/>
  <c r="C296" i="12" s="1"/>
  <c r="I338" i="2" s="1"/>
  <c r="H302" i="12"/>
  <c r="C302" i="12" s="1"/>
  <c r="H398" i="12"/>
  <c r="C398" i="12" s="1"/>
  <c r="H244" i="12"/>
  <c r="C244" i="12" s="1"/>
  <c r="I64" i="8" s="1"/>
  <c r="H186" i="12"/>
  <c r="C186" i="12" s="1"/>
  <c r="I33" i="8" s="1"/>
  <c r="H331" i="12"/>
  <c r="C331" i="12" s="1"/>
  <c r="I486" i="2" s="1"/>
  <c r="H434" i="12"/>
  <c r="C434" i="12" s="1"/>
  <c r="I575" i="2" s="1"/>
  <c r="H467" i="12"/>
  <c r="C467" i="12" s="1"/>
  <c r="I573" i="2" s="1"/>
  <c r="H234" i="12"/>
  <c r="C234" i="12" s="1"/>
  <c r="I354" i="2" s="1"/>
  <c r="E108" i="5" s="1"/>
  <c r="E112" i="6"/>
  <c r="E138" i="5"/>
  <c r="E233" i="4"/>
  <c r="J440" i="2"/>
  <c r="Y654" i="12"/>
  <c r="AC642" i="12"/>
  <c r="Y656" i="12"/>
  <c r="AC656" i="12"/>
  <c r="Y638" i="12"/>
  <c r="I305" i="2"/>
  <c r="E171" i="4"/>
  <c r="Y605" i="12"/>
  <c r="E124" i="5"/>
  <c r="E210" i="4"/>
  <c r="J426" i="2"/>
  <c r="I576" i="2"/>
  <c r="E118" i="7"/>
  <c r="E350" i="4"/>
  <c r="J588" i="2"/>
  <c r="H382" i="12"/>
  <c r="C382" i="12" s="1"/>
  <c r="I609" i="2" s="1"/>
  <c r="E173" i="5" s="1"/>
  <c r="H257" i="12"/>
  <c r="C257" i="12" s="1"/>
  <c r="I398" i="2" s="1"/>
  <c r="H410" i="12"/>
  <c r="C410" i="12" s="1"/>
  <c r="I419" i="2"/>
  <c r="H578" i="12"/>
  <c r="C578" i="12" s="1"/>
  <c r="I605" i="2" s="1"/>
  <c r="H362" i="12"/>
  <c r="C362" i="12" s="1"/>
  <c r="I521" i="2" s="1"/>
  <c r="J521" i="2" s="1"/>
  <c r="H416" i="12"/>
  <c r="C416" i="12" s="1"/>
  <c r="I592" i="2" s="1"/>
  <c r="H327" i="12"/>
  <c r="C327" i="12" s="1"/>
  <c r="I528" i="2" s="1"/>
  <c r="E151" i="5" s="1"/>
  <c r="H486" i="12"/>
  <c r="C486" i="12" s="1"/>
  <c r="I647" i="2" s="1"/>
  <c r="E370" i="4" s="1"/>
  <c r="H337" i="12"/>
  <c r="C337" i="12" s="1"/>
  <c r="I596" i="2" s="1"/>
  <c r="H417" i="12"/>
  <c r="C417" i="12" s="1"/>
  <c r="I554" i="2" s="1"/>
  <c r="H503" i="12"/>
  <c r="C503" i="12" s="1"/>
  <c r="I183" i="8" s="1"/>
  <c r="H377" i="12"/>
  <c r="C377" i="12" s="1"/>
  <c r="I502" i="2" s="1"/>
  <c r="E142" i="5" s="1"/>
  <c r="Y609" i="12"/>
  <c r="H279" i="12"/>
  <c r="C279" i="12" s="1"/>
  <c r="I617" i="2" s="1"/>
  <c r="H508" i="12"/>
  <c r="C508" i="12" s="1"/>
  <c r="I629" i="2"/>
  <c r="I181" i="2"/>
  <c r="H415" i="12"/>
  <c r="C415" i="12" s="1"/>
  <c r="H569" i="12"/>
  <c r="C569" i="12" s="1"/>
  <c r="I199" i="8" s="1"/>
  <c r="H446" i="12"/>
  <c r="C446" i="12" s="1"/>
  <c r="I571" i="2" s="1"/>
  <c r="J571" i="2" s="1"/>
  <c r="H397" i="12"/>
  <c r="C397" i="12" s="1"/>
  <c r="I607" i="2" s="1"/>
  <c r="H350" i="12"/>
  <c r="C350" i="12" s="1"/>
  <c r="I551" i="2" s="1"/>
  <c r="E88" i="7"/>
  <c r="H276" i="12"/>
  <c r="C276" i="12" s="1"/>
  <c r="I362" i="2" s="1"/>
  <c r="I558" i="2"/>
  <c r="Y636" i="12"/>
  <c r="I548" i="2"/>
  <c r="H71" i="12"/>
  <c r="C71" i="12" s="1"/>
  <c r="I96" i="2" s="1"/>
  <c r="H152" i="12"/>
  <c r="C152" i="12" s="1"/>
  <c r="I315" i="2" s="1"/>
  <c r="H139" i="12"/>
  <c r="C139" i="12" s="1"/>
  <c r="I252" i="2" s="1"/>
  <c r="J252" i="2" s="1"/>
  <c r="H474" i="12"/>
  <c r="C474" i="12" s="1"/>
  <c r="Y620" i="12"/>
  <c r="H79" i="12"/>
  <c r="C79" i="12" s="1"/>
  <c r="I91" i="2" s="1"/>
  <c r="H19" i="12"/>
  <c r="C19" i="12" s="1"/>
  <c r="I49" i="2" s="1"/>
  <c r="E45" i="5"/>
  <c r="E73" i="4"/>
  <c r="J124" i="2"/>
  <c r="AC653" i="12"/>
  <c r="H68" i="12"/>
  <c r="C68" i="12" s="1"/>
  <c r="I94" i="2" s="1"/>
  <c r="H44" i="12"/>
  <c r="C44" i="12" s="1"/>
  <c r="I43" i="2" s="1"/>
  <c r="J43" i="2" s="1"/>
  <c r="H39" i="12"/>
  <c r="C39" i="12" s="1"/>
  <c r="I66" i="2" s="1"/>
  <c r="H140" i="12"/>
  <c r="C140" i="12" s="1"/>
  <c r="I164" i="2"/>
  <c r="I231" i="2"/>
  <c r="J294" i="2"/>
  <c r="H256" i="12"/>
  <c r="C256" i="12" s="1"/>
  <c r="I404" i="2" s="1"/>
  <c r="E113" i="5" s="1"/>
  <c r="E98" i="6"/>
  <c r="E205" i="4"/>
  <c r="J377" i="2"/>
  <c r="AD632" i="12"/>
  <c r="E81" i="7"/>
  <c r="E229" i="4"/>
  <c r="J375" i="2"/>
  <c r="H37" i="12"/>
  <c r="C37" i="12" s="1"/>
  <c r="I55" i="2" s="1"/>
  <c r="H75" i="12"/>
  <c r="C75" i="12" s="1"/>
  <c r="I134" i="2" s="1"/>
  <c r="H50" i="12"/>
  <c r="C50" i="12" s="1"/>
  <c r="I70" i="2" s="1"/>
  <c r="H45" i="12"/>
  <c r="C45" i="12" s="1"/>
  <c r="I37" i="2" s="1"/>
  <c r="E12" i="6" s="1"/>
  <c r="H181" i="12"/>
  <c r="C181" i="12" s="1"/>
  <c r="H92" i="12"/>
  <c r="C92" i="12" s="1"/>
  <c r="I100" i="2" s="1"/>
  <c r="H10" i="12"/>
  <c r="C10" i="12" s="1"/>
  <c r="I14" i="2" s="1"/>
  <c r="AC645" i="12"/>
  <c r="Y610" i="12"/>
  <c r="AD639" i="12"/>
  <c r="H11" i="12"/>
  <c r="C11" i="12" s="1"/>
  <c r="I8" i="2" s="1"/>
  <c r="H218" i="12"/>
  <c r="C218" i="12" s="1"/>
  <c r="I27" i="8" s="1"/>
  <c r="I110" i="2"/>
  <c r="AD649" i="12"/>
  <c r="AC633" i="12"/>
  <c r="H69" i="12"/>
  <c r="C69" i="12" s="1"/>
  <c r="I65" i="2"/>
  <c r="H74" i="12"/>
  <c r="C74" i="12" s="1"/>
  <c r="I79" i="2" s="1"/>
  <c r="J79" i="2" s="1"/>
  <c r="H136" i="12"/>
  <c r="C136" i="12" s="1"/>
  <c r="I136" i="2" s="1"/>
  <c r="H35" i="12"/>
  <c r="C35" i="12" s="1"/>
  <c r="I62" i="2" s="1"/>
  <c r="H100" i="12"/>
  <c r="C100" i="12" s="1"/>
  <c r="I109" i="2" s="1"/>
  <c r="J109" i="2" s="1"/>
  <c r="H284" i="12"/>
  <c r="C284" i="12" s="1"/>
  <c r="I159" i="2"/>
  <c r="AF9" i="3"/>
  <c r="AE3" i="3"/>
  <c r="H41" i="12"/>
  <c r="C41" i="12" s="1"/>
  <c r="I46" i="2" s="1"/>
  <c r="H70" i="12"/>
  <c r="C70" i="12" s="1"/>
  <c r="H99" i="12"/>
  <c r="C99" i="12" s="1"/>
  <c r="AD635" i="12"/>
  <c r="AD608" i="12"/>
  <c r="H297" i="12"/>
  <c r="C297" i="12" s="1"/>
  <c r="H15" i="12"/>
  <c r="C15" i="12" s="1"/>
  <c r="I25" i="2" s="1"/>
  <c r="H288" i="12"/>
  <c r="C288" i="12" s="1"/>
  <c r="I77" i="8" s="1"/>
  <c r="H78" i="12"/>
  <c r="C78" i="12" s="1"/>
  <c r="I138" i="2" s="1"/>
  <c r="Y629" i="12"/>
  <c r="H385" i="12"/>
  <c r="C385" i="12" s="1"/>
  <c r="I293" i="2"/>
  <c r="I118" i="2"/>
  <c r="H125" i="12"/>
  <c r="C125" i="12" s="1"/>
  <c r="I147" i="2" s="1"/>
  <c r="H281" i="12"/>
  <c r="C281" i="12" s="1"/>
  <c r="Y643" i="12"/>
  <c r="H163" i="12"/>
  <c r="C163" i="12" s="1"/>
  <c r="I281" i="2" s="1"/>
  <c r="I126" i="2"/>
  <c r="H384" i="12"/>
  <c r="C384" i="12" s="1"/>
  <c r="E54" i="6"/>
  <c r="E160" i="4"/>
  <c r="H214" i="12"/>
  <c r="C214" i="12" s="1"/>
  <c r="I392" i="2" s="1"/>
  <c r="J392" i="2" s="1"/>
  <c r="H251" i="12"/>
  <c r="C251" i="12" s="1"/>
  <c r="I464" i="2" s="1"/>
  <c r="J464" i="2" s="1"/>
  <c r="H210" i="12"/>
  <c r="C210" i="12" s="1"/>
  <c r="I365" i="2" s="1"/>
  <c r="J365" i="2" s="1"/>
  <c r="H375" i="12"/>
  <c r="C375" i="12" s="1"/>
  <c r="H176" i="12"/>
  <c r="C176" i="12" s="1"/>
  <c r="I256" i="2" s="1"/>
  <c r="E90" i="5" s="1"/>
  <c r="AD623" i="12"/>
  <c r="H469" i="12"/>
  <c r="C469" i="12" s="1"/>
  <c r="H258" i="12"/>
  <c r="C258" i="12" s="1"/>
  <c r="I503" i="2" s="1"/>
  <c r="H364" i="12"/>
  <c r="C364" i="12" s="1"/>
  <c r="AD643" i="12"/>
  <c r="H26" i="12"/>
  <c r="C26" i="12" s="1"/>
  <c r="I31" i="2" s="1"/>
  <c r="E10" i="6" s="1"/>
  <c r="H408" i="12"/>
  <c r="C408" i="12" s="1"/>
  <c r="Y617" i="12"/>
  <c r="AC651" i="12"/>
  <c r="H252" i="12"/>
  <c r="C252" i="12" s="1"/>
  <c r="I443" i="2"/>
  <c r="H138" i="12"/>
  <c r="C138" i="12" s="1"/>
  <c r="I556" i="2" s="1"/>
  <c r="E119" i="6"/>
  <c r="J555" i="2"/>
  <c r="H593" i="12"/>
  <c r="C593" i="12" s="1"/>
  <c r="I649" i="2" s="1"/>
  <c r="E382" i="4" s="1"/>
  <c r="H200" i="12"/>
  <c r="C200" i="12" s="1"/>
  <c r="I277" i="2" s="1"/>
  <c r="H489" i="12"/>
  <c r="C489" i="12" s="1"/>
  <c r="I579" i="2" s="1"/>
  <c r="J579" i="2" s="1"/>
  <c r="Y651" i="12"/>
  <c r="H432" i="12"/>
  <c r="C432" i="12" s="1"/>
  <c r="I614" i="2" s="1"/>
  <c r="AD656" i="12"/>
  <c r="H451" i="12"/>
  <c r="C451" i="12" s="1"/>
  <c r="I621" i="2" s="1"/>
  <c r="E187" i="5" s="1"/>
  <c r="H502" i="12"/>
  <c r="C502" i="12" s="1"/>
  <c r="I638" i="2" s="1"/>
  <c r="H546" i="12"/>
  <c r="C546" i="12" s="1"/>
  <c r="I628" i="2" s="1"/>
  <c r="H154" i="12"/>
  <c r="C154" i="12" s="1"/>
  <c r="I269" i="2" s="1"/>
  <c r="E74" i="5" s="1"/>
  <c r="H548" i="12"/>
  <c r="C548" i="12" s="1"/>
  <c r="H405" i="12"/>
  <c r="C405" i="12" s="1"/>
  <c r="I589" i="2" s="1"/>
  <c r="E115" i="7"/>
  <c r="E328" i="4"/>
  <c r="J568" i="2"/>
  <c r="I634" i="2"/>
  <c r="H411" i="12"/>
  <c r="C411" i="12" s="1"/>
  <c r="I600" i="2"/>
  <c r="H594" i="12"/>
  <c r="C594" i="12" s="1"/>
  <c r="I663" i="2" s="1"/>
  <c r="J663" i="2" s="1"/>
  <c r="I163" i="2"/>
  <c r="H511" i="12"/>
  <c r="C511" i="12" s="1"/>
  <c r="Y650" i="12"/>
  <c r="H360" i="12"/>
  <c r="C360" i="12" s="1"/>
  <c r="I522" i="2" s="1"/>
  <c r="E153" i="5" s="1"/>
  <c r="H472" i="12"/>
  <c r="C472" i="12" s="1"/>
  <c r="I644" i="2" s="1"/>
  <c r="H462" i="12"/>
  <c r="C462" i="12" s="1"/>
  <c r="I618" i="2" s="1"/>
  <c r="H291" i="12"/>
  <c r="C291" i="12" s="1"/>
  <c r="I367" i="2" s="1"/>
  <c r="J367" i="2" s="1"/>
  <c r="H274" i="12"/>
  <c r="C274" i="12" s="1"/>
  <c r="I507" i="2" s="1"/>
  <c r="E104" i="7"/>
  <c r="E146" i="5"/>
  <c r="E263" i="4"/>
  <c r="H558" i="12"/>
  <c r="C558" i="12" s="1"/>
  <c r="I209" i="8" s="1"/>
  <c r="H393" i="12"/>
  <c r="C393" i="12" s="1"/>
  <c r="I509" i="2" s="1"/>
  <c r="AC636" i="12"/>
  <c r="H357" i="12"/>
  <c r="C357" i="12" s="1"/>
  <c r="I463" i="2" s="1"/>
  <c r="E244" i="4" s="1"/>
  <c r="H454" i="12"/>
  <c r="C454" i="12" s="1"/>
  <c r="H485" i="12"/>
  <c r="C485" i="12" s="1"/>
  <c r="I606" i="2" s="1"/>
  <c r="H479" i="12"/>
  <c r="C479" i="12" s="1"/>
  <c r="I615" i="2" s="1"/>
  <c r="H515" i="12"/>
  <c r="C515" i="12" s="1"/>
  <c r="H204" i="12"/>
  <c r="C204" i="12" s="1"/>
  <c r="I254" i="2" s="1"/>
  <c r="E166" i="4" s="1"/>
  <c r="E192" i="4"/>
  <c r="J341" i="2"/>
  <c r="H491" i="12"/>
  <c r="C491" i="12" s="1"/>
  <c r="I582" i="2" s="1"/>
  <c r="I602" i="2"/>
  <c r="H268" i="12"/>
  <c r="C268" i="12" s="1"/>
  <c r="I390" i="2" s="1"/>
  <c r="E89" i="7" s="1"/>
  <c r="I590" i="2"/>
  <c r="H543" i="12"/>
  <c r="C543" i="12" s="1"/>
  <c r="I642" i="2" s="1"/>
  <c r="H461" i="12"/>
  <c r="C461" i="12" s="1"/>
  <c r="I578" i="2" s="1"/>
  <c r="H586" i="12"/>
  <c r="C586" i="12" s="1"/>
  <c r="H263" i="12"/>
  <c r="C263" i="12" s="1"/>
  <c r="I317" i="2" s="1"/>
  <c r="E82" i="6" s="1"/>
  <c r="H404" i="12"/>
  <c r="C404" i="12" s="1"/>
  <c r="Y604" i="12"/>
  <c r="C604" i="12" s="1"/>
  <c r="Y647" i="12"/>
  <c r="I471" i="2"/>
  <c r="I567" i="2"/>
  <c r="H261" i="12"/>
  <c r="C261" i="12" s="1"/>
  <c r="H119" i="12"/>
  <c r="C119" i="12" s="1"/>
  <c r="I194" i="2" s="1"/>
  <c r="H266" i="12"/>
  <c r="C266" i="12" s="1"/>
  <c r="I358" i="2" s="1"/>
  <c r="H313" i="12"/>
  <c r="C313" i="12" s="1"/>
  <c r="I59" i="8" s="1"/>
  <c r="H563" i="12"/>
  <c r="C563" i="12" s="1"/>
  <c r="AD625" i="12"/>
  <c r="H120" i="12"/>
  <c r="C120" i="12" s="1"/>
  <c r="I221" i="2" s="1"/>
  <c r="E124" i="4" s="1"/>
  <c r="H22" i="12"/>
  <c r="C22" i="12" s="1"/>
  <c r="I32" i="2" s="1"/>
  <c r="AC659" i="12"/>
  <c r="H164" i="12"/>
  <c r="C164" i="12" s="1"/>
  <c r="H168" i="12"/>
  <c r="C168" i="12" s="1"/>
  <c r="I213" i="2" s="1"/>
  <c r="H341" i="12"/>
  <c r="C341" i="12" s="1"/>
  <c r="AD645" i="12"/>
  <c r="H86" i="12"/>
  <c r="C86" i="12" s="1"/>
  <c r="I130" i="2" s="1"/>
  <c r="E31" i="6" s="1"/>
  <c r="AD620" i="12"/>
  <c r="H122" i="12"/>
  <c r="C122" i="12" s="1"/>
  <c r="H373" i="12"/>
  <c r="C373" i="12" s="1"/>
  <c r="AC649" i="12"/>
  <c r="Y622" i="12"/>
  <c r="C622" i="12" s="1"/>
  <c r="E31" i="5"/>
  <c r="E48" i="4"/>
  <c r="J82" i="2"/>
  <c r="H61" i="12"/>
  <c r="C61" i="12" s="1"/>
  <c r="I81" i="2" s="1"/>
  <c r="E29" i="5" s="1"/>
  <c r="AD633" i="12"/>
  <c r="I10" i="2"/>
  <c r="AC643" i="12"/>
  <c r="H49" i="12"/>
  <c r="C49" i="12" s="1"/>
  <c r="I93" i="2" s="1"/>
  <c r="I59" i="2"/>
  <c r="H133" i="12"/>
  <c r="C133" i="12" s="1"/>
  <c r="I242" i="2" s="1"/>
  <c r="H57" i="12"/>
  <c r="C57" i="12" s="1"/>
  <c r="I56" i="2" s="1"/>
  <c r="E37" i="4" s="1"/>
  <c r="H105" i="12"/>
  <c r="C105" i="12" s="1"/>
  <c r="I150" i="2" s="1"/>
  <c r="H185" i="12"/>
  <c r="C185" i="12" s="1"/>
  <c r="E46" i="7"/>
  <c r="E98" i="4"/>
  <c r="J140" i="2"/>
  <c r="H316" i="12"/>
  <c r="C316" i="12" s="1"/>
  <c r="H328" i="12"/>
  <c r="C328" i="12" s="1"/>
  <c r="I44" i="8" s="1"/>
  <c r="H312" i="12"/>
  <c r="C312" i="12" s="1"/>
  <c r="H203" i="12"/>
  <c r="C203" i="12" s="1"/>
  <c r="I311" i="2" s="1"/>
  <c r="H466" i="12"/>
  <c r="C466" i="12" s="1"/>
  <c r="H180" i="12"/>
  <c r="C180" i="12" s="1"/>
  <c r="E8" i="6"/>
  <c r="E19" i="4"/>
  <c r="J30" i="2"/>
  <c r="H392" i="12"/>
  <c r="C392" i="12" s="1"/>
  <c r="H225" i="12"/>
  <c r="C225" i="12" s="1"/>
  <c r="I239" i="2" s="1"/>
  <c r="E66" i="7" s="1"/>
  <c r="H552" i="12"/>
  <c r="C552" i="12" s="1"/>
  <c r="Y666" i="12"/>
  <c r="C666" i="12" s="1"/>
  <c r="H118" i="12"/>
  <c r="C118" i="12" s="1"/>
  <c r="I210" i="2" s="1"/>
  <c r="E73" i="5" s="1"/>
  <c r="I137" i="2"/>
  <c r="H329" i="12"/>
  <c r="C329" i="12" s="1"/>
  <c r="I80" i="8" s="1"/>
  <c r="I75" i="2"/>
  <c r="E54" i="7"/>
  <c r="E135" i="4"/>
  <c r="J205" i="2"/>
  <c r="H346" i="12"/>
  <c r="C346" i="12" s="1"/>
  <c r="H5" i="12"/>
  <c r="C5" i="12" s="1"/>
  <c r="I11" i="2" s="1"/>
  <c r="J11" i="2" s="1"/>
  <c r="H212" i="12"/>
  <c r="C212" i="12" s="1"/>
  <c r="I246" i="2" s="1"/>
  <c r="J246" i="2" s="1"/>
  <c r="H213" i="12"/>
  <c r="C213" i="12" s="1"/>
  <c r="I385" i="2" s="1"/>
  <c r="H463" i="12"/>
  <c r="C463" i="12" s="1"/>
  <c r="H564" i="12"/>
  <c r="C564" i="12" s="1"/>
  <c r="I185" i="8" s="1"/>
  <c r="H574" i="12"/>
  <c r="C574" i="12" s="1"/>
  <c r="H494" i="12"/>
  <c r="C494" i="12" s="1"/>
  <c r="I557" i="2" s="1"/>
  <c r="H315" i="12"/>
  <c r="C315" i="12" s="1"/>
  <c r="I459" i="2" s="1"/>
  <c r="J599" i="2"/>
  <c r="H535" i="12"/>
  <c r="C535" i="12" s="1"/>
  <c r="E174" i="5"/>
  <c r="E327" i="4"/>
  <c r="J612" i="2"/>
  <c r="E139" i="6"/>
  <c r="E335" i="4"/>
  <c r="J597" i="2"/>
  <c r="I331" i="2"/>
  <c r="H228" i="12"/>
  <c r="C228" i="12" s="1"/>
  <c r="I368" i="2" s="1"/>
  <c r="E81" i="6" s="1"/>
  <c r="AD611" i="12"/>
  <c r="I430" i="2"/>
  <c r="E104" i="6"/>
  <c r="E277" i="4"/>
  <c r="J520" i="2"/>
  <c r="J522" i="2"/>
  <c r="E193" i="5"/>
  <c r="E339" i="4"/>
  <c r="J622" i="2"/>
  <c r="H344" i="12"/>
  <c r="C344" i="12" s="1"/>
  <c r="I496" i="2" s="1"/>
  <c r="E108" i="7" s="1"/>
  <c r="H422" i="12"/>
  <c r="C422" i="12" s="1"/>
  <c r="I620" i="2" s="1"/>
  <c r="H299" i="12"/>
  <c r="C299" i="12" s="1"/>
  <c r="I49" i="8" s="1"/>
  <c r="AC624" i="12"/>
  <c r="C624" i="12" s="1"/>
  <c r="Y642" i="12"/>
  <c r="AD636" i="12"/>
  <c r="H519" i="12"/>
  <c r="C519" i="12" s="1"/>
  <c r="E77" i="6"/>
  <c r="E215" i="4"/>
  <c r="J399" i="2"/>
  <c r="H600" i="12"/>
  <c r="C600" i="12" s="1"/>
  <c r="I659" i="2" s="1"/>
  <c r="I495" i="2"/>
  <c r="H587" i="12"/>
  <c r="C587" i="12" s="1"/>
  <c r="I631" i="2" s="1"/>
  <c r="E183" i="5" s="1"/>
  <c r="E172" i="4"/>
  <c r="J275" i="2"/>
  <c r="H267" i="12"/>
  <c r="C267" i="12" s="1"/>
  <c r="I360" i="2"/>
  <c r="E135" i="6"/>
  <c r="E302" i="4"/>
  <c r="J561" i="2"/>
  <c r="AD617" i="12"/>
  <c r="H445" i="12"/>
  <c r="C445" i="12" s="1"/>
  <c r="H583" i="12"/>
  <c r="C583" i="12" s="1"/>
  <c r="H359" i="12"/>
  <c r="C359" i="12" s="1"/>
  <c r="I405" i="2" s="1"/>
  <c r="E240" i="4" s="1"/>
  <c r="H447" i="12"/>
  <c r="C447" i="12" s="1"/>
  <c r="I514" i="2" s="1"/>
  <c r="E92" i="7"/>
  <c r="E127" i="5"/>
  <c r="E216" i="4"/>
  <c r="J362" i="2"/>
  <c r="I408" i="2"/>
  <c r="I574" i="2"/>
  <c r="E358" i="4" l="1"/>
  <c r="J383" i="2"/>
  <c r="E167" i="4"/>
  <c r="E114" i="7"/>
  <c r="E102" i="5"/>
  <c r="J352" i="2"/>
  <c r="E346" i="4"/>
  <c r="E180" i="4"/>
  <c r="E109" i="6"/>
  <c r="E125" i="6"/>
  <c r="E41" i="6"/>
  <c r="E99" i="6"/>
  <c r="E12" i="4"/>
  <c r="E103" i="5"/>
  <c r="E79" i="6"/>
  <c r="J50" i="2"/>
  <c r="J174" i="2"/>
  <c r="E40" i="4"/>
  <c r="E106" i="4"/>
  <c r="J342" i="2"/>
  <c r="E19" i="6"/>
  <c r="J518" i="2"/>
  <c r="E11" i="7"/>
  <c r="J13" i="2"/>
  <c r="I278" i="2"/>
  <c r="E146" i="4"/>
  <c r="J56" i="2"/>
  <c r="I156" i="2"/>
  <c r="I190" i="2"/>
  <c r="I330" i="2"/>
  <c r="E62" i="6"/>
  <c r="J625" i="2"/>
  <c r="E145" i="4"/>
  <c r="E75" i="5"/>
  <c r="J78" i="2"/>
  <c r="E59" i="6"/>
  <c r="I449" i="2"/>
  <c r="I154" i="2"/>
  <c r="E184" i="5"/>
  <c r="J553" i="2"/>
  <c r="E44" i="4"/>
  <c r="I16" i="2"/>
  <c r="I223" i="2"/>
  <c r="E140" i="6"/>
  <c r="E329" i="4"/>
  <c r="J463" i="2"/>
  <c r="I284" i="2"/>
  <c r="E296" i="4"/>
  <c r="J640" i="2"/>
  <c r="I128" i="2"/>
  <c r="I198" i="2"/>
  <c r="I380" i="2"/>
  <c r="J253" i="2"/>
  <c r="E52" i="6"/>
  <c r="E147" i="4"/>
  <c r="E83" i="7"/>
  <c r="E89" i="6"/>
  <c r="E182" i="4"/>
  <c r="J304" i="2"/>
  <c r="J168" i="2"/>
  <c r="E102" i="4"/>
  <c r="E51" i="6"/>
  <c r="E66" i="5"/>
  <c r="E90" i="7"/>
  <c r="E236" i="4"/>
  <c r="J391" i="2"/>
  <c r="E53" i="7"/>
  <c r="E136" i="4"/>
  <c r="J206" i="2"/>
  <c r="E80" i="6"/>
  <c r="E77" i="7"/>
  <c r="E16" i="4"/>
  <c r="J20" i="2"/>
  <c r="E9" i="6"/>
  <c r="E9" i="5"/>
  <c r="E186" i="5"/>
  <c r="J652" i="2"/>
  <c r="I274" i="2"/>
  <c r="E88" i="8" s="1"/>
  <c r="E111" i="6"/>
  <c r="E6" i="5"/>
  <c r="E78" i="4"/>
  <c r="I319" i="2"/>
  <c r="J204" i="2"/>
  <c r="I301" i="2"/>
  <c r="E28" i="5"/>
  <c r="E120" i="6"/>
  <c r="E137" i="5"/>
  <c r="E349" i="4"/>
  <c r="E3" i="6"/>
  <c r="E196" i="5"/>
  <c r="J31" i="2"/>
  <c r="I393" i="2"/>
  <c r="E40" i="6"/>
  <c r="I456" i="2"/>
  <c r="I122" i="2"/>
  <c r="J152" i="2"/>
  <c r="E20" i="4"/>
  <c r="J536" i="2"/>
  <c r="E195" i="4"/>
  <c r="J3" i="2"/>
  <c r="I347" i="2"/>
  <c r="E121" i="6"/>
  <c r="J41" i="2"/>
  <c r="J145" i="2"/>
  <c r="E122" i="6"/>
  <c r="E286" i="4"/>
  <c r="I324" i="2"/>
  <c r="E89" i="5"/>
  <c r="I38" i="2"/>
  <c r="J210" i="2"/>
  <c r="C610" i="12"/>
  <c r="E3" i="5"/>
  <c r="E341" i="4"/>
  <c r="J81" i="2"/>
  <c r="J598" i="2"/>
  <c r="J113" i="2"/>
  <c r="E23" i="4"/>
  <c r="J245" i="2"/>
  <c r="E9" i="4"/>
  <c r="E262" i="4"/>
  <c r="I296" i="2"/>
  <c r="J397" i="2"/>
  <c r="J37" i="2"/>
  <c r="E193" i="4"/>
  <c r="I378" i="2"/>
  <c r="J528" i="2"/>
  <c r="I244" i="2"/>
  <c r="E126" i="7"/>
  <c r="E47" i="4"/>
  <c r="E315" i="4"/>
  <c r="E75" i="4"/>
  <c r="J332" i="2"/>
  <c r="J207" i="2"/>
  <c r="J307" i="2"/>
  <c r="J29" i="2"/>
  <c r="E150" i="6"/>
  <c r="E141" i="4"/>
  <c r="I519" i="2"/>
  <c r="E213" i="4"/>
  <c r="E30" i="4"/>
  <c r="E112" i="5"/>
  <c r="J254" i="2"/>
  <c r="E264" i="4"/>
  <c r="E185" i="4"/>
  <c r="E377" i="4"/>
  <c r="I312" i="2"/>
  <c r="E97" i="7"/>
  <c r="E18" i="6"/>
  <c r="I129" i="2"/>
  <c r="I476" i="2"/>
  <c r="I457" i="2"/>
  <c r="E185" i="5"/>
  <c r="E362" i="4"/>
  <c r="I318" i="2"/>
  <c r="E355" i="4"/>
  <c r="E203" i="5"/>
  <c r="E95" i="6"/>
  <c r="E190" i="4"/>
  <c r="J338" i="2"/>
  <c r="E65" i="7"/>
  <c r="E91" i="5"/>
  <c r="E153" i="4"/>
  <c r="J236" i="2"/>
  <c r="E23" i="5"/>
  <c r="E41" i="4"/>
  <c r="J61" i="2"/>
  <c r="E20" i="6"/>
  <c r="E77" i="5"/>
  <c r="E165" i="4"/>
  <c r="J310" i="2"/>
  <c r="I16" i="8"/>
  <c r="I90" i="2"/>
  <c r="E179" i="5"/>
  <c r="E330" i="4"/>
  <c r="J615" i="2"/>
  <c r="E33" i="4"/>
  <c r="I206" i="8"/>
  <c r="I505" i="2"/>
  <c r="J623" i="2"/>
  <c r="I184" i="8"/>
  <c r="I447" i="2"/>
  <c r="E84" i="7"/>
  <c r="E196" i="4"/>
  <c r="J323" i="2"/>
  <c r="I32" i="8"/>
  <c r="I119" i="2"/>
  <c r="E32" i="8" s="1"/>
  <c r="I147" i="8"/>
  <c r="I379" i="2"/>
  <c r="J221" i="2"/>
  <c r="E10" i="5"/>
  <c r="I17" i="8"/>
  <c r="I74" i="2"/>
  <c r="I176" i="8"/>
  <c r="I421" i="2"/>
  <c r="E118" i="4"/>
  <c r="J502" i="2"/>
  <c r="E255" i="4"/>
  <c r="E300" i="4"/>
  <c r="J581" i="2"/>
  <c r="E169" i="5"/>
  <c r="E70" i="6"/>
  <c r="E164" i="4"/>
  <c r="J283" i="2"/>
  <c r="E97" i="5"/>
  <c r="I169" i="8"/>
  <c r="I490" i="2"/>
  <c r="E125" i="7"/>
  <c r="E368" i="4"/>
  <c r="J551" i="2"/>
  <c r="E101" i="7"/>
  <c r="E316" i="4"/>
  <c r="I87" i="8"/>
  <c r="I266" i="2"/>
  <c r="I76" i="8"/>
  <c r="I219" i="2"/>
  <c r="I143" i="8"/>
  <c r="I371" i="2"/>
  <c r="E17" i="6"/>
  <c r="E72" i="6"/>
  <c r="E203" i="4"/>
  <c r="J340" i="2"/>
  <c r="E113" i="7"/>
  <c r="E318" i="4"/>
  <c r="J557" i="2"/>
  <c r="E198" i="4"/>
  <c r="J385" i="2"/>
  <c r="E93" i="5"/>
  <c r="E155" i="4"/>
  <c r="J239" i="2"/>
  <c r="I63" i="8"/>
  <c r="I186" i="2"/>
  <c r="I35" i="9"/>
  <c r="I289" i="2"/>
  <c r="E268" i="4"/>
  <c r="I205" i="8"/>
  <c r="I497" i="2"/>
  <c r="I94" i="8"/>
  <c r="I264" i="2"/>
  <c r="I70" i="8"/>
  <c r="I201" i="2"/>
  <c r="E123" i="4"/>
  <c r="J130" i="2"/>
  <c r="J317" i="2"/>
  <c r="E92" i="5"/>
  <c r="E32" i="7"/>
  <c r="C665" i="12"/>
  <c r="I58" i="9"/>
  <c r="I585" i="2"/>
  <c r="I130" i="8"/>
  <c r="I333" i="2"/>
  <c r="E85" i="6"/>
  <c r="E218" i="4"/>
  <c r="J403" i="2"/>
  <c r="I91" i="8"/>
  <c r="I298" i="2"/>
  <c r="I7" i="2"/>
  <c r="E69" i="5"/>
  <c r="E131" i="4"/>
  <c r="J243" i="2"/>
  <c r="E16" i="7"/>
  <c r="E282" i="4"/>
  <c r="E102" i="6"/>
  <c r="J532" i="2"/>
  <c r="J657" i="2"/>
  <c r="E151" i="6"/>
  <c r="E385" i="4"/>
  <c r="J552" i="2"/>
  <c r="E342" i="4"/>
  <c r="I34" i="2"/>
  <c r="E115" i="6"/>
  <c r="E144" i="5"/>
  <c r="E241" i="4"/>
  <c r="J448" i="2"/>
  <c r="E94" i="6"/>
  <c r="E224" i="4"/>
  <c r="J413" i="2"/>
  <c r="J235" i="2"/>
  <c r="E64" i="5"/>
  <c r="I82" i="8"/>
  <c r="I248" i="2"/>
  <c r="I142" i="8"/>
  <c r="I355" i="2"/>
  <c r="I29" i="8"/>
  <c r="I125" i="2"/>
  <c r="J366" i="2"/>
  <c r="E91" i="7"/>
  <c r="E121" i="5"/>
  <c r="E227" i="4"/>
  <c r="I95" i="8"/>
  <c r="I263" i="2"/>
  <c r="J27" i="2"/>
  <c r="I65" i="8"/>
  <c r="I188" i="2"/>
  <c r="I170" i="8"/>
  <c r="I512" i="2"/>
  <c r="I178" i="8"/>
  <c r="I523" i="2"/>
  <c r="I72" i="8"/>
  <c r="I285" i="2"/>
  <c r="E41" i="7"/>
  <c r="E95" i="4"/>
  <c r="E54" i="5"/>
  <c r="J138" i="2"/>
  <c r="I37" i="8"/>
  <c r="I144" i="2"/>
  <c r="I6" i="9"/>
  <c r="I45" i="2"/>
  <c r="I137" i="8"/>
  <c r="I361" i="2"/>
  <c r="E103" i="7"/>
  <c r="I136" i="8"/>
  <c r="I389" i="2"/>
  <c r="E45" i="7"/>
  <c r="E46" i="6"/>
  <c r="E11" i="6"/>
  <c r="E18" i="4"/>
  <c r="I47" i="8"/>
  <c r="I218" i="2"/>
  <c r="J218" i="2" s="1"/>
  <c r="E53" i="6"/>
  <c r="E79" i="4"/>
  <c r="E19" i="7"/>
  <c r="E55" i="4"/>
  <c r="J70" i="2"/>
  <c r="J147" i="2"/>
  <c r="E175" i="4"/>
  <c r="E308" i="4"/>
  <c r="J592" i="2"/>
  <c r="E34" i="5"/>
  <c r="E27" i="6"/>
  <c r="E54" i="4"/>
  <c r="J86" i="2"/>
  <c r="I78" i="8"/>
  <c r="I261" i="2"/>
  <c r="I151" i="8"/>
  <c r="I493" i="2"/>
  <c r="I207" i="8"/>
  <c r="I494" i="2"/>
  <c r="E71" i="7"/>
  <c r="E99" i="5"/>
  <c r="E170" i="4"/>
  <c r="J262" i="2"/>
  <c r="I177" i="8"/>
  <c r="I432" i="2"/>
  <c r="I138" i="8"/>
  <c r="I351" i="2"/>
  <c r="E295" i="4"/>
  <c r="E105" i="6"/>
  <c r="E129" i="5"/>
  <c r="E226" i="4"/>
  <c r="J414" i="2"/>
  <c r="I128" i="8"/>
  <c r="I374" i="2"/>
  <c r="I48" i="8"/>
  <c r="I173" i="2"/>
  <c r="E48" i="8" s="1"/>
  <c r="E151" i="4"/>
  <c r="E222" i="4"/>
  <c r="J410" i="2"/>
  <c r="I61" i="8"/>
  <c r="I216" i="2"/>
  <c r="E276" i="4"/>
  <c r="E70" i="7"/>
  <c r="E259" i="4"/>
  <c r="E145" i="5"/>
  <c r="J513" i="2"/>
  <c r="I577" i="2"/>
  <c r="I53" i="8"/>
  <c r="I176" i="2"/>
  <c r="E22" i="7"/>
  <c r="E24" i="6"/>
  <c r="E61" i="4"/>
  <c r="J80" i="2"/>
  <c r="E123" i="5"/>
  <c r="E221" i="4"/>
  <c r="J442" i="2"/>
  <c r="E129" i="7"/>
  <c r="E340" i="4"/>
  <c r="J578" i="2"/>
  <c r="E147" i="5"/>
  <c r="E243" i="4"/>
  <c r="J479" i="2"/>
  <c r="E107" i="4"/>
  <c r="E56" i="6"/>
  <c r="J175" i="2"/>
  <c r="E149" i="5"/>
  <c r="E284" i="4"/>
  <c r="J562" i="2"/>
  <c r="E192" i="5"/>
  <c r="E365" i="4"/>
  <c r="J642" i="2"/>
  <c r="I152" i="8"/>
  <c r="I388" i="2"/>
  <c r="I84" i="8"/>
  <c r="I271" i="2"/>
  <c r="I109" i="8"/>
  <c r="I322" i="2"/>
  <c r="E48" i="5"/>
  <c r="E90" i="4"/>
  <c r="J150" i="2"/>
  <c r="E176" i="5"/>
  <c r="E323" i="4"/>
  <c r="J606" i="2"/>
  <c r="E161" i="4"/>
  <c r="J277" i="2"/>
  <c r="I126" i="8"/>
  <c r="I420" i="2"/>
  <c r="E234" i="4"/>
  <c r="E114" i="5"/>
  <c r="I62" i="8"/>
  <c r="I183" i="2"/>
  <c r="E62" i="8" s="1"/>
  <c r="E49" i="7"/>
  <c r="E101" i="4"/>
  <c r="E104" i="5"/>
  <c r="J601" i="2"/>
  <c r="J269" i="2"/>
  <c r="J614" i="2"/>
  <c r="E73" i="6"/>
  <c r="I47" i="9"/>
  <c r="I488" i="2"/>
  <c r="I373" i="2"/>
  <c r="J373" i="2" s="1"/>
  <c r="I85" i="8"/>
  <c r="I257" i="2"/>
  <c r="J133" i="2"/>
  <c r="E110" i="5"/>
  <c r="E390" i="4"/>
  <c r="I71" i="8"/>
  <c r="I215" i="2"/>
  <c r="J25" i="2"/>
  <c r="E266" i="4"/>
  <c r="E156" i="5"/>
  <c r="J529" i="2"/>
  <c r="F2" i="3"/>
  <c r="J2" i="2"/>
  <c r="E154" i="5"/>
  <c r="I67" i="8"/>
  <c r="I227" i="2"/>
  <c r="J368" i="2"/>
  <c r="I485" i="2"/>
  <c r="E337" i="4"/>
  <c r="J619" i="2"/>
  <c r="E167" i="5"/>
  <c r="I211" i="8"/>
  <c r="I560" i="2"/>
  <c r="I8" i="8"/>
  <c r="I21" i="2"/>
  <c r="I99" i="8"/>
  <c r="I276" i="2"/>
  <c r="E127" i="7"/>
  <c r="E343" i="4"/>
  <c r="J582" i="2"/>
  <c r="E93" i="7"/>
  <c r="E239" i="4"/>
  <c r="J401" i="2"/>
  <c r="E120" i="5"/>
  <c r="E101" i="6"/>
  <c r="E200" i="4"/>
  <c r="I156" i="8"/>
  <c r="I376" i="2"/>
  <c r="I165" i="8"/>
  <c r="I460" i="2"/>
  <c r="E95" i="7"/>
  <c r="E258" i="4"/>
  <c r="J459" i="2"/>
  <c r="E191" i="5"/>
  <c r="E336" i="4"/>
  <c r="J618" i="2"/>
  <c r="I196" i="8"/>
  <c r="I506" i="2"/>
  <c r="E338" i="4"/>
  <c r="I105" i="8"/>
  <c r="I348" i="2"/>
  <c r="I92" i="8"/>
  <c r="I267" i="2"/>
  <c r="I69" i="8"/>
  <c r="I196" i="2"/>
  <c r="J256" i="2"/>
  <c r="E100" i="6"/>
  <c r="E235" i="4"/>
  <c r="J390" i="2"/>
  <c r="E143" i="6"/>
  <c r="E360" i="4"/>
  <c r="J628" i="2"/>
  <c r="E149" i="6"/>
  <c r="J649" i="2"/>
  <c r="E88" i="6"/>
  <c r="E211" i="4"/>
  <c r="E319" i="4"/>
  <c r="E144" i="4"/>
  <c r="J573" i="2"/>
  <c r="E116" i="7"/>
  <c r="E334" i="4"/>
  <c r="J286" i="2"/>
  <c r="I181" i="8"/>
  <c r="I441" i="2"/>
  <c r="E106" i="5"/>
  <c r="E187" i="4"/>
  <c r="J308" i="2"/>
  <c r="E77" i="4"/>
  <c r="J131" i="2"/>
  <c r="E33" i="7"/>
  <c r="E92" i="4"/>
  <c r="E152" i="6"/>
  <c r="E290" i="4"/>
  <c r="J540" i="2"/>
  <c r="E307" i="4"/>
  <c r="E99" i="7"/>
  <c r="I124" i="8"/>
  <c r="I336" i="2"/>
  <c r="E380" i="4"/>
  <c r="E106" i="7"/>
  <c r="E201" i="4"/>
  <c r="I508" i="2"/>
  <c r="I510" i="2"/>
  <c r="E184" i="4"/>
  <c r="J358" i="2"/>
  <c r="E107" i="5"/>
  <c r="E72" i="5"/>
  <c r="E117" i="4"/>
  <c r="J208" i="2"/>
  <c r="E18" i="7"/>
  <c r="E22" i="5"/>
  <c r="E38" i="4"/>
  <c r="J46" i="2"/>
  <c r="E199" i="5"/>
  <c r="E386" i="4"/>
  <c r="J661" i="2"/>
  <c r="I127" i="8"/>
  <c r="I334" i="2"/>
  <c r="E41" i="5"/>
  <c r="E70" i="4"/>
  <c r="J123" i="2"/>
  <c r="I173" i="8"/>
  <c r="I504" i="2"/>
  <c r="E173" i="8" s="1"/>
  <c r="E91" i="4"/>
  <c r="E13" i="8"/>
  <c r="J38" i="2"/>
  <c r="I155" i="2"/>
  <c r="E39" i="8" s="1"/>
  <c r="J621" i="2"/>
  <c r="E111" i="7"/>
  <c r="E293" i="4"/>
  <c r="J514" i="2"/>
  <c r="I164" i="8"/>
  <c r="I394" i="2"/>
  <c r="I158" i="8"/>
  <c r="I466" i="2"/>
  <c r="I31" i="8"/>
  <c r="I105" i="2"/>
  <c r="J213" i="2"/>
  <c r="E61" i="7"/>
  <c r="E139" i="4"/>
  <c r="I201" i="8"/>
  <c r="I537" i="2"/>
  <c r="J405" i="2"/>
  <c r="E140" i="4"/>
  <c r="E72" i="7"/>
  <c r="E74" i="6"/>
  <c r="I26" i="9"/>
  <c r="I220" i="2"/>
  <c r="E22" i="6"/>
  <c r="E46" i="4"/>
  <c r="J66" i="2"/>
  <c r="I12" i="8"/>
  <c r="I68" i="2"/>
  <c r="I26" i="8"/>
  <c r="I95" i="2"/>
  <c r="E110" i="6"/>
  <c r="E136" i="5"/>
  <c r="E176" i="4"/>
  <c r="E172" i="5"/>
  <c r="I60" i="8"/>
  <c r="I185" i="2"/>
  <c r="I43" i="8"/>
  <c r="I142" i="2"/>
  <c r="E13" i="7"/>
  <c r="E18" i="5"/>
  <c r="E26" i="4"/>
  <c r="J33" i="2"/>
  <c r="I118" i="8"/>
  <c r="I314" i="2"/>
  <c r="J427" i="2"/>
  <c r="E69" i="7"/>
  <c r="E71" i="6"/>
  <c r="E169" i="4"/>
  <c r="J496" i="2"/>
  <c r="I472" i="2"/>
  <c r="E186" i="8" s="1"/>
  <c r="E166" i="5"/>
  <c r="I98" i="8"/>
  <c r="I435" i="2"/>
  <c r="I204" i="8"/>
  <c r="I511" i="2"/>
  <c r="I139" i="8"/>
  <c r="I417" i="2"/>
  <c r="E198" i="5"/>
  <c r="E163" i="5"/>
  <c r="E310" i="4"/>
  <c r="J542" i="2"/>
  <c r="E117" i="6"/>
  <c r="E265" i="4"/>
  <c r="J499" i="2"/>
  <c r="J584" i="2"/>
  <c r="E130" i="7"/>
  <c r="E347" i="4"/>
  <c r="I121" i="8"/>
  <c r="I406" i="2"/>
  <c r="I86" i="8"/>
  <c r="I287" i="2"/>
  <c r="I15" i="8"/>
  <c r="I53" i="2"/>
  <c r="I144" i="8"/>
  <c r="I402" i="2"/>
  <c r="I200" i="8"/>
  <c r="I458" i="2"/>
  <c r="I40" i="9"/>
  <c r="I384" i="2"/>
  <c r="E123" i="6"/>
  <c r="E272" i="4"/>
  <c r="J509" i="2"/>
  <c r="I24" i="8"/>
  <c r="I87" i="2"/>
  <c r="E24" i="8" s="1"/>
  <c r="E68" i="7"/>
  <c r="E95" i="5"/>
  <c r="E158" i="4"/>
  <c r="I41" i="9"/>
  <c r="I387" i="2"/>
  <c r="I167" i="8"/>
  <c r="I434" i="2"/>
  <c r="I110" i="8"/>
  <c r="I346" i="2"/>
  <c r="I179" i="8"/>
  <c r="I498" i="2"/>
  <c r="I141" i="8"/>
  <c r="I356" i="2"/>
  <c r="I28" i="8"/>
  <c r="I117" i="2"/>
  <c r="J631" i="2"/>
  <c r="E87" i="7"/>
  <c r="E291" i="4"/>
  <c r="J507" i="2"/>
  <c r="E119" i="5"/>
  <c r="E256" i="4"/>
  <c r="J503" i="2"/>
  <c r="I18" i="8"/>
  <c r="I85" i="2"/>
  <c r="E38" i="5"/>
  <c r="E57" i="4"/>
  <c r="J96" i="2"/>
  <c r="I320" i="2"/>
  <c r="J320" i="2" s="1"/>
  <c r="E20" i="7"/>
  <c r="E23" i="6"/>
  <c r="E56" i="4"/>
  <c r="J73" i="2"/>
  <c r="I291" i="2"/>
  <c r="J291" i="2" s="1"/>
  <c r="E150" i="5"/>
  <c r="E273" i="4"/>
  <c r="J543" i="2"/>
  <c r="J270" i="2"/>
  <c r="E68" i="5"/>
  <c r="E108" i="4"/>
  <c r="E278" i="4"/>
  <c r="E231" i="4"/>
  <c r="E82" i="7"/>
  <c r="E175" i="5"/>
  <c r="E303" i="4"/>
  <c r="J586" i="2"/>
  <c r="E285" i="4"/>
  <c r="I104" i="8"/>
  <c r="I295" i="2"/>
  <c r="J295" i="2" s="1"/>
  <c r="J202" i="2"/>
  <c r="E60" i="6"/>
  <c r="E120" i="4"/>
  <c r="I68" i="8"/>
  <c r="I297" i="2"/>
  <c r="E45" i="4"/>
  <c r="I255" i="2"/>
  <c r="I195" i="2"/>
  <c r="E67" i="6"/>
  <c r="E152" i="4"/>
  <c r="J265" i="2"/>
  <c r="I35" i="8"/>
  <c r="I148" i="2"/>
  <c r="J148" i="2" s="1"/>
  <c r="E373" i="4"/>
  <c r="E126" i="5"/>
  <c r="E206" i="4"/>
  <c r="J416" i="2"/>
  <c r="I180" i="2"/>
  <c r="E56" i="8" s="1"/>
  <c r="E75" i="7"/>
  <c r="E199" i="4"/>
  <c r="J328" i="2"/>
  <c r="I9" i="8"/>
  <c r="I26" i="2"/>
  <c r="I25" i="8"/>
  <c r="I107" i="2"/>
  <c r="E174" i="4"/>
  <c r="E96" i="5"/>
  <c r="J335" i="2"/>
  <c r="I83" i="8"/>
  <c r="I299" i="2"/>
  <c r="E177" i="4"/>
  <c r="J290" i="2"/>
  <c r="E99" i="4"/>
  <c r="E143" i="4"/>
  <c r="J217" i="2"/>
  <c r="E100" i="7"/>
  <c r="E248" i="4"/>
  <c r="E186" i="4"/>
  <c r="E44" i="5"/>
  <c r="E69" i="4"/>
  <c r="E63" i="5"/>
  <c r="I154" i="8"/>
  <c r="I425" i="2"/>
  <c r="J280" i="2"/>
  <c r="E86" i="5"/>
  <c r="E148" i="4"/>
  <c r="I162" i="8"/>
  <c r="I386" i="2"/>
  <c r="J381" i="2"/>
  <c r="E304" i="4"/>
  <c r="E155" i="5"/>
  <c r="J587" i="2"/>
  <c r="E65" i="6"/>
  <c r="E157" i="4"/>
  <c r="I431" i="2"/>
  <c r="I55" i="9"/>
  <c r="I569" i="2"/>
  <c r="I193" i="8"/>
  <c r="I470" i="2"/>
  <c r="I194" i="8"/>
  <c r="I489" i="2"/>
  <c r="J639" i="2"/>
  <c r="I202" i="8"/>
  <c r="I451" i="2"/>
  <c r="E36" i="4"/>
  <c r="J63" i="2"/>
  <c r="J189" i="2"/>
  <c r="I4" i="8"/>
  <c r="I12" i="2"/>
  <c r="E43" i="7"/>
  <c r="E134" i="4"/>
  <c r="E122" i="5"/>
  <c r="J483" i="2"/>
  <c r="E245" i="4"/>
  <c r="E132" i="5"/>
  <c r="E254" i="4"/>
  <c r="J501" i="2"/>
  <c r="I180" i="8"/>
  <c r="I415" i="2"/>
  <c r="J491" i="2"/>
  <c r="E207" i="4"/>
  <c r="J469" i="2"/>
  <c r="E59" i="7"/>
  <c r="E100" i="5"/>
  <c r="I302" i="2"/>
  <c r="I150" i="8"/>
  <c r="I400" i="2"/>
  <c r="I191" i="8"/>
  <c r="I547" i="2"/>
  <c r="E371" i="4"/>
  <c r="E5" i="5"/>
  <c r="E5" i="4"/>
  <c r="J5" i="2"/>
  <c r="I14" i="8"/>
  <c r="I42" i="2"/>
  <c r="E289" i="4"/>
  <c r="E165" i="5"/>
  <c r="J566" i="2"/>
  <c r="E126" i="4"/>
  <c r="I100" i="8"/>
  <c r="I329" i="2"/>
  <c r="J404" i="2"/>
  <c r="I353" i="2"/>
  <c r="E133" i="8" s="1"/>
  <c r="J609" i="2"/>
  <c r="E27" i="7"/>
  <c r="E32" i="6"/>
  <c r="I195" i="8"/>
  <c r="I526" i="2"/>
  <c r="E4" i="6"/>
  <c r="E7" i="5"/>
  <c r="E8" i="4"/>
  <c r="E106" i="6"/>
  <c r="E223" i="4"/>
  <c r="E130" i="5"/>
  <c r="J412" i="2"/>
  <c r="E247" i="4"/>
  <c r="E83" i="5"/>
  <c r="E179" i="4"/>
  <c r="J344" i="2"/>
  <c r="E249" i="4"/>
  <c r="J641" i="2"/>
  <c r="E178" i="5"/>
  <c r="E364" i="4"/>
  <c r="J428" i="2"/>
  <c r="E75" i="6"/>
  <c r="E34" i="6"/>
  <c r="E62" i="4"/>
  <c r="J100" i="2"/>
  <c r="E86" i="6"/>
  <c r="E214" i="4"/>
  <c r="J398" i="2"/>
  <c r="J647" i="2"/>
  <c r="I113" i="8"/>
  <c r="I327" i="2"/>
  <c r="I6" i="8"/>
  <c r="I17" i="2"/>
  <c r="I149" i="8"/>
  <c r="I364" i="2"/>
  <c r="E71" i="5"/>
  <c r="E125" i="4"/>
  <c r="J229" i="2"/>
  <c r="I203" i="8"/>
  <c r="I550" i="2"/>
  <c r="I197" i="8"/>
  <c r="I438" i="2"/>
  <c r="E197" i="8" s="1"/>
  <c r="E76" i="5"/>
  <c r="E9" i="7"/>
  <c r="E12" i="5"/>
  <c r="E202" i="4"/>
  <c r="E325" i="4"/>
  <c r="I81" i="8"/>
  <c r="I250" i="2"/>
  <c r="I30" i="8"/>
  <c r="I104" i="2"/>
  <c r="E101" i="5"/>
  <c r="E183" i="4"/>
  <c r="J357" i="2"/>
  <c r="J354" i="2"/>
  <c r="E212" i="4"/>
  <c r="AF3" i="3"/>
  <c r="AF13" i="3"/>
  <c r="AF7" i="3"/>
  <c r="I129" i="8"/>
  <c r="I345" i="2"/>
  <c r="E42" i="6"/>
  <c r="J141" i="2"/>
  <c r="E59" i="5"/>
  <c r="E89" i="4"/>
  <c r="I131" i="8"/>
  <c r="I437" i="2"/>
  <c r="E387" i="4"/>
  <c r="I41" i="8"/>
  <c r="I132" i="2"/>
  <c r="I57" i="8"/>
  <c r="I209" i="2"/>
  <c r="E24" i="5"/>
  <c r="E181" i="4"/>
  <c r="E38" i="7"/>
  <c r="E49" i="5"/>
  <c r="E80" i="4"/>
  <c r="J665" i="2"/>
  <c r="E122" i="4"/>
  <c r="J4" i="2"/>
  <c r="I21" i="8"/>
  <c r="I44" i="2"/>
  <c r="I107" i="8"/>
  <c r="I316" i="2"/>
  <c r="E142" i="4"/>
  <c r="I28" i="2"/>
  <c r="J423" i="2"/>
  <c r="E392" i="4"/>
  <c r="I153" i="8"/>
  <c r="I429" i="2"/>
  <c r="F10" i="3"/>
  <c r="I73" i="8"/>
  <c r="I226" i="2"/>
  <c r="E91" i="6"/>
  <c r="E228" i="4"/>
  <c r="J422" i="2"/>
  <c r="I146" i="8"/>
  <c r="I411" i="2"/>
  <c r="I84" i="2"/>
  <c r="E23" i="8" s="1"/>
  <c r="I164" i="5"/>
  <c r="I541" i="2"/>
  <c r="I545" i="2"/>
  <c r="E118" i="5"/>
  <c r="I20" i="8"/>
  <c r="I47" i="2"/>
  <c r="I111" i="8"/>
  <c r="I303" i="2"/>
  <c r="I163" i="8"/>
  <c r="I465" i="2"/>
  <c r="E123" i="7"/>
  <c r="E353" i="4"/>
  <c r="J593" i="2"/>
  <c r="E6" i="4"/>
  <c r="I208" i="8"/>
  <c r="I484" i="2"/>
  <c r="I122" i="8"/>
  <c r="I326" i="2"/>
  <c r="I140" i="8"/>
  <c r="I396" i="2"/>
  <c r="J454" i="2"/>
  <c r="I42" i="8"/>
  <c r="I158" i="2"/>
  <c r="E157" i="5"/>
  <c r="E352" i="4"/>
  <c r="J632" i="2"/>
  <c r="I115" i="2"/>
  <c r="E36" i="8" s="1"/>
  <c r="J260" i="2"/>
  <c r="J200" i="2"/>
  <c r="E257" i="4"/>
  <c r="I38" i="8"/>
  <c r="I157" i="2"/>
  <c r="I300" i="2"/>
  <c r="I492" i="2"/>
  <c r="I51" i="8"/>
  <c r="I166" i="2"/>
  <c r="I175" i="8"/>
  <c r="I418" i="2"/>
  <c r="I125" i="8"/>
  <c r="I350" i="2"/>
  <c r="J603" i="2"/>
  <c r="E320" i="4"/>
  <c r="E180" i="5"/>
  <c r="I168" i="8"/>
  <c r="I445" i="2"/>
  <c r="C650" i="12"/>
  <c r="I270" i="4"/>
  <c r="C637" i="12"/>
  <c r="C652" i="12"/>
  <c r="C655" i="12"/>
  <c r="AE10" i="3"/>
  <c r="C617" i="12"/>
  <c r="C638" i="12"/>
  <c r="C660" i="12"/>
  <c r="C629" i="12"/>
  <c r="C618" i="12"/>
  <c r="C606" i="12"/>
  <c r="C626" i="12"/>
  <c r="AE4" i="3"/>
  <c r="C654" i="12"/>
  <c r="C656" i="12"/>
  <c r="C641" i="12"/>
  <c r="C625" i="12"/>
  <c r="C630" i="12"/>
  <c r="AE5" i="3"/>
  <c r="C653" i="12"/>
  <c r="C661" i="12"/>
  <c r="AE12" i="3"/>
  <c r="AE8" i="3"/>
  <c r="AF15" i="3"/>
  <c r="AF4" i="3"/>
  <c r="AE6" i="3"/>
  <c r="C640" i="12"/>
  <c r="AF6" i="3"/>
  <c r="AF18" i="3"/>
  <c r="AE17" i="3"/>
  <c r="C663" i="12"/>
  <c r="AE9" i="3"/>
  <c r="AE16" i="3"/>
  <c r="AE18" i="3"/>
  <c r="C628" i="12"/>
  <c r="C612" i="12"/>
  <c r="AE15" i="3"/>
  <c r="AF17" i="3"/>
  <c r="AF19" i="3"/>
  <c r="C651" i="12"/>
  <c r="C613" i="12"/>
  <c r="C657" i="12"/>
  <c r="AF5" i="3"/>
  <c r="AE7" i="3"/>
  <c r="C643" i="12"/>
  <c r="AF11" i="3"/>
  <c r="AF8" i="3"/>
  <c r="AE13" i="3"/>
  <c r="C619" i="12"/>
  <c r="C662" i="12"/>
  <c r="AF16" i="3"/>
  <c r="AE14" i="3"/>
  <c r="AE11" i="3"/>
  <c r="AF14" i="3"/>
  <c r="C642" i="12"/>
  <c r="C645" i="12"/>
  <c r="C633" i="12"/>
  <c r="AE19" i="3"/>
  <c r="AF12" i="3"/>
  <c r="AF10" i="3"/>
  <c r="I73" i="6"/>
  <c r="I161" i="4"/>
  <c r="I31" i="7"/>
  <c r="I37" i="6"/>
  <c r="I76" i="4"/>
  <c r="I6" i="6"/>
  <c r="I13" i="4"/>
  <c r="I186" i="5"/>
  <c r="I355" i="4"/>
  <c r="I46" i="7"/>
  <c r="I98" i="4"/>
  <c r="I67" i="7"/>
  <c r="I94" i="5"/>
  <c r="I156" i="4"/>
  <c r="I81" i="7"/>
  <c r="I229" i="4"/>
  <c r="I54" i="7"/>
  <c r="I135" i="4"/>
  <c r="I53" i="5"/>
  <c r="I96" i="4"/>
  <c r="I168" i="5"/>
  <c r="I309" i="4"/>
  <c r="I120" i="7"/>
  <c r="I324" i="4"/>
  <c r="I23" i="7"/>
  <c r="I25" i="6"/>
  <c r="I68" i="4"/>
  <c r="I129" i="7"/>
  <c r="I340" i="4"/>
  <c r="I109" i="6"/>
  <c r="I244" i="4"/>
  <c r="I114" i="5"/>
  <c r="I234" i="4"/>
  <c r="I46" i="6"/>
  <c r="I45" i="7"/>
  <c r="I101" i="4"/>
  <c r="I6" i="7"/>
  <c r="I14" i="4"/>
  <c r="I16" i="7"/>
  <c r="I17" i="6"/>
  <c r="I33" i="4"/>
  <c r="I108" i="5"/>
  <c r="I181" i="4"/>
  <c r="I16" i="5"/>
  <c r="I13" i="6"/>
  <c r="I24" i="4"/>
  <c r="I3" i="5"/>
  <c r="I4" i="4"/>
  <c r="I8" i="5"/>
  <c r="I22" i="4"/>
  <c r="I85" i="5"/>
  <c r="I180" i="4"/>
  <c r="I141" i="6"/>
  <c r="I356" i="4"/>
  <c r="I96" i="6"/>
  <c r="I213" i="4"/>
  <c r="I92" i="6"/>
  <c r="I186" i="4"/>
  <c r="I68" i="5"/>
  <c r="I108" i="4"/>
  <c r="I185" i="5"/>
  <c r="I329" i="4"/>
  <c r="I157" i="5"/>
  <c r="I352" i="4"/>
  <c r="I36" i="7"/>
  <c r="I185" i="4"/>
  <c r="I49" i="6"/>
  <c r="I115" i="4"/>
  <c r="I105" i="7"/>
  <c r="I279" i="4"/>
  <c r="I97" i="6"/>
  <c r="I219" i="4"/>
  <c r="I9" i="6"/>
  <c r="I9" i="5"/>
  <c r="I16" i="4"/>
  <c r="I68" i="6"/>
  <c r="I159" i="4"/>
  <c r="I124" i="5"/>
  <c r="I210" i="4"/>
  <c r="I21" i="5"/>
  <c r="I42" i="4"/>
  <c r="I118" i="6"/>
  <c r="I251" i="4"/>
  <c r="I161" i="5"/>
  <c r="I294" i="4"/>
  <c r="I135" i="7"/>
  <c r="I366" i="4"/>
  <c r="I197" i="5"/>
  <c r="I64" i="7"/>
  <c r="I138" i="4"/>
  <c r="I63" i="7"/>
  <c r="I88" i="5"/>
  <c r="I150" i="4"/>
  <c r="I52" i="6"/>
  <c r="I147" i="4"/>
  <c r="I78" i="7"/>
  <c r="I188" i="4"/>
  <c r="I102" i="7"/>
  <c r="I257" i="4"/>
  <c r="I3" i="7"/>
  <c r="I6" i="4"/>
  <c r="I158" i="5"/>
  <c r="I261" i="4"/>
  <c r="I145" i="6"/>
  <c r="I378" i="4"/>
  <c r="I204" i="5"/>
  <c r="I383" i="4"/>
  <c r="I22" i="6"/>
  <c r="I46" i="4"/>
  <c r="I62" i="7"/>
  <c r="I87" i="5"/>
  <c r="I137" i="4"/>
  <c r="I95" i="7"/>
  <c r="I258" i="4"/>
  <c r="I365" i="4"/>
  <c r="I192" i="5"/>
  <c r="I81" i="5"/>
  <c r="I129" i="4"/>
  <c r="I41" i="6"/>
  <c r="I58" i="5"/>
  <c r="I106" i="4"/>
  <c r="I81" i="6"/>
  <c r="I201" i="4"/>
  <c r="I113" i="7"/>
  <c r="I318" i="4"/>
  <c r="I153" i="5"/>
  <c r="I262" i="4"/>
  <c r="I195" i="5"/>
  <c r="I357" i="4"/>
  <c r="I62" i="6"/>
  <c r="I146" i="4"/>
  <c r="I77" i="6"/>
  <c r="I215" i="4"/>
  <c r="I120" i="6"/>
  <c r="I288" i="4"/>
  <c r="I117" i="6"/>
  <c r="I265" i="4"/>
  <c r="I10" i="5"/>
  <c r="I17" i="4"/>
  <c r="I170" i="5"/>
  <c r="I134" i="6"/>
  <c r="I292" i="4"/>
  <c r="I151" i="6"/>
  <c r="I385" i="4"/>
  <c r="I24" i="5"/>
  <c r="I36" i="4"/>
  <c r="I25" i="7"/>
  <c r="I72" i="4"/>
  <c r="I57" i="6"/>
  <c r="I149" i="4"/>
  <c r="I26" i="6"/>
  <c r="I30" i="5"/>
  <c r="I52" i="4"/>
  <c r="I8" i="7"/>
  <c r="I12" i="4"/>
  <c r="I55" i="6"/>
  <c r="I50" i="7"/>
  <c r="I116" i="4"/>
  <c r="I43" i="5"/>
  <c r="I77" i="4"/>
  <c r="I203" i="5"/>
  <c r="I377" i="4"/>
  <c r="I94" i="6"/>
  <c r="I224" i="4"/>
  <c r="I119" i="7"/>
  <c r="I305" i="4"/>
  <c r="I156" i="5"/>
  <c r="I266" i="4"/>
  <c r="I113" i="6"/>
  <c r="I249" i="4"/>
  <c r="I138" i="6"/>
  <c r="I313" i="4"/>
  <c r="I56" i="5"/>
  <c r="I113" i="4"/>
  <c r="I41" i="7"/>
  <c r="I54" i="5"/>
  <c r="I95" i="4"/>
  <c r="I127" i="6"/>
  <c r="I295" i="4"/>
  <c r="I113" i="5"/>
  <c r="I202" i="4"/>
  <c r="I89" i="5"/>
  <c r="I195" i="4"/>
  <c r="I71" i="5"/>
  <c r="I125" i="4"/>
  <c r="I187" i="5"/>
  <c r="I338" i="4"/>
  <c r="I5" i="7"/>
  <c r="I10" i="4"/>
  <c r="I33" i="5"/>
  <c r="I53" i="4"/>
  <c r="I78" i="5"/>
  <c r="I168" i="4"/>
  <c r="I92" i="7"/>
  <c r="I127" i="5"/>
  <c r="I216" i="4"/>
  <c r="I110" i="6"/>
  <c r="I136" i="5"/>
  <c r="I231" i="4"/>
  <c r="I82" i="5"/>
  <c r="I127" i="4"/>
  <c r="I75" i="6"/>
  <c r="I100" i="5"/>
  <c r="I157" i="4"/>
  <c r="I77" i="7"/>
  <c r="I80" i="6"/>
  <c r="I176" i="4"/>
  <c r="I65" i="5"/>
  <c r="I103" i="4"/>
  <c r="I50" i="6"/>
  <c r="I100" i="4"/>
  <c r="I33" i="7"/>
  <c r="I92" i="4"/>
  <c r="I100" i="7"/>
  <c r="I248" i="4"/>
  <c r="I44" i="5"/>
  <c r="I69" i="4"/>
  <c r="I150" i="6"/>
  <c r="I387" i="4"/>
  <c r="I99" i="7"/>
  <c r="I307" i="4"/>
  <c r="I200" i="5"/>
  <c r="I375" i="4"/>
  <c r="I122" i="7"/>
  <c r="I362" i="4"/>
  <c r="I142" i="6"/>
  <c r="I359" i="4"/>
  <c r="I74" i="5"/>
  <c r="I144" i="4"/>
  <c r="I127" i="7"/>
  <c r="I343" i="4"/>
  <c r="I14" i="5"/>
  <c r="I23" i="4"/>
  <c r="I84" i="6"/>
  <c r="I105" i="5"/>
  <c r="I191" i="4"/>
  <c r="I32" i="7"/>
  <c r="I40" i="6"/>
  <c r="I78" i="4"/>
  <c r="I38" i="5"/>
  <c r="I57" i="4"/>
  <c r="I116" i="7"/>
  <c r="I334" i="4"/>
  <c r="I82" i="7"/>
  <c r="I106" i="5"/>
  <c r="I187" i="4"/>
  <c r="I15" i="6"/>
  <c r="I14" i="7"/>
  <c r="I49" i="4"/>
  <c r="I13" i="7"/>
  <c r="I18" i="5"/>
  <c r="I26" i="4"/>
  <c r="I72" i="5"/>
  <c r="I117" i="4"/>
  <c r="I145" i="5"/>
  <c r="I259" i="4"/>
  <c r="I96" i="5"/>
  <c r="I174" i="4"/>
  <c r="I73" i="7"/>
  <c r="I76" i="6"/>
  <c r="I173" i="4"/>
  <c r="I133" i="7"/>
  <c r="I384" i="4"/>
  <c r="I184" i="5"/>
  <c r="I344" i="4"/>
  <c r="I105" i="6"/>
  <c r="I129" i="5"/>
  <c r="I226" i="4"/>
  <c r="I104" i="6"/>
  <c r="I277" i="4"/>
  <c r="I57" i="7"/>
  <c r="I133" i="4"/>
  <c r="I7" i="7"/>
  <c r="I5" i="6"/>
  <c r="I11" i="4"/>
  <c r="I139" i="5"/>
  <c r="I238" i="4"/>
  <c r="I60" i="6"/>
  <c r="I120" i="4"/>
  <c r="I94" i="7"/>
  <c r="I271" i="4"/>
  <c r="I129" i="6"/>
  <c r="I367" i="4"/>
  <c r="I155" i="5"/>
  <c r="I304" i="4"/>
  <c r="I178" i="5"/>
  <c r="I364" i="4"/>
  <c r="I152" i="6"/>
  <c r="I390" i="4"/>
  <c r="I14" i="6"/>
  <c r="I35" i="4"/>
  <c r="I104" i="7"/>
  <c r="I146" i="5"/>
  <c r="I263" i="4"/>
  <c r="I70" i="7"/>
  <c r="I72" i="6"/>
  <c r="I203" i="4"/>
  <c r="I87" i="7"/>
  <c r="I291" i="4"/>
  <c r="I98" i="7"/>
  <c r="I246" i="4"/>
  <c r="I125" i="7"/>
  <c r="I368" i="4"/>
  <c r="I136" i="6"/>
  <c r="I311" i="4"/>
  <c r="I95" i="6"/>
  <c r="I190" i="4"/>
  <c r="I60" i="7"/>
  <c r="I154" i="4"/>
  <c r="I85" i="6"/>
  <c r="I218" i="4"/>
  <c r="I388" i="4"/>
  <c r="I202" i="5"/>
  <c r="I149" i="5"/>
  <c r="I284" i="4"/>
  <c r="I148" i="6"/>
  <c r="I201" i="5"/>
  <c r="I389" i="4"/>
  <c r="I131" i="5"/>
  <c r="I220" i="4"/>
  <c r="I42" i="6"/>
  <c r="I59" i="5"/>
  <c r="I89" i="4"/>
  <c r="I76" i="7"/>
  <c r="I79" i="6"/>
  <c r="I103" i="5"/>
  <c r="I172" i="4"/>
  <c r="I20" i="5"/>
  <c r="I32" i="4"/>
  <c r="I147" i="6"/>
  <c r="I376" i="4"/>
  <c r="I51" i="5"/>
  <c r="I91" i="4"/>
  <c r="I98" i="5"/>
  <c r="I162" i="4"/>
  <c r="I4" i="6"/>
  <c r="I7" i="5"/>
  <c r="I8" i="4"/>
  <c r="I86" i="5"/>
  <c r="I148" i="4"/>
  <c r="I135" i="5"/>
  <c r="I252" i="4"/>
  <c r="I160" i="5"/>
  <c r="I287" i="4"/>
  <c r="I137" i="6"/>
  <c r="I322" i="4"/>
  <c r="I28" i="5"/>
  <c r="I45" i="4"/>
  <c r="I33" i="6"/>
  <c r="I40" i="5"/>
  <c r="I65" i="4"/>
  <c r="I44" i="7"/>
  <c r="I63" i="5"/>
  <c r="I134" i="4"/>
  <c r="I49" i="7"/>
  <c r="I53" i="6"/>
  <c r="I123" i="4"/>
  <c r="I88" i="6"/>
  <c r="I211" i="4"/>
  <c r="I146" i="6"/>
  <c r="I371" i="4"/>
  <c r="I38" i="7"/>
  <c r="I49" i="5"/>
  <c r="I80" i="4"/>
  <c r="I29" i="7"/>
  <c r="I36" i="6"/>
  <c r="I67" i="4"/>
  <c r="I12" i="7"/>
  <c r="I17" i="5"/>
  <c r="I25" i="4"/>
  <c r="I3" i="6"/>
  <c r="I6" i="5"/>
  <c r="I9" i="4"/>
  <c r="I64" i="5"/>
  <c r="I124" i="4"/>
  <c r="I108" i="7"/>
  <c r="I122" i="6"/>
  <c r="I285" i="4"/>
  <c r="I111" i="7"/>
  <c r="I293" i="4"/>
  <c r="I191" i="5"/>
  <c r="I336" i="4"/>
  <c r="I90" i="5"/>
  <c r="I140" i="4"/>
  <c r="I142" i="5"/>
  <c r="I255" i="4"/>
  <c r="I132" i="7"/>
  <c r="I363" i="4"/>
  <c r="I27" i="6"/>
  <c r="I34" i="5"/>
  <c r="I54" i="4"/>
  <c r="I52" i="7"/>
  <c r="I151" i="4"/>
  <c r="I88" i="7"/>
  <c r="I99" i="6"/>
  <c r="I204" i="4"/>
  <c r="I147" i="5"/>
  <c r="I243" i="4"/>
  <c r="I102" i="6"/>
  <c r="I282" i="4"/>
  <c r="I144" i="6"/>
  <c r="I372" i="4"/>
  <c r="I109" i="7"/>
  <c r="I321" i="4"/>
  <c r="I130" i="6"/>
  <c r="I296" i="4"/>
  <c r="I84" i="5"/>
  <c r="I145" i="4"/>
  <c r="I165" i="5"/>
  <c r="I289" i="4"/>
  <c r="I39" i="7"/>
  <c r="I85" i="4"/>
  <c r="I56" i="6"/>
  <c r="I107" i="4"/>
  <c r="I34" i="7"/>
  <c r="I109" i="4"/>
  <c r="I93" i="7"/>
  <c r="I239" i="4"/>
  <c r="I47" i="7"/>
  <c r="I47" i="6"/>
  <c r="I97" i="4"/>
  <c r="I36" i="5"/>
  <c r="I58" i="4"/>
  <c r="I98" i="6"/>
  <c r="I205" i="4"/>
  <c r="I101" i="5"/>
  <c r="I183" i="4"/>
  <c r="I122" i="5"/>
  <c r="I245" i="4"/>
  <c r="I4" i="5"/>
  <c r="I3" i="4"/>
  <c r="I199" i="5"/>
  <c r="I386" i="4"/>
  <c r="I159" i="5"/>
  <c r="I301" i="4"/>
  <c r="I124" i="6"/>
  <c r="I35" i="5"/>
  <c r="I51" i="4"/>
  <c r="I133" i="6"/>
  <c r="I354" i="4"/>
  <c r="I48" i="5"/>
  <c r="I90" i="4"/>
  <c r="I120" i="5"/>
  <c r="I101" i="6"/>
  <c r="I200" i="4"/>
  <c r="I61" i="5"/>
  <c r="I130" i="4"/>
  <c r="I132" i="6"/>
  <c r="I345" i="4"/>
  <c r="I128" i="7"/>
  <c r="I361" i="4"/>
  <c r="I130" i="7"/>
  <c r="I347" i="4"/>
  <c r="I134" i="7"/>
  <c r="I381" i="4"/>
  <c r="I51" i="7"/>
  <c r="I70" i="5"/>
  <c r="I114" i="4"/>
  <c r="I20" i="6"/>
  <c r="I23" i="5"/>
  <c r="I41" i="4"/>
  <c r="I169" i="5"/>
  <c r="I300" i="4"/>
  <c r="I86" i="7"/>
  <c r="I217" i="4"/>
  <c r="I56" i="7"/>
  <c r="I76" i="5"/>
  <c r="I126" i="4"/>
  <c r="I28" i="6"/>
  <c r="I104" i="4"/>
  <c r="I112" i="6"/>
  <c r="I138" i="5"/>
  <c r="I233" i="4"/>
  <c r="I205" i="5"/>
  <c r="I392" i="4"/>
  <c r="I39" i="6"/>
  <c r="I87" i="4"/>
  <c r="I118" i="7"/>
  <c r="I350" i="4"/>
  <c r="I130" i="5"/>
  <c r="I106" i="6"/>
  <c r="I223" i="4"/>
  <c r="I83" i="7"/>
  <c r="I89" i="6"/>
  <c r="I182" i="4"/>
  <c r="I128" i="6"/>
  <c r="I283" i="4"/>
  <c r="I109" i="5"/>
  <c r="I247" i="4"/>
  <c r="I67" i="5"/>
  <c r="I112" i="4"/>
  <c r="I123" i="5"/>
  <c r="I221" i="4"/>
  <c r="I77" i="5"/>
  <c r="I165" i="4"/>
  <c r="I181" i="5"/>
  <c r="I317" i="4"/>
  <c r="I108" i="6"/>
  <c r="I134" i="5"/>
  <c r="I250" i="4"/>
  <c r="I68" i="7"/>
  <c r="I95" i="5"/>
  <c r="I158" i="4"/>
  <c r="I58" i="6"/>
  <c r="I299" i="4"/>
  <c r="I11" i="7"/>
  <c r="I12" i="6"/>
  <c r="I30" i="4"/>
  <c r="I61" i="7"/>
  <c r="I139" i="4"/>
  <c r="I183" i="5"/>
  <c r="I349" i="4"/>
  <c r="I89" i="7"/>
  <c r="I100" i="6"/>
  <c r="I235" i="4"/>
  <c r="I121" i="7"/>
  <c r="I351" i="4"/>
  <c r="I64" i="6"/>
  <c r="I79" i="5"/>
  <c r="I163" i="4"/>
  <c r="I79" i="7"/>
  <c r="I189" i="4"/>
  <c r="I107" i="5"/>
  <c r="I184" i="4"/>
  <c r="I182" i="5"/>
  <c r="I369" i="4"/>
  <c r="I126" i="7"/>
  <c r="I341" i="4"/>
  <c r="I112" i="5"/>
  <c r="I193" i="4"/>
  <c r="I42" i="7"/>
  <c r="I44" i="6"/>
  <c r="I94" i="4"/>
  <c r="I35" i="6"/>
  <c r="I82" i="4"/>
  <c r="I48" i="7"/>
  <c r="I111" i="4"/>
  <c r="I101" i="7"/>
  <c r="I316" i="4"/>
  <c r="I11" i="5"/>
  <c r="I28" i="4"/>
  <c r="I35" i="7"/>
  <c r="I47" i="5"/>
  <c r="I84" i="4"/>
  <c r="I51" i="6"/>
  <c r="I66" i="5"/>
  <c r="I102" i="4"/>
  <c r="I171" i="5"/>
  <c r="I326" i="4"/>
  <c r="I126" i="5"/>
  <c r="I206" i="4"/>
  <c r="I75" i="7"/>
  <c r="I199" i="4"/>
  <c r="I60" i="5"/>
  <c r="I43" i="6"/>
  <c r="I93" i="4"/>
  <c r="I106" i="7"/>
  <c r="I154" i="5"/>
  <c r="I276" i="4"/>
  <c r="I85" i="7"/>
  <c r="I111" i="5"/>
  <c r="I208" i="4"/>
  <c r="I116" i="5"/>
  <c r="I269" i="4"/>
  <c r="I143" i="5"/>
  <c r="I274" i="4"/>
  <c r="I118" i="5"/>
  <c r="I209" i="4"/>
  <c r="I337" i="4"/>
  <c r="I167" i="5"/>
  <c r="I26" i="5"/>
  <c r="I44" i="4"/>
  <c r="I80" i="5"/>
  <c r="I141" i="4"/>
  <c r="I55" i="5"/>
  <c r="I86" i="4"/>
  <c r="I17" i="7"/>
  <c r="I19" i="6"/>
  <c r="I40" i="4"/>
  <c r="I37" i="7"/>
  <c r="I83" i="4"/>
  <c r="I28" i="7"/>
  <c r="I42" i="5"/>
  <c r="I66" i="4"/>
  <c r="I90" i="7"/>
  <c r="I236" i="4"/>
  <c r="I58" i="7"/>
  <c r="I128" i="4"/>
  <c r="I93" i="6"/>
  <c r="I222" i="4"/>
  <c r="I140" i="6"/>
  <c r="I346" i="4"/>
  <c r="I116" i="6"/>
  <c r="I286" i="4"/>
  <c r="E177" i="5"/>
  <c r="E331" i="4"/>
  <c r="J616" i="2"/>
  <c r="E148" i="5"/>
  <c r="E267" i="4"/>
  <c r="J530" i="2"/>
  <c r="I84" i="7"/>
  <c r="I196" i="4"/>
  <c r="I198" i="5"/>
  <c r="I380" i="4"/>
  <c r="E29" i="7"/>
  <c r="E36" i="6"/>
  <c r="E67" i="4"/>
  <c r="J92" i="2"/>
  <c r="I21" i="6"/>
  <c r="I25" i="5"/>
  <c r="I39" i="4"/>
  <c r="E206" i="5"/>
  <c r="E391" i="4"/>
  <c r="J664" i="2"/>
  <c r="I180" i="5"/>
  <c r="I320" i="4"/>
  <c r="C664" i="12"/>
  <c r="I139" i="6"/>
  <c r="I335" i="4"/>
  <c r="I96" i="7"/>
  <c r="I253" i="4"/>
  <c r="E11" i="8"/>
  <c r="J34" i="2"/>
  <c r="I206" i="5"/>
  <c r="I391" i="4"/>
  <c r="I54" i="6"/>
  <c r="I160" i="4"/>
  <c r="I190" i="5"/>
  <c r="I348" i="4"/>
  <c r="E114" i="6"/>
  <c r="E242" i="4"/>
  <c r="J461" i="2"/>
  <c r="E61" i="8"/>
  <c r="J216" i="2"/>
  <c r="I119" i="6"/>
  <c r="I298" i="4"/>
  <c r="E145" i="6"/>
  <c r="E378" i="4"/>
  <c r="J646" i="2"/>
  <c r="E14" i="6"/>
  <c r="E35" i="4"/>
  <c r="J55" i="2"/>
  <c r="E58" i="6"/>
  <c r="E299" i="4"/>
  <c r="J556" i="2"/>
  <c r="E21" i="7"/>
  <c r="E27" i="5"/>
  <c r="E43" i="4"/>
  <c r="J54" i="2"/>
  <c r="E136" i="7"/>
  <c r="E374" i="4"/>
  <c r="J626" i="2"/>
  <c r="E34" i="8"/>
  <c r="J122" i="2"/>
  <c r="E44" i="8"/>
  <c r="J154" i="2"/>
  <c r="E140" i="5"/>
  <c r="E332" i="4"/>
  <c r="J617" i="2"/>
  <c r="E60" i="7"/>
  <c r="E154" i="4"/>
  <c r="J237" i="2"/>
  <c r="E50" i="5"/>
  <c r="E81" i="4"/>
  <c r="J137" i="2"/>
  <c r="E6" i="7"/>
  <c r="E14" i="4"/>
  <c r="J14" i="2"/>
  <c r="E12" i="7"/>
  <c r="E17" i="5"/>
  <c r="E25" i="4"/>
  <c r="J32" i="2"/>
  <c r="E137" i="6"/>
  <c r="E322" i="4"/>
  <c r="J590" i="2"/>
  <c r="E121" i="7"/>
  <c r="E351" i="4"/>
  <c r="J589" i="2"/>
  <c r="E103" i="6"/>
  <c r="E237" i="4"/>
  <c r="J443" i="2"/>
  <c r="E24" i="7"/>
  <c r="E32" i="5"/>
  <c r="E50" i="4"/>
  <c r="J65" i="2"/>
  <c r="E27" i="8"/>
  <c r="J110" i="2"/>
  <c r="E48" i="7"/>
  <c r="E111" i="4"/>
  <c r="J164" i="2"/>
  <c r="C636" i="12"/>
  <c r="I140" i="5"/>
  <c r="I332" i="4"/>
  <c r="E141" i="5"/>
  <c r="E312" i="4"/>
  <c r="J596" i="2"/>
  <c r="E161" i="8"/>
  <c r="J419" i="2"/>
  <c r="E90" i="8"/>
  <c r="J305" i="2"/>
  <c r="E107" i="7"/>
  <c r="E280" i="4"/>
  <c r="J486" i="2"/>
  <c r="E188" i="8"/>
  <c r="J476" i="2"/>
  <c r="I117" i="7"/>
  <c r="I358" i="4"/>
  <c r="E172" i="8"/>
  <c r="J516" i="2"/>
  <c r="I62" i="5"/>
  <c r="I105" i="4"/>
  <c r="E43" i="6"/>
  <c r="E60" i="5"/>
  <c r="E93" i="4"/>
  <c r="J146" i="2"/>
  <c r="E119" i="8"/>
  <c r="J347" i="2"/>
  <c r="E152" i="5"/>
  <c r="E260" i="4"/>
  <c r="J515" i="2"/>
  <c r="E96" i="8"/>
  <c r="J382" i="2"/>
  <c r="E85" i="7"/>
  <c r="E111" i="5"/>
  <c r="E208" i="4"/>
  <c r="J349" i="2"/>
  <c r="E76" i="6"/>
  <c r="E73" i="7"/>
  <c r="E173" i="4"/>
  <c r="J282" i="2"/>
  <c r="E129" i="4"/>
  <c r="E81" i="5"/>
  <c r="J240" i="2"/>
  <c r="C639" i="12"/>
  <c r="I31" i="5"/>
  <c r="I48" i="4"/>
  <c r="E20" i="5"/>
  <c r="E32" i="4"/>
  <c r="J58" i="2"/>
  <c r="E7" i="8"/>
  <c r="J19" i="2"/>
  <c r="C634" i="12"/>
  <c r="I131" i="7"/>
  <c r="I379" i="4"/>
  <c r="E116" i="8"/>
  <c r="J324" i="2"/>
  <c r="I114" i="6"/>
  <c r="I242" i="4"/>
  <c r="E10" i="7"/>
  <c r="E15" i="5"/>
  <c r="E29" i="4"/>
  <c r="J35" i="2"/>
  <c r="E135" i="8"/>
  <c r="J360" i="2"/>
  <c r="I91" i="7"/>
  <c r="I121" i="5"/>
  <c r="I227" i="4"/>
  <c r="I119" i="5"/>
  <c r="I256" i="4"/>
  <c r="I150" i="5"/>
  <c r="I273" i="4"/>
  <c r="I331" i="4"/>
  <c r="I177" i="5"/>
  <c r="I73" i="5"/>
  <c r="I118" i="4"/>
  <c r="I103" i="6"/>
  <c r="I237" i="4"/>
  <c r="E35" i="7"/>
  <c r="E47" i="5"/>
  <c r="E84" i="4"/>
  <c r="J118" i="2"/>
  <c r="I11" i="6"/>
  <c r="I18" i="4"/>
  <c r="E45" i="8"/>
  <c r="J159" i="2"/>
  <c r="I24" i="7"/>
  <c r="I32" i="5"/>
  <c r="I50" i="4"/>
  <c r="I34" i="6"/>
  <c r="I62" i="4"/>
  <c r="I141" i="5"/>
  <c r="I312" i="4"/>
  <c r="I107" i="7"/>
  <c r="I280" i="4"/>
  <c r="E157" i="8"/>
  <c r="J452" i="2"/>
  <c r="E202" i="5"/>
  <c r="E388" i="4"/>
  <c r="J662" i="2"/>
  <c r="E151" i="8"/>
  <c r="J493" i="2"/>
  <c r="E74" i="8"/>
  <c r="J319" i="2"/>
  <c r="I152" i="5"/>
  <c r="I260" i="4"/>
  <c r="C627" i="12"/>
  <c r="E274" i="4"/>
  <c r="E143" i="5"/>
  <c r="J544" i="2"/>
  <c r="I114" i="7"/>
  <c r="I333" i="4"/>
  <c r="I53" i="7"/>
  <c r="I136" i="4"/>
  <c r="E30" i="7"/>
  <c r="E71" i="4"/>
  <c r="J97" i="2"/>
  <c r="E98" i="5"/>
  <c r="E162" i="4"/>
  <c r="J306" i="2"/>
  <c r="E37" i="7"/>
  <c r="E83" i="4"/>
  <c r="J116" i="2"/>
  <c r="I30" i="7"/>
  <c r="I71" i="4"/>
  <c r="E36" i="5"/>
  <c r="E58" i="4"/>
  <c r="J99" i="2"/>
  <c r="I125" i="5"/>
  <c r="I225" i="4"/>
  <c r="I124" i="7"/>
  <c r="I314" i="4"/>
  <c r="E55" i="8"/>
  <c r="J232" i="2"/>
  <c r="I67" i="6"/>
  <c r="I152" i="4"/>
  <c r="I10" i="7"/>
  <c r="I15" i="5"/>
  <c r="I29" i="4"/>
  <c r="E142" i="6"/>
  <c r="E359" i="4"/>
  <c r="J627" i="2"/>
  <c r="I123" i="6"/>
  <c r="I272" i="4"/>
  <c r="I19" i="7"/>
  <c r="I55" i="4"/>
  <c r="I65" i="7"/>
  <c r="I91" i="5"/>
  <c r="I153" i="4"/>
  <c r="E3" i="8"/>
  <c r="F14" i="3"/>
  <c r="F22" i="3" s="1"/>
  <c r="J7" i="2"/>
  <c r="I126" i="6"/>
  <c r="I297" i="4"/>
  <c r="I29" i="6"/>
  <c r="I37" i="5"/>
  <c r="I64" i="4"/>
  <c r="E62" i="7"/>
  <c r="E87" i="5"/>
  <c r="E137" i="4"/>
  <c r="J211" i="2"/>
  <c r="E65" i="5"/>
  <c r="E103" i="4"/>
  <c r="J178" i="2"/>
  <c r="E148" i="8"/>
  <c r="J453" i="2"/>
  <c r="E33" i="6"/>
  <c r="E65" i="4"/>
  <c r="E40" i="5"/>
  <c r="J102" i="2"/>
  <c r="E182" i="5"/>
  <c r="E369" i="4"/>
  <c r="J644" i="2"/>
  <c r="I176" i="5"/>
  <c r="I323" i="4"/>
  <c r="J183" i="2"/>
  <c r="E47" i="8"/>
  <c r="E5" i="7"/>
  <c r="E10" i="4"/>
  <c r="J8" i="2"/>
  <c r="I196" i="5"/>
  <c r="I370" i="4"/>
  <c r="I86" i="6"/>
  <c r="I214" i="4"/>
  <c r="C605" i="12"/>
  <c r="I20" i="7"/>
  <c r="I23" i="6"/>
  <c r="I56" i="4"/>
  <c r="E46" i="5"/>
  <c r="E74" i="4"/>
  <c r="J127" i="2"/>
  <c r="E11" i="5"/>
  <c r="E28" i="4"/>
  <c r="J52" i="2"/>
  <c r="E189" i="8"/>
  <c r="J457" i="2"/>
  <c r="C616" i="12"/>
  <c r="I40" i="7"/>
  <c r="I52" i="5"/>
  <c r="I88" i="4"/>
  <c r="I194" i="5"/>
  <c r="I373" i="4"/>
  <c r="E50" i="7"/>
  <c r="E55" i="6"/>
  <c r="E116" i="4"/>
  <c r="J171" i="2"/>
  <c r="E26" i="7"/>
  <c r="E30" i="6"/>
  <c r="E60" i="4"/>
  <c r="J77" i="2"/>
  <c r="I5" i="5"/>
  <c r="I5" i="4"/>
  <c r="I175" i="5"/>
  <c r="I303" i="4"/>
  <c r="I48" i="6"/>
  <c r="I122" i="4"/>
  <c r="I69" i="6"/>
  <c r="I207" i="4"/>
  <c r="E39" i="6"/>
  <c r="E87" i="4"/>
  <c r="J135" i="2"/>
  <c r="C623" i="12"/>
  <c r="E55" i="7"/>
  <c r="E61" i="6"/>
  <c r="E121" i="4"/>
  <c r="J182" i="2"/>
  <c r="E67" i="7"/>
  <c r="E94" i="5"/>
  <c r="E156" i="4"/>
  <c r="J241" i="2"/>
  <c r="C614" i="12"/>
  <c r="E58" i="8"/>
  <c r="J223" i="2"/>
  <c r="E94" i="7"/>
  <c r="E271" i="4"/>
  <c r="J478" i="2"/>
  <c r="I18" i="7"/>
  <c r="I22" i="5"/>
  <c r="I38" i="4"/>
  <c r="E141" i="6"/>
  <c r="E356" i="4"/>
  <c r="J624" i="2"/>
  <c r="E108" i="6"/>
  <c r="E134" i="5"/>
  <c r="E250" i="4"/>
  <c r="J471" i="2"/>
  <c r="C632" i="12"/>
  <c r="E114" i="8"/>
  <c r="J359" i="2"/>
  <c r="I136" i="7"/>
  <c r="I374" i="4"/>
  <c r="J438" i="2"/>
  <c r="I148" i="5"/>
  <c r="I267" i="4"/>
  <c r="I18" i="6"/>
  <c r="I37" i="4"/>
  <c r="E5" i="6"/>
  <c r="E7" i="7"/>
  <c r="E11" i="4"/>
  <c r="J10" i="2"/>
  <c r="E61" i="5"/>
  <c r="E130" i="4"/>
  <c r="J242" i="2"/>
  <c r="E34" i="7"/>
  <c r="E109" i="4"/>
  <c r="J163" i="2"/>
  <c r="E294" i="4"/>
  <c r="E161" i="5"/>
  <c r="J574" i="2"/>
  <c r="E133" i="6"/>
  <c r="E354" i="4"/>
  <c r="J620" i="2"/>
  <c r="E79" i="7"/>
  <c r="E189" i="4"/>
  <c r="J311" i="2"/>
  <c r="I29" i="5"/>
  <c r="I47" i="4"/>
  <c r="E124" i="6"/>
  <c r="E159" i="5"/>
  <c r="E301" i="4"/>
  <c r="J559" i="2"/>
  <c r="I72" i="7"/>
  <c r="I74" i="6"/>
  <c r="I166" i="4"/>
  <c r="E13" i="5"/>
  <c r="E27" i="4"/>
  <c r="J49" i="2"/>
  <c r="E210" i="8"/>
  <c r="J558" i="2"/>
  <c r="I151" i="5"/>
  <c r="I264" i="4"/>
  <c r="I173" i="5"/>
  <c r="I325" i="4"/>
  <c r="E64" i="8"/>
  <c r="J190" i="2"/>
  <c r="E54" i="8"/>
  <c r="J214" i="2"/>
  <c r="I22" i="7"/>
  <c r="I24" i="6"/>
  <c r="I61" i="4"/>
  <c r="I46" i="5"/>
  <c r="I74" i="4"/>
  <c r="E47" i="7"/>
  <c r="E47" i="6"/>
  <c r="E97" i="4"/>
  <c r="J139" i="2"/>
  <c r="I188" i="5"/>
  <c r="I319" i="4"/>
  <c r="C607" i="12"/>
  <c r="I189" i="5"/>
  <c r="I342" i="4"/>
  <c r="I171" i="4"/>
  <c r="I92" i="5"/>
  <c r="E145" i="8"/>
  <c r="E148" i="6"/>
  <c r="E201" i="5"/>
  <c r="E389" i="4"/>
  <c r="J660" i="2"/>
  <c r="E25" i="7"/>
  <c r="E72" i="4"/>
  <c r="J98" i="2"/>
  <c r="I26" i="7"/>
  <c r="I30" i="6"/>
  <c r="I60" i="4"/>
  <c r="E5" i="8"/>
  <c r="J16" i="2"/>
  <c r="I45" i="5"/>
  <c r="I73" i="4"/>
  <c r="E39" i="5"/>
  <c r="E63" i="4"/>
  <c r="J108" i="2"/>
  <c r="C631" i="12"/>
  <c r="E55" i="5"/>
  <c r="E86" i="4"/>
  <c r="J143" i="2"/>
  <c r="E105" i="7"/>
  <c r="E279" i="4"/>
  <c r="J482" i="2"/>
  <c r="E97" i="6"/>
  <c r="E219" i="4"/>
  <c r="J407" i="2"/>
  <c r="E93" i="8"/>
  <c r="J278" i="2"/>
  <c r="E68" i="6"/>
  <c r="E159" i="4"/>
  <c r="J272" i="2"/>
  <c r="I55" i="7"/>
  <c r="I61" i="6"/>
  <c r="I121" i="4"/>
  <c r="E101" i="8"/>
  <c r="J318" i="2"/>
  <c r="E110" i="7"/>
  <c r="E281" i="4"/>
  <c r="J487" i="2"/>
  <c r="E87" i="6"/>
  <c r="E194" i="4"/>
  <c r="J343" i="2"/>
  <c r="E53" i="5"/>
  <c r="E96" i="4"/>
  <c r="J162" i="2"/>
  <c r="E15" i="7"/>
  <c r="E16" i="6"/>
  <c r="E31" i="4"/>
  <c r="J39" i="2"/>
  <c r="I132" i="5"/>
  <c r="I254" i="4"/>
  <c r="E97" i="8"/>
  <c r="J301" i="2"/>
  <c r="E120" i="7"/>
  <c r="E324" i="4"/>
  <c r="J565" i="2"/>
  <c r="E158" i="5"/>
  <c r="E261" i="4"/>
  <c r="J517" i="2"/>
  <c r="C621" i="12"/>
  <c r="I179" i="5"/>
  <c r="I330" i="4"/>
  <c r="E40" i="8"/>
  <c r="J128" i="2"/>
  <c r="E14" i="7"/>
  <c r="E15" i="6"/>
  <c r="E49" i="4"/>
  <c r="J60" i="2"/>
  <c r="E117" i="5"/>
  <c r="E232" i="4"/>
  <c r="J462" i="2"/>
  <c r="E197" i="5"/>
  <c r="E135" i="7"/>
  <c r="E366" i="4"/>
  <c r="J610" i="2"/>
  <c r="I82" i="6"/>
  <c r="I104" i="5"/>
  <c r="I175" i="4"/>
  <c r="I21" i="7"/>
  <c r="I27" i="5"/>
  <c r="I43" i="4"/>
  <c r="I66" i="7"/>
  <c r="I93" i="5"/>
  <c r="I155" i="4"/>
  <c r="E21" i="6"/>
  <c r="E25" i="5"/>
  <c r="E39" i="4"/>
  <c r="J59" i="2"/>
  <c r="E213" i="8"/>
  <c r="J567" i="2"/>
  <c r="E181" i="5"/>
  <c r="E317" i="4"/>
  <c r="J600" i="2"/>
  <c r="I149" i="6"/>
  <c r="I382" i="4"/>
  <c r="E40" i="7"/>
  <c r="E52" i="5"/>
  <c r="E88" i="4"/>
  <c r="J126" i="2"/>
  <c r="J87" i="2"/>
  <c r="I13" i="5"/>
  <c r="I27" i="4"/>
  <c r="C609" i="12"/>
  <c r="I172" i="5"/>
  <c r="I308" i="4"/>
  <c r="E52" i="8"/>
  <c r="J244" i="2"/>
  <c r="E13" i="6"/>
  <c r="E16" i="5"/>
  <c r="E24" i="4"/>
  <c r="J36" i="2"/>
  <c r="E106" i="8"/>
  <c r="E171" i="5"/>
  <c r="E326" i="4"/>
  <c r="J611" i="2"/>
  <c r="E131" i="5"/>
  <c r="E220" i="4"/>
  <c r="J439" i="2"/>
  <c r="I71" i="7"/>
  <c r="I99" i="5"/>
  <c r="I170" i="4"/>
  <c r="I43" i="7"/>
  <c r="I45" i="6"/>
  <c r="I99" i="4"/>
  <c r="C659" i="12"/>
  <c r="I70" i="6"/>
  <c r="I97" i="5"/>
  <c r="I164" i="4"/>
  <c r="I39" i="5"/>
  <c r="I63" i="4"/>
  <c r="I74" i="7"/>
  <c r="I177" i="4"/>
  <c r="I63" i="6"/>
  <c r="I132" i="4"/>
  <c r="I102" i="5"/>
  <c r="I78" i="6"/>
  <c r="I167" i="4"/>
  <c r="E147" i="6"/>
  <c r="E376" i="4"/>
  <c r="J645" i="2"/>
  <c r="E84" i="6"/>
  <c r="E105" i="5"/>
  <c r="E191" i="4"/>
  <c r="J339" i="2"/>
  <c r="E98" i="7"/>
  <c r="E246" i="4"/>
  <c r="J433" i="2"/>
  <c r="I27" i="7"/>
  <c r="I32" i="6"/>
  <c r="I59" i="4"/>
  <c r="J504" i="2"/>
  <c r="E112" i="7"/>
  <c r="E131" i="6"/>
  <c r="E306" i="4"/>
  <c r="J539" i="2"/>
  <c r="I110" i="7"/>
  <c r="I281" i="4"/>
  <c r="I87" i="6"/>
  <c r="I194" i="4"/>
  <c r="C649" i="12"/>
  <c r="I16" i="6"/>
  <c r="I15" i="7"/>
  <c r="I31" i="4"/>
  <c r="I174" i="5"/>
  <c r="I327" i="4"/>
  <c r="I112" i="7"/>
  <c r="I131" i="6"/>
  <c r="I306" i="4"/>
  <c r="E118" i="6"/>
  <c r="E251" i="4"/>
  <c r="J474" i="2"/>
  <c r="E132" i="8"/>
  <c r="J408" i="2"/>
  <c r="E80" i="8"/>
  <c r="J284" i="2"/>
  <c r="I103" i="7"/>
  <c r="I268" i="4"/>
  <c r="E204" i="5"/>
  <c r="E383" i="4"/>
  <c r="J659" i="2"/>
  <c r="I166" i="5"/>
  <c r="I290" i="4"/>
  <c r="I69" i="5"/>
  <c r="I131" i="4"/>
  <c r="I71" i="6"/>
  <c r="I69" i="7"/>
  <c r="I169" i="4"/>
  <c r="E128" i="7"/>
  <c r="E361" i="4"/>
  <c r="J602" i="2"/>
  <c r="I143" i="6"/>
  <c r="I360" i="4"/>
  <c r="I97" i="7"/>
  <c r="I111" i="6"/>
  <c r="I137" i="5"/>
  <c r="I240" i="4"/>
  <c r="E171" i="8"/>
  <c r="J430" i="2"/>
  <c r="E168" i="4"/>
  <c r="E78" i="5"/>
  <c r="J315" i="2"/>
  <c r="E25" i="6"/>
  <c r="E23" i="7"/>
  <c r="E68" i="4"/>
  <c r="J93" i="2"/>
  <c r="C647" i="12"/>
  <c r="E64" i="6"/>
  <c r="E79" i="5"/>
  <c r="E163" i="4"/>
  <c r="J281" i="2"/>
  <c r="E195" i="5"/>
  <c r="E357" i="4"/>
  <c r="J638" i="2"/>
  <c r="E19" i="5"/>
  <c r="E34" i="4"/>
  <c r="J62" i="2"/>
  <c r="E35" i="5"/>
  <c r="E51" i="4"/>
  <c r="J91" i="2"/>
  <c r="I121" i="6"/>
  <c r="I278" i="4"/>
  <c r="E127" i="8"/>
  <c r="J334" i="2"/>
  <c r="E31" i="7"/>
  <c r="E37" i="6"/>
  <c r="E76" i="4"/>
  <c r="J106" i="2"/>
  <c r="I128" i="5"/>
  <c r="I212" i="4"/>
  <c r="E200" i="5"/>
  <c r="E375" i="4"/>
  <c r="J653" i="2"/>
  <c r="E134" i="7"/>
  <c r="E381" i="4"/>
  <c r="J636" i="2"/>
  <c r="E57" i="5"/>
  <c r="E110" i="4"/>
  <c r="J191" i="2"/>
  <c r="E82" i="5"/>
  <c r="E127" i="4"/>
  <c r="J233" i="2"/>
  <c r="E15" i="8"/>
  <c r="J53" i="2"/>
  <c r="E63" i="6"/>
  <c r="E132" i="4"/>
  <c r="J224" i="2"/>
  <c r="I107" i="6"/>
  <c r="I133" i="5"/>
  <c r="I230" i="4"/>
  <c r="E86" i="7"/>
  <c r="E217" i="4"/>
  <c r="J363" i="2"/>
  <c r="I41" i="5"/>
  <c r="I70" i="4"/>
  <c r="E133" i="7"/>
  <c r="E384" i="4"/>
  <c r="J643" i="2"/>
  <c r="C608" i="12"/>
  <c r="E149" i="4"/>
  <c r="E57" i="6"/>
  <c r="J258" i="2"/>
  <c r="I38" i="6"/>
  <c r="I75" i="4"/>
  <c r="E200" i="8"/>
  <c r="J458" i="2"/>
  <c r="E80" i="7"/>
  <c r="E83" i="6"/>
  <c r="E178" i="4"/>
  <c r="J292" i="2"/>
  <c r="E7" i="6"/>
  <c r="E15" i="4"/>
  <c r="J18" i="2"/>
  <c r="E131" i="7"/>
  <c r="E379" i="4"/>
  <c r="J633" i="2"/>
  <c r="E64" i="7"/>
  <c r="E138" i="4"/>
  <c r="J212" i="2"/>
  <c r="E63" i="7"/>
  <c r="E88" i="5"/>
  <c r="E150" i="4"/>
  <c r="J230" i="2"/>
  <c r="E78" i="7"/>
  <c r="E188" i="4"/>
  <c r="J309" i="2"/>
  <c r="I91" i="6"/>
  <c r="I228" i="4"/>
  <c r="I10" i="6"/>
  <c r="I20" i="4"/>
  <c r="E155" i="8"/>
  <c r="J378" i="2"/>
  <c r="I125" i="6"/>
  <c r="I275" i="4"/>
  <c r="E107" i="6"/>
  <c r="E133" i="5"/>
  <c r="E230" i="4"/>
  <c r="J424" i="2"/>
  <c r="E6" i="6"/>
  <c r="E13" i="4"/>
  <c r="J15" i="2"/>
  <c r="E50" i="6"/>
  <c r="E100" i="4"/>
  <c r="J161" i="2"/>
  <c r="E35" i="6"/>
  <c r="E82" i="4"/>
  <c r="J134" i="2"/>
  <c r="E75" i="8"/>
  <c r="J231" i="2"/>
  <c r="I110" i="5"/>
  <c r="I198" i="4"/>
  <c r="E135" i="5"/>
  <c r="E252" i="4"/>
  <c r="J495" i="2"/>
  <c r="E21" i="5"/>
  <c r="E42" i="4"/>
  <c r="J75" i="2"/>
  <c r="E56" i="5"/>
  <c r="E113" i="4"/>
  <c r="J194" i="2"/>
  <c r="I31" i="6"/>
  <c r="I79" i="4"/>
  <c r="E37" i="5"/>
  <c r="E29" i="6"/>
  <c r="E64" i="4"/>
  <c r="J101" i="2"/>
  <c r="E132" i="6"/>
  <c r="E345" i="4"/>
  <c r="J607" i="2"/>
  <c r="E129" i="6"/>
  <c r="E367" i="4"/>
  <c r="J634" i="2"/>
  <c r="E34" i="9"/>
  <c r="J293" i="2"/>
  <c r="I19" i="5"/>
  <c r="I34" i="4"/>
  <c r="E124" i="7"/>
  <c r="E314" i="4"/>
  <c r="J548" i="2"/>
  <c r="E49" i="6"/>
  <c r="E115" i="4"/>
  <c r="J181" i="2"/>
  <c r="E132" i="7"/>
  <c r="E363" i="4"/>
  <c r="J605" i="2"/>
  <c r="E174" i="8"/>
  <c r="J393" i="2"/>
  <c r="E89" i="8"/>
  <c r="J247" i="2"/>
  <c r="E8" i="5"/>
  <c r="E22" i="4"/>
  <c r="J40" i="2"/>
  <c r="I57" i="5"/>
  <c r="I110" i="4"/>
  <c r="I90" i="6"/>
  <c r="I192" i="4"/>
  <c r="E134" i="6"/>
  <c r="E170" i="5"/>
  <c r="E292" i="4"/>
  <c r="J549" i="2"/>
  <c r="E166" i="8"/>
  <c r="J409" i="2"/>
  <c r="E28" i="6"/>
  <c r="E104" i="4"/>
  <c r="J170" i="2"/>
  <c r="C644" i="12"/>
  <c r="J115" i="2"/>
  <c r="I66" i="6"/>
  <c r="I142" i="4"/>
  <c r="I65" i="6"/>
  <c r="I59" i="7"/>
  <c r="I143" i="4"/>
  <c r="I50" i="5"/>
  <c r="I81" i="4"/>
  <c r="E102" i="8"/>
  <c r="J288" i="2"/>
  <c r="E125" i="5"/>
  <c r="E225" i="4"/>
  <c r="J444" i="2"/>
  <c r="I80" i="7"/>
  <c r="I83" i="6"/>
  <c r="I178" i="4"/>
  <c r="I7" i="6"/>
  <c r="I15" i="4"/>
  <c r="E4" i="7"/>
  <c r="E7" i="4"/>
  <c r="J6" i="2"/>
  <c r="I115" i="6"/>
  <c r="I144" i="5"/>
  <c r="I241" i="4"/>
  <c r="E139" i="5"/>
  <c r="E238" i="4"/>
  <c r="J467" i="2"/>
  <c r="I75" i="5"/>
  <c r="I59" i="6"/>
  <c r="I119" i="4"/>
  <c r="I115" i="5"/>
  <c r="I197" i="4"/>
  <c r="I163" i="5"/>
  <c r="I310" i="4"/>
  <c r="I8" i="6"/>
  <c r="I19" i="4"/>
  <c r="E119" i="7"/>
  <c r="E305" i="4"/>
  <c r="J538" i="2"/>
  <c r="E159" i="8"/>
  <c r="J395" i="2"/>
  <c r="E115" i="8"/>
  <c r="J330" i="2"/>
  <c r="E160" i="8"/>
  <c r="J380" i="2"/>
  <c r="E62" i="5"/>
  <c r="E105" i="4"/>
  <c r="J179" i="2"/>
  <c r="E66" i="8"/>
  <c r="J198" i="2"/>
  <c r="E185" i="8"/>
  <c r="J449" i="2"/>
  <c r="E123" i="8"/>
  <c r="J331" i="2"/>
  <c r="E59" i="8"/>
  <c r="J296" i="2"/>
  <c r="E126" i="6"/>
  <c r="E297" i="4"/>
  <c r="J554" i="2"/>
  <c r="E33" i="8"/>
  <c r="J129" i="2"/>
  <c r="E46" i="8"/>
  <c r="J156" i="2"/>
  <c r="E42" i="7"/>
  <c r="E44" i="6"/>
  <c r="E94" i="4"/>
  <c r="J136" i="2"/>
  <c r="E33" i="5"/>
  <c r="E53" i="4"/>
  <c r="J94" i="2"/>
  <c r="C620" i="12"/>
  <c r="E136" i="6"/>
  <c r="E311" i="4"/>
  <c r="J575" i="2"/>
  <c r="E190" i="5"/>
  <c r="E348" i="4"/>
  <c r="J629" i="2"/>
  <c r="E138" i="6"/>
  <c r="E313" i="4"/>
  <c r="J576" i="2"/>
  <c r="E112" i="8"/>
  <c r="C611" i="12"/>
  <c r="E192" i="8"/>
  <c r="J525" i="2"/>
  <c r="E187" i="8"/>
  <c r="J456" i="2"/>
  <c r="I315" i="4"/>
  <c r="I162" i="5"/>
  <c r="E51" i="7"/>
  <c r="E70" i="5"/>
  <c r="E114" i="4"/>
  <c r="J169" i="2"/>
  <c r="E79" i="8"/>
  <c r="J249" i="2"/>
  <c r="C635" i="12"/>
  <c r="E120" i="8"/>
  <c r="J321" i="2"/>
  <c r="E39" i="7"/>
  <c r="E85" i="4"/>
  <c r="J120" i="2"/>
  <c r="E22" i="8"/>
  <c r="J48" i="2"/>
  <c r="I9" i="7"/>
  <c r="I12" i="5"/>
  <c r="I21" i="4"/>
  <c r="E19" i="8"/>
  <c r="J57" i="2"/>
  <c r="E26" i="6"/>
  <c r="E30" i="5"/>
  <c r="E52" i="4"/>
  <c r="J83" i="2"/>
  <c r="I117" i="5"/>
  <c r="I232" i="4"/>
  <c r="I123" i="7"/>
  <c r="I353" i="4"/>
  <c r="E50" i="8"/>
  <c r="J172" i="2"/>
  <c r="E67" i="5"/>
  <c r="E112" i="4"/>
  <c r="J193" i="2"/>
  <c r="E57" i="7"/>
  <c r="E133" i="4"/>
  <c r="J203" i="2"/>
  <c r="I4" i="7"/>
  <c r="I7" i="4"/>
  <c r="I115" i="7"/>
  <c r="I328" i="4"/>
  <c r="I135" i="6"/>
  <c r="I302" i="4"/>
  <c r="E128" i="6"/>
  <c r="E283" i="4"/>
  <c r="J534" i="2"/>
  <c r="I83" i="5"/>
  <c r="I179" i="4"/>
  <c r="I193" i="5"/>
  <c r="I339" i="4"/>
  <c r="E35" i="8" l="1"/>
  <c r="J353" i="2"/>
  <c r="J155" i="2"/>
  <c r="H65" i="8"/>
  <c r="E104" i="8"/>
  <c r="H15" i="8"/>
  <c r="J274" i="2"/>
  <c r="H183" i="8"/>
  <c r="H41" i="8"/>
  <c r="H116" i="8"/>
  <c r="H179" i="8"/>
  <c r="H204" i="8"/>
  <c r="H137" i="8"/>
  <c r="H81" i="8"/>
  <c r="H90" i="8"/>
  <c r="H134" i="8"/>
  <c r="J84" i="2"/>
  <c r="H49" i="8"/>
  <c r="J519" i="2"/>
  <c r="E182" i="8"/>
  <c r="H181" i="8"/>
  <c r="H132" i="8"/>
  <c r="H191" i="8"/>
  <c r="H180" i="8"/>
  <c r="H178" i="8"/>
  <c r="H193" i="8"/>
  <c r="H167" i="8"/>
  <c r="H86" i="8"/>
  <c r="H67" i="8"/>
  <c r="H126" i="8"/>
  <c r="H109" i="8"/>
  <c r="H138" i="8"/>
  <c r="H151" i="8"/>
  <c r="H37" i="8"/>
  <c r="H170" i="8"/>
  <c r="H91" i="8"/>
  <c r="H76" i="8"/>
  <c r="J312" i="2"/>
  <c r="E117" i="8"/>
  <c r="H209" i="8"/>
  <c r="H184" i="8"/>
  <c r="H66" i="8"/>
  <c r="H127" i="8"/>
  <c r="H51" i="8"/>
  <c r="H208" i="8"/>
  <c r="H149" i="8"/>
  <c r="H195" i="8"/>
  <c r="H162" i="8"/>
  <c r="H26" i="8"/>
  <c r="H158" i="8"/>
  <c r="H69" i="8"/>
  <c r="H8" i="8"/>
  <c r="H48" i="8"/>
  <c r="H29" i="8"/>
  <c r="H176" i="8"/>
  <c r="H32" i="8"/>
  <c r="H141" i="8"/>
  <c r="H107" i="8"/>
  <c r="H28" i="8"/>
  <c r="H177" i="8"/>
  <c r="H78" i="8"/>
  <c r="H87" i="8"/>
  <c r="I15" i="9"/>
  <c r="I112" i="2"/>
  <c r="E195" i="8"/>
  <c r="J526" i="2"/>
  <c r="H7" i="8"/>
  <c r="H135" i="8"/>
  <c r="E150" i="8"/>
  <c r="J400" i="2"/>
  <c r="E177" i="8"/>
  <c r="J432" i="2"/>
  <c r="I11" i="9"/>
  <c r="I71" i="2"/>
  <c r="H50" i="8"/>
  <c r="E198" i="8"/>
  <c r="J492" i="2"/>
  <c r="E17" i="8"/>
  <c r="J74" i="2"/>
  <c r="H197" i="8"/>
  <c r="I10" i="9"/>
  <c r="I69" i="2"/>
  <c r="H24" i="8"/>
  <c r="I25" i="9"/>
  <c r="I199" i="2"/>
  <c r="H144" i="8"/>
  <c r="I51" i="9"/>
  <c r="I531" i="2"/>
  <c r="I44" i="9"/>
  <c r="I475" i="2"/>
  <c r="H113" i="8"/>
  <c r="H163" i="8"/>
  <c r="H120" i="8"/>
  <c r="I52" i="9"/>
  <c r="I533" i="2"/>
  <c r="H142" i="8"/>
  <c r="H108" i="8"/>
  <c r="H148" i="8"/>
  <c r="H106" i="8"/>
  <c r="H21" i="8"/>
  <c r="H175" i="8"/>
  <c r="H104" i="8"/>
  <c r="H169" i="8"/>
  <c r="H18" i="8"/>
  <c r="H152" i="8"/>
  <c r="H133" i="8"/>
  <c r="H145" i="8"/>
  <c r="H123" i="8"/>
  <c r="I23" i="9"/>
  <c r="I177" i="2"/>
  <c r="I50" i="9"/>
  <c r="I527" i="2"/>
  <c r="I8" i="9"/>
  <c r="I64" i="2"/>
  <c r="I62" i="9"/>
  <c r="I648" i="2"/>
  <c r="E108" i="8"/>
  <c r="J300" i="2"/>
  <c r="J158" i="2"/>
  <c r="E42" i="8"/>
  <c r="E212" i="8"/>
  <c r="J545" i="2"/>
  <c r="E21" i="8"/>
  <c r="J44" i="2"/>
  <c r="E57" i="8"/>
  <c r="J209" i="2"/>
  <c r="E14" i="8"/>
  <c r="J42" i="2"/>
  <c r="E103" i="8"/>
  <c r="J302" i="2"/>
  <c r="E134" i="8"/>
  <c r="J431" i="2"/>
  <c r="J107" i="2"/>
  <c r="E25" i="8"/>
  <c r="J297" i="2"/>
  <c r="E68" i="8"/>
  <c r="E141" i="8"/>
  <c r="J356" i="2"/>
  <c r="E139" i="8"/>
  <c r="J417" i="2"/>
  <c r="E201" i="8"/>
  <c r="J537" i="2"/>
  <c r="E183" i="8"/>
  <c r="J508" i="2"/>
  <c r="E85" i="8"/>
  <c r="J257" i="2"/>
  <c r="E152" i="8"/>
  <c r="J388" i="2"/>
  <c r="E63" i="8"/>
  <c r="J186" i="2"/>
  <c r="I49" i="9"/>
  <c r="I524" i="2"/>
  <c r="E20" i="8"/>
  <c r="J47" i="2"/>
  <c r="E49" i="8"/>
  <c r="J195" i="2"/>
  <c r="J125" i="2"/>
  <c r="E29" i="8"/>
  <c r="H205" i="8"/>
  <c r="J472" i="2"/>
  <c r="H150" i="8"/>
  <c r="E28" i="8"/>
  <c r="J117" i="2"/>
  <c r="E181" i="8"/>
  <c r="J441" i="2"/>
  <c r="E87" i="8"/>
  <c r="J266" i="2"/>
  <c r="H121" i="8"/>
  <c r="J17" i="2"/>
  <c r="E6" i="8"/>
  <c r="E43" i="8"/>
  <c r="J142" i="2"/>
  <c r="E211" i="8"/>
  <c r="J560" i="2"/>
  <c r="H210" i="8"/>
  <c r="H203" i="8"/>
  <c r="J173" i="2"/>
  <c r="H147" i="8"/>
  <c r="I17" i="9"/>
  <c r="I149" i="2"/>
  <c r="H140" i="8"/>
  <c r="H64" i="8"/>
  <c r="I33" i="9"/>
  <c r="I279" i="2"/>
  <c r="I13" i="9"/>
  <c r="I89" i="2"/>
  <c r="H124" i="8"/>
  <c r="I12" i="9"/>
  <c r="I72" i="2"/>
  <c r="H139" i="8"/>
  <c r="H101" i="8"/>
  <c r="H212" i="8"/>
  <c r="H16" i="8"/>
  <c r="H55" i="8"/>
  <c r="H206" i="8"/>
  <c r="H115" i="8"/>
  <c r="H156" i="8"/>
  <c r="H188" i="8"/>
  <c r="H60" i="8"/>
  <c r="H13" i="8"/>
  <c r="I32" i="9"/>
  <c r="I251" i="2"/>
  <c r="I27" i="9"/>
  <c r="I222" i="2"/>
  <c r="I3" i="9"/>
  <c r="I22" i="2"/>
  <c r="I38" i="9"/>
  <c r="I369" i="2"/>
  <c r="J157" i="2"/>
  <c r="E38" i="8"/>
  <c r="E270" i="4"/>
  <c r="C143" i="4" s="1"/>
  <c r="J541" i="2"/>
  <c r="E164" i="5"/>
  <c r="E129" i="8"/>
  <c r="J345" i="2"/>
  <c r="E30" i="8"/>
  <c r="J104" i="2"/>
  <c r="E113" i="8"/>
  <c r="J327" i="2"/>
  <c r="E202" i="8"/>
  <c r="J451" i="2"/>
  <c r="E60" i="8"/>
  <c r="J185" i="2"/>
  <c r="E105" i="8"/>
  <c r="J348" i="2"/>
  <c r="E95" i="8"/>
  <c r="J263" i="2"/>
  <c r="J248" i="2"/>
  <c r="E82" i="8"/>
  <c r="E130" i="8"/>
  <c r="J333" i="2"/>
  <c r="J201" i="2"/>
  <c r="E70" i="8"/>
  <c r="E16" i="8"/>
  <c r="J90" i="2"/>
  <c r="E51" i="8"/>
  <c r="J166" i="2"/>
  <c r="H47" i="8"/>
  <c r="H168" i="8"/>
  <c r="I21" i="9"/>
  <c r="I165" i="2"/>
  <c r="J316" i="2"/>
  <c r="E107" i="8"/>
  <c r="J406" i="2"/>
  <c r="E121" i="8"/>
  <c r="J85" i="2"/>
  <c r="E18" i="8"/>
  <c r="E12" i="8"/>
  <c r="J68" i="2"/>
  <c r="J389" i="2"/>
  <c r="E136" i="8"/>
  <c r="H75" i="8"/>
  <c r="H39" i="8"/>
  <c r="H4" i="8"/>
  <c r="H146" i="8"/>
  <c r="H130" i="8"/>
  <c r="H155" i="8"/>
  <c r="H68" i="8"/>
  <c r="H161" i="8"/>
  <c r="H82" i="8"/>
  <c r="H118" i="8"/>
  <c r="H159" i="8"/>
  <c r="H119" i="8"/>
  <c r="H211" i="8"/>
  <c r="H207" i="8"/>
  <c r="H194" i="8"/>
  <c r="H63" i="8"/>
  <c r="H93" i="8"/>
  <c r="H89" i="8"/>
  <c r="H102" i="8"/>
  <c r="I63" i="9"/>
  <c r="I650" i="2"/>
  <c r="I16" i="9"/>
  <c r="I121" i="2"/>
  <c r="I60" i="9"/>
  <c r="I630" i="2"/>
  <c r="I64" i="9"/>
  <c r="I651" i="2"/>
  <c r="E153" i="8"/>
  <c r="J429" i="2"/>
  <c r="E41" i="8"/>
  <c r="J132" i="2"/>
  <c r="E203" i="8"/>
  <c r="J550" i="2"/>
  <c r="E154" i="8"/>
  <c r="J425" i="2"/>
  <c r="E9" i="8"/>
  <c r="J26" i="2"/>
  <c r="E179" i="8"/>
  <c r="J498" i="2"/>
  <c r="J402" i="2"/>
  <c r="E144" i="8"/>
  <c r="E204" i="8"/>
  <c r="J511" i="2"/>
  <c r="J460" i="2"/>
  <c r="E165" i="8"/>
  <c r="E137" i="8"/>
  <c r="J361" i="2"/>
  <c r="E72" i="8"/>
  <c r="J285" i="2"/>
  <c r="E184" i="8"/>
  <c r="J447" i="2"/>
  <c r="I42" i="9"/>
  <c r="I450" i="2"/>
  <c r="E158" i="8"/>
  <c r="J466" i="2"/>
  <c r="E176" i="8"/>
  <c r="J421" i="2"/>
  <c r="H33" i="8"/>
  <c r="H200" i="8"/>
  <c r="H23" i="8"/>
  <c r="I37" i="9"/>
  <c r="I337" i="2"/>
  <c r="E40" i="9"/>
  <c r="J384" i="2"/>
  <c r="E35" i="9"/>
  <c r="J289" i="2"/>
  <c r="H77" i="8"/>
  <c r="H164" i="8"/>
  <c r="H62" i="8"/>
  <c r="I54" i="9"/>
  <c r="I570" i="2"/>
  <c r="E73" i="8"/>
  <c r="J226" i="2"/>
  <c r="E164" i="8"/>
  <c r="J394" i="2"/>
  <c r="E190" i="8"/>
  <c r="J510" i="2"/>
  <c r="J267" i="2"/>
  <c r="E92" i="8"/>
  <c r="E128" i="8"/>
  <c r="J374" i="2"/>
  <c r="E142" i="8"/>
  <c r="J355" i="2"/>
  <c r="H173" i="8"/>
  <c r="H100" i="8"/>
  <c r="H14" i="8"/>
  <c r="H94" i="8"/>
  <c r="H110" i="8"/>
  <c r="I29" i="9"/>
  <c r="I228" i="2"/>
  <c r="H99" i="8"/>
  <c r="H96" i="8"/>
  <c r="H42" i="8"/>
  <c r="H11" i="8"/>
  <c r="H189" i="8"/>
  <c r="H88" i="8"/>
  <c r="H54" i="8"/>
  <c r="H3" i="8"/>
  <c r="H92" i="8"/>
  <c r="H117" i="8"/>
  <c r="H40" i="8"/>
  <c r="H190" i="8"/>
  <c r="H186" i="8"/>
  <c r="H36" i="8"/>
  <c r="H34" i="8"/>
  <c r="H6" i="8"/>
  <c r="H10" i="8"/>
  <c r="H74" i="8"/>
  <c r="H22" i="8"/>
  <c r="I53" i="9"/>
  <c r="I546" i="2"/>
  <c r="I7" i="9"/>
  <c r="I51" i="2"/>
  <c r="E125" i="8"/>
  <c r="J350" i="2"/>
  <c r="E140" i="8"/>
  <c r="J396" i="2"/>
  <c r="E163" i="8"/>
  <c r="J465" i="2"/>
  <c r="E81" i="8"/>
  <c r="J250" i="2"/>
  <c r="E118" i="8"/>
  <c r="J314" i="2"/>
  <c r="E47" i="9"/>
  <c r="J488" i="2"/>
  <c r="E58" i="9"/>
  <c r="J585" i="2"/>
  <c r="E94" i="8"/>
  <c r="J264" i="2"/>
  <c r="H196" i="8"/>
  <c r="H129" i="8"/>
  <c r="J445" i="2"/>
  <c r="E168" i="8"/>
  <c r="E55" i="9"/>
  <c r="J569" i="2"/>
  <c r="E84" i="8"/>
  <c r="J271" i="2"/>
  <c r="E65" i="8"/>
  <c r="J188" i="2"/>
  <c r="H5" i="8"/>
  <c r="H182" i="8"/>
  <c r="H105" i="8"/>
  <c r="J119" i="2"/>
  <c r="J180" i="2"/>
  <c r="I46" i="9"/>
  <c r="I481" i="2"/>
  <c r="I57" i="9"/>
  <c r="I583" i="2"/>
  <c r="H95" i="8"/>
  <c r="I22" i="9"/>
  <c r="I167" i="2"/>
  <c r="H157" i="8"/>
  <c r="I30" i="9"/>
  <c r="I234" i="2"/>
  <c r="I39" i="9"/>
  <c r="I372" i="2"/>
  <c r="H9" i="8"/>
  <c r="H27" i="8"/>
  <c r="H131" i="8"/>
  <c r="I65" i="9"/>
  <c r="I655" i="2"/>
  <c r="H198" i="8"/>
  <c r="H70" i="8"/>
  <c r="H103" i="8"/>
  <c r="H43" i="8"/>
  <c r="H59" i="8"/>
  <c r="H185" i="8"/>
  <c r="H72" i="8"/>
  <c r="H143" i="8"/>
  <c r="H154" i="8"/>
  <c r="H71" i="8"/>
  <c r="H166" i="8"/>
  <c r="H57" i="8"/>
  <c r="H125" i="8"/>
  <c r="H192" i="8"/>
  <c r="H122" i="8"/>
  <c r="I28" i="9"/>
  <c r="I225" i="2"/>
  <c r="E146" i="8"/>
  <c r="C146" i="8" s="1"/>
  <c r="E411" i="2" s="1"/>
  <c r="J411" i="2"/>
  <c r="E100" i="8"/>
  <c r="J329" i="2"/>
  <c r="E194" i="8"/>
  <c r="J489" i="2"/>
  <c r="E110" i="8"/>
  <c r="J346" i="2"/>
  <c r="E98" i="8"/>
  <c r="J435" i="2"/>
  <c r="E26" i="9"/>
  <c r="J220" i="2"/>
  <c r="J336" i="2"/>
  <c r="E124" i="8"/>
  <c r="E196" i="8"/>
  <c r="J506" i="2"/>
  <c r="E156" i="8"/>
  <c r="J376" i="2"/>
  <c r="E199" i="8"/>
  <c r="J485" i="2"/>
  <c r="E53" i="8"/>
  <c r="C162" i="8" s="1"/>
  <c r="E386" i="2" s="1"/>
  <c r="J176" i="2"/>
  <c r="E207" i="8"/>
  <c r="J494" i="2"/>
  <c r="E6" i="9"/>
  <c r="J45" i="2"/>
  <c r="E178" i="8"/>
  <c r="J523" i="2"/>
  <c r="J371" i="2"/>
  <c r="E143" i="8"/>
  <c r="I45" i="9"/>
  <c r="I477" i="2"/>
  <c r="E208" i="8"/>
  <c r="J484" i="2"/>
  <c r="E149" i="8"/>
  <c r="J364" i="2"/>
  <c r="J386" i="2"/>
  <c r="E162" i="8"/>
  <c r="J95" i="2"/>
  <c r="E26" i="8"/>
  <c r="E69" i="8"/>
  <c r="J196" i="2"/>
  <c r="H20" i="8"/>
  <c r="H98" i="8"/>
  <c r="H61" i="8"/>
  <c r="H199" i="8"/>
  <c r="H31" i="8"/>
  <c r="H187" i="8"/>
  <c r="H30" i="8"/>
  <c r="H84" i="8"/>
  <c r="E41" i="9"/>
  <c r="J387" i="2"/>
  <c r="J261" i="2"/>
  <c r="E78" i="8"/>
  <c r="I59" i="9"/>
  <c r="I591" i="2"/>
  <c r="H35" i="8"/>
  <c r="H172" i="8"/>
  <c r="I43" i="9"/>
  <c r="I455" i="2"/>
  <c r="H46" i="8"/>
  <c r="H213" i="8"/>
  <c r="I9" i="9"/>
  <c r="I67" i="2"/>
  <c r="H128" i="8"/>
  <c r="H153" i="8"/>
  <c r="H83" i="8"/>
  <c r="H171" i="8"/>
  <c r="H17" i="8"/>
  <c r="H73" i="8"/>
  <c r="H19" i="8"/>
  <c r="H80" i="8"/>
  <c r="H97" i="8"/>
  <c r="H111" i="8"/>
  <c r="H12" i="8"/>
  <c r="H201" i="8"/>
  <c r="H114" i="8"/>
  <c r="I20" i="9"/>
  <c r="I160" i="2"/>
  <c r="I56" i="9"/>
  <c r="I580" i="2"/>
  <c r="I5" i="9"/>
  <c r="I24" i="2"/>
  <c r="E175" i="8"/>
  <c r="J418" i="2"/>
  <c r="E122" i="8"/>
  <c r="J326" i="2"/>
  <c r="E111" i="8"/>
  <c r="J303" i="2"/>
  <c r="E131" i="8"/>
  <c r="J437" i="2"/>
  <c r="J299" i="2"/>
  <c r="E83" i="8"/>
  <c r="J105" i="2"/>
  <c r="E31" i="8"/>
  <c r="C28" i="8" s="1"/>
  <c r="E117" i="2" s="1"/>
  <c r="E99" i="8"/>
  <c r="J276" i="2"/>
  <c r="J215" i="2"/>
  <c r="E71" i="8"/>
  <c r="I24" i="9"/>
  <c r="I192" i="2"/>
  <c r="J497" i="2"/>
  <c r="E205" i="8"/>
  <c r="E169" i="8"/>
  <c r="J490" i="2"/>
  <c r="E147" i="8"/>
  <c r="J379" i="2"/>
  <c r="E206" i="8"/>
  <c r="J505" i="2"/>
  <c r="I48" i="9"/>
  <c r="I500" i="2"/>
  <c r="I36" i="9"/>
  <c r="I313" i="2"/>
  <c r="E8" i="8"/>
  <c r="C122" i="8" s="1"/>
  <c r="E326" i="2" s="1"/>
  <c r="J21" i="2"/>
  <c r="I14" i="9"/>
  <c r="I103" i="2"/>
  <c r="H44" i="8"/>
  <c r="H53" i="8"/>
  <c r="H85" i="8"/>
  <c r="E77" i="8"/>
  <c r="J255" i="2"/>
  <c r="H56" i="8"/>
  <c r="H202" i="8"/>
  <c r="I61" i="9"/>
  <c r="I635" i="2"/>
  <c r="H174" i="8"/>
  <c r="H52" i="8"/>
  <c r="H45" i="8"/>
  <c r="H38" i="8"/>
  <c r="H25" i="8"/>
  <c r="H136" i="8"/>
  <c r="H160" i="8"/>
  <c r="H165" i="8"/>
  <c r="H58" i="8"/>
  <c r="H79" i="8"/>
  <c r="H112" i="8"/>
  <c r="I31" i="9"/>
  <c r="I238" i="2"/>
  <c r="I4" i="9"/>
  <c r="I23" i="2"/>
  <c r="I18" i="9"/>
  <c r="I151" i="2"/>
  <c r="I19" i="9"/>
  <c r="I153" i="2"/>
  <c r="J28" i="2"/>
  <c r="E10" i="8"/>
  <c r="E191" i="8"/>
  <c r="J547" i="2"/>
  <c r="E180" i="8"/>
  <c r="J415" i="2"/>
  <c r="E4" i="8"/>
  <c r="J12" i="2"/>
  <c r="E193" i="8"/>
  <c r="J470" i="2"/>
  <c r="J434" i="2"/>
  <c r="E167" i="8"/>
  <c r="E86" i="8"/>
  <c r="J287" i="2"/>
  <c r="J227" i="2"/>
  <c r="E67" i="8"/>
  <c r="C33" i="8" s="1"/>
  <c r="E129" i="2" s="1"/>
  <c r="E126" i="8"/>
  <c r="J420" i="2"/>
  <c r="E109" i="8"/>
  <c r="J322" i="2"/>
  <c r="E209" i="8"/>
  <c r="J577" i="2"/>
  <c r="E138" i="8"/>
  <c r="J351" i="2"/>
  <c r="E37" i="8"/>
  <c r="J144" i="2"/>
  <c r="J512" i="2"/>
  <c r="E170" i="8"/>
  <c r="E91" i="8"/>
  <c r="J298" i="2"/>
  <c r="E76" i="8"/>
  <c r="J219" i="2"/>
  <c r="H270" i="4"/>
  <c r="H327" i="4"/>
  <c r="H99" i="5"/>
  <c r="H179" i="5"/>
  <c r="C179" i="5" s="1"/>
  <c r="E615" i="2" s="1"/>
  <c r="H128" i="4"/>
  <c r="H179" i="4"/>
  <c r="H83" i="6"/>
  <c r="H27" i="7"/>
  <c r="C27" i="7" s="1"/>
  <c r="E76" i="2" s="1"/>
  <c r="H71" i="7"/>
  <c r="H155" i="4"/>
  <c r="H175" i="5"/>
  <c r="C175" i="5" s="1"/>
  <c r="E586" i="2" s="1"/>
  <c r="H29" i="6"/>
  <c r="C29" i="6" s="1"/>
  <c r="E101" i="2" s="1"/>
  <c r="H71" i="4"/>
  <c r="C71" i="4" s="1"/>
  <c r="H114" i="6"/>
  <c r="C114" i="6" s="1"/>
  <c r="E461" i="2" s="1"/>
  <c r="H206" i="5"/>
  <c r="H217" i="4"/>
  <c r="H345" i="4"/>
  <c r="H159" i="5"/>
  <c r="C159" i="5" s="1"/>
  <c r="H12" i="4"/>
  <c r="H135" i="6"/>
  <c r="C135" i="6" s="1"/>
  <c r="E561" i="2" s="1"/>
  <c r="H12" i="5"/>
  <c r="H7" i="6"/>
  <c r="H79" i="4"/>
  <c r="H75" i="4"/>
  <c r="H290" i="4"/>
  <c r="H59" i="4"/>
  <c r="C59" i="4" s="1"/>
  <c r="H102" i="5"/>
  <c r="H63" i="4"/>
  <c r="H170" i="4"/>
  <c r="H330" i="4"/>
  <c r="H132" i="5"/>
  <c r="C132" i="5" s="1"/>
  <c r="E501" i="2" s="1"/>
  <c r="H22" i="7"/>
  <c r="C22" i="7" s="1"/>
  <c r="E80" i="2" s="1"/>
  <c r="H151" i="5"/>
  <c r="H148" i="5"/>
  <c r="H22" i="5"/>
  <c r="H23" i="6"/>
  <c r="C23" i="6" s="1"/>
  <c r="H86" i="6"/>
  <c r="H64" i="4"/>
  <c r="H153" i="4"/>
  <c r="H125" i="5"/>
  <c r="H333" i="4"/>
  <c r="C333" i="4" s="1"/>
  <c r="H107" i="7"/>
  <c r="C107" i="7" s="1"/>
  <c r="E486" i="2" s="1"/>
  <c r="H84" i="7"/>
  <c r="C84" i="7" s="1"/>
  <c r="E323" i="2" s="1"/>
  <c r="H116" i="6"/>
  <c r="C116" i="6" s="1"/>
  <c r="E536" i="2" s="1"/>
  <c r="H42" i="5"/>
  <c r="C42" i="5" s="1"/>
  <c r="H337" i="4"/>
  <c r="H276" i="4"/>
  <c r="H206" i="4"/>
  <c r="H47" i="5"/>
  <c r="C47" i="5" s="1"/>
  <c r="H82" i="4"/>
  <c r="C82" i="4" s="1"/>
  <c r="H107" i="5"/>
  <c r="H79" i="5"/>
  <c r="H299" i="4"/>
  <c r="H158" i="4"/>
  <c r="H165" i="4"/>
  <c r="H247" i="4"/>
  <c r="H392" i="4"/>
  <c r="H76" i="5"/>
  <c r="C76" i="5" s="1"/>
  <c r="H381" i="4"/>
  <c r="C381" i="4" s="1"/>
  <c r="H361" i="4"/>
  <c r="C361" i="4" s="1"/>
  <c r="H130" i="4"/>
  <c r="H101" i="6"/>
  <c r="C101" i="6" s="1"/>
  <c r="E367" i="2" s="1"/>
  <c r="H51" i="4"/>
  <c r="H124" i="6"/>
  <c r="C124" i="6" s="1"/>
  <c r="E559" i="2" s="1"/>
  <c r="H36" i="5"/>
  <c r="C36" i="5" s="1"/>
  <c r="E99" i="2" s="1"/>
  <c r="H107" i="4"/>
  <c r="H282" i="4"/>
  <c r="H204" i="4"/>
  <c r="H27" i="6"/>
  <c r="H293" i="4"/>
  <c r="H64" i="5"/>
  <c r="H88" i="6"/>
  <c r="C88" i="6" s="1"/>
  <c r="E392" i="2" s="1"/>
  <c r="H45" i="4"/>
  <c r="H98" i="5"/>
  <c r="H147" i="6"/>
  <c r="C147" i="6" s="1"/>
  <c r="E645" i="2" s="1"/>
  <c r="H76" i="7"/>
  <c r="C76" i="7" s="1"/>
  <c r="E275" i="2" s="1"/>
  <c r="H148" i="6"/>
  <c r="H388" i="4"/>
  <c r="H368" i="4"/>
  <c r="H291" i="4"/>
  <c r="H390" i="4"/>
  <c r="H120" i="4"/>
  <c r="H129" i="5"/>
  <c r="C129" i="5" s="1"/>
  <c r="H49" i="4"/>
  <c r="H105" i="5"/>
  <c r="H375" i="4"/>
  <c r="H69" i="4"/>
  <c r="H53" i="4"/>
  <c r="H56" i="5"/>
  <c r="H138" i="6"/>
  <c r="H94" i="6"/>
  <c r="C94" i="6" s="1"/>
  <c r="E413" i="2" s="1"/>
  <c r="H25" i="7"/>
  <c r="H288" i="4"/>
  <c r="H262" i="4"/>
  <c r="H106" i="4"/>
  <c r="H95" i="7"/>
  <c r="C95" i="7" s="1"/>
  <c r="E459" i="2" s="1"/>
  <c r="H378" i="4"/>
  <c r="H188" i="4"/>
  <c r="H42" i="4"/>
  <c r="C42" i="4" s="1"/>
  <c r="H17" i="6"/>
  <c r="H309" i="4"/>
  <c r="H135" i="4"/>
  <c r="H46" i="7"/>
  <c r="C46" i="7" s="1"/>
  <c r="E140" i="2" s="1"/>
  <c r="H391" i="4"/>
  <c r="H335" i="4"/>
  <c r="H209" i="4"/>
  <c r="H154" i="5"/>
  <c r="H126" i="5"/>
  <c r="H35" i="7"/>
  <c r="H35" i="6"/>
  <c r="C35" i="6" s="1"/>
  <c r="E134" i="2" s="1"/>
  <c r="H193" i="4"/>
  <c r="H64" i="6"/>
  <c r="C64" i="6" s="1"/>
  <c r="E281" i="2" s="1"/>
  <c r="H349" i="4"/>
  <c r="H58" i="6"/>
  <c r="C58" i="6" s="1"/>
  <c r="E556" i="2" s="1"/>
  <c r="H95" i="5"/>
  <c r="C95" i="5" s="1"/>
  <c r="H77" i="5"/>
  <c r="C77" i="5" s="1"/>
  <c r="E310" i="2" s="1"/>
  <c r="H109" i="5"/>
  <c r="H205" i="5"/>
  <c r="H56" i="7"/>
  <c r="H134" i="7"/>
  <c r="C134" i="7" s="1"/>
  <c r="E636" i="2" s="1"/>
  <c r="H128" i="7"/>
  <c r="C128" i="7" s="1"/>
  <c r="E602" i="2" s="1"/>
  <c r="H61" i="5"/>
  <c r="C61" i="5" s="1"/>
  <c r="E242" i="2" s="1"/>
  <c r="H120" i="5"/>
  <c r="H35" i="5"/>
  <c r="C35" i="5" s="1"/>
  <c r="E91" i="2" s="1"/>
  <c r="H301" i="4"/>
  <c r="H97" i="4"/>
  <c r="H56" i="6"/>
  <c r="C56" i="6" s="1"/>
  <c r="E175" i="2" s="1"/>
  <c r="H102" i="6"/>
  <c r="C102" i="6" s="1"/>
  <c r="E532" i="2" s="1"/>
  <c r="H99" i="6"/>
  <c r="C99" i="6" s="1"/>
  <c r="H140" i="4"/>
  <c r="H111" i="7"/>
  <c r="C111" i="7" s="1"/>
  <c r="E514" i="2" s="1"/>
  <c r="H9" i="4"/>
  <c r="H67" i="4"/>
  <c r="H123" i="4"/>
  <c r="H28" i="5"/>
  <c r="C28" i="5" s="1"/>
  <c r="E79" i="2" s="1"/>
  <c r="H89" i="4"/>
  <c r="H218" i="4"/>
  <c r="H125" i="7"/>
  <c r="C125" i="7" s="1"/>
  <c r="E614" i="2" s="1"/>
  <c r="H87" i="7"/>
  <c r="C87" i="7" s="1"/>
  <c r="E507" i="2" s="1"/>
  <c r="H152" i="6"/>
  <c r="H60" i="6"/>
  <c r="C60" i="6" s="1"/>
  <c r="E202" i="2" s="1"/>
  <c r="H105" i="6"/>
  <c r="C105" i="6" s="1"/>
  <c r="E414" i="2" s="1"/>
  <c r="H174" i="4"/>
  <c r="H14" i="7"/>
  <c r="C14" i="7" s="1"/>
  <c r="E60" i="2" s="1"/>
  <c r="H84" i="6"/>
  <c r="H200" i="5"/>
  <c r="C200" i="5" s="1"/>
  <c r="E653" i="2" s="1"/>
  <c r="H44" i="5"/>
  <c r="H33" i="5"/>
  <c r="C33" i="5" s="1"/>
  <c r="E94" i="2" s="1"/>
  <c r="H249" i="4"/>
  <c r="H377" i="4"/>
  <c r="H36" i="4"/>
  <c r="H120" i="6"/>
  <c r="H153" i="5"/>
  <c r="C153" i="5" s="1"/>
  <c r="E522" i="2" s="1"/>
  <c r="H58" i="5"/>
  <c r="C58" i="5" s="1"/>
  <c r="H137" i="4"/>
  <c r="H145" i="6"/>
  <c r="C145" i="6" s="1"/>
  <c r="E646" i="2" s="1"/>
  <c r="H78" i="7"/>
  <c r="C78" i="7" s="1"/>
  <c r="E309" i="2" s="1"/>
  <c r="H197" i="5"/>
  <c r="H21" i="5"/>
  <c r="C21" i="5" s="1"/>
  <c r="E75" i="2" s="1"/>
  <c r="H16" i="7"/>
  <c r="C16" i="7" s="1"/>
  <c r="E43" i="2" s="1"/>
  <c r="H244" i="4"/>
  <c r="H168" i="5"/>
  <c r="C168" i="5" s="1"/>
  <c r="E594" i="2" s="1"/>
  <c r="H54" i="7"/>
  <c r="C54" i="7" s="1"/>
  <c r="E205" i="2" s="1"/>
  <c r="H355" i="4"/>
  <c r="H85" i="4"/>
  <c r="H10" i="4"/>
  <c r="H113" i="6"/>
  <c r="H203" i="5"/>
  <c r="C203" i="5" s="1"/>
  <c r="E654" i="2" s="1"/>
  <c r="H24" i="5"/>
  <c r="C24" i="5" s="1"/>
  <c r="E63" i="2" s="1"/>
  <c r="H17" i="4"/>
  <c r="H215" i="4"/>
  <c r="H41" i="6"/>
  <c r="H87" i="5"/>
  <c r="H219" i="4"/>
  <c r="H329" i="4"/>
  <c r="H356" i="4"/>
  <c r="H229" i="4"/>
  <c r="C229" i="4" s="1"/>
  <c r="H186" i="5"/>
  <c r="C186" i="5" s="1"/>
  <c r="E637" i="2" s="1"/>
  <c r="H38" i="6"/>
  <c r="H39" i="5"/>
  <c r="C39" i="5" s="1"/>
  <c r="E108" i="2" s="1"/>
  <c r="H27" i="4"/>
  <c r="H303" i="4"/>
  <c r="H37" i="5"/>
  <c r="C35" i="7"/>
  <c r="E118" i="2" s="1"/>
  <c r="C64" i="5"/>
  <c r="E221" i="2" s="1"/>
  <c r="H32" i="5"/>
  <c r="H139" i="6"/>
  <c r="H351" i="4"/>
  <c r="H83" i="5"/>
  <c r="H115" i="5"/>
  <c r="C115" i="5" s="1"/>
  <c r="E383" i="2" s="1"/>
  <c r="H80" i="7"/>
  <c r="C80" i="7" s="1"/>
  <c r="E292" i="2" s="1"/>
  <c r="H143" i="4"/>
  <c r="H91" i="6"/>
  <c r="H230" i="4"/>
  <c r="C120" i="5"/>
  <c r="H31" i="4"/>
  <c r="H63" i="6"/>
  <c r="C63" i="6" s="1"/>
  <c r="E224" i="2" s="1"/>
  <c r="H43" i="7"/>
  <c r="H172" i="5"/>
  <c r="C172" i="5" s="1"/>
  <c r="E592" i="2" s="1"/>
  <c r="H93" i="5"/>
  <c r="C93" i="5" s="1"/>
  <c r="H121" i="4"/>
  <c r="H45" i="5"/>
  <c r="C45" i="5" s="1"/>
  <c r="E124" i="2" s="1"/>
  <c r="H166" i="4"/>
  <c r="H37" i="4"/>
  <c r="H374" i="4"/>
  <c r="H207" i="4"/>
  <c r="C207" i="4" s="1"/>
  <c r="H30" i="7"/>
  <c r="C17" i="6"/>
  <c r="H24" i="7"/>
  <c r="C24" i="7" s="1"/>
  <c r="E65" i="2" s="1"/>
  <c r="H150" i="5"/>
  <c r="C150" i="5" s="1"/>
  <c r="E543" i="2" s="1"/>
  <c r="H379" i="4"/>
  <c r="H48" i="4"/>
  <c r="C48" i="4" s="1"/>
  <c r="H160" i="4"/>
  <c r="H253" i="4"/>
  <c r="H180" i="5"/>
  <c r="C180" i="5" s="1"/>
  <c r="E603" i="2" s="1"/>
  <c r="H346" i="4"/>
  <c r="H236" i="4"/>
  <c r="J19" i="8"/>
  <c r="H86" i="4"/>
  <c r="H274" i="4"/>
  <c r="H93" i="4"/>
  <c r="H171" i="5"/>
  <c r="H341" i="4"/>
  <c r="H121" i="7"/>
  <c r="C121" i="7" s="1"/>
  <c r="E589" i="2" s="1"/>
  <c r="H139" i="4"/>
  <c r="H123" i="5"/>
  <c r="J182" i="8"/>
  <c r="H223" i="4"/>
  <c r="H138" i="5"/>
  <c r="C138" i="5" s="1"/>
  <c r="H86" i="7"/>
  <c r="C86" i="7" s="1"/>
  <c r="E363" i="2" s="1"/>
  <c r="H23" i="5"/>
  <c r="H130" i="7"/>
  <c r="H132" i="6"/>
  <c r="C132" i="6" s="1"/>
  <c r="E607" i="2" s="1"/>
  <c r="H386" i="4"/>
  <c r="H183" i="4"/>
  <c r="H47" i="7"/>
  <c r="H39" i="7"/>
  <c r="H3" i="6"/>
  <c r="C3" i="6" s="1"/>
  <c r="H29" i="7"/>
  <c r="C29" i="7" s="1"/>
  <c r="E92" i="2" s="1"/>
  <c r="H49" i="7"/>
  <c r="C49" i="7" s="1"/>
  <c r="E184" i="2" s="1"/>
  <c r="H137" i="6"/>
  <c r="H86" i="5"/>
  <c r="C86" i="5" s="1"/>
  <c r="E280" i="2" s="1"/>
  <c r="H91" i="4"/>
  <c r="H32" i="4"/>
  <c r="H42" i="6"/>
  <c r="C42" i="6" s="1"/>
  <c r="E141" i="2" s="1"/>
  <c r="H284" i="4"/>
  <c r="C284" i="4" s="1"/>
  <c r="H98" i="7"/>
  <c r="C98" i="7" s="1"/>
  <c r="E433" i="2" s="1"/>
  <c r="H72" i="6"/>
  <c r="C72" i="6" s="1"/>
  <c r="H178" i="5"/>
  <c r="C178" i="5" s="1"/>
  <c r="E641" i="2" s="1"/>
  <c r="H139" i="5"/>
  <c r="C139" i="5" s="1"/>
  <c r="E467" i="2" s="1"/>
  <c r="H184" i="5"/>
  <c r="C184" i="5" s="1"/>
  <c r="E625" i="2" s="1"/>
  <c r="H259" i="4"/>
  <c r="H187" i="4"/>
  <c r="H116" i="7"/>
  <c r="J36" i="8"/>
  <c r="H74" i="5"/>
  <c r="H99" i="7"/>
  <c r="C99" i="7" s="1"/>
  <c r="E540" i="2" s="1"/>
  <c r="H50" i="6"/>
  <c r="C50" i="6" s="1"/>
  <c r="E161" i="2" s="1"/>
  <c r="H80" i="6"/>
  <c r="C80" i="6" s="1"/>
  <c r="H136" i="5"/>
  <c r="C136" i="5" s="1"/>
  <c r="H5" i="7"/>
  <c r="C5" i="7" s="1"/>
  <c r="E8" i="2" s="1"/>
  <c r="H127" i="6"/>
  <c r="H77" i="4"/>
  <c r="C77" i="4" s="1"/>
  <c r="H8" i="7"/>
  <c r="H10" i="5"/>
  <c r="H77" i="6"/>
  <c r="H129" i="4"/>
  <c r="H62" i="7"/>
  <c r="C62" i="7" s="1"/>
  <c r="E211" i="2" s="1"/>
  <c r="H52" i="6"/>
  <c r="H135" i="7"/>
  <c r="C135" i="7" s="1"/>
  <c r="E610" i="2" s="1"/>
  <c r="H124" i="5"/>
  <c r="C124" i="5" s="1"/>
  <c r="E426" i="2" s="1"/>
  <c r="H97" i="6"/>
  <c r="C97" i="6" s="1"/>
  <c r="E407" i="2" s="1"/>
  <c r="H185" i="5"/>
  <c r="C185" i="5" s="1"/>
  <c r="E613" i="2" s="1"/>
  <c r="H141" i="6"/>
  <c r="H13" i="6"/>
  <c r="H6" i="7"/>
  <c r="H340" i="4"/>
  <c r="H81" i="7"/>
  <c r="C81" i="7" s="1"/>
  <c r="E375" i="2" s="1"/>
  <c r="H13" i="4"/>
  <c r="H32" i="6"/>
  <c r="C32" i="6" s="1"/>
  <c r="H99" i="4"/>
  <c r="H114" i="7"/>
  <c r="C114" i="7" s="1"/>
  <c r="E572" i="2" s="1"/>
  <c r="H50" i="4"/>
  <c r="C50" i="4" s="1"/>
  <c r="H50" i="5"/>
  <c r="C50" i="5" s="1"/>
  <c r="E137" i="2" s="1"/>
  <c r="H194" i="5"/>
  <c r="C194" i="5" s="1"/>
  <c r="E652" i="2" s="1"/>
  <c r="H273" i="4"/>
  <c r="H320" i="4"/>
  <c r="H118" i="5"/>
  <c r="C118" i="5" s="1"/>
  <c r="E423" i="2" s="1"/>
  <c r="H68" i="7"/>
  <c r="C68" i="7" s="1"/>
  <c r="E246" i="2" s="1"/>
  <c r="H109" i="6"/>
  <c r="C109" i="6" s="1"/>
  <c r="E463" i="2" s="1"/>
  <c r="H353" i="4"/>
  <c r="C353" i="4" s="1"/>
  <c r="C102" i="5"/>
  <c r="H310" i="4"/>
  <c r="H59" i="7"/>
  <c r="C126" i="5"/>
  <c r="E416" i="2" s="1"/>
  <c r="C22" i="5"/>
  <c r="H275" i="4"/>
  <c r="H133" i="5"/>
  <c r="C133" i="5" s="1"/>
  <c r="H240" i="4"/>
  <c r="H15" i="7"/>
  <c r="C15" i="7" s="1"/>
  <c r="E39" i="2" s="1"/>
  <c r="H194" i="4"/>
  <c r="H177" i="4"/>
  <c r="H66" i="7"/>
  <c r="C66" i="7" s="1"/>
  <c r="E239" i="2" s="1"/>
  <c r="H175" i="4"/>
  <c r="C197" i="5"/>
  <c r="C276" i="4"/>
  <c r="C16" i="8"/>
  <c r="E90" i="2" s="1"/>
  <c r="H61" i="6"/>
  <c r="C151" i="5"/>
  <c r="E528" i="2" s="1"/>
  <c r="H74" i="6"/>
  <c r="H18" i="6"/>
  <c r="C18" i="6" s="1"/>
  <c r="E56" i="2" s="1"/>
  <c r="H136" i="7"/>
  <c r="C136" i="7" s="1"/>
  <c r="E626" i="2" s="1"/>
  <c r="H69" i="6"/>
  <c r="C69" i="6" s="1"/>
  <c r="E381" i="2" s="1"/>
  <c r="H323" i="4"/>
  <c r="H256" i="4"/>
  <c r="C83" i="5"/>
  <c r="E344" i="2" s="1"/>
  <c r="H131" i="7"/>
  <c r="H31" i="5"/>
  <c r="H358" i="4"/>
  <c r="H298" i="4"/>
  <c r="H54" i="6"/>
  <c r="H96" i="7"/>
  <c r="C96" i="7" s="1"/>
  <c r="E446" i="2" s="1"/>
  <c r="H39" i="4"/>
  <c r="C267" i="4"/>
  <c r="H140" i="6"/>
  <c r="H90" i="7"/>
  <c r="C90" i="7" s="1"/>
  <c r="E391" i="2" s="1"/>
  <c r="H83" i="4"/>
  <c r="H55" i="5"/>
  <c r="H143" i="5"/>
  <c r="C143" i="5" s="1"/>
  <c r="E544" i="2" s="1"/>
  <c r="H43" i="6"/>
  <c r="C43" i="6" s="1"/>
  <c r="E146" i="2" s="1"/>
  <c r="H28" i="4"/>
  <c r="H94" i="4"/>
  <c r="H126" i="7"/>
  <c r="C126" i="7" s="1"/>
  <c r="E579" i="2" s="1"/>
  <c r="J82" i="8"/>
  <c r="H235" i="4"/>
  <c r="H61" i="7"/>
  <c r="H283" i="4"/>
  <c r="H106" i="6"/>
  <c r="H350" i="4"/>
  <c r="H112" i="6"/>
  <c r="C112" i="6" s="1"/>
  <c r="E440" i="2" s="1"/>
  <c r="H300" i="4"/>
  <c r="H20" i="6"/>
  <c r="C20" i="6" s="1"/>
  <c r="E61" i="2" s="1"/>
  <c r="H199" i="5"/>
  <c r="C199" i="5" s="1"/>
  <c r="E661" i="2" s="1"/>
  <c r="H101" i="5"/>
  <c r="C101" i="5" s="1"/>
  <c r="E357" i="2" s="1"/>
  <c r="H239" i="4"/>
  <c r="H289" i="4"/>
  <c r="H296" i="4"/>
  <c r="H80" i="4"/>
  <c r="H134" i="4"/>
  <c r="H287" i="4"/>
  <c r="H51" i="5"/>
  <c r="H20" i="5"/>
  <c r="C20" i="5" s="1"/>
  <c r="E58" i="2" s="1"/>
  <c r="H149" i="5"/>
  <c r="C149" i="5" s="1"/>
  <c r="E562" i="2" s="1"/>
  <c r="H190" i="4"/>
  <c r="C190" i="4" s="1"/>
  <c r="H70" i="7"/>
  <c r="H304" i="4"/>
  <c r="H384" i="4"/>
  <c r="H145" i="5"/>
  <c r="H106" i="5"/>
  <c r="H57" i="4"/>
  <c r="H23" i="4"/>
  <c r="H248" i="4"/>
  <c r="H77" i="7"/>
  <c r="C77" i="7" s="1"/>
  <c r="E286" i="2" s="1"/>
  <c r="H127" i="4"/>
  <c r="C127" i="4" s="1"/>
  <c r="H110" i="6"/>
  <c r="H125" i="4"/>
  <c r="H43" i="5"/>
  <c r="C43" i="5" s="1"/>
  <c r="E133" i="2" s="1"/>
  <c r="H52" i="4"/>
  <c r="H318" i="4"/>
  <c r="H81" i="5"/>
  <c r="H261" i="4"/>
  <c r="H150" i="4"/>
  <c r="H294" i="4"/>
  <c r="C294" i="4" s="1"/>
  <c r="H159" i="4"/>
  <c r="C159" i="4" s="1"/>
  <c r="H279" i="4"/>
  <c r="H108" i="4"/>
  <c r="H180" i="4"/>
  <c r="H16" i="5"/>
  <c r="H101" i="4"/>
  <c r="H129" i="7"/>
  <c r="C129" i="7" s="1"/>
  <c r="E578" i="2" s="1"/>
  <c r="H324" i="4"/>
  <c r="C324" i="4" s="1"/>
  <c r="H6" i="6"/>
  <c r="C6" i="6" s="1"/>
  <c r="E15" i="2" s="1"/>
  <c r="C36" i="8"/>
  <c r="E115" i="2" s="1"/>
  <c r="H91" i="5"/>
  <c r="H380" i="4"/>
  <c r="C380" i="4" s="1"/>
  <c r="C83" i="6"/>
  <c r="C38" i="6"/>
  <c r="E113" i="2" s="1"/>
  <c r="H132" i="4"/>
  <c r="C171" i="5"/>
  <c r="E611" i="2" s="1"/>
  <c r="H65" i="7"/>
  <c r="H190" i="5"/>
  <c r="C190" i="5" s="1"/>
  <c r="E629" i="2" s="1"/>
  <c r="H24" i="4"/>
  <c r="H123" i="7"/>
  <c r="C123" i="7" s="1"/>
  <c r="E593" i="2" s="1"/>
  <c r="C39" i="7"/>
  <c r="E120" i="2" s="1"/>
  <c r="C138" i="6"/>
  <c r="E576" i="2" s="1"/>
  <c r="C66" i="8"/>
  <c r="E198" i="2" s="1"/>
  <c r="C127" i="6"/>
  <c r="E552" i="2" s="1"/>
  <c r="H163" i="5"/>
  <c r="C163" i="5" s="1"/>
  <c r="E595" i="2" s="1"/>
  <c r="H241" i="4"/>
  <c r="H65" i="6"/>
  <c r="C65" i="6" s="1"/>
  <c r="H198" i="4"/>
  <c r="C198" i="4" s="1"/>
  <c r="H125" i="6"/>
  <c r="C125" i="6" s="1"/>
  <c r="E518" i="2" s="1"/>
  <c r="H107" i="6"/>
  <c r="C107" i="6" s="1"/>
  <c r="E424" i="2" s="1"/>
  <c r="H137" i="5"/>
  <c r="C137" i="5" s="1"/>
  <c r="H169" i="4"/>
  <c r="H268" i="4"/>
  <c r="C268" i="4" s="1"/>
  <c r="C154" i="5"/>
  <c r="H16" i="6"/>
  <c r="C16" i="6" s="1"/>
  <c r="H87" i="6"/>
  <c r="C87" i="6" s="1"/>
  <c r="E343" i="2" s="1"/>
  <c r="H74" i="7"/>
  <c r="C74" i="7" s="1"/>
  <c r="E290" i="2" s="1"/>
  <c r="C91" i="6"/>
  <c r="E422" i="2" s="1"/>
  <c r="H382" i="4"/>
  <c r="H104" i="5"/>
  <c r="C104" i="5" s="1"/>
  <c r="C355" i="4"/>
  <c r="H55" i="7"/>
  <c r="C55" i="7" s="1"/>
  <c r="E182" i="2" s="1"/>
  <c r="C279" i="4"/>
  <c r="C55" i="5"/>
  <c r="E143" i="2" s="1"/>
  <c r="C47" i="7"/>
  <c r="E139" i="2" s="1"/>
  <c r="H72" i="7"/>
  <c r="C72" i="7" s="1"/>
  <c r="E254" i="2" s="1"/>
  <c r="C356" i="4"/>
  <c r="C11" i="5"/>
  <c r="E52" i="2" s="1"/>
  <c r="H176" i="5"/>
  <c r="C176" i="5" s="1"/>
  <c r="E606" i="2" s="1"/>
  <c r="H297" i="4"/>
  <c r="H55" i="4"/>
  <c r="C55" i="4" s="1"/>
  <c r="H119" i="5"/>
  <c r="C119" i="5" s="1"/>
  <c r="E503" i="2" s="1"/>
  <c r="C270" i="4"/>
  <c r="C290" i="4"/>
  <c r="H117" i="7"/>
  <c r="C6" i="7"/>
  <c r="E14" i="2" s="1"/>
  <c r="C56" i="7"/>
  <c r="E189" i="2" s="1"/>
  <c r="H119" i="6"/>
  <c r="C10" i="5"/>
  <c r="E27" i="2" s="1"/>
  <c r="C57" i="4"/>
  <c r="H25" i="5"/>
  <c r="C25" i="5" s="1"/>
  <c r="C148" i="5"/>
  <c r="E530" i="2" s="1"/>
  <c r="H222" i="4"/>
  <c r="H37" i="7"/>
  <c r="H141" i="4"/>
  <c r="H269" i="4"/>
  <c r="C269" i="4" s="1"/>
  <c r="H60" i="5"/>
  <c r="C60" i="5" s="1"/>
  <c r="H11" i="5"/>
  <c r="H44" i="6"/>
  <c r="C44" i="6" s="1"/>
  <c r="H189" i="4"/>
  <c r="C189" i="4" s="1"/>
  <c r="H100" i="6"/>
  <c r="C100" i="6" s="1"/>
  <c r="J137" i="8"/>
  <c r="H250" i="4"/>
  <c r="H128" i="6"/>
  <c r="C128" i="6" s="1"/>
  <c r="E534" i="2" s="1"/>
  <c r="H130" i="5"/>
  <c r="H118" i="7"/>
  <c r="H104" i="4"/>
  <c r="H169" i="5"/>
  <c r="C169" i="5" s="1"/>
  <c r="E581" i="2" s="1"/>
  <c r="H114" i="4"/>
  <c r="C114" i="4" s="1"/>
  <c r="J86" i="8"/>
  <c r="J185" i="8"/>
  <c r="H3" i="4"/>
  <c r="H93" i="7"/>
  <c r="H165" i="5"/>
  <c r="C165" i="5" s="1"/>
  <c r="E566" i="2" s="1"/>
  <c r="H130" i="6"/>
  <c r="C130" i="6" s="1"/>
  <c r="E553" i="2" s="1"/>
  <c r="H363" i="4"/>
  <c r="H49" i="5"/>
  <c r="C49" i="5" s="1"/>
  <c r="H63" i="5"/>
  <c r="C63" i="5" s="1"/>
  <c r="H160" i="5"/>
  <c r="C160" i="5" s="1"/>
  <c r="E564" i="2" s="1"/>
  <c r="H95" i="6"/>
  <c r="C95" i="6" s="1"/>
  <c r="E338" i="2" s="1"/>
  <c r="H263" i="4"/>
  <c r="C263" i="4" s="1"/>
  <c r="H155" i="5"/>
  <c r="C155" i="5" s="1"/>
  <c r="E587" i="2" s="1"/>
  <c r="H133" i="4"/>
  <c r="H133" i="7"/>
  <c r="C133" i="7" s="1"/>
  <c r="E643" i="2" s="1"/>
  <c r="H117" i="4"/>
  <c r="C117" i="4" s="1"/>
  <c r="H82" i="7"/>
  <c r="C82" i="7" s="1"/>
  <c r="E308" i="2" s="1"/>
  <c r="H38" i="5"/>
  <c r="C38" i="5" s="1"/>
  <c r="E96" i="2" s="1"/>
  <c r="H14" i="5"/>
  <c r="H100" i="7"/>
  <c r="H82" i="5"/>
  <c r="C82" i="5" s="1"/>
  <c r="E233" i="2" s="1"/>
  <c r="H216" i="4"/>
  <c r="H71" i="5"/>
  <c r="C71" i="5" s="1"/>
  <c r="E229" i="2" s="1"/>
  <c r="H266" i="4"/>
  <c r="C266" i="4" s="1"/>
  <c r="H30" i="5"/>
  <c r="H385" i="4"/>
  <c r="H113" i="7"/>
  <c r="C113" i="7" s="1"/>
  <c r="E557" i="2" s="1"/>
  <c r="H158" i="5"/>
  <c r="H88" i="5"/>
  <c r="C88" i="5" s="1"/>
  <c r="H161" i="5"/>
  <c r="C161" i="5" s="1"/>
  <c r="E574" i="2" s="1"/>
  <c r="H68" i="6"/>
  <c r="H105" i="7"/>
  <c r="C105" i="7" s="1"/>
  <c r="E482" i="2" s="1"/>
  <c r="H68" i="5"/>
  <c r="C68" i="5" s="1"/>
  <c r="E187" i="2" s="1"/>
  <c r="H85" i="5"/>
  <c r="C85" i="5" s="1"/>
  <c r="E352" i="2" s="1"/>
  <c r="H181" i="4"/>
  <c r="H45" i="7"/>
  <c r="C45" i="7" s="1"/>
  <c r="E147" i="2" s="1"/>
  <c r="H68" i="4"/>
  <c r="H120" i="7"/>
  <c r="C120" i="7" s="1"/>
  <c r="E565" i="2" s="1"/>
  <c r="J122" i="8"/>
  <c r="H76" i="4"/>
  <c r="C76" i="4" s="1"/>
  <c r="H166" i="5"/>
  <c r="C166" i="5" s="1"/>
  <c r="E571" i="2" s="1"/>
  <c r="C25" i="7"/>
  <c r="E98" i="2" s="1"/>
  <c r="H20" i="7"/>
  <c r="C20" i="7" s="1"/>
  <c r="E73" i="2" s="1"/>
  <c r="H197" i="4"/>
  <c r="C197" i="4" s="1"/>
  <c r="C104" i="4"/>
  <c r="C86" i="6"/>
  <c r="E398" i="2" s="1"/>
  <c r="H73" i="4"/>
  <c r="C73" i="4" s="1"/>
  <c r="C174" i="4"/>
  <c r="H198" i="5"/>
  <c r="C198" i="5" s="1"/>
  <c r="E656" i="2" s="1"/>
  <c r="H14" i="4"/>
  <c r="C14" i="4" s="1"/>
  <c r="H339" i="4"/>
  <c r="J210" i="8"/>
  <c r="H7" i="4"/>
  <c r="H232" i="4"/>
  <c r="H162" i="5"/>
  <c r="C162" i="5" s="1"/>
  <c r="E598" i="2" s="1"/>
  <c r="C311" i="4"/>
  <c r="H119" i="4"/>
  <c r="C119" i="4" s="1"/>
  <c r="H144" i="5"/>
  <c r="C144" i="5" s="1"/>
  <c r="C37" i="5"/>
  <c r="H110" i="5"/>
  <c r="C100" i="7"/>
  <c r="E436" i="2" s="1"/>
  <c r="H111" i="6"/>
  <c r="C111" i="6" s="1"/>
  <c r="H69" i="7"/>
  <c r="C69" i="7" s="1"/>
  <c r="E259" i="2" s="1"/>
  <c r="H103" i="7"/>
  <c r="C103" i="7" s="1"/>
  <c r="E473" i="2" s="1"/>
  <c r="H306" i="4"/>
  <c r="C120" i="6"/>
  <c r="E542" i="2" s="1"/>
  <c r="H164" i="4"/>
  <c r="C164" i="4" s="1"/>
  <c r="C16" i="5"/>
  <c r="H149" i="6"/>
  <c r="C149" i="6" s="1"/>
  <c r="E649" i="2" s="1"/>
  <c r="H82" i="6"/>
  <c r="C82" i="6" s="1"/>
  <c r="E317" i="2" s="1"/>
  <c r="C123" i="5"/>
  <c r="E442" i="2" s="1"/>
  <c r="H60" i="4"/>
  <c r="C60" i="4" s="1"/>
  <c r="H92" i="5"/>
  <c r="C92" i="5" s="1"/>
  <c r="E325" i="2" s="1"/>
  <c r="C293" i="4"/>
  <c r="H74" i="4"/>
  <c r="C74" i="4" s="1"/>
  <c r="H47" i="4"/>
  <c r="C141" i="6"/>
  <c r="E624" i="2" s="1"/>
  <c r="H126" i="6"/>
  <c r="C126" i="6" s="1"/>
  <c r="E554" i="2" s="1"/>
  <c r="H19" i="7"/>
  <c r="C19" i="7" s="1"/>
  <c r="E70" i="2" s="1"/>
  <c r="H29" i="4"/>
  <c r="C29" i="4" s="1"/>
  <c r="C37" i="7"/>
  <c r="E116" i="2" s="1"/>
  <c r="C30" i="7"/>
  <c r="E97" i="2" s="1"/>
  <c r="H18" i="4"/>
  <c r="C18" i="4" s="1"/>
  <c r="H237" i="4"/>
  <c r="H118" i="4"/>
  <c r="H227" i="4"/>
  <c r="C227" i="4" s="1"/>
  <c r="C323" i="4"/>
  <c r="H105" i="4"/>
  <c r="C105" i="4" s="1"/>
  <c r="C137" i="6"/>
  <c r="E590" i="2" s="1"/>
  <c r="C3" i="4"/>
  <c r="H21" i="6"/>
  <c r="C21" i="6" s="1"/>
  <c r="E59" i="2" s="1"/>
  <c r="H93" i="6"/>
  <c r="H40" i="4"/>
  <c r="C40" i="4" s="1"/>
  <c r="H80" i="5"/>
  <c r="C80" i="5" s="1"/>
  <c r="E260" i="2" s="1"/>
  <c r="H116" i="5"/>
  <c r="H102" i="4"/>
  <c r="C102" i="4" s="1"/>
  <c r="H316" i="4"/>
  <c r="H42" i="7"/>
  <c r="H79" i="7"/>
  <c r="C79" i="7" s="1"/>
  <c r="E311" i="2" s="1"/>
  <c r="H89" i="7"/>
  <c r="C89" i="7" s="1"/>
  <c r="E390" i="2" s="1"/>
  <c r="H134" i="5"/>
  <c r="C134" i="5" s="1"/>
  <c r="H182" i="4"/>
  <c r="C182" i="4" s="1"/>
  <c r="H87" i="4"/>
  <c r="C87" i="4" s="1"/>
  <c r="H28" i="6"/>
  <c r="C28" i="6" s="1"/>
  <c r="E170" i="2" s="1"/>
  <c r="H70" i="5"/>
  <c r="C70" i="5" s="1"/>
  <c r="H90" i="4"/>
  <c r="C90" i="4" s="1"/>
  <c r="H4" i="5"/>
  <c r="C4" i="5" s="1"/>
  <c r="E2" i="2" s="1"/>
  <c r="C2" i="3" s="1"/>
  <c r="H145" i="4"/>
  <c r="H321" i="4"/>
  <c r="C321" i="4" s="1"/>
  <c r="J143" i="8"/>
  <c r="H151" i="4"/>
  <c r="H132" i="7"/>
  <c r="H336" i="4"/>
  <c r="C336" i="4" s="1"/>
  <c r="H285" i="4"/>
  <c r="C285" i="4" s="1"/>
  <c r="H25" i="4"/>
  <c r="C25" i="4" s="1"/>
  <c r="H38" i="7"/>
  <c r="C38" i="7" s="1"/>
  <c r="E111" i="2" s="1"/>
  <c r="H44" i="7"/>
  <c r="H252" i="4"/>
  <c r="H8" i="4"/>
  <c r="C8" i="4" s="1"/>
  <c r="J190" i="8"/>
  <c r="H220" i="4"/>
  <c r="H311" i="4"/>
  <c r="H146" i="5"/>
  <c r="C146" i="5" s="1"/>
  <c r="H367" i="4"/>
  <c r="C367" i="4" s="1"/>
  <c r="H11" i="4"/>
  <c r="C11" i="4" s="1"/>
  <c r="H57" i="7"/>
  <c r="H173" i="4"/>
  <c r="H72" i="5"/>
  <c r="C72" i="5" s="1"/>
  <c r="E208" i="2" s="1"/>
  <c r="J78" i="8"/>
  <c r="H78" i="4"/>
  <c r="H343" i="4"/>
  <c r="C343" i="4" s="1"/>
  <c r="H359" i="4"/>
  <c r="C359" i="4" s="1"/>
  <c r="J133" i="8"/>
  <c r="H127" i="5"/>
  <c r="C127" i="5" s="1"/>
  <c r="H195" i="4"/>
  <c r="C195" i="4" s="1"/>
  <c r="H95" i="4"/>
  <c r="H156" i="5"/>
  <c r="C156" i="5" s="1"/>
  <c r="E529" i="2" s="1"/>
  <c r="H26" i="6"/>
  <c r="C26" i="6" s="1"/>
  <c r="E83" i="2" s="1"/>
  <c r="H151" i="6"/>
  <c r="C151" i="6" s="1"/>
  <c r="E657" i="2" s="1"/>
  <c r="H146" i="4"/>
  <c r="H201" i="4"/>
  <c r="C201" i="4" s="1"/>
  <c r="H46" i="4"/>
  <c r="C46" i="4" s="1"/>
  <c r="H6" i="4"/>
  <c r="C6" i="4" s="1"/>
  <c r="H63" i="7"/>
  <c r="C63" i="7" s="1"/>
  <c r="E230" i="2" s="1"/>
  <c r="H115" i="4"/>
  <c r="C115" i="4" s="1"/>
  <c r="H186" i="4"/>
  <c r="H22" i="4"/>
  <c r="H108" i="5"/>
  <c r="C108" i="5" s="1"/>
  <c r="E354" i="2" s="1"/>
  <c r="H46" i="6"/>
  <c r="H25" i="6"/>
  <c r="C25" i="6" s="1"/>
  <c r="H156" i="4"/>
  <c r="C156" i="4" s="1"/>
  <c r="H37" i="6"/>
  <c r="C37" i="6" s="1"/>
  <c r="H328" i="4"/>
  <c r="C216" i="4"/>
  <c r="H31" i="6"/>
  <c r="C31" i="6" s="1"/>
  <c r="E130" i="2" s="1"/>
  <c r="C327" i="4"/>
  <c r="H370" i="4"/>
  <c r="C370" i="4" s="1"/>
  <c r="H28" i="7"/>
  <c r="C30" i="5"/>
  <c r="C143" i="8"/>
  <c r="E371" i="2" s="1"/>
  <c r="H45" i="6"/>
  <c r="C45" i="6" s="1"/>
  <c r="H196" i="5"/>
  <c r="C196" i="5" s="1"/>
  <c r="E647" i="2" s="1"/>
  <c r="H58" i="7"/>
  <c r="C58" i="7" s="1"/>
  <c r="E197" i="2" s="1"/>
  <c r="H112" i="5"/>
  <c r="C112" i="5" s="1"/>
  <c r="E365" i="2" s="1"/>
  <c r="H183" i="5"/>
  <c r="H6" i="5"/>
  <c r="C6" i="5" s="1"/>
  <c r="H322" i="4"/>
  <c r="C322" i="4" s="1"/>
  <c r="J184" i="8"/>
  <c r="H246" i="4"/>
  <c r="C246" i="4" s="1"/>
  <c r="H238" i="4"/>
  <c r="H344" i="4"/>
  <c r="H307" i="4"/>
  <c r="C307" i="4" s="1"/>
  <c r="H100" i="4"/>
  <c r="C100" i="4" s="1"/>
  <c r="H210" i="4"/>
  <c r="C210" i="4" s="1"/>
  <c r="C79" i="8"/>
  <c r="E249" i="2" s="1"/>
  <c r="C106" i="6"/>
  <c r="E412" i="2" s="1"/>
  <c r="H59" i="6"/>
  <c r="C59" i="6" s="1"/>
  <c r="E200" i="2" s="1"/>
  <c r="H115" i="6"/>
  <c r="C115" i="6" s="1"/>
  <c r="E448" i="2" s="1"/>
  <c r="C7" i="4"/>
  <c r="C289" i="4"/>
  <c r="C385" i="4"/>
  <c r="C107" i="4"/>
  <c r="C89" i="4"/>
  <c r="C300" i="4"/>
  <c r="C304" i="4"/>
  <c r="C101" i="4"/>
  <c r="H34" i="4"/>
  <c r="C23" i="5"/>
  <c r="C384" i="4"/>
  <c r="H70" i="4"/>
  <c r="C70" i="4" s="1"/>
  <c r="H212" i="4"/>
  <c r="C212" i="4" s="1"/>
  <c r="C71" i="7"/>
  <c r="E262" i="2" s="1"/>
  <c r="H278" i="4"/>
  <c r="C278" i="4" s="1"/>
  <c r="C34" i="4"/>
  <c r="H97" i="7"/>
  <c r="C97" i="7" s="1"/>
  <c r="E405" i="2" s="1"/>
  <c r="H71" i="6"/>
  <c r="C71" i="6" s="1"/>
  <c r="C31" i="5"/>
  <c r="E82" i="2" s="1"/>
  <c r="H131" i="6"/>
  <c r="C131" i="6" s="1"/>
  <c r="C93" i="7"/>
  <c r="E401" i="2" s="1"/>
  <c r="C248" i="4"/>
  <c r="H97" i="5"/>
  <c r="C97" i="5" s="1"/>
  <c r="C13" i="6"/>
  <c r="E36" i="2" s="1"/>
  <c r="H43" i="4"/>
  <c r="C43" i="4" s="1"/>
  <c r="C158" i="5"/>
  <c r="E517" i="2" s="1"/>
  <c r="C61" i="7"/>
  <c r="E213" i="2" s="1"/>
  <c r="H30" i="6"/>
  <c r="C30" i="6" s="1"/>
  <c r="C148" i="6"/>
  <c r="E660" i="2" s="1"/>
  <c r="H171" i="4"/>
  <c r="C171" i="4" s="1"/>
  <c r="H46" i="5"/>
  <c r="H325" i="4"/>
  <c r="C325" i="4" s="1"/>
  <c r="H29" i="5"/>
  <c r="C29" i="5" s="1"/>
  <c r="E81" i="2" s="1"/>
  <c r="C77" i="6"/>
  <c r="E399" i="2" s="1"/>
  <c r="C130" i="4"/>
  <c r="C240" i="4"/>
  <c r="C139" i="6"/>
  <c r="E597" i="2" s="1"/>
  <c r="H122" i="4"/>
  <c r="C122" i="4" s="1"/>
  <c r="H5" i="4"/>
  <c r="C5" i="4" s="1"/>
  <c r="H88" i="4"/>
  <c r="C88" i="4" s="1"/>
  <c r="C8" i="7"/>
  <c r="E13" i="2" s="1"/>
  <c r="C137" i="4"/>
  <c r="C147" i="8"/>
  <c r="E379" i="2" s="1"/>
  <c r="C204" i="8"/>
  <c r="E511" i="2" s="1"/>
  <c r="C202" i="8"/>
  <c r="E451" i="2" s="1"/>
  <c r="C139" i="8"/>
  <c r="E417" i="2" s="1"/>
  <c r="C170" i="8"/>
  <c r="E512" i="2" s="1"/>
  <c r="C201" i="8"/>
  <c r="E537" i="2" s="1"/>
  <c r="C207" i="8"/>
  <c r="E494" i="2" s="1"/>
  <c r="H272" i="4"/>
  <c r="C272" i="4" s="1"/>
  <c r="H15" i="5"/>
  <c r="C15" i="5" s="1"/>
  <c r="H152" i="4"/>
  <c r="C152" i="4" s="1"/>
  <c r="H314" i="4"/>
  <c r="C314" i="4" s="1"/>
  <c r="C12" i="5"/>
  <c r="J163" i="8"/>
  <c r="H136" i="4"/>
  <c r="C136" i="4" s="1"/>
  <c r="H260" i="4"/>
  <c r="C260" i="4" s="1"/>
  <c r="H312" i="4"/>
  <c r="C312" i="4" s="1"/>
  <c r="H62" i="4"/>
  <c r="C62" i="4" s="1"/>
  <c r="H11" i="6"/>
  <c r="C11" i="6" s="1"/>
  <c r="E25" i="2" s="1"/>
  <c r="H103" i="6"/>
  <c r="C103" i="6" s="1"/>
  <c r="E443" i="2" s="1"/>
  <c r="H73" i="5"/>
  <c r="C73" i="5" s="1"/>
  <c r="E210" i="2" s="1"/>
  <c r="H121" i="5"/>
  <c r="C121" i="5" s="1"/>
  <c r="C109" i="5"/>
  <c r="E491" i="2" s="1"/>
  <c r="H62" i="5"/>
  <c r="C62" i="5" s="1"/>
  <c r="E179" i="2" s="1"/>
  <c r="C166" i="4"/>
  <c r="J142" i="8"/>
  <c r="C209" i="8"/>
  <c r="E577" i="2" s="1"/>
  <c r="C335" i="4"/>
  <c r="C51" i="5"/>
  <c r="E152" i="2" s="1"/>
  <c r="C91" i="5"/>
  <c r="J108" i="8"/>
  <c r="C206" i="5"/>
  <c r="E664" i="2" s="1"/>
  <c r="J198" i="8"/>
  <c r="H19" i="6"/>
  <c r="C19" i="6" s="1"/>
  <c r="H44" i="4"/>
  <c r="C44" i="4" s="1"/>
  <c r="H208" i="4"/>
  <c r="J25" i="8"/>
  <c r="H66" i="5"/>
  <c r="C66" i="5" s="1"/>
  <c r="H101" i="7"/>
  <c r="H369" i="4"/>
  <c r="C369" i="4" s="1"/>
  <c r="J8" i="8"/>
  <c r="H30" i="4"/>
  <c r="C30" i="4" s="1"/>
  <c r="J44" i="8"/>
  <c r="H108" i="6"/>
  <c r="C108" i="6" s="1"/>
  <c r="E471" i="2" s="1"/>
  <c r="J70" i="8"/>
  <c r="H89" i="6"/>
  <c r="C89" i="6" s="1"/>
  <c r="H39" i="6"/>
  <c r="C39" i="6" s="1"/>
  <c r="E135" i="2" s="1"/>
  <c r="J103" i="8"/>
  <c r="H51" i="7"/>
  <c r="C51" i="7" s="1"/>
  <c r="E169" i="2" s="1"/>
  <c r="J164" i="8"/>
  <c r="H48" i="5"/>
  <c r="C48" i="5" s="1"/>
  <c r="E150" i="2" s="1"/>
  <c r="J175" i="8"/>
  <c r="H245" i="4"/>
  <c r="C245" i="4" s="1"/>
  <c r="H205" i="4"/>
  <c r="C205" i="4" s="1"/>
  <c r="H84" i="5"/>
  <c r="C84" i="5" s="1"/>
  <c r="E270" i="2" s="1"/>
  <c r="H109" i="7"/>
  <c r="C109" i="7" s="1"/>
  <c r="E563" i="2" s="1"/>
  <c r="H52" i="7"/>
  <c r="C52" i="7" s="1"/>
  <c r="E235" i="2" s="1"/>
  <c r="H255" i="4"/>
  <c r="H191" i="5"/>
  <c r="C191" i="5" s="1"/>
  <c r="E618" i="2" s="1"/>
  <c r="H122" i="6"/>
  <c r="C122" i="6" s="1"/>
  <c r="H17" i="5"/>
  <c r="C17" i="5" s="1"/>
  <c r="H371" i="4"/>
  <c r="C371" i="4" s="1"/>
  <c r="H65" i="4"/>
  <c r="C65" i="4" s="1"/>
  <c r="H135" i="5"/>
  <c r="C135" i="5" s="1"/>
  <c r="E495" i="2" s="1"/>
  <c r="H7" i="5"/>
  <c r="C7" i="5" s="1"/>
  <c r="H172" i="4"/>
  <c r="C172" i="4" s="1"/>
  <c r="H131" i="5"/>
  <c r="C131" i="5" s="1"/>
  <c r="E439" i="2" s="1"/>
  <c r="J29" i="8"/>
  <c r="H136" i="6"/>
  <c r="C136" i="6" s="1"/>
  <c r="E575" i="2" s="1"/>
  <c r="J90" i="8"/>
  <c r="H104" i="7"/>
  <c r="C104" i="7" s="1"/>
  <c r="E468" i="2" s="1"/>
  <c r="H129" i="6"/>
  <c r="C129" i="6" s="1"/>
  <c r="E634" i="2" s="1"/>
  <c r="H5" i="6"/>
  <c r="C5" i="6" s="1"/>
  <c r="H277" i="4"/>
  <c r="C277" i="4" s="1"/>
  <c r="H76" i="6"/>
  <c r="C76" i="6" s="1"/>
  <c r="H26" i="4"/>
  <c r="C26" i="4" s="1"/>
  <c r="H40" i="6"/>
  <c r="C40" i="6" s="1"/>
  <c r="H127" i="7"/>
  <c r="C127" i="7" s="1"/>
  <c r="E582" i="2" s="1"/>
  <c r="H142" i="6"/>
  <c r="C142" i="6" s="1"/>
  <c r="E627" i="2" s="1"/>
  <c r="H157" i="4"/>
  <c r="C157" i="4" s="1"/>
  <c r="J60" i="8"/>
  <c r="H92" i="7"/>
  <c r="C92" i="7" s="1"/>
  <c r="E362" i="2" s="1"/>
  <c r="J62" i="8"/>
  <c r="H89" i="5"/>
  <c r="C89" i="5" s="1"/>
  <c r="E370" i="2" s="1"/>
  <c r="H54" i="5"/>
  <c r="C54" i="5" s="1"/>
  <c r="H305" i="4"/>
  <c r="C305" i="4" s="1"/>
  <c r="H116" i="4"/>
  <c r="C116" i="4" s="1"/>
  <c r="H149" i="4"/>
  <c r="C149" i="4" s="1"/>
  <c r="H292" i="4"/>
  <c r="C292" i="4" s="1"/>
  <c r="J172" i="8"/>
  <c r="H62" i="6"/>
  <c r="C62" i="6" s="1"/>
  <c r="E252" i="2" s="1"/>
  <c r="H81" i="6"/>
  <c r="C81" i="6" s="1"/>
  <c r="E368" i="2" s="1"/>
  <c r="H192" i="5"/>
  <c r="C192" i="5" s="1"/>
  <c r="E642" i="2" s="1"/>
  <c r="H22" i="6"/>
  <c r="C22" i="6" s="1"/>
  <c r="E66" i="2" s="1"/>
  <c r="H3" i="7"/>
  <c r="C3" i="7" s="1"/>
  <c r="H138" i="4"/>
  <c r="C138" i="4" s="1"/>
  <c r="H16" i="4"/>
  <c r="C16" i="4" s="1"/>
  <c r="H49" i="6"/>
  <c r="C49" i="6" s="1"/>
  <c r="E181" i="2" s="1"/>
  <c r="H92" i="6"/>
  <c r="C92" i="6" s="1"/>
  <c r="E332" i="2" s="1"/>
  <c r="H8" i="5"/>
  <c r="C8" i="5" s="1"/>
  <c r="E40" i="2" s="1"/>
  <c r="H234" i="4"/>
  <c r="C234" i="4" s="1"/>
  <c r="H23" i="7"/>
  <c r="H94" i="5"/>
  <c r="C94" i="5" s="1"/>
  <c r="H31" i="7"/>
  <c r="C31" i="7" s="1"/>
  <c r="E106" i="2" s="1"/>
  <c r="H9" i="7"/>
  <c r="C9" i="7" s="1"/>
  <c r="E29" i="2" s="1"/>
  <c r="C185" i="8"/>
  <c r="E449" i="2" s="1"/>
  <c r="H81" i="4"/>
  <c r="C81" i="4" s="1"/>
  <c r="H319" i="4"/>
  <c r="C319" i="4" s="1"/>
  <c r="H18" i="7"/>
  <c r="C18" i="7" s="1"/>
  <c r="E46" i="2" s="1"/>
  <c r="H373" i="4"/>
  <c r="C373" i="4" s="1"/>
  <c r="C156" i="8"/>
  <c r="E376" i="2" s="1"/>
  <c r="C145" i="5"/>
  <c r="E513" i="2" s="1"/>
  <c r="C205" i="5"/>
  <c r="E665" i="2" s="1"/>
  <c r="C32" i="4"/>
  <c r="C117" i="7"/>
  <c r="E599" i="2" s="1"/>
  <c r="H348" i="4"/>
  <c r="C348" i="4" s="1"/>
  <c r="H115" i="7"/>
  <c r="C115" i="7" s="1"/>
  <c r="E568" i="2" s="1"/>
  <c r="C295" i="4"/>
  <c r="C53" i="4"/>
  <c r="C168" i="8"/>
  <c r="E445" i="2" s="1"/>
  <c r="C125" i="5"/>
  <c r="E444" i="2" s="1"/>
  <c r="C132" i="7"/>
  <c r="E605" i="2" s="1"/>
  <c r="C131" i="7"/>
  <c r="E633" i="2" s="1"/>
  <c r="H174" i="5"/>
  <c r="C174" i="5" s="1"/>
  <c r="E612" i="2" s="1"/>
  <c r="C75" i="4"/>
  <c r="H13" i="5"/>
  <c r="C13" i="5" s="1"/>
  <c r="E49" i="2" s="1"/>
  <c r="C155" i="4"/>
  <c r="C99" i="4"/>
  <c r="C32" i="5"/>
  <c r="C74" i="5"/>
  <c r="E269" i="2" s="1"/>
  <c r="H106" i="7"/>
  <c r="C106" i="7" s="1"/>
  <c r="E480" i="2" s="1"/>
  <c r="H233" i="4"/>
  <c r="C233" i="4" s="1"/>
  <c r="H347" i="4"/>
  <c r="C347" i="4" s="1"/>
  <c r="H47" i="6"/>
  <c r="C47" i="6" s="1"/>
  <c r="H88" i="7"/>
  <c r="C88" i="7" s="1"/>
  <c r="E342" i="2" s="1"/>
  <c r="J53" i="8"/>
  <c r="H53" i="6"/>
  <c r="C53" i="6" s="1"/>
  <c r="H203" i="4"/>
  <c r="J30" i="8"/>
  <c r="H15" i="6"/>
  <c r="C15" i="6" s="1"/>
  <c r="H176" i="4"/>
  <c r="C176" i="4" s="1"/>
  <c r="H231" i="4"/>
  <c r="C231" i="4" s="1"/>
  <c r="H295" i="4"/>
  <c r="H366" i="4"/>
  <c r="C366" i="4" s="1"/>
  <c r="C126" i="8"/>
  <c r="E420" i="2" s="1"/>
  <c r="H4" i="7"/>
  <c r="C4" i="7" s="1"/>
  <c r="E6" i="2" s="1"/>
  <c r="H117" i="5"/>
  <c r="C117" i="5" s="1"/>
  <c r="E462" i="2" s="1"/>
  <c r="C110" i="5"/>
  <c r="E385" i="2" s="1"/>
  <c r="H315" i="4"/>
  <c r="C315" i="4" s="1"/>
  <c r="C223" i="4"/>
  <c r="C186" i="4"/>
  <c r="C28" i="7"/>
  <c r="E88" i="2" s="1"/>
  <c r="J134" i="8"/>
  <c r="C115" i="8"/>
  <c r="E330" i="2" s="1"/>
  <c r="C181" i="4"/>
  <c r="J173" i="8"/>
  <c r="C101" i="7"/>
  <c r="E551" i="2" s="1"/>
  <c r="C116" i="7"/>
  <c r="E573" i="2" s="1"/>
  <c r="C130" i="7"/>
  <c r="E584" i="2" s="1"/>
  <c r="H142" i="4"/>
  <c r="C142" i="4" s="1"/>
  <c r="H110" i="4"/>
  <c r="C110" i="4" s="1"/>
  <c r="C118" i="7"/>
  <c r="E588" i="2" s="1"/>
  <c r="H19" i="5"/>
  <c r="C19" i="5" s="1"/>
  <c r="E62" i="2" s="1"/>
  <c r="C236" i="4"/>
  <c r="C107" i="5"/>
  <c r="E358" i="2" s="1"/>
  <c r="C150" i="4"/>
  <c r="H41" i="5"/>
  <c r="C41" i="5" s="1"/>
  <c r="E123" i="2" s="1"/>
  <c r="H128" i="5"/>
  <c r="C128" i="5" s="1"/>
  <c r="E428" i="2" s="1"/>
  <c r="H121" i="6"/>
  <c r="C121" i="6" s="1"/>
  <c r="E521" i="2" s="1"/>
  <c r="C79" i="5"/>
  <c r="H360" i="4"/>
  <c r="C360" i="4" s="1"/>
  <c r="H112" i="7"/>
  <c r="C112" i="7" s="1"/>
  <c r="E539" i="2" s="1"/>
  <c r="H281" i="4"/>
  <c r="C281" i="4" s="1"/>
  <c r="C105" i="5"/>
  <c r="H167" i="4"/>
  <c r="C167" i="4" s="1"/>
  <c r="H70" i="6"/>
  <c r="C220" i="4"/>
  <c r="H27" i="5"/>
  <c r="C27" i="5" s="1"/>
  <c r="C140" i="6"/>
  <c r="E608" i="2" s="1"/>
  <c r="J180" i="8"/>
  <c r="C68" i="6"/>
  <c r="E272" i="2" s="1"/>
  <c r="C70" i="6"/>
  <c r="E283" i="2" s="1"/>
  <c r="H26" i="7"/>
  <c r="C26" i="7" s="1"/>
  <c r="E77" i="2" s="1"/>
  <c r="C206" i="4"/>
  <c r="H342" i="4"/>
  <c r="C342" i="4" s="1"/>
  <c r="H61" i="4"/>
  <c r="C61" i="4" s="1"/>
  <c r="H173" i="5"/>
  <c r="C173" i="5" s="1"/>
  <c r="E609" i="2" s="1"/>
  <c r="C113" i="6"/>
  <c r="E469" i="2" s="1"/>
  <c r="C346" i="4"/>
  <c r="C282" i="4"/>
  <c r="C177" i="8"/>
  <c r="E432" i="2" s="1"/>
  <c r="H48" i="6"/>
  <c r="C48" i="6" s="1"/>
  <c r="E207" i="2" s="1"/>
  <c r="H5" i="5"/>
  <c r="C5" i="5" s="1"/>
  <c r="E5" i="2" s="1"/>
  <c r="H52" i="5"/>
  <c r="C52" i="5" s="1"/>
  <c r="C46" i="5"/>
  <c r="E127" i="2" s="1"/>
  <c r="C54" i="6"/>
  <c r="E273" i="2" s="1"/>
  <c r="C87" i="5"/>
  <c r="H123" i="6"/>
  <c r="C123" i="6" s="1"/>
  <c r="E509" i="2" s="1"/>
  <c r="H10" i="7"/>
  <c r="C10" i="7" s="1"/>
  <c r="E35" i="2" s="1"/>
  <c r="H67" i="6"/>
  <c r="C67" i="6" s="1"/>
  <c r="E265" i="2" s="1"/>
  <c r="H124" i="7"/>
  <c r="C124" i="7" s="1"/>
  <c r="E548" i="2" s="1"/>
  <c r="H53" i="7"/>
  <c r="C53" i="7" s="1"/>
  <c r="E206" i="2" s="1"/>
  <c r="H152" i="5"/>
  <c r="C152" i="5" s="1"/>
  <c r="E515" i="2" s="1"/>
  <c r="C157" i="8"/>
  <c r="E452" i="2" s="1"/>
  <c r="C12" i="4"/>
  <c r="H141" i="5"/>
  <c r="C141" i="5" s="1"/>
  <c r="E596" i="2" s="1"/>
  <c r="H34" i="6"/>
  <c r="C34" i="6" s="1"/>
  <c r="E100" i="2" s="1"/>
  <c r="H177" i="5"/>
  <c r="C177" i="5" s="1"/>
  <c r="E616" i="2" s="1"/>
  <c r="H91" i="7"/>
  <c r="C91" i="7" s="1"/>
  <c r="E366" i="2" s="1"/>
  <c r="C92" i="8"/>
  <c r="E267" i="2" s="1"/>
  <c r="J124" i="8"/>
  <c r="C44" i="7"/>
  <c r="E204" i="2" s="1"/>
  <c r="C186" i="8"/>
  <c r="E472" i="2" s="1"/>
  <c r="C81" i="5"/>
  <c r="E240" i="2" s="1"/>
  <c r="C90" i="8"/>
  <c r="E305" i="2" s="1"/>
  <c r="H332" i="4"/>
  <c r="C332" i="4" s="1"/>
  <c r="C374" i="4"/>
  <c r="C41" i="6"/>
  <c r="E174" i="2" s="1"/>
  <c r="C164" i="8"/>
  <c r="E394" i="2" s="1"/>
  <c r="C67" i="4"/>
  <c r="J50" i="8"/>
  <c r="J101" i="8"/>
  <c r="H17" i="7"/>
  <c r="C17" i="7" s="1"/>
  <c r="E50" i="2" s="1"/>
  <c r="H26" i="5"/>
  <c r="C26" i="5" s="1"/>
  <c r="E78" i="2" s="1"/>
  <c r="H111" i="5"/>
  <c r="C111" i="5" s="1"/>
  <c r="H199" i="4"/>
  <c r="C199" i="4" s="1"/>
  <c r="H51" i="6"/>
  <c r="H111" i="4"/>
  <c r="C111" i="4" s="1"/>
  <c r="H182" i="5"/>
  <c r="C182" i="5" s="1"/>
  <c r="E644" i="2" s="1"/>
  <c r="H12" i="6"/>
  <c r="C12" i="6" s="1"/>
  <c r="H317" i="4"/>
  <c r="C317" i="4" s="1"/>
  <c r="H112" i="4"/>
  <c r="C112" i="4" s="1"/>
  <c r="H83" i="7"/>
  <c r="C83" i="7" s="1"/>
  <c r="E304" i="2" s="1"/>
  <c r="J3" i="8"/>
  <c r="J183" i="8"/>
  <c r="H354" i="4"/>
  <c r="C354" i="4" s="1"/>
  <c r="H122" i="5"/>
  <c r="C122" i="5" s="1"/>
  <c r="E483" i="2" s="1"/>
  <c r="H98" i="6"/>
  <c r="C98" i="6" s="1"/>
  <c r="E377" i="2" s="1"/>
  <c r="H109" i="4"/>
  <c r="C109" i="4" s="1"/>
  <c r="H372" i="4"/>
  <c r="C372" i="4" s="1"/>
  <c r="H243" i="4"/>
  <c r="C243" i="4" s="1"/>
  <c r="H54" i="4"/>
  <c r="C54" i="4" s="1"/>
  <c r="H142" i="5"/>
  <c r="C142" i="5" s="1"/>
  <c r="E502" i="2" s="1"/>
  <c r="H108" i="7"/>
  <c r="C108" i="7" s="1"/>
  <c r="E496" i="2" s="1"/>
  <c r="H12" i="7"/>
  <c r="C12" i="7" s="1"/>
  <c r="E32" i="2" s="1"/>
  <c r="H146" i="6"/>
  <c r="C146" i="6" s="1"/>
  <c r="E639" i="2" s="1"/>
  <c r="H40" i="5"/>
  <c r="C40" i="5" s="1"/>
  <c r="H4" i="6"/>
  <c r="C4" i="6" s="1"/>
  <c r="E9" i="2" s="1"/>
  <c r="C6" i="3" s="1"/>
  <c r="J71" i="8"/>
  <c r="H103" i="5"/>
  <c r="C103" i="5" s="1"/>
  <c r="H389" i="4"/>
  <c r="C389" i="4" s="1"/>
  <c r="J181" i="8"/>
  <c r="H154" i="4"/>
  <c r="C154" i="4" s="1"/>
  <c r="H35" i="4"/>
  <c r="C35" i="4" s="1"/>
  <c r="H271" i="4"/>
  <c r="C271" i="4" s="1"/>
  <c r="H7" i="7"/>
  <c r="C7" i="7" s="1"/>
  <c r="E10" i="2" s="1"/>
  <c r="H104" i="6"/>
  <c r="C104" i="6" s="1"/>
  <c r="E520" i="2" s="1"/>
  <c r="H73" i="7"/>
  <c r="C73" i="7" s="1"/>
  <c r="E282" i="2" s="1"/>
  <c r="H18" i="5"/>
  <c r="C18" i="5" s="1"/>
  <c r="J188" i="8"/>
  <c r="H32" i="7"/>
  <c r="C32" i="7" s="1"/>
  <c r="E109" i="2" s="1"/>
  <c r="H362" i="4"/>
  <c r="C362" i="4" s="1"/>
  <c r="H387" i="4"/>
  <c r="C387" i="4" s="1"/>
  <c r="H92" i="4"/>
  <c r="C92" i="4" s="1"/>
  <c r="H103" i="4"/>
  <c r="C103" i="4" s="1"/>
  <c r="H100" i="5"/>
  <c r="C100" i="5" s="1"/>
  <c r="H168" i="4"/>
  <c r="C168" i="4" s="1"/>
  <c r="H338" i="4"/>
  <c r="H202" i="4"/>
  <c r="C202" i="4" s="1"/>
  <c r="H41" i="7"/>
  <c r="C41" i="7" s="1"/>
  <c r="E138" i="2" s="1"/>
  <c r="J35" i="8"/>
  <c r="H119" i="7"/>
  <c r="C119" i="7" s="1"/>
  <c r="E538" i="2" s="1"/>
  <c r="H50" i="7"/>
  <c r="C50" i="7" s="1"/>
  <c r="E171" i="2" s="1"/>
  <c r="H57" i="6"/>
  <c r="C57" i="6" s="1"/>
  <c r="E258" i="2" s="1"/>
  <c r="H134" i="6"/>
  <c r="C134" i="6" s="1"/>
  <c r="E549" i="2" s="1"/>
  <c r="H265" i="4"/>
  <c r="C265" i="4" s="1"/>
  <c r="H357" i="4"/>
  <c r="H365" i="4"/>
  <c r="C365" i="4" s="1"/>
  <c r="H383" i="4"/>
  <c r="C383" i="4" s="1"/>
  <c r="H257" i="4"/>
  <c r="H64" i="7"/>
  <c r="C64" i="7" s="1"/>
  <c r="E212" i="2" s="1"/>
  <c r="H251" i="4"/>
  <c r="C251" i="4" s="1"/>
  <c r="H9" i="5"/>
  <c r="C9" i="5" s="1"/>
  <c r="H185" i="4"/>
  <c r="C185" i="4" s="1"/>
  <c r="H352" i="4"/>
  <c r="C352" i="4" s="1"/>
  <c r="H213" i="4"/>
  <c r="H4" i="4"/>
  <c r="C4" i="4" s="1"/>
  <c r="J150" i="8"/>
  <c r="H114" i="5"/>
  <c r="C114" i="5" s="1"/>
  <c r="E464" i="2" s="1"/>
  <c r="H96" i="4"/>
  <c r="C96" i="4" s="1"/>
  <c r="H67" i="7"/>
  <c r="C67" i="7" s="1"/>
  <c r="E241" i="2" s="1"/>
  <c r="H161" i="4"/>
  <c r="C161" i="4" s="1"/>
  <c r="C52" i="4"/>
  <c r="C42" i="7"/>
  <c r="E136" i="2" s="1"/>
  <c r="H178" i="4"/>
  <c r="C178" i="4" s="1"/>
  <c r="C213" i="4"/>
  <c r="C61" i="6"/>
  <c r="C180" i="8"/>
  <c r="E415" i="2" s="1"/>
  <c r="H242" i="4"/>
  <c r="C242" i="4" s="1"/>
  <c r="C299" i="4"/>
  <c r="C134" i="4"/>
  <c r="C17" i="4"/>
  <c r="C57" i="7"/>
  <c r="E203" i="2" s="1"/>
  <c r="C152" i="8"/>
  <c r="E388" i="2" s="1"/>
  <c r="C120" i="4"/>
  <c r="H228" i="4"/>
  <c r="C228" i="4" s="1"/>
  <c r="C357" i="4"/>
  <c r="H308" i="4"/>
  <c r="C308" i="4" s="1"/>
  <c r="H188" i="5"/>
  <c r="C188" i="5" s="1"/>
  <c r="E601" i="2" s="1"/>
  <c r="J157" i="8"/>
  <c r="C328" i="4"/>
  <c r="H326" i="4"/>
  <c r="C326" i="4" s="1"/>
  <c r="J16" i="8"/>
  <c r="H221" i="4"/>
  <c r="C221" i="4" s="1"/>
  <c r="H41" i="4"/>
  <c r="C41" i="4" s="1"/>
  <c r="H90" i="5"/>
  <c r="C90" i="5" s="1"/>
  <c r="E256" i="2" s="1"/>
  <c r="H36" i="6"/>
  <c r="C36" i="6" s="1"/>
  <c r="H148" i="4"/>
  <c r="C148" i="4" s="1"/>
  <c r="H59" i="5"/>
  <c r="H85" i="6"/>
  <c r="C85" i="6" s="1"/>
  <c r="E403" i="2" s="1"/>
  <c r="H364" i="4"/>
  <c r="C364" i="4" s="1"/>
  <c r="H96" i="5"/>
  <c r="C96" i="5" s="1"/>
  <c r="E335" i="2" s="1"/>
  <c r="H334" i="4"/>
  <c r="C334" i="4" s="1"/>
  <c r="H144" i="4"/>
  <c r="C144" i="4" s="1"/>
  <c r="J127" i="8"/>
  <c r="H147" i="4"/>
  <c r="C147" i="4" s="1"/>
  <c r="H193" i="5"/>
  <c r="C193" i="5" s="1"/>
  <c r="E622" i="2" s="1"/>
  <c r="C70" i="7"/>
  <c r="E340" i="2" s="1"/>
  <c r="C46" i="6"/>
  <c r="C119" i="6"/>
  <c r="E555" i="2" s="1"/>
  <c r="C165" i="8"/>
  <c r="E460" i="2" s="1"/>
  <c r="H19" i="4"/>
  <c r="C19" i="4" s="1"/>
  <c r="H75" i="5"/>
  <c r="C75" i="5" s="1"/>
  <c r="C48" i="8"/>
  <c r="E173" i="2" s="1"/>
  <c r="H192" i="4"/>
  <c r="C192" i="4" s="1"/>
  <c r="C22" i="4"/>
  <c r="C183" i="5"/>
  <c r="E631" i="2" s="1"/>
  <c r="C56" i="5"/>
  <c r="E194" i="2" s="1"/>
  <c r="H20" i="4"/>
  <c r="C20" i="4" s="1"/>
  <c r="C257" i="4"/>
  <c r="J213" i="8"/>
  <c r="C178" i="8"/>
  <c r="E523" i="2" s="1"/>
  <c r="C15" i="8"/>
  <c r="E53" i="2" s="1"/>
  <c r="C68" i="4"/>
  <c r="H131" i="4"/>
  <c r="C131" i="4" s="1"/>
  <c r="C196" i="8"/>
  <c r="E506" i="2" s="1"/>
  <c r="C93" i="6"/>
  <c r="E410" i="2" s="1"/>
  <c r="H302" i="4"/>
  <c r="C302" i="4" s="1"/>
  <c r="C32" i="8"/>
  <c r="E119" i="2" s="1"/>
  <c r="C241" i="4"/>
  <c r="H21" i="4"/>
  <c r="C21" i="4" s="1"/>
  <c r="C14" i="5"/>
  <c r="E41" i="2" s="1"/>
  <c r="C91" i="8"/>
  <c r="E298" i="2" s="1"/>
  <c r="C109" i="8"/>
  <c r="E322" i="2" s="1"/>
  <c r="C180" i="4"/>
  <c r="C18" i="8"/>
  <c r="E85" i="2" s="1"/>
  <c r="H8" i="6"/>
  <c r="C8" i="6" s="1"/>
  <c r="E30" i="2" s="1"/>
  <c r="C222" i="4"/>
  <c r="H15" i="4"/>
  <c r="C15" i="4" s="1"/>
  <c r="H66" i="6"/>
  <c r="C66" i="6" s="1"/>
  <c r="E245" i="2" s="1"/>
  <c r="C106" i="5"/>
  <c r="H90" i="6"/>
  <c r="C90" i="6" s="1"/>
  <c r="E341" i="2" s="1"/>
  <c r="H57" i="5"/>
  <c r="C57" i="5" s="1"/>
  <c r="E191" i="2" s="1"/>
  <c r="C130" i="5"/>
  <c r="C70" i="8"/>
  <c r="E201" i="2" s="1"/>
  <c r="C59" i="5"/>
  <c r="C205" i="8"/>
  <c r="E497" i="2" s="1"/>
  <c r="C230" i="4"/>
  <c r="H10" i="6"/>
  <c r="C10" i="6" s="1"/>
  <c r="E31" i="2" s="1"/>
  <c r="C203" i="4"/>
  <c r="C44" i="5"/>
  <c r="E114" i="2" s="1"/>
  <c r="C7" i="6"/>
  <c r="E18" i="2" s="1"/>
  <c r="J5" i="8"/>
  <c r="C25" i="8"/>
  <c r="E107" i="2" s="1"/>
  <c r="C116" i="5"/>
  <c r="E535" i="2" s="1"/>
  <c r="C23" i="7"/>
  <c r="E93" i="2" s="1"/>
  <c r="C338" i="4"/>
  <c r="H143" i="6"/>
  <c r="C143" i="6" s="1"/>
  <c r="E628" i="2" s="1"/>
  <c r="H69" i="5"/>
  <c r="C69" i="5" s="1"/>
  <c r="E243" i="2" s="1"/>
  <c r="H164" i="5"/>
  <c r="C164" i="5" s="1"/>
  <c r="E541" i="2" s="1"/>
  <c r="H110" i="7"/>
  <c r="C110" i="7" s="1"/>
  <c r="E487" i="2" s="1"/>
  <c r="C84" i="6"/>
  <c r="E339" i="2" s="1"/>
  <c r="H78" i="6"/>
  <c r="C78" i="6" s="1"/>
  <c r="E294" i="2" s="1"/>
  <c r="C27" i="6"/>
  <c r="E86" i="2" s="1"/>
  <c r="C255" i="4"/>
  <c r="J14" i="8"/>
  <c r="C110" i="6"/>
  <c r="E427" i="2" s="1"/>
  <c r="C69" i="8"/>
  <c r="E196" i="2" s="1"/>
  <c r="C128" i="4"/>
  <c r="J26" i="8"/>
  <c r="C52" i="8"/>
  <c r="E244" i="2" s="1"/>
  <c r="H21" i="7"/>
  <c r="C21" i="7" s="1"/>
  <c r="E54" i="2" s="1"/>
  <c r="C21" i="8"/>
  <c r="E44" i="2" s="1"/>
  <c r="C318" i="4"/>
  <c r="C150" i="8"/>
  <c r="E400" i="2" s="1"/>
  <c r="H254" i="4"/>
  <c r="C254" i="4" s="1"/>
  <c r="C152" i="6"/>
  <c r="E663" i="2" s="1"/>
  <c r="C287" i="4"/>
  <c r="H189" i="5"/>
  <c r="C189" i="5" s="1"/>
  <c r="E623" i="2" s="1"/>
  <c r="H24" i="6"/>
  <c r="C24" i="6" s="1"/>
  <c r="H264" i="4"/>
  <c r="C264" i="4" s="1"/>
  <c r="C52" i="6"/>
  <c r="E253" i="2" s="1"/>
  <c r="H267" i="4"/>
  <c r="H38" i="4"/>
  <c r="C38" i="4" s="1"/>
  <c r="J128" i="8"/>
  <c r="C43" i="7"/>
  <c r="E145" i="2" s="1"/>
  <c r="C209" i="4"/>
  <c r="H40" i="7"/>
  <c r="C40" i="7" s="1"/>
  <c r="E126" i="2" s="1"/>
  <c r="H56" i="4"/>
  <c r="C56" i="4" s="1"/>
  <c r="H214" i="4"/>
  <c r="C214" i="4" s="1"/>
  <c r="C103" i="8"/>
  <c r="E302" i="2" s="1"/>
  <c r="H225" i="4"/>
  <c r="C225" i="4" s="1"/>
  <c r="J7" i="8"/>
  <c r="C108" i="4"/>
  <c r="C74" i="8"/>
  <c r="E319" i="2" s="1"/>
  <c r="H280" i="4"/>
  <c r="C280" i="4" s="1"/>
  <c r="C74" i="6"/>
  <c r="J27" i="8"/>
  <c r="H331" i="4"/>
  <c r="C331" i="4" s="1"/>
  <c r="C51" i="6"/>
  <c r="E168" i="2" s="1"/>
  <c r="C65" i="7"/>
  <c r="E236" i="2" s="1"/>
  <c r="C208" i="4"/>
  <c r="C119" i="8"/>
  <c r="E347" i="2" s="1"/>
  <c r="J155" i="8"/>
  <c r="H140" i="5"/>
  <c r="C140" i="5" s="1"/>
  <c r="E617" i="2" s="1"/>
  <c r="C27" i="8"/>
  <c r="E110" i="2" s="1"/>
  <c r="C9" i="4"/>
  <c r="C59" i="7"/>
  <c r="E217" i="2" s="1"/>
  <c r="C179" i="4"/>
  <c r="J68" i="8"/>
  <c r="H196" i="4"/>
  <c r="C196" i="4" s="1"/>
  <c r="H286" i="4"/>
  <c r="C286" i="4" s="1"/>
  <c r="J73" i="8"/>
  <c r="H66" i="4"/>
  <c r="C66" i="4" s="1"/>
  <c r="H167" i="5"/>
  <c r="C167" i="5" s="1"/>
  <c r="E619" i="2" s="1"/>
  <c r="H85" i="7"/>
  <c r="C85" i="7" s="1"/>
  <c r="E349" i="2" s="1"/>
  <c r="H75" i="7"/>
  <c r="C75" i="7" s="1"/>
  <c r="E328" i="2" s="1"/>
  <c r="H84" i="4"/>
  <c r="C84" i="4" s="1"/>
  <c r="H48" i="7"/>
  <c r="C48" i="7" s="1"/>
  <c r="E164" i="2" s="1"/>
  <c r="H184" i="4"/>
  <c r="C184" i="4" s="1"/>
  <c r="H163" i="4"/>
  <c r="C163" i="4" s="1"/>
  <c r="H11" i="7"/>
  <c r="C11" i="7" s="1"/>
  <c r="E37" i="2" s="1"/>
  <c r="J121" i="8"/>
  <c r="H181" i="5"/>
  <c r="C181" i="5" s="1"/>
  <c r="E600" i="2" s="1"/>
  <c r="H67" i="5"/>
  <c r="C67" i="5" s="1"/>
  <c r="E193" i="2" s="1"/>
  <c r="J55" i="8"/>
  <c r="H126" i="4"/>
  <c r="C126" i="4" s="1"/>
  <c r="J91" i="8"/>
  <c r="J59" i="8"/>
  <c r="H200" i="4"/>
  <c r="C200" i="4" s="1"/>
  <c r="H133" i="6"/>
  <c r="C133" i="6" s="1"/>
  <c r="E620" i="2" s="1"/>
  <c r="J206" i="8"/>
  <c r="J67" i="8"/>
  <c r="J58" i="8"/>
  <c r="H58" i="4"/>
  <c r="C58" i="4" s="1"/>
  <c r="H34" i="7"/>
  <c r="C34" i="7" s="1"/>
  <c r="E163" i="2" s="1"/>
  <c r="J115" i="8"/>
  <c r="H144" i="6"/>
  <c r="C144" i="6" s="1"/>
  <c r="E640" i="2" s="1"/>
  <c r="H147" i="5"/>
  <c r="C147" i="5" s="1"/>
  <c r="E479" i="2" s="1"/>
  <c r="H34" i="5"/>
  <c r="C34" i="5" s="1"/>
  <c r="J18" i="8"/>
  <c r="J201" i="8"/>
  <c r="H124" i="4"/>
  <c r="C124" i="4" s="1"/>
  <c r="H211" i="4"/>
  <c r="C211" i="4" s="1"/>
  <c r="H33" i="6"/>
  <c r="C33" i="6" s="1"/>
  <c r="E102" i="2" s="1"/>
  <c r="J152" i="8"/>
  <c r="H162" i="4"/>
  <c r="C162" i="4" s="1"/>
  <c r="H376" i="4"/>
  <c r="C376" i="4" s="1"/>
  <c r="H79" i="6"/>
  <c r="C79" i="6" s="1"/>
  <c r="H201" i="5"/>
  <c r="C201" i="5" s="1"/>
  <c r="H202" i="5"/>
  <c r="C202" i="5" s="1"/>
  <c r="E662" i="2" s="1"/>
  <c r="H60" i="7"/>
  <c r="C60" i="7" s="1"/>
  <c r="E237" i="2" s="1"/>
  <c r="J156" i="8"/>
  <c r="J187" i="8"/>
  <c r="H14" i="6"/>
  <c r="C14" i="6" s="1"/>
  <c r="E55" i="2" s="1"/>
  <c r="H94" i="7"/>
  <c r="C94" i="7" s="1"/>
  <c r="E478" i="2" s="1"/>
  <c r="H226" i="4"/>
  <c r="C226" i="4" s="1"/>
  <c r="H13" i="7"/>
  <c r="C13" i="7" s="1"/>
  <c r="E33" i="2" s="1"/>
  <c r="H191" i="4"/>
  <c r="C191" i="4" s="1"/>
  <c r="J84" i="8"/>
  <c r="H122" i="7"/>
  <c r="C122" i="7" s="1"/>
  <c r="E604" i="2" s="1"/>
  <c r="H150" i="6"/>
  <c r="C150" i="6" s="1"/>
  <c r="E658" i="2" s="1"/>
  <c r="H33" i="7"/>
  <c r="C33" i="7" s="1"/>
  <c r="E131" i="2" s="1"/>
  <c r="H65" i="5"/>
  <c r="C65" i="5" s="1"/>
  <c r="E178" i="2" s="1"/>
  <c r="H75" i="6"/>
  <c r="C75" i="6" s="1"/>
  <c r="E268" i="2" s="1"/>
  <c r="J207" i="8"/>
  <c r="H78" i="5"/>
  <c r="C78" i="5" s="1"/>
  <c r="E315" i="2" s="1"/>
  <c r="H187" i="5"/>
  <c r="C187" i="5" s="1"/>
  <c r="E621" i="2" s="1"/>
  <c r="H113" i="5"/>
  <c r="C113" i="5" s="1"/>
  <c r="E404" i="2" s="1"/>
  <c r="H113" i="4"/>
  <c r="C113" i="4" s="1"/>
  <c r="H313" i="4"/>
  <c r="C313" i="4" s="1"/>
  <c r="H224" i="4"/>
  <c r="C224" i="4" s="1"/>
  <c r="H55" i="6"/>
  <c r="C55" i="6" s="1"/>
  <c r="H72" i="4"/>
  <c r="C72" i="4" s="1"/>
  <c r="H170" i="5"/>
  <c r="C170" i="5" s="1"/>
  <c r="H117" i="6"/>
  <c r="C117" i="6" s="1"/>
  <c r="E499" i="2" s="1"/>
  <c r="H195" i="5"/>
  <c r="C195" i="5" s="1"/>
  <c r="E638" i="2" s="1"/>
  <c r="J49" i="8"/>
  <c r="H258" i="4"/>
  <c r="C258" i="4" s="1"/>
  <c r="H204" i="5"/>
  <c r="C204" i="5" s="1"/>
  <c r="E659" i="2" s="1"/>
  <c r="H102" i="7"/>
  <c r="C102" i="7" s="1"/>
  <c r="E454" i="2" s="1"/>
  <c r="H118" i="6"/>
  <c r="C118" i="6" s="1"/>
  <c r="E474" i="2" s="1"/>
  <c r="H9" i="6"/>
  <c r="C9" i="6" s="1"/>
  <c r="E20" i="2" s="1"/>
  <c r="H36" i="7"/>
  <c r="C36" i="7" s="1"/>
  <c r="E307" i="2" s="1"/>
  <c r="H157" i="5"/>
  <c r="C157" i="5" s="1"/>
  <c r="E632" i="2" s="1"/>
  <c r="H96" i="6"/>
  <c r="C96" i="6" s="1"/>
  <c r="E397" i="2" s="1"/>
  <c r="H3" i="5"/>
  <c r="C3" i="5" s="1"/>
  <c r="H33" i="4"/>
  <c r="C33" i="4" s="1"/>
  <c r="H53" i="5"/>
  <c r="C53" i="5" s="1"/>
  <c r="E162" i="2" s="1"/>
  <c r="H98" i="4"/>
  <c r="C98" i="4" s="1"/>
  <c r="H73" i="6"/>
  <c r="C73" i="6" s="1"/>
  <c r="E277" i="2" s="1"/>
  <c r="C77" i="8" l="1"/>
  <c r="E255" i="2" s="1"/>
  <c r="C26" i="8"/>
  <c r="E95" i="2" s="1"/>
  <c r="C19" i="8"/>
  <c r="E57" i="2" s="1"/>
  <c r="C57" i="8"/>
  <c r="E209" i="2" s="1"/>
  <c r="C99" i="5"/>
  <c r="C86" i="8"/>
  <c r="E287" i="2" s="1"/>
  <c r="C120" i="8"/>
  <c r="E321" i="2" s="1"/>
  <c r="C10" i="8"/>
  <c r="E28" i="2" s="1"/>
  <c r="C155" i="8"/>
  <c r="E378" i="2" s="1"/>
  <c r="C187" i="8"/>
  <c r="E456" i="2" s="1"/>
  <c r="C47" i="8"/>
  <c r="E218" i="2" s="1"/>
  <c r="C67" i="8"/>
  <c r="E227" i="2" s="1"/>
  <c r="C211" i="8"/>
  <c r="E560" i="2" s="1"/>
  <c r="C197" i="8"/>
  <c r="E438" i="2" s="1"/>
  <c r="C13" i="8"/>
  <c r="E38" i="2" s="1"/>
  <c r="C125" i="8"/>
  <c r="E350" i="2" s="1"/>
  <c r="C7" i="8"/>
  <c r="E19" i="2" s="1"/>
  <c r="C133" i="8"/>
  <c r="E353" i="2" s="1"/>
  <c r="C210" i="8"/>
  <c r="E558" i="2" s="1"/>
  <c r="C60" i="8"/>
  <c r="E185" i="2" s="1"/>
  <c r="C3" i="8"/>
  <c r="C213" i="8"/>
  <c r="E567" i="2" s="1"/>
  <c r="C123" i="8"/>
  <c r="E331" i="2" s="1"/>
  <c r="C12" i="8"/>
  <c r="E68" i="2" s="1"/>
  <c r="C98" i="5"/>
  <c r="E306" i="2" s="1"/>
  <c r="C110" i="8"/>
  <c r="E346" i="2" s="1"/>
  <c r="C108" i="8"/>
  <c r="E300" i="2" s="1"/>
  <c r="J111" i="8"/>
  <c r="C81" i="8"/>
  <c r="E250" i="2" s="1"/>
  <c r="C184" i="8"/>
  <c r="E447" i="2" s="1"/>
  <c r="C41" i="8"/>
  <c r="E132" i="2" s="1"/>
  <c r="C134" i="8"/>
  <c r="E431" i="2" s="1"/>
  <c r="C39" i="8"/>
  <c r="E155" i="2" s="1"/>
  <c r="C6" i="8"/>
  <c r="E17" i="2" s="1"/>
  <c r="C160" i="8"/>
  <c r="E380" i="2" s="1"/>
  <c r="C56" i="8"/>
  <c r="E180" i="2" s="1"/>
  <c r="C97" i="8"/>
  <c r="E301" i="2" s="1"/>
  <c r="C20" i="8"/>
  <c r="E47" i="2" s="1"/>
  <c r="C71" i="8"/>
  <c r="E215" i="2" s="1"/>
  <c r="C182" i="8"/>
  <c r="E519" i="2" s="1"/>
  <c r="C129" i="8"/>
  <c r="E345" i="2" s="1"/>
  <c r="C40" i="8"/>
  <c r="E128" i="2" s="1"/>
  <c r="C99" i="8"/>
  <c r="E276" i="2" s="1"/>
  <c r="C159" i="8"/>
  <c r="E395" i="2" s="1"/>
  <c r="C75" i="8"/>
  <c r="E231" i="2" s="1"/>
  <c r="C212" i="8"/>
  <c r="E545" i="2" s="1"/>
  <c r="C64" i="8"/>
  <c r="E190" i="2" s="1"/>
  <c r="C104" i="8"/>
  <c r="E295" i="2" s="1"/>
  <c r="C163" i="8"/>
  <c r="E465" i="2" s="1"/>
  <c r="C136" i="8"/>
  <c r="E389" i="2" s="1"/>
  <c r="C80" i="8"/>
  <c r="E284" i="2" s="1"/>
  <c r="C116" i="8"/>
  <c r="E324" i="2" s="1"/>
  <c r="C181" i="8"/>
  <c r="E441" i="2" s="1"/>
  <c r="C84" i="8"/>
  <c r="E271" i="2" s="1"/>
  <c r="C68" i="8"/>
  <c r="E297" i="2" s="1"/>
  <c r="C206" i="8"/>
  <c r="E505" i="2" s="1"/>
  <c r="C113" i="8"/>
  <c r="E327" i="2" s="1"/>
  <c r="C59" i="8"/>
  <c r="E296" i="2" s="1"/>
  <c r="C39" i="4"/>
  <c r="C72" i="8"/>
  <c r="E285" i="2" s="1"/>
  <c r="C386" i="4"/>
  <c r="J88" i="8"/>
  <c r="C379" i="4"/>
  <c r="C31" i="4"/>
  <c r="C10" i="4"/>
  <c r="J34" i="8"/>
  <c r="C188" i="4"/>
  <c r="C69" i="4"/>
  <c r="C175" i="8"/>
  <c r="E418" i="2" s="1"/>
  <c r="C46" i="8"/>
  <c r="E156" i="2" s="1"/>
  <c r="C85" i="8"/>
  <c r="E257" i="2" s="1"/>
  <c r="J194" i="8"/>
  <c r="J196" i="8"/>
  <c r="C169" i="4"/>
  <c r="C118" i="8"/>
  <c r="E314" i="2" s="1"/>
  <c r="C132" i="4"/>
  <c r="C94" i="4"/>
  <c r="J42" i="8"/>
  <c r="C175" i="4"/>
  <c r="C275" i="4"/>
  <c r="J10" i="8"/>
  <c r="C187" i="4"/>
  <c r="C91" i="4"/>
  <c r="J92" i="8"/>
  <c r="C139" i="4"/>
  <c r="C100" i="8"/>
  <c r="E329" i="2" s="1"/>
  <c r="C37" i="4"/>
  <c r="C79" i="4"/>
  <c r="C219" i="4"/>
  <c r="C85" i="4"/>
  <c r="C218" i="4"/>
  <c r="C392" i="4"/>
  <c r="C153" i="4"/>
  <c r="C73" i="8"/>
  <c r="E226" i="2" s="1"/>
  <c r="J46" i="8"/>
  <c r="C8" i="8"/>
  <c r="E21" i="2" s="1"/>
  <c r="C193" i="8"/>
  <c r="E470" i="2" s="1"/>
  <c r="C58" i="8"/>
  <c r="E223" i="2" s="1"/>
  <c r="C107" i="8"/>
  <c r="E316" i="2" s="1"/>
  <c r="C50" i="8"/>
  <c r="E172" i="2" s="1"/>
  <c r="J12" i="8"/>
  <c r="J79" i="8"/>
  <c r="C118" i="4"/>
  <c r="C306" i="4"/>
  <c r="C13" i="4"/>
  <c r="C106" i="8"/>
  <c r="E291" i="2" s="1"/>
  <c r="C363" i="4"/>
  <c r="C45" i="8"/>
  <c r="E159" i="2" s="1"/>
  <c r="J100" i="8"/>
  <c r="C192" i="8"/>
  <c r="E525" i="2" s="1"/>
  <c r="C23" i="4"/>
  <c r="C28" i="4"/>
  <c r="C88" i="8"/>
  <c r="E274" i="2" s="1"/>
  <c r="C135" i="8"/>
  <c r="E360" i="2" s="1"/>
  <c r="C298" i="4"/>
  <c r="C259" i="4"/>
  <c r="C375" i="4"/>
  <c r="C22" i="8"/>
  <c r="E48" i="2" s="1"/>
  <c r="C97" i="4"/>
  <c r="C337" i="4"/>
  <c r="C64" i="4"/>
  <c r="C101" i="8"/>
  <c r="E318" i="2" s="1"/>
  <c r="C30" i="8"/>
  <c r="E104" i="2" s="1"/>
  <c r="C54" i="8"/>
  <c r="E214" i="2" s="1"/>
  <c r="C94" i="8"/>
  <c r="E264" i="2" s="1"/>
  <c r="C93" i="8"/>
  <c r="E278" i="2" s="1"/>
  <c r="C121" i="8"/>
  <c r="E406" i="2" s="1"/>
  <c r="C148" i="8"/>
  <c r="E453" i="2" s="1"/>
  <c r="J87" i="8"/>
  <c r="J28" i="8"/>
  <c r="C198" i="8"/>
  <c r="E492" i="2" s="1"/>
  <c r="C128" i="8"/>
  <c r="E374" i="2" s="1"/>
  <c r="C137" i="8"/>
  <c r="E361" i="2" s="1"/>
  <c r="C76" i="8"/>
  <c r="E219" i="2" s="1"/>
  <c r="C153" i="8"/>
  <c r="E429" i="2" s="1"/>
  <c r="C146" i="4"/>
  <c r="C78" i="4"/>
  <c r="C151" i="4"/>
  <c r="C237" i="4"/>
  <c r="C183" i="8"/>
  <c r="E508" i="2" s="1"/>
  <c r="C261" i="4"/>
  <c r="C291" i="4"/>
  <c r="C232" i="4"/>
  <c r="C132" i="8"/>
  <c r="E408" i="2" s="1"/>
  <c r="J47" i="8"/>
  <c r="C133" i="4"/>
  <c r="J189" i="8"/>
  <c r="C388" i="4"/>
  <c r="C170" i="4"/>
  <c r="C256" i="4"/>
  <c r="J94" i="8"/>
  <c r="C320" i="4"/>
  <c r="J33" i="8"/>
  <c r="C341" i="4"/>
  <c r="C253" i="4"/>
  <c r="C151" i="8"/>
  <c r="E493" i="2" s="1"/>
  <c r="C303" i="4"/>
  <c r="C301" i="4"/>
  <c r="C106" i="4"/>
  <c r="C165" i="4"/>
  <c r="C141" i="8"/>
  <c r="E356" i="2" s="1"/>
  <c r="C17" i="8"/>
  <c r="E74" i="2" s="1"/>
  <c r="C44" i="8"/>
  <c r="E154" i="2" s="1"/>
  <c r="C171" i="8"/>
  <c r="E430" i="2" s="1"/>
  <c r="J110" i="8"/>
  <c r="C51" i="8"/>
  <c r="E166" i="2" s="1"/>
  <c r="C179" i="8"/>
  <c r="E498" i="2" s="1"/>
  <c r="C149" i="8"/>
  <c r="E364" i="2" s="1"/>
  <c r="C195" i="8"/>
  <c r="E526" i="2" s="1"/>
  <c r="C53" i="8"/>
  <c r="E176" i="2" s="1"/>
  <c r="C131" i="8"/>
  <c r="E437" i="2" s="1"/>
  <c r="C330" i="4"/>
  <c r="J145" i="8"/>
  <c r="C350" i="4"/>
  <c r="C247" i="4"/>
  <c r="C4" i="8"/>
  <c r="E12" i="2" s="1"/>
  <c r="C117" i="8"/>
  <c r="E312" i="2" s="1"/>
  <c r="C273" i="4"/>
  <c r="C160" i="4"/>
  <c r="C121" i="4"/>
  <c r="J116" i="8"/>
  <c r="C27" i="4"/>
  <c r="J63" i="8"/>
  <c r="C123" i="4"/>
  <c r="C391" i="4"/>
  <c r="C262" i="4"/>
  <c r="C49" i="4"/>
  <c r="C158" i="4"/>
  <c r="C199" i="8"/>
  <c r="E485" i="2" s="1"/>
  <c r="C127" i="8"/>
  <c r="E334" i="2" s="1"/>
  <c r="C112" i="8"/>
  <c r="E320" i="2" s="1"/>
  <c r="C174" i="8"/>
  <c r="E393" i="2" s="1"/>
  <c r="C114" i="8"/>
  <c r="E359" i="2" s="1"/>
  <c r="C83" i="8"/>
  <c r="E299" i="2" s="1"/>
  <c r="C35" i="8"/>
  <c r="E148" i="2" s="1"/>
  <c r="C31" i="8"/>
  <c r="E105" i="2" s="1"/>
  <c r="C43" i="8"/>
  <c r="E142" i="2" s="1"/>
  <c r="C34" i="8"/>
  <c r="E122" i="2" s="1"/>
  <c r="C189" i="8"/>
  <c r="E457" i="2" s="1"/>
  <c r="C194" i="8"/>
  <c r="E489" i="2" s="1"/>
  <c r="C130" i="8"/>
  <c r="E333" i="2" s="1"/>
  <c r="C87" i="8"/>
  <c r="E266" i="2" s="1"/>
  <c r="C140" i="8"/>
  <c r="E396" i="2" s="1"/>
  <c r="C105" i="8"/>
  <c r="E348" i="2" s="1"/>
  <c r="C145" i="8"/>
  <c r="E373" i="2" s="1"/>
  <c r="C200" i="8"/>
  <c r="E458" i="2" s="1"/>
  <c r="J45" i="8"/>
  <c r="C98" i="8"/>
  <c r="E435" i="2" s="1"/>
  <c r="C55" i="8"/>
  <c r="E232" i="2" s="1"/>
  <c r="C86" i="4"/>
  <c r="C177" i="4"/>
  <c r="C340" i="4"/>
  <c r="C129" i="4"/>
  <c r="C93" i="4"/>
  <c r="C176" i="8"/>
  <c r="E421" i="2" s="1"/>
  <c r="C329" i="4"/>
  <c r="C351" i="4"/>
  <c r="C215" i="4"/>
  <c r="C349" i="4"/>
  <c r="C288" i="4"/>
  <c r="C45" i="4"/>
  <c r="C51" i="4"/>
  <c r="C345" i="4"/>
  <c r="C11" i="8"/>
  <c r="E34" i="2" s="1"/>
  <c r="C169" i="8"/>
  <c r="E490" i="2" s="1"/>
  <c r="C190" i="8"/>
  <c r="E510" i="2" s="1"/>
  <c r="C82" i="8"/>
  <c r="E248" i="2" s="1"/>
  <c r="C62" i="8"/>
  <c r="E183" i="2" s="1"/>
  <c r="J20" i="8"/>
  <c r="C382" i="4"/>
  <c r="C158" i="8"/>
  <c r="E466" i="2" s="1"/>
  <c r="C344" i="4"/>
  <c r="C378" i="4"/>
  <c r="C173" i="4"/>
  <c r="C252" i="4"/>
  <c r="C145" i="4"/>
  <c r="C37" i="8"/>
  <c r="E144" i="2" s="1"/>
  <c r="C140" i="4"/>
  <c r="C203" i="8"/>
  <c r="E550" i="2" s="1"/>
  <c r="C339" i="4"/>
  <c r="C61" i="8"/>
  <c r="E216" i="2" s="1"/>
  <c r="J54" i="8"/>
  <c r="C141" i="4"/>
  <c r="C297" i="4"/>
  <c r="C5" i="8"/>
  <c r="E16" i="2" s="1"/>
  <c r="C173" i="8"/>
  <c r="E504" i="2" s="1"/>
  <c r="C63" i="8"/>
  <c r="E186" i="2" s="1"/>
  <c r="C95" i="8"/>
  <c r="E263" i="2" s="1"/>
  <c r="C42" i="8"/>
  <c r="E158" i="2" s="1"/>
  <c r="J13" i="8"/>
  <c r="C296" i="4"/>
  <c r="C283" i="4"/>
  <c r="C83" i="4"/>
  <c r="C138" i="8"/>
  <c r="E351" i="2" s="1"/>
  <c r="C249" i="4"/>
  <c r="C144" i="8"/>
  <c r="E402" i="2" s="1"/>
  <c r="C194" i="4"/>
  <c r="C65" i="8"/>
  <c r="E188" i="2" s="1"/>
  <c r="C204" i="4"/>
  <c r="C274" i="4"/>
  <c r="C188" i="8"/>
  <c r="E476" i="2" s="1"/>
  <c r="C135" i="4"/>
  <c r="C154" i="8"/>
  <c r="E425" i="2" s="1"/>
  <c r="C244" i="4"/>
  <c r="C36" i="4"/>
  <c r="C142" i="8"/>
  <c r="E355" i="2" s="1"/>
  <c r="C217" i="4"/>
  <c r="C191" i="8"/>
  <c r="E547" i="2" s="1"/>
  <c r="C167" i="8"/>
  <c r="E434" i="2" s="1"/>
  <c r="C14" i="8"/>
  <c r="E42" i="2" s="1"/>
  <c r="J169" i="8"/>
  <c r="J21" i="8"/>
  <c r="C80" i="4"/>
  <c r="C208" i="8"/>
  <c r="E484" i="2" s="1"/>
  <c r="C235" i="4"/>
  <c r="C239" i="4"/>
  <c r="J147" i="8"/>
  <c r="C183" i="4"/>
  <c r="C78" i="8"/>
  <c r="E261" i="2" s="1"/>
  <c r="C238" i="4"/>
  <c r="C161" i="8"/>
  <c r="E419" i="2" s="1"/>
  <c r="C166" i="8"/>
  <c r="E409" i="2" s="1"/>
  <c r="C95" i="4"/>
  <c r="C316" i="4"/>
  <c r="C368" i="4"/>
  <c r="C47" i="4"/>
  <c r="C24" i="8"/>
  <c r="E87" i="2" s="1"/>
  <c r="C38" i="8"/>
  <c r="E157" i="2" s="1"/>
  <c r="C102" i="8"/>
  <c r="E288" i="2" s="1"/>
  <c r="C172" i="8"/>
  <c r="E516" i="2" s="1"/>
  <c r="J195" i="8"/>
  <c r="J66" i="8"/>
  <c r="C250" i="4"/>
  <c r="C49" i="8"/>
  <c r="E195" i="2" s="1"/>
  <c r="C24" i="4"/>
  <c r="C125" i="4"/>
  <c r="C358" i="4"/>
  <c r="C23" i="8"/>
  <c r="E84" i="2" s="1"/>
  <c r="C310" i="4"/>
  <c r="C96" i="8"/>
  <c r="E382" i="2" s="1"/>
  <c r="C29" i="8"/>
  <c r="E125" i="2" s="1"/>
  <c r="C89" i="8"/>
  <c r="E247" i="2" s="1"/>
  <c r="C377" i="4"/>
  <c r="C193" i="4"/>
  <c r="C309" i="4"/>
  <c r="C390" i="4"/>
  <c r="C124" i="8"/>
  <c r="E336" i="2" s="1"/>
  <c r="C63" i="4"/>
  <c r="C111" i="8"/>
  <c r="E303" i="2" s="1"/>
  <c r="J191" i="8"/>
  <c r="J138" i="8"/>
  <c r="H9" i="9"/>
  <c r="H37" i="9"/>
  <c r="H18" i="9"/>
  <c r="H61" i="9"/>
  <c r="H57" i="9"/>
  <c r="H53" i="9"/>
  <c r="H3" i="9"/>
  <c r="J95" i="8"/>
  <c r="J38" i="8"/>
  <c r="J96" i="8"/>
  <c r="J140" i="8"/>
  <c r="H11" i="9"/>
  <c r="J97" i="8"/>
  <c r="H5" i="9"/>
  <c r="H29" i="9"/>
  <c r="H23" i="9"/>
  <c r="H56" i="9"/>
  <c r="E50" i="9"/>
  <c r="J527" i="2"/>
  <c r="H43" i="9"/>
  <c r="H28" i="9"/>
  <c r="J650" i="2"/>
  <c r="E63" i="9"/>
  <c r="E49" i="9"/>
  <c r="J524" i="2"/>
  <c r="H46" i="9"/>
  <c r="H51" i="9"/>
  <c r="H8" i="9"/>
  <c r="J44" i="9" s="1"/>
  <c r="H12" i="9"/>
  <c r="H55" i="9"/>
  <c r="H39" i="9"/>
  <c r="H16" i="9"/>
  <c r="H25" i="9"/>
  <c r="H45" i="9"/>
  <c r="H21" i="9"/>
  <c r="H10" i="9"/>
  <c r="H31" i="9"/>
  <c r="H20" i="9"/>
  <c r="J251" i="2"/>
  <c r="E32" i="9"/>
  <c r="H36" i="9"/>
  <c r="H34" i="9"/>
  <c r="H24" i="9"/>
  <c r="H19" i="9"/>
  <c r="H65" i="9"/>
  <c r="H35" i="9"/>
  <c r="J655" i="2"/>
  <c r="E65" i="9"/>
  <c r="E53" i="9"/>
  <c r="J546" i="2"/>
  <c r="E54" i="9"/>
  <c r="J570" i="2"/>
  <c r="H48" i="9"/>
  <c r="H38" i="9"/>
  <c r="H22" i="9"/>
  <c r="E10" i="9"/>
  <c r="J69" i="2"/>
  <c r="E22" i="9"/>
  <c r="J167" i="2"/>
  <c r="H7" i="9"/>
  <c r="H52" i="9"/>
  <c r="H59" i="9"/>
  <c r="H42" i="9"/>
  <c r="H47" i="9"/>
  <c r="H30" i="9"/>
  <c r="J176" i="8"/>
  <c r="J123" i="8"/>
  <c r="J135" i="8"/>
  <c r="J211" i="8"/>
  <c r="J51" i="8"/>
  <c r="J105" i="8"/>
  <c r="J167" i="8"/>
  <c r="J112" i="8"/>
  <c r="J72" i="8"/>
  <c r="J83" i="8"/>
  <c r="J144" i="8"/>
  <c r="J107" i="8"/>
  <c r="H60" i="9"/>
  <c r="J168" i="8"/>
  <c r="J192" i="8"/>
  <c r="J200" i="8"/>
  <c r="J93" i="8"/>
  <c r="J166" i="8"/>
  <c r="H14" i="9"/>
  <c r="E4" i="9"/>
  <c r="J23" i="2"/>
  <c r="E48" i="9"/>
  <c r="J500" i="2"/>
  <c r="E24" i="9"/>
  <c r="J192" i="2"/>
  <c r="E56" i="9"/>
  <c r="J580" i="2"/>
  <c r="E45" i="9"/>
  <c r="J477" i="2"/>
  <c r="E29" i="9"/>
  <c r="J228" i="2"/>
  <c r="E21" i="9"/>
  <c r="J165" i="2"/>
  <c r="J65" i="8"/>
  <c r="E17" i="9"/>
  <c r="J149" i="2"/>
  <c r="E23" i="9"/>
  <c r="J177" i="2"/>
  <c r="J475" i="2"/>
  <c r="E44" i="9"/>
  <c r="J208" i="8"/>
  <c r="J130" i="8"/>
  <c r="J102" i="8"/>
  <c r="J31" i="8"/>
  <c r="J17" i="8"/>
  <c r="H54" i="9"/>
  <c r="H64" i="9"/>
  <c r="J179" i="8"/>
  <c r="J69" i="8"/>
  <c r="H62" i="9"/>
  <c r="J113" i="8"/>
  <c r="J177" i="8"/>
  <c r="J161" i="8"/>
  <c r="J56" i="8"/>
  <c r="J114" i="8"/>
  <c r="J125" i="8"/>
  <c r="J41" i="8"/>
  <c r="J139" i="8"/>
  <c r="H13" i="9"/>
  <c r="J174" i="8"/>
  <c r="J199" i="8"/>
  <c r="H32" i="9"/>
  <c r="J98" i="8"/>
  <c r="E31" i="9"/>
  <c r="J238" i="2"/>
  <c r="E20" i="9"/>
  <c r="J160" i="2"/>
  <c r="J455" i="2"/>
  <c r="E43" i="9"/>
  <c r="E28" i="9"/>
  <c r="J225" i="2"/>
  <c r="J583" i="2"/>
  <c r="E57" i="9"/>
  <c r="E12" i="9"/>
  <c r="J72" i="2"/>
  <c r="J651" i="2"/>
  <c r="E64" i="9"/>
  <c r="E38" i="9"/>
  <c r="J369" i="2"/>
  <c r="J531" i="2"/>
  <c r="E51" i="9"/>
  <c r="J74" i="8"/>
  <c r="J6" i="8"/>
  <c r="J104" i="8"/>
  <c r="J209" i="8"/>
  <c r="H4" i="9"/>
  <c r="J40" i="8"/>
  <c r="J165" i="8"/>
  <c r="J158" i="8"/>
  <c r="J148" i="8"/>
  <c r="J57" i="8"/>
  <c r="J22" i="8"/>
  <c r="J119" i="8"/>
  <c r="J37" i="8"/>
  <c r="J76" i="8"/>
  <c r="J159" i="8"/>
  <c r="H41" i="9"/>
  <c r="J109" i="8"/>
  <c r="J212" i="8"/>
  <c r="J81" i="8"/>
  <c r="J160" i="8"/>
  <c r="J146" i="8"/>
  <c r="E14" i="9"/>
  <c r="J103" i="2"/>
  <c r="J372" i="2"/>
  <c r="E39" i="9"/>
  <c r="E46" i="9"/>
  <c r="J481" i="2"/>
  <c r="J178" i="8"/>
  <c r="J136" i="8"/>
  <c r="H58" i="9"/>
  <c r="J154" i="8"/>
  <c r="H63" i="9"/>
  <c r="J203" i="8"/>
  <c r="H15" i="9"/>
  <c r="J77" i="8"/>
  <c r="J85" i="8"/>
  <c r="J117" i="8"/>
  <c r="J11" i="8"/>
  <c r="J52" i="8"/>
  <c r="J131" i="8"/>
  <c r="H40" i="9"/>
  <c r="J162" i="8"/>
  <c r="H49" i="9"/>
  <c r="E61" i="9"/>
  <c r="J635" i="2"/>
  <c r="E60" i="9"/>
  <c r="J630" i="2"/>
  <c r="E3" i="9"/>
  <c r="F25" i="3"/>
  <c r="F28" i="3" s="1"/>
  <c r="U25" i="3" s="1"/>
  <c r="AE2" i="3" s="1"/>
  <c r="J22" i="2"/>
  <c r="J89" i="2"/>
  <c r="E13" i="9"/>
  <c r="E62" i="9"/>
  <c r="J648" i="2"/>
  <c r="J61" i="8"/>
  <c r="J120" i="8"/>
  <c r="J171" i="8"/>
  <c r="J129" i="8"/>
  <c r="J32" i="8"/>
  <c r="J99" i="8"/>
  <c r="J106" i="8"/>
  <c r="J64" i="8"/>
  <c r="J4" i="8"/>
  <c r="H17" i="9"/>
  <c r="J151" i="8"/>
  <c r="J80" i="8"/>
  <c r="J204" i="8"/>
  <c r="H27" i="9"/>
  <c r="J39" i="8"/>
  <c r="J205" i="8"/>
  <c r="J197" i="8"/>
  <c r="E19" i="9"/>
  <c r="J153" i="2"/>
  <c r="J591" i="2"/>
  <c r="E59" i="9"/>
  <c r="E30" i="9"/>
  <c r="J234" i="2"/>
  <c r="E52" i="9"/>
  <c r="J533" i="2"/>
  <c r="E25" i="9"/>
  <c r="J199" i="2"/>
  <c r="J48" i="8"/>
  <c r="H50" i="9"/>
  <c r="J186" i="8"/>
  <c r="J9" i="8"/>
  <c r="J75" i="8"/>
  <c r="J193" i="8"/>
  <c r="J153" i="8"/>
  <c r="J141" i="8"/>
  <c r="H6" i="9"/>
  <c r="J15" i="8"/>
  <c r="J126" i="8"/>
  <c r="H33" i="9"/>
  <c r="H44" i="9"/>
  <c r="J24" i="8"/>
  <c r="E7" i="9"/>
  <c r="J51" i="2"/>
  <c r="E42" i="9"/>
  <c r="J450" i="2"/>
  <c r="J121" i="2"/>
  <c r="E16" i="9"/>
  <c r="E27" i="9"/>
  <c r="J222" i="2"/>
  <c r="J279" i="2"/>
  <c r="E33" i="9"/>
  <c r="E8" i="9"/>
  <c r="J64" i="2"/>
  <c r="E11" i="9"/>
  <c r="J71" i="2"/>
  <c r="E15" i="9"/>
  <c r="J112" i="2"/>
  <c r="J149" i="8"/>
  <c r="J118" i="8"/>
  <c r="H26" i="9"/>
  <c r="C9" i="8"/>
  <c r="E26" i="2" s="1"/>
  <c r="J132" i="8"/>
  <c r="J23" i="8"/>
  <c r="J89" i="8"/>
  <c r="J202" i="8"/>
  <c r="J43" i="8"/>
  <c r="J170" i="8"/>
  <c r="J151" i="2"/>
  <c r="E18" i="9"/>
  <c r="E36" i="9"/>
  <c r="J313" i="2"/>
  <c r="E5" i="9"/>
  <c r="J24" i="2"/>
  <c r="J67" i="2"/>
  <c r="E9" i="9"/>
  <c r="J337" i="2"/>
  <c r="E37" i="9"/>
  <c r="J102" i="7"/>
  <c r="F102" i="7" s="1"/>
  <c r="K454" i="2" s="1"/>
  <c r="J50" i="7"/>
  <c r="F50" i="7" s="1"/>
  <c r="K171" i="2" s="1"/>
  <c r="J38" i="7"/>
  <c r="J181" i="5"/>
  <c r="J48" i="7"/>
  <c r="J38" i="4"/>
  <c r="J89" i="6"/>
  <c r="F89" i="6" s="1"/>
  <c r="J92" i="7"/>
  <c r="J73" i="7"/>
  <c r="J73" i="6"/>
  <c r="J131" i="4"/>
  <c r="J37" i="7"/>
  <c r="J124" i="4"/>
  <c r="J10" i="7"/>
  <c r="J106" i="7"/>
  <c r="J64" i="6"/>
  <c r="F64" i="6" s="1"/>
  <c r="K281" i="2" s="1"/>
  <c r="L281" i="2" s="1"/>
  <c r="J11" i="5"/>
  <c r="J109" i="7"/>
  <c r="J53" i="6"/>
  <c r="J12" i="4"/>
  <c r="J200" i="4"/>
  <c r="J5" i="5"/>
  <c r="J25" i="7"/>
  <c r="J64" i="5"/>
  <c r="J66" i="4"/>
  <c r="J40" i="7"/>
  <c r="F40" i="7" s="1"/>
  <c r="K126" i="2" s="1"/>
  <c r="J114" i="5"/>
  <c r="J90" i="7"/>
  <c r="J77" i="6"/>
  <c r="J140" i="5"/>
  <c r="F140" i="5" s="1"/>
  <c r="K617" i="2" s="1"/>
  <c r="J57" i="7"/>
  <c r="J18" i="6"/>
  <c r="F18" i="6" s="1"/>
  <c r="K56" i="2" s="1"/>
  <c r="J120" i="7"/>
  <c r="J108" i="5"/>
  <c r="F105" i="7"/>
  <c r="K482" i="2" s="1"/>
  <c r="J241" i="4"/>
  <c r="J289" i="4"/>
  <c r="J15" i="7"/>
  <c r="J118" i="5"/>
  <c r="J10" i="5"/>
  <c r="J98" i="7"/>
  <c r="F98" i="7" s="1"/>
  <c r="K433" i="2" s="1"/>
  <c r="J91" i="4"/>
  <c r="F91" i="4" s="1"/>
  <c r="J3" i="6"/>
  <c r="F3" i="6" s="1"/>
  <c r="K11" i="2" s="1"/>
  <c r="J130" i="7"/>
  <c r="J123" i="5"/>
  <c r="J37" i="5"/>
  <c r="J137" i="4"/>
  <c r="J152" i="6"/>
  <c r="J61" i="5"/>
  <c r="J109" i="5"/>
  <c r="J154" i="5"/>
  <c r="J17" i="6"/>
  <c r="J95" i="7"/>
  <c r="J69" i="4"/>
  <c r="J129" i="5"/>
  <c r="J45" i="4"/>
  <c r="J27" i="6"/>
  <c r="J124" i="6"/>
  <c r="F124" i="6" s="1"/>
  <c r="K559" i="2" s="1"/>
  <c r="J381" i="4"/>
  <c r="J22" i="5"/>
  <c r="J330" i="4"/>
  <c r="J135" i="6"/>
  <c r="J217" i="4"/>
  <c r="J71" i="4"/>
  <c r="J155" i="4"/>
  <c r="J83" i="6"/>
  <c r="J353" i="4"/>
  <c r="J50" i="4"/>
  <c r="J13" i="6"/>
  <c r="J135" i="7"/>
  <c r="F135" i="7" s="1"/>
  <c r="K610" i="2" s="1"/>
  <c r="J99" i="7"/>
  <c r="J183" i="4"/>
  <c r="J236" i="4"/>
  <c r="J253" i="4"/>
  <c r="J80" i="7"/>
  <c r="J303" i="4"/>
  <c r="J356" i="4"/>
  <c r="J41" i="6"/>
  <c r="F41" i="6" s="1"/>
  <c r="K174" i="2" s="1"/>
  <c r="J113" i="6"/>
  <c r="F113" i="6" s="1"/>
  <c r="K469" i="2" s="1"/>
  <c r="J54" i="7"/>
  <c r="J14" i="7"/>
  <c r="J140" i="4"/>
  <c r="J97" i="4"/>
  <c r="J209" i="4"/>
  <c r="J388" i="4"/>
  <c r="J82" i="4"/>
  <c r="J86" i="6"/>
  <c r="F86" i="6" s="1"/>
  <c r="K398" i="2" s="1"/>
  <c r="J102" i="5"/>
  <c r="J79" i="4"/>
  <c r="J7" i="6"/>
  <c r="F7" i="6" s="1"/>
  <c r="K18" i="2" s="1"/>
  <c r="L18" i="2" s="1"/>
  <c r="J29" i="6"/>
  <c r="J8" i="6"/>
  <c r="J154" i="4"/>
  <c r="J172" i="4"/>
  <c r="J48" i="5"/>
  <c r="J312" i="4"/>
  <c r="J146" i="4"/>
  <c r="J155" i="5"/>
  <c r="J250" i="4"/>
  <c r="J387" i="4"/>
  <c r="J370" i="4"/>
  <c r="J63" i="7"/>
  <c r="F63" i="7" s="1"/>
  <c r="K230" i="2" s="1"/>
  <c r="J343" i="4"/>
  <c r="J25" i="4"/>
  <c r="J34" i="7"/>
  <c r="F34" i="7" s="1"/>
  <c r="K163" i="2" s="1"/>
  <c r="J280" i="4"/>
  <c r="F280" i="4" s="1"/>
  <c r="J267" i="4"/>
  <c r="F267" i="4" s="1"/>
  <c r="J78" i="6"/>
  <c r="F78" i="6" s="1"/>
  <c r="K294" i="2" s="1"/>
  <c r="J10" i="6"/>
  <c r="J364" i="4"/>
  <c r="J90" i="5"/>
  <c r="J168" i="4"/>
  <c r="J146" i="6"/>
  <c r="F146" i="6" s="1"/>
  <c r="K639" i="2" s="1"/>
  <c r="J243" i="4"/>
  <c r="J354" i="4"/>
  <c r="J12" i="6"/>
  <c r="F12" i="6" s="1"/>
  <c r="J111" i="5"/>
  <c r="F111" i="5" s="1"/>
  <c r="J91" i="7"/>
  <c r="J26" i="7"/>
  <c r="J27" i="5"/>
  <c r="F27" i="5" s="1"/>
  <c r="J4" i="7"/>
  <c r="F4" i="7" s="1"/>
  <c r="K6" i="2" s="1"/>
  <c r="J176" i="4"/>
  <c r="J88" i="7"/>
  <c r="J18" i="7"/>
  <c r="J81" i="4"/>
  <c r="J116" i="4"/>
  <c r="F116" i="4" s="1"/>
  <c r="J26" i="4"/>
  <c r="J7" i="5"/>
  <c r="J122" i="6"/>
  <c r="F122" i="6" s="1"/>
  <c r="J84" i="5"/>
  <c r="J44" i="4"/>
  <c r="J314" i="4"/>
  <c r="J272" i="4"/>
  <c r="J171" i="4"/>
  <c r="J131" i="6"/>
  <c r="F131" i="6" s="1"/>
  <c r="J212" i="4"/>
  <c r="J210" i="4"/>
  <c r="J183" i="5"/>
  <c r="J31" i="6"/>
  <c r="F31" i="6" s="1"/>
  <c r="K130" i="2" s="1"/>
  <c r="J37" i="6"/>
  <c r="J151" i="6"/>
  <c r="J11" i="4"/>
  <c r="J70" i="5"/>
  <c r="J89" i="7"/>
  <c r="J102" i="4"/>
  <c r="J21" i="6"/>
  <c r="F21" i="6" s="1"/>
  <c r="K59" i="2" s="1"/>
  <c r="J105" i="4"/>
  <c r="F105" i="4" s="1"/>
  <c r="J227" i="4"/>
  <c r="J92" i="5"/>
  <c r="J82" i="6"/>
  <c r="J232" i="4"/>
  <c r="J14" i="4"/>
  <c r="J113" i="7"/>
  <c r="J263" i="4"/>
  <c r="J63" i="5"/>
  <c r="J104" i="4"/>
  <c r="J119" i="6"/>
  <c r="J163" i="5"/>
  <c r="J6" i="6"/>
  <c r="F6" i="6" s="1"/>
  <c r="K15" i="2" s="1"/>
  <c r="J150" i="4"/>
  <c r="J57" i="4"/>
  <c r="J70" i="7"/>
  <c r="J235" i="4"/>
  <c r="J43" i="6"/>
  <c r="F43" i="6" s="1"/>
  <c r="K146" i="2" s="1"/>
  <c r="J177" i="4"/>
  <c r="J310" i="4"/>
  <c r="J320" i="4"/>
  <c r="J13" i="4"/>
  <c r="J184" i="5"/>
  <c r="J86" i="5"/>
  <c r="J23" i="5"/>
  <c r="J171" i="5"/>
  <c r="J230" i="4"/>
  <c r="J168" i="5"/>
  <c r="J58" i="5"/>
  <c r="J377" i="4"/>
  <c r="J87" i="7"/>
  <c r="J28" i="5"/>
  <c r="J128" i="7"/>
  <c r="J77" i="5"/>
  <c r="J193" i="4"/>
  <c r="J94" i="6"/>
  <c r="J375" i="4"/>
  <c r="J120" i="4"/>
  <c r="J204" i="4"/>
  <c r="J51" i="4"/>
  <c r="J158" i="4"/>
  <c r="J42" i="5"/>
  <c r="J153" i="4"/>
  <c r="F70" i="5"/>
  <c r="J67" i="6"/>
  <c r="F67" i="6" s="1"/>
  <c r="K265" i="2" s="1"/>
  <c r="J173" i="5"/>
  <c r="J373" i="4"/>
  <c r="J17" i="5"/>
  <c r="F17" i="5" s="1"/>
  <c r="J151" i="4"/>
  <c r="J189" i="5"/>
  <c r="F189" i="5" s="1"/>
  <c r="K623" i="2" s="1"/>
  <c r="J188" i="5"/>
  <c r="F188" i="5" s="1"/>
  <c r="K601" i="2" s="1"/>
  <c r="J9" i="5"/>
  <c r="F9" i="5" s="1"/>
  <c r="J62" i="5"/>
  <c r="F62" i="5" s="1"/>
  <c r="K179" i="2" s="1"/>
  <c r="J260" i="4"/>
  <c r="J266" i="4"/>
  <c r="J198" i="4"/>
  <c r="J24" i="4"/>
  <c r="J132" i="4"/>
  <c r="F132" i="4" s="1"/>
  <c r="J180" i="4"/>
  <c r="J294" i="4"/>
  <c r="J110" i="6"/>
  <c r="J304" i="4"/>
  <c r="J51" i="5"/>
  <c r="J54" i="6"/>
  <c r="J72" i="4"/>
  <c r="J65" i="5"/>
  <c r="F65" i="5" s="1"/>
  <c r="K178" i="2" s="1"/>
  <c r="J60" i="7"/>
  <c r="F60" i="7" s="1"/>
  <c r="K237" i="2" s="1"/>
  <c r="J11" i="7"/>
  <c r="F11" i="7" s="1"/>
  <c r="K37" i="2" s="1"/>
  <c r="J75" i="7"/>
  <c r="J286" i="4"/>
  <c r="J69" i="5"/>
  <c r="J302" i="4"/>
  <c r="J192" i="4"/>
  <c r="J147" i="4"/>
  <c r="J161" i="4"/>
  <c r="J4" i="4"/>
  <c r="J251" i="4"/>
  <c r="J357" i="4"/>
  <c r="F357" i="4" s="1"/>
  <c r="J119" i="7"/>
  <c r="J362" i="4"/>
  <c r="J7" i="7"/>
  <c r="J389" i="4"/>
  <c r="J182" i="5"/>
  <c r="F182" i="5" s="1"/>
  <c r="K644" i="2" s="1"/>
  <c r="J177" i="5"/>
  <c r="F177" i="5" s="1"/>
  <c r="K616" i="2" s="1"/>
  <c r="J152" i="5"/>
  <c r="F152" i="5" s="1"/>
  <c r="K515" i="2" s="1"/>
  <c r="J110" i="4"/>
  <c r="J23" i="7"/>
  <c r="J16" i="4"/>
  <c r="J81" i="6"/>
  <c r="J305" i="4"/>
  <c r="J19" i="6"/>
  <c r="F19" i="6" s="1"/>
  <c r="J152" i="4"/>
  <c r="J246" i="4"/>
  <c r="J22" i="4"/>
  <c r="F22" i="4" s="1"/>
  <c r="J6" i="4"/>
  <c r="J127" i="5"/>
  <c r="J78" i="4"/>
  <c r="J285" i="4"/>
  <c r="J321" i="4"/>
  <c r="J306" i="4"/>
  <c r="J111" i="6"/>
  <c r="F111" i="6" s="1"/>
  <c r="J68" i="4"/>
  <c r="J105" i="7"/>
  <c r="J100" i="7"/>
  <c r="F100" i="7" s="1"/>
  <c r="K436" i="2" s="1"/>
  <c r="J117" i="4"/>
  <c r="J130" i="6"/>
  <c r="F130" i="6" s="1"/>
  <c r="K553" i="2" s="1"/>
  <c r="J222" i="4"/>
  <c r="J55" i="7"/>
  <c r="F55" i="7" s="1"/>
  <c r="K182" i="2" s="1"/>
  <c r="L182" i="2" s="1"/>
  <c r="J382" i="4"/>
  <c r="J268" i="4"/>
  <c r="F128" i="7"/>
  <c r="K602" i="2" s="1"/>
  <c r="J324" i="4"/>
  <c r="J108" i="4"/>
  <c r="J106" i="5"/>
  <c r="J287" i="4"/>
  <c r="J239" i="4"/>
  <c r="J112" i="6"/>
  <c r="J143" i="5"/>
  <c r="J31" i="5"/>
  <c r="F31" i="5" s="1"/>
  <c r="K82" i="2" s="1"/>
  <c r="F15" i="7"/>
  <c r="K39" i="2" s="1"/>
  <c r="J175" i="4"/>
  <c r="J50" i="5"/>
  <c r="F50" i="5" s="1"/>
  <c r="K137" i="2" s="1"/>
  <c r="J99" i="4"/>
  <c r="J141" i="6"/>
  <c r="J52" i="6"/>
  <c r="J8" i="7"/>
  <c r="J136" i="5"/>
  <c r="J74" i="5"/>
  <c r="F74" i="5" s="1"/>
  <c r="K269" i="2" s="1"/>
  <c r="J386" i="4"/>
  <c r="J346" i="4"/>
  <c r="J160" i="4"/>
  <c r="F143" i="5"/>
  <c r="K544" i="2" s="1"/>
  <c r="J207" i="4"/>
  <c r="J166" i="4"/>
  <c r="J45" i="5"/>
  <c r="F45" i="5" s="1"/>
  <c r="K124" i="2" s="1"/>
  <c r="J43" i="7"/>
  <c r="J31" i="4"/>
  <c r="J91" i="6"/>
  <c r="J32" i="5"/>
  <c r="F32" i="5" s="1"/>
  <c r="F7" i="7"/>
  <c r="K10" i="2" s="1"/>
  <c r="J38" i="6"/>
  <c r="F38" i="6" s="1"/>
  <c r="K113" i="2" s="1"/>
  <c r="J329" i="4"/>
  <c r="J215" i="4"/>
  <c r="J10" i="4"/>
  <c r="J21" i="5"/>
  <c r="F21" i="5" s="1"/>
  <c r="K75" i="2" s="1"/>
  <c r="J249" i="4"/>
  <c r="J174" i="4"/>
  <c r="J99" i="6"/>
  <c r="J301" i="4"/>
  <c r="J335" i="4"/>
  <c r="F335" i="4" s="1"/>
  <c r="J46" i="7"/>
  <c r="F46" i="7" s="1"/>
  <c r="K140" i="2" s="1"/>
  <c r="J42" i="4"/>
  <c r="J106" i="4"/>
  <c r="J138" i="6"/>
  <c r="F138" i="6" s="1"/>
  <c r="K576" i="2" s="1"/>
  <c r="J148" i="6"/>
  <c r="F148" i="6" s="1"/>
  <c r="K660" i="2" s="1"/>
  <c r="J88" i="6"/>
  <c r="J76" i="5"/>
  <c r="J299" i="4"/>
  <c r="J47" i="5"/>
  <c r="J333" i="4"/>
  <c r="J290" i="4"/>
  <c r="J71" i="7"/>
  <c r="J179" i="5"/>
  <c r="J36" i="6"/>
  <c r="F36" i="6" s="1"/>
  <c r="J231" i="4"/>
  <c r="J94" i="5"/>
  <c r="J238" i="4"/>
  <c r="J195" i="4"/>
  <c r="J316" i="4"/>
  <c r="J158" i="5"/>
  <c r="J23" i="4"/>
  <c r="J300" i="4"/>
  <c r="J369" i="4"/>
  <c r="J74" i="7"/>
  <c r="F74" i="7" s="1"/>
  <c r="K290" i="2" s="1"/>
  <c r="J380" i="4"/>
  <c r="J140" i="6"/>
  <c r="J58" i="4"/>
  <c r="J163" i="4"/>
  <c r="F163" i="4" s="1"/>
  <c r="J21" i="7"/>
  <c r="F21" i="7" s="1"/>
  <c r="K54" i="2" s="1"/>
  <c r="J66" i="6"/>
  <c r="F66" i="6" s="1"/>
  <c r="K245" i="2" s="1"/>
  <c r="J20" i="4"/>
  <c r="J85" i="6"/>
  <c r="F85" i="6" s="1"/>
  <c r="K403" i="2" s="1"/>
  <c r="J41" i="4"/>
  <c r="J213" i="4"/>
  <c r="J265" i="4"/>
  <c r="J103" i="5"/>
  <c r="J12" i="7"/>
  <c r="F12" i="7" s="1"/>
  <c r="K32" i="2" s="1"/>
  <c r="J372" i="4"/>
  <c r="J26" i="5"/>
  <c r="F26" i="5" s="1"/>
  <c r="K78" i="2" s="1"/>
  <c r="J48" i="6"/>
  <c r="F48" i="6" s="1"/>
  <c r="K207" i="2" s="1"/>
  <c r="J15" i="6"/>
  <c r="F15" i="6" s="1"/>
  <c r="J47" i="6"/>
  <c r="F47" i="6" s="1"/>
  <c r="J319" i="4"/>
  <c r="J234" i="4"/>
  <c r="J138" i="4"/>
  <c r="J157" i="4"/>
  <c r="J76" i="6"/>
  <c r="F76" i="6" s="1"/>
  <c r="J135" i="5"/>
  <c r="F135" i="5" s="1"/>
  <c r="K495" i="2" s="1"/>
  <c r="J191" i="5"/>
  <c r="F191" i="5" s="1"/>
  <c r="K618" i="2" s="1"/>
  <c r="J205" i="4"/>
  <c r="J103" i="6"/>
  <c r="F103" i="6" s="1"/>
  <c r="K443" i="2" s="1"/>
  <c r="J88" i="4"/>
  <c r="J29" i="5"/>
  <c r="J43" i="4"/>
  <c r="F43" i="4" s="1"/>
  <c r="J70" i="4"/>
  <c r="J100" i="4"/>
  <c r="F100" i="4" s="1"/>
  <c r="J156" i="4"/>
  <c r="J26" i="6"/>
  <c r="F26" i="6" s="1"/>
  <c r="K83" i="2" s="1"/>
  <c r="J367" i="4"/>
  <c r="J8" i="4"/>
  <c r="J145" i="4"/>
  <c r="J116" i="5"/>
  <c r="J118" i="4"/>
  <c r="F37" i="7"/>
  <c r="K116" i="2" s="1"/>
  <c r="J149" i="6"/>
  <c r="F149" i="6" s="1"/>
  <c r="K649" i="2" s="1"/>
  <c r="F82" i="4"/>
  <c r="J144" i="5"/>
  <c r="J7" i="4"/>
  <c r="J198" i="5"/>
  <c r="F25" i="7"/>
  <c r="K98" i="2" s="1"/>
  <c r="J45" i="7"/>
  <c r="J71" i="5"/>
  <c r="F71" i="5" s="1"/>
  <c r="K229" i="2" s="1"/>
  <c r="J118" i="7"/>
  <c r="J60" i="5"/>
  <c r="F60" i="5" s="1"/>
  <c r="J119" i="5"/>
  <c r="F119" i="5" s="1"/>
  <c r="K503" i="2" s="1"/>
  <c r="J176" i="5"/>
  <c r="F176" i="5" s="1"/>
  <c r="K606" i="2" s="1"/>
  <c r="F29" i="6"/>
  <c r="K101" i="2" s="1"/>
  <c r="J123" i="7"/>
  <c r="F123" i="7" s="1"/>
  <c r="K593" i="2" s="1"/>
  <c r="J190" i="5"/>
  <c r="J52" i="4"/>
  <c r="J127" i="4"/>
  <c r="J190" i="4"/>
  <c r="J134" i="4"/>
  <c r="J350" i="4"/>
  <c r="J256" i="4"/>
  <c r="F256" i="4" s="1"/>
  <c r="J114" i="7"/>
  <c r="J81" i="7"/>
  <c r="F81" i="7" s="1"/>
  <c r="K375" i="2" s="1"/>
  <c r="J139" i="5"/>
  <c r="F139" i="5" s="1"/>
  <c r="K467" i="2" s="1"/>
  <c r="J284" i="4"/>
  <c r="J137" i="6"/>
  <c r="F137" i="6" s="1"/>
  <c r="K590" i="2" s="1"/>
  <c r="J86" i="7"/>
  <c r="F86" i="7" s="1"/>
  <c r="K363" i="2" s="1"/>
  <c r="J93" i="4"/>
  <c r="J150" i="5"/>
  <c r="F150" i="5" s="1"/>
  <c r="K543" i="2" s="1"/>
  <c r="J93" i="5"/>
  <c r="F93" i="5" s="1"/>
  <c r="J115" i="5"/>
  <c r="F115" i="5" s="1"/>
  <c r="K383" i="2" s="1"/>
  <c r="J351" i="4"/>
  <c r="J197" i="5"/>
  <c r="F197" i="5" s="1"/>
  <c r="J153" i="5"/>
  <c r="F153" i="5" s="1"/>
  <c r="K522" i="2" s="1"/>
  <c r="J44" i="5"/>
  <c r="J125" i="7"/>
  <c r="J123" i="4"/>
  <c r="J134" i="7"/>
  <c r="F134" i="7" s="1"/>
  <c r="K636" i="2" s="1"/>
  <c r="J95" i="5"/>
  <c r="F95" i="5" s="1"/>
  <c r="J35" i="6"/>
  <c r="F35" i="6" s="1"/>
  <c r="K134" i="2" s="1"/>
  <c r="J135" i="4"/>
  <c r="J390" i="4"/>
  <c r="J282" i="4"/>
  <c r="J101" i="6"/>
  <c r="F101" i="6" s="1"/>
  <c r="K367" i="2" s="1"/>
  <c r="J116" i="6"/>
  <c r="J23" i="6"/>
  <c r="J148" i="5"/>
  <c r="F148" i="5" s="1"/>
  <c r="K530" i="2" s="1"/>
  <c r="J151" i="5"/>
  <c r="F151" i="5" s="1"/>
  <c r="K528" i="2" s="1"/>
  <c r="J132" i="5"/>
  <c r="F132" i="5" s="1"/>
  <c r="K501" i="2" s="1"/>
  <c r="J170" i="4"/>
  <c r="F170" i="4" s="1"/>
  <c r="J59" i="4"/>
  <c r="J206" i="5"/>
  <c r="F206" i="5" s="1"/>
  <c r="K664" i="2" s="1"/>
  <c r="J175" i="5"/>
  <c r="J40" i="5"/>
  <c r="J317" i="4"/>
  <c r="J6" i="5"/>
  <c r="F81" i="4"/>
  <c r="J19" i="4"/>
  <c r="J82" i="7"/>
  <c r="J61" i="7"/>
  <c r="J113" i="5"/>
  <c r="J9" i="6"/>
  <c r="F9" i="6" s="1"/>
  <c r="K20" i="2" s="1"/>
  <c r="J196" i="4"/>
  <c r="J67" i="7"/>
  <c r="F67" i="7" s="1"/>
  <c r="K241" i="2" s="1"/>
  <c r="J64" i="7"/>
  <c r="F64" i="7" s="1"/>
  <c r="K212" i="2" s="1"/>
  <c r="J100" i="5"/>
  <c r="J32" i="7"/>
  <c r="F32" i="7" s="1"/>
  <c r="K109" i="2" s="1"/>
  <c r="J123" i="6"/>
  <c r="F123" i="6" s="1"/>
  <c r="K509" i="2" s="1"/>
  <c r="J61" i="4"/>
  <c r="F131" i="7"/>
  <c r="K633" i="2" s="1"/>
  <c r="J62" i="6"/>
  <c r="J136" i="6"/>
  <c r="F136" i="6" s="1"/>
  <c r="K575" i="2" s="1"/>
  <c r="J65" i="4"/>
  <c r="J255" i="4"/>
  <c r="J108" i="6"/>
  <c r="F108" i="6" s="1"/>
  <c r="K471" i="2" s="1"/>
  <c r="L471" i="2" s="1"/>
  <c r="J101" i="7"/>
  <c r="F101" i="7" s="1"/>
  <c r="K551" i="2" s="1"/>
  <c r="J136" i="4"/>
  <c r="J15" i="5"/>
  <c r="F15" i="5" s="1"/>
  <c r="J5" i="4"/>
  <c r="F158" i="5"/>
  <c r="K517" i="2" s="1"/>
  <c r="J115" i="6"/>
  <c r="F115" i="6" s="1"/>
  <c r="K448" i="2" s="1"/>
  <c r="J112" i="5"/>
  <c r="J186" i="4"/>
  <c r="J46" i="4"/>
  <c r="J72" i="5"/>
  <c r="F72" i="5" s="1"/>
  <c r="K208" i="2" s="1"/>
  <c r="J252" i="4"/>
  <c r="F252" i="4" s="1"/>
  <c r="J28" i="6"/>
  <c r="F28" i="6" s="1"/>
  <c r="K170" i="2" s="1"/>
  <c r="J79" i="7"/>
  <c r="F79" i="7" s="1"/>
  <c r="K311" i="2" s="1"/>
  <c r="J19" i="7"/>
  <c r="J60" i="4"/>
  <c r="F60" i="4" s="1"/>
  <c r="J164" i="4"/>
  <c r="J68" i="6"/>
  <c r="F68" i="6" s="1"/>
  <c r="K272" i="2" s="1"/>
  <c r="J385" i="4"/>
  <c r="J133" i="7"/>
  <c r="F133" i="7" s="1"/>
  <c r="K643" i="2" s="1"/>
  <c r="J95" i="6"/>
  <c r="F95" i="6" s="1"/>
  <c r="K338" i="2" s="1"/>
  <c r="J49" i="5"/>
  <c r="F49" i="5" s="1"/>
  <c r="J100" i="6"/>
  <c r="F100" i="6" s="1"/>
  <c r="J269" i="4"/>
  <c r="F48" i="7"/>
  <c r="K164" i="2" s="1"/>
  <c r="J169" i="4"/>
  <c r="F169" i="4" s="1"/>
  <c r="J107" i="6"/>
  <c r="F107" i="6" s="1"/>
  <c r="K424" i="2" s="1"/>
  <c r="J129" i="7"/>
  <c r="F129" i="7" s="1"/>
  <c r="K578" i="2" s="1"/>
  <c r="J261" i="4"/>
  <c r="F261" i="4" s="1"/>
  <c r="J43" i="5"/>
  <c r="J101" i="5"/>
  <c r="J298" i="4"/>
  <c r="J131" i="7"/>
  <c r="F26" i="7"/>
  <c r="K77" i="2" s="1"/>
  <c r="F120" i="7"/>
  <c r="K565" i="2" s="1"/>
  <c r="J133" i="5"/>
  <c r="F133" i="5" s="1"/>
  <c r="E11" i="2"/>
  <c r="F94" i="6"/>
  <c r="K413" i="2" s="1"/>
  <c r="F91" i="6"/>
  <c r="K422" i="2" s="1"/>
  <c r="F23" i="6"/>
  <c r="F151" i="6"/>
  <c r="K657" i="2" s="1"/>
  <c r="F10" i="6"/>
  <c r="K31" i="2" s="1"/>
  <c r="F54" i="6"/>
  <c r="K273" i="2" s="1"/>
  <c r="F140" i="6"/>
  <c r="K608" i="2" s="1"/>
  <c r="F119" i="6"/>
  <c r="K555" i="2" s="1"/>
  <c r="F52" i="6"/>
  <c r="K253" i="2" s="1"/>
  <c r="F116" i="6"/>
  <c r="K536" i="2" s="1"/>
  <c r="F27" i="6"/>
  <c r="K86" i="2" s="1"/>
  <c r="F53" i="6"/>
  <c r="F81" i="6"/>
  <c r="K368" i="2" s="1"/>
  <c r="F77" i="6"/>
  <c r="K399" i="2" s="1"/>
  <c r="F135" i="6"/>
  <c r="K561" i="2" s="1"/>
  <c r="F8" i="6"/>
  <c r="K30" i="2" s="1"/>
  <c r="F73" i="6"/>
  <c r="K277" i="2" s="1"/>
  <c r="F99" i="6"/>
  <c r="F82" i="6"/>
  <c r="K317" i="2" s="1"/>
  <c r="F112" i="6"/>
  <c r="K440" i="2" s="1"/>
  <c r="F88" i="6"/>
  <c r="K392" i="2" s="1"/>
  <c r="F105" i="6"/>
  <c r="K414" i="2" s="1"/>
  <c r="F17" i="6"/>
  <c r="F32" i="6"/>
  <c r="F152" i="6"/>
  <c r="K663" i="2" s="1"/>
  <c r="F110" i="6"/>
  <c r="K427" i="2" s="1"/>
  <c r="F62" i="6"/>
  <c r="K252" i="2" s="1"/>
  <c r="J32" i="6"/>
  <c r="J185" i="5"/>
  <c r="J62" i="7"/>
  <c r="F62" i="7" s="1"/>
  <c r="K211" i="2" s="1"/>
  <c r="J77" i="4"/>
  <c r="J178" i="5"/>
  <c r="F178" i="5" s="1"/>
  <c r="K641" i="2" s="1"/>
  <c r="J138" i="5"/>
  <c r="J139" i="4"/>
  <c r="J48" i="4"/>
  <c r="F48" i="4" s="1"/>
  <c r="J30" i="7"/>
  <c r="F30" i="7" s="1"/>
  <c r="K97" i="2" s="1"/>
  <c r="J17" i="4"/>
  <c r="J85" i="4"/>
  <c r="F85" i="4" s="1"/>
  <c r="J35" i="5"/>
  <c r="F35" i="5" s="1"/>
  <c r="K91" i="2" s="1"/>
  <c r="J35" i="7"/>
  <c r="F35" i="7" s="1"/>
  <c r="K118" i="2" s="1"/>
  <c r="J262" i="4"/>
  <c r="J105" i="5"/>
  <c r="F105" i="5" s="1"/>
  <c r="J76" i="7"/>
  <c r="J130" i="4"/>
  <c r="J392" i="4"/>
  <c r="J206" i="4"/>
  <c r="F47" i="5"/>
  <c r="F381" i="4"/>
  <c r="J27" i="7"/>
  <c r="J99" i="5"/>
  <c r="F99" i="5" s="1"/>
  <c r="J193" i="5"/>
  <c r="F193" i="5" s="1"/>
  <c r="K622" i="2" s="1"/>
  <c r="J228" i="4"/>
  <c r="J70" i="6"/>
  <c r="F70" i="6" s="1"/>
  <c r="K283" i="2" s="1"/>
  <c r="J129" i="6"/>
  <c r="F129" i="6" s="1"/>
  <c r="K634" i="2" s="1"/>
  <c r="J220" i="4"/>
  <c r="F220" i="4" s="1"/>
  <c r="J270" i="4"/>
  <c r="J318" i="4"/>
  <c r="J170" i="5"/>
  <c r="F170" i="5" s="1"/>
  <c r="J113" i="4"/>
  <c r="F113" i="4" s="1"/>
  <c r="J242" i="4"/>
  <c r="F242" i="4" s="1"/>
  <c r="J104" i="6"/>
  <c r="F104" i="6" s="1"/>
  <c r="K520" i="2" s="1"/>
  <c r="F61" i="5"/>
  <c r="K242" i="2" s="1"/>
  <c r="J360" i="4"/>
  <c r="F360" i="4" s="1"/>
  <c r="J376" i="4"/>
  <c r="J36" i="7"/>
  <c r="J55" i="6"/>
  <c r="F55" i="6" s="1"/>
  <c r="J33" i="7"/>
  <c r="F33" i="7" s="1"/>
  <c r="K131" i="2" s="1"/>
  <c r="J126" i="4"/>
  <c r="F126" i="4" s="1"/>
  <c r="J85" i="7"/>
  <c r="F85" i="7" s="1"/>
  <c r="K349" i="2" s="1"/>
  <c r="J150" i="6"/>
  <c r="F150" i="6" s="1"/>
  <c r="K658" i="2" s="1"/>
  <c r="J226" i="4"/>
  <c r="F226" i="4" s="1"/>
  <c r="J147" i="5"/>
  <c r="F147" i="5" s="1"/>
  <c r="K479" i="2" s="1"/>
  <c r="J184" i="4"/>
  <c r="F184" i="4" s="1"/>
  <c r="J264" i="4"/>
  <c r="J110" i="7"/>
  <c r="J144" i="4"/>
  <c r="F144" i="4" s="1"/>
  <c r="J59" i="5"/>
  <c r="F59" i="5" s="1"/>
  <c r="J221" i="4"/>
  <c r="J308" i="4"/>
  <c r="F308" i="4" s="1"/>
  <c r="F57" i="7"/>
  <c r="K203" i="2" s="1"/>
  <c r="J134" i="6"/>
  <c r="F134" i="6" s="1"/>
  <c r="K549" i="2" s="1"/>
  <c r="J41" i="7"/>
  <c r="J271" i="4"/>
  <c r="J108" i="7"/>
  <c r="J109" i="4"/>
  <c r="F109" i="4" s="1"/>
  <c r="J83" i="7"/>
  <c r="F83" i="7" s="1"/>
  <c r="K304" i="2" s="1"/>
  <c r="J111" i="4"/>
  <c r="F111" i="4" s="1"/>
  <c r="J17" i="7"/>
  <c r="F17" i="7" s="1"/>
  <c r="K50" i="2" s="1"/>
  <c r="F25" i="4"/>
  <c r="J34" i="6"/>
  <c r="F34" i="6" s="1"/>
  <c r="K100" i="2" s="1"/>
  <c r="J53" i="7"/>
  <c r="J142" i="4"/>
  <c r="J315" i="4"/>
  <c r="J366" i="4"/>
  <c r="F366" i="4" s="1"/>
  <c r="J347" i="4"/>
  <c r="F347" i="4" s="1"/>
  <c r="J115" i="7"/>
  <c r="F115" i="7" s="1"/>
  <c r="K568" i="2" s="1"/>
  <c r="J9" i="7"/>
  <c r="F9" i="7" s="1"/>
  <c r="K29" i="2" s="1"/>
  <c r="J54" i="5"/>
  <c r="J142" i="6"/>
  <c r="J277" i="4"/>
  <c r="J245" i="4"/>
  <c r="J51" i="7"/>
  <c r="J66" i="5"/>
  <c r="F66" i="5" s="1"/>
  <c r="J11" i="6"/>
  <c r="F11" i="6" s="1"/>
  <c r="K25" i="2" s="1"/>
  <c r="J325" i="4"/>
  <c r="F325" i="4" s="1"/>
  <c r="J45" i="6"/>
  <c r="F45" i="6" s="1"/>
  <c r="J115" i="4"/>
  <c r="F115" i="4" s="1"/>
  <c r="J156" i="5"/>
  <c r="J146" i="5"/>
  <c r="J336" i="4"/>
  <c r="F336" i="4" s="1"/>
  <c r="J80" i="5"/>
  <c r="J47" i="4"/>
  <c r="F51" i="4"/>
  <c r="J119" i="4"/>
  <c r="J43" i="9"/>
  <c r="F104" i="4"/>
  <c r="J165" i="5"/>
  <c r="J130" i="5"/>
  <c r="J25" i="5"/>
  <c r="J72" i="7"/>
  <c r="F389" i="4"/>
  <c r="F24" i="4"/>
  <c r="J65" i="6"/>
  <c r="F65" i="6" s="1"/>
  <c r="F83" i="6"/>
  <c r="J77" i="7"/>
  <c r="F77" i="7" s="1"/>
  <c r="K286" i="2" s="1"/>
  <c r="J145" i="5"/>
  <c r="J80" i="4"/>
  <c r="J126" i="7"/>
  <c r="J55" i="5"/>
  <c r="F55" i="5" s="1"/>
  <c r="K143" i="2" s="1"/>
  <c r="J39" i="4"/>
  <c r="F39" i="4" s="1"/>
  <c r="F14" i="4"/>
  <c r="J358" i="4"/>
  <c r="J69" i="6"/>
  <c r="F69" i="6" s="1"/>
  <c r="K381" i="2" s="1"/>
  <c r="J74" i="6"/>
  <c r="F74" i="6" s="1"/>
  <c r="J66" i="7"/>
  <c r="F66" i="7" s="1"/>
  <c r="K239" i="2" s="1"/>
  <c r="J109" i="6"/>
  <c r="F109" i="6" s="1"/>
  <c r="K463" i="2" s="1"/>
  <c r="J273" i="4"/>
  <c r="F273" i="4" s="1"/>
  <c r="J340" i="4"/>
  <c r="F340" i="4" s="1"/>
  <c r="J80" i="6"/>
  <c r="F80" i="6" s="1"/>
  <c r="J116" i="7"/>
  <c r="J42" i="6"/>
  <c r="F42" i="6" s="1"/>
  <c r="K141" i="2" s="1"/>
  <c r="J49" i="7"/>
  <c r="J274" i="4"/>
  <c r="F274" i="4" s="1"/>
  <c r="J24" i="7"/>
  <c r="F24" i="7" s="1"/>
  <c r="K65" i="2" s="1"/>
  <c r="J374" i="4"/>
  <c r="F374" i="4" s="1"/>
  <c r="J63" i="6"/>
  <c r="J219" i="4"/>
  <c r="F219" i="4" s="1"/>
  <c r="J244" i="4"/>
  <c r="F244" i="4" s="1"/>
  <c r="J120" i="6"/>
  <c r="F120" i="6" s="1"/>
  <c r="K542" i="2" s="1"/>
  <c r="J200" i="5"/>
  <c r="F200" i="5" s="1"/>
  <c r="K653" i="2" s="1"/>
  <c r="J105" i="6"/>
  <c r="J67" i="4"/>
  <c r="F67" i="4" s="1"/>
  <c r="J102" i="6"/>
  <c r="F102" i="6" s="1"/>
  <c r="K532" i="2" s="1"/>
  <c r="J56" i="7"/>
  <c r="F56" i="7" s="1"/>
  <c r="K189" i="2" s="1"/>
  <c r="J58" i="6"/>
  <c r="F58" i="6" s="1"/>
  <c r="K556" i="2" s="1"/>
  <c r="J188" i="4"/>
  <c r="F188" i="4" s="1"/>
  <c r="J56" i="5"/>
  <c r="F56" i="5" s="1"/>
  <c r="K194" i="2" s="1"/>
  <c r="J49" i="4"/>
  <c r="F49" i="4" s="1"/>
  <c r="J107" i="4"/>
  <c r="J84" i="7"/>
  <c r="J64" i="4"/>
  <c r="J179" i="4"/>
  <c r="F271" i="4"/>
  <c r="J365" i="4"/>
  <c r="F365" i="4" s="1"/>
  <c r="J338" i="4"/>
  <c r="J54" i="4"/>
  <c r="J192" i="5"/>
  <c r="F192" i="5" s="1"/>
  <c r="K642" i="2" s="1"/>
  <c r="J40" i="6"/>
  <c r="F40" i="6" s="1"/>
  <c r="J208" i="4"/>
  <c r="F208" i="4" s="1"/>
  <c r="J121" i="5"/>
  <c r="F121" i="5" s="1"/>
  <c r="E7" i="2"/>
  <c r="C14" i="3" s="1"/>
  <c r="F136" i="8"/>
  <c r="K389" i="2" s="1"/>
  <c r="F107" i="8"/>
  <c r="K316" i="2" s="1"/>
  <c r="F199" i="8"/>
  <c r="K485" i="2" s="1"/>
  <c r="J82" i="5"/>
  <c r="F82" i="5" s="1"/>
  <c r="K233" i="2" s="1"/>
  <c r="J297" i="4"/>
  <c r="F297" i="4" s="1"/>
  <c r="J104" i="5"/>
  <c r="F104" i="5" s="1"/>
  <c r="J75" i="6"/>
  <c r="F75" i="6" s="1"/>
  <c r="K268" i="2" s="1"/>
  <c r="F14" i="7"/>
  <c r="K60" i="2" s="1"/>
  <c r="J104" i="7"/>
  <c r="F104" i="7" s="1"/>
  <c r="K468" i="2" s="1"/>
  <c r="J134" i="5"/>
  <c r="F134" i="5" s="1"/>
  <c r="J69" i="7"/>
  <c r="F69" i="7" s="1"/>
  <c r="K259" i="2" s="1"/>
  <c r="J20" i="7"/>
  <c r="F20" i="7" s="1"/>
  <c r="K73" i="2" s="1"/>
  <c r="J117" i="7"/>
  <c r="F117" i="7" s="1"/>
  <c r="K599" i="2" s="1"/>
  <c r="J98" i="4"/>
  <c r="F98" i="4" s="1"/>
  <c r="J191" i="4"/>
  <c r="F191" i="4" s="1"/>
  <c r="J84" i="4"/>
  <c r="J53" i="5"/>
  <c r="F53" i="5" s="1"/>
  <c r="K162" i="2" s="1"/>
  <c r="J34" i="5"/>
  <c r="F34" i="5" s="1"/>
  <c r="J143" i="6"/>
  <c r="F143" i="6" s="1"/>
  <c r="K628" i="2" s="1"/>
  <c r="J78" i="5"/>
  <c r="J164" i="5"/>
  <c r="F164" i="5" s="1"/>
  <c r="K541" i="2" s="1"/>
  <c r="J331" i="4"/>
  <c r="F331" i="4" s="1"/>
  <c r="J214" i="4"/>
  <c r="J254" i="4"/>
  <c r="F181" i="5"/>
  <c r="K600" i="2" s="1"/>
  <c r="F23" i="7"/>
  <c r="K93" i="2" s="1"/>
  <c r="E4" i="2"/>
  <c r="C10" i="3" s="1"/>
  <c r="F116" i="7"/>
  <c r="K573" i="2" s="1"/>
  <c r="F99" i="7"/>
  <c r="K540" i="2" s="1"/>
  <c r="F130" i="7"/>
  <c r="K584" i="2" s="1"/>
  <c r="F75" i="7"/>
  <c r="K328" i="2" s="1"/>
  <c r="F84" i="7"/>
  <c r="K323" i="2" s="1"/>
  <c r="F118" i="7"/>
  <c r="K588" i="2" s="1"/>
  <c r="F70" i="7"/>
  <c r="K340" i="2" s="1"/>
  <c r="F71" i="7"/>
  <c r="K262" i="2" s="1"/>
  <c r="F18" i="7"/>
  <c r="K46" i="2" s="1"/>
  <c r="F90" i="7"/>
  <c r="K391" i="2" s="1"/>
  <c r="F95" i="7"/>
  <c r="K459" i="2" s="1"/>
  <c r="F27" i="7"/>
  <c r="K76" i="2" s="1"/>
  <c r="F43" i="7"/>
  <c r="K145" i="2" s="1"/>
  <c r="F61" i="7"/>
  <c r="K213" i="2" s="1"/>
  <c r="F89" i="7"/>
  <c r="K390" i="2" s="1"/>
  <c r="F82" i="7"/>
  <c r="K308" i="2" s="1"/>
  <c r="F88" i="7"/>
  <c r="K342" i="2" s="1"/>
  <c r="F87" i="7"/>
  <c r="K507" i="2" s="1"/>
  <c r="F114" i="7"/>
  <c r="K572" i="2" s="1"/>
  <c r="F106" i="7"/>
  <c r="K480" i="2" s="1"/>
  <c r="F113" i="7"/>
  <c r="K557" i="2" s="1"/>
  <c r="F8" i="7"/>
  <c r="K13" i="2" s="1"/>
  <c r="F76" i="7"/>
  <c r="K275" i="2" s="1"/>
  <c r="F53" i="7"/>
  <c r="K206" i="2" s="1"/>
  <c r="F54" i="7"/>
  <c r="K205" i="2" s="1"/>
  <c r="F38" i="7"/>
  <c r="K111" i="2" s="1"/>
  <c r="F41" i="7"/>
  <c r="K138" i="2" s="1"/>
  <c r="F19" i="7"/>
  <c r="K70" i="2" s="1"/>
  <c r="F109" i="7"/>
  <c r="K563" i="2" s="1"/>
  <c r="F125" i="7"/>
  <c r="K614" i="2" s="1"/>
  <c r="F91" i="7"/>
  <c r="K366" i="2" s="1"/>
  <c r="F72" i="7"/>
  <c r="K254" i="2" s="1"/>
  <c r="F45" i="7"/>
  <c r="K147" i="2" s="1"/>
  <c r="F49" i="7"/>
  <c r="K184" i="2" s="1"/>
  <c r="F36" i="7"/>
  <c r="K307" i="2" s="1"/>
  <c r="F92" i="7"/>
  <c r="K362" i="2" s="1"/>
  <c r="F126" i="7"/>
  <c r="K579" i="2" s="1"/>
  <c r="F108" i="7"/>
  <c r="K496" i="2" s="1"/>
  <c r="J21" i="4"/>
  <c r="F251" i="4"/>
  <c r="F61" i="6"/>
  <c r="J178" i="4"/>
  <c r="F178" i="4" s="1"/>
  <c r="J96" i="4"/>
  <c r="F96" i="4" s="1"/>
  <c r="J352" i="4"/>
  <c r="F352" i="4" s="1"/>
  <c r="J257" i="4"/>
  <c r="J202" i="4"/>
  <c r="J103" i="4"/>
  <c r="F103" i="4" s="1"/>
  <c r="J35" i="4"/>
  <c r="J4" i="6"/>
  <c r="F4" i="6" s="1"/>
  <c r="K9" i="2" s="1"/>
  <c r="J142" i="5"/>
  <c r="F142" i="5" s="1"/>
  <c r="K502" i="2" s="1"/>
  <c r="J52" i="5"/>
  <c r="F52" i="5" s="1"/>
  <c r="J281" i="4"/>
  <c r="F281" i="4" s="1"/>
  <c r="J121" i="6"/>
  <c r="F121" i="6" s="1"/>
  <c r="K521" i="2" s="1"/>
  <c r="J295" i="4"/>
  <c r="J203" i="4"/>
  <c r="J13" i="5"/>
  <c r="F13" i="5" s="1"/>
  <c r="K49" i="2" s="1"/>
  <c r="J8" i="5"/>
  <c r="J3" i="7"/>
  <c r="F3" i="7" s="1"/>
  <c r="K4" i="2" s="1"/>
  <c r="J131" i="5"/>
  <c r="F131" i="5" s="1"/>
  <c r="K439" i="2" s="1"/>
  <c r="J30" i="4"/>
  <c r="F30" i="4" s="1"/>
  <c r="J30" i="6"/>
  <c r="F30" i="6" s="1"/>
  <c r="J34" i="4"/>
  <c r="F34" i="4" s="1"/>
  <c r="J59" i="6"/>
  <c r="F59" i="6" s="1"/>
  <c r="K200" i="2" s="1"/>
  <c r="J307" i="4"/>
  <c r="J58" i="7"/>
  <c r="F58" i="7" s="1"/>
  <c r="K197" i="2" s="1"/>
  <c r="J25" i="6"/>
  <c r="F25" i="6" s="1"/>
  <c r="J87" i="4"/>
  <c r="F87" i="4" s="1"/>
  <c r="J40" i="4"/>
  <c r="F40" i="4" s="1"/>
  <c r="J237" i="4"/>
  <c r="J126" i="6"/>
  <c r="F126" i="6" s="1"/>
  <c r="K554" i="2" s="1"/>
  <c r="J110" i="5"/>
  <c r="J73" i="4"/>
  <c r="J76" i="4"/>
  <c r="F76" i="4" s="1"/>
  <c r="J181" i="4"/>
  <c r="F181" i="4" s="1"/>
  <c r="J161" i="5"/>
  <c r="F161" i="5" s="1"/>
  <c r="K574" i="2" s="1"/>
  <c r="J30" i="5"/>
  <c r="F30" i="5" s="1"/>
  <c r="J216" i="4"/>
  <c r="F216" i="4" s="1"/>
  <c r="J14" i="5"/>
  <c r="F14" i="5" s="1"/>
  <c r="K41" i="2" s="1"/>
  <c r="J133" i="4"/>
  <c r="F133" i="4" s="1"/>
  <c r="J189" i="4"/>
  <c r="F189" i="4" s="1"/>
  <c r="J55" i="4"/>
  <c r="F55" i="4" s="1"/>
  <c r="J87" i="6"/>
  <c r="F87" i="6" s="1"/>
  <c r="K343" i="2" s="1"/>
  <c r="J137" i="5"/>
  <c r="F137" i="5" s="1"/>
  <c r="J279" i="4"/>
  <c r="F279" i="4" s="1"/>
  <c r="J81" i="5"/>
  <c r="F81" i="5" s="1"/>
  <c r="K240" i="2" s="1"/>
  <c r="J149" i="5"/>
  <c r="F149" i="5" s="1"/>
  <c r="K562" i="2" s="1"/>
  <c r="J199" i="5"/>
  <c r="F199" i="5" s="1"/>
  <c r="K661" i="2" s="1"/>
  <c r="J106" i="6"/>
  <c r="F106" i="6" s="1"/>
  <c r="K412" i="2" s="1"/>
  <c r="J94" i="4"/>
  <c r="F94" i="4" s="1"/>
  <c r="J83" i="4"/>
  <c r="F83" i="4" s="1"/>
  <c r="J136" i="7"/>
  <c r="F246" i="4"/>
  <c r="F64" i="4"/>
  <c r="F50" i="4"/>
  <c r="J97" i="6"/>
  <c r="F97" i="6" s="1"/>
  <c r="K407" i="2" s="1"/>
  <c r="J129" i="4"/>
  <c r="F129" i="4" s="1"/>
  <c r="J127" i="6"/>
  <c r="F127" i="6" s="1"/>
  <c r="K552" i="2" s="1"/>
  <c r="J39" i="7"/>
  <c r="F39" i="7" s="1"/>
  <c r="K120" i="2" s="1"/>
  <c r="J121" i="7"/>
  <c r="F121" i="7" s="1"/>
  <c r="K589" i="2" s="1"/>
  <c r="J180" i="5"/>
  <c r="F180" i="5" s="1"/>
  <c r="K603" i="2" s="1"/>
  <c r="J172" i="5"/>
  <c r="F172" i="5" s="1"/>
  <c r="K592" i="2" s="1"/>
  <c r="E3" i="2"/>
  <c r="F101" i="5"/>
  <c r="K357" i="2" s="1"/>
  <c r="F156" i="5"/>
  <c r="K529" i="2" s="1"/>
  <c r="F114" i="5"/>
  <c r="K464" i="2" s="1"/>
  <c r="F155" i="5"/>
  <c r="K587" i="2" s="1"/>
  <c r="F123" i="5"/>
  <c r="K442" i="2" s="1"/>
  <c r="F130" i="5"/>
  <c r="F165" i="5"/>
  <c r="K566" i="2" s="1"/>
  <c r="F86" i="5"/>
  <c r="K280" i="2" s="1"/>
  <c r="F48" i="5"/>
  <c r="K150" i="2" s="1"/>
  <c r="F144" i="5"/>
  <c r="F183" i="5"/>
  <c r="K631" i="2" s="1"/>
  <c r="F44" i="5"/>
  <c r="K114" i="2" s="1"/>
  <c r="F5" i="5"/>
  <c r="K5" i="2" s="1"/>
  <c r="F145" i="5"/>
  <c r="K513" i="2" s="1"/>
  <c r="F80" i="5"/>
  <c r="K260" i="2" s="1"/>
  <c r="F109" i="5"/>
  <c r="K491" i="2" s="1"/>
  <c r="F54" i="5"/>
  <c r="F42" i="5"/>
  <c r="F129" i="5"/>
  <c r="F116" i="5"/>
  <c r="K535" i="2" s="1"/>
  <c r="F106" i="5"/>
  <c r="F77" i="5"/>
  <c r="K310" i="2" s="1"/>
  <c r="F185" i="5"/>
  <c r="K613" i="2" s="1"/>
  <c r="F84" i="5"/>
  <c r="K270" i="2" s="1"/>
  <c r="F118" i="5"/>
  <c r="K423" i="2" s="1"/>
  <c r="F175" i="5"/>
  <c r="K586" i="2" s="1"/>
  <c r="F10" i="5"/>
  <c r="K27" i="2" s="1"/>
  <c r="F51" i="5"/>
  <c r="K152" i="2" s="1"/>
  <c r="F103" i="5"/>
  <c r="F7" i="5"/>
  <c r="F154" i="5"/>
  <c r="F23" i="5"/>
  <c r="F110" i="5"/>
  <c r="K385" i="2" s="1"/>
  <c r="F108" i="5"/>
  <c r="K354" i="2" s="1"/>
  <c r="F146" i="5"/>
  <c r="F112" i="5"/>
  <c r="K365" i="2" s="1"/>
  <c r="F6" i="5"/>
  <c r="F168" i="5"/>
  <c r="K594" i="2" s="1"/>
  <c r="F163" i="5"/>
  <c r="K595" i="2" s="1"/>
  <c r="F184" i="5"/>
  <c r="K625" i="2" s="1"/>
  <c r="F22" i="5"/>
  <c r="F102" i="5"/>
  <c r="F136" i="5"/>
  <c r="F69" i="5"/>
  <c r="K243" i="2" s="1"/>
  <c r="F63" i="5"/>
  <c r="F138" i="5"/>
  <c r="F127" i="5"/>
  <c r="F92" i="5"/>
  <c r="K325" i="2" s="1"/>
  <c r="F28" i="5"/>
  <c r="K79" i="2" s="1"/>
  <c r="F58" i="5"/>
  <c r="F179" i="5"/>
  <c r="K615" i="2" s="1"/>
  <c r="F198" i="5"/>
  <c r="K656" i="2" s="1"/>
  <c r="F43" i="5"/>
  <c r="K133" i="2" s="1"/>
  <c r="F90" i="5"/>
  <c r="K256" i="2" s="1"/>
  <c r="F64" i="5"/>
  <c r="K221" i="2" s="1"/>
  <c r="F100" i="5"/>
  <c r="F173" i="5"/>
  <c r="K609" i="2" s="1"/>
  <c r="F113" i="5"/>
  <c r="K404" i="2" s="1"/>
  <c r="F29" i="5"/>
  <c r="K81" i="2" s="1"/>
  <c r="F76" i="5"/>
  <c r="J27" i="4"/>
  <c r="F27" i="4" s="1"/>
  <c r="J186" i="5"/>
  <c r="F186" i="5" s="1"/>
  <c r="K637" i="2" s="1"/>
  <c r="J78" i="7"/>
  <c r="F78" i="7" s="1"/>
  <c r="K309" i="2" s="1"/>
  <c r="J33" i="5"/>
  <c r="F33" i="5" s="1"/>
  <c r="K94" i="2" s="1"/>
  <c r="J218" i="4"/>
  <c r="J309" i="4"/>
  <c r="J288" i="4"/>
  <c r="F288" i="4" s="1"/>
  <c r="J291" i="4"/>
  <c r="F291" i="4" s="1"/>
  <c r="J147" i="6"/>
  <c r="F147" i="6" s="1"/>
  <c r="K645" i="2" s="1"/>
  <c r="J79" i="5"/>
  <c r="F79" i="5" s="1"/>
  <c r="J276" i="4"/>
  <c r="F276" i="4" s="1"/>
  <c r="F29" i="7"/>
  <c r="K92" i="2" s="1"/>
  <c r="J125" i="5"/>
  <c r="F125" i="5" s="1"/>
  <c r="K444" i="2" s="1"/>
  <c r="L444" i="2" s="1"/>
  <c r="F11" i="4"/>
  <c r="J22" i="7"/>
  <c r="F22" i="7" s="1"/>
  <c r="K80" i="2" s="1"/>
  <c r="F25" i="5"/>
  <c r="J63" i="4"/>
  <c r="F63" i="4" s="1"/>
  <c r="J75" i="4"/>
  <c r="F75" i="4" s="1"/>
  <c r="J159" i="5"/>
  <c r="F159" i="5" s="1"/>
  <c r="J327" i="4"/>
  <c r="F327" i="4" s="1"/>
  <c r="F51" i="7"/>
  <c r="K169" i="2" s="1"/>
  <c r="J90" i="6"/>
  <c r="F90" i="6" s="1"/>
  <c r="K341" i="2" s="1"/>
  <c r="J174" i="5"/>
  <c r="F174" i="5" s="1"/>
  <c r="K612" i="2" s="1"/>
  <c r="F232" i="4"/>
  <c r="J68" i="5"/>
  <c r="F68" i="5" s="1"/>
  <c r="K187" i="2" s="1"/>
  <c r="J363" i="4"/>
  <c r="F363" i="4" s="1"/>
  <c r="J167" i="4"/>
  <c r="F167" i="4" s="1"/>
  <c r="J19" i="5"/>
  <c r="F19" i="5" s="1"/>
  <c r="K62" i="2" s="1"/>
  <c r="F367" i="4"/>
  <c r="J204" i="5"/>
  <c r="F204" i="5" s="1"/>
  <c r="K659" i="2" s="1"/>
  <c r="J258" i="4"/>
  <c r="F258" i="4" s="1"/>
  <c r="J187" i="5"/>
  <c r="F187" i="5" s="1"/>
  <c r="K621" i="2" s="1"/>
  <c r="J13" i="7"/>
  <c r="F13" i="7" s="1"/>
  <c r="K33" i="2" s="1"/>
  <c r="J162" i="4"/>
  <c r="F162" i="4" s="1"/>
  <c r="J202" i="5"/>
  <c r="F202" i="5" s="1"/>
  <c r="K662" i="2" s="1"/>
  <c r="J225" i="4"/>
  <c r="F225" i="4" s="1"/>
  <c r="F8" i="5"/>
  <c r="K40" i="2" s="1"/>
  <c r="J15" i="4"/>
  <c r="F15" i="4" s="1"/>
  <c r="J33" i="4"/>
  <c r="F33" i="4" s="1"/>
  <c r="J224" i="4"/>
  <c r="F224" i="4" s="1"/>
  <c r="J195" i="5"/>
  <c r="F195" i="5" s="1"/>
  <c r="K638" i="2" s="1"/>
  <c r="J33" i="6"/>
  <c r="F33" i="6" s="1"/>
  <c r="K102" i="2" s="1"/>
  <c r="J167" i="5"/>
  <c r="F167" i="5" s="1"/>
  <c r="K619" i="2" s="1"/>
  <c r="J3" i="5"/>
  <c r="F3" i="5" s="1"/>
  <c r="K3" i="2" s="1"/>
  <c r="J118" i="6"/>
  <c r="F118" i="6" s="1"/>
  <c r="K474" i="2" s="1"/>
  <c r="L474" i="2" s="1"/>
  <c r="J122" i="7"/>
  <c r="F122" i="7" s="1"/>
  <c r="K604" i="2" s="1"/>
  <c r="J94" i="7"/>
  <c r="J201" i="5"/>
  <c r="F201" i="5" s="1"/>
  <c r="J67" i="5"/>
  <c r="F67" i="5" s="1"/>
  <c r="K193" i="2" s="1"/>
  <c r="F136" i="7"/>
  <c r="K626" i="2" s="1"/>
  <c r="F84" i="4"/>
  <c r="J24" i="6"/>
  <c r="F24" i="6" s="1"/>
  <c r="J57" i="5"/>
  <c r="F57" i="5" s="1"/>
  <c r="K191" i="2" s="1"/>
  <c r="J334" i="4"/>
  <c r="F334" i="4" s="1"/>
  <c r="J148" i="4"/>
  <c r="J185" i="4"/>
  <c r="J18" i="5"/>
  <c r="F18" i="5" s="1"/>
  <c r="J98" i="6"/>
  <c r="F98" i="6" s="1"/>
  <c r="K377" i="2" s="1"/>
  <c r="J112" i="4"/>
  <c r="F112" i="4" s="1"/>
  <c r="J51" i="6"/>
  <c r="F51" i="6" s="1"/>
  <c r="K168" i="2" s="1"/>
  <c r="J332" i="4"/>
  <c r="F332" i="4" s="1"/>
  <c r="J124" i="7"/>
  <c r="F124" i="7" s="1"/>
  <c r="K548" i="2" s="1"/>
  <c r="J342" i="4"/>
  <c r="F342" i="4" s="1"/>
  <c r="J128" i="5"/>
  <c r="F128" i="5" s="1"/>
  <c r="K428" i="2" s="1"/>
  <c r="J233" i="4"/>
  <c r="F233" i="4" s="1"/>
  <c r="J348" i="4"/>
  <c r="F348" i="4" s="1"/>
  <c r="F37" i="6"/>
  <c r="J31" i="7"/>
  <c r="F31" i="7" s="1"/>
  <c r="K106" i="2" s="1"/>
  <c r="J292" i="4"/>
  <c r="F292" i="4" s="1"/>
  <c r="J89" i="5"/>
  <c r="F89" i="5" s="1"/>
  <c r="K370" i="2" s="1"/>
  <c r="J127" i="7"/>
  <c r="F127" i="7" s="1"/>
  <c r="K582" i="2" s="1"/>
  <c r="J5" i="6"/>
  <c r="F5" i="6" s="1"/>
  <c r="J371" i="4"/>
  <c r="F371" i="4" s="1"/>
  <c r="J52" i="7"/>
  <c r="F52" i="7" s="1"/>
  <c r="K235" i="2" s="1"/>
  <c r="J39" i="6"/>
  <c r="J62" i="4"/>
  <c r="F62" i="4" s="1"/>
  <c r="F142" i="6"/>
  <c r="K627" i="2" s="1"/>
  <c r="J122" i="4"/>
  <c r="F13" i="6"/>
  <c r="K36" i="2" s="1"/>
  <c r="J71" i="6"/>
  <c r="F71" i="6" s="1"/>
  <c r="J278" i="4"/>
  <c r="F278" i="4" s="1"/>
  <c r="J322" i="4"/>
  <c r="F322" i="4" s="1"/>
  <c r="J196" i="5"/>
  <c r="F196" i="5" s="1"/>
  <c r="K647" i="2" s="1"/>
  <c r="F78" i="5"/>
  <c r="K315" i="2" s="1"/>
  <c r="J201" i="4"/>
  <c r="F201" i="4" s="1"/>
  <c r="J95" i="4"/>
  <c r="F95" i="4" s="1"/>
  <c r="J173" i="4"/>
  <c r="F173" i="4" s="1"/>
  <c r="J311" i="4"/>
  <c r="F311" i="4" s="1"/>
  <c r="J44" i="7"/>
  <c r="F44" i="7" s="1"/>
  <c r="K204" i="2" s="1"/>
  <c r="J132" i="7"/>
  <c r="F132" i="7" s="1"/>
  <c r="K605" i="2" s="1"/>
  <c r="J4" i="5"/>
  <c r="F4" i="5" s="1"/>
  <c r="K2" i="2" s="1"/>
  <c r="J42" i="7"/>
  <c r="F42" i="7" s="1"/>
  <c r="K136" i="2" s="1"/>
  <c r="F40" i="5"/>
  <c r="F141" i="6"/>
  <c r="K624" i="2" s="1"/>
  <c r="J162" i="5"/>
  <c r="F162" i="5" s="1"/>
  <c r="K598" i="2" s="1"/>
  <c r="J339" i="4"/>
  <c r="F339" i="4" s="1"/>
  <c r="J166" i="5"/>
  <c r="F166" i="5" s="1"/>
  <c r="K571" i="2" s="1"/>
  <c r="J88" i="5"/>
  <c r="F88" i="5" s="1"/>
  <c r="J38" i="5"/>
  <c r="F38" i="5" s="1"/>
  <c r="K96" i="2" s="1"/>
  <c r="J93" i="7"/>
  <c r="F93" i="7" s="1"/>
  <c r="K401" i="2" s="1"/>
  <c r="J114" i="4"/>
  <c r="F114" i="4" s="1"/>
  <c r="J128" i="6"/>
  <c r="F128" i="6" s="1"/>
  <c r="K534" i="2" s="1"/>
  <c r="J44" i="6"/>
  <c r="F44" i="6" s="1"/>
  <c r="J141" i="4"/>
  <c r="F141" i="4" s="1"/>
  <c r="F388" i="4"/>
  <c r="F11" i="5"/>
  <c r="K52" i="2" s="1"/>
  <c r="F356" i="4"/>
  <c r="J125" i="6"/>
  <c r="F125" i="6" s="1"/>
  <c r="K518" i="2" s="1"/>
  <c r="F171" i="5"/>
  <c r="K611" i="2" s="1"/>
  <c r="J91" i="5"/>
  <c r="F91" i="5" s="1"/>
  <c r="J101" i="4"/>
  <c r="F101" i="4" s="1"/>
  <c r="J159" i="4"/>
  <c r="F159" i="4" s="1"/>
  <c r="J248" i="4"/>
  <c r="F248" i="4" s="1"/>
  <c r="J384" i="4"/>
  <c r="F384" i="4" s="1"/>
  <c r="J20" i="5"/>
  <c r="F20" i="5" s="1"/>
  <c r="K58" i="2" s="1"/>
  <c r="F35" i="4"/>
  <c r="F10" i="7"/>
  <c r="K35" i="2" s="1"/>
  <c r="F55" i="8"/>
  <c r="K232" i="2" s="1"/>
  <c r="J61" i="6"/>
  <c r="J240" i="4"/>
  <c r="F240" i="4" s="1"/>
  <c r="J59" i="7"/>
  <c r="F59" i="7" s="1"/>
  <c r="K217" i="2" s="1"/>
  <c r="J194" i="5"/>
  <c r="F194" i="5" s="1"/>
  <c r="K652" i="2" s="1"/>
  <c r="J50" i="6"/>
  <c r="F50" i="6" s="1"/>
  <c r="K161" i="2" s="1"/>
  <c r="J187" i="4"/>
  <c r="F187" i="4" s="1"/>
  <c r="J72" i="6"/>
  <c r="F72" i="6" s="1"/>
  <c r="J32" i="4"/>
  <c r="F32" i="4" s="1"/>
  <c r="J29" i="7"/>
  <c r="J132" i="6"/>
  <c r="F132" i="6" s="1"/>
  <c r="K607" i="2" s="1"/>
  <c r="J223" i="4"/>
  <c r="F223" i="4" s="1"/>
  <c r="J86" i="4"/>
  <c r="F86" i="4" s="1"/>
  <c r="J379" i="4"/>
  <c r="F379" i="4" s="1"/>
  <c r="F94" i="5"/>
  <c r="J37" i="4"/>
  <c r="F37" i="4" s="1"/>
  <c r="F97" i="4"/>
  <c r="F80" i="7"/>
  <c r="K292" i="2" s="1"/>
  <c r="J83" i="5"/>
  <c r="F83" i="5" s="1"/>
  <c r="K344" i="2" s="1"/>
  <c r="J139" i="6"/>
  <c r="F139" i="6" s="1"/>
  <c r="K597" i="2" s="1"/>
  <c r="J24" i="5"/>
  <c r="F24" i="5" s="1"/>
  <c r="K63" i="2" s="1"/>
  <c r="J355" i="4"/>
  <c r="F355" i="4" s="1"/>
  <c r="J16" i="7"/>
  <c r="F16" i="7" s="1"/>
  <c r="K43" i="2" s="1"/>
  <c r="J145" i="6"/>
  <c r="F145" i="6" s="1"/>
  <c r="K646" i="2" s="1"/>
  <c r="J60" i="6"/>
  <c r="F60" i="6" s="1"/>
  <c r="K202" i="2" s="1"/>
  <c r="J9" i="4"/>
  <c r="F9" i="4" s="1"/>
  <c r="J120" i="5"/>
  <c r="F120" i="5" s="1"/>
  <c r="J205" i="5"/>
  <c r="F205" i="5" s="1"/>
  <c r="K665" i="2" s="1"/>
  <c r="J349" i="4"/>
  <c r="F349" i="4" s="1"/>
  <c r="J126" i="5"/>
  <c r="F126" i="5" s="1"/>
  <c r="K416" i="2" s="1"/>
  <c r="J391" i="4"/>
  <c r="F391" i="4" s="1"/>
  <c r="J53" i="4"/>
  <c r="F53" i="4" s="1"/>
  <c r="J98" i="5"/>
  <c r="F98" i="5" s="1"/>
  <c r="K306" i="2" s="1"/>
  <c r="J293" i="4"/>
  <c r="F293" i="4" s="1"/>
  <c r="J36" i="5"/>
  <c r="F36" i="5" s="1"/>
  <c r="K99" i="2" s="1"/>
  <c r="J361" i="4"/>
  <c r="F361" i="4" s="1"/>
  <c r="J247" i="4"/>
  <c r="F247" i="4" s="1"/>
  <c r="J107" i="7"/>
  <c r="F107" i="7" s="1"/>
  <c r="K486" i="2" s="1"/>
  <c r="J12" i="5"/>
  <c r="F12" i="5" s="1"/>
  <c r="J345" i="4"/>
  <c r="F345" i="4" s="1"/>
  <c r="J114" i="6"/>
  <c r="F114" i="6" s="1"/>
  <c r="K461" i="2" s="1"/>
  <c r="J128" i="4"/>
  <c r="F128" i="4" s="1"/>
  <c r="J96" i="5"/>
  <c r="F96" i="5" s="1"/>
  <c r="K335" i="2" s="1"/>
  <c r="J41" i="5"/>
  <c r="F41" i="5" s="1"/>
  <c r="K123" i="2" s="1"/>
  <c r="J49" i="6"/>
  <c r="F49" i="6" s="1"/>
  <c r="K181" i="2" s="1"/>
  <c r="L181" i="2" s="1"/>
  <c r="J169" i="5"/>
  <c r="F169" i="5" s="1"/>
  <c r="K581" i="2" s="1"/>
  <c r="J16" i="5"/>
  <c r="F16" i="5" s="1"/>
  <c r="J157" i="5"/>
  <c r="F157" i="5" s="1"/>
  <c r="K632" i="2" s="1"/>
  <c r="J73" i="5"/>
  <c r="F73" i="5" s="1"/>
  <c r="K210" i="2" s="1"/>
  <c r="J97" i="5"/>
  <c r="F97" i="5" s="1"/>
  <c r="J160" i="5"/>
  <c r="F160" i="5" s="1"/>
  <c r="K564" i="2" s="1"/>
  <c r="J96" i="6"/>
  <c r="F96" i="6" s="1"/>
  <c r="K397" i="2" s="1"/>
  <c r="J117" i="6"/>
  <c r="F117" i="6" s="1"/>
  <c r="K499" i="2" s="1"/>
  <c r="J313" i="4"/>
  <c r="F313" i="4" s="1"/>
  <c r="J14" i="6"/>
  <c r="F14" i="6" s="1"/>
  <c r="K55" i="2" s="1"/>
  <c r="J79" i="6"/>
  <c r="F79" i="6" s="1"/>
  <c r="J211" i="4"/>
  <c r="F211" i="4" s="1"/>
  <c r="J144" i="6"/>
  <c r="F144" i="6" s="1"/>
  <c r="K640" i="2" s="1"/>
  <c r="J133" i="6"/>
  <c r="F133" i="6" s="1"/>
  <c r="K620" i="2" s="1"/>
  <c r="J56" i="4"/>
  <c r="F56" i="4" s="1"/>
  <c r="J75" i="5"/>
  <c r="F75" i="5" s="1"/>
  <c r="J326" i="4"/>
  <c r="F326" i="4" s="1"/>
  <c r="J383" i="4"/>
  <c r="F383" i="4" s="1"/>
  <c r="J57" i="6"/>
  <c r="F57" i="6" s="1"/>
  <c r="K258" i="2" s="1"/>
  <c r="J92" i="4"/>
  <c r="F92" i="4" s="1"/>
  <c r="J122" i="5"/>
  <c r="F122" i="5" s="1"/>
  <c r="K483" i="2" s="1"/>
  <c r="J199" i="4"/>
  <c r="J141" i="5"/>
  <c r="F141" i="5" s="1"/>
  <c r="K596" i="2" s="1"/>
  <c r="J112" i="7"/>
  <c r="F112" i="7" s="1"/>
  <c r="K539" i="2" s="1"/>
  <c r="J117" i="5"/>
  <c r="F117" i="5" s="1"/>
  <c r="K462" i="2" s="1"/>
  <c r="J92" i="6"/>
  <c r="F92" i="6" s="1"/>
  <c r="K332" i="2" s="1"/>
  <c r="J22" i="6"/>
  <c r="F22" i="6" s="1"/>
  <c r="K66" i="2" s="1"/>
  <c r="J149" i="4"/>
  <c r="F149" i="4" s="1"/>
  <c r="F130" i="4"/>
  <c r="J46" i="5"/>
  <c r="F46" i="5" s="1"/>
  <c r="K127" i="2" s="1"/>
  <c r="J97" i="7"/>
  <c r="F97" i="7" s="1"/>
  <c r="K405" i="2" s="1"/>
  <c r="J344" i="4"/>
  <c r="F344" i="4" s="1"/>
  <c r="F94" i="7"/>
  <c r="K478" i="2" s="1"/>
  <c r="F63" i="6"/>
  <c r="K224" i="2" s="1"/>
  <c r="J28" i="7"/>
  <c r="F28" i="7" s="1"/>
  <c r="K88" i="2" s="1"/>
  <c r="J328" i="4"/>
  <c r="F328" i="4" s="1"/>
  <c r="J46" i="6"/>
  <c r="F46" i="6" s="1"/>
  <c r="J359" i="4"/>
  <c r="F359" i="4" s="1"/>
  <c r="J90" i="4"/>
  <c r="F90" i="4" s="1"/>
  <c r="J182" i="4"/>
  <c r="F182" i="4" s="1"/>
  <c r="J93" i="6"/>
  <c r="F93" i="6" s="1"/>
  <c r="K410" i="2" s="1"/>
  <c r="F183" i="4"/>
  <c r="F243" i="4"/>
  <c r="F289" i="4"/>
  <c r="F245" i="4"/>
  <c r="F148" i="4"/>
  <c r="F385" i="4"/>
  <c r="F353" i="4"/>
  <c r="F316" i="4"/>
  <c r="F307" i="4"/>
  <c r="F254" i="4"/>
  <c r="F266" i="4"/>
  <c r="F206" i="4"/>
  <c r="F107" i="4"/>
  <c r="F199" i="4"/>
  <c r="F320" i="4"/>
  <c r="F382" i="4"/>
  <c r="F228" i="4"/>
  <c r="F234" i="4"/>
  <c r="F300" i="4"/>
  <c r="F282" i="4"/>
  <c r="F304" i="4"/>
  <c r="F108" i="4"/>
  <c r="F364" i="4"/>
  <c r="F214" i="4"/>
  <c r="F153" i="4"/>
  <c r="F61" i="4"/>
  <c r="F346" i="4"/>
  <c r="F26" i="4"/>
  <c r="F147" i="4"/>
  <c r="F4" i="4"/>
  <c r="F69" i="4"/>
  <c r="F257" i="4"/>
  <c r="F236" i="4"/>
  <c r="F172" i="4"/>
  <c r="F186" i="4"/>
  <c r="F338" i="4"/>
  <c r="F47" i="4"/>
  <c r="F203" i="4"/>
  <c r="F23" i="4"/>
  <c r="F180" i="4"/>
  <c r="F241" i="4"/>
  <c r="F309" i="4"/>
  <c r="F380" i="4"/>
  <c r="F122" i="4"/>
  <c r="F80" i="4"/>
  <c r="F235" i="4"/>
  <c r="F337" i="4"/>
  <c r="F239" i="4"/>
  <c r="F318" i="4"/>
  <c r="F255" i="4"/>
  <c r="F142" i="4"/>
  <c r="F177" i="4"/>
  <c r="F146" i="4"/>
  <c r="F19" i="4"/>
  <c r="F202" i="4"/>
  <c r="F185" i="4"/>
  <c r="F12" i="4"/>
  <c r="F176" i="4"/>
  <c r="F123" i="4"/>
  <c r="F158" i="4"/>
  <c r="F264" i="4"/>
  <c r="F200" i="4"/>
  <c r="F227" i="4"/>
  <c r="F269" i="4"/>
  <c r="F66" i="4"/>
  <c r="F296" i="4"/>
  <c r="F358" i="4"/>
  <c r="F124" i="4"/>
  <c r="F310" i="4"/>
  <c r="F54" i="4"/>
  <c r="F155" i="4"/>
  <c r="F57" i="4"/>
  <c r="F78" i="4"/>
  <c r="F205" i="4"/>
  <c r="F166" i="4"/>
  <c r="F70" i="4"/>
  <c r="F290" i="4"/>
  <c r="F270" i="4"/>
  <c r="F272" i="4"/>
  <c r="F386" i="4"/>
  <c r="F231" i="4"/>
  <c r="F139" i="4"/>
  <c r="F164" i="4"/>
  <c r="F286" i="4"/>
  <c r="F20" i="4"/>
  <c r="F372" i="4"/>
  <c r="F350" i="4"/>
  <c r="F198" i="4"/>
  <c r="F218" i="4"/>
  <c r="F59" i="4"/>
  <c r="F377" i="4"/>
  <c r="F125" i="4"/>
  <c r="F119" i="4"/>
  <c r="F102" i="4"/>
  <c r="F151" i="4"/>
  <c r="F210" i="4"/>
  <c r="F145" i="4"/>
  <c r="F21" i="4"/>
  <c r="F16" i="4"/>
  <c r="F249" i="4"/>
  <c r="F215" i="4"/>
  <c r="F343" i="4"/>
  <c r="F140" i="4"/>
  <c r="F195" i="4"/>
  <c r="F41" i="4"/>
  <c r="F44" i="4"/>
  <c r="F387" i="4"/>
  <c r="F321" i="4"/>
  <c r="F315" i="4"/>
  <c r="F161" i="4"/>
  <c r="F362" i="4"/>
  <c r="F171" i="4"/>
  <c r="F303" i="4"/>
  <c r="F265" i="4"/>
  <c r="F329" i="4"/>
  <c r="F285" i="4"/>
  <c r="F157" i="4"/>
  <c r="F229" i="4"/>
  <c r="F118" i="4"/>
  <c r="F6" i="4"/>
  <c r="F134" i="4"/>
  <c r="F277" i="4"/>
  <c r="F136" i="4"/>
  <c r="F192" i="4"/>
  <c r="F392" i="4"/>
  <c r="F160" i="4"/>
  <c r="F73" i="4"/>
  <c r="F174" i="4"/>
  <c r="F333" i="4"/>
  <c r="F45" i="4"/>
  <c r="F117" i="4"/>
  <c r="F38" i="4"/>
  <c r="F204" i="4"/>
  <c r="F120" i="4"/>
  <c r="F330" i="4"/>
  <c r="F284" i="4"/>
  <c r="F295" i="4"/>
  <c r="F17" i="4"/>
  <c r="F263" i="4"/>
  <c r="F99" i="4"/>
  <c r="F152" i="4"/>
  <c r="F179" i="4"/>
  <c r="F212" i="4"/>
  <c r="F268" i="4"/>
  <c r="F8" i="4"/>
  <c r="F207" i="4"/>
  <c r="F209" i="4"/>
  <c r="F287" i="4"/>
  <c r="F213" i="4"/>
  <c r="F302" i="4"/>
  <c r="F222" i="4"/>
  <c r="F373" i="4"/>
  <c r="F79" i="4"/>
  <c r="F106" i="4"/>
  <c r="J18" i="4"/>
  <c r="F18" i="4" s="1"/>
  <c r="J29" i="4"/>
  <c r="F29" i="4" s="1"/>
  <c r="J74" i="4"/>
  <c r="F74" i="4" s="1"/>
  <c r="F376" i="4"/>
  <c r="J103" i="7"/>
  <c r="F103" i="7" s="1"/>
  <c r="K473" i="2" s="1"/>
  <c r="F37" i="5"/>
  <c r="J197" i="4"/>
  <c r="F197" i="4" s="1"/>
  <c r="J85" i="5"/>
  <c r="F85" i="5" s="1"/>
  <c r="K352" i="2" s="1"/>
  <c r="J3" i="4"/>
  <c r="F3" i="4" s="1"/>
  <c r="J16" i="6"/>
  <c r="F16" i="6" s="1"/>
  <c r="J65" i="7"/>
  <c r="F65" i="7" s="1"/>
  <c r="K236" i="2" s="1"/>
  <c r="J125" i="4"/>
  <c r="J296" i="4"/>
  <c r="J20" i="6"/>
  <c r="F20" i="6" s="1"/>
  <c r="K61" i="2" s="1"/>
  <c r="J283" i="4"/>
  <c r="F283" i="4" s="1"/>
  <c r="J28" i="4"/>
  <c r="F28" i="4" s="1"/>
  <c r="J96" i="7"/>
  <c r="F96" i="7" s="1"/>
  <c r="K446" i="2" s="1"/>
  <c r="F73" i="7"/>
  <c r="K282" i="2" s="1"/>
  <c r="J323" i="4"/>
  <c r="F323" i="4" s="1"/>
  <c r="F110" i="7"/>
  <c r="K487" i="2" s="1"/>
  <c r="J194" i="4"/>
  <c r="F194" i="4" s="1"/>
  <c r="J275" i="4"/>
  <c r="F275" i="4" s="1"/>
  <c r="J68" i="7"/>
  <c r="F68" i="7" s="1"/>
  <c r="K246" i="2" s="1"/>
  <c r="F301" i="4"/>
  <c r="J6" i="7"/>
  <c r="F6" i="7" s="1"/>
  <c r="K14" i="2" s="1"/>
  <c r="J124" i="5"/>
  <c r="F124" i="5" s="1"/>
  <c r="K426" i="2" s="1"/>
  <c r="J5" i="7"/>
  <c r="F5" i="7" s="1"/>
  <c r="K8" i="2" s="1"/>
  <c r="J259" i="4"/>
  <c r="F259" i="4" s="1"/>
  <c r="J47" i="7"/>
  <c r="F47" i="7" s="1"/>
  <c r="K139" i="2" s="1"/>
  <c r="J341" i="4"/>
  <c r="F341" i="4" s="1"/>
  <c r="J121" i="4"/>
  <c r="F121" i="4" s="1"/>
  <c r="J143" i="4"/>
  <c r="F143" i="4" s="1"/>
  <c r="F119" i="7"/>
  <c r="K538" i="2" s="1"/>
  <c r="F39" i="6"/>
  <c r="K135" i="2" s="1"/>
  <c r="F305" i="4"/>
  <c r="J39" i="5"/>
  <c r="F39" i="5" s="1"/>
  <c r="K108" i="2" s="1"/>
  <c r="J229" i="4"/>
  <c r="J87" i="5"/>
  <c r="F87" i="5" s="1"/>
  <c r="J203" i="5"/>
  <c r="F203" i="5" s="1"/>
  <c r="K654" i="2" s="1"/>
  <c r="J36" i="4"/>
  <c r="F36" i="4" s="1"/>
  <c r="J84" i="6"/>
  <c r="F84" i="6" s="1"/>
  <c r="K339" i="2" s="1"/>
  <c r="J89" i="4"/>
  <c r="F89" i="4" s="1"/>
  <c r="J111" i="7"/>
  <c r="F111" i="7" s="1"/>
  <c r="K514" i="2" s="1"/>
  <c r="J56" i="6"/>
  <c r="F56" i="6" s="1"/>
  <c r="K175" i="2" s="1"/>
  <c r="F237" i="4"/>
  <c r="J378" i="4"/>
  <c r="F378" i="4" s="1"/>
  <c r="J368" i="4"/>
  <c r="F368" i="4" s="1"/>
  <c r="J165" i="4"/>
  <c r="F165" i="4" s="1"/>
  <c r="J107" i="5"/>
  <c r="F107" i="5" s="1"/>
  <c r="K358" i="2" s="1"/>
  <c r="J337" i="4"/>
  <c r="F88" i="4"/>
  <c r="F42" i="4"/>
  <c r="F190" i="5"/>
  <c r="K629" i="2" s="1"/>
  <c r="F8" i="8" l="1"/>
  <c r="K21" i="2" s="1"/>
  <c r="F159" i="8"/>
  <c r="K395" i="2" s="1"/>
  <c r="F4" i="8"/>
  <c r="K12" i="2" s="1"/>
  <c r="F203" i="8"/>
  <c r="K550" i="2" s="1"/>
  <c r="F193" i="8"/>
  <c r="K470" i="2" s="1"/>
  <c r="F188" i="8"/>
  <c r="K476" i="2" s="1"/>
  <c r="F80" i="8"/>
  <c r="K284" i="2" s="1"/>
  <c r="F39" i="8"/>
  <c r="K155" i="2" s="1"/>
  <c r="F11" i="8"/>
  <c r="K34" i="2" s="1"/>
  <c r="F138" i="8"/>
  <c r="K351" i="2" s="1"/>
  <c r="F105" i="8"/>
  <c r="K348" i="2" s="1"/>
  <c r="F128" i="8"/>
  <c r="K374" i="2" s="1"/>
  <c r="F90" i="8"/>
  <c r="K305" i="2" s="1"/>
  <c r="F49" i="8"/>
  <c r="K195" i="2" s="1"/>
  <c r="F143" i="8"/>
  <c r="K371" i="2" s="1"/>
  <c r="F180" i="8"/>
  <c r="K415" i="2" s="1"/>
  <c r="F34" i="8"/>
  <c r="K122" i="2" s="1"/>
  <c r="F3" i="8"/>
  <c r="K7" i="2" s="1"/>
  <c r="F63" i="8"/>
  <c r="K186" i="2" s="1"/>
  <c r="F196" i="8"/>
  <c r="K506" i="2" s="1"/>
  <c r="F213" i="8"/>
  <c r="K567" i="2" s="1"/>
  <c r="F104" i="8"/>
  <c r="K295" i="2" s="1"/>
  <c r="F100" i="8"/>
  <c r="K329" i="2" s="1"/>
  <c r="F212" i="8"/>
  <c r="K545" i="2" s="1"/>
  <c r="F68" i="8"/>
  <c r="K297" i="2" s="1"/>
  <c r="F175" i="8"/>
  <c r="K418" i="2" s="1"/>
  <c r="F192" i="8"/>
  <c r="K525" i="2" s="1"/>
  <c r="F153" i="8"/>
  <c r="K429" i="2" s="1"/>
  <c r="F96" i="8"/>
  <c r="K382" i="2" s="1"/>
  <c r="F160" i="8"/>
  <c r="K380" i="2" s="1"/>
  <c r="F194" i="8"/>
  <c r="K489" i="2" s="1"/>
  <c r="F181" i="8"/>
  <c r="K441" i="2" s="1"/>
  <c r="F71" i="8"/>
  <c r="K215" i="2" s="1"/>
  <c r="F75" i="8"/>
  <c r="K231" i="2" s="1"/>
  <c r="J25" i="9"/>
  <c r="F58" i="4"/>
  <c r="F54" i="8"/>
  <c r="K214" i="2" s="1"/>
  <c r="F116" i="8"/>
  <c r="K324" i="2" s="1"/>
  <c r="F36" i="8"/>
  <c r="K115" i="2" s="1"/>
  <c r="F122" i="8"/>
  <c r="K326" i="2" s="1"/>
  <c r="F37" i="8"/>
  <c r="K144" i="2" s="1"/>
  <c r="F60" i="8"/>
  <c r="K185" i="2" s="1"/>
  <c r="F31" i="4"/>
  <c r="F24" i="8"/>
  <c r="K87" i="2" s="1"/>
  <c r="F114" i="8"/>
  <c r="K359" i="2" s="1"/>
  <c r="F27" i="8"/>
  <c r="K110" i="2" s="1"/>
  <c r="F66" i="8"/>
  <c r="K198" i="2" s="1"/>
  <c r="F157" i="8"/>
  <c r="K452" i="2" s="1"/>
  <c r="F205" i="8"/>
  <c r="K497" i="2" s="1"/>
  <c r="F176" i="8"/>
  <c r="K421" i="2" s="1"/>
  <c r="F88" i="8"/>
  <c r="K274" i="2" s="1"/>
  <c r="F131" i="8"/>
  <c r="K437" i="2" s="1"/>
  <c r="F163" i="8"/>
  <c r="K465" i="2" s="1"/>
  <c r="F87" i="8"/>
  <c r="K266" i="2" s="1"/>
  <c r="F99" i="8"/>
  <c r="K276" i="2" s="1"/>
  <c r="F85" i="8"/>
  <c r="K257" i="2" s="1"/>
  <c r="F109" i="8"/>
  <c r="K322" i="2" s="1"/>
  <c r="F167" i="8"/>
  <c r="K434" i="2" s="1"/>
  <c r="F28" i="8"/>
  <c r="K117" i="2" s="1"/>
  <c r="F139" i="8"/>
  <c r="K417" i="2" s="1"/>
  <c r="F175" i="4"/>
  <c r="F166" i="8"/>
  <c r="K409" i="2" s="1"/>
  <c r="F110" i="4"/>
  <c r="F375" i="4"/>
  <c r="F230" i="4"/>
  <c r="F312" i="4"/>
  <c r="F189" i="8"/>
  <c r="K457" i="2" s="1"/>
  <c r="F56" i="8"/>
  <c r="K180" i="2" s="1"/>
  <c r="F5" i="8"/>
  <c r="K16" i="2" s="1"/>
  <c r="F19" i="8"/>
  <c r="K57" i="2" s="1"/>
  <c r="F25" i="8"/>
  <c r="K107" i="2" s="1"/>
  <c r="F168" i="8"/>
  <c r="K445" i="2" s="1"/>
  <c r="F67" i="8"/>
  <c r="K227" i="2" s="1"/>
  <c r="F111" i="8"/>
  <c r="K303" i="2" s="1"/>
  <c r="F12" i="8"/>
  <c r="K68" i="2" s="1"/>
  <c r="F51" i="8"/>
  <c r="K166" i="2" s="1"/>
  <c r="F76" i="8"/>
  <c r="K219" i="2" s="1"/>
  <c r="F191" i="8"/>
  <c r="K547" i="2" s="1"/>
  <c r="F18" i="8"/>
  <c r="K85" i="2" s="1"/>
  <c r="F182" i="8"/>
  <c r="K519" i="2" s="1"/>
  <c r="L519" i="2" s="1"/>
  <c r="F31" i="8"/>
  <c r="K105" i="2" s="1"/>
  <c r="F82" i="8"/>
  <c r="K248" i="2" s="1"/>
  <c r="F59" i="8"/>
  <c r="K296" i="2" s="1"/>
  <c r="F173" i="8"/>
  <c r="K504" i="2" s="1"/>
  <c r="F106" i="8"/>
  <c r="K291" i="2" s="1"/>
  <c r="F46" i="4"/>
  <c r="F200" i="8"/>
  <c r="K458" i="2" s="1"/>
  <c r="F238" i="4"/>
  <c r="F299" i="4"/>
  <c r="F46" i="8"/>
  <c r="K156" i="2" s="1"/>
  <c r="F324" i="4"/>
  <c r="F72" i="4"/>
  <c r="F97" i="8"/>
  <c r="K301" i="2" s="1"/>
  <c r="F131" i="4"/>
  <c r="F126" i="8"/>
  <c r="K420" i="2" s="1"/>
  <c r="F48" i="8"/>
  <c r="K173" i="2" s="1"/>
  <c r="F64" i="8"/>
  <c r="K190" i="2" s="1"/>
  <c r="F162" i="8"/>
  <c r="K386" i="2" s="1"/>
  <c r="L386" i="2" s="1"/>
  <c r="F119" i="8"/>
  <c r="K347" i="2" s="1"/>
  <c r="F6" i="8"/>
  <c r="K17" i="2" s="1"/>
  <c r="L17" i="2" s="1"/>
  <c r="F98" i="8"/>
  <c r="K435" i="2" s="1"/>
  <c r="F161" i="8"/>
  <c r="K419" i="2" s="1"/>
  <c r="F135" i="8"/>
  <c r="K360" i="2" s="1"/>
  <c r="F171" i="8"/>
  <c r="K430" i="2" s="1"/>
  <c r="F93" i="8"/>
  <c r="K278" i="2" s="1"/>
  <c r="F69" i="8"/>
  <c r="K196" i="2" s="1"/>
  <c r="F65" i="8"/>
  <c r="K188" i="2" s="1"/>
  <c r="F14" i="8"/>
  <c r="K42" i="2" s="1"/>
  <c r="L42" i="2" s="1"/>
  <c r="F53" i="8"/>
  <c r="K176" i="2" s="1"/>
  <c r="F125" i="8"/>
  <c r="K350" i="2" s="1"/>
  <c r="L350" i="2" s="1"/>
  <c r="F73" i="8"/>
  <c r="K226" i="2" s="1"/>
  <c r="F110" i="8"/>
  <c r="K346" i="2" s="1"/>
  <c r="F84" i="8"/>
  <c r="K271" i="2" s="1"/>
  <c r="F70" i="8"/>
  <c r="K201" i="2" s="1"/>
  <c r="F91" i="8"/>
  <c r="K298" i="2" s="1"/>
  <c r="F41" i="8"/>
  <c r="K132" i="2" s="1"/>
  <c r="F198" i="8"/>
  <c r="K492" i="2" s="1"/>
  <c r="F74" i="8"/>
  <c r="K319" i="2" s="1"/>
  <c r="L319" i="2" s="1"/>
  <c r="F47" i="8"/>
  <c r="K218" i="2" s="1"/>
  <c r="F172" i="8"/>
  <c r="K516" i="2" s="1"/>
  <c r="L516" i="2" s="1"/>
  <c r="F190" i="4"/>
  <c r="F185" i="8"/>
  <c r="K449" i="2" s="1"/>
  <c r="J19" i="9"/>
  <c r="F354" i="4"/>
  <c r="F155" i="8"/>
  <c r="K378" i="2" s="1"/>
  <c r="F260" i="4"/>
  <c r="F112" i="8"/>
  <c r="K320" i="2" s="1"/>
  <c r="F193" i="4"/>
  <c r="F61" i="8"/>
  <c r="K216" i="2" s="1"/>
  <c r="F137" i="4"/>
  <c r="F170" i="8"/>
  <c r="K512" i="2" s="1"/>
  <c r="F197" i="8"/>
  <c r="K438" i="2" s="1"/>
  <c r="F154" i="8"/>
  <c r="K425" i="2" s="1"/>
  <c r="F146" i="8"/>
  <c r="K411" i="2" s="1"/>
  <c r="F22" i="8"/>
  <c r="K48" i="2" s="1"/>
  <c r="F177" i="8"/>
  <c r="K432" i="2" s="1"/>
  <c r="F50" i="8"/>
  <c r="K172" i="2" s="1"/>
  <c r="F7" i="8"/>
  <c r="K19" i="2" s="1"/>
  <c r="L19" i="2" s="1"/>
  <c r="F123" i="8"/>
  <c r="K331" i="2" s="1"/>
  <c r="F57" i="8"/>
  <c r="K209" i="2" s="1"/>
  <c r="L209" i="2" s="1"/>
  <c r="F117" i="8"/>
  <c r="K312" i="2" s="1"/>
  <c r="F211" i="8"/>
  <c r="K560" i="2" s="1"/>
  <c r="F121" i="8"/>
  <c r="K406" i="2" s="1"/>
  <c r="F43" i="8"/>
  <c r="K142" i="2" s="1"/>
  <c r="F81" i="8"/>
  <c r="K250" i="2" s="1"/>
  <c r="F137" i="8"/>
  <c r="K361" i="2" s="1"/>
  <c r="F179" i="8"/>
  <c r="K498" i="2" s="1"/>
  <c r="F21" i="8"/>
  <c r="K44" i="2" s="1"/>
  <c r="L44" i="2" s="1"/>
  <c r="F165" i="8"/>
  <c r="K460" i="2" s="1"/>
  <c r="F124" i="8"/>
  <c r="K336" i="2" s="1"/>
  <c r="F208" i="8"/>
  <c r="K484" i="2" s="1"/>
  <c r="F45" i="8"/>
  <c r="K159" i="2" s="1"/>
  <c r="F298" i="4"/>
  <c r="F317" i="4"/>
  <c r="F127" i="4"/>
  <c r="F65" i="4"/>
  <c r="F319" i="4"/>
  <c r="F138" i="4"/>
  <c r="F306" i="4"/>
  <c r="F58" i="8"/>
  <c r="K223" i="2" s="1"/>
  <c r="L223" i="2" s="1"/>
  <c r="F150" i="4"/>
  <c r="F314" i="4"/>
  <c r="F168" i="4"/>
  <c r="F154" i="4"/>
  <c r="F253" i="4"/>
  <c r="F71" i="4"/>
  <c r="J31" i="9"/>
  <c r="F133" i="8"/>
  <c r="K353" i="2" s="1"/>
  <c r="F72" i="8"/>
  <c r="K285" i="2" s="1"/>
  <c r="F16" i="8"/>
  <c r="K90" i="2" s="1"/>
  <c r="L90" i="2" s="1"/>
  <c r="F95" i="8"/>
  <c r="K263" i="2" s="1"/>
  <c r="F206" i="8"/>
  <c r="K505" i="2" s="1"/>
  <c r="F38" i="8"/>
  <c r="K157" i="2" s="1"/>
  <c r="F29" i="8"/>
  <c r="K125" i="2" s="1"/>
  <c r="F129" i="8"/>
  <c r="K345" i="2" s="1"/>
  <c r="F169" i="8"/>
  <c r="K490" i="2" s="1"/>
  <c r="F150" i="8"/>
  <c r="K400" i="2" s="1"/>
  <c r="F108" i="8"/>
  <c r="K300" i="2" s="1"/>
  <c r="L300" i="2" s="1"/>
  <c r="F142" i="8"/>
  <c r="K355" i="2" s="1"/>
  <c r="L355" i="2" s="1"/>
  <c r="F10" i="8"/>
  <c r="K28" i="2" s="1"/>
  <c r="L28" i="2" s="1"/>
  <c r="F79" i="8"/>
  <c r="K249" i="2" s="1"/>
  <c r="F196" i="4"/>
  <c r="F52" i="4"/>
  <c r="F369" i="4"/>
  <c r="F44" i="8"/>
  <c r="K154" i="2" s="1"/>
  <c r="F217" i="4"/>
  <c r="F40" i="8"/>
  <c r="K128" i="2" s="1"/>
  <c r="F52" i="8"/>
  <c r="K244" i="2" s="1"/>
  <c r="L244" i="2" s="1"/>
  <c r="F115" i="8"/>
  <c r="K330" i="2" s="1"/>
  <c r="L330" i="2" s="1"/>
  <c r="F35" i="8"/>
  <c r="K148" i="2" s="1"/>
  <c r="L148" i="2" s="1"/>
  <c r="F132" i="8"/>
  <c r="K408" i="2" s="1"/>
  <c r="F148" i="8"/>
  <c r="K453" i="2" s="1"/>
  <c r="F17" i="8"/>
  <c r="K74" i="2" s="1"/>
  <c r="F144" i="8"/>
  <c r="K402" i="2" s="1"/>
  <c r="F134" i="8"/>
  <c r="K431" i="2" s="1"/>
  <c r="F30" i="8"/>
  <c r="K104" i="2" s="1"/>
  <c r="F9" i="8"/>
  <c r="K26" i="2" s="1"/>
  <c r="F78" i="8"/>
  <c r="K261" i="2" s="1"/>
  <c r="L261" i="2" s="1"/>
  <c r="F195" i="8"/>
  <c r="K526" i="2" s="1"/>
  <c r="L526" i="2" s="1"/>
  <c r="F183" i="8"/>
  <c r="K508" i="2" s="1"/>
  <c r="L508" i="2" s="1"/>
  <c r="F103" i="8"/>
  <c r="K302" i="2" s="1"/>
  <c r="F178" i="8"/>
  <c r="K523" i="2" s="1"/>
  <c r="F201" i="8"/>
  <c r="K537" i="2" s="1"/>
  <c r="F202" i="8"/>
  <c r="K451" i="2" s="1"/>
  <c r="F186" i="8"/>
  <c r="K472" i="2" s="1"/>
  <c r="F23" i="8"/>
  <c r="K84" i="2" s="1"/>
  <c r="F10" i="4"/>
  <c r="F13" i="4"/>
  <c r="F370" i="4"/>
  <c r="F89" i="8"/>
  <c r="K247" i="2" s="1"/>
  <c r="L247" i="2" s="1"/>
  <c r="F102" i="8"/>
  <c r="K288" i="2" s="1"/>
  <c r="F33" i="8"/>
  <c r="K129" i="2" s="1"/>
  <c r="F156" i="8"/>
  <c r="K376" i="2" s="1"/>
  <c r="F130" i="8"/>
  <c r="K333" i="2" s="1"/>
  <c r="F118" i="8"/>
  <c r="K314" i="2" s="1"/>
  <c r="F184" i="8"/>
  <c r="K447" i="2" s="1"/>
  <c r="F20" i="8"/>
  <c r="K47" i="2" s="1"/>
  <c r="F158" i="8"/>
  <c r="K466" i="2" s="1"/>
  <c r="L466" i="2" s="1"/>
  <c r="F94" i="8"/>
  <c r="K264" i="2" s="1"/>
  <c r="L264" i="2" s="1"/>
  <c r="F92" i="8"/>
  <c r="K267" i="2" s="1"/>
  <c r="L267" i="2" s="1"/>
  <c r="F209" i="8"/>
  <c r="K577" i="2" s="1"/>
  <c r="F141" i="8"/>
  <c r="K356" i="2" s="1"/>
  <c r="F26" i="8"/>
  <c r="K95" i="2" s="1"/>
  <c r="F147" i="8"/>
  <c r="K379" i="2" s="1"/>
  <c r="F390" i="4"/>
  <c r="F93" i="4"/>
  <c r="F7" i="4"/>
  <c r="F294" i="4"/>
  <c r="F145" i="8"/>
  <c r="K373" i="2" s="1"/>
  <c r="L373" i="2" s="1"/>
  <c r="F127" i="8"/>
  <c r="K334" i="2" s="1"/>
  <c r="F151" i="8"/>
  <c r="K493" i="2" s="1"/>
  <c r="F101" i="8"/>
  <c r="K318" i="2" s="1"/>
  <c r="F210" i="8"/>
  <c r="K558" i="2" s="1"/>
  <c r="F32" i="8"/>
  <c r="K119" i="2" s="1"/>
  <c r="F187" i="8"/>
  <c r="K456" i="2" s="1"/>
  <c r="F174" i="8"/>
  <c r="K393" i="2" s="1"/>
  <c r="F62" i="8"/>
  <c r="K183" i="2" s="1"/>
  <c r="F15" i="8"/>
  <c r="K53" i="2" s="1"/>
  <c r="L53" i="2" s="1"/>
  <c r="F152" i="8"/>
  <c r="K388" i="2" s="1"/>
  <c r="L388" i="2" s="1"/>
  <c r="F42" i="8"/>
  <c r="K158" i="2" s="1"/>
  <c r="L158" i="2" s="1"/>
  <c r="F86" i="8"/>
  <c r="K287" i="2" s="1"/>
  <c r="F113" i="8"/>
  <c r="K327" i="2" s="1"/>
  <c r="F149" i="8"/>
  <c r="K364" i="2" s="1"/>
  <c r="F140" i="8"/>
  <c r="K396" i="2" s="1"/>
  <c r="F13" i="8"/>
  <c r="K38" i="2" s="1"/>
  <c r="F83" i="8"/>
  <c r="K299" i="2" s="1"/>
  <c r="F164" i="8"/>
  <c r="K394" i="2" s="1"/>
  <c r="F190" i="8"/>
  <c r="K510" i="2" s="1"/>
  <c r="L510" i="2" s="1"/>
  <c r="F77" i="8"/>
  <c r="K255" i="2" s="1"/>
  <c r="F207" i="8"/>
  <c r="K494" i="2" s="1"/>
  <c r="L494" i="2" s="1"/>
  <c r="F204" i="8"/>
  <c r="K511" i="2" s="1"/>
  <c r="F221" i="4"/>
  <c r="F68" i="4"/>
  <c r="F262" i="4"/>
  <c r="F77" i="4"/>
  <c r="F5" i="4"/>
  <c r="F135" i="4"/>
  <c r="F351" i="4"/>
  <c r="F156" i="4"/>
  <c r="F120" i="8"/>
  <c r="K321" i="2" s="1"/>
  <c r="L321" i="2" s="1"/>
  <c r="F250" i="4"/>
  <c r="J47" i="9"/>
  <c r="J10" i="9"/>
  <c r="J16" i="9"/>
  <c r="J49" i="9"/>
  <c r="C50" i="9"/>
  <c r="E527" i="2" s="1"/>
  <c r="J61" i="9"/>
  <c r="J3" i="9"/>
  <c r="J38" i="9"/>
  <c r="J18" i="9"/>
  <c r="C33" i="9"/>
  <c r="E279" i="2" s="1"/>
  <c r="C59" i="9"/>
  <c r="E591" i="2" s="1"/>
  <c r="C39" i="9"/>
  <c r="E372" i="2" s="1"/>
  <c r="C20" i="9"/>
  <c r="E160" i="2" s="1"/>
  <c r="C56" i="9"/>
  <c r="E580" i="2" s="1"/>
  <c r="C54" i="9"/>
  <c r="E570" i="2" s="1"/>
  <c r="J14" i="9"/>
  <c r="J30" i="9"/>
  <c r="J53" i="9"/>
  <c r="J64" i="9"/>
  <c r="J4" i="9"/>
  <c r="J48" i="9"/>
  <c r="C36" i="9"/>
  <c r="E313" i="2" s="1"/>
  <c r="C61" i="9"/>
  <c r="E635" i="2" s="1"/>
  <c r="C17" i="9"/>
  <c r="E149" i="2" s="1"/>
  <c r="C32" i="9"/>
  <c r="E251" i="2" s="1"/>
  <c r="J12" i="9"/>
  <c r="J55" i="9"/>
  <c r="J26" i="9"/>
  <c r="J42" i="9"/>
  <c r="J58" i="9"/>
  <c r="J37" i="9"/>
  <c r="C18" i="9"/>
  <c r="E151" i="2" s="1"/>
  <c r="C62" i="9"/>
  <c r="E648" i="2" s="1"/>
  <c r="C12" i="9"/>
  <c r="E72" i="2" s="1"/>
  <c r="C31" i="9"/>
  <c r="E238" i="2" s="1"/>
  <c r="C24" i="9"/>
  <c r="E192" i="2" s="1"/>
  <c r="C53" i="9"/>
  <c r="E546" i="2" s="1"/>
  <c r="C27" i="9"/>
  <c r="E222" i="2" s="1"/>
  <c r="C57" i="9"/>
  <c r="E583" i="2" s="1"/>
  <c r="J22" i="9"/>
  <c r="J50" i="9"/>
  <c r="C37" i="9"/>
  <c r="E337" i="2" s="1"/>
  <c r="C48" i="9"/>
  <c r="E500" i="2" s="1"/>
  <c r="J33" i="9"/>
  <c r="J29" i="9"/>
  <c r="J35" i="9"/>
  <c r="J15" i="9"/>
  <c r="J28" i="9"/>
  <c r="J24" i="9"/>
  <c r="J52" i="9"/>
  <c r="C15" i="9"/>
  <c r="E112" i="2" s="1"/>
  <c r="C25" i="9"/>
  <c r="E199" i="2" s="1"/>
  <c r="C51" i="9"/>
  <c r="E531" i="2" s="1"/>
  <c r="C10" i="9"/>
  <c r="E69" i="2" s="1"/>
  <c r="C13" i="9"/>
  <c r="E89" i="2" s="1"/>
  <c r="J20" i="9"/>
  <c r="J45" i="9"/>
  <c r="J46" i="9"/>
  <c r="J51" i="9"/>
  <c r="J34" i="9"/>
  <c r="J23" i="9"/>
  <c r="J54" i="9"/>
  <c r="J32" i="9"/>
  <c r="J59" i="9"/>
  <c r="C9" i="9"/>
  <c r="E67" i="2" s="1"/>
  <c r="C28" i="9"/>
  <c r="E225" i="2" s="1"/>
  <c r="C44" i="9"/>
  <c r="E475" i="2" s="1"/>
  <c r="C29" i="9"/>
  <c r="E228" i="2" s="1"/>
  <c r="C4" i="9"/>
  <c r="E23" i="2" s="1"/>
  <c r="C19" i="9"/>
  <c r="E153" i="2" s="1"/>
  <c r="C65" i="9"/>
  <c r="E655" i="2" s="1"/>
  <c r="J6" i="9"/>
  <c r="C21" i="9"/>
  <c r="E165" i="2" s="1"/>
  <c r="J57" i="9"/>
  <c r="J17" i="9"/>
  <c r="J40" i="9"/>
  <c r="J63" i="9"/>
  <c r="J36" i="9"/>
  <c r="J8" i="9"/>
  <c r="J13" i="9"/>
  <c r="C11" i="9"/>
  <c r="E71" i="2" s="1"/>
  <c r="C42" i="9"/>
  <c r="E450" i="2" s="1"/>
  <c r="C52" i="9"/>
  <c r="E533" i="2" s="1"/>
  <c r="C3" i="9"/>
  <c r="E22" i="2" s="1"/>
  <c r="C25" i="3" s="1"/>
  <c r="C58" i="9"/>
  <c r="E585" i="2" s="1"/>
  <c r="C47" i="9"/>
  <c r="E488" i="2" s="1"/>
  <c r="C6" i="9"/>
  <c r="E45" i="2" s="1"/>
  <c r="C40" i="9"/>
  <c r="E384" i="2" s="1"/>
  <c r="C55" i="9"/>
  <c r="E569" i="2" s="1"/>
  <c r="C34" i="9"/>
  <c r="E293" i="2" s="1"/>
  <c r="C35" i="9"/>
  <c r="E289" i="2" s="1"/>
  <c r="C43" i="9"/>
  <c r="E455" i="2" s="1"/>
  <c r="C49" i="9"/>
  <c r="E524" i="2" s="1"/>
  <c r="C26" i="9"/>
  <c r="E220" i="2" s="1"/>
  <c r="C14" i="9"/>
  <c r="E103" i="2" s="1"/>
  <c r="C22" i="9"/>
  <c r="E167" i="2" s="1"/>
  <c r="C16" i="9"/>
  <c r="E121" i="2" s="1"/>
  <c r="J9" i="9"/>
  <c r="J41" i="9"/>
  <c r="J62" i="9"/>
  <c r="J27" i="9"/>
  <c r="J21" i="9"/>
  <c r="C38" i="9"/>
  <c r="E369" i="2" s="1"/>
  <c r="C45" i="9"/>
  <c r="E477" i="2" s="1"/>
  <c r="C63" i="9"/>
  <c r="E650" i="2" s="1"/>
  <c r="C41" i="9"/>
  <c r="E387" i="2" s="1"/>
  <c r="J11" i="9"/>
  <c r="J7" i="9"/>
  <c r="J56" i="9"/>
  <c r="J5" i="9"/>
  <c r="J60" i="9"/>
  <c r="J65" i="9"/>
  <c r="J39" i="9"/>
  <c r="C5" i="9"/>
  <c r="E24" i="2" s="1"/>
  <c r="C8" i="9"/>
  <c r="E64" i="2" s="1"/>
  <c r="C7" i="9"/>
  <c r="E51" i="2" s="1"/>
  <c r="C30" i="9"/>
  <c r="E234" i="2" s="1"/>
  <c r="C60" i="9"/>
  <c r="E630" i="2" s="1"/>
  <c r="C46" i="9"/>
  <c r="E481" i="2" s="1"/>
  <c r="C64" i="9"/>
  <c r="E651" i="2" s="1"/>
  <c r="C23" i="9"/>
  <c r="E177" i="2" s="1"/>
  <c r="L8" i="2"/>
  <c r="L108" i="2"/>
  <c r="L339" i="2"/>
  <c r="L554" i="2"/>
  <c r="L457" i="2"/>
  <c r="L27" i="2"/>
  <c r="L451" i="2"/>
  <c r="L589" i="2"/>
  <c r="L242" i="2"/>
  <c r="L410" i="2"/>
  <c r="L66" i="2"/>
  <c r="L499" i="2"/>
  <c r="L463" i="2"/>
  <c r="L377" i="2"/>
  <c r="L202" i="2"/>
  <c r="L536" i="2"/>
  <c r="L628" i="2"/>
  <c r="L100" i="2"/>
  <c r="L218" i="2"/>
  <c r="L517" i="2"/>
  <c r="L633" i="2"/>
  <c r="L306" i="2"/>
  <c r="L660" i="2"/>
  <c r="L638" i="2"/>
  <c r="L620" i="2"/>
  <c r="L378" i="2"/>
  <c r="L549" i="2"/>
  <c r="L241" i="2"/>
  <c r="L155" i="2"/>
  <c r="L212" i="2"/>
  <c r="L482" i="2"/>
  <c r="L425" i="2"/>
  <c r="L252" i="2"/>
  <c r="L265" i="2"/>
  <c r="L200" i="2"/>
  <c r="L521" i="2"/>
  <c r="L253" i="2"/>
  <c r="L555" i="2"/>
  <c r="L657" i="2"/>
  <c r="L413" i="2"/>
  <c r="L291" i="2"/>
  <c r="L75" i="2"/>
  <c r="L126" i="2"/>
  <c r="L127" i="2"/>
  <c r="L97" i="2"/>
  <c r="L180" i="2"/>
  <c r="L233" i="2"/>
  <c r="L102" i="2"/>
  <c r="L78" i="2"/>
  <c r="L308" i="2"/>
  <c r="L371" i="2"/>
  <c r="L335" i="2"/>
  <c r="L304" i="2"/>
  <c r="L266" i="2"/>
  <c r="L282" i="2"/>
  <c r="L99" i="2"/>
  <c r="L305" i="2"/>
  <c r="L211" i="2"/>
  <c r="L35" i="2"/>
  <c r="L120" i="2"/>
  <c r="L624" i="2"/>
  <c r="L627" i="2"/>
  <c r="L169" i="2"/>
  <c r="L404" i="2"/>
  <c r="L621" i="2"/>
  <c r="L344" i="2"/>
  <c r="L79" i="2"/>
  <c r="L571" i="2"/>
  <c r="L595" i="2"/>
  <c r="L601" i="2"/>
  <c r="L63" i="2"/>
  <c r="L631" i="2"/>
  <c r="L280" i="2"/>
  <c r="L442" i="2"/>
  <c r="L198" i="2"/>
  <c r="L246" i="2"/>
  <c r="L468" i="2"/>
  <c r="L366" i="2"/>
  <c r="L111" i="2"/>
  <c r="L572" i="2"/>
  <c r="L401" i="2"/>
  <c r="L46" i="2"/>
  <c r="L551" i="2"/>
  <c r="L600" i="2"/>
  <c r="L462" i="2"/>
  <c r="L636" i="2"/>
  <c r="L74" i="2"/>
  <c r="L411" i="2"/>
  <c r="L303" i="2"/>
  <c r="L68" i="2"/>
  <c r="L166" i="2"/>
  <c r="L276" i="2"/>
  <c r="L257" i="2"/>
  <c r="L506" i="2"/>
  <c r="L418" i="2"/>
  <c r="L185" i="2"/>
  <c r="L389" i="2"/>
  <c r="L511" i="2"/>
  <c r="L427" i="2"/>
  <c r="L520" i="2"/>
  <c r="L317" i="2"/>
  <c r="G6" i="3"/>
  <c r="L9" i="2"/>
  <c r="L552" i="2"/>
  <c r="L597" i="2"/>
  <c r="L608" i="2"/>
  <c r="L412" i="2"/>
  <c r="L164" i="2"/>
  <c r="L515" i="2"/>
  <c r="L101" i="2"/>
  <c r="L98" i="2"/>
  <c r="L116" i="2"/>
  <c r="L58" i="2"/>
  <c r="L449" i="2"/>
  <c r="L574" i="2"/>
  <c r="L62" i="2"/>
  <c r="L301" i="2"/>
  <c r="L438" i="2"/>
  <c r="L171" i="2"/>
  <c r="L383" i="2"/>
  <c r="L114" i="2"/>
  <c r="L323" i="2"/>
  <c r="L297" i="2"/>
  <c r="L95" i="2"/>
  <c r="L232" i="2"/>
  <c r="L393" i="2"/>
  <c r="L82" i="2"/>
  <c r="L391" i="2"/>
  <c r="L616" i="2"/>
  <c r="L119" i="2"/>
  <c r="L430" i="2"/>
  <c r="L110" i="2"/>
  <c r="L453" i="2"/>
  <c r="L123" i="2"/>
  <c r="L562" i="2"/>
  <c r="L592" i="2"/>
  <c r="L243" i="2"/>
  <c r="L586" i="2"/>
  <c r="L535" i="2"/>
  <c r="L358" i="2"/>
  <c r="L632" i="2"/>
  <c r="L483" i="2"/>
  <c r="L91" i="2"/>
  <c r="L496" i="2"/>
  <c r="L239" i="2"/>
  <c r="L614" i="2"/>
  <c r="L205" i="2"/>
  <c r="L514" i="2"/>
  <c r="L390" i="2"/>
  <c r="G10" i="3"/>
  <c r="L4" i="2"/>
  <c r="L73" i="2"/>
  <c r="L129" i="2"/>
  <c r="L376" i="2"/>
  <c r="L312" i="2"/>
  <c r="L560" i="2"/>
  <c r="L176" i="2"/>
  <c r="L226" i="2"/>
  <c r="L219" i="2"/>
  <c r="L547" i="2"/>
  <c r="L322" i="2"/>
  <c r="L434" i="2"/>
  <c r="L117" i="2"/>
  <c r="L21" i="2"/>
  <c r="L470" i="2"/>
  <c r="L659" i="2"/>
  <c r="L159" i="2"/>
  <c r="L6" i="2"/>
  <c r="L194" i="2"/>
  <c r="L663" i="2"/>
  <c r="L414" i="2"/>
  <c r="L658" i="2"/>
  <c r="L130" i="2"/>
  <c r="L268" i="2"/>
  <c r="L283" i="2"/>
  <c r="L141" i="2"/>
  <c r="L55" i="2"/>
  <c r="L272" i="2"/>
  <c r="L363" i="2"/>
  <c r="L178" i="2"/>
  <c r="L162" i="2"/>
  <c r="L190" i="2"/>
  <c r="L320" i="2"/>
  <c r="L216" i="2"/>
  <c r="L106" i="2"/>
  <c r="L443" i="2"/>
  <c r="L644" i="2"/>
  <c r="L539" i="2"/>
  <c r="L467" i="2"/>
  <c r="L311" i="2"/>
  <c r="L352" i="2"/>
  <c r="L480" i="2"/>
  <c r="L274" i="2"/>
  <c r="L318" i="2"/>
  <c r="L292" i="2"/>
  <c r="L134" i="2"/>
  <c r="L501" i="2"/>
  <c r="L465" i="2"/>
  <c r="L538" i="2"/>
  <c r="L224" i="2"/>
  <c r="L324" i="2"/>
  <c r="L456" i="2"/>
  <c r="L664" i="2"/>
  <c r="L426" i="2"/>
  <c r="L208" i="2"/>
  <c r="L269" i="2"/>
  <c r="L325" i="2"/>
  <c r="L654" i="2"/>
  <c r="L594" i="2"/>
  <c r="L503" i="2"/>
  <c r="L623" i="2"/>
  <c r="L661" i="2"/>
  <c r="L603" i="2"/>
  <c r="L587" i="2"/>
  <c r="L407" i="2"/>
  <c r="L258" i="2"/>
  <c r="L495" i="2"/>
  <c r="L599" i="2"/>
  <c r="L362" i="2"/>
  <c r="L37" i="2"/>
  <c r="L206" i="2"/>
  <c r="L568" i="2"/>
  <c r="L213" i="2"/>
  <c r="L262" i="2"/>
  <c r="L593" i="2"/>
  <c r="L263" i="2"/>
  <c r="L406" i="2"/>
  <c r="L142" i="2"/>
  <c r="L250" i="2"/>
  <c r="L346" i="2"/>
  <c r="L271" i="2"/>
  <c r="L85" i="2"/>
  <c r="L105" i="2"/>
  <c r="L417" i="2"/>
  <c r="L374" i="2"/>
  <c r="L461" i="2"/>
  <c r="L476" i="2"/>
  <c r="L15" i="2"/>
  <c r="L518" i="2"/>
  <c r="L561" i="2"/>
  <c r="L640" i="2"/>
  <c r="L338" i="2"/>
  <c r="L649" i="2"/>
  <c r="L170" i="2"/>
  <c r="L575" i="2"/>
  <c r="L39" i="2"/>
  <c r="L237" i="2"/>
  <c r="L128" i="2"/>
  <c r="L611" i="2"/>
  <c r="L70" i="2"/>
  <c r="L550" i="2"/>
  <c r="L40" i="2"/>
  <c r="L522" i="2"/>
  <c r="L454" i="2"/>
  <c r="L227" i="2"/>
  <c r="L382" i="2"/>
  <c r="L16" i="2"/>
  <c r="L605" i="2"/>
  <c r="L92" i="2"/>
  <c r="L609" i="2"/>
  <c r="L502" i="2"/>
  <c r="L618" i="2"/>
  <c r="L370" i="2"/>
  <c r="L423" i="2"/>
  <c r="L647" i="2"/>
  <c r="L479" i="2"/>
  <c r="L416" i="2"/>
  <c r="L146" i="2"/>
  <c r="L183" i="2"/>
  <c r="L604" i="2"/>
  <c r="L307" i="2"/>
  <c r="L50" i="2"/>
  <c r="L275" i="2"/>
  <c r="L204" i="2"/>
  <c r="L29" i="2"/>
  <c r="L340" i="2"/>
  <c r="L328" i="2"/>
  <c r="L452" i="2"/>
  <c r="L489" i="2"/>
  <c r="L402" i="2"/>
  <c r="L435" i="2"/>
  <c r="L505" i="2"/>
  <c r="L157" i="2"/>
  <c r="L125" i="2"/>
  <c r="L361" i="2"/>
  <c r="L498" i="2"/>
  <c r="L201" i="2"/>
  <c r="L298" i="2"/>
  <c r="L432" i="2"/>
  <c r="L248" i="2"/>
  <c r="L590" i="2"/>
  <c r="L11" i="2"/>
  <c r="L392" i="2"/>
  <c r="L397" i="2"/>
  <c r="L25" i="2"/>
  <c r="L56" i="2"/>
  <c r="L61" i="2"/>
  <c r="L469" i="2"/>
  <c r="L532" i="2"/>
  <c r="L87" i="2"/>
  <c r="L347" i="2"/>
  <c r="L10" i="2"/>
  <c r="L602" i="2"/>
  <c r="L179" i="2"/>
  <c r="L48" i="2"/>
  <c r="L487" i="2"/>
  <c r="L57" i="2"/>
  <c r="L642" i="2"/>
  <c r="L140" i="2"/>
  <c r="L186" i="2"/>
  <c r="L255" i="2"/>
  <c r="L135" i="2"/>
  <c r="G14" i="3"/>
  <c r="L7" i="2"/>
  <c r="L210" i="2"/>
  <c r="L150" i="2"/>
  <c r="L436" i="2"/>
  <c r="L188" i="2"/>
  <c r="L545" i="2"/>
  <c r="L349" i="2"/>
  <c r="L214" i="2"/>
  <c r="L191" i="2"/>
  <c r="L478" i="2"/>
  <c r="L315" i="2"/>
  <c r="L626" i="2"/>
  <c r="L622" i="2"/>
  <c r="L543" i="2"/>
  <c r="L619" i="2"/>
  <c r="L96" i="2"/>
  <c r="L270" i="2"/>
  <c r="L260" i="2"/>
  <c r="L606" i="2"/>
  <c r="L464" i="2"/>
  <c r="L646" i="2"/>
  <c r="L579" i="2"/>
  <c r="L578" i="2"/>
  <c r="L33" i="2"/>
  <c r="L13" i="2"/>
  <c r="L109" i="2"/>
  <c r="L145" i="2"/>
  <c r="L290" i="2"/>
  <c r="L584" i="2"/>
  <c r="L326" i="2"/>
  <c r="L333" i="2"/>
  <c r="L431" i="2"/>
  <c r="L104" i="2"/>
  <c r="L26" i="2"/>
  <c r="L420" i="2"/>
  <c r="L345" i="2"/>
  <c r="L490" i="2"/>
  <c r="L460" i="2"/>
  <c r="L132" i="2"/>
  <c r="L492" i="2"/>
  <c r="L567" i="2"/>
  <c r="L83" i="2"/>
  <c r="L381" i="2"/>
  <c r="L277" i="2"/>
  <c r="L294" i="2"/>
  <c r="L399" i="2"/>
  <c r="L113" i="2"/>
  <c r="L273" i="2"/>
  <c r="L542" i="2"/>
  <c r="L565" i="2"/>
  <c r="L525" i="2"/>
  <c r="L49" i="2"/>
  <c r="L530" i="2"/>
  <c r="L84" i="2"/>
  <c r="L161" i="2"/>
  <c r="L14" i="2"/>
  <c r="L284" i="2"/>
  <c r="L309" i="2"/>
  <c r="L385" i="2"/>
  <c r="L54" i="2"/>
  <c r="L473" i="2"/>
  <c r="L316" i="2"/>
  <c r="L656" i="2"/>
  <c r="L446" i="2"/>
  <c r="L93" i="2"/>
  <c r="L429" i="2"/>
  <c r="L215" i="2"/>
  <c r="L343" i="2"/>
  <c r="L122" i="2"/>
  <c r="L139" i="2"/>
  <c r="L52" i="2"/>
  <c r="L528" i="2"/>
  <c r="L229" i="2"/>
  <c r="L365" i="2"/>
  <c r="L598" i="2"/>
  <c r="L613" i="2"/>
  <c r="L612" i="2"/>
  <c r="L513" i="2"/>
  <c r="L541" i="2"/>
  <c r="L641" i="2"/>
  <c r="L529" i="2"/>
  <c r="L380" i="2"/>
  <c r="L236" i="2"/>
  <c r="L184" i="2"/>
  <c r="L405" i="2"/>
  <c r="L189" i="2"/>
  <c r="L507" i="2"/>
  <c r="L76" i="2"/>
  <c r="L588" i="2"/>
  <c r="L131" i="2"/>
  <c r="L60" i="2"/>
  <c r="L497" i="2"/>
  <c r="L485" i="2"/>
  <c r="L287" i="2"/>
  <c r="L314" i="2"/>
  <c r="L447" i="2"/>
  <c r="L47" i="2"/>
  <c r="L400" i="2"/>
  <c r="L336" i="2"/>
  <c r="L512" i="2"/>
  <c r="L486" i="2"/>
  <c r="L296" i="2"/>
  <c r="L94" i="2"/>
  <c r="L168" i="2"/>
  <c r="L403" i="2"/>
  <c r="L207" i="2"/>
  <c r="L332" i="2"/>
  <c r="L509" i="2"/>
  <c r="L175" i="2"/>
  <c r="L249" i="2"/>
  <c r="L32" i="2"/>
  <c r="L231" i="2"/>
  <c r="L156" i="2"/>
  <c r="L154" i="2"/>
  <c r="L433" i="2"/>
  <c r="L240" i="2"/>
  <c r="L439" i="2"/>
  <c r="L359" i="2"/>
  <c r="L610" i="2"/>
  <c r="L548" i="2"/>
  <c r="L419" i="2"/>
  <c r="L559" i="2"/>
  <c r="L230" i="2"/>
  <c r="L278" i="2"/>
  <c r="L491" i="2"/>
  <c r="L43" i="2"/>
  <c r="L124" i="2"/>
  <c r="L3" i="2"/>
  <c r="L254" i="2"/>
  <c r="L285" i="2"/>
  <c r="L348" i="2"/>
  <c r="L379" i="2"/>
  <c r="L493" i="2"/>
  <c r="L629" i="2"/>
  <c r="L395" i="2"/>
  <c r="L221" i="2"/>
  <c r="L256" i="2"/>
  <c r="L665" i="2"/>
  <c r="L152" i="2"/>
  <c r="L564" i="2"/>
  <c r="L5" i="2"/>
  <c r="L428" i="2"/>
  <c r="L187" i="2"/>
  <c r="L357" i="2"/>
  <c r="L353" i="2"/>
  <c r="L34" i="2"/>
  <c r="L582" i="2"/>
  <c r="L147" i="2"/>
  <c r="L563" i="2"/>
  <c r="L557" i="2"/>
  <c r="L342" i="2"/>
  <c r="L459" i="2"/>
  <c r="L197" i="2"/>
  <c r="L540" i="2"/>
  <c r="L107" i="2"/>
  <c r="L415" i="2"/>
  <c r="L12" i="2"/>
  <c r="L327" i="2"/>
  <c r="L364" i="2"/>
  <c r="L396" i="2"/>
  <c r="L302" i="2"/>
  <c r="L523" i="2"/>
  <c r="L484" i="2"/>
  <c r="L193" i="2"/>
  <c r="L556" i="2"/>
  <c r="L59" i="2"/>
  <c r="L472" i="2"/>
  <c r="L203" i="2"/>
  <c r="L440" i="2"/>
  <c r="L20" i="2"/>
  <c r="L639" i="2"/>
  <c r="L86" i="2"/>
  <c r="L31" i="2"/>
  <c r="L422" i="2"/>
  <c r="L77" i="2"/>
  <c r="L458" i="2"/>
  <c r="L653" i="2"/>
  <c r="L424" i="2"/>
  <c r="L645" i="2"/>
  <c r="L544" i="2"/>
  <c r="L409" i="2"/>
  <c r="L617" i="2"/>
  <c r="L163" i="2"/>
  <c r="L576" i="2"/>
  <c r="L334" i="2"/>
  <c r="L36" i="2"/>
  <c r="L607" i="2"/>
  <c r="L445" i="2"/>
  <c r="L144" i="2"/>
  <c r="L643" i="2"/>
  <c r="L637" i="2"/>
  <c r="L138" i="2"/>
  <c r="L437" i="2"/>
  <c r="L295" i="2"/>
  <c r="L118" i="2"/>
  <c r="L558" i="2"/>
  <c r="L136" i="2"/>
  <c r="L173" i="2"/>
  <c r="L408" i="2"/>
  <c r="L172" i="2"/>
  <c r="L81" i="2"/>
  <c r="L652" i="2"/>
  <c r="L133" i="2"/>
  <c r="L615" i="2"/>
  <c r="L625" i="2"/>
  <c r="L354" i="2"/>
  <c r="L310" i="2"/>
  <c r="L41" i="2"/>
  <c r="G2" i="3"/>
  <c r="L2" i="2"/>
  <c r="L566" i="2"/>
  <c r="L581" i="2"/>
  <c r="L115" i="2"/>
  <c r="L596" i="2"/>
  <c r="L331" i="2"/>
  <c r="L235" i="2"/>
  <c r="L286" i="2"/>
  <c r="L259" i="2"/>
  <c r="L88" i="2"/>
  <c r="L80" i="2"/>
  <c r="L217" i="2"/>
  <c r="L375" i="2"/>
  <c r="L573" i="2"/>
  <c r="L288" i="2"/>
  <c r="L196" i="2"/>
  <c r="L421" i="2"/>
  <c r="L351" i="2"/>
  <c r="L195" i="2"/>
  <c r="L329" i="2"/>
  <c r="L441" i="2"/>
  <c r="L38" i="2"/>
  <c r="L299" i="2"/>
  <c r="L394" i="2"/>
  <c r="L577" i="2"/>
  <c r="L356" i="2"/>
  <c r="L537" i="2"/>
  <c r="L534" i="2"/>
  <c r="L367" i="2"/>
  <c r="L553" i="2"/>
  <c r="L341" i="2"/>
  <c r="L30" i="2"/>
  <c r="L368" i="2"/>
  <c r="L245" i="2"/>
  <c r="L448" i="2"/>
  <c r="L174" i="2"/>
  <c r="L398" i="2"/>
  <c r="L504" i="2"/>
  <c r="L662" i="2"/>
  <c r="L634" i="2"/>
  <c r="L143" i="2"/>
  <c r="L65" i="2"/>
  <c r="L137" i="2"/>
  <c r="L360" i="2"/>
  <c r="F7" i="9" l="1"/>
  <c r="K51" i="2" s="1"/>
  <c r="L51" i="2" s="1"/>
  <c r="F9" i="9"/>
  <c r="K67" i="2" s="1"/>
  <c r="L67" i="2" s="1"/>
  <c r="F36" i="9"/>
  <c r="K313" i="2" s="1"/>
  <c r="L313" i="2" s="1"/>
  <c r="F46" i="9"/>
  <c r="K481" i="2" s="1"/>
  <c r="L481" i="2" s="1"/>
  <c r="F28" i="9"/>
  <c r="K225" i="2" s="1"/>
  <c r="L225" i="2" s="1"/>
  <c r="F26" i="9"/>
  <c r="K220" i="2" s="1"/>
  <c r="L220" i="2" s="1"/>
  <c r="F53" i="9"/>
  <c r="K546" i="2" s="1"/>
  <c r="L546" i="2" s="1"/>
  <c r="F38" i="9"/>
  <c r="K369" i="2" s="1"/>
  <c r="L369" i="2" s="1"/>
  <c r="F11" i="9"/>
  <c r="K71" i="2" s="1"/>
  <c r="L71" i="2" s="1"/>
  <c r="F45" i="9"/>
  <c r="K477" i="2" s="1"/>
  <c r="L477" i="2" s="1"/>
  <c r="F3" i="9"/>
  <c r="K22" i="2" s="1"/>
  <c r="F56" i="9"/>
  <c r="K580" i="2" s="1"/>
  <c r="L580" i="2" s="1"/>
  <c r="F41" i="9"/>
  <c r="K387" i="2" s="1"/>
  <c r="L387" i="2" s="1"/>
  <c r="F8" i="9"/>
  <c r="K64" i="2" s="1"/>
  <c r="L64" i="2" s="1"/>
  <c r="F51" i="9"/>
  <c r="K531" i="2" s="1"/>
  <c r="L531" i="2" s="1"/>
  <c r="F24" i="9"/>
  <c r="K192" i="2" s="1"/>
  <c r="L192" i="2" s="1"/>
  <c r="F42" i="9"/>
  <c r="K450" i="2" s="1"/>
  <c r="L450" i="2" s="1"/>
  <c r="F64" i="9"/>
  <c r="K651" i="2" s="1"/>
  <c r="L651" i="2" s="1"/>
  <c r="F18" i="9"/>
  <c r="K151" i="2" s="1"/>
  <c r="L151" i="2" s="1"/>
  <c r="F44" i="9"/>
  <c r="K475" i="2" s="1"/>
  <c r="L475" i="2" s="1"/>
  <c r="F40" i="9"/>
  <c r="K384" i="2" s="1"/>
  <c r="L384" i="2" s="1"/>
  <c r="F20" i="9"/>
  <c r="K160" i="2" s="1"/>
  <c r="L160" i="2" s="1"/>
  <c r="F35" i="9"/>
  <c r="K289" i="2" s="1"/>
  <c r="L289" i="2" s="1"/>
  <c r="F12" i="9"/>
  <c r="K72" i="2" s="1"/>
  <c r="L72" i="2" s="1"/>
  <c r="F14" i="9"/>
  <c r="K103" i="2" s="1"/>
  <c r="L103" i="2" s="1"/>
  <c r="F61" i="9"/>
  <c r="K635" i="2" s="1"/>
  <c r="L635" i="2" s="1"/>
  <c r="F31" i="9"/>
  <c r="K238" i="2" s="1"/>
  <c r="L238" i="2" s="1"/>
  <c r="F17" i="9"/>
  <c r="K149" i="2" s="1"/>
  <c r="L149" i="2" s="1"/>
  <c r="F29" i="9"/>
  <c r="K228" i="2" s="1"/>
  <c r="L228" i="2" s="1"/>
  <c r="F57" i="9"/>
  <c r="K583" i="2" s="1"/>
  <c r="L583" i="2" s="1"/>
  <c r="F59" i="9"/>
  <c r="K591" i="2" s="1"/>
  <c r="L591" i="2" s="1"/>
  <c r="F33" i="9"/>
  <c r="K279" i="2" s="1"/>
  <c r="L279" i="2" s="1"/>
  <c r="F49" i="9"/>
  <c r="K524" i="2" s="1"/>
  <c r="L524" i="2" s="1"/>
  <c r="F39" i="9"/>
  <c r="K372" i="2" s="1"/>
  <c r="L372" i="2" s="1"/>
  <c r="F32" i="9"/>
  <c r="K251" i="2" s="1"/>
  <c r="L251" i="2" s="1"/>
  <c r="F16" i="9"/>
  <c r="K121" i="2" s="1"/>
  <c r="L121" i="2" s="1"/>
  <c r="F43" i="9"/>
  <c r="K455" i="2" s="1"/>
  <c r="L455" i="2" s="1"/>
  <c r="F63" i="9"/>
  <c r="K650" i="2" s="1"/>
  <c r="L650" i="2" s="1"/>
  <c r="F15" i="9"/>
  <c r="K112" i="2" s="1"/>
  <c r="L112" i="2" s="1"/>
  <c r="F55" i="9"/>
  <c r="K569" i="2" s="1"/>
  <c r="L569" i="2" s="1"/>
  <c r="F65" i="9"/>
  <c r="K655" i="2" s="1"/>
  <c r="L655" i="2" s="1"/>
  <c r="F21" i="9"/>
  <c r="K165" i="2" s="1"/>
  <c r="L165" i="2" s="1"/>
  <c r="F6" i="9"/>
  <c r="K45" i="2" s="1"/>
  <c r="L45" i="2" s="1"/>
  <c r="F54" i="9"/>
  <c r="K570" i="2" s="1"/>
  <c r="L570" i="2" s="1"/>
  <c r="F10" i="9"/>
  <c r="K69" i="2" s="1"/>
  <c r="L69" i="2" s="1"/>
  <c r="F19" i="9"/>
  <c r="K153" i="2" s="1"/>
  <c r="L153" i="2" s="1"/>
  <c r="F60" i="9"/>
  <c r="K630" i="2" s="1"/>
  <c r="F23" i="9"/>
  <c r="K177" i="2" s="1"/>
  <c r="L177" i="2" s="1"/>
  <c r="F50" i="9"/>
  <c r="K527" i="2" s="1"/>
  <c r="L527" i="2" s="1"/>
  <c r="F37" i="9"/>
  <c r="K337" i="2" s="1"/>
  <c r="L337" i="2" s="1"/>
  <c r="F48" i="9"/>
  <c r="K500" i="2" s="1"/>
  <c r="L500" i="2" s="1"/>
  <c r="F47" i="9"/>
  <c r="K488" i="2" s="1"/>
  <c r="L488" i="2" s="1"/>
  <c r="F25" i="9"/>
  <c r="K199" i="2" s="1"/>
  <c r="L199" i="2" s="1"/>
  <c r="F30" i="9"/>
  <c r="K234" i="2" s="1"/>
  <c r="L234" i="2" s="1"/>
  <c r="F27" i="9"/>
  <c r="K222" i="2" s="1"/>
  <c r="L222" i="2" s="1"/>
  <c r="F5" i="9"/>
  <c r="K24" i="2" s="1"/>
  <c r="A618" i="2" s="1"/>
  <c r="N618" i="2" s="1"/>
  <c r="F62" i="9"/>
  <c r="K648" i="2" s="1"/>
  <c r="F13" i="9"/>
  <c r="K89" i="2" s="1"/>
  <c r="L89" i="2" s="1"/>
  <c r="F34" i="9"/>
  <c r="K293" i="2" s="1"/>
  <c r="L293" i="2" s="1"/>
  <c r="F52" i="9"/>
  <c r="K533" i="2" s="1"/>
  <c r="L533" i="2" s="1"/>
  <c r="F22" i="9"/>
  <c r="K167" i="2" s="1"/>
  <c r="L167" i="2" s="1"/>
  <c r="F58" i="9"/>
  <c r="K585" i="2" s="1"/>
  <c r="L585" i="2" s="1"/>
  <c r="F4" i="9"/>
  <c r="K23" i="2" s="1"/>
  <c r="A627" i="2" s="1"/>
  <c r="N627" i="2" s="1"/>
  <c r="G22" i="3"/>
  <c r="A419" i="2" l="1"/>
  <c r="N419" i="2" s="1"/>
  <c r="A653" i="2"/>
  <c r="N653" i="2" s="1"/>
  <c r="A351" i="2"/>
  <c r="N351" i="2" s="1"/>
  <c r="A591" i="2"/>
  <c r="N591" i="2" s="1"/>
  <c r="A447" i="2"/>
  <c r="N447" i="2" s="1"/>
  <c r="A262" i="2"/>
  <c r="N262" i="2" s="1"/>
  <c r="A159" i="2"/>
  <c r="N159" i="2" s="1"/>
  <c r="A417" i="2"/>
  <c r="N417" i="2" s="1"/>
  <c r="A628" i="2"/>
  <c r="N628" i="2" s="1"/>
  <c r="A73" i="2"/>
  <c r="N73" i="2" s="1"/>
  <c r="A416" i="2"/>
  <c r="N416" i="2" s="1"/>
  <c r="A18" i="2"/>
  <c r="N18" i="2" s="1"/>
  <c r="A17" i="2"/>
  <c r="N17" i="2" s="1"/>
  <c r="A532" i="2"/>
  <c r="N532" i="2" s="1"/>
  <c r="A296" i="2"/>
  <c r="N296" i="2" s="1"/>
  <c r="A77" i="2"/>
  <c r="N77" i="2" s="1"/>
  <c r="A120" i="2"/>
  <c r="N120" i="2" s="1"/>
  <c r="A282" i="2"/>
  <c r="N282" i="2" s="1"/>
  <c r="A442" i="2"/>
  <c r="N442" i="2" s="1"/>
  <c r="A217" i="2"/>
  <c r="N217" i="2" s="1"/>
  <c r="A100" i="2"/>
  <c r="N100" i="2" s="1"/>
  <c r="A605" i="2"/>
  <c r="N605" i="2" s="1"/>
  <c r="A608" i="2"/>
  <c r="N608" i="2" s="1"/>
  <c r="A429" i="2"/>
  <c r="N429" i="2" s="1"/>
  <c r="A156" i="2"/>
  <c r="N156" i="2" s="1"/>
  <c r="A349" i="2"/>
  <c r="N349" i="2" s="1"/>
  <c r="A566" i="2"/>
  <c r="N566" i="2" s="1"/>
  <c r="A115" i="2"/>
  <c r="N115" i="2" s="1"/>
  <c r="A360" i="2"/>
  <c r="N360" i="2" s="1"/>
  <c r="A203" i="2"/>
  <c r="N203" i="2" s="1"/>
  <c r="A39" i="2"/>
  <c r="N39" i="2" s="1"/>
  <c r="A395" i="2"/>
  <c r="N395" i="2" s="1"/>
  <c r="A222" i="2"/>
  <c r="N222" i="2" s="1"/>
  <c r="A280" i="2"/>
  <c r="N280" i="2" s="1"/>
  <c r="A588" i="2"/>
  <c r="N588" i="2" s="1"/>
  <c r="A352" i="2"/>
  <c r="N352" i="2" s="1"/>
  <c r="A47" i="2"/>
  <c r="N47" i="2" s="1"/>
  <c r="A165" i="2"/>
  <c r="N165" i="2" s="1"/>
  <c r="A294" i="2"/>
  <c r="N294" i="2" s="1"/>
  <c r="A300" i="2"/>
  <c r="N300" i="2" s="1"/>
  <c r="A231" i="2"/>
  <c r="N231" i="2" s="1"/>
  <c r="A247" i="2"/>
  <c r="N247" i="2" s="1"/>
  <c r="A545" i="2"/>
  <c r="N545" i="2" s="1"/>
  <c r="A510" i="2"/>
  <c r="N510" i="2" s="1"/>
  <c r="A160" i="2"/>
  <c r="N160" i="2" s="1"/>
  <c r="A427" i="2"/>
  <c r="N427" i="2" s="1"/>
  <c r="A210" i="2"/>
  <c r="N210" i="2" s="1"/>
  <c r="A131" i="2"/>
  <c r="N131" i="2" s="1"/>
  <c r="A21" i="2"/>
  <c r="N21" i="2" s="1"/>
  <c r="A211" i="2"/>
  <c r="N211" i="2" s="1"/>
  <c r="L648" i="2"/>
  <c r="A520" i="2"/>
  <c r="N520" i="2" s="1"/>
  <c r="A390" i="2"/>
  <c r="N390" i="2" s="1"/>
  <c r="A112" i="2"/>
  <c r="N112" i="2" s="1"/>
  <c r="A516" i="2"/>
  <c r="N516" i="2" s="1"/>
  <c r="A599" i="2"/>
  <c r="N599" i="2" s="1"/>
  <c r="A452" i="2"/>
  <c r="N452" i="2" s="1"/>
  <c r="A648" i="2"/>
  <c r="N648" i="2" s="1"/>
  <c r="A662" i="2"/>
  <c r="N662" i="2" s="1"/>
  <c r="A271" i="2"/>
  <c r="N271" i="2" s="1"/>
  <c r="A550" i="2"/>
  <c r="N550" i="2" s="1"/>
  <c r="A630" i="2"/>
  <c r="N630" i="2" s="1"/>
  <c r="A72" i="2"/>
  <c r="N72" i="2" s="1"/>
  <c r="A355" i="2"/>
  <c r="N355" i="2" s="1"/>
  <c r="A432" i="2"/>
  <c r="N432" i="2" s="1"/>
  <c r="A511" i="2"/>
  <c r="N511" i="2" s="1"/>
  <c r="A565" i="2"/>
  <c r="N565" i="2" s="1"/>
  <c r="A33" i="2"/>
  <c r="N33" i="2" s="1"/>
  <c r="A104" i="2"/>
  <c r="N104" i="2" s="1"/>
  <c r="A22" i="2"/>
  <c r="N22" i="2" s="1"/>
  <c r="A598" i="2"/>
  <c r="N598" i="2" s="1"/>
  <c r="A129" i="2"/>
  <c r="N129" i="2" s="1"/>
  <c r="A140" i="2"/>
  <c r="N140" i="2" s="1"/>
  <c r="A216" i="2"/>
  <c r="N216" i="2" s="1"/>
  <c r="A105" i="2"/>
  <c r="N105" i="2" s="1"/>
  <c r="A93" i="2"/>
  <c r="N93" i="2" s="1"/>
  <c r="A428" i="2"/>
  <c r="N428" i="2" s="1"/>
  <c r="A652" i="2"/>
  <c r="N652" i="2" s="1"/>
  <c r="A285" i="2"/>
  <c r="N285" i="2" s="1"/>
  <c r="A379" i="2"/>
  <c r="N379" i="2" s="1"/>
  <c r="A286" i="2"/>
  <c r="N286" i="2" s="1"/>
  <c r="A136" i="2"/>
  <c r="N136" i="2" s="1"/>
  <c r="A659" i="2"/>
  <c r="N659" i="2" s="1"/>
  <c r="A497" i="2"/>
  <c r="N497" i="2" s="1"/>
  <c r="A88" i="2"/>
  <c r="N88" i="2" s="1"/>
  <c r="A228" i="2"/>
  <c r="N228" i="2" s="1"/>
  <c r="A76" i="2"/>
  <c r="N76" i="2" s="1"/>
  <c r="A515" i="2"/>
  <c r="N515" i="2" s="1"/>
  <c r="A489" i="2"/>
  <c r="N489" i="2" s="1"/>
  <c r="A633" i="2"/>
  <c r="N633" i="2" s="1"/>
  <c r="A641" i="2"/>
  <c r="N641" i="2" s="1"/>
  <c r="A124" i="2"/>
  <c r="N124" i="2" s="1"/>
  <c r="A248" i="2"/>
  <c r="N248" i="2" s="1"/>
  <c r="A632" i="2"/>
  <c r="N632" i="2" s="1"/>
  <c r="A383" i="2"/>
  <c r="N383" i="2" s="1"/>
  <c r="A172" i="2"/>
  <c r="N172" i="2" s="1"/>
  <c r="A179" i="2"/>
  <c r="N179" i="2" s="1"/>
  <c r="A526" i="2"/>
  <c r="N526" i="2" s="1"/>
  <c r="A456" i="2"/>
  <c r="N456" i="2" s="1"/>
  <c r="A32" i="2"/>
  <c r="N32" i="2" s="1"/>
  <c r="A312" i="2"/>
  <c r="N312" i="2" s="1"/>
  <c r="A164" i="2"/>
  <c r="N164" i="2" s="1"/>
  <c r="A563" i="2"/>
  <c r="N563" i="2" s="1"/>
  <c r="A384" i="2"/>
  <c r="N384" i="2" s="1"/>
  <c r="A492" i="2"/>
  <c r="N492" i="2" s="1"/>
  <c r="A587" i="2"/>
  <c r="N587" i="2" s="1"/>
  <c r="A369" i="2"/>
  <c r="N369" i="2" s="1"/>
  <c r="A649" i="2"/>
  <c r="N649" i="2" s="1"/>
  <c r="A161" i="2"/>
  <c r="N161" i="2" s="1"/>
  <c r="A534" i="2"/>
  <c r="N534" i="2" s="1"/>
  <c r="A109" i="2"/>
  <c r="N109" i="2" s="1"/>
  <c r="A121" i="2"/>
  <c r="N121" i="2" s="1"/>
  <c r="A374" i="2"/>
  <c r="N374" i="2" s="1"/>
  <c r="A198" i="2"/>
  <c r="N198" i="2" s="1"/>
  <c r="A237" i="2"/>
  <c r="N237" i="2" s="1"/>
  <c r="A484" i="2"/>
  <c r="N484" i="2" s="1"/>
  <c r="A13" i="2"/>
  <c r="N13" i="2" s="1"/>
  <c r="A293" i="2"/>
  <c r="N293" i="2" s="1"/>
  <c r="A90" i="2"/>
  <c r="N90" i="2" s="1"/>
  <c r="A404" i="2"/>
  <c r="N404" i="2" s="1"/>
  <c r="A253" i="2"/>
  <c r="N253" i="2" s="1"/>
  <c r="A415" i="2"/>
  <c r="N415" i="2" s="1"/>
  <c r="A543" i="2"/>
  <c r="N543" i="2" s="1"/>
  <c r="A645" i="2"/>
  <c r="N645" i="2" s="1"/>
  <c r="A386" i="2"/>
  <c r="N386" i="2" s="1"/>
  <c r="A169" i="2"/>
  <c r="N169" i="2" s="1"/>
  <c r="A382" i="2"/>
  <c r="N382" i="2" s="1"/>
  <c r="A346" i="2"/>
  <c r="N346" i="2" s="1"/>
  <c r="A181" i="2"/>
  <c r="N181" i="2" s="1"/>
  <c r="A646" i="2"/>
  <c r="N646" i="2" s="1"/>
  <c r="A436" i="2"/>
  <c r="N436" i="2" s="1"/>
  <c r="A370" i="2"/>
  <c r="N370" i="2" s="1"/>
  <c r="A367" i="2"/>
  <c r="N367" i="2" s="1"/>
  <c r="A584" i="2"/>
  <c r="N584" i="2" s="1"/>
  <c r="A366" i="2"/>
  <c r="N366" i="2" s="1"/>
  <c r="A394" i="2"/>
  <c r="N394" i="2" s="1"/>
  <c r="A491" i="2"/>
  <c r="N491" i="2" s="1"/>
  <c r="A470" i="2"/>
  <c r="N470" i="2" s="1"/>
  <c r="A357" i="2"/>
  <c r="N357" i="2" s="1"/>
  <c r="A303" i="2"/>
  <c r="N303" i="2" s="1"/>
  <c r="A464" i="2"/>
  <c r="N464" i="2" s="1"/>
  <c r="A319" i="2"/>
  <c r="N319" i="2" s="1"/>
  <c r="A553" i="2"/>
  <c r="N553" i="2" s="1"/>
  <c r="A342" i="2"/>
  <c r="N342" i="2" s="1"/>
  <c r="A424" i="2"/>
  <c r="N424" i="2" s="1"/>
  <c r="A433" i="2"/>
  <c r="N433" i="2" s="1"/>
  <c r="A152" i="2"/>
  <c r="N152" i="2" s="1"/>
  <c r="A576" i="2"/>
  <c r="N576" i="2" s="1"/>
  <c r="A555" i="2"/>
  <c r="N555" i="2" s="1"/>
  <c r="A380" i="2"/>
  <c r="N380" i="2" s="1"/>
  <c r="A292" i="2"/>
  <c r="N292" i="2" s="1"/>
  <c r="A440" i="2"/>
  <c r="N440" i="2" s="1"/>
  <c r="A482" i="2"/>
  <c r="N482" i="2" s="1"/>
  <c r="A490" i="2"/>
  <c r="N490" i="2" s="1"/>
  <c r="A251" i="2"/>
  <c r="N251" i="2" s="1"/>
  <c r="A615" i="2"/>
  <c r="N615" i="2" s="1"/>
  <c r="A330" i="2"/>
  <c r="N330" i="2" s="1"/>
  <c r="A283" i="2"/>
  <c r="N283" i="2" s="1"/>
  <c r="A122" i="2"/>
  <c r="N122" i="2" s="1"/>
  <c r="A113" i="2"/>
  <c r="N113" i="2" s="1"/>
  <c r="A506" i="2"/>
  <c r="N506" i="2" s="1"/>
  <c r="A55" i="2"/>
  <c r="N55" i="2" s="1"/>
  <c r="A249" i="2"/>
  <c r="N249" i="2" s="1"/>
  <c r="A281" i="2"/>
  <c r="N281" i="2" s="1"/>
  <c r="A467" i="2"/>
  <c r="N467" i="2" s="1"/>
  <c r="A64" i="2"/>
  <c r="N64" i="2" s="1"/>
  <c r="A5" i="2"/>
  <c r="N5" i="2" s="1"/>
  <c r="A135" i="2"/>
  <c r="N135" i="2" s="1"/>
  <c r="A20" i="2"/>
  <c r="N20" i="2" s="1"/>
  <c r="A362" i="2"/>
  <c r="N362" i="2" s="1"/>
  <c r="A151" i="2"/>
  <c r="N151" i="2" s="1"/>
  <c r="A194" i="2"/>
  <c r="N194" i="2" s="1"/>
  <c r="A241" i="2"/>
  <c r="N241" i="2" s="1"/>
  <c r="A410" i="2"/>
  <c r="N410" i="2" s="1"/>
  <c r="A260" i="2"/>
  <c r="N260" i="2" s="1"/>
  <c r="A378" i="2"/>
  <c r="N378" i="2" s="1"/>
  <c r="A142" i="2"/>
  <c r="N142" i="2" s="1"/>
  <c r="A79" i="2"/>
  <c r="N79" i="2" s="1"/>
  <c r="A274" i="2"/>
  <c r="N274" i="2" s="1"/>
  <c r="A493" i="2"/>
  <c r="N493" i="2" s="1"/>
  <c r="A334" i="2"/>
  <c r="N334" i="2" s="1"/>
  <c r="A604" i="2"/>
  <c r="N604" i="2" s="1"/>
  <c r="A389" i="2"/>
  <c r="N389" i="2" s="1"/>
  <c r="A56" i="2"/>
  <c r="N56" i="2" s="1"/>
  <c r="A130" i="2"/>
  <c r="N130" i="2" s="1"/>
  <c r="A537" i="2"/>
  <c r="N537" i="2" s="1"/>
  <c r="A184" i="2"/>
  <c r="N184" i="2" s="1"/>
  <c r="A16" i="2"/>
  <c r="N16" i="2" s="1"/>
  <c r="A403" i="2"/>
  <c r="N403" i="2" s="1"/>
  <c r="A239" i="2"/>
  <c r="N239" i="2" s="1"/>
  <c r="A134" i="2"/>
  <c r="N134" i="2" s="1"/>
  <c r="A356" i="2"/>
  <c r="N356" i="2" s="1"/>
  <c r="A236" i="2"/>
  <c r="N236" i="2" s="1"/>
  <c r="A7" i="2"/>
  <c r="N7" i="2" s="1"/>
  <c r="A157" i="2"/>
  <c r="N157" i="2" s="1"/>
  <c r="A123" i="2"/>
  <c r="N123" i="2" s="1"/>
  <c r="A24" i="2"/>
  <c r="N24" i="2" s="1"/>
  <c r="A288" i="2"/>
  <c r="N288" i="2" s="1"/>
  <c r="A528" i="2"/>
  <c r="N528" i="2" s="1"/>
  <c r="A471" i="2"/>
  <c r="N471" i="2" s="1"/>
  <c r="A505" i="2"/>
  <c r="N505" i="2" s="1"/>
  <c r="A453" i="2"/>
  <c r="N453" i="2" s="1"/>
  <c r="A465" i="2"/>
  <c r="N465" i="2" s="1"/>
  <c r="A297" i="2"/>
  <c r="N297" i="2" s="1"/>
  <c r="A325" i="2"/>
  <c r="N325" i="2" s="1"/>
  <c r="A583" i="2"/>
  <c r="N583" i="2" s="1"/>
  <c r="A541" i="2"/>
  <c r="N541" i="2" s="1"/>
  <c r="L630" i="2"/>
  <c r="A578" i="2"/>
  <c r="N578" i="2" s="1"/>
  <c r="A353" i="2"/>
  <c r="N353" i="2" s="1"/>
  <c r="A107" i="2"/>
  <c r="N107" i="2" s="1"/>
  <c r="A611" i="2"/>
  <c r="N611" i="2" s="1"/>
  <c r="A250" i="2"/>
  <c r="N250" i="2" s="1"/>
  <c r="A36" i="2"/>
  <c r="N36" i="2" s="1"/>
  <c r="A654" i="2"/>
  <c r="N654" i="2" s="1"/>
  <c r="A622" i="2"/>
  <c r="N622" i="2" s="1"/>
  <c r="A58" i="2"/>
  <c r="N58" i="2" s="1"/>
  <c r="A513" i="2"/>
  <c r="N513" i="2" s="1"/>
  <c r="A343" i="2"/>
  <c r="N343" i="2" s="1"/>
  <c r="A98" i="2"/>
  <c r="N98" i="2" s="1"/>
  <c r="A363" i="2"/>
  <c r="N363" i="2" s="1"/>
  <c r="A626" i="2"/>
  <c r="N626" i="2" s="1"/>
  <c r="A517" i="2"/>
  <c r="N517" i="2" s="1"/>
  <c r="A425" i="2"/>
  <c r="N425" i="2" s="1"/>
  <c r="A327" i="2"/>
  <c r="N327" i="2" s="1"/>
  <c r="A12" i="2"/>
  <c r="N12" i="2" s="1"/>
  <c r="A577" i="2"/>
  <c r="N577" i="2" s="1"/>
  <c r="A418" i="2"/>
  <c r="N418" i="2" s="1"/>
  <c r="A214" i="2"/>
  <c r="N214" i="2" s="1"/>
  <c r="A478" i="2"/>
  <c r="N478" i="2" s="1"/>
  <c r="A358" i="2"/>
  <c r="N358" i="2" s="1"/>
  <c r="A368" i="2"/>
  <c r="N368" i="2" s="1"/>
  <c r="A371" i="2"/>
  <c r="N371" i="2" s="1"/>
  <c r="A19" i="2"/>
  <c r="N19" i="2" s="1"/>
  <c r="A111" i="2"/>
  <c r="N111" i="2" s="1"/>
  <c r="A154" i="2"/>
  <c r="N154" i="2" s="1"/>
  <c r="A259" i="2"/>
  <c r="N259" i="2" s="1"/>
  <c r="A430" i="2"/>
  <c r="N430" i="2" s="1"/>
  <c r="A507" i="2"/>
  <c r="N507" i="2" s="1"/>
  <c r="A539" i="2"/>
  <c r="N539" i="2" s="1"/>
  <c r="A455" i="2"/>
  <c r="N455" i="2" s="1"/>
  <c r="A220" i="2"/>
  <c r="N220" i="2" s="1"/>
  <c r="A393" i="2"/>
  <c r="N393" i="2" s="1"/>
  <c r="A340" i="2"/>
  <c r="N340" i="2" s="1"/>
  <c r="A329" i="2"/>
  <c r="N329" i="2" s="1"/>
  <c r="A475" i="2"/>
  <c r="N475" i="2" s="1"/>
  <c r="A345" i="2"/>
  <c r="N345" i="2" s="1"/>
  <c r="A594" i="2"/>
  <c r="N594" i="2" s="1"/>
  <c r="A49" i="2"/>
  <c r="N49" i="2" s="1"/>
  <c r="A272" i="2"/>
  <c r="N272" i="2" s="1"/>
  <c r="A291" i="2"/>
  <c r="N291" i="2" s="1"/>
  <c r="A396" i="2"/>
  <c r="N396" i="2" s="1"/>
  <c r="A650" i="2"/>
  <c r="N650" i="2" s="1"/>
  <c r="A332" i="2"/>
  <c r="N332" i="2" s="1"/>
  <c r="A205" i="2"/>
  <c r="N205" i="2" s="1"/>
  <c r="A67" i="2"/>
  <c r="N67" i="2" s="1"/>
  <c r="A235" i="2"/>
  <c r="N235" i="2" s="1"/>
  <c r="A473" i="2"/>
  <c r="N473" i="2" s="1"/>
  <c r="A398" i="2"/>
  <c r="N398" i="2" s="1"/>
  <c r="A502" i="2"/>
  <c r="N502" i="2" s="1"/>
  <c r="A139" i="2"/>
  <c r="N139" i="2" s="1"/>
  <c r="A117" i="2"/>
  <c r="N117" i="2" s="1"/>
  <c r="A548" i="2"/>
  <c r="N548" i="2" s="1"/>
  <c r="A421" i="2"/>
  <c r="N421" i="2" s="1"/>
  <c r="A365" i="2"/>
  <c r="N365" i="2" s="1"/>
  <c r="A635" i="2"/>
  <c r="N635" i="2" s="1"/>
  <c r="A125" i="2"/>
  <c r="N125" i="2" s="1"/>
  <c r="A562" i="2"/>
  <c r="N562" i="2" s="1"/>
  <c r="A501" i="2"/>
  <c r="N501" i="2" s="1"/>
  <c r="A196" i="2"/>
  <c r="N196" i="2" s="1"/>
  <c r="A229" i="2"/>
  <c r="N229" i="2" s="1"/>
  <c r="A31" i="2"/>
  <c r="N31" i="2" s="1"/>
  <c r="A568" i="2"/>
  <c r="N568" i="2" s="1"/>
  <c r="A629" i="2"/>
  <c r="N629" i="2" s="1"/>
  <c r="A640" i="2"/>
  <c r="N640" i="2" s="1"/>
  <c r="A34" i="2"/>
  <c r="N34" i="2" s="1"/>
  <c r="A99" i="2"/>
  <c r="N99" i="2" s="1"/>
  <c r="A86" i="2"/>
  <c r="N86" i="2" s="1"/>
  <c r="A206" i="2"/>
  <c r="N206" i="2" s="1"/>
  <c r="A153" i="2"/>
  <c r="N153" i="2" s="1"/>
  <c r="A439" i="2"/>
  <c r="N439" i="2" s="1"/>
  <c r="A10" i="2"/>
  <c r="N10" i="2" s="1"/>
  <c r="A435" i="2"/>
  <c r="N435" i="2" s="1"/>
  <c r="A339" i="2"/>
  <c r="N339" i="2" s="1"/>
  <c r="A75" i="2"/>
  <c r="N75" i="2" s="1"/>
  <c r="A149" i="2"/>
  <c r="N149" i="2" s="1"/>
  <c r="A457" i="2"/>
  <c r="N457" i="2" s="1"/>
  <c r="A41" i="2"/>
  <c r="N41" i="2" s="1"/>
  <c r="A127" i="2"/>
  <c r="N127" i="2" s="1"/>
  <c r="A509" i="2"/>
  <c r="N509" i="2" s="1"/>
  <c r="A186" i="2"/>
  <c r="N186" i="2" s="1"/>
  <c r="A264" i="2"/>
  <c r="N264" i="2" s="1"/>
  <c r="A148" i="2"/>
  <c r="N148" i="2" s="1"/>
  <c r="A177" i="2"/>
  <c r="N177" i="2" s="1"/>
  <c r="A341" i="2"/>
  <c r="N341" i="2" s="1"/>
  <c r="A225" i="2"/>
  <c r="N225" i="2" s="1"/>
  <c r="A306" i="2"/>
  <c r="N306" i="2" s="1"/>
  <c r="A118" i="2"/>
  <c r="N118" i="2" s="1"/>
  <c r="A304" i="2"/>
  <c r="N304" i="2" s="1"/>
  <c r="A106" i="2"/>
  <c r="N106" i="2" s="1"/>
  <c r="A290" i="2"/>
  <c r="N290" i="2" s="1"/>
  <c r="A451" i="2"/>
  <c r="N451" i="2" s="1"/>
  <c r="A657" i="2"/>
  <c r="N657" i="2" s="1"/>
  <c r="A621" i="2"/>
  <c r="N621" i="2" s="1"/>
  <c r="A232" i="2"/>
  <c r="N232" i="2" s="1"/>
  <c r="A94" i="2"/>
  <c r="N94" i="2" s="1"/>
  <c r="A443" i="2"/>
  <c r="N443" i="2" s="1"/>
  <c r="A523" i="2"/>
  <c r="N523" i="2" s="1"/>
  <c r="A400" i="2"/>
  <c r="N400" i="2" s="1"/>
  <c r="A258" i="2"/>
  <c r="N258" i="2" s="1"/>
  <c r="A480" i="2"/>
  <c r="N480" i="2" s="1"/>
  <c r="A209" i="2"/>
  <c r="N209" i="2" s="1"/>
  <c r="A11" i="2"/>
  <c r="N11" i="2" s="1"/>
  <c r="A289" i="2"/>
  <c r="N289" i="2" s="1"/>
  <c r="A9" i="2"/>
  <c r="N9" i="2" s="1"/>
  <c r="A37" i="2"/>
  <c r="N37" i="2" s="1"/>
  <c r="A463" i="2"/>
  <c r="N463" i="2" s="1"/>
  <c r="A643" i="2"/>
  <c r="N643" i="2" s="1"/>
  <c r="A204" i="2"/>
  <c r="N204" i="2" s="1"/>
  <c r="A53" i="2"/>
  <c r="N53" i="2" s="1"/>
  <c r="A176" i="2"/>
  <c r="N176" i="2" s="1"/>
  <c r="A320" i="2"/>
  <c r="N320" i="2" s="1"/>
  <c r="A101" i="2"/>
  <c r="N101" i="2" s="1"/>
  <c r="A660" i="2"/>
  <c r="N660" i="2" s="1"/>
  <c r="A29" i="2"/>
  <c r="N29" i="2" s="1"/>
  <c r="A192" i="2"/>
  <c r="N192" i="2" s="1"/>
  <c r="A15" i="2"/>
  <c r="N15" i="2" s="1"/>
  <c r="A348" i="2"/>
  <c r="N348" i="2" s="1"/>
  <c r="A589" i="2"/>
  <c r="N589" i="2" s="1"/>
  <c r="A189" i="2"/>
  <c r="N189" i="2" s="1"/>
  <c r="A278" i="2"/>
  <c r="N278" i="2" s="1"/>
  <c r="A498" i="2"/>
  <c r="N498" i="2" s="1"/>
  <c r="A243" i="2"/>
  <c r="N243" i="2" s="1"/>
  <c r="A636" i="2"/>
  <c r="N636" i="2" s="1"/>
  <c r="A354" i="2"/>
  <c r="N354" i="2" s="1"/>
  <c r="A190" i="2"/>
  <c r="N190" i="2" s="1"/>
  <c r="A472" i="2"/>
  <c r="N472" i="2" s="1"/>
  <c r="A324" i="2"/>
  <c r="N324" i="2" s="1"/>
  <c r="A525" i="2"/>
  <c r="N525" i="2" s="1"/>
  <c r="A376" i="2"/>
  <c r="N376" i="2" s="1"/>
  <c r="A412" i="2"/>
  <c r="N412" i="2" s="1"/>
  <c r="A147" i="2"/>
  <c r="N147" i="2" s="1"/>
  <c r="A315" i="2"/>
  <c r="N315" i="2" s="1"/>
  <c r="A422" i="2"/>
  <c r="N422" i="2" s="1"/>
  <c r="A213" i="2"/>
  <c r="N213" i="2" s="1"/>
  <c r="A35" i="2"/>
  <c r="N35" i="2" s="1"/>
  <c r="A137" i="2"/>
  <c r="N137" i="2" s="1"/>
  <c r="A582" i="2"/>
  <c r="N582" i="2" s="1"/>
  <c r="A305" i="2"/>
  <c r="N305" i="2" s="1"/>
  <c r="A460" i="2"/>
  <c r="N460" i="2" s="1"/>
  <c r="A661" i="2"/>
  <c r="N661" i="2" s="1"/>
  <c r="A43" i="2"/>
  <c r="N43" i="2" s="1"/>
  <c r="A531" i="2"/>
  <c r="N531" i="2" s="1"/>
  <c r="A221" i="2"/>
  <c r="N221" i="2" s="1"/>
  <c r="A27" i="2"/>
  <c r="N27" i="2" s="1"/>
  <c r="A44" i="2"/>
  <c r="N44" i="2" s="1"/>
  <c r="A623" i="2"/>
  <c r="N623" i="2" s="1"/>
  <c r="A607" i="2"/>
  <c r="N607" i="2" s="1"/>
  <c r="A561" i="2"/>
  <c r="N561" i="2" s="1"/>
  <c r="A651" i="2"/>
  <c r="N651" i="2" s="1"/>
  <c r="A301" i="2"/>
  <c r="N301" i="2" s="1"/>
  <c r="A571" i="2"/>
  <c r="N571" i="2" s="1"/>
  <c r="A103" i="2"/>
  <c r="N103" i="2" s="1"/>
  <c r="A310" i="2"/>
  <c r="N310" i="2" s="1"/>
  <c r="A529" i="2"/>
  <c r="N529" i="2" s="1"/>
  <c r="A444" i="2"/>
  <c r="N444" i="2" s="1"/>
  <c r="A313" i="2"/>
  <c r="N313" i="2" s="1"/>
  <c r="A647" i="2"/>
  <c r="N647" i="2" s="1"/>
  <c r="A518" i="2"/>
  <c r="N518" i="2" s="1"/>
  <c r="A559" i="2"/>
  <c r="N559" i="2" s="1"/>
  <c r="A50" i="2"/>
  <c r="N50" i="2" s="1"/>
  <c r="A570" i="2"/>
  <c r="N570" i="2" s="1"/>
  <c r="A612" i="2"/>
  <c r="N612" i="2" s="1"/>
  <c r="A233" i="2"/>
  <c r="N233" i="2" s="1"/>
  <c r="A197" i="2"/>
  <c r="N197" i="2" s="1"/>
  <c r="L24" i="2"/>
  <c r="A637" i="2"/>
  <c r="N637" i="2" s="1"/>
  <c r="A191" i="2"/>
  <c r="N191" i="2" s="1"/>
  <c r="A468" i="2"/>
  <c r="N468" i="2" s="1"/>
  <c r="A617" i="2"/>
  <c r="N617" i="2" s="1"/>
  <c r="A263" i="2"/>
  <c r="N263" i="2" s="1"/>
  <c r="A496" i="2"/>
  <c r="N496" i="2" s="1"/>
  <c r="A91" i="2"/>
  <c r="N91" i="2" s="1"/>
  <c r="A265" i="2"/>
  <c r="N265" i="2" s="1"/>
  <c r="A586" i="2"/>
  <c r="N586" i="2" s="1"/>
  <c r="A252" i="2"/>
  <c r="N252" i="2" s="1"/>
  <c r="A538" i="2"/>
  <c r="N538" i="2" s="1"/>
  <c r="A375" i="2"/>
  <c r="N375" i="2" s="1"/>
  <c r="A224" i="2"/>
  <c r="N224" i="2" s="1"/>
  <c r="A255" i="2"/>
  <c r="N255" i="2" s="1"/>
  <c r="A462" i="2"/>
  <c r="N462" i="2" s="1"/>
  <c r="A572" i="2"/>
  <c r="N572" i="2" s="1"/>
  <c r="A141" i="2"/>
  <c r="N141" i="2" s="1"/>
  <c r="A175" i="2"/>
  <c r="N175" i="2" s="1"/>
  <c r="A244" i="2"/>
  <c r="N244" i="2" s="1"/>
  <c r="A560" i="2"/>
  <c r="N560" i="2" s="1"/>
  <c r="A223" i="2"/>
  <c r="N223" i="2" s="1"/>
  <c r="A521" i="2"/>
  <c r="N521" i="2" s="1"/>
  <c r="A530" i="2"/>
  <c r="N530" i="2" s="1"/>
  <c r="A585" i="2"/>
  <c r="N585" i="2" s="1"/>
  <c r="A527" i="2"/>
  <c r="N527" i="2" s="1"/>
  <c r="A30" i="2"/>
  <c r="N30" i="2" s="1"/>
  <c r="A479" i="2"/>
  <c r="N479" i="2" s="1"/>
  <c r="A656" i="2"/>
  <c r="N656" i="2" s="1"/>
  <c r="A226" i="2"/>
  <c r="N226" i="2" s="1"/>
  <c r="A347" i="2"/>
  <c r="N347" i="2" s="1"/>
  <c r="A195" i="2"/>
  <c r="N195" i="2" s="1"/>
  <c r="A613" i="2"/>
  <c r="N613" i="2" s="1"/>
  <c r="A458" i="2"/>
  <c r="N458" i="2" s="1"/>
  <c r="A593" i="2"/>
  <c r="N593" i="2" s="1"/>
  <c r="A624" i="2"/>
  <c r="N624" i="2" s="1"/>
  <c r="A644" i="2"/>
  <c r="N644" i="2" s="1"/>
  <c r="A215" i="2"/>
  <c r="N215" i="2" s="1"/>
  <c r="A218" i="2"/>
  <c r="N218" i="2" s="1"/>
  <c r="A261" i="2"/>
  <c r="N261" i="2" s="1"/>
  <c r="A522" i="2"/>
  <c r="N522" i="2" s="1"/>
  <c r="A590" i="2"/>
  <c r="N590" i="2" s="1"/>
  <c r="A246" i="2"/>
  <c r="N246" i="2" s="1"/>
  <c r="A95" i="2"/>
  <c r="N95" i="2" s="1"/>
  <c r="A665" i="2"/>
  <c r="N665" i="2" s="1"/>
  <c r="A188" i="2"/>
  <c r="N188" i="2" s="1"/>
  <c r="A132" i="2"/>
  <c r="N132" i="2" s="1"/>
  <c r="A603" i="2"/>
  <c r="N603" i="2" s="1"/>
  <c r="A437" i="2"/>
  <c r="N437" i="2" s="1"/>
  <c r="A338" i="2"/>
  <c r="N338" i="2" s="1"/>
  <c r="A256" i="2"/>
  <c r="N256" i="2" s="1"/>
  <c r="A308" i="2"/>
  <c r="N308" i="2" s="1"/>
  <c r="A326" i="2"/>
  <c r="N326" i="2" s="1"/>
  <c r="A569" i="2"/>
  <c r="N569" i="2" s="1"/>
  <c r="A544" i="2"/>
  <c r="N544" i="2" s="1"/>
  <c r="A414" i="2"/>
  <c r="N414" i="2" s="1"/>
  <c r="A295" i="2"/>
  <c r="N295" i="2" s="1"/>
  <c r="A62" i="2"/>
  <c r="N62" i="2" s="1"/>
  <c r="A328" i="2"/>
  <c r="N328" i="2" s="1"/>
  <c r="A580" i="2"/>
  <c r="N580" i="2" s="1"/>
  <c r="A321" i="2"/>
  <c r="N321" i="2" s="1"/>
  <c r="A575" i="2"/>
  <c r="N575" i="2" s="1"/>
  <c r="A54" i="2"/>
  <c r="N54" i="2" s="1"/>
  <c r="A45" i="2"/>
  <c r="N45" i="2" s="1"/>
  <c r="A408" i="2"/>
  <c r="N408" i="2" s="1"/>
  <c r="A441" i="2"/>
  <c r="N441" i="2" s="1"/>
  <c r="A323" i="2"/>
  <c r="N323" i="2" s="1"/>
  <c r="A126" i="2"/>
  <c r="N126" i="2" s="1"/>
  <c r="A631" i="2"/>
  <c r="N631" i="2" s="1"/>
  <c r="A299" i="2"/>
  <c r="N299" i="2" s="1"/>
  <c r="A60" i="2"/>
  <c r="N60" i="2" s="1"/>
  <c r="A350" i="2"/>
  <c r="N350" i="2" s="1"/>
  <c r="A187" i="2"/>
  <c r="N187" i="2" s="1"/>
  <c r="A494" i="2"/>
  <c r="N494" i="2" s="1"/>
  <c r="A655" i="2"/>
  <c r="N655" i="2" s="1"/>
  <c r="A499" i="2"/>
  <c r="N499" i="2" s="1"/>
  <c r="A185" i="2"/>
  <c r="N185" i="2" s="1"/>
  <c r="A337" i="2"/>
  <c r="N337" i="2" s="1"/>
  <c r="A42" i="2"/>
  <c r="N42" i="2" s="1"/>
  <c r="A420" i="2"/>
  <c r="N420" i="2" s="1"/>
  <c r="L23" i="2"/>
  <c r="A170" i="2"/>
  <c r="N170" i="2" s="1"/>
  <c r="A257" i="2"/>
  <c r="N257" i="2" s="1"/>
  <c r="A83" i="2"/>
  <c r="N83" i="2" s="1"/>
  <c r="A426" i="2"/>
  <c r="N426" i="2" s="1"/>
  <c r="A638" i="2"/>
  <c r="N638" i="2" s="1"/>
  <c r="A168" i="2"/>
  <c r="N168" i="2" s="1"/>
  <c r="A574" i="2"/>
  <c r="N574" i="2" s="1"/>
  <c r="A227" i="2"/>
  <c r="N227" i="2" s="1"/>
  <c r="A469" i="2"/>
  <c r="N469" i="2" s="1"/>
  <c r="A487" i="2"/>
  <c r="N487" i="2" s="1"/>
  <c r="A87" i="2"/>
  <c r="N87" i="2" s="1"/>
  <c r="A524" i="2"/>
  <c r="N524" i="2" s="1"/>
  <c r="A477" i="2"/>
  <c r="N477" i="2" s="1"/>
  <c r="A533" i="2"/>
  <c r="N533" i="2" s="1"/>
  <c r="A508" i="2"/>
  <c r="N508" i="2" s="1"/>
  <c r="A500" i="2"/>
  <c r="N500" i="2" s="1"/>
  <c r="A336" i="2"/>
  <c r="N336" i="2" s="1"/>
  <c r="A167" i="2"/>
  <c r="N167" i="2" s="1"/>
  <c r="A180" i="2"/>
  <c r="N180" i="2" s="1"/>
  <c r="A401" i="2"/>
  <c r="N401" i="2" s="1"/>
  <c r="A317" i="2"/>
  <c r="N317" i="2" s="1"/>
  <c r="A557" i="2"/>
  <c r="N557" i="2" s="1"/>
  <c r="A309" i="2"/>
  <c r="N309" i="2" s="1"/>
  <c r="A486" i="2"/>
  <c r="N486" i="2" s="1"/>
  <c r="A407" i="2"/>
  <c r="N407" i="2" s="1"/>
  <c r="A335" i="2"/>
  <c r="N335" i="2" s="1"/>
  <c r="A450" i="2"/>
  <c r="N450" i="2" s="1"/>
  <c r="A14" i="2"/>
  <c r="N14" i="2" s="1"/>
  <c r="A51" i="2"/>
  <c r="N51" i="2" s="1"/>
  <c r="A145" i="2"/>
  <c r="N145" i="2" s="1"/>
  <c r="A620" i="2"/>
  <c r="N620" i="2" s="1"/>
  <c r="A406" i="2"/>
  <c r="N406" i="2" s="1"/>
  <c r="A344" i="2"/>
  <c r="N344" i="2" s="1"/>
  <c r="A445" i="2"/>
  <c r="N445" i="2" s="1"/>
  <c r="A119" i="2"/>
  <c r="N119" i="2" s="1"/>
  <c r="A284" i="2"/>
  <c r="N284" i="2" s="1"/>
  <c r="A158" i="2"/>
  <c r="N158" i="2" s="1"/>
  <c r="A110" i="2"/>
  <c r="N110" i="2" s="1"/>
  <c r="A409" i="2"/>
  <c r="N409" i="2" s="1"/>
  <c r="A84" i="2"/>
  <c r="N84" i="2" s="1"/>
  <c r="A616" i="2"/>
  <c r="N616" i="2" s="1"/>
  <c r="A373" i="2"/>
  <c r="N373" i="2" s="1"/>
  <c r="A546" i="2"/>
  <c r="N546" i="2" s="1"/>
  <c r="A411" i="2"/>
  <c r="N411" i="2" s="1"/>
  <c r="A397" i="2"/>
  <c r="N397" i="2" s="1"/>
  <c r="A359" i="2"/>
  <c r="N359" i="2" s="1"/>
  <c r="A474" i="2"/>
  <c r="N474" i="2" s="1"/>
  <c r="A245" i="2"/>
  <c r="N245" i="2" s="1"/>
  <c r="A146" i="2"/>
  <c r="N146" i="2" s="1"/>
  <c r="A391" i="2"/>
  <c r="N391" i="2" s="1"/>
  <c r="A392" i="2"/>
  <c r="N392" i="2" s="1"/>
  <c r="A663" i="2"/>
  <c r="N663" i="2" s="1"/>
  <c r="A595" i="2"/>
  <c r="N595" i="2" s="1"/>
  <c r="A26" i="2"/>
  <c r="N26" i="2" s="1"/>
  <c r="A97" i="2"/>
  <c r="N97" i="2" s="1"/>
  <c r="A449" i="2"/>
  <c r="N449" i="2" s="1"/>
  <c r="A601" i="2"/>
  <c r="N601" i="2" s="1"/>
  <c r="A38" i="2"/>
  <c r="N38" i="2" s="1"/>
  <c r="A266" i="2"/>
  <c r="N266" i="2" s="1"/>
  <c r="A212" i="2"/>
  <c r="N212" i="2" s="1"/>
  <c r="A78" i="2"/>
  <c r="N78" i="2" s="1"/>
  <c r="A535" i="2"/>
  <c r="N535" i="2" s="1"/>
  <c r="A242" i="2"/>
  <c r="N242" i="2" s="1"/>
  <c r="A512" i="2"/>
  <c r="N512" i="2" s="1"/>
  <c r="A276" i="2"/>
  <c r="N276" i="2" s="1"/>
  <c r="A318" i="2"/>
  <c r="N318" i="2" s="1"/>
  <c r="A128" i="2"/>
  <c r="N128" i="2" s="1"/>
  <c r="A82" i="2"/>
  <c r="N82" i="2" s="1"/>
  <c r="A66" i="2"/>
  <c r="N66" i="2" s="1"/>
  <c r="A540" i="2"/>
  <c r="N540" i="2" s="1"/>
  <c r="A481" i="2"/>
  <c r="N481" i="2" s="1"/>
  <c r="A287" i="2"/>
  <c r="N287" i="2" s="1"/>
  <c r="A385" i="2"/>
  <c r="N385" i="2" s="1"/>
  <c r="A388" i="2"/>
  <c r="N388" i="2" s="1"/>
  <c r="A143" i="2"/>
  <c r="N143" i="2" s="1"/>
  <c r="A377" i="2"/>
  <c r="N377" i="2" s="1"/>
  <c r="A485" i="2"/>
  <c r="N485" i="2" s="1"/>
  <c r="A6" i="2"/>
  <c r="N6" i="2" s="1"/>
  <c r="A399" i="2"/>
  <c r="N399" i="2" s="1"/>
  <c r="A63" i="2"/>
  <c r="N63" i="2" s="1"/>
  <c r="A316" i="2"/>
  <c r="N316" i="2" s="1"/>
  <c r="A564" i="2"/>
  <c r="N564" i="2" s="1"/>
  <c r="A554" i="2"/>
  <c r="N554" i="2" s="1"/>
  <c r="A431" i="2"/>
  <c r="N431" i="2" s="1"/>
  <c r="A208" i="2"/>
  <c r="N208" i="2" s="1"/>
  <c r="A163" i="2"/>
  <c r="N163" i="2" s="1"/>
  <c r="A171" i="2"/>
  <c r="N171" i="2" s="1"/>
  <c r="A413" i="2"/>
  <c r="N413" i="2" s="1"/>
  <c r="A364" i="2"/>
  <c r="N364" i="2" s="1"/>
  <c r="A270" i="2"/>
  <c r="N270" i="2" s="1"/>
  <c r="A207" i="2"/>
  <c r="N207" i="2" s="1"/>
  <c r="A614" i="2"/>
  <c r="N614" i="2" s="1"/>
  <c r="A387" i="2"/>
  <c r="N387" i="2" s="1"/>
  <c r="A331" i="2"/>
  <c r="N331" i="2" s="1"/>
  <c r="A642" i="2"/>
  <c r="N642" i="2" s="1"/>
  <c r="A174" i="2"/>
  <c r="N174" i="2" s="1"/>
  <c r="A183" i="2"/>
  <c r="N183" i="2" s="1"/>
  <c r="A68" i="2"/>
  <c r="N68" i="2" s="1"/>
  <c r="A25" i="2"/>
  <c r="N25" i="2" s="1"/>
  <c r="A658" i="2"/>
  <c r="N658" i="2" s="1"/>
  <c r="A23" i="2"/>
  <c r="N23" i="2" s="1"/>
  <c r="A448" i="2"/>
  <c r="N448" i="2" s="1"/>
  <c r="A92" i="2"/>
  <c r="N92" i="2" s="1"/>
  <c r="A8" i="2"/>
  <c r="N8" i="2" s="1"/>
  <c r="A322" i="2"/>
  <c r="N322" i="2" s="1"/>
  <c r="A597" i="2"/>
  <c r="N597" i="2" s="1"/>
  <c r="A178" i="2"/>
  <c r="N178" i="2" s="1"/>
  <c r="A193" i="2"/>
  <c r="N193" i="2" s="1"/>
  <c r="A664" i="2"/>
  <c r="N664" i="2" s="1"/>
  <c r="A234" i="2"/>
  <c r="N234" i="2" s="1"/>
  <c r="A547" i="2"/>
  <c r="N547" i="2" s="1"/>
  <c r="A602" i="2"/>
  <c r="N602" i="2" s="1"/>
  <c r="A219" i="2"/>
  <c r="N219" i="2" s="1"/>
  <c r="A230" i="2"/>
  <c r="N230" i="2" s="1"/>
  <c r="A298" i="2"/>
  <c r="N298" i="2" s="1"/>
  <c r="A138" i="2"/>
  <c r="N138" i="2" s="1"/>
  <c r="A155" i="2"/>
  <c r="N155" i="2" s="1"/>
  <c r="A567" i="2"/>
  <c r="N567" i="2" s="1"/>
  <c r="A114" i="2"/>
  <c r="N114" i="2" s="1"/>
  <c r="A466" i="2"/>
  <c r="N466" i="2" s="1"/>
  <c r="A269" i="2"/>
  <c r="N269" i="2" s="1"/>
  <c r="A503" i="2"/>
  <c r="N503" i="2" s="1"/>
  <c r="A150" i="2"/>
  <c r="N150" i="2" s="1"/>
  <c r="A549" i="2"/>
  <c r="N549" i="2" s="1"/>
  <c r="A459" i="2"/>
  <c r="N459" i="2" s="1"/>
  <c r="A381" i="2"/>
  <c r="N381" i="2" s="1"/>
  <c r="A476" i="2"/>
  <c r="N476" i="2" s="1"/>
  <c r="G25" i="3"/>
  <c r="G28" i="3" s="1"/>
  <c r="L22" i="2"/>
  <c r="A202" i="2"/>
  <c r="N202" i="2" s="1"/>
  <c r="A402" i="2"/>
  <c r="N402" i="2" s="1"/>
  <c r="A446" i="2"/>
  <c r="N446" i="2" s="1"/>
  <c r="A333" i="2"/>
  <c r="N333" i="2" s="1"/>
  <c r="A96" i="2"/>
  <c r="N96" i="2" s="1"/>
  <c r="A619" i="2"/>
  <c r="N619" i="2" s="1"/>
  <c r="A81" i="2"/>
  <c r="N81" i="2" s="1"/>
  <c r="A133" i="2"/>
  <c r="N133" i="2" s="1"/>
  <c r="A483" i="2"/>
  <c r="N483" i="2" s="1"/>
  <c r="A240" i="2"/>
  <c r="N240" i="2" s="1"/>
  <c r="A279" i="2"/>
  <c r="N279" i="2" s="1"/>
  <c r="A596" i="2"/>
  <c r="N596" i="2" s="1"/>
  <c r="A71" i="2"/>
  <c r="N71" i="2" s="1"/>
  <c r="A277" i="2"/>
  <c r="N277" i="2" s="1"/>
  <c r="A74" i="2"/>
  <c r="N74" i="2" s="1"/>
  <c r="A199" i="2"/>
  <c r="N199" i="2" s="1"/>
  <c r="A275" i="2"/>
  <c r="N275" i="2" s="1"/>
  <c r="X25" i="3"/>
  <c r="AF2" i="3" s="1"/>
  <c r="A573" i="2"/>
  <c r="N573" i="2" s="1"/>
  <c r="A581" i="2"/>
  <c r="N581" i="2" s="1"/>
  <c r="A495" i="2"/>
  <c r="N495" i="2" s="1"/>
  <c r="A514" i="2"/>
  <c r="N514" i="2" s="1"/>
  <c r="A46" i="2"/>
  <c r="N46" i="2" s="1"/>
  <c r="A639" i="2"/>
  <c r="N639" i="2" s="1"/>
  <c r="A200" i="2"/>
  <c r="N200" i="2" s="1"/>
  <c r="A4" i="2"/>
  <c r="N4" i="2" s="1"/>
  <c r="A634" i="2"/>
  <c r="N634" i="2" s="1"/>
  <c r="A238" i="2"/>
  <c r="N238" i="2" s="1"/>
  <c r="A65" i="2"/>
  <c r="N65" i="2" s="1"/>
  <c r="A488" i="2"/>
  <c r="N488" i="2" s="1"/>
  <c r="A302" i="2"/>
  <c r="N302" i="2" s="1"/>
  <c r="A579" i="2"/>
  <c r="N579" i="2" s="1"/>
  <c r="A173" i="2"/>
  <c r="N173" i="2" s="1"/>
  <c r="A85" i="2"/>
  <c r="N85" i="2" s="1"/>
  <c r="A40" i="2"/>
  <c r="N40" i="2" s="1"/>
  <c r="A80" i="2"/>
  <c r="N80" i="2" s="1"/>
  <c r="A52" i="2"/>
  <c r="N52" i="2" s="1"/>
  <c r="A504" i="2"/>
  <c r="N504" i="2" s="1"/>
  <c r="A307" i="2"/>
  <c r="N307" i="2" s="1"/>
  <c r="A558" i="2"/>
  <c r="N558" i="2" s="1"/>
  <c r="A61" i="2"/>
  <c r="N61" i="2" s="1"/>
  <c r="A268" i="2"/>
  <c r="N268" i="2" s="1"/>
  <c r="A28" i="2"/>
  <c r="N28" i="2" s="1"/>
  <c r="A405" i="2"/>
  <c r="N405" i="2" s="1"/>
  <c r="A182" i="2"/>
  <c r="N182" i="2" s="1"/>
  <c r="A361" i="2"/>
  <c r="N361" i="2" s="1"/>
  <c r="A592" i="2"/>
  <c r="N592" i="2" s="1"/>
  <c r="A254" i="2"/>
  <c r="N254" i="2" s="1"/>
  <c r="A625" i="2"/>
  <c r="N625" i="2" s="1"/>
  <c r="A89" i="2"/>
  <c r="N89" i="2" s="1"/>
  <c r="A59" i="2"/>
  <c r="N59" i="2" s="1"/>
  <c r="A609" i="2"/>
  <c r="N609" i="2" s="1"/>
  <c r="A108" i="2"/>
  <c r="N108" i="2" s="1"/>
  <c r="A434" i="2"/>
  <c r="N434" i="2" s="1"/>
  <c r="A610" i="2"/>
  <c r="N610" i="2" s="1"/>
  <c r="A162" i="2"/>
  <c r="N162" i="2" s="1"/>
  <c r="A556" i="2"/>
  <c r="N556" i="2" s="1"/>
  <c r="A311" i="2"/>
  <c r="N311" i="2" s="1"/>
  <c r="A542" i="2"/>
  <c r="N542" i="2" s="1"/>
  <c r="A600" i="2"/>
  <c r="N600" i="2" s="1"/>
  <c r="A3" i="2"/>
  <c r="N3" i="2" s="1"/>
  <c r="A536" i="2"/>
  <c r="N536" i="2" s="1"/>
  <c r="A314" i="2"/>
  <c r="N314" i="2" s="1"/>
  <c r="A102" i="2"/>
  <c r="N102" i="2" s="1"/>
  <c r="A273" i="2"/>
  <c r="N273" i="2" s="1"/>
  <c r="A551" i="2"/>
  <c r="N551" i="2" s="1"/>
  <c r="A552" i="2"/>
  <c r="N552" i="2" s="1"/>
  <c r="A438" i="2"/>
  <c r="N438" i="2" s="1"/>
  <c r="A606" i="2"/>
  <c r="N606" i="2" s="1"/>
  <c r="A69" i="2"/>
  <c r="N69" i="2" s="1"/>
  <c r="A57" i="2"/>
  <c r="N57" i="2" s="1"/>
  <c r="A70" i="2"/>
  <c r="N70" i="2" s="1"/>
  <c r="A461" i="2"/>
  <c r="N461" i="2" s="1"/>
  <c r="A423" i="2"/>
  <c r="N423" i="2" s="1"/>
  <c r="A2" i="2"/>
  <c r="N2" i="2" s="1"/>
  <c r="A48" i="2"/>
  <c r="N48" i="2" s="1"/>
  <c r="A372" i="2"/>
  <c r="N372" i="2" s="1"/>
  <c r="A144" i="2"/>
  <c r="N144" i="2" s="1"/>
  <c r="A267" i="2"/>
  <c r="N267" i="2" s="1"/>
  <c r="A519" i="2"/>
  <c r="N519" i="2" s="1"/>
  <c r="A116" i="2"/>
  <c r="N116" i="2" s="1"/>
  <c r="A201" i="2"/>
  <c r="N201" i="2" s="1"/>
  <c r="A454" i="2"/>
  <c r="N454" i="2" s="1"/>
  <c r="A166" i="2"/>
  <c r="N166" i="2" s="1"/>
</calcChain>
</file>

<file path=xl/sharedStrings.xml><?xml version="1.0" encoding="utf-8"?>
<sst xmlns="http://schemas.openxmlformats.org/spreadsheetml/2006/main" count="8477" uniqueCount="868">
  <si>
    <t>Scoring System</t>
  </si>
  <si>
    <t>Points</t>
  </si>
  <si>
    <t>Categories</t>
  </si>
  <si>
    <t>Pos</t>
  </si>
  <si>
    <t>Players Selected Over Replacement</t>
  </si>
  <si>
    <t>Starting Lineup</t>
  </si>
  <si>
    <t>Position Based</t>
  </si>
  <si>
    <t>Draft Based</t>
  </si>
  <si>
    <t>Column</t>
  </si>
  <si>
    <t>Colour Legend</t>
  </si>
  <si>
    <t>Goals</t>
  </si>
  <si>
    <r>
      <rPr>
        <b/>
        <sz val="10"/>
        <color indexed="8"/>
        <rFont val="Helvetica Neue"/>
        <family val="2"/>
      </rPr>
      <t>C</t>
    </r>
  </si>
  <si>
    <t>Team</t>
  </si>
  <si>
    <t>Weak Defensive SOS for Skaters, Offensive SOS for Goalies</t>
  </si>
  <si>
    <t>Assists</t>
  </si>
  <si>
    <r>
      <rPr>
        <b/>
        <sz val="10"/>
        <color indexed="8"/>
        <rFont val="Helvetica Neue"/>
        <family val="2"/>
      </rPr>
      <t>LW</t>
    </r>
  </si>
  <si>
    <t>Strong Defensive SOS for Skaters, Offensive SOS for Goalies</t>
  </si>
  <si>
    <r>
      <rPr>
        <b/>
        <sz val="10"/>
        <color indexed="8"/>
        <rFont val="Helvetica Neue"/>
        <family val="2"/>
      </rPr>
      <t>RW</t>
    </r>
  </si>
  <si>
    <t>Off-day heavy (Sun, Mon, Wed, Fri)</t>
  </si>
  <si>
    <t>Shots</t>
  </si>
  <si>
    <r>
      <rPr>
        <b/>
        <sz val="10"/>
        <color indexed="8"/>
        <rFont val="Helvetica Neue"/>
        <family val="2"/>
      </rPr>
      <t>D</t>
    </r>
  </si>
  <si>
    <t>On-day heavy (Tue, Thu, Sat)</t>
  </si>
  <si>
    <t>Blocks</t>
  </si>
  <si>
    <r>
      <rPr>
        <b/>
        <sz val="10"/>
        <color indexed="8"/>
        <rFont val="Helvetica Neue"/>
        <family val="2"/>
      </rPr>
      <t>G</t>
    </r>
  </si>
  <si>
    <t>Hits</t>
  </si>
  <si>
    <t>Age</t>
  </si>
  <si>
    <t>Pre-Prime, chance to breakout</t>
  </si>
  <si>
    <t>Powerplay Goals</t>
  </si>
  <si>
    <t>Average Draft Position</t>
  </si>
  <si>
    <t>“Yahoo” or “ESPN” or “Fantrax” or “Average”</t>
  </si>
  <si>
    <t>Post-Prime, chance to decline</t>
  </si>
  <si>
    <t>Powerplay Points</t>
  </si>
  <si>
    <t>YAHOO</t>
  </si>
  <si>
    <t>Shorthanded Goals</t>
  </si>
  <si>
    <t>Salary</t>
  </si>
  <si>
    <t>Contract Year</t>
  </si>
  <si>
    <t>Shorthanded Points</t>
  </si>
  <si>
    <t>Games Played Projection</t>
  </si>
  <si>
    <t>“Yes” or “No”</t>
  </si>
  <si>
    <t>Time On Ice</t>
  </si>
  <si>
    <t>Yes</t>
  </si>
  <si>
    <t>ADP Diff</t>
  </si>
  <si>
    <t>Steal (&gt;2 RD Difference)</t>
  </si>
  <si>
    <t>Defensemen Points</t>
  </si>
  <si>
    <t>Potential Steal (1-2 RD Difference)</t>
  </si>
  <si>
    <t>Plus-Minus</t>
  </si>
  <si>
    <t>League Type</t>
  </si>
  <si>
    <t>“Points” or “Categories”</t>
  </si>
  <si>
    <t>Potential Reach (1-2 RD Difference)</t>
  </si>
  <si>
    <t>Penalty Minutes</t>
  </si>
  <si>
    <t>Reach (&gt;2 RD Difference)</t>
  </si>
  <si>
    <t>Game-Winning Goals</t>
  </si>
  <si>
    <t>Faceoff Wins</t>
  </si>
  <si>
    <t>Forward Separation</t>
  </si>
  <si>
    <t>“C/LW/RW” or “Forwards”</t>
  </si>
  <si>
    <t>TOI</t>
  </si>
  <si>
    <t>Role Increase (&gt;1 min)</t>
  </si>
  <si>
    <t>Faceoff Losses</t>
  </si>
  <si>
    <t>C/LW/RW</t>
  </si>
  <si>
    <t>Role Decrease (&gt;1 min)</t>
  </si>
  <si>
    <t>Faceoff Percentage</t>
  </si>
  <si>
    <t>Replacement Level</t>
  </si>
  <si>
    <t>“Position” or “Draft” or “Blend”</t>
  </si>
  <si>
    <t>PPP</t>
  </si>
  <si>
    <t>PP1 (&gt;60% of TOI)</t>
  </si>
  <si>
    <t>Wins</t>
  </si>
  <si>
    <t>Draft</t>
  </si>
  <si>
    <t>PP1 (50-60% of TOI)</t>
  </si>
  <si>
    <t>Losses</t>
  </si>
  <si>
    <t>Overtime Losses</t>
  </si>
  <si>
    <t>Number of Teams</t>
  </si>
  <si>
    <t>Shutouts</t>
  </si>
  <si>
    <t xml:space="preserve">Saves </t>
  </si>
  <si>
    <t>Save Percentage</t>
  </si>
  <si>
    <t>Boost or Bust</t>
  </si>
  <si>
    <t>How much a player’s projection moves up or down based on subjective opinion</t>
  </si>
  <si>
    <t>Goals Against</t>
  </si>
  <si>
    <t>ON</t>
  </si>
  <si>
    <t>Goals Against Average</t>
  </si>
  <si>
    <t>+ + +</t>
  </si>
  <si>
    <t>“ON” or “OFF” to toggle subjective boosts/busts from Shayna and Dom</t>
  </si>
  <si>
    <t>Games Played</t>
  </si>
  <si>
    <t>+ +</t>
  </si>
  <si>
    <t>+</t>
  </si>
  <si>
    <t>Skater Stats Affected: G, A, PTS, SOG, PPG, PPP, +/-, GWG                                                    Goalie Stats Affected: W, L, SV, GA, SV%, GAA</t>
  </si>
  <si>
    <t>-</t>
  </si>
  <si>
    <t>- -</t>
  </si>
  <si>
    <t>- - -</t>
  </si>
  <si>
    <t>RK</t>
  </si>
  <si>
    <t>NAME</t>
  </si>
  <si>
    <t>KEEP?</t>
  </si>
  <si>
    <t>POS</t>
  </si>
  <si>
    <t>TEAM</t>
  </si>
  <si>
    <t>AGE</t>
  </si>
  <si>
    <t>SALARY</t>
  </si>
  <si>
    <t>FP</t>
  </si>
  <si>
    <t>/GP</t>
  </si>
  <si>
    <t>VORP</t>
  </si>
  <si>
    <t>/$</t>
  </si>
  <si>
    <t>ADP</t>
  </si>
  <si>
    <t>DIFF.</t>
  </si>
  <si>
    <t>ADJ</t>
  </si>
  <si>
    <t>GP</t>
  </si>
  <si>
    <t>G</t>
  </si>
  <si>
    <t>A</t>
  </si>
  <si>
    <t>PTS</t>
  </si>
  <si>
    <t>SOG</t>
  </si>
  <si>
    <t>PPG</t>
  </si>
  <si>
    <t>SHG</t>
  </si>
  <si>
    <t>SHP</t>
  </si>
  <si>
    <t>BLK</t>
  </si>
  <si>
    <t>HIT</t>
  </si>
  <si>
    <t>+/-</t>
  </si>
  <si>
    <t>PIM</t>
  </si>
  <si>
    <t>GWG</t>
  </si>
  <si>
    <t>FOW</t>
  </si>
  <si>
    <t>FOL</t>
  </si>
  <si>
    <t>FO%</t>
  </si>
  <si>
    <t>W</t>
  </si>
  <si>
    <t>L</t>
  </si>
  <si>
    <t>OTL</t>
  </si>
  <si>
    <t>SO</t>
  </si>
  <si>
    <t>SV</t>
  </si>
  <si>
    <t>GA</t>
  </si>
  <si>
    <t>SV%</t>
  </si>
  <si>
    <t>GAA</t>
  </si>
  <si>
    <t>Connor McDavid</t>
  </si>
  <si>
    <t>N</t>
  </si>
  <si>
    <t>Nathan MacKinnon</t>
  </si>
  <si>
    <t>Nikita Kucherov</t>
  </si>
  <si>
    <t>Auston Matthews</t>
  </si>
  <si>
    <t>David Pastrnak</t>
  </si>
  <si>
    <t>Cale Makar</t>
  </si>
  <si>
    <t>Mikko Rantanen</t>
  </si>
  <si>
    <t>Leon Draisaitl</t>
  </si>
  <si>
    <t>Matthew Tkachuk</t>
  </si>
  <si>
    <t>Jack Hughes</t>
  </si>
  <si>
    <t>Roman Josi</t>
  </si>
  <si>
    <t>William Nylander</t>
  </si>
  <si>
    <t>Mitch Marner</t>
  </si>
  <si>
    <t>Artemi Panarin</t>
  </si>
  <si>
    <t>Evan Bouchard</t>
  </si>
  <si>
    <t>Rasmus Dahlin</t>
  </si>
  <si>
    <t>Kirill Kaprizov</t>
  </si>
  <si>
    <t>Quinn Hughes</t>
  </si>
  <si>
    <t>Elias Pettersson</t>
  </si>
  <si>
    <t>Noah Dobson</t>
  </si>
  <si>
    <t>Igor Shesterkin</t>
  </si>
  <si>
    <t>Connor Hellebuyck</t>
  </si>
  <si>
    <t>Juuse Saros</t>
  </si>
  <si>
    <t>Jason Robertson</t>
  </si>
  <si>
    <t>Adam Fox</t>
  </si>
  <si>
    <t>Sidney Crosby</t>
  </si>
  <si>
    <t>Victor Hedman</t>
  </si>
  <si>
    <t>Tage Thompson</t>
  </si>
  <si>
    <t>Filip Forsberg</t>
  </si>
  <si>
    <t>Jake Guentzel</t>
  </si>
  <si>
    <t>J.T. Miller</t>
  </si>
  <si>
    <t>Sam Reinhart</t>
  </si>
  <si>
    <t>Miro Heiskanen</t>
  </si>
  <si>
    <t>Mathew Barzal</t>
  </si>
  <si>
    <t>Brady Tkachuk</t>
  </si>
  <si>
    <t>Timo Meier</t>
  </si>
  <si>
    <t>Morgan Rielly</t>
  </si>
  <si>
    <t>Jesper Bratt</t>
  </si>
  <si>
    <t>Jack Eichel</t>
  </si>
  <si>
    <t>Brayden Point</t>
  </si>
  <si>
    <t>Erik Karlsson</t>
  </si>
  <si>
    <t>Zach Hyman</t>
  </si>
  <si>
    <t>Moritz Seider</t>
  </si>
  <si>
    <t>Jake Oettinger</t>
  </si>
  <si>
    <t>Jordan Kyrou</t>
  </si>
  <si>
    <t>Josh Morrissey</t>
  </si>
  <si>
    <t>MacKenzie Weegar</t>
  </si>
  <si>
    <t>Aleksander Barkov</t>
  </si>
  <si>
    <t>Clayton Keller</t>
  </si>
  <si>
    <t>Andrei Vasilevskiy</t>
  </si>
  <si>
    <t>Connor Bedard</t>
  </si>
  <si>
    <t>John Carlson</t>
  </si>
  <si>
    <t>Wyatt Johnston</t>
  </si>
  <si>
    <t>Kyle Connor</t>
  </si>
  <si>
    <t>Alex Ovechkin</t>
  </si>
  <si>
    <t>Charlie McAvoy</t>
  </si>
  <si>
    <t>Sebastian Aho</t>
  </si>
  <si>
    <t>Steven Stamkos</t>
  </si>
  <si>
    <t>Cole Caufield</t>
  </si>
  <si>
    <t>Tim Stützle</t>
  </si>
  <si>
    <t>Dylan Larkin</t>
  </si>
  <si>
    <t>Mika Zibanejad</t>
  </si>
  <si>
    <t>Stuart Skinner</t>
  </si>
  <si>
    <t>Adrian Kempe</t>
  </si>
  <si>
    <t>Kevin Fiala</t>
  </si>
  <si>
    <t>Jeremy Swayman</t>
  </si>
  <si>
    <t>Zach Werenski</t>
  </si>
  <si>
    <t>Jacob Markstrom</t>
  </si>
  <si>
    <t>Alex Tuch</t>
  </si>
  <si>
    <t>Thatcher Demko</t>
  </si>
  <si>
    <t>Matt Boldy</t>
  </si>
  <si>
    <t>Nico Hischier</t>
  </si>
  <si>
    <t>Ilya Sorokin</t>
  </si>
  <si>
    <t>Mikhail Sergachev</t>
  </si>
  <si>
    <t>Alex DeBrincat</t>
  </si>
  <si>
    <t>Brandon Hagel</t>
  </si>
  <si>
    <t>Robert Thomas</t>
  </si>
  <si>
    <t>John Tavares</t>
  </si>
  <si>
    <t>Travis Konecny</t>
  </si>
  <si>
    <t>Vincent Trocheck</t>
  </si>
  <si>
    <t>Nick Suzuki</t>
  </si>
  <si>
    <t>Ryan Nugent-Hopkins</t>
  </si>
  <si>
    <t>Mike Matheson</t>
  </si>
  <si>
    <t>Shea Theodore</t>
  </si>
  <si>
    <t>Carter Verhaeghe</t>
  </si>
  <si>
    <t>Seth Jones</t>
  </si>
  <si>
    <t>Seth Jarvis</t>
  </si>
  <si>
    <t>Sergei Bobrovsky</t>
  </si>
  <si>
    <t>Dougie Hamilton</t>
  </si>
  <si>
    <t>Nazem Kadri</t>
  </si>
  <si>
    <t>Lucas Raymond</t>
  </si>
  <si>
    <t>Andrei Svechnikov</t>
  </si>
  <si>
    <t>Bo Horvat</t>
  </si>
  <si>
    <t>Brock Faber</t>
  </si>
  <si>
    <t>Brock Nelson</t>
  </si>
  <si>
    <t>Jonathan Marchessault</t>
  </si>
  <si>
    <t>Bryan Rust</t>
  </si>
  <si>
    <t>Roope Hintz</t>
  </si>
  <si>
    <t>Chris Kreider</t>
  </si>
  <si>
    <t>Pavel Buchnevich</t>
  </si>
  <si>
    <t>Jared McCann</t>
  </si>
  <si>
    <t>Alexandar Georgiev</t>
  </si>
  <si>
    <t>Rasmus Andersson</t>
  </si>
  <si>
    <t>Noah Hanifin</t>
  </si>
  <si>
    <t>Owen Tippett</t>
  </si>
  <si>
    <t>Justin Faulk</t>
  </si>
  <si>
    <t>Joel Eriksson Ek</t>
  </si>
  <si>
    <t>Jake DeBrusk</t>
  </si>
  <si>
    <t>Alex Pietrangelo</t>
  </si>
  <si>
    <t>Martin Necas</t>
  </si>
  <si>
    <t>Jordan Binnington</t>
  </si>
  <si>
    <t>Brad Marchand</t>
  </si>
  <si>
    <t>Dylan Cozens</t>
  </si>
  <si>
    <t>Brady Skjei</t>
  </si>
  <si>
    <t>Brock Boeser</t>
  </si>
  <si>
    <t>Drew Doughty</t>
  </si>
  <si>
    <t>Troy Terry</t>
  </si>
  <si>
    <t>Kris Letang</t>
  </si>
  <si>
    <t>JJ Peterka</t>
  </si>
  <si>
    <t>Linus Ullmark</t>
  </si>
  <si>
    <t>Jake Sanderson</t>
  </si>
  <si>
    <t>Mark Scheifele</t>
  </si>
  <si>
    <t>Elias Lindholm</t>
  </si>
  <si>
    <t>Vince Dunn</t>
  </si>
  <si>
    <t>Yegor Sharangovich</t>
  </si>
  <si>
    <t>Dylan Strome</t>
  </si>
  <si>
    <t>Brent Burns</t>
  </si>
  <si>
    <t>Brandon Montour</t>
  </si>
  <si>
    <t>Nikolaj Ehlers</t>
  </si>
  <si>
    <t>Patrick Kane</t>
  </si>
  <si>
    <t>Gustav Forsling</t>
  </si>
  <si>
    <t>Evgeni Malkin</t>
  </si>
  <si>
    <t>Dylan Guenther</t>
  </si>
  <si>
    <t>Juraj Slafkovsky</t>
  </si>
  <si>
    <t>Tyler Toffoli</t>
  </si>
  <si>
    <t>Logan Cooley</t>
  </si>
  <si>
    <t>Nick Schmaltz</t>
  </si>
  <si>
    <t>Alexis Lafrenière</t>
  </si>
  <si>
    <t>Claude Giroux</t>
  </si>
  <si>
    <t>Jonathan Huberdeau</t>
  </si>
  <si>
    <t>Devon Toews</t>
  </si>
  <si>
    <t>Anze Kopitar</t>
  </si>
  <si>
    <t>Thomas Harley</t>
  </si>
  <si>
    <t>Drake Batherson</t>
  </si>
  <si>
    <t>Pierre-Luc Dubois</t>
  </si>
  <si>
    <t>Teuvo Teravainen</t>
  </si>
  <si>
    <t>Jake Walman</t>
  </si>
  <si>
    <t>Tristan Jarry</t>
  </si>
  <si>
    <t>Tomas Hertl</t>
  </si>
  <si>
    <t>Adin Hill</t>
  </si>
  <si>
    <t>Ryan O'Reilly</t>
  </si>
  <si>
    <t>Connor Ingram</t>
  </si>
  <si>
    <t>Colton Parayko</t>
  </si>
  <si>
    <t>Aaron Ekblad</t>
  </si>
  <si>
    <t>Travis Sanheim</t>
  </si>
  <si>
    <t>Thomas Chabot</t>
  </si>
  <si>
    <t>Jakob Chychrun</t>
  </si>
  <si>
    <t>Darnell Nurse</t>
  </si>
  <si>
    <t>Joseph Woll</t>
  </si>
  <si>
    <t>Jamie Benn</t>
  </si>
  <si>
    <t>Mason McTavish</t>
  </si>
  <si>
    <t>Mark Stone</t>
  </si>
  <si>
    <t>Mats Zuccarello</t>
  </si>
  <si>
    <t>Darcy Kuemper</t>
  </si>
  <si>
    <t>Luke Hughes</t>
  </si>
  <si>
    <t>Filip Gustavsson</t>
  </si>
  <si>
    <t>Frank Vatrano</t>
  </si>
  <si>
    <t>Matt Duchene</t>
  </si>
  <si>
    <t>Patrik Laine</t>
  </si>
  <si>
    <t>Trevor Moore</t>
  </si>
  <si>
    <t>Filip Hronek</t>
  </si>
  <si>
    <t>Sean Durzi</t>
  </si>
  <si>
    <t>Boone Jenner</t>
  </si>
  <si>
    <t>Michael Bunting</t>
  </si>
  <si>
    <t>Jacob Trouba</t>
  </si>
  <si>
    <t>Sam Montembeault</t>
  </si>
  <si>
    <t>Macklin Celebrini</t>
  </si>
  <si>
    <t>Quinton Byfield</t>
  </si>
  <si>
    <t>Hampus Lindholm</t>
  </si>
  <si>
    <t>Tyler Bertuzzi</t>
  </si>
  <si>
    <t>Andrei Kuzmenko</t>
  </si>
  <si>
    <t>Jaccob Slavin</t>
  </si>
  <si>
    <t>Jake Neighbours</t>
  </si>
  <si>
    <t>Mattias Ekholm</t>
  </si>
  <si>
    <t>Owen Power</t>
  </si>
  <si>
    <t>Matty Beniers</t>
  </si>
  <si>
    <t>Neal Pionk</t>
  </si>
  <si>
    <t>Tyler Seguin</t>
  </si>
  <si>
    <t>Shayne Gostisbehere</t>
  </si>
  <si>
    <t>Trevor Zegras</t>
  </si>
  <si>
    <t>Charlie Lindgren</t>
  </si>
  <si>
    <t>William Karlsson</t>
  </si>
  <si>
    <t>Adam Fantilli</t>
  </si>
  <si>
    <t>Kaiden Guhle</t>
  </si>
  <si>
    <t>Ivan Provorov</t>
  </si>
  <si>
    <t>Conor Garland</t>
  </si>
  <si>
    <t>Matt Roy</t>
  </si>
  <si>
    <t>Joey Daccord</t>
  </si>
  <si>
    <t>Brayden Schenn</t>
  </si>
  <si>
    <t>K'Andre Miller</t>
  </si>
  <si>
    <t>Jeff Skinner</t>
  </si>
  <si>
    <t>Kyle Palmieri</t>
  </si>
  <si>
    <t>Gabriel Vilardi</t>
  </si>
  <si>
    <t>Matvei Michkov</t>
  </si>
  <si>
    <t>Tom Wilson</t>
  </si>
  <si>
    <t>Artturi Lehkonen</t>
  </si>
  <si>
    <t>William Eklund</t>
  </si>
  <si>
    <t>Pavel Mintyukov</t>
  </si>
  <si>
    <t>Pavel Zacha</t>
  </si>
  <si>
    <t>Blake Coleman</t>
  </si>
  <si>
    <t>Oliver Bjorkstrand</t>
  </si>
  <si>
    <t>Jordan Eberle</t>
  </si>
  <si>
    <t>Cam York</t>
  </si>
  <si>
    <t>Esa Lindell</t>
  </si>
  <si>
    <t>Jonas Brodin</t>
  </si>
  <si>
    <t>Vladimir Tarasenko</t>
  </si>
  <si>
    <t>Jared Spurgeon</t>
  </si>
  <si>
    <t>Cam Fowler</t>
  </si>
  <si>
    <t>Ukko-Pekka Luukkonen</t>
  </si>
  <si>
    <t>Leo Carlsson</t>
  </si>
  <si>
    <t>Frederik Andersen</t>
  </si>
  <si>
    <t>Lane Hutson</t>
  </si>
  <si>
    <t>Matias Maccelli</t>
  </si>
  <si>
    <t>Yaroslav Askarov</t>
  </si>
  <si>
    <t>Marcus Pettersson</t>
  </si>
  <si>
    <t>Ryan Pulock</t>
  </si>
  <si>
    <t>Elvis Merzlikins</t>
  </si>
  <si>
    <t>Sam Bennett</t>
  </si>
  <si>
    <t>Ryan Hartman</t>
  </si>
  <si>
    <t>Damon Severson</t>
  </si>
  <si>
    <t>Brandt Clarke</t>
  </si>
  <si>
    <t>Dawson Mercer</t>
  </si>
  <si>
    <t>Cam Talbot</t>
  </si>
  <si>
    <t>Jack Quinn</t>
  </si>
  <si>
    <t>Anton Lundell</t>
  </si>
  <si>
    <t>Kirill Marchenko</t>
  </si>
  <si>
    <t>Pyotr Kochetkov</t>
  </si>
  <si>
    <t>Rickard Rakell</t>
  </si>
  <si>
    <t>Phillip Danault</t>
  </si>
  <si>
    <t>Mikael Granlund</t>
  </si>
  <si>
    <t>Logan Couture</t>
  </si>
  <si>
    <t>Shane Pinto</t>
  </si>
  <si>
    <t>Olen Zellweger</t>
  </si>
  <si>
    <t>Matthew Knies</t>
  </si>
  <si>
    <t>Tyson Foerster</t>
  </si>
  <si>
    <t>Adam Larsson</t>
  </si>
  <si>
    <t>Dmitry Orlov</t>
  </si>
  <si>
    <t>Mario Ferraro</t>
  </si>
  <si>
    <t>Chris Tanev</t>
  </si>
  <si>
    <t>Samuel Ersson</t>
  </si>
  <si>
    <t>Jonathan Drouin</t>
  </si>
  <si>
    <t>Viktor Arvidsson</t>
  </si>
  <si>
    <t>Joel Farabee</t>
  </si>
  <si>
    <t>Erik Gustafsson (D)</t>
  </si>
  <si>
    <t>Charlie Coyle</t>
  </si>
  <si>
    <t>Brett Pesce</t>
  </si>
  <si>
    <t>Anthony Duclair</t>
  </si>
  <si>
    <t>Eeli Tolvanen</t>
  </si>
  <si>
    <t>Anthony Cirelli</t>
  </si>
  <si>
    <t>Sean Walker</t>
  </si>
  <si>
    <t>Morgan Geekie</t>
  </si>
  <si>
    <t>Alex Romanov</t>
  </si>
  <si>
    <t>Dylan DeMelo</t>
  </si>
  <si>
    <t>Gustav Nyquist</t>
  </si>
  <si>
    <t>Ryan McDonagh</t>
  </si>
  <si>
    <t>Jake McCabe</t>
  </si>
  <si>
    <t>Mikael Backlund</t>
  </si>
  <si>
    <t>Sean Monahan</t>
  </si>
  <si>
    <t>Casey Mittelstadt</t>
  </si>
  <si>
    <t>Nick Seeler</t>
  </si>
  <si>
    <t>Mason Marchment</t>
  </si>
  <si>
    <t>Taylor Hall</t>
  </si>
  <si>
    <t>Torey Krug</t>
  </si>
  <si>
    <t>J.T. Compher</t>
  </si>
  <si>
    <t>Brayden McNabb</t>
  </si>
  <si>
    <t>Andrew Mangiapane</t>
  </si>
  <si>
    <t>Braden Schneider</t>
  </si>
  <si>
    <t>Dustin Wolf</t>
  </si>
  <si>
    <t>Morgan Frost</t>
  </si>
  <si>
    <t>Cole Perfetti</t>
  </si>
  <si>
    <t>Fabian Zetterlund</t>
  </si>
  <si>
    <t>Alex Killorn</t>
  </si>
  <si>
    <t>Timothy Liljegren</t>
  </si>
  <si>
    <t>Bowen Byram</t>
  </si>
  <si>
    <t>Lawson Crouse</t>
  </si>
  <si>
    <t>Alex Carrier</t>
  </si>
  <si>
    <t>Vladislav Gavrikov</t>
  </si>
  <si>
    <t>John Gibson</t>
  </si>
  <si>
    <t>Reilly Smith</t>
  </si>
  <si>
    <t>Nikita Zadorov</t>
  </si>
  <si>
    <t>David Perron</t>
  </si>
  <si>
    <t>Anthony Stolarz</t>
  </si>
  <si>
    <t>Ivan Barbashev</t>
  </si>
  <si>
    <t>Ryan Graves</t>
  </si>
  <si>
    <t>Jamie Drysdale</t>
  </si>
  <si>
    <t>Adam Boqvist</t>
  </si>
  <si>
    <t>Adam Pelech</t>
  </si>
  <si>
    <t>Philip Broberg</t>
  </si>
  <si>
    <t>Ben Chiarot</t>
  </si>
  <si>
    <t>Samuel Girard</t>
  </si>
  <si>
    <t>Radko Gudas</t>
  </si>
  <si>
    <t>Jamie Oleksiak</t>
  </si>
  <si>
    <t>Nino Niederreiter</t>
  </si>
  <si>
    <t>David Savard</t>
  </si>
  <si>
    <t>Chandler Stephenson</t>
  </si>
  <si>
    <t>Valeri Nichushkin</t>
  </si>
  <si>
    <t>Philipp Kurashev</t>
  </si>
  <si>
    <t>Daniel Sprong</t>
  </si>
  <si>
    <t>Logan Stankoven</t>
  </si>
  <si>
    <t>Alex Holtz</t>
  </si>
  <si>
    <t>Cody Ceci</t>
  </si>
  <si>
    <t>Petr Mrazek</t>
  </si>
  <si>
    <t>Tyler Myers</t>
  </si>
  <si>
    <t>Thomas Novak</t>
  </si>
  <si>
    <t>Jeff Petry</t>
  </si>
  <si>
    <t>Evan Rodrigues</t>
  </si>
  <si>
    <t>Alex Vlasic</t>
  </si>
  <si>
    <t>Henry Thrun</t>
  </si>
  <si>
    <t>Simon Nemec</t>
  </si>
  <si>
    <t>Erik Gudbranson</t>
  </si>
  <si>
    <t>Simon Edvinsson</t>
  </si>
  <si>
    <t>Jack Roslovic</t>
  </si>
  <si>
    <t>Oliver Ekman-Larsson</t>
  </si>
  <si>
    <t>Will Smith</t>
  </si>
  <si>
    <t>John Marino</t>
  </si>
  <si>
    <t>Dante Fabbro</t>
  </si>
  <si>
    <t>Luke Evangelista</t>
  </si>
  <si>
    <t>Josh Manson</t>
  </si>
  <si>
    <t>Artem Zub</t>
  </si>
  <si>
    <t>Janis Moser</t>
  </si>
  <si>
    <t>Brandon Saad</t>
  </si>
  <si>
    <t>Jacob Middleton</t>
  </si>
  <si>
    <t>Darren Raddysh</t>
  </si>
  <si>
    <t>Marco Rossi</t>
  </si>
  <si>
    <t>Mikey Anderson</t>
  </si>
  <si>
    <t>Laurent Brossoit</t>
  </si>
  <si>
    <t>Anders Lee</t>
  </si>
  <si>
    <t>Adam Henrique</t>
  </si>
  <si>
    <t>Josh Doan</t>
  </si>
  <si>
    <t>Dmitri Voronkov</t>
  </si>
  <si>
    <t>Warren Foegele</t>
  </si>
  <si>
    <t>Zach Benson</t>
  </si>
  <si>
    <t>Sean Couturier</t>
  </si>
  <si>
    <t>Nicolas Hague</t>
  </si>
  <si>
    <t>Dylan Samberg</t>
  </si>
  <si>
    <t>Rasmus Sandin</t>
  </si>
  <si>
    <t>Jordan Spence</t>
  </si>
  <si>
    <t>Connor Zary</t>
  </si>
  <si>
    <t>Erik Cernak</t>
  </si>
  <si>
    <t>Brandon Carlo</t>
  </si>
  <si>
    <t>Josh Norris</t>
  </si>
  <si>
    <t>TJ Brodie</t>
  </si>
  <si>
    <t>Jesperi Kotkaniemi</t>
  </si>
  <si>
    <t>Nick Jensen</t>
  </si>
  <si>
    <t>Kevin Korchinski</t>
  </si>
  <si>
    <t>Shane Wright</t>
  </si>
  <si>
    <t>Connor McMichael</t>
  </si>
  <si>
    <t>Alec Martinez</t>
  </si>
  <si>
    <t>William Borgen</t>
  </si>
  <si>
    <t>Nick Perbix</t>
  </si>
  <si>
    <t>Trent Frederic</t>
  </si>
  <si>
    <t>Rutger McGroarty</t>
  </si>
  <si>
    <t>Nick Leddy</t>
  </si>
  <si>
    <t>Max Domi</t>
  </si>
  <si>
    <t>Nicolas Roy</t>
  </si>
  <si>
    <t>Nick Paul</t>
  </si>
  <si>
    <t>Cutter Gauthier</t>
  </si>
  <si>
    <t>Dan Vladar</t>
  </si>
  <si>
    <t>Filip Chytil</t>
  </si>
  <si>
    <t>Erik Brannstrom</t>
  </si>
  <si>
    <t>Lukas Dostal</t>
  </si>
  <si>
    <t>Jackson LaCombe</t>
  </si>
  <si>
    <t>Carson Soucy</t>
  </si>
  <si>
    <t>Yegor Chinakhov</t>
  </si>
  <si>
    <t>Dmitry Kulikov</t>
  </si>
  <si>
    <t>Danton Heinen</t>
  </si>
  <si>
    <t>Ryan Lindgren</t>
  </si>
  <si>
    <t>Martin Fehervary</t>
  </si>
  <si>
    <t>Ian Cole</t>
  </si>
  <si>
    <t>Pavel Dorofeyev</t>
  </si>
  <si>
    <t>Ty Emberson</t>
  </si>
  <si>
    <t>Yanni Gourde</t>
  </si>
  <si>
    <t>Logan Thompson</t>
  </si>
  <si>
    <t>Alex Newhook</t>
  </si>
  <si>
    <t>Niko Mikkola</t>
  </si>
  <si>
    <t>Alex Lyon</t>
  </si>
  <si>
    <t>Jonas Siegenthaler</t>
  </si>
  <si>
    <t>Scott Mayfield</t>
  </si>
  <si>
    <t>Stefan Noesen</t>
  </si>
  <si>
    <t>Anthony Mantha</t>
  </si>
  <si>
    <t>Nils Hoglander</t>
  </si>
  <si>
    <t>Brenden Dillon</t>
  </si>
  <si>
    <t>Connor Clifton</t>
  </si>
  <si>
    <t>Matt Dumba</t>
  </si>
  <si>
    <t>Jalen Chatfield</t>
  </si>
  <si>
    <t>Ondrej Palat</t>
  </si>
  <si>
    <t>Drew O'Connor</t>
  </si>
  <si>
    <t>Dylan Holloway</t>
  </si>
  <si>
    <t>Michael Kesselring</t>
  </si>
  <si>
    <t>Kaapo Kakko</t>
  </si>
  <si>
    <t>Connor Murphy</t>
  </si>
  <si>
    <t>Bobby McMann</t>
  </si>
  <si>
    <t>Michael Rasmussen</t>
  </si>
  <si>
    <t>Alex Iafallo</t>
  </si>
  <si>
    <t>Mattias Samuelsson</t>
  </si>
  <si>
    <t>Jason Zucker</t>
  </si>
  <si>
    <t>Rasmus Ristolainen</t>
  </si>
  <si>
    <t>Trevor van Riemsdyk</t>
  </si>
  <si>
    <t>Andre Burakovsky</t>
  </si>
  <si>
    <t>Zach Whitecloud</t>
  </si>
  <si>
    <t>Erik Haula</t>
  </si>
  <si>
    <t>Evander Kane</t>
  </si>
  <si>
    <t>Scott Laughton</t>
  </si>
  <si>
    <t>Brett Kulak</t>
  </si>
  <si>
    <t>Ross Colton</t>
  </si>
  <si>
    <t>Jacob Bernard-Docker</t>
  </si>
  <si>
    <t>Ilya Lyubushkin</t>
  </si>
  <si>
    <t>Henri Jokiharju</t>
  </si>
  <si>
    <t>Justin Barron</t>
  </si>
  <si>
    <t>Jani Hakanpaa</t>
  </si>
  <si>
    <t>Nicholas Robertson</t>
  </si>
  <si>
    <t>Cole Sillinger</t>
  </si>
  <si>
    <t>Andrew Copp</t>
  </si>
  <si>
    <t>Juuso Valimaki</t>
  </si>
  <si>
    <t>Jean-Gabriel Pageau</t>
  </si>
  <si>
    <t>Ryan Strome</t>
  </si>
  <si>
    <t>Eetu Luostarinen</t>
  </si>
  <si>
    <t>Travis Hamonic</t>
  </si>
  <si>
    <t>Jan Rutta</t>
  </si>
  <si>
    <t>Mike Reilly</t>
  </si>
  <si>
    <t>Matt Grzelcyk</t>
  </si>
  <si>
    <t>Mathieu Joseph</t>
  </si>
  <si>
    <t>Andrew Peeke</t>
  </si>
  <si>
    <t>Daniil Miromanov</t>
  </si>
  <si>
    <t>Logan O'Connor</t>
  </si>
  <si>
    <t>Mason Lohrei</t>
  </si>
  <si>
    <t>Brian Dumoulin</t>
  </si>
  <si>
    <t>Adam Lowry</t>
  </si>
  <si>
    <t>Vladislav Namestnikov</t>
  </si>
  <si>
    <t>Jeremy Lauzon</t>
  </si>
  <si>
    <t>Nick Bjugstad</t>
  </si>
  <si>
    <t>Victor Olofsson</t>
  </si>
  <si>
    <t>Kevin Hayes</t>
  </si>
  <si>
    <t>Jordan Harris</t>
  </si>
  <si>
    <t>Brendan Gallagher</t>
  </si>
  <si>
    <t>Nate Schmidt</t>
  </si>
  <si>
    <t>Alex Kerfoot</t>
  </si>
  <si>
    <t>Marc-Edouard Vlasic</t>
  </si>
  <si>
    <t>Philipp Grubauer</t>
  </si>
  <si>
    <t>Ryan Suter</t>
  </si>
  <si>
    <t>Jake Bean</t>
  </si>
  <si>
    <t>Scott Perunovich</t>
  </si>
  <si>
    <t>Cam Atkinson</t>
  </si>
  <si>
    <t>Devon Levi</t>
  </si>
  <si>
    <t>Kevin Bahl</t>
  </si>
  <si>
    <t>Luke Schenn</t>
  </si>
  <si>
    <t>Olli Maatta</t>
  </si>
  <si>
    <t>Valtteri Puustinen</t>
  </si>
  <si>
    <t>Nils Lundkvist</t>
  </si>
  <si>
    <t>Jordan Martinook</t>
  </si>
  <si>
    <t>Jaden Schwartz</t>
  </si>
  <si>
    <t>Miles Wood</t>
  </si>
  <si>
    <t>Ridly Greig</t>
  </si>
  <si>
    <t>Arber Xhekaj</t>
  </si>
  <si>
    <t>David Jiricek</t>
  </si>
  <si>
    <t>Jason Dickinson</t>
  </si>
  <si>
    <t>Martin Pospisil</t>
  </si>
  <si>
    <t>Nick Foligno</t>
  </si>
  <si>
    <t>Calvin de Haan</t>
  </si>
  <si>
    <t>Dakota Joshua</t>
  </si>
  <si>
    <t>Colin Miller</t>
  </si>
  <si>
    <t>Arthur Kaliyev</t>
  </si>
  <si>
    <t>Marcus Johansson</t>
  </si>
  <si>
    <t>Karel Vejmelka</t>
  </si>
  <si>
    <t>Zach Bogosian</t>
  </si>
  <si>
    <t>Ilya Samsonov</t>
  </si>
  <si>
    <t>Bobby Brink</t>
  </si>
  <si>
    <t>Alex Wennberg</t>
  </si>
  <si>
    <t>Mason Appleton</t>
  </si>
  <si>
    <t>Anton Forsberg</t>
  </si>
  <si>
    <t>Ilya Mikheyev</t>
  </si>
  <si>
    <t>Kent Johnson</t>
  </si>
  <si>
    <t>Simon Benoit</t>
  </si>
  <si>
    <t>Vincent Desharnais</t>
  </si>
  <si>
    <t>Evgeny Dadonov</t>
  </si>
  <si>
    <t>Alex Laferriere</t>
  </si>
  <si>
    <t>Alex Nedeljkovic</t>
  </si>
  <si>
    <t>Joel Edmundson</t>
  </si>
  <si>
    <t>Ryker Evans</t>
  </si>
  <si>
    <t>Kirby Dach</t>
  </si>
  <si>
    <t>Derek Forbort</t>
  </si>
  <si>
    <t>Zachary Bolduc</t>
  </si>
  <si>
    <t>Brendan Smith</t>
  </si>
  <si>
    <t>Aliaksei Protas</t>
  </si>
  <si>
    <t>Alex Texier</t>
  </si>
  <si>
    <t>Pierre-Olivier Joseph</t>
  </si>
  <si>
    <t>Matthew Kessel</t>
  </si>
  <si>
    <t>Jordan Greenway</t>
  </si>
  <si>
    <t>MacKenzie Blackwood</t>
  </si>
  <si>
    <t>Barrett Hayton</t>
  </si>
  <si>
    <t>Michael Eyssimont</t>
  </si>
  <si>
    <t>Philip Tomasino</t>
  </si>
  <si>
    <t>Logan Stanley</t>
  </si>
  <si>
    <t>Johnathan Kovacevic</t>
  </si>
  <si>
    <t>Brayden Pachal</t>
  </si>
  <si>
    <t>Justin Brazeau</t>
  </si>
  <si>
    <t>Egor Zamula</t>
  </si>
  <si>
    <t>Anthony Beauvillier</t>
  </si>
  <si>
    <t>Spencer Stastney</t>
  </si>
  <si>
    <t>Matt Benning</t>
  </si>
  <si>
    <t>Conor Timmins</t>
  </si>
  <si>
    <t>Ryan Poehling</t>
  </si>
  <si>
    <t>Josh Anderson</t>
  </si>
  <si>
    <t>Joe Veleno</t>
  </si>
  <si>
    <t>Kaedan Korczak</t>
  </si>
  <si>
    <t>Jordan Staal</t>
  </si>
  <si>
    <t>Pierre Engvall</t>
  </si>
  <si>
    <t>Declan Chisholm</t>
  </si>
  <si>
    <t>Jonatan Berggren</t>
  </si>
  <si>
    <t>Noah Cates</t>
  </si>
  <si>
    <t>Pius Suter</t>
  </si>
  <si>
    <t>Haydn Fleury</t>
  </si>
  <si>
    <t>Marc-Andre Fleury</t>
  </si>
  <si>
    <t>Parker Wotherspoon</t>
  </si>
  <si>
    <t>Wyatt Kaiser</t>
  </si>
  <si>
    <t>Semyon Varlamov</t>
  </si>
  <si>
    <t>Ryan McLeod</t>
  </si>
  <si>
    <t>Ryan Donato</t>
  </si>
  <si>
    <t>Michael Amadio</t>
  </si>
  <si>
    <t>Justus Annunen</t>
  </si>
  <si>
    <t>Bradly Nadeau</t>
  </si>
  <si>
    <t>Cayden Primeau</t>
  </si>
  <si>
    <t>Tomas Tatar</t>
  </si>
  <si>
    <t>Matthew Poitras</t>
  </si>
  <si>
    <t>William Carrier</t>
  </si>
  <si>
    <t>Victor Soderstrom</t>
  </si>
  <si>
    <t>Kasperi Kapanen</t>
  </si>
  <si>
    <t>Marcus Foligno</t>
  </si>
  <si>
    <t>Joshua Roy</t>
  </si>
  <si>
    <t>Lars Eller</t>
  </si>
  <si>
    <t>Sonny Milano</t>
  </si>
  <si>
    <t>Nic Dowd</t>
  </si>
  <si>
    <t>Jack Drury</t>
  </si>
  <si>
    <t>Justin Holl</t>
  </si>
  <si>
    <t>Joel Hofer</t>
  </si>
  <si>
    <t>Zac Jones</t>
  </si>
  <si>
    <t>Garnet Hathaway</t>
  </si>
  <si>
    <t>Colton Sissons</t>
  </si>
  <si>
    <t>Jack St. Ivany</t>
  </si>
  <si>
    <t>Maxim Tsyplakov</t>
  </si>
  <si>
    <t>Tanner Jeannot</t>
  </si>
  <si>
    <t>Beck Malenstyn</t>
  </si>
  <si>
    <t>Brandon Tanev</t>
  </si>
  <si>
    <t>Lukas Reichel</t>
  </si>
  <si>
    <t>Gabriel Landeskog</t>
  </si>
  <si>
    <t>Joel Armia</t>
  </si>
  <si>
    <t>Nick Desimone</t>
  </si>
  <si>
    <t>Robby Fabbri</t>
  </si>
  <si>
    <t>Samuel Bolduc</t>
  </si>
  <si>
    <t>Jimmy Vesey</t>
  </si>
  <si>
    <t>Cody Glass</t>
  </si>
  <si>
    <t>Justin Danforth</t>
  </si>
  <si>
    <t>Calle Jarnkrok</t>
  </si>
  <si>
    <t>Simon Holmstrom</t>
  </si>
  <si>
    <t>Jake Evans</t>
  </si>
  <si>
    <t>Jack Johnson</t>
  </si>
  <si>
    <t>Brett Leason</t>
  </si>
  <si>
    <t>Daniil Tarasov (G)</t>
  </si>
  <si>
    <t>David Rittich</t>
  </si>
  <si>
    <t>Frederick Gaudreau</t>
  </si>
  <si>
    <t>Michael McCarron</t>
  </si>
  <si>
    <t>Carl Grundstrom</t>
  </si>
  <si>
    <t>Mavrik Bourque</t>
  </si>
  <si>
    <t>Conor Sheary</t>
  </si>
  <si>
    <t>Will Cuylle</t>
  </si>
  <si>
    <t>Santeri Hatakka</t>
  </si>
  <si>
    <t>Jesper Fast</t>
  </si>
  <si>
    <t>Corey Perry</t>
  </si>
  <si>
    <t>Calvin Pickard</t>
  </si>
  <si>
    <t>Casey Cizikas</t>
  </si>
  <si>
    <t>Christian Fischer</t>
  </si>
  <si>
    <t>Joonas Korpisalo</t>
  </si>
  <si>
    <t>Keegan Kolesar</t>
  </si>
  <si>
    <t>Ivan Fedotov</t>
  </si>
  <si>
    <t>Yakov Trenin</t>
  </si>
  <si>
    <t>Andreas Athanasiou</t>
  </si>
  <si>
    <t>Kiefer Sherwood</t>
  </si>
  <si>
    <t>Joey Anderson</t>
  </si>
  <si>
    <t>Tye Kartye</t>
  </si>
  <si>
    <t>Jake Allen</t>
  </si>
  <si>
    <t>Blake Lizotte</t>
  </si>
  <si>
    <t>Pontus Holmberg</t>
  </si>
  <si>
    <t>Teddy Blueger</t>
  </si>
  <si>
    <t>Hendrix Lapierre</t>
  </si>
  <si>
    <t>Thomas Bordeleau</t>
  </si>
  <si>
    <t>Cole Smith</t>
  </si>
  <si>
    <t>Juuso Parssinen</t>
  </si>
  <si>
    <t>Matt Coronato</t>
  </si>
  <si>
    <t>Sam Steel</t>
  </si>
  <si>
    <t>Barclay Goodrow</t>
  </si>
  <si>
    <t>Nathan Bastian</t>
  </si>
  <si>
    <t>Sean Kuraly</t>
  </si>
  <si>
    <t>Vasily Podkolzin</t>
  </si>
  <si>
    <t>Brandon Duhaime</t>
  </si>
  <si>
    <t>Curtis Lazar</t>
  </si>
  <si>
    <t>Michael Carcone</t>
  </si>
  <si>
    <t>Tyler Motte</t>
  </si>
  <si>
    <t>Jack McBain</t>
  </si>
  <si>
    <t>Sam Lafferty</t>
  </si>
  <si>
    <t>Jesper Boqvist</t>
  </si>
  <si>
    <t>Brett Howden</t>
  </si>
  <si>
    <t>Nico Sturm</t>
  </si>
  <si>
    <t>Hudson Fasching</t>
  </si>
  <si>
    <t>Luke Kunin</t>
  </si>
  <si>
    <t>Noah Gregor</t>
  </si>
  <si>
    <t>Brendan Brisson</t>
  </si>
  <si>
    <t>David Kampf</t>
  </si>
  <si>
    <t>Christian Dvorak</t>
  </si>
  <si>
    <t>Rafael Harvey-Pinard</t>
  </si>
  <si>
    <t>Oskar Sundqvist</t>
  </si>
  <si>
    <t>Radek Faksa</t>
  </si>
  <si>
    <t>Connor Dewar</t>
  </si>
  <si>
    <t>Michael Pezzetta</t>
  </si>
  <si>
    <t>Isac Lundestrom</t>
  </si>
  <si>
    <t>Nicolas Aube-Kubel</t>
  </si>
  <si>
    <t>Parker Kelly</t>
  </si>
  <si>
    <t>Zemgus Girgensons</t>
  </si>
  <si>
    <t>Morgan Barron</t>
  </si>
  <si>
    <t>Spencer Knight</t>
  </si>
  <si>
    <t>Noel Acciari</t>
  </si>
  <si>
    <t>Alex Turcotte</t>
  </si>
  <si>
    <t>Connor Brown</t>
  </si>
  <si>
    <t>Ivan Miroshnichenko</t>
  </si>
  <si>
    <t>Arturs Silovs</t>
  </si>
  <si>
    <t>Mathieu Olivier</t>
  </si>
  <si>
    <t>Colin Blackwell</t>
  </si>
  <si>
    <t>Paul Cotter</t>
  </si>
  <si>
    <t>A.J. Greer</t>
  </si>
  <si>
    <t>Brock McGinn</t>
  </si>
  <si>
    <t>Jonny Brodzinski</t>
  </si>
  <si>
    <t>Mark Kastelic</t>
  </si>
  <si>
    <t>Mitchell Chaffee</t>
  </si>
  <si>
    <t>Mark Jankowski</t>
  </si>
  <si>
    <t>Tomas Nosek</t>
  </si>
  <si>
    <t>Max Jones</t>
  </si>
  <si>
    <t>Ty Dellandrea</t>
  </si>
  <si>
    <t>Scott Wedgewood</t>
  </si>
  <si>
    <t>Ryan Lomberg</t>
  </si>
  <si>
    <t>Jonathan Quick</t>
  </si>
  <si>
    <t>Jonas Johansson</t>
  </si>
  <si>
    <t>Kyle MacLean</t>
  </si>
  <si>
    <t>Mattias Janmark</t>
  </si>
  <si>
    <t>Derek Ryan</t>
  </si>
  <si>
    <t>Kaapo Kahkonen</t>
  </si>
  <si>
    <t>John Beecher</t>
  </si>
  <si>
    <t>Patrick Maroon</t>
  </si>
  <si>
    <t>Joel Kiviranta</t>
  </si>
  <si>
    <t>Luke Glendening</t>
  </si>
  <si>
    <t>Kevin Rooney</t>
  </si>
  <si>
    <t>Jakub Lauko</t>
  </si>
  <si>
    <t>David Gustafsson</t>
  </si>
  <si>
    <t>Jonah Gadjovich</t>
  </si>
  <si>
    <t>Zack MacEwen</t>
  </si>
  <si>
    <t>Matt Rempe</t>
  </si>
  <si>
    <t>TEAM 1</t>
  </si>
  <si>
    <t>TEAMS</t>
  </si>
  <si>
    <t xml:space="preserve">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</si>
  <si>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</si>
  <si>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</si>
  <si>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</si>
  <si>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</si>
  <si>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</si>
  <si>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</si>
  <si>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</si>
  <si>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</si>
  <si>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</si>
  <si>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</si>
  <si>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</si>
  <si>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</si>
  <si>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</si>
  <si>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</si>
  <si>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</si>
  <si>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TOTAL FP</t>
  </si>
  <si>
    <t>TOTAL VORP</t>
  </si>
  <si>
    <t>Name</t>
  </si>
  <si>
    <t>F</t>
  </si>
  <si>
    <t>Fantasy Points</t>
  </si>
  <si>
    <t>Standard Deviation</t>
  </si>
  <si>
    <t>C</t>
  </si>
  <si>
    <t>LW</t>
  </si>
  <si>
    <t>RW</t>
  </si>
  <si>
    <t>D</t>
  </si>
  <si>
    <t>YAHOO ADP</t>
  </si>
  <si>
    <t>ESPN  ADP</t>
  </si>
  <si>
    <t>FANTRAX ADP</t>
  </si>
  <si>
    <t>AVG     ADP</t>
  </si>
  <si>
    <t>BOOST</t>
  </si>
  <si>
    <t>EDM</t>
  </si>
  <si>
    <t>COL</t>
  </si>
  <si>
    <t>TOR</t>
  </si>
  <si>
    <t>T.B</t>
  </si>
  <si>
    <t>BOS</t>
  </si>
  <si>
    <t>N.J</t>
  </si>
  <si>
    <t>NSH</t>
  </si>
  <si>
    <t>NYR</t>
  </si>
  <si>
    <t>FLA</t>
  </si>
  <si>
    <t>MIN</t>
  </si>
  <si>
    <t>BUF</t>
  </si>
  <si>
    <t>VAN</t>
  </si>
  <si>
    <t>NYI</t>
  </si>
  <si>
    <t>DAL</t>
  </si>
  <si>
    <t>WPG</t>
  </si>
  <si>
    <t>PIT</t>
  </si>
  <si>
    <t>OTT</t>
  </si>
  <si>
    <t>VGK</t>
  </si>
  <si>
    <t>DET</t>
  </si>
  <si>
    <t>RFA</t>
  </si>
  <si>
    <t>WSH</t>
  </si>
  <si>
    <t>CGY</t>
  </si>
  <si>
    <t>TBL</t>
  </si>
  <si>
    <t>CHI</t>
  </si>
  <si>
    <t>STL</t>
  </si>
  <si>
    <t>CAR</t>
  </si>
  <si>
    <t>L.A</t>
  </si>
  <si>
    <t>UTA</t>
  </si>
  <si>
    <t>CBJ</t>
  </si>
  <si>
    <t>NJD</t>
  </si>
  <si>
    <t>MTL</t>
  </si>
  <si>
    <t>SEA</t>
  </si>
  <si>
    <t>PHI</t>
  </si>
  <si>
    <t>—</t>
  </si>
  <si>
    <t>ANA</t>
  </si>
  <si>
    <t>S.J</t>
  </si>
  <si>
    <t>LAK</t>
  </si>
  <si>
    <t>SJS</t>
  </si>
  <si>
    <t>PLAYER STATS</t>
  </si>
  <si>
    <t>GOALIE STATS</t>
  </si>
  <si>
    <t>Player</t>
  </si>
  <si>
    <t>C/LW</t>
  </si>
  <si>
    <t>LW/RW</t>
  </si>
  <si>
    <t>C/RW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</si>
</sst>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"/>
    <numFmt numFmtId="165" formatCode="#,##0.0"/>
    <numFmt numFmtId="166" formatCode="#,##0%"/>
    <numFmt numFmtId="167" formatCode="#,##0.000"/>
    <numFmt numFmtId="168" formatCode="0.0"/>
    <numFmt numFmtId="169" formatCode="&quot;$&quot;#,##0"/>
  </numFmts>
  <fonts count="24" x14ac:knownFonts="1">
    <font>
      <sz val="10"/>
      <color indexed="8"/>
      <name val="Helvetica"/>
    </font>
    <font>
      <sz val="10"/>
      <color indexed="8"/>
      <name val="Verdana"/>
      <family val="2"/>
    </font>
    <font>
      <b/>
      <sz val="10"/>
      <color indexed="8"/>
      <name val="Helvetica Neue"/>
      <family val="2"/>
    </font>
    <font>
      <sz val="10"/>
      <color indexed="8"/>
      <name val="Helvetica Neue Light"/>
    </font>
    <font>
      <sz val="10"/>
      <color indexed="11"/>
      <name val="Helvetica Neue Light"/>
    </font>
    <font>
      <sz val="10"/>
      <color indexed="13"/>
      <name val="Helvetica Neue Light"/>
    </font>
    <font>
      <i/>
      <sz val="10"/>
      <color indexed="8"/>
      <name val="Helvetica Neue"/>
      <family val="2"/>
    </font>
    <font>
      <b/>
      <sz val="10"/>
      <color indexed="11"/>
      <name val="Helvetica Neue"/>
      <family val="2"/>
    </font>
    <font>
      <b/>
      <i/>
      <sz val="8"/>
      <color indexed="8"/>
      <name val="Helvetica Neue"/>
      <family val="2"/>
    </font>
    <font>
      <i/>
      <sz val="8"/>
      <color indexed="8"/>
      <name val="Helvetica Neue"/>
      <family val="2"/>
    </font>
    <font>
      <b/>
      <sz val="10"/>
      <color indexed="13"/>
      <name val="Helvetica Neue"/>
      <family val="2"/>
    </font>
    <font>
      <b/>
      <sz val="12"/>
      <color indexed="8"/>
      <name val="Helvetica Neue"/>
      <family val="2"/>
    </font>
    <font>
      <sz val="10"/>
      <color indexed="17"/>
      <name val="Helvetica Neue Medium"/>
    </font>
    <font>
      <sz val="10"/>
      <color indexed="8"/>
      <name val="Helvetica Neue Medium"/>
    </font>
    <font>
      <b/>
      <sz val="11"/>
      <color indexed="8"/>
      <name val="Helvetica Neue"/>
      <family val="2"/>
    </font>
    <font>
      <sz val="11"/>
      <color indexed="8"/>
      <name val="Helvetica Neue Light"/>
    </font>
    <font>
      <i/>
      <sz val="10"/>
      <color indexed="13"/>
      <name val="Helvetica Neue"/>
      <family val="2"/>
    </font>
    <font>
      <i/>
      <sz val="10"/>
      <color indexed="11"/>
      <name val="Helvetica Neue"/>
      <family val="2"/>
    </font>
    <font>
      <sz val="10"/>
      <color indexed="19"/>
      <name val="Helvetica Neue Light"/>
    </font>
    <font>
      <sz val="16"/>
      <color indexed="8"/>
      <name val="Helvetica Neue Light"/>
    </font>
    <font>
      <b/>
      <sz val="10"/>
      <color indexed="19"/>
      <name val="Helvetica Neue"/>
      <family val="2"/>
    </font>
    <font>
      <sz val="8"/>
      <color indexed="8"/>
      <name val="Helvetica Neue Light"/>
    </font>
    <font>
      <sz val="8"/>
      <color indexed="19"/>
      <name val="Helvetica Neue Light"/>
    </font>
    <font>
      <sz val="10"/>
      <color indexed="19"/>
      <name val="Helvetica Neue Medium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0">
    <xf numFmtId="0" fontId="0" fillId="0" borderId="0" xfId="0">
      <alignment vertical="top" wrapText="1"/>
    </xf>
    <xf numFmtId="0" fontId="1" fillId="0" borderId="0" xfId="0" applyNumberFormat="1" applyFont="1" applyAlignment="1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left" wrapText="1"/>
    </xf>
    <xf numFmtId="49" fontId="3" fillId="0" borderId="3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49" fontId="2" fillId="7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center" vertical="center"/>
    </xf>
    <xf numFmtId="49" fontId="13" fillId="8" borderId="3" xfId="0" applyNumberFormat="1" applyFont="1" applyFill="1" applyBorder="1" applyAlignment="1">
      <alignment horizontal="right" vertical="center"/>
    </xf>
    <xf numFmtId="3" fontId="13" fillId="8" borderId="3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5" fontId="14" fillId="0" borderId="3" xfId="0" applyNumberFormat="1" applyFont="1" applyBorder="1" applyAlignment="1">
      <alignment horizontal="right" vertical="center"/>
    </xf>
    <xf numFmtId="165" fontId="15" fillId="0" borderId="3" xfId="0" applyNumberFormat="1" applyFont="1" applyBorder="1" applyAlignment="1">
      <alignment horizontal="center" vertical="center"/>
    </xf>
    <xf numFmtId="165" fontId="15" fillId="0" borderId="3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49" fontId="2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right" vertical="center"/>
    </xf>
    <xf numFmtId="167" fontId="3" fillId="0" borderId="3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3" fontId="13" fillId="9" borderId="3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center" vertical="center"/>
    </xf>
    <xf numFmtId="3" fontId="13" fillId="10" borderId="3" xfId="0" applyNumberFormat="1" applyFont="1" applyFill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3" fontId="13" fillId="11" borderId="3" xfId="0" applyNumberFormat="1" applyFont="1" applyFill="1" applyBorder="1" applyAlignment="1">
      <alignment horizontal="left" vertical="center"/>
    </xf>
    <xf numFmtId="0" fontId="7" fillId="0" borderId="3" xfId="0" applyNumberFormat="1" applyFont="1" applyBorder="1" applyAlignment="1">
      <alignment horizontal="center" vertical="center"/>
    </xf>
    <xf numFmtId="3" fontId="13" fillId="12" borderId="3" xfId="0" applyNumberFormat="1" applyFont="1" applyFill="1" applyBorder="1" applyAlignment="1">
      <alignment horizontal="left" vertical="center"/>
    </xf>
    <xf numFmtId="49" fontId="7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3" fontId="13" fillId="13" borderId="3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right" vertical="center"/>
    </xf>
    <xf numFmtId="49" fontId="15" fillId="0" borderId="3" xfId="0" applyNumberFormat="1" applyFont="1" applyBorder="1" applyAlignment="1">
      <alignment horizontal="right" vertical="center"/>
    </xf>
    <xf numFmtId="49" fontId="16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17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49" fontId="13" fillId="14" borderId="3" xfId="0" applyNumberFormat="1" applyFont="1" applyFill="1" applyBorder="1" applyAlignment="1">
      <alignment horizontal="right" vertical="center"/>
    </xf>
    <xf numFmtId="3" fontId="13" fillId="14" borderId="3" xfId="0" applyNumberFormat="1" applyFont="1" applyFill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right" vertical="center"/>
    </xf>
    <xf numFmtId="49" fontId="13" fillId="14" borderId="3" xfId="0" applyNumberFormat="1" applyFont="1" applyFill="1" applyBorder="1" applyAlignment="1">
      <alignment horizontal="left" vertical="center"/>
    </xf>
    <xf numFmtId="49" fontId="14" fillId="0" borderId="3" xfId="0" applyNumberFormat="1" applyFont="1" applyBorder="1" applyAlignment="1">
      <alignment horizontal="right" vertical="center"/>
    </xf>
    <xf numFmtId="49" fontId="13" fillId="15" borderId="3" xfId="0" applyNumberFormat="1" applyFont="1" applyFill="1" applyBorder="1" applyAlignment="1">
      <alignment horizontal="right" vertical="center"/>
    </xf>
    <xf numFmtId="3" fontId="13" fillId="15" borderId="3" xfId="0" applyNumberFormat="1" applyFont="1" applyFill="1" applyBorder="1" applyAlignment="1">
      <alignment horizontal="left" vertical="center"/>
    </xf>
    <xf numFmtId="49" fontId="13" fillId="15" borderId="3" xfId="0" applyNumberFormat="1" applyFont="1" applyFill="1" applyBorder="1" applyAlignment="1">
      <alignment horizontal="left" vertical="center"/>
    </xf>
    <xf numFmtId="49" fontId="13" fillId="16" borderId="3" xfId="0" applyNumberFormat="1" applyFont="1" applyFill="1" applyBorder="1" applyAlignment="1">
      <alignment horizontal="right" vertical="center"/>
    </xf>
    <xf numFmtId="3" fontId="13" fillId="16" borderId="3" xfId="0" applyNumberFormat="1" applyFont="1" applyFill="1" applyBorder="1" applyAlignment="1">
      <alignment horizontal="left" vertical="center"/>
    </xf>
    <xf numFmtId="49" fontId="13" fillId="16" borderId="3" xfId="0" applyNumberFormat="1" applyFont="1" applyFill="1" applyBorder="1" applyAlignment="1">
      <alignment horizontal="left" vertical="center"/>
    </xf>
    <xf numFmtId="49" fontId="13" fillId="17" borderId="3" xfId="0" applyNumberFormat="1" applyFont="1" applyFill="1" applyBorder="1" applyAlignment="1">
      <alignment horizontal="right" vertical="center"/>
    </xf>
    <xf numFmtId="3" fontId="13" fillId="17" borderId="3" xfId="0" applyNumberFormat="1" applyFont="1" applyFill="1" applyBorder="1" applyAlignment="1">
      <alignment horizontal="left" vertical="center"/>
    </xf>
    <xf numFmtId="49" fontId="13" fillId="17" borderId="3" xfId="0" applyNumberFormat="1" applyFont="1" applyFill="1" applyBorder="1" applyAlignment="1">
      <alignment horizontal="left" vertical="center"/>
    </xf>
    <xf numFmtId="166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49" fontId="13" fillId="17" borderId="5" xfId="0" applyNumberFormat="1" applyFont="1" applyFill="1" applyBorder="1" applyAlignment="1">
      <alignment horizontal="right" vertical="center"/>
    </xf>
    <xf numFmtId="49" fontId="13" fillId="17" borderId="5" xfId="0" applyNumberFormat="1" applyFont="1" applyFill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68" fontId="3" fillId="0" borderId="6" xfId="0" applyNumberFormat="1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3" fontId="2" fillId="0" borderId="6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166" fontId="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right" vertical="center"/>
    </xf>
    <xf numFmtId="165" fontId="14" fillId="0" borderId="2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49" fontId="11" fillId="2" borderId="2" xfId="0" applyNumberFormat="1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49" fontId="2" fillId="2" borderId="2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right" vertical="center"/>
    </xf>
    <xf numFmtId="3" fontId="13" fillId="18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49" fontId="18" fillId="0" borderId="2" xfId="0" applyNumberFormat="1" applyFont="1" applyBorder="1" applyAlignment="1">
      <alignment horizontal="right" vertical="center"/>
    </xf>
    <xf numFmtId="49" fontId="13" fillId="7" borderId="3" xfId="0" applyNumberFormat="1" applyFont="1" applyFill="1" applyBorder="1" applyAlignment="1">
      <alignment horizontal="right" vertical="center"/>
    </xf>
    <xf numFmtId="49" fontId="13" fillId="18" borderId="3" xfId="0" applyNumberFormat="1" applyFont="1" applyFill="1" applyBorder="1" applyAlignment="1">
      <alignment horizontal="left" vertical="center"/>
    </xf>
    <xf numFmtId="49" fontId="13" fillId="7" borderId="5" xfId="0" applyNumberFormat="1" applyFont="1" applyFill="1" applyBorder="1" applyAlignment="1">
      <alignment horizontal="right" vertical="center"/>
    </xf>
    <xf numFmtId="49" fontId="13" fillId="18" borderId="5" xfId="0" applyNumberFormat="1" applyFont="1" applyFill="1" applyBorder="1" applyAlignment="1">
      <alignment horizontal="left" vertical="center"/>
    </xf>
    <xf numFmtId="167" fontId="2" fillId="0" borderId="6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horizontal="right"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13" fillId="18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righ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20" fillId="2" borderId="2" xfId="0" applyFont="1" applyFill="1" applyBorder="1" applyAlignment="1">
      <alignment horizontal="center"/>
    </xf>
    <xf numFmtId="49" fontId="20" fillId="2" borderId="2" xfId="0" applyNumberFormat="1" applyFont="1" applyFill="1" applyBorder="1" applyAlignment="1">
      <alignment horizontal="right" wrapText="1"/>
    </xf>
    <xf numFmtId="49" fontId="20" fillId="2" borderId="2" xfId="0" applyNumberFormat="1" applyFont="1" applyFill="1" applyBorder="1" applyAlignment="1">
      <alignment horizontal="right"/>
    </xf>
    <xf numFmtId="49" fontId="21" fillId="2" borderId="1" xfId="0" applyNumberFormat="1" applyFont="1" applyFill="1" applyBorder="1" applyAlignment="1">
      <alignment horizontal="left" vertical="top"/>
    </xf>
    <xf numFmtId="0" fontId="21" fillId="2" borderId="1" xfId="0" applyNumberFormat="1" applyFont="1" applyFill="1" applyBorder="1" applyAlignment="1">
      <alignment horizontal="right" vertical="top"/>
    </xf>
    <xf numFmtId="0" fontId="21" fillId="2" borderId="1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right" vertical="top"/>
    </xf>
    <xf numFmtId="0" fontId="22" fillId="2" borderId="1" xfId="0" applyFont="1" applyFill="1" applyBorder="1" applyAlignment="1">
      <alignment horizontal="center" vertical="top"/>
    </xf>
    <xf numFmtId="0" fontId="22" fillId="2" borderId="1" xfId="0" applyFont="1" applyFill="1" applyBorder="1" applyAlignment="1">
      <alignment horizontal="right" vertical="top"/>
    </xf>
    <xf numFmtId="49" fontId="13" fillId="11" borderId="3" xfId="0" applyNumberFormat="1" applyFont="1" applyFill="1" applyBorder="1" applyAlignment="1">
      <alignment horizontal="right" vertical="center"/>
    </xf>
    <xf numFmtId="3" fontId="23" fillId="19" borderId="3" xfId="0" applyNumberFormat="1" applyFont="1" applyFill="1" applyBorder="1" applyAlignment="1">
      <alignment horizontal="center" vertical="center"/>
    </xf>
    <xf numFmtId="165" fontId="18" fillId="0" borderId="3" xfId="0" applyNumberFormat="1" applyFont="1" applyBorder="1" applyAlignment="1">
      <alignment horizontal="right" vertical="center"/>
    </xf>
    <xf numFmtId="0" fontId="22" fillId="2" borderId="2" xfId="0" applyFont="1" applyFill="1" applyBorder="1" applyAlignment="1">
      <alignment horizontal="center" vertical="top"/>
    </xf>
    <xf numFmtId="0" fontId="22" fillId="2" borderId="2" xfId="0" applyFont="1" applyFill="1" applyBorder="1" applyAlignment="1">
      <alignment horizontal="right" vertical="top"/>
    </xf>
    <xf numFmtId="3" fontId="23" fillId="19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Border="1" applyAlignment="1">
      <alignment horizontal="right" vertical="center"/>
    </xf>
    <xf numFmtId="49" fontId="13" fillId="6" borderId="3" xfId="0" applyNumberFormat="1" applyFont="1" applyFill="1" applyBorder="1" applyAlignment="1">
      <alignment horizontal="right" vertical="center"/>
    </xf>
    <xf numFmtId="3" fontId="13" fillId="6" borderId="3" xfId="0" applyNumberFormat="1" applyFont="1" applyFill="1" applyBorder="1" applyAlignment="1">
      <alignment horizontal="left" vertical="center"/>
    </xf>
    <xf numFmtId="3" fontId="13" fillId="7" borderId="3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68" fontId="3" fillId="0" borderId="3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9" fontId="3" fillId="0" borderId="3" xfId="0" applyNumberFormat="1" applyFont="1" applyBorder="1" applyAlignment="1">
      <alignment horizontal="right" vertic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13" fillId="19" borderId="3" xfId="0" applyNumberFormat="1" applyFont="1" applyFill="1" applyBorder="1" applyAlignment="1">
      <alignment horizontal="center" vertical="center"/>
    </xf>
    <xf numFmtId="1" fontId="13" fillId="19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13" fillId="19" borderId="3" xfId="0" applyFont="1" applyFill="1" applyBorder="1" applyAlignment="1">
      <alignment horizontal="center" vertical="center"/>
    </xf>
    <xf numFmtId="4" fontId="13" fillId="19" borderId="3" xfId="0" applyNumberFormat="1" applyFont="1" applyFill="1" applyBorder="1" applyAlignment="1">
      <alignment horizontal="center" vertical="center"/>
    </xf>
    <xf numFmtId="0" fontId="13" fillId="19" borderId="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49" fontId="3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49" fontId="3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/>
    <xf numFmtId="0" fontId="9" fillId="0" borderId="2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right" vertical="center"/>
    </xf>
    <xf numFmtId="165" fontId="19" fillId="0" borderId="2" xfId="0" applyNumberFormat="1" applyFont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/>
    </xf>
    <xf numFmtId="0" fontId="1" fillId="0" borderId="7" xfId="0" applyFont="1" applyBorder="1" applyAlignment="1"/>
  </cellXfs>
  <cellStyles count="1">
    <cellStyle name="Normal" xfId="0" builtinId="0"/>
  </cellStyles>
  <dxfs count="53"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D5D5D5"/>
      </font>
    </dxf>
    <dxf>
      <font>
        <b/>
        <color rgb="FFAD1915"/>
      </font>
    </dxf>
    <dxf>
      <font>
        <b/>
        <color rgb="FF165778"/>
      </font>
    </dxf>
    <dxf>
      <font>
        <color rgb="FFAD1915"/>
      </font>
    </dxf>
    <dxf>
      <font>
        <color rgb="FF165778"/>
      </font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3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94D06F"/>
      <rgbColor rgb="FF165778"/>
      <rgbColor rgb="FFF5DD6B"/>
      <rgbColor rgb="FFAD1915"/>
      <rgbColor rgb="FFFF6861"/>
      <rgbColor rgb="FF7BB4D7"/>
      <rgbColor rgb="FFB778CA"/>
      <rgbColor rgb="FFBFBFBF"/>
      <rgbColor rgb="FF92D069"/>
      <rgbColor rgb="00000000"/>
      <rgbColor rgb="FFFFA93A"/>
      <rgbColor rgb="FF6DC037"/>
      <rgbColor rgb="FF489BC9"/>
      <rgbColor rgb="FFF1D030"/>
      <rgbColor rgb="FFFF2C21"/>
      <rgbColor rgb="FF9D44B8"/>
      <rgbColor rgb="FFD5D5D5"/>
      <rgbColor rgb="FFFF6158"/>
      <rgbColor rgb="FF76B4D6"/>
      <rgbColor rgb="FFFFBE6B"/>
      <rgbColor rgb="FFF4DC64"/>
      <rgbColor rgb="FFB573C9"/>
      <rgbColor rgb="FFA1CE7A"/>
      <rgbColor rgb="FFF1DD7C"/>
      <rgbColor rgb="FFED7266"/>
      <rgbColor rgb="FF87B2D4"/>
      <rgbColor rgb="FFAE7BC6"/>
      <rgbColor rgb="FFFEFFFE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workbookViewId="0">
      <pane ySplit="1" topLeftCell="A2" activePane="bottomLeft" state="frozen"/>
      <selection pane="bottomLeft" activeCell="L25" sqref="L25"/>
    </sheetView>
  </sheetViews>
  <sheetFormatPr baseColWidth="10" defaultColWidth="8" defaultRowHeight="16.25" customHeight="1" x14ac:dyDescent="0.15"/>
  <cols>
    <col min="1" max="1" width="18.83203125" style="1" customWidth="1"/>
    <col min="2" max="3" width="9.5" style="1" customWidth="1"/>
    <col min="4" max="4" width="4.6640625" style="1" customWidth="1"/>
    <col min="5" max="5" width="9.5" style="1" customWidth="1"/>
    <col min="6" max="6" width="18.83203125" style="1" customWidth="1"/>
    <col min="7" max="7" width="4.6640625" style="1" customWidth="1"/>
    <col min="8" max="10" width="9.5" style="1" customWidth="1"/>
    <col min="11" max="11" width="4.6640625" style="1" customWidth="1"/>
    <col min="12" max="12" width="18.83203125" style="1" customWidth="1"/>
    <col min="13" max="13" width="47.33203125" style="1" customWidth="1"/>
    <col min="14" max="14" width="8" style="1" customWidth="1"/>
    <col min="15" max="16384" width="8" style="1"/>
  </cols>
  <sheetData>
    <row r="1" spans="1:13" ht="42.5" customHeight="1" x14ac:dyDescent="0.15">
      <c r="A1" s="2" t="s">
        <v>0</v>
      </c>
      <c r="B1" s="3" t="s">
        <v>1</v>
      </c>
      <c r="C1" s="4" t="s">
        <v>2</v>
      </c>
      <c r="D1" s="5"/>
      <c r="E1" s="4" t="s">
        <v>3</v>
      </c>
      <c r="F1" s="6" t="s">
        <v>4</v>
      </c>
      <c r="G1" s="5"/>
      <c r="H1" s="7" t="s">
        <v>5</v>
      </c>
      <c r="I1" s="7" t="s">
        <v>6</v>
      </c>
      <c r="J1" s="7" t="s">
        <v>7</v>
      </c>
      <c r="K1" s="5"/>
      <c r="L1" s="8" t="s">
        <v>8</v>
      </c>
      <c r="M1" s="8" t="s">
        <v>9</v>
      </c>
    </row>
    <row r="2" spans="1:13" ht="21.25" customHeight="1" x14ac:dyDescent="0.15">
      <c r="A2" s="9" t="s">
        <v>10</v>
      </c>
      <c r="B2" s="10">
        <v>3</v>
      </c>
      <c r="C2" s="11">
        <v>1</v>
      </c>
      <c r="D2" s="12"/>
      <c r="E2" s="13" t="s">
        <v>11</v>
      </c>
      <c r="F2" s="10">
        <f>ROUND(IF(E$21="Position",I2,IF(E$21="Draft",ROUND(J2*(H2/2)*($E$24/12),0),AVERAGE(I2,ROUND(J2*(H2/2)*($E$24/12),0)))),0)</f>
        <v>23</v>
      </c>
      <c r="G2" s="5"/>
      <c r="H2" s="11">
        <v>2</v>
      </c>
      <c r="I2" s="11">
        <f>H2*E$24</f>
        <v>24</v>
      </c>
      <c r="J2" s="11">
        <v>23</v>
      </c>
      <c r="K2" s="5"/>
      <c r="L2" s="9" t="s">
        <v>12</v>
      </c>
      <c r="M2" s="14" t="s">
        <v>13</v>
      </c>
    </row>
    <row r="3" spans="1:13" ht="21.25" customHeight="1" x14ac:dyDescent="0.15">
      <c r="A3" s="9" t="s">
        <v>14</v>
      </c>
      <c r="B3" s="10">
        <v>3</v>
      </c>
      <c r="C3" s="10">
        <v>1</v>
      </c>
      <c r="D3" s="12"/>
      <c r="E3" s="15" t="s">
        <v>15</v>
      </c>
      <c r="F3" s="10">
        <f>ROUND(IF(E$21="Position",I3,IF(E$21="Draft",ROUND(J3*(H3/2)*($E$24/12),0),AVERAGE(I3,ROUND(J3*(H3/2)*($E$24/12),0)))),0)</f>
        <v>20</v>
      </c>
      <c r="G3" s="5"/>
      <c r="H3" s="10">
        <v>2</v>
      </c>
      <c r="I3" s="10">
        <f>H3*E$24</f>
        <v>24</v>
      </c>
      <c r="J3" s="10">
        <v>20</v>
      </c>
      <c r="K3" s="5"/>
      <c r="L3" s="9" t="s">
        <v>12</v>
      </c>
      <c r="M3" s="16" t="s">
        <v>16</v>
      </c>
    </row>
    <row r="4" spans="1:13" ht="21.25" customHeight="1" x14ac:dyDescent="0.15">
      <c r="A4" s="9" t="s">
        <v>1</v>
      </c>
      <c r="B4" s="17"/>
      <c r="C4" s="17"/>
      <c r="D4" s="12"/>
      <c r="E4" s="18" t="s">
        <v>17</v>
      </c>
      <c r="F4" s="10">
        <f>ROUND(IF(E$21="Position",I4,IF(E$21="Draft",ROUND(J4*(H4/2)*($E$24/12),0),AVERAGE(I4,ROUND(J4*(H4/2)*($E$24/12),0)))),0)</f>
        <v>20</v>
      </c>
      <c r="G4" s="5"/>
      <c r="H4" s="10">
        <v>2</v>
      </c>
      <c r="I4" s="10">
        <f>H4*E$24</f>
        <v>24</v>
      </c>
      <c r="J4" s="10">
        <v>20</v>
      </c>
      <c r="K4" s="5"/>
      <c r="L4" s="9" t="s">
        <v>12</v>
      </c>
      <c r="M4" s="19" t="s">
        <v>18</v>
      </c>
    </row>
    <row r="5" spans="1:13" ht="21.25" customHeight="1" x14ac:dyDescent="0.15">
      <c r="A5" s="9" t="s">
        <v>19</v>
      </c>
      <c r="B5" s="10">
        <v>0.5</v>
      </c>
      <c r="C5" s="10">
        <v>1</v>
      </c>
      <c r="D5" s="12"/>
      <c r="E5" s="20" t="s">
        <v>20</v>
      </c>
      <c r="F5" s="10">
        <f>ROUND(IF(E$21="Position",I5,IF(E$21="Draft",ROUND(J5*(H5/4)*($E$24/12),0),AVERAGE(I5,ROUND(J5*(H5/4)*($E$24/12),0)))),0)</f>
        <v>18</v>
      </c>
      <c r="G5" s="5"/>
      <c r="H5" s="10">
        <v>4</v>
      </c>
      <c r="I5" s="10">
        <f>H5*E$24</f>
        <v>48</v>
      </c>
      <c r="J5" s="10">
        <v>18</v>
      </c>
      <c r="K5" s="5"/>
      <c r="L5" s="9" t="s">
        <v>12</v>
      </c>
      <c r="M5" s="21" t="s">
        <v>21</v>
      </c>
    </row>
    <row r="6" spans="1:13" ht="21.25" customHeight="1" x14ac:dyDescent="0.15">
      <c r="A6" s="9" t="s">
        <v>22</v>
      </c>
      <c r="B6" s="10">
        <v>0.5</v>
      </c>
      <c r="C6" s="10">
        <v>1</v>
      </c>
      <c r="D6" s="12"/>
      <c r="E6" s="22" t="s">
        <v>23</v>
      </c>
      <c r="F6" s="10">
        <f>ROUND(IF(E$21="Position",I6,IF(E$21="Draft",ROUND(J6*(H6/2)*($E$24/12),0),AVERAGE(I6,ROUND(J6*(H6/2)*($E$24/12),0)))),0)</f>
        <v>10</v>
      </c>
      <c r="G6" s="5"/>
      <c r="H6" s="10">
        <v>1</v>
      </c>
      <c r="I6" s="10">
        <f>H6*E$24</f>
        <v>12</v>
      </c>
      <c r="J6" s="10">
        <v>19</v>
      </c>
      <c r="K6" s="5"/>
      <c r="L6" s="23"/>
      <c r="M6" s="17"/>
    </row>
    <row r="7" spans="1:13" ht="21.25" customHeight="1" x14ac:dyDescent="0.15">
      <c r="A7" s="9" t="s">
        <v>24</v>
      </c>
      <c r="B7" s="17"/>
      <c r="C7" s="17"/>
      <c r="D7" s="12"/>
      <c r="E7" s="12"/>
      <c r="F7" s="24"/>
      <c r="G7" s="5"/>
      <c r="H7" s="24"/>
      <c r="I7" s="24"/>
      <c r="J7" s="24"/>
      <c r="K7" s="5"/>
      <c r="L7" s="9" t="s">
        <v>25</v>
      </c>
      <c r="M7" s="25" t="s">
        <v>26</v>
      </c>
    </row>
    <row r="8" spans="1:13" ht="21.25" customHeight="1" x14ac:dyDescent="0.15">
      <c r="A8" s="9" t="s">
        <v>27</v>
      </c>
      <c r="B8" s="17"/>
      <c r="C8" s="17"/>
      <c r="D8" s="12"/>
      <c r="E8" s="194" t="s">
        <v>28</v>
      </c>
      <c r="F8" s="195"/>
      <c r="G8" s="26"/>
      <c r="H8" s="197" t="s">
        <v>29</v>
      </c>
      <c r="I8" s="195"/>
      <c r="J8" s="195"/>
      <c r="K8" s="26"/>
      <c r="L8" s="9" t="s">
        <v>25</v>
      </c>
      <c r="M8" s="27" t="s">
        <v>30</v>
      </c>
    </row>
    <row r="9" spans="1:13" ht="21.25" customHeight="1" x14ac:dyDescent="0.15">
      <c r="A9" s="9" t="s">
        <v>31</v>
      </c>
      <c r="B9" s="10">
        <v>1</v>
      </c>
      <c r="C9" s="10">
        <v>1</v>
      </c>
      <c r="D9" s="12"/>
      <c r="E9" s="196" t="s">
        <v>32</v>
      </c>
      <c r="F9" s="195"/>
      <c r="G9" s="26"/>
      <c r="H9" s="29"/>
      <c r="I9" s="29"/>
      <c r="J9" s="29"/>
      <c r="K9" s="26"/>
      <c r="L9" s="23"/>
      <c r="M9" s="30"/>
    </row>
    <row r="10" spans="1:13" ht="21.25" customHeight="1" x14ac:dyDescent="0.15">
      <c r="A10" s="9" t="s">
        <v>33</v>
      </c>
      <c r="B10" s="17"/>
      <c r="C10" s="17"/>
      <c r="D10" s="12"/>
      <c r="E10" s="12"/>
      <c r="F10" s="12"/>
      <c r="G10" s="26"/>
      <c r="H10" s="29"/>
      <c r="I10" s="29"/>
      <c r="J10" s="29"/>
      <c r="K10" s="26"/>
      <c r="L10" s="9" t="s">
        <v>34</v>
      </c>
      <c r="M10" s="25" t="s">
        <v>35</v>
      </c>
    </row>
    <row r="11" spans="1:13" ht="21.25" customHeight="1" x14ac:dyDescent="0.15">
      <c r="A11" s="9" t="s">
        <v>36</v>
      </c>
      <c r="B11" s="10">
        <v>1</v>
      </c>
      <c r="C11" s="17"/>
      <c r="D11" s="12"/>
      <c r="E11" s="194" t="s">
        <v>37</v>
      </c>
      <c r="F11" s="195"/>
      <c r="G11" s="26"/>
      <c r="H11" s="197" t="s">
        <v>38</v>
      </c>
      <c r="I11" s="195"/>
      <c r="J11" s="195"/>
      <c r="K11" s="26"/>
      <c r="L11" s="23"/>
      <c r="M11" s="17"/>
    </row>
    <row r="12" spans="1:13" ht="21.25" customHeight="1" x14ac:dyDescent="0.15">
      <c r="A12" s="9" t="s">
        <v>39</v>
      </c>
      <c r="B12" s="17"/>
      <c r="C12" s="17"/>
      <c r="D12" s="12"/>
      <c r="E12" s="196" t="s">
        <v>40</v>
      </c>
      <c r="F12" s="195"/>
      <c r="G12" s="26"/>
      <c r="H12" s="29"/>
      <c r="I12" s="29"/>
      <c r="J12" s="29"/>
      <c r="K12" s="26"/>
      <c r="L12" s="9" t="s">
        <v>41</v>
      </c>
      <c r="M12" s="25" t="s">
        <v>42</v>
      </c>
    </row>
    <row r="13" spans="1:13" ht="21.25" customHeight="1" x14ac:dyDescent="0.15">
      <c r="A13" s="9" t="s">
        <v>43</v>
      </c>
      <c r="B13" s="17"/>
      <c r="C13" s="17"/>
      <c r="D13" s="12"/>
      <c r="E13" s="12"/>
      <c r="F13" s="12"/>
      <c r="G13" s="26"/>
      <c r="H13" s="29"/>
      <c r="I13" s="29"/>
      <c r="J13" s="29"/>
      <c r="K13" s="26"/>
      <c r="L13" s="9" t="s">
        <v>41</v>
      </c>
      <c r="M13" s="14" t="s">
        <v>44</v>
      </c>
    </row>
    <row r="14" spans="1:13" ht="21.25" customHeight="1" x14ac:dyDescent="0.15">
      <c r="A14" s="9" t="s">
        <v>45</v>
      </c>
      <c r="B14" s="17"/>
      <c r="C14" s="10">
        <v>1</v>
      </c>
      <c r="D14" s="12"/>
      <c r="E14" s="194" t="s">
        <v>46</v>
      </c>
      <c r="F14" s="195"/>
      <c r="G14" s="26"/>
      <c r="H14" s="197" t="s">
        <v>47</v>
      </c>
      <c r="I14" s="195"/>
      <c r="J14" s="195"/>
      <c r="K14" s="26"/>
      <c r="L14" s="9" t="s">
        <v>41</v>
      </c>
      <c r="M14" s="16" t="s">
        <v>48</v>
      </c>
    </row>
    <row r="15" spans="1:13" ht="21.25" customHeight="1" x14ac:dyDescent="0.15">
      <c r="A15" s="9" t="s">
        <v>49</v>
      </c>
      <c r="B15" s="17"/>
      <c r="C15" s="17"/>
      <c r="D15" s="12"/>
      <c r="E15" s="196" t="s">
        <v>1</v>
      </c>
      <c r="F15" s="195"/>
      <c r="G15" s="26"/>
      <c r="H15" s="29"/>
      <c r="I15" s="29"/>
      <c r="J15" s="29"/>
      <c r="K15" s="26"/>
      <c r="L15" s="9" t="s">
        <v>41</v>
      </c>
      <c r="M15" s="27" t="s">
        <v>50</v>
      </c>
    </row>
    <row r="16" spans="1:13" ht="21.25" customHeight="1" x14ac:dyDescent="0.15">
      <c r="A16" s="9" t="s">
        <v>51</v>
      </c>
      <c r="B16" s="17"/>
      <c r="C16" s="17"/>
      <c r="D16" s="12"/>
      <c r="E16" s="12"/>
      <c r="F16" s="12"/>
      <c r="G16" s="29"/>
      <c r="H16" s="29"/>
      <c r="I16" s="29"/>
      <c r="J16" s="29"/>
      <c r="K16" s="29"/>
      <c r="L16" s="23"/>
      <c r="M16" s="31"/>
    </row>
    <row r="17" spans="1:13" ht="21.25" customHeight="1" x14ac:dyDescent="0.15">
      <c r="A17" s="9" t="s">
        <v>52</v>
      </c>
      <c r="B17" s="17"/>
      <c r="C17" s="17"/>
      <c r="D17" s="12"/>
      <c r="E17" s="194" t="s">
        <v>53</v>
      </c>
      <c r="F17" s="195"/>
      <c r="G17" s="29"/>
      <c r="H17" s="197" t="s">
        <v>54</v>
      </c>
      <c r="I17" s="195"/>
      <c r="J17" s="195"/>
      <c r="K17" s="29"/>
      <c r="L17" s="9" t="s">
        <v>55</v>
      </c>
      <c r="M17" s="25" t="s">
        <v>56</v>
      </c>
    </row>
    <row r="18" spans="1:13" ht="21.25" customHeight="1" x14ac:dyDescent="0.15">
      <c r="A18" s="9" t="s">
        <v>57</v>
      </c>
      <c r="B18" s="17"/>
      <c r="C18" s="17"/>
      <c r="D18" s="12"/>
      <c r="E18" s="196" t="s">
        <v>58</v>
      </c>
      <c r="F18" s="195"/>
      <c r="G18" s="29"/>
      <c r="H18" s="29"/>
      <c r="I18" s="29"/>
      <c r="J18" s="29"/>
      <c r="K18" s="29"/>
      <c r="L18" s="9" t="s">
        <v>55</v>
      </c>
      <c r="M18" s="27" t="s">
        <v>59</v>
      </c>
    </row>
    <row r="19" spans="1:13" ht="21.25" customHeight="1" x14ac:dyDescent="0.15">
      <c r="A19" s="9" t="s">
        <v>60</v>
      </c>
      <c r="B19" s="17"/>
      <c r="C19" s="17"/>
      <c r="D19" s="12"/>
      <c r="E19" s="12"/>
      <c r="F19" s="12"/>
      <c r="G19" s="29"/>
      <c r="H19" s="29"/>
      <c r="I19" s="29"/>
      <c r="J19" s="29"/>
      <c r="K19" s="29"/>
      <c r="L19" s="23"/>
      <c r="M19" s="31"/>
    </row>
    <row r="20" spans="1:13" ht="21.25" customHeight="1" x14ac:dyDescent="0.15">
      <c r="A20" s="9"/>
      <c r="B20" s="17"/>
      <c r="C20" s="17"/>
      <c r="D20" s="12"/>
      <c r="E20" s="194" t="s">
        <v>61</v>
      </c>
      <c r="F20" s="195"/>
      <c r="G20" s="29"/>
      <c r="H20" s="197" t="s">
        <v>62</v>
      </c>
      <c r="I20" s="195"/>
      <c r="J20" s="195"/>
      <c r="K20" s="29"/>
      <c r="L20" s="9" t="s">
        <v>63</v>
      </c>
      <c r="M20" s="25" t="s">
        <v>64</v>
      </c>
    </row>
    <row r="21" spans="1:13" ht="21.25" customHeight="1" x14ac:dyDescent="0.15">
      <c r="A21" s="9" t="s">
        <v>65</v>
      </c>
      <c r="B21" s="10">
        <v>3</v>
      </c>
      <c r="C21" s="10">
        <v>1</v>
      </c>
      <c r="D21" s="12"/>
      <c r="E21" s="196" t="s">
        <v>66</v>
      </c>
      <c r="F21" s="195"/>
      <c r="G21" s="29"/>
      <c r="H21" s="29"/>
      <c r="I21" s="29"/>
      <c r="J21" s="29"/>
      <c r="K21" s="29"/>
      <c r="L21" s="32" t="s">
        <v>63</v>
      </c>
      <c r="M21" s="33" t="s">
        <v>67</v>
      </c>
    </row>
    <row r="22" spans="1:13" ht="21.25" customHeight="1" x14ac:dyDescent="0.15">
      <c r="A22" s="9" t="s">
        <v>68</v>
      </c>
      <c r="B22" s="17"/>
      <c r="C22" s="17"/>
      <c r="D22" s="12"/>
      <c r="E22" s="12"/>
      <c r="F22" s="12"/>
      <c r="G22" s="29"/>
      <c r="H22" s="29"/>
      <c r="I22" s="29"/>
      <c r="J22" s="29"/>
      <c r="K22" s="29"/>
      <c r="L22" s="34"/>
      <c r="M22" s="12"/>
    </row>
    <row r="23" spans="1:13" ht="21.25" customHeight="1" x14ac:dyDescent="0.15">
      <c r="A23" s="9" t="s">
        <v>69</v>
      </c>
      <c r="B23" s="17"/>
      <c r="C23" s="17"/>
      <c r="D23" s="12"/>
      <c r="E23" s="194" t="s">
        <v>70</v>
      </c>
      <c r="F23" s="195"/>
      <c r="G23" s="12"/>
      <c r="H23" s="12"/>
      <c r="I23" s="12"/>
      <c r="J23" s="12"/>
      <c r="K23" s="12"/>
      <c r="L23" s="34"/>
      <c r="M23" s="12"/>
    </row>
    <row r="24" spans="1:13" ht="21.25" customHeight="1" x14ac:dyDescent="0.15">
      <c r="A24" s="9" t="s">
        <v>71</v>
      </c>
      <c r="B24" s="10">
        <v>1</v>
      </c>
      <c r="C24" s="10">
        <v>1</v>
      </c>
      <c r="D24" s="12"/>
      <c r="E24" s="198">
        <v>12</v>
      </c>
      <c r="F24" s="195"/>
      <c r="G24" s="12"/>
      <c r="H24" s="12"/>
      <c r="I24" s="12"/>
      <c r="J24" s="12"/>
      <c r="K24" s="12"/>
      <c r="L24" s="34"/>
      <c r="M24" s="12"/>
    </row>
    <row r="25" spans="1:13" ht="21.25" customHeight="1" x14ac:dyDescent="0.15">
      <c r="A25" s="9" t="s">
        <v>72</v>
      </c>
      <c r="B25" s="10">
        <v>0.5</v>
      </c>
      <c r="C25" s="17"/>
      <c r="D25" s="12"/>
      <c r="E25" s="12"/>
      <c r="F25" s="12"/>
      <c r="G25" s="12"/>
      <c r="H25" s="12"/>
      <c r="I25" s="12"/>
      <c r="J25" s="12"/>
      <c r="K25" s="12"/>
      <c r="L25" s="34"/>
      <c r="M25" s="12"/>
    </row>
    <row r="26" spans="1:13" ht="21.25" customHeight="1" x14ac:dyDescent="0.15">
      <c r="A26" s="9" t="s">
        <v>73</v>
      </c>
      <c r="B26" s="17"/>
      <c r="C26" s="10">
        <v>1</v>
      </c>
      <c r="D26" s="12"/>
      <c r="E26" s="199" t="s">
        <v>74</v>
      </c>
      <c r="F26" s="200"/>
      <c r="G26" s="12"/>
      <c r="H26" s="197" t="s">
        <v>75</v>
      </c>
      <c r="I26" s="195"/>
      <c r="J26" s="195"/>
      <c r="K26" s="12"/>
      <c r="L26" s="203"/>
      <c r="M26" s="195"/>
    </row>
    <row r="27" spans="1:13" ht="21.25" customHeight="1" x14ac:dyDescent="0.15">
      <c r="A27" s="9" t="s">
        <v>76</v>
      </c>
      <c r="B27" s="10">
        <v>-3</v>
      </c>
      <c r="C27" s="17"/>
      <c r="D27" s="12"/>
      <c r="E27" s="201" t="s">
        <v>77</v>
      </c>
      <c r="F27" s="202"/>
      <c r="G27" s="12"/>
      <c r="H27" s="195"/>
      <c r="I27" s="195"/>
      <c r="J27" s="195"/>
      <c r="K27" s="12"/>
      <c r="L27" s="195"/>
      <c r="M27" s="195"/>
    </row>
    <row r="28" spans="1:13" ht="21.25" customHeight="1" x14ac:dyDescent="0.15">
      <c r="A28" s="9" t="s">
        <v>78</v>
      </c>
      <c r="B28" s="17"/>
      <c r="C28" s="10">
        <v>1</v>
      </c>
      <c r="D28" s="12"/>
      <c r="E28" s="28" t="s">
        <v>79</v>
      </c>
      <c r="F28" s="35">
        <v>0.2</v>
      </c>
      <c r="G28" s="12"/>
      <c r="H28" s="197" t="s">
        <v>80</v>
      </c>
      <c r="I28" s="195"/>
      <c r="J28" s="195"/>
      <c r="K28" s="12"/>
      <c r="L28" s="203"/>
      <c r="M28" s="195"/>
    </row>
    <row r="29" spans="1:13" ht="21.25" customHeight="1" x14ac:dyDescent="0.15">
      <c r="A29" s="9" t="s">
        <v>81</v>
      </c>
      <c r="B29" s="17"/>
      <c r="C29" s="17"/>
      <c r="D29" s="12"/>
      <c r="E29" s="28" t="s">
        <v>82</v>
      </c>
      <c r="F29" s="35">
        <v>0.1</v>
      </c>
      <c r="G29" s="12"/>
      <c r="H29" s="195"/>
      <c r="I29" s="195"/>
      <c r="J29" s="195"/>
      <c r="K29" s="12"/>
      <c r="L29" s="195"/>
      <c r="M29" s="195"/>
    </row>
    <row r="30" spans="1:13" ht="21.25" customHeight="1" x14ac:dyDescent="0.15">
      <c r="A30" s="23"/>
      <c r="B30" s="17"/>
      <c r="C30" s="17"/>
      <c r="D30" s="12"/>
      <c r="E30" s="28" t="s">
        <v>83</v>
      </c>
      <c r="F30" s="35">
        <v>0.05</v>
      </c>
      <c r="G30" s="12"/>
      <c r="H30" s="197" t="s">
        <v>84</v>
      </c>
      <c r="I30" s="195"/>
      <c r="J30" s="195"/>
      <c r="K30" s="12"/>
      <c r="L30" s="203"/>
      <c r="M30" s="195"/>
    </row>
    <row r="31" spans="1:13" ht="21.25" customHeight="1" x14ac:dyDescent="0.15">
      <c r="A31" s="23"/>
      <c r="B31" s="17"/>
      <c r="C31" s="17"/>
      <c r="D31" s="12"/>
      <c r="E31" s="28" t="s">
        <v>85</v>
      </c>
      <c r="F31" s="35">
        <v>-0.05</v>
      </c>
      <c r="G31" s="12"/>
      <c r="H31" s="195"/>
      <c r="I31" s="195"/>
      <c r="J31" s="195"/>
      <c r="K31" s="12"/>
      <c r="L31" s="195"/>
      <c r="M31" s="195"/>
    </row>
    <row r="32" spans="1:13" ht="21.25" customHeight="1" x14ac:dyDescent="0.15">
      <c r="A32" s="23"/>
      <c r="B32" s="17"/>
      <c r="C32" s="17"/>
      <c r="D32" s="12"/>
      <c r="E32" s="28" t="s">
        <v>86</v>
      </c>
      <c r="F32" s="35">
        <v>-0.1</v>
      </c>
      <c r="G32" s="12"/>
      <c r="H32" s="195"/>
      <c r="I32" s="195"/>
      <c r="J32" s="195"/>
      <c r="K32" s="12"/>
      <c r="L32" s="195"/>
      <c r="M32" s="195"/>
    </row>
    <row r="33" spans="1:13" ht="21.25" customHeight="1" x14ac:dyDescent="0.15">
      <c r="A33" s="23"/>
      <c r="B33" s="17"/>
      <c r="C33" s="17"/>
      <c r="D33" s="12"/>
      <c r="E33" s="28" t="s">
        <v>87</v>
      </c>
      <c r="F33" s="35">
        <v>-0.2</v>
      </c>
      <c r="G33" s="12"/>
      <c r="H33" s="29"/>
      <c r="I33" s="29"/>
      <c r="J33" s="29"/>
      <c r="K33" s="12"/>
      <c r="L33" s="36"/>
      <c r="M33" s="29"/>
    </row>
  </sheetData>
  <mergeCells count="25">
    <mergeCell ref="L26:M27"/>
    <mergeCell ref="L28:M29"/>
    <mergeCell ref="L30:M32"/>
    <mergeCell ref="E26:F26"/>
    <mergeCell ref="H26:J27"/>
    <mergeCell ref="H28:J29"/>
    <mergeCell ref="H30:J32"/>
    <mergeCell ref="E27:F27"/>
    <mergeCell ref="E23:F23"/>
    <mergeCell ref="E24:F24"/>
    <mergeCell ref="E20:F20"/>
    <mergeCell ref="E21:F21"/>
    <mergeCell ref="H20:J20"/>
    <mergeCell ref="E15:F15"/>
    <mergeCell ref="E17:F17"/>
    <mergeCell ref="E18:F18"/>
    <mergeCell ref="H8:J8"/>
    <mergeCell ref="H11:J11"/>
    <mergeCell ref="H14:J14"/>
    <mergeCell ref="H17:J17"/>
    <mergeCell ref="E8:F8"/>
    <mergeCell ref="E9:F9"/>
    <mergeCell ref="E11:F11"/>
    <mergeCell ref="E12:F12"/>
    <mergeCell ref="E14:F14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665"/>
  <sheetViews>
    <sheetView showGridLines="0" workbookViewId="0">
      <pane ySplit="1" topLeftCell="A2" activePane="bottomLeft" state="frozen"/>
      <selection pane="bottomLeft" activeCell="L6" sqref="L6"/>
    </sheetView>
  </sheetViews>
  <sheetFormatPr baseColWidth="10" defaultColWidth="8" defaultRowHeight="16.25" customHeight="1" x14ac:dyDescent="0.15"/>
  <cols>
    <col min="1" max="1" width="28.33203125" style="1" customWidth="1"/>
    <col min="2" max="6" width="9.5" style="1" customWidth="1"/>
    <col min="7" max="9" width="11.83203125" style="1" customWidth="1"/>
    <col min="10" max="10" width="8" style="1" customWidth="1"/>
    <col min="11" max="16384" width="8" style="1"/>
  </cols>
  <sheetData>
    <row r="1" spans="1:9" ht="42.5" customHeight="1" x14ac:dyDescent="0.15">
      <c r="A1" s="2" t="s">
        <v>89</v>
      </c>
      <c r="B1" s="176" t="s">
        <v>819</v>
      </c>
      <c r="C1" s="176" t="s">
        <v>820</v>
      </c>
      <c r="D1" s="154" t="s">
        <v>821</v>
      </c>
      <c r="E1" s="176" t="s">
        <v>822</v>
      </c>
      <c r="F1" s="177"/>
      <c r="G1" s="176" t="s">
        <v>94</v>
      </c>
      <c r="H1" s="176" t="s">
        <v>823</v>
      </c>
      <c r="I1" s="177"/>
    </row>
    <row r="2" spans="1:9" ht="21.25" customHeight="1" x14ac:dyDescent="0.15">
      <c r="A2" s="9" t="s">
        <v>126</v>
      </c>
      <c r="B2" s="178">
        <v>1</v>
      </c>
      <c r="C2" s="178"/>
      <c r="D2" s="179"/>
      <c r="E2" s="178">
        <f t="shared" ref="E2:E65" si="0">IFERROR(AVERAGE(B2:D2),"—")</f>
        <v>1</v>
      </c>
      <c r="F2" s="83" t="s">
        <v>824</v>
      </c>
      <c r="G2" s="180">
        <v>12500000</v>
      </c>
      <c r="H2" s="83" t="s">
        <v>83</v>
      </c>
      <c r="I2" s="180"/>
    </row>
    <row r="3" spans="1:9" ht="21.25" customHeight="1" x14ac:dyDescent="0.15">
      <c r="A3" s="9" t="s">
        <v>128</v>
      </c>
      <c r="B3" s="178">
        <v>2</v>
      </c>
      <c r="C3" s="178"/>
      <c r="D3" s="178"/>
      <c r="E3" s="178">
        <f t="shared" si="0"/>
        <v>2</v>
      </c>
      <c r="F3" s="83" t="s">
        <v>825</v>
      </c>
      <c r="G3" s="180">
        <v>12600000</v>
      </c>
      <c r="H3" s="83" t="s">
        <v>83</v>
      </c>
      <c r="I3" s="180"/>
    </row>
    <row r="4" spans="1:9" ht="21.25" customHeight="1" x14ac:dyDescent="0.15">
      <c r="A4" s="9" t="s">
        <v>130</v>
      </c>
      <c r="B4" s="178">
        <v>4.7</v>
      </c>
      <c r="C4" s="178"/>
      <c r="D4" s="178"/>
      <c r="E4" s="178">
        <f t="shared" si="0"/>
        <v>4.7</v>
      </c>
      <c r="F4" s="83" t="s">
        <v>826</v>
      </c>
      <c r="G4" s="180">
        <v>13250000</v>
      </c>
      <c r="H4" s="83" t="s">
        <v>83</v>
      </c>
      <c r="I4" s="180"/>
    </row>
    <row r="5" spans="1:9" ht="21.25" customHeight="1" x14ac:dyDescent="0.15">
      <c r="A5" s="9" t="s">
        <v>129</v>
      </c>
      <c r="B5" s="178">
        <v>4</v>
      </c>
      <c r="C5" s="178"/>
      <c r="D5" s="178"/>
      <c r="E5" s="178">
        <f t="shared" si="0"/>
        <v>4</v>
      </c>
      <c r="F5" s="83" t="s">
        <v>827</v>
      </c>
      <c r="G5" s="180">
        <v>9500000</v>
      </c>
      <c r="H5" s="83" t="s">
        <v>793</v>
      </c>
      <c r="I5" s="180"/>
    </row>
    <row r="6" spans="1:9" ht="21.25" customHeight="1" x14ac:dyDescent="0.15">
      <c r="A6" s="9" t="s">
        <v>131</v>
      </c>
      <c r="B6" s="178">
        <v>5.6</v>
      </c>
      <c r="C6" s="178"/>
      <c r="D6" s="178"/>
      <c r="E6" s="178">
        <f t="shared" si="0"/>
        <v>5.6</v>
      </c>
      <c r="F6" s="83" t="s">
        <v>828</v>
      </c>
      <c r="G6" s="180">
        <v>11250000</v>
      </c>
      <c r="H6" s="83" t="s">
        <v>793</v>
      </c>
      <c r="I6" s="180"/>
    </row>
    <row r="7" spans="1:9" ht="21.25" customHeight="1" x14ac:dyDescent="0.15">
      <c r="A7" s="9" t="s">
        <v>134</v>
      </c>
      <c r="B7" s="178">
        <v>4.9000000000000004</v>
      </c>
      <c r="C7" s="178"/>
      <c r="D7" s="178"/>
      <c r="E7" s="178">
        <f t="shared" si="0"/>
        <v>4.9000000000000004</v>
      </c>
      <c r="F7" s="83" t="s">
        <v>824</v>
      </c>
      <c r="G7" s="180">
        <v>8500000</v>
      </c>
      <c r="H7" s="83" t="s">
        <v>83</v>
      </c>
      <c r="I7" s="180"/>
    </row>
    <row r="8" spans="1:9" ht="21.25" customHeight="1" x14ac:dyDescent="0.15">
      <c r="A8" s="9" t="s">
        <v>132</v>
      </c>
      <c r="B8" s="178">
        <v>10</v>
      </c>
      <c r="C8" s="178"/>
      <c r="D8" s="178"/>
      <c r="E8" s="178">
        <f t="shared" si="0"/>
        <v>10</v>
      </c>
      <c r="F8" s="83" t="s">
        <v>825</v>
      </c>
      <c r="G8" s="180">
        <v>9000000</v>
      </c>
      <c r="H8" s="83" t="s">
        <v>793</v>
      </c>
      <c r="I8" s="180"/>
    </row>
    <row r="9" spans="1:9" ht="21.25" customHeight="1" x14ac:dyDescent="0.15">
      <c r="A9" s="9" t="s">
        <v>136</v>
      </c>
      <c r="B9" s="178">
        <v>12.2</v>
      </c>
      <c r="C9" s="178"/>
      <c r="D9" s="178"/>
      <c r="E9" s="178">
        <f t="shared" si="0"/>
        <v>12.2</v>
      </c>
      <c r="F9" s="83" t="s">
        <v>829</v>
      </c>
      <c r="G9" s="180">
        <v>8000000</v>
      </c>
      <c r="H9" s="83" t="s">
        <v>793</v>
      </c>
      <c r="I9" s="180"/>
    </row>
    <row r="10" spans="1:9" ht="21.25" customHeight="1" x14ac:dyDescent="0.15">
      <c r="A10" s="9" t="s">
        <v>137</v>
      </c>
      <c r="B10" s="178">
        <v>26.9</v>
      </c>
      <c r="C10" s="178"/>
      <c r="D10" s="178"/>
      <c r="E10" s="178">
        <f t="shared" si="0"/>
        <v>26.9</v>
      </c>
      <c r="F10" s="83" t="s">
        <v>830</v>
      </c>
      <c r="G10" s="180">
        <v>9059000</v>
      </c>
      <c r="H10" s="83" t="s">
        <v>793</v>
      </c>
      <c r="I10" s="180"/>
    </row>
    <row r="11" spans="1:9" ht="21.25" customHeight="1" x14ac:dyDescent="0.15">
      <c r="A11" s="9" t="s">
        <v>133</v>
      </c>
      <c r="B11" s="178">
        <v>9</v>
      </c>
      <c r="C11" s="178"/>
      <c r="D11" s="178"/>
      <c r="E11" s="178">
        <f t="shared" si="0"/>
        <v>9</v>
      </c>
      <c r="F11" s="83" t="s">
        <v>825</v>
      </c>
      <c r="G11" s="180">
        <v>9250000</v>
      </c>
      <c r="H11" s="83" t="s">
        <v>83</v>
      </c>
      <c r="I11" s="180"/>
    </row>
    <row r="12" spans="1:9" ht="21.25" customHeight="1" x14ac:dyDescent="0.15">
      <c r="A12" s="9" t="s">
        <v>140</v>
      </c>
      <c r="B12" s="178">
        <v>13</v>
      </c>
      <c r="C12" s="178"/>
      <c r="D12" s="178"/>
      <c r="E12" s="178">
        <f t="shared" si="0"/>
        <v>13</v>
      </c>
      <c r="F12" s="83" t="s">
        <v>831</v>
      </c>
      <c r="G12" s="180">
        <v>11642857</v>
      </c>
      <c r="H12" s="83" t="s">
        <v>793</v>
      </c>
      <c r="I12" s="180"/>
    </row>
    <row r="13" spans="1:9" ht="21.25" customHeight="1" x14ac:dyDescent="0.15">
      <c r="A13" s="9" t="s">
        <v>135</v>
      </c>
      <c r="B13" s="178">
        <v>9.8000000000000007</v>
      </c>
      <c r="C13" s="178"/>
      <c r="D13" s="178"/>
      <c r="E13" s="178">
        <f t="shared" si="0"/>
        <v>9.8000000000000007</v>
      </c>
      <c r="F13" s="83" t="s">
        <v>832</v>
      </c>
      <c r="G13" s="180">
        <v>9500000</v>
      </c>
      <c r="H13" s="83" t="s">
        <v>83</v>
      </c>
      <c r="I13" s="180"/>
    </row>
    <row r="14" spans="1:9" ht="21.25" customHeight="1" x14ac:dyDescent="0.15">
      <c r="A14" s="9" t="s">
        <v>138</v>
      </c>
      <c r="B14" s="178">
        <v>15.2</v>
      </c>
      <c r="C14" s="178"/>
      <c r="D14" s="178"/>
      <c r="E14" s="178">
        <f t="shared" si="0"/>
        <v>15.2</v>
      </c>
      <c r="F14" s="83" t="s">
        <v>826</v>
      </c>
      <c r="G14" s="180">
        <v>11500000</v>
      </c>
      <c r="H14" s="83" t="s">
        <v>793</v>
      </c>
      <c r="I14" s="180"/>
    </row>
    <row r="15" spans="1:9" ht="21.25" customHeight="1" x14ac:dyDescent="0.15">
      <c r="A15" s="9" t="s">
        <v>141</v>
      </c>
      <c r="B15" s="178">
        <v>23.4</v>
      </c>
      <c r="C15" s="178"/>
      <c r="D15" s="178"/>
      <c r="E15" s="178">
        <f t="shared" si="0"/>
        <v>23.4</v>
      </c>
      <c r="F15" s="83" t="s">
        <v>824</v>
      </c>
      <c r="G15" s="180">
        <v>3900000</v>
      </c>
      <c r="H15" s="83" t="s">
        <v>82</v>
      </c>
      <c r="I15" s="180"/>
    </row>
    <row r="16" spans="1:9" ht="21.25" customHeight="1" x14ac:dyDescent="0.15">
      <c r="A16" s="9" t="s">
        <v>139</v>
      </c>
      <c r="B16" s="178">
        <v>31.4</v>
      </c>
      <c r="C16" s="178"/>
      <c r="D16" s="178"/>
      <c r="E16" s="178">
        <f t="shared" si="0"/>
        <v>31.4</v>
      </c>
      <c r="F16" s="83" t="s">
        <v>826</v>
      </c>
      <c r="G16" s="180">
        <v>10903000</v>
      </c>
      <c r="H16" s="83" t="s">
        <v>83</v>
      </c>
      <c r="I16" s="180"/>
    </row>
    <row r="17" spans="1:9" ht="21.25" customHeight="1" x14ac:dyDescent="0.15">
      <c r="A17" s="9" t="s">
        <v>143</v>
      </c>
      <c r="B17" s="178">
        <v>15</v>
      </c>
      <c r="C17" s="178"/>
      <c r="D17" s="178"/>
      <c r="E17" s="178">
        <f t="shared" si="0"/>
        <v>15</v>
      </c>
      <c r="F17" s="83" t="s">
        <v>833</v>
      </c>
      <c r="G17" s="180">
        <v>9000000</v>
      </c>
      <c r="H17" s="83" t="s">
        <v>793</v>
      </c>
      <c r="I17" s="180"/>
    </row>
    <row r="18" spans="1:9" ht="21.25" customHeight="1" x14ac:dyDescent="0.15">
      <c r="A18" s="9" t="s">
        <v>142</v>
      </c>
      <c r="B18" s="178">
        <v>36</v>
      </c>
      <c r="C18" s="178"/>
      <c r="D18" s="178"/>
      <c r="E18" s="178">
        <f t="shared" si="0"/>
        <v>36</v>
      </c>
      <c r="F18" s="83" t="s">
        <v>834</v>
      </c>
      <c r="G18" s="180">
        <v>11000000</v>
      </c>
      <c r="H18" s="83" t="s">
        <v>83</v>
      </c>
      <c r="I18" s="180"/>
    </row>
    <row r="19" spans="1:9" ht="21.25" customHeight="1" x14ac:dyDescent="0.15">
      <c r="A19" s="9" t="s">
        <v>145</v>
      </c>
      <c r="B19" s="178">
        <v>18.2</v>
      </c>
      <c r="C19" s="178"/>
      <c r="D19" s="178"/>
      <c r="E19" s="178">
        <f t="shared" si="0"/>
        <v>18.2</v>
      </c>
      <c r="F19" s="83" t="s">
        <v>835</v>
      </c>
      <c r="G19" s="180">
        <v>11600000</v>
      </c>
      <c r="H19" s="83" t="s">
        <v>83</v>
      </c>
      <c r="I19" s="180"/>
    </row>
    <row r="20" spans="1:9" ht="21.25" customHeight="1" x14ac:dyDescent="0.15">
      <c r="A20" s="9" t="s">
        <v>144</v>
      </c>
      <c r="B20" s="178">
        <v>22.6</v>
      </c>
      <c r="C20" s="178"/>
      <c r="D20" s="178"/>
      <c r="E20" s="178">
        <f t="shared" si="0"/>
        <v>22.6</v>
      </c>
      <c r="F20" s="83" t="s">
        <v>835</v>
      </c>
      <c r="G20" s="180">
        <v>7850000</v>
      </c>
      <c r="H20" s="83" t="s">
        <v>83</v>
      </c>
      <c r="I20" s="180"/>
    </row>
    <row r="21" spans="1:9" ht="21.25" customHeight="1" x14ac:dyDescent="0.15">
      <c r="A21" s="9" t="s">
        <v>146</v>
      </c>
      <c r="B21" s="178">
        <v>67.7</v>
      </c>
      <c r="C21" s="178"/>
      <c r="D21" s="178"/>
      <c r="E21" s="178">
        <f t="shared" si="0"/>
        <v>67.7</v>
      </c>
      <c r="F21" s="83" t="s">
        <v>836</v>
      </c>
      <c r="G21" s="180">
        <v>4000000</v>
      </c>
      <c r="H21" s="83" t="s">
        <v>793</v>
      </c>
      <c r="I21" s="180"/>
    </row>
    <row r="22" spans="1:9" ht="21.25" customHeight="1" x14ac:dyDescent="0.15">
      <c r="A22" s="9" t="s">
        <v>150</v>
      </c>
      <c r="B22" s="178">
        <v>28.1</v>
      </c>
      <c r="C22" s="178"/>
      <c r="D22" s="178"/>
      <c r="E22" s="178">
        <f t="shared" si="0"/>
        <v>28.1</v>
      </c>
      <c r="F22" s="83" t="s">
        <v>837</v>
      </c>
      <c r="G22" s="180">
        <v>7750000</v>
      </c>
      <c r="H22" s="83" t="s">
        <v>793</v>
      </c>
      <c r="I22" s="180"/>
    </row>
    <row r="23" spans="1:9" ht="21.25" customHeight="1" x14ac:dyDescent="0.15">
      <c r="A23" s="9" t="s">
        <v>147</v>
      </c>
      <c r="B23" s="178">
        <v>16</v>
      </c>
      <c r="C23" s="178"/>
      <c r="D23" s="178"/>
      <c r="E23" s="178">
        <f t="shared" si="0"/>
        <v>16</v>
      </c>
      <c r="F23" s="83" t="s">
        <v>831</v>
      </c>
      <c r="G23" s="180">
        <v>5666700</v>
      </c>
      <c r="H23" s="83" t="s">
        <v>83</v>
      </c>
      <c r="I23" s="180"/>
    </row>
    <row r="24" spans="1:9" ht="21.25" customHeight="1" x14ac:dyDescent="0.15">
      <c r="A24" s="9" t="s">
        <v>148</v>
      </c>
      <c r="B24" s="178">
        <v>26.3</v>
      </c>
      <c r="C24" s="178"/>
      <c r="D24" s="178"/>
      <c r="E24" s="178">
        <f t="shared" si="0"/>
        <v>26.3</v>
      </c>
      <c r="F24" s="83" t="s">
        <v>838</v>
      </c>
      <c r="G24" s="180">
        <v>8500000</v>
      </c>
      <c r="H24" s="83" t="s">
        <v>793</v>
      </c>
      <c r="I24" s="180"/>
    </row>
    <row r="25" spans="1:9" ht="21.25" customHeight="1" x14ac:dyDescent="0.15">
      <c r="A25" s="9" t="s">
        <v>155</v>
      </c>
      <c r="B25" s="178">
        <v>19.7</v>
      </c>
      <c r="C25" s="178"/>
      <c r="D25" s="178"/>
      <c r="E25" s="178">
        <f t="shared" si="0"/>
        <v>19.7</v>
      </c>
      <c r="F25" s="83" t="s">
        <v>830</v>
      </c>
      <c r="G25" s="180">
        <v>8500000</v>
      </c>
      <c r="H25" s="83" t="s">
        <v>793</v>
      </c>
      <c r="I25" s="180"/>
    </row>
    <row r="26" spans="1:9" ht="21.25" customHeight="1" x14ac:dyDescent="0.15">
      <c r="A26" s="9" t="s">
        <v>149</v>
      </c>
      <c r="B26" s="178">
        <v>30.9</v>
      </c>
      <c r="C26" s="178"/>
      <c r="D26" s="178"/>
      <c r="E26" s="178">
        <f t="shared" si="0"/>
        <v>30.9</v>
      </c>
      <c r="F26" s="83" t="s">
        <v>830</v>
      </c>
      <c r="G26" s="180">
        <v>5000000</v>
      </c>
      <c r="H26" s="83" t="s">
        <v>83</v>
      </c>
      <c r="I26" s="180"/>
    </row>
    <row r="27" spans="1:9" ht="21.25" customHeight="1" x14ac:dyDescent="0.15">
      <c r="A27" s="9" t="s">
        <v>156</v>
      </c>
      <c r="B27" s="178">
        <v>39</v>
      </c>
      <c r="C27" s="178"/>
      <c r="D27" s="178"/>
      <c r="E27" s="178">
        <f t="shared" si="0"/>
        <v>39</v>
      </c>
      <c r="F27" s="83" t="s">
        <v>827</v>
      </c>
      <c r="G27" s="180">
        <v>9000000</v>
      </c>
      <c r="H27" s="83" t="s">
        <v>83</v>
      </c>
      <c r="I27" s="180"/>
    </row>
    <row r="28" spans="1:9" ht="21.25" customHeight="1" x14ac:dyDescent="0.15">
      <c r="A28" s="9" t="s">
        <v>151</v>
      </c>
      <c r="B28" s="178">
        <v>39.299999999999997</v>
      </c>
      <c r="C28" s="178"/>
      <c r="D28" s="178"/>
      <c r="E28" s="178">
        <f t="shared" si="0"/>
        <v>39.299999999999997</v>
      </c>
      <c r="F28" s="83" t="s">
        <v>831</v>
      </c>
      <c r="G28" s="180">
        <v>9500000</v>
      </c>
      <c r="H28" s="83" t="s">
        <v>793</v>
      </c>
      <c r="I28" s="180"/>
    </row>
    <row r="29" spans="1:9" ht="21.25" customHeight="1" x14ac:dyDescent="0.15">
      <c r="A29" s="9" t="s">
        <v>152</v>
      </c>
      <c r="B29" s="178">
        <v>25.9</v>
      </c>
      <c r="C29" s="178"/>
      <c r="D29" s="178"/>
      <c r="E29" s="178">
        <f t="shared" si="0"/>
        <v>25.9</v>
      </c>
      <c r="F29" s="83" t="s">
        <v>839</v>
      </c>
      <c r="G29" s="180">
        <v>8700000</v>
      </c>
      <c r="H29" s="83" t="s">
        <v>83</v>
      </c>
      <c r="I29" s="180"/>
    </row>
    <row r="30" spans="1:9" ht="21.25" customHeight="1" x14ac:dyDescent="0.15">
      <c r="A30" s="9" t="s">
        <v>153</v>
      </c>
      <c r="B30" s="178">
        <v>43.1</v>
      </c>
      <c r="C30" s="178"/>
      <c r="D30" s="178"/>
      <c r="E30" s="178">
        <f t="shared" si="0"/>
        <v>43.1</v>
      </c>
      <c r="F30" s="83" t="s">
        <v>827</v>
      </c>
      <c r="G30" s="180">
        <v>7975000</v>
      </c>
      <c r="H30" s="83" t="s">
        <v>793</v>
      </c>
      <c r="I30" s="180"/>
    </row>
    <row r="31" spans="1:9" ht="21.25" customHeight="1" x14ac:dyDescent="0.15">
      <c r="A31" s="9" t="s">
        <v>161</v>
      </c>
      <c r="B31" s="178">
        <v>9.3000000000000007</v>
      </c>
      <c r="C31" s="178"/>
      <c r="D31" s="178"/>
      <c r="E31" s="178">
        <f t="shared" si="0"/>
        <v>9.3000000000000007</v>
      </c>
      <c r="F31" s="83" t="s">
        <v>840</v>
      </c>
      <c r="G31" s="180">
        <v>8205714</v>
      </c>
      <c r="H31" s="83" t="s">
        <v>793</v>
      </c>
      <c r="I31" s="180"/>
    </row>
    <row r="32" spans="1:9" ht="21.25" customHeight="1" x14ac:dyDescent="0.15">
      <c r="A32" s="9" t="s">
        <v>159</v>
      </c>
      <c r="B32" s="178">
        <v>59.2</v>
      </c>
      <c r="C32" s="178"/>
      <c r="D32" s="178"/>
      <c r="E32" s="178">
        <f t="shared" si="0"/>
        <v>59.2</v>
      </c>
      <c r="F32" s="83" t="s">
        <v>837</v>
      </c>
      <c r="G32" s="180">
        <v>8450000</v>
      </c>
      <c r="H32" s="83" t="s">
        <v>83</v>
      </c>
      <c r="I32" s="180"/>
    </row>
    <row r="33" spans="1:9" ht="21.25" customHeight="1" x14ac:dyDescent="0.15">
      <c r="A33" s="9" t="s">
        <v>154</v>
      </c>
      <c r="B33" s="178">
        <v>47.3</v>
      </c>
      <c r="C33" s="178"/>
      <c r="D33" s="178"/>
      <c r="E33" s="178">
        <f t="shared" si="0"/>
        <v>47.3</v>
      </c>
      <c r="F33" s="83" t="s">
        <v>834</v>
      </c>
      <c r="G33" s="180">
        <v>7142857</v>
      </c>
      <c r="H33" s="83" t="s">
        <v>793</v>
      </c>
      <c r="I33" s="180"/>
    </row>
    <row r="34" spans="1:9" ht="21.25" customHeight="1" x14ac:dyDescent="0.15">
      <c r="A34" s="9" t="s">
        <v>157</v>
      </c>
      <c r="B34" s="178">
        <v>10.1</v>
      </c>
      <c r="C34" s="178"/>
      <c r="D34" s="178"/>
      <c r="E34" s="178">
        <f t="shared" si="0"/>
        <v>10.1</v>
      </c>
      <c r="F34" s="83" t="s">
        <v>835</v>
      </c>
      <c r="G34" s="180">
        <v>8000000</v>
      </c>
      <c r="H34" s="83" t="s">
        <v>793</v>
      </c>
      <c r="I34" s="180"/>
    </row>
    <row r="35" spans="1:9" ht="21.25" customHeight="1" x14ac:dyDescent="0.15">
      <c r="A35" s="9" t="s">
        <v>163</v>
      </c>
      <c r="B35" s="178">
        <v>83.8</v>
      </c>
      <c r="C35" s="178"/>
      <c r="D35" s="178"/>
      <c r="E35" s="178">
        <f t="shared" si="0"/>
        <v>83.8</v>
      </c>
      <c r="F35" s="83" t="s">
        <v>826</v>
      </c>
      <c r="G35" s="180">
        <v>7500000</v>
      </c>
      <c r="H35" s="83" t="s">
        <v>793</v>
      </c>
      <c r="I35" s="180"/>
    </row>
    <row r="36" spans="1:9" ht="21.25" customHeight="1" x14ac:dyDescent="0.15">
      <c r="A36" s="9" t="s">
        <v>158</v>
      </c>
      <c r="B36" s="178">
        <v>22.1</v>
      </c>
      <c r="C36" s="178"/>
      <c r="D36" s="178"/>
      <c r="E36" s="178">
        <f t="shared" si="0"/>
        <v>22.1</v>
      </c>
      <c r="F36" s="83" t="s">
        <v>832</v>
      </c>
      <c r="G36" s="180">
        <v>8625000</v>
      </c>
      <c r="H36" s="83" t="s">
        <v>793</v>
      </c>
      <c r="I36" s="180"/>
    </row>
    <row r="37" spans="1:9" ht="21.25" customHeight="1" x14ac:dyDescent="0.15">
      <c r="A37" s="9" t="s">
        <v>165</v>
      </c>
      <c r="B37" s="178">
        <v>35.299999999999997</v>
      </c>
      <c r="C37" s="178"/>
      <c r="D37" s="178"/>
      <c r="E37" s="178">
        <f t="shared" si="0"/>
        <v>35.299999999999997</v>
      </c>
      <c r="F37" s="83" t="s">
        <v>841</v>
      </c>
      <c r="G37" s="180">
        <v>10000000</v>
      </c>
      <c r="H37" s="83" t="s">
        <v>793</v>
      </c>
      <c r="I37" s="180"/>
    </row>
    <row r="38" spans="1:9" ht="21.25" customHeight="1" x14ac:dyDescent="0.15">
      <c r="A38" s="9" t="s">
        <v>166</v>
      </c>
      <c r="B38" s="178">
        <v>36.799999999999997</v>
      </c>
      <c r="C38" s="178"/>
      <c r="D38" s="178"/>
      <c r="E38" s="178">
        <f t="shared" si="0"/>
        <v>36.799999999999997</v>
      </c>
      <c r="F38" s="83" t="s">
        <v>827</v>
      </c>
      <c r="G38" s="180">
        <v>9500000</v>
      </c>
      <c r="H38" s="83" t="s">
        <v>793</v>
      </c>
      <c r="I38" s="180"/>
    </row>
    <row r="39" spans="1:9" ht="21.25" customHeight="1" x14ac:dyDescent="0.15">
      <c r="A39" s="9" t="s">
        <v>167</v>
      </c>
      <c r="B39" s="178">
        <v>99.8</v>
      </c>
      <c r="C39" s="178"/>
      <c r="D39" s="178"/>
      <c r="E39" s="178">
        <f t="shared" si="0"/>
        <v>99.8</v>
      </c>
      <c r="F39" s="83" t="s">
        <v>839</v>
      </c>
      <c r="G39" s="180">
        <v>10000000</v>
      </c>
      <c r="H39" s="83" t="s">
        <v>793</v>
      </c>
      <c r="I39" s="180"/>
    </row>
    <row r="40" spans="1:9" ht="21.25" customHeight="1" x14ac:dyDescent="0.15">
      <c r="A40" s="9" t="s">
        <v>169</v>
      </c>
      <c r="B40" s="178">
        <v>88.9</v>
      </c>
      <c r="C40" s="178"/>
      <c r="D40" s="178"/>
      <c r="E40" s="178">
        <f t="shared" si="0"/>
        <v>88.9</v>
      </c>
      <c r="F40" s="83" t="s">
        <v>842</v>
      </c>
      <c r="G40" s="83" t="s">
        <v>843</v>
      </c>
      <c r="H40" s="83" t="s">
        <v>793</v>
      </c>
      <c r="I40" s="180"/>
    </row>
    <row r="41" spans="1:9" ht="21.25" customHeight="1" x14ac:dyDescent="0.15">
      <c r="A41" s="9" t="s">
        <v>160</v>
      </c>
      <c r="B41" s="178">
        <v>72</v>
      </c>
      <c r="C41" s="178"/>
      <c r="D41" s="178"/>
      <c r="E41" s="178">
        <f t="shared" si="0"/>
        <v>72</v>
      </c>
      <c r="F41" s="83" t="s">
        <v>836</v>
      </c>
      <c r="G41" s="180">
        <v>9150000</v>
      </c>
      <c r="H41" s="83" t="s">
        <v>83</v>
      </c>
      <c r="I41" s="180"/>
    </row>
    <row r="42" spans="1:9" ht="21.25" customHeight="1" x14ac:dyDescent="0.15">
      <c r="A42" s="9" t="s">
        <v>170</v>
      </c>
      <c r="B42" s="178">
        <v>32.6</v>
      </c>
      <c r="C42" s="178"/>
      <c r="D42" s="178"/>
      <c r="E42" s="178">
        <f t="shared" si="0"/>
        <v>32.6</v>
      </c>
      <c r="F42" s="83" t="s">
        <v>837</v>
      </c>
      <c r="G42" s="180">
        <v>4000000</v>
      </c>
      <c r="H42" s="83" t="s">
        <v>793</v>
      </c>
      <c r="I42" s="180"/>
    </row>
    <row r="43" spans="1:9" ht="21.25" customHeight="1" x14ac:dyDescent="0.15">
      <c r="A43" s="9" t="s">
        <v>180</v>
      </c>
      <c r="B43" s="178">
        <v>38</v>
      </c>
      <c r="C43" s="178"/>
      <c r="D43" s="178"/>
      <c r="E43" s="178">
        <f t="shared" si="0"/>
        <v>38</v>
      </c>
      <c r="F43" s="83" t="s">
        <v>838</v>
      </c>
      <c r="G43" s="180">
        <v>7142857</v>
      </c>
      <c r="H43" s="83" t="s">
        <v>793</v>
      </c>
      <c r="I43" s="180"/>
    </row>
    <row r="44" spans="1:9" ht="21.25" customHeight="1" x14ac:dyDescent="0.15">
      <c r="A44" s="9" t="s">
        <v>162</v>
      </c>
      <c r="B44" s="178">
        <v>79.2</v>
      </c>
      <c r="C44" s="178"/>
      <c r="D44" s="178"/>
      <c r="E44" s="178">
        <f t="shared" si="0"/>
        <v>79.2</v>
      </c>
      <c r="F44" s="83" t="s">
        <v>829</v>
      </c>
      <c r="G44" s="180">
        <v>8800000</v>
      </c>
      <c r="H44" s="83" t="s">
        <v>793</v>
      </c>
      <c r="I44" s="180"/>
    </row>
    <row r="45" spans="1:9" ht="21.25" customHeight="1" x14ac:dyDescent="0.15">
      <c r="A45" s="9" t="s">
        <v>181</v>
      </c>
      <c r="B45" s="178">
        <v>44.6</v>
      </c>
      <c r="C45" s="178"/>
      <c r="D45" s="178"/>
      <c r="E45" s="178">
        <f t="shared" si="0"/>
        <v>44.6</v>
      </c>
      <c r="F45" s="83" t="s">
        <v>844</v>
      </c>
      <c r="G45" s="180">
        <v>9500000</v>
      </c>
      <c r="H45" s="83" t="s">
        <v>793</v>
      </c>
      <c r="I45" s="180"/>
    </row>
    <row r="46" spans="1:9" ht="21.25" customHeight="1" x14ac:dyDescent="0.15">
      <c r="A46" s="9" t="s">
        <v>172</v>
      </c>
      <c r="B46" s="178">
        <v>53.9</v>
      </c>
      <c r="C46" s="178"/>
      <c r="D46" s="178"/>
      <c r="E46" s="178">
        <f t="shared" si="0"/>
        <v>53.9</v>
      </c>
      <c r="F46" s="83" t="s">
        <v>838</v>
      </c>
      <c r="G46" s="180">
        <v>6250000</v>
      </c>
      <c r="H46" s="83" t="s">
        <v>793</v>
      </c>
      <c r="I46" s="180"/>
    </row>
    <row r="47" spans="1:9" ht="21.25" customHeight="1" x14ac:dyDescent="0.15">
      <c r="A47" s="9" t="s">
        <v>164</v>
      </c>
      <c r="B47" s="178">
        <v>47.3</v>
      </c>
      <c r="C47" s="178"/>
      <c r="D47" s="178"/>
      <c r="E47" s="178">
        <f t="shared" si="0"/>
        <v>47.3</v>
      </c>
      <c r="F47" s="83" t="s">
        <v>829</v>
      </c>
      <c r="G47" s="180">
        <v>7850000</v>
      </c>
      <c r="H47" s="83" t="s">
        <v>85</v>
      </c>
      <c r="I47" s="180"/>
    </row>
    <row r="48" spans="1:9" ht="21.25" customHeight="1" x14ac:dyDescent="0.15">
      <c r="A48" s="9" t="s">
        <v>173</v>
      </c>
      <c r="B48" s="178">
        <v>85.9</v>
      </c>
      <c r="C48" s="178"/>
      <c r="D48" s="178"/>
      <c r="E48" s="178">
        <f t="shared" si="0"/>
        <v>85.9</v>
      </c>
      <c r="F48" s="83" t="s">
        <v>845</v>
      </c>
      <c r="G48" s="180">
        <v>6250000</v>
      </c>
      <c r="H48" s="83" t="s">
        <v>793</v>
      </c>
      <c r="I48" s="180"/>
    </row>
    <row r="49" spans="1:9" ht="21.25" customHeight="1" x14ac:dyDescent="0.15">
      <c r="A49" s="9" t="s">
        <v>174</v>
      </c>
      <c r="B49" s="178">
        <v>52</v>
      </c>
      <c r="C49" s="178"/>
      <c r="D49" s="178"/>
      <c r="E49" s="178">
        <f t="shared" si="0"/>
        <v>52</v>
      </c>
      <c r="F49" s="83" t="s">
        <v>832</v>
      </c>
      <c r="G49" s="180">
        <v>10000000</v>
      </c>
      <c r="H49" s="83" t="s">
        <v>793</v>
      </c>
      <c r="I49" s="180"/>
    </row>
    <row r="50" spans="1:9" ht="21.25" customHeight="1" x14ac:dyDescent="0.15">
      <c r="A50" s="9" t="s">
        <v>176</v>
      </c>
      <c r="B50" s="178">
        <v>44.3</v>
      </c>
      <c r="C50" s="178"/>
      <c r="D50" s="178"/>
      <c r="E50" s="178">
        <f t="shared" si="0"/>
        <v>44.3</v>
      </c>
      <c r="F50" s="83" t="s">
        <v>846</v>
      </c>
      <c r="G50" s="180">
        <v>9500000</v>
      </c>
      <c r="H50" s="83" t="s">
        <v>793</v>
      </c>
      <c r="I50" s="180"/>
    </row>
    <row r="51" spans="1:9" ht="21.25" customHeight="1" x14ac:dyDescent="0.15">
      <c r="A51" s="9" t="s">
        <v>177</v>
      </c>
      <c r="B51" s="178">
        <v>49.8</v>
      </c>
      <c r="C51" s="178"/>
      <c r="D51" s="178"/>
      <c r="E51" s="178">
        <f t="shared" si="0"/>
        <v>49.8</v>
      </c>
      <c r="F51" s="83" t="s">
        <v>847</v>
      </c>
      <c r="G51" s="180">
        <v>950000</v>
      </c>
      <c r="H51" s="83" t="s">
        <v>793</v>
      </c>
      <c r="I51" s="180"/>
    </row>
    <row r="52" spans="1:9" ht="21.25" customHeight="1" x14ac:dyDescent="0.15">
      <c r="A52" s="9" t="s">
        <v>184</v>
      </c>
      <c r="B52" s="178">
        <v>45.6</v>
      </c>
      <c r="C52" s="178"/>
      <c r="D52" s="178"/>
      <c r="E52" s="178">
        <f t="shared" si="0"/>
        <v>45.6</v>
      </c>
      <c r="F52" s="83" t="s">
        <v>830</v>
      </c>
      <c r="G52" s="180">
        <v>8000000</v>
      </c>
      <c r="H52" s="83" t="s">
        <v>793</v>
      </c>
      <c r="I52" s="180"/>
    </row>
    <row r="53" spans="1:9" ht="21.25" customHeight="1" x14ac:dyDescent="0.15">
      <c r="A53" s="9" t="s">
        <v>168</v>
      </c>
      <c r="B53" s="178">
        <v>19.399999999999999</v>
      </c>
      <c r="C53" s="178"/>
      <c r="D53" s="178"/>
      <c r="E53" s="178">
        <f t="shared" si="0"/>
        <v>19.399999999999999</v>
      </c>
      <c r="F53" s="83" t="s">
        <v>824</v>
      </c>
      <c r="G53" s="180">
        <v>5500000</v>
      </c>
      <c r="H53" s="83" t="s">
        <v>793</v>
      </c>
      <c r="I53" s="180"/>
    </row>
    <row r="54" spans="1:9" ht="21.25" customHeight="1" x14ac:dyDescent="0.15">
      <c r="A54" s="9" t="s">
        <v>186</v>
      </c>
      <c r="B54" s="178">
        <v>60</v>
      </c>
      <c r="C54" s="178"/>
      <c r="D54" s="178"/>
      <c r="E54" s="178">
        <f t="shared" si="0"/>
        <v>60</v>
      </c>
      <c r="F54" s="83" t="s">
        <v>840</v>
      </c>
      <c r="G54" s="180">
        <v>8350000</v>
      </c>
      <c r="H54" s="83" t="s">
        <v>793</v>
      </c>
      <c r="I54" s="180"/>
    </row>
    <row r="55" spans="1:9" ht="21.25" customHeight="1" x14ac:dyDescent="0.15">
      <c r="A55" s="9" t="s">
        <v>178</v>
      </c>
      <c r="B55" s="178">
        <v>118.6</v>
      </c>
      <c r="C55" s="178"/>
      <c r="D55" s="178"/>
      <c r="E55" s="178">
        <f t="shared" si="0"/>
        <v>118.6</v>
      </c>
      <c r="F55" s="83" t="s">
        <v>844</v>
      </c>
      <c r="G55" s="180">
        <v>8000000</v>
      </c>
      <c r="H55" s="83" t="s">
        <v>793</v>
      </c>
      <c r="I55" s="180"/>
    </row>
    <row r="56" spans="1:9" ht="21.25" customHeight="1" x14ac:dyDescent="0.15">
      <c r="A56" s="9" t="s">
        <v>182</v>
      </c>
      <c r="B56" s="178">
        <v>72.3</v>
      </c>
      <c r="C56" s="178"/>
      <c r="D56" s="178"/>
      <c r="E56" s="178">
        <f t="shared" si="0"/>
        <v>72.3</v>
      </c>
      <c r="F56" s="83" t="s">
        <v>828</v>
      </c>
      <c r="G56" s="180">
        <v>9500000</v>
      </c>
      <c r="H56" s="83" t="s">
        <v>793</v>
      </c>
      <c r="I56" s="180"/>
    </row>
    <row r="57" spans="1:9" ht="21.25" customHeight="1" x14ac:dyDescent="0.15">
      <c r="A57" s="9" t="s">
        <v>171</v>
      </c>
      <c r="B57" s="178">
        <v>130.4</v>
      </c>
      <c r="C57" s="178"/>
      <c r="D57" s="178"/>
      <c r="E57" s="178">
        <f t="shared" si="0"/>
        <v>130.4</v>
      </c>
      <c r="F57" s="83" t="s">
        <v>848</v>
      </c>
      <c r="G57" s="180">
        <v>8125000</v>
      </c>
      <c r="H57" s="83" t="s">
        <v>793</v>
      </c>
      <c r="I57" s="180"/>
    </row>
    <row r="58" spans="1:9" ht="21.25" customHeight="1" x14ac:dyDescent="0.15">
      <c r="A58" s="9" t="s">
        <v>183</v>
      </c>
      <c r="B58" s="178">
        <v>41.7</v>
      </c>
      <c r="C58" s="178"/>
      <c r="D58" s="178"/>
      <c r="E58" s="178">
        <f t="shared" si="0"/>
        <v>41.7</v>
      </c>
      <c r="F58" s="83" t="s">
        <v>849</v>
      </c>
      <c r="G58" s="180">
        <v>9750000</v>
      </c>
      <c r="H58" s="83" t="s">
        <v>793</v>
      </c>
      <c r="I58" s="180"/>
    </row>
    <row r="59" spans="1:9" ht="21.25" customHeight="1" x14ac:dyDescent="0.15">
      <c r="A59" s="9" t="s">
        <v>191</v>
      </c>
      <c r="B59" s="178">
        <v>86.9</v>
      </c>
      <c r="C59" s="178"/>
      <c r="D59" s="178"/>
      <c r="E59" s="178">
        <f t="shared" si="0"/>
        <v>86.9</v>
      </c>
      <c r="F59" s="83" t="s">
        <v>850</v>
      </c>
      <c r="G59" s="180">
        <v>7875000</v>
      </c>
      <c r="H59" s="83" t="s">
        <v>793</v>
      </c>
      <c r="I59" s="180"/>
    </row>
    <row r="60" spans="1:9" ht="21.25" customHeight="1" x14ac:dyDescent="0.15">
      <c r="A60" s="9" t="s">
        <v>175</v>
      </c>
      <c r="B60" s="178">
        <v>73.400000000000006</v>
      </c>
      <c r="C60" s="178"/>
      <c r="D60" s="178"/>
      <c r="E60" s="178">
        <f t="shared" si="0"/>
        <v>73.400000000000006</v>
      </c>
      <c r="F60" s="83" t="s">
        <v>851</v>
      </c>
      <c r="G60" s="180">
        <v>7150000</v>
      </c>
      <c r="H60" s="83" t="s">
        <v>793</v>
      </c>
      <c r="I60" s="180"/>
    </row>
    <row r="61" spans="1:9" ht="21.25" customHeight="1" x14ac:dyDescent="0.15">
      <c r="A61" s="9" t="s">
        <v>187</v>
      </c>
      <c r="B61" s="178">
        <v>87.1</v>
      </c>
      <c r="C61" s="178"/>
      <c r="D61" s="178"/>
      <c r="E61" s="178">
        <f t="shared" si="0"/>
        <v>87.1</v>
      </c>
      <c r="F61" s="83" t="s">
        <v>842</v>
      </c>
      <c r="G61" s="180">
        <v>8700000</v>
      </c>
      <c r="H61" s="83" t="s">
        <v>793</v>
      </c>
      <c r="I61" s="180"/>
    </row>
    <row r="62" spans="1:9" ht="21.25" customHeight="1" x14ac:dyDescent="0.15">
      <c r="A62" s="9" t="s">
        <v>188</v>
      </c>
      <c r="B62" s="178">
        <v>73.7</v>
      </c>
      <c r="C62" s="178"/>
      <c r="D62" s="178"/>
      <c r="E62" s="178">
        <f t="shared" si="0"/>
        <v>73.7</v>
      </c>
      <c r="F62" s="83" t="s">
        <v>831</v>
      </c>
      <c r="G62" s="180">
        <v>8500000</v>
      </c>
      <c r="H62" s="83" t="s">
        <v>793</v>
      </c>
      <c r="I62" s="180"/>
    </row>
    <row r="63" spans="1:9" ht="21.25" customHeight="1" x14ac:dyDescent="0.15">
      <c r="A63" s="9" t="s">
        <v>179</v>
      </c>
      <c r="B63" s="178">
        <v>57.7</v>
      </c>
      <c r="C63" s="178"/>
      <c r="D63" s="178"/>
      <c r="E63" s="178">
        <f t="shared" si="0"/>
        <v>57.7</v>
      </c>
      <c r="F63" s="83" t="s">
        <v>837</v>
      </c>
      <c r="G63" s="180">
        <v>894167</v>
      </c>
      <c r="H63" s="83" t="s">
        <v>793</v>
      </c>
      <c r="I63" s="180"/>
    </row>
    <row r="64" spans="1:9" ht="21.25" customHeight="1" x14ac:dyDescent="0.15">
      <c r="A64" s="9" t="s">
        <v>189</v>
      </c>
      <c r="B64" s="178">
        <v>50.7</v>
      </c>
      <c r="C64" s="178"/>
      <c r="D64" s="178"/>
      <c r="E64" s="178">
        <f t="shared" si="0"/>
        <v>50.7</v>
      </c>
      <c r="F64" s="83" t="s">
        <v>824</v>
      </c>
      <c r="G64" s="180">
        <v>2600000</v>
      </c>
      <c r="H64" s="83" t="s">
        <v>793</v>
      </c>
      <c r="I64" s="180"/>
    </row>
    <row r="65" spans="1:9" ht="21.25" customHeight="1" x14ac:dyDescent="0.15">
      <c r="A65" s="9" t="s">
        <v>192</v>
      </c>
      <c r="B65" s="178">
        <v>30.7</v>
      </c>
      <c r="C65" s="178"/>
      <c r="D65" s="178"/>
      <c r="E65" s="178">
        <f t="shared" si="0"/>
        <v>30.7</v>
      </c>
      <c r="F65" s="83" t="s">
        <v>828</v>
      </c>
      <c r="G65" s="83" t="s">
        <v>843</v>
      </c>
      <c r="H65" s="83" t="s">
        <v>793</v>
      </c>
      <c r="I65" s="180"/>
    </row>
    <row r="66" spans="1:9" ht="21.25" customHeight="1" x14ac:dyDescent="0.15">
      <c r="A66" s="9" t="s">
        <v>193</v>
      </c>
      <c r="B66" s="178">
        <v>114.9</v>
      </c>
      <c r="C66" s="178"/>
      <c r="D66" s="178"/>
      <c r="E66" s="178">
        <f t="shared" ref="E66:E129" si="1">IFERROR(AVERAGE(B66:D66),"—")</f>
        <v>114.9</v>
      </c>
      <c r="F66" s="83" t="s">
        <v>852</v>
      </c>
      <c r="G66" s="180">
        <v>9583330</v>
      </c>
      <c r="H66" s="83" t="s">
        <v>793</v>
      </c>
      <c r="I66" s="180"/>
    </row>
    <row r="67" spans="1:9" ht="21.25" customHeight="1" x14ac:dyDescent="0.15">
      <c r="A67" s="9" t="s">
        <v>208</v>
      </c>
      <c r="B67" s="178">
        <v>65.400000000000006</v>
      </c>
      <c r="C67" s="178"/>
      <c r="D67" s="178"/>
      <c r="E67" s="178">
        <f t="shared" si="1"/>
        <v>65.400000000000006</v>
      </c>
      <c r="F67" s="83" t="s">
        <v>824</v>
      </c>
      <c r="G67" s="180">
        <v>5125000</v>
      </c>
      <c r="H67" s="83" t="s">
        <v>793</v>
      </c>
      <c r="I67" s="180"/>
    </row>
    <row r="68" spans="1:9" ht="21.25" customHeight="1" x14ac:dyDescent="0.15">
      <c r="A68" s="9" t="s">
        <v>194</v>
      </c>
      <c r="B68" s="178">
        <v>59.1</v>
      </c>
      <c r="C68" s="178"/>
      <c r="D68" s="178"/>
      <c r="E68" s="178">
        <f t="shared" si="1"/>
        <v>59.1</v>
      </c>
      <c r="F68" s="83" t="s">
        <v>853</v>
      </c>
      <c r="G68" s="180">
        <v>4125000</v>
      </c>
      <c r="H68" s="83" t="s">
        <v>83</v>
      </c>
      <c r="I68" s="180"/>
    </row>
    <row r="69" spans="1:9" ht="21.25" customHeight="1" x14ac:dyDescent="0.15">
      <c r="A69" s="9" t="s">
        <v>196</v>
      </c>
      <c r="B69" s="178">
        <v>44.4</v>
      </c>
      <c r="C69" s="178"/>
      <c r="D69" s="178"/>
      <c r="E69" s="178">
        <f t="shared" si="1"/>
        <v>44.4</v>
      </c>
      <c r="F69" s="83" t="s">
        <v>835</v>
      </c>
      <c r="G69" s="180">
        <v>5000000</v>
      </c>
      <c r="H69" s="83" t="s">
        <v>793</v>
      </c>
      <c r="I69" s="180"/>
    </row>
    <row r="70" spans="1:9" ht="21.25" customHeight="1" x14ac:dyDescent="0.15">
      <c r="A70" s="9" t="s">
        <v>185</v>
      </c>
      <c r="B70" s="178">
        <v>83.4</v>
      </c>
      <c r="C70" s="178"/>
      <c r="D70" s="178"/>
      <c r="E70" s="178">
        <f t="shared" si="1"/>
        <v>83.4</v>
      </c>
      <c r="F70" s="83" t="s">
        <v>854</v>
      </c>
      <c r="G70" s="180">
        <v>7850000</v>
      </c>
      <c r="H70" s="83" t="s">
        <v>83</v>
      </c>
      <c r="I70" s="180"/>
    </row>
    <row r="71" spans="1:9" ht="21.25" customHeight="1" x14ac:dyDescent="0.15">
      <c r="A71" s="9" t="s">
        <v>200</v>
      </c>
      <c r="B71" s="178">
        <v>66.8</v>
      </c>
      <c r="C71" s="178"/>
      <c r="D71" s="178"/>
      <c r="E71" s="178">
        <f t="shared" si="1"/>
        <v>66.8</v>
      </c>
      <c r="F71" s="83" t="s">
        <v>851</v>
      </c>
      <c r="G71" s="180">
        <v>8500000</v>
      </c>
      <c r="H71" s="83" t="s">
        <v>793</v>
      </c>
      <c r="I71" s="180"/>
    </row>
    <row r="72" spans="1:9" ht="21.25" customHeight="1" x14ac:dyDescent="0.15">
      <c r="A72" s="9" t="s">
        <v>198</v>
      </c>
      <c r="B72" s="178">
        <v>113</v>
      </c>
      <c r="C72" s="178"/>
      <c r="D72" s="178"/>
      <c r="E72" s="178">
        <f t="shared" si="1"/>
        <v>113</v>
      </c>
      <c r="F72" s="83" t="s">
        <v>829</v>
      </c>
      <c r="G72" s="180">
        <v>7250000</v>
      </c>
      <c r="H72" s="83" t="s">
        <v>793</v>
      </c>
      <c r="I72" s="180"/>
    </row>
    <row r="73" spans="1:9" ht="21.25" customHeight="1" x14ac:dyDescent="0.15">
      <c r="A73" s="9" t="s">
        <v>199</v>
      </c>
      <c r="B73" s="178">
        <v>45</v>
      </c>
      <c r="C73" s="178"/>
      <c r="D73" s="178"/>
      <c r="E73" s="178">
        <f t="shared" si="1"/>
        <v>45</v>
      </c>
      <c r="F73" s="83" t="s">
        <v>836</v>
      </c>
      <c r="G73" s="180">
        <v>8250000</v>
      </c>
      <c r="H73" s="83" t="s">
        <v>793</v>
      </c>
      <c r="I73" s="180"/>
    </row>
    <row r="74" spans="1:9" ht="21.25" customHeight="1" x14ac:dyDescent="0.15">
      <c r="A74" s="9" t="s">
        <v>211</v>
      </c>
      <c r="B74" s="178">
        <v>57.9</v>
      </c>
      <c r="C74" s="178"/>
      <c r="D74" s="178"/>
      <c r="E74" s="178">
        <f t="shared" si="1"/>
        <v>57.9</v>
      </c>
      <c r="F74" s="83" t="s">
        <v>832</v>
      </c>
      <c r="G74" s="180">
        <v>4166700</v>
      </c>
      <c r="H74" s="83" t="s">
        <v>85</v>
      </c>
      <c r="I74" s="180"/>
    </row>
    <row r="75" spans="1:9" ht="21.25" customHeight="1" x14ac:dyDescent="0.15">
      <c r="A75" s="9" t="s">
        <v>203</v>
      </c>
      <c r="B75" s="178">
        <v>114.9</v>
      </c>
      <c r="C75" s="178"/>
      <c r="D75" s="178"/>
      <c r="E75" s="178">
        <f t="shared" si="1"/>
        <v>114.9</v>
      </c>
      <c r="F75" s="83" t="s">
        <v>848</v>
      </c>
      <c r="G75" s="180">
        <v>8125000</v>
      </c>
      <c r="H75" s="83" t="s">
        <v>793</v>
      </c>
      <c r="I75" s="180"/>
    </row>
    <row r="76" spans="1:9" ht="21.25" customHeight="1" x14ac:dyDescent="0.15">
      <c r="A76" s="9" t="s">
        <v>204</v>
      </c>
      <c r="B76" s="178">
        <v>104.1</v>
      </c>
      <c r="C76" s="178"/>
      <c r="D76" s="178"/>
      <c r="E76" s="178">
        <f t="shared" si="1"/>
        <v>104.1</v>
      </c>
      <c r="F76" s="83" t="s">
        <v>826</v>
      </c>
      <c r="G76" s="180">
        <v>11000000</v>
      </c>
      <c r="H76" s="83" t="s">
        <v>793</v>
      </c>
      <c r="I76" s="180"/>
    </row>
    <row r="77" spans="1:9" ht="21.25" customHeight="1" x14ac:dyDescent="0.15">
      <c r="A77" s="9" t="s">
        <v>206</v>
      </c>
      <c r="B77" s="178">
        <v>58.1</v>
      </c>
      <c r="C77" s="178"/>
      <c r="D77" s="178"/>
      <c r="E77" s="178">
        <f t="shared" si="1"/>
        <v>58.1</v>
      </c>
      <c r="F77" s="83" t="s">
        <v>831</v>
      </c>
      <c r="G77" s="180">
        <v>5625000</v>
      </c>
      <c r="H77" s="83" t="s">
        <v>793</v>
      </c>
      <c r="I77" s="180"/>
    </row>
    <row r="78" spans="1:9" ht="21.25" customHeight="1" x14ac:dyDescent="0.15">
      <c r="A78" s="9" t="s">
        <v>190</v>
      </c>
      <c r="B78" s="178">
        <v>46</v>
      </c>
      <c r="C78" s="178"/>
      <c r="D78" s="178"/>
      <c r="E78" s="178">
        <f t="shared" si="1"/>
        <v>46</v>
      </c>
      <c r="F78" s="83" t="s">
        <v>850</v>
      </c>
      <c r="G78" s="180">
        <v>5500000</v>
      </c>
      <c r="H78" s="83" t="s">
        <v>793</v>
      </c>
      <c r="I78" s="180"/>
    </row>
    <row r="79" spans="1:9" ht="21.25" customHeight="1" x14ac:dyDescent="0.15">
      <c r="A79" s="9" t="s">
        <v>207</v>
      </c>
      <c r="B79" s="178">
        <v>121.7</v>
      </c>
      <c r="C79" s="178"/>
      <c r="D79" s="178"/>
      <c r="E79" s="178">
        <f t="shared" si="1"/>
        <v>121.7</v>
      </c>
      <c r="F79" s="83" t="s">
        <v>854</v>
      </c>
      <c r="G79" s="180">
        <v>7875000</v>
      </c>
      <c r="H79" s="83" t="s">
        <v>793</v>
      </c>
      <c r="I79" s="180"/>
    </row>
    <row r="80" spans="1:9" ht="21.25" customHeight="1" x14ac:dyDescent="0.15">
      <c r="A80" s="9" t="s">
        <v>209</v>
      </c>
      <c r="B80" s="178">
        <v>125.4</v>
      </c>
      <c r="C80" s="178"/>
      <c r="D80" s="178"/>
      <c r="E80" s="178">
        <f t="shared" si="1"/>
        <v>125.4</v>
      </c>
      <c r="F80" s="83" t="s">
        <v>854</v>
      </c>
      <c r="G80" s="180">
        <v>4875000</v>
      </c>
      <c r="H80" s="83" t="s">
        <v>793</v>
      </c>
      <c r="I80" s="180"/>
    </row>
    <row r="81" spans="1:9" ht="21.25" customHeight="1" x14ac:dyDescent="0.15">
      <c r="A81" s="9" t="s">
        <v>210</v>
      </c>
      <c r="B81" s="178">
        <v>119.7</v>
      </c>
      <c r="C81" s="178"/>
      <c r="D81" s="178"/>
      <c r="E81" s="178">
        <f t="shared" si="1"/>
        <v>119.7</v>
      </c>
      <c r="F81" s="83" t="s">
        <v>841</v>
      </c>
      <c r="G81" s="180">
        <v>5200000</v>
      </c>
      <c r="H81" s="83" t="s">
        <v>793</v>
      </c>
      <c r="I81" s="180"/>
    </row>
    <row r="82" spans="1:9" ht="21.25" customHeight="1" x14ac:dyDescent="0.15">
      <c r="A82" s="9" t="s">
        <v>212</v>
      </c>
      <c r="B82" s="178">
        <v>145.6</v>
      </c>
      <c r="C82" s="178"/>
      <c r="D82" s="178"/>
      <c r="E82" s="178">
        <f t="shared" si="1"/>
        <v>145.6</v>
      </c>
      <c r="F82" s="83" t="s">
        <v>847</v>
      </c>
      <c r="G82" s="180">
        <v>9500000</v>
      </c>
      <c r="H82" s="83" t="s">
        <v>793</v>
      </c>
      <c r="I82" s="180"/>
    </row>
    <row r="83" spans="1:9" ht="21.25" customHeight="1" x14ac:dyDescent="0.15">
      <c r="A83" s="9" t="s">
        <v>195</v>
      </c>
      <c r="B83" s="178">
        <v>117.1</v>
      </c>
      <c r="C83" s="178"/>
      <c r="D83" s="178"/>
      <c r="E83" s="178">
        <f t="shared" si="1"/>
        <v>117.1</v>
      </c>
      <c r="F83" s="83" t="s">
        <v>834</v>
      </c>
      <c r="G83" s="180">
        <v>4750000</v>
      </c>
      <c r="H83" s="83" t="s">
        <v>793</v>
      </c>
      <c r="I83" s="180"/>
    </row>
    <row r="84" spans="1:9" ht="21.25" customHeight="1" x14ac:dyDescent="0.15">
      <c r="A84" s="9" t="s">
        <v>225</v>
      </c>
      <c r="B84" s="178">
        <v>30.2</v>
      </c>
      <c r="C84" s="178"/>
      <c r="D84" s="178"/>
      <c r="E84" s="178">
        <f t="shared" si="1"/>
        <v>30.2</v>
      </c>
      <c r="F84" s="83" t="s">
        <v>831</v>
      </c>
      <c r="G84" s="180">
        <v>6500000</v>
      </c>
      <c r="H84" s="83" t="s">
        <v>793</v>
      </c>
      <c r="I84" s="180"/>
    </row>
    <row r="85" spans="1:9" ht="21.25" customHeight="1" x14ac:dyDescent="0.15">
      <c r="A85" s="9" t="s">
        <v>197</v>
      </c>
      <c r="B85" s="178">
        <v>75.8</v>
      </c>
      <c r="C85" s="178"/>
      <c r="D85" s="178"/>
      <c r="E85" s="178">
        <f t="shared" si="1"/>
        <v>75.8</v>
      </c>
      <c r="F85" s="83" t="s">
        <v>833</v>
      </c>
      <c r="G85" s="180">
        <v>7000000</v>
      </c>
      <c r="H85" s="83" t="s">
        <v>83</v>
      </c>
      <c r="I85" s="180"/>
    </row>
    <row r="86" spans="1:9" ht="21.25" customHeight="1" x14ac:dyDescent="0.15">
      <c r="A86" s="9" t="s">
        <v>226</v>
      </c>
      <c r="B86" s="178">
        <v>153</v>
      </c>
      <c r="C86" s="178"/>
      <c r="D86" s="178"/>
      <c r="E86" s="178">
        <f t="shared" si="1"/>
        <v>153</v>
      </c>
      <c r="F86" s="83" t="s">
        <v>848</v>
      </c>
      <c r="G86" s="180">
        <v>5800000</v>
      </c>
      <c r="H86" s="83" t="s">
        <v>793</v>
      </c>
      <c r="I86" s="180"/>
    </row>
    <row r="87" spans="1:9" ht="21.25" customHeight="1" x14ac:dyDescent="0.15">
      <c r="A87" s="9" t="s">
        <v>214</v>
      </c>
      <c r="B87" s="178">
        <v>42</v>
      </c>
      <c r="C87" s="178"/>
      <c r="D87" s="178"/>
      <c r="E87" s="178">
        <f t="shared" si="1"/>
        <v>42</v>
      </c>
      <c r="F87" s="83" t="s">
        <v>832</v>
      </c>
      <c r="G87" s="180">
        <v>10000000</v>
      </c>
      <c r="H87" s="83" t="s">
        <v>793</v>
      </c>
      <c r="I87" s="180"/>
    </row>
    <row r="88" spans="1:9" ht="21.25" customHeight="1" x14ac:dyDescent="0.15">
      <c r="A88" s="9" t="s">
        <v>201</v>
      </c>
      <c r="B88" s="178">
        <v>91.3</v>
      </c>
      <c r="C88" s="178"/>
      <c r="D88" s="178"/>
      <c r="E88" s="178">
        <f t="shared" si="1"/>
        <v>91.3</v>
      </c>
      <c r="F88" s="83" t="s">
        <v>842</v>
      </c>
      <c r="G88" s="180">
        <v>7875000</v>
      </c>
      <c r="H88" s="83" t="s">
        <v>793</v>
      </c>
      <c r="I88" s="180"/>
    </row>
    <row r="89" spans="1:9" ht="21.25" customHeight="1" x14ac:dyDescent="0.15">
      <c r="A89" s="9" t="s">
        <v>227</v>
      </c>
      <c r="B89" s="178">
        <v>150.1</v>
      </c>
      <c r="C89" s="178"/>
      <c r="D89" s="178"/>
      <c r="E89" s="178">
        <f t="shared" si="1"/>
        <v>150.1</v>
      </c>
      <c r="F89" s="83" t="s">
        <v>855</v>
      </c>
      <c r="G89" s="180">
        <v>5000000</v>
      </c>
      <c r="H89" s="83" t="s">
        <v>793</v>
      </c>
      <c r="I89" s="180"/>
    </row>
    <row r="90" spans="1:9" ht="21.25" customHeight="1" x14ac:dyDescent="0.15">
      <c r="A90" s="9" t="s">
        <v>202</v>
      </c>
      <c r="B90" s="178">
        <v>112.6</v>
      </c>
      <c r="C90" s="178"/>
      <c r="D90" s="178"/>
      <c r="E90" s="178">
        <f t="shared" si="1"/>
        <v>112.6</v>
      </c>
      <c r="F90" s="83" t="s">
        <v>827</v>
      </c>
      <c r="G90" s="180">
        <v>6500000</v>
      </c>
      <c r="H90" s="83" t="s">
        <v>83</v>
      </c>
      <c r="I90" s="180"/>
    </row>
    <row r="91" spans="1:9" ht="21.25" customHeight="1" x14ac:dyDescent="0.15">
      <c r="A91" s="9" t="s">
        <v>215</v>
      </c>
      <c r="B91" s="178">
        <v>64.8</v>
      </c>
      <c r="C91" s="178"/>
      <c r="D91" s="178"/>
      <c r="E91" s="178">
        <f t="shared" si="1"/>
        <v>64.8</v>
      </c>
      <c r="F91" s="83" t="s">
        <v>829</v>
      </c>
      <c r="G91" s="180">
        <v>9000000</v>
      </c>
      <c r="H91" s="83" t="s">
        <v>793</v>
      </c>
      <c r="I91" s="180"/>
    </row>
    <row r="92" spans="1:9" ht="21.25" customHeight="1" x14ac:dyDescent="0.15">
      <c r="A92" s="9" t="s">
        <v>216</v>
      </c>
      <c r="B92" s="178">
        <v>151.30000000000001</v>
      </c>
      <c r="C92" s="178"/>
      <c r="D92" s="178"/>
      <c r="E92" s="178">
        <f t="shared" si="1"/>
        <v>151.30000000000001</v>
      </c>
      <c r="F92" s="83" t="s">
        <v>845</v>
      </c>
      <c r="G92" s="180">
        <v>7000000</v>
      </c>
      <c r="H92" s="83" t="s">
        <v>793</v>
      </c>
      <c r="I92" s="180"/>
    </row>
    <row r="93" spans="1:9" ht="21.25" customHeight="1" x14ac:dyDescent="0.15">
      <c r="A93" s="9" t="s">
        <v>205</v>
      </c>
      <c r="B93" s="178">
        <v>75.8</v>
      </c>
      <c r="C93" s="178"/>
      <c r="D93" s="178"/>
      <c r="E93" s="178">
        <f t="shared" si="1"/>
        <v>75.8</v>
      </c>
      <c r="F93" s="83" t="s">
        <v>856</v>
      </c>
      <c r="G93" s="180">
        <v>5500000</v>
      </c>
      <c r="H93" s="83" t="s">
        <v>793</v>
      </c>
      <c r="I93" s="180"/>
    </row>
    <row r="94" spans="1:9" ht="21.25" customHeight="1" x14ac:dyDescent="0.15">
      <c r="A94" s="9" t="s">
        <v>219</v>
      </c>
      <c r="B94" s="178">
        <v>148.80000000000001</v>
      </c>
      <c r="C94" s="178"/>
      <c r="D94" s="178"/>
      <c r="E94" s="178">
        <f t="shared" si="1"/>
        <v>148.80000000000001</v>
      </c>
      <c r="F94" s="83" t="s">
        <v>836</v>
      </c>
      <c r="G94" s="180">
        <v>8500000</v>
      </c>
      <c r="H94" s="83" t="s">
        <v>793</v>
      </c>
      <c r="I94" s="180"/>
    </row>
    <row r="95" spans="1:9" ht="21.25" customHeight="1" x14ac:dyDescent="0.15">
      <c r="A95" s="9" t="s">
        <v>220</v>
      </c>
      <c r="B95" s="178">
        <v>109.2</v>
      </c>
      <c r="C95" s="178"/>
      <c r="D95" s="178"/>
      <c r="E95" s="178">
        <f t="shared" si="1"/>
        <v>109.2</v>
      </c>
      <c r="F95" s="83" t="s">
        <v>833</v>
      </c>
      <c r="G95" s="180">
        <v>925000</v>
      </c>
      <c r="H95" s="83" t="s">
        <v>793</v>
      </c>
      <c r="I95" s="180"/>
    </row>
    <row r="96" spans="1:9" ht="21.25" customHeight="1" x14ac:dyDescent="0.15">
      <c r="A96" s="9" t="s">
        <v>221</v>
      </c>
      <c r="B96" s="178">
        <v>160.30000000000001</v>
      </c>
      <c r="C96" s="178"/>
      <c r="D96" s="178"/>
      <c r="E96" s="178">
        <f t="shared" si="1"/>
        <v>160.30000000000001</v>
      </c>
      <c r="F96" s="83" t="s">
        <v>836</v>
      </c>
      <c r="G96" s="180">
        <v>6000000</v>
      </c>
      <c r="H96" s="83" t="s">
        <v>793</v>
      </c>
      <c r="I96" s="180"/>
    </row>
    <row r="97" spans="1:9" ht="21.25" customHeight="1" x14ac:dyDescent="0.15">
      <c r="A97" s="9" t="s">
        <v>224</v>
      </c>
      <c r="B97" s="178">
        <v>90.7</v>
      </c>
      <c r="C97" s="178"/>
      <c r="D97" s="178"/>
      <c r="E97" s="178">
        <f t="shared" si="1"/>
        <v>90.7</v>
      </c>
      <c r="F97" s="83" t="s">
        <v>837</v>
      </c>
      <c r="G97" s="180">
        <v>8450000</v>
      </c>
      <c r="H97" s="83" t="s">
        <v>793</v>
      </c>
      <c r="I97" s="180"/>
    </row>
    <row r="98" spans="1:9" ht="21.25" customHeight="1" x14ac:dyDescent="0.15">
      <c r="A98" s="9" t="s">
        <v>213</v>
      </c>
      <c r="B98" s="178">
        <v>78.7</v>
      </c>
      <c r="C98" s="178"/>
      <c r="D98" s="178"/>
      <c r="E98" s="178">
        <f t="shared" si="1"/>
        <v>78.7</v>
      </c>
      <c r="F98" s="83" t="s">
        <v>849</v>
      </c>
      <c r="G98" s="83" t="s">
        <v>843</v>
      </c>
      <c r="H98" s="83" t="s">
        <v>83</v>
      </c>
      <c r="I98" s="180"/>
    </row>
    <row r="99" spans="1:9" ht="21.25" customHeight="1" x14ac:dyDescent="0.15">
      <c r="A99" s="9" t="s">
        <v>238</v>
      </c>
      <c r="B99" s="178">
        <v>58.7</v>
      </c>
      <c r="C99" s="178"/>
      <c r="D99" s="178"/>
      <c r="E99" s="178">
        <f t="shared" si="1"/>
        <v>58.7</v>
      </c>
      <c r="F99" s="83" t="s">
        <v>828</v>
      </c>
      <c r="G99" s="180">
        <v>6125000</v>
      </c>
      <c r="H99" s="83" t="s">
        <v>793</v>
      </c>
      <c r="I99" s="180"/>
    </row>
    <row r="100" spans="1:9" ht="21.25" customHeight="1" x14ac:dyDescent="0.15">
      <c r="A100" s="9" t="s">
        <v>228</v>
      </c>
      <c r="B100" s="178">
        <v>52</v>
      </c>
      <c r="C100" s="178"/>
      <c r="D100" s="178"/>
      <c r="E100" s="178">
        <f t="shared" si="1"/>
        <v>52</v>
      </c>
      <c r="F100" s="83" t="s">
        <v>825</v>
      </c>
      <c r="G100" s="180">
        <v>3400000</v>
      </c>
      <c r="H100" s="83" t="s">
        <v>793</v>
      </c>
      <c r="I100" s="180"/>
    </row>
    <row r="101" spans="1:9" ht="21.25" customHeight="1" x14ac:dyDescent="0.15">
      <c r="A101" s="9" t="s">
        <v>229</v>
      </c>
      <c r="B101" s="178">
        <v>165.5</v>
      </c>
      <c r="C101" s="178"/>
      <c r="D101" s="178"/>
      <c r="E101" s="178">
        <f t="shared" si="1"/>
        <v>165.5</v>
      </c>
      <c r="F101" s="83" t="s">
        <v>845</v>
      </c>
      <c r="G101" s="180">
        <v>4550000</v>
      </c>
      <c r="H101" s="83" t="s">
        <v>793</v>
      </c>
      <c r="I101" s="180"/>
    </row>
    <row r="102" spans="1:9" ht="21.25" customHeight="1" x14ac:dyDescent="0.15">
      <c r="A102" s="9" t="s">
        <v>230</v>
      </c>
      <c r="B102" s="178">
        <v>114.4</v>
      </c>
      <c r="C102" s="178"/>
      <c r="D102" s="178"/>
      <c r="E102" s="178">
        <f t="shared" si="1"/>
        <v>114.4</v>
      </c>
      <c r="F102" s="83" t="s">
        <v>841</v>
      </c>
      <c r="G102" s="180">
        <v>7350000</v>
      </c>
      <c r="H102" s="83" t="s">
        <v>793</v>
      </c>
      <c r="I102" s="180"/>
    </row>
    <row r="103" spans="1:9" ht="21.25" customHeight="1" x14ac:dyDescent="0.15">
      <c r="A103" s="9" t="s">
        <v>217</v>
      </c>
      <c r="B103" s="178">
        <v>110.9</v>
      </c>
      <c r="C103" s="178"/>
      <c r="D103" s="178"/>
      <c r="E103" s="178">
        <f t="shared" si="1"/>
        <v>110.9</v>
      </c>
      <c r="F103" s="83" t="s">
        <v>842</v>
      </c>
      <c r="G103" s="83" t="s">
        <v>843</v>
      </c>
      <c r="H103" s="83" t="s">
        <v>83</v>
      </c>
      <c r="I103" s="180"/>
    </row>
    <row r="104" spans="1:9" ht="21.25" customHeight="1" x14ac:dyDescent="0.15">
      <c r="A104" s="9" t="s">
        <v>218</v>
      </c>
      <c r="B104" s="178">
        <v>45.2</v>
      </c>
      <c r="C104" s="178"/>
      <c r="D104" s="178"/>
      <c r="E104" s="178">
        <f t="shared" si="1"/>
        <v>45.2</v>
      </c>
      <c r="F104" s="83" t="s">
        <v>849</v>
      </c>
      <c r="G104" s="180">
        <v>7750000</v>
      </c>
      <c r="H104" s="83" t="s">
        <v>793</v>
      </c>
      <c r="I104" s="180"/>
    </row>
    <row r="105" spans="1:9" ht="21.25" customHeight="1" x14ac:dyDescent="0.15">
      <c r="A105" s="9" t="s">
        <v>232</v>
      </c>
      <c r="B105" s="178">
        <v>171.5</v>
      </c>
      <c r="C105" s="178"/>
      <c r="D105" s="178"/>
      <c r="E105" s="178">
        <f t="shared" si="1"/>
        <v>171.5</v>
      </c>
      <c r="F105" s="83" t="s">
        <v>848</v>
      </c>
      <c r="G105" s="180">
        <v>6500000</v>
      </c>
      <c r="H105" s="83" t="s">
        <v>793</v>
      </c>
      <c r="I105" s="180"/>
    </row>
    <row r="106" spans="1:9" ht="21.25" customHeight="1" x14ac:dyDescent="0.15">
      <c r="A106" s="9" t="s">
        <v>233</v>
      </c>
      <c r="B106" s="178">
        <v>62.3</v>
      </c>
      <c r="C106" s="178"/>
      <c r="D106" s="178"/>
      <c r="E106" s="178">
        <f t="shared" si="1"/>
        <v>62.3</v>
      </c>
      <c r="F106" s="83" t="s">
        <v>833</v>
      </c>
      <c r="G106" s="180">
        <v>5250000</v>
      </c>
      <c r="H106" s="83" t="s">
        <v>793</v>
      </c>
      <c r="I106" s="180"/>
    </row>
    <row r="107" spans="1:9" ht="21.25" customHeight="1" x14ac:dyDescent="0.15">
      <c r="A107" s="9" t="s">
        <v>222</v>
      </c>
      <c r="B107" s="178">
        <v>91.8</v>
      </c>
      <c r="C107" s="178"/>
      <c r="D107" s="178"/>
      <c r="E107" s="178">
        <f t="shared" si="1"/>
        <v>91.8</v>
      </c>
      <c r="F107" s="83" t="s">
        <v>830</v>
      </c>
      <c r="G107" s="180">
        <v>5500000</v>
      </c>
      <c r="H107" s="83" t="s">
        <v>85</v>
      </c>
      <c r="I107" s="180"/>
    </row>
    <row r="108" spans="1:9" ht="21.25" customHeight="1" x14ac:dyDescent="0.15">
      <c r="A108" s="9" t="s">
        <v>223</v>
      </c>
      <c r="B108" s="178">
        <v>148.80000000000001</v>
      </c>
      <c r="C108" s="178"/>
      <c r="D108" s="178"/>
      <c r="E108" s="178">
        <f t="shared" si="1"/>
        <v>148.80000000000001</v>
      </c>
      <c r="F108" s="83" t="s">
        <v>839</v>
      </c>
      <c r="G108" s="180">
        <v>5125000</v>
      </c>
      <c r="H108" s="83" t="s">
        <v>793</v>
      </c>
      <c r="I108" s="180"/>
    </row>
    <row r="109" spans="1:9" ht="21.25" customHeight="1" x14ac:dyDescent="0.15">
      <c r="A109" s="9" t="s">
        <v>235</v>
      </c>
      <c r="B109" s="178">
        <v>142.6</v>
      </c>
      <c r="C109" s="178"/>
      <c r="D109" s="178"/>
      <c r="E109" s="178">
        <f t="shared" si="1"/>
        <v>142.6</v>
      </c>
      <c r="F109" s="83" t="s">
        <v>841</v>
      </c>
      <c r="G109" s="180">
        <v>8800000</v>
      </c>
      <c r="H109" s="83" t="s">
        <v>793</v>
      </c>
      <c r="I109" s="180"/>
    </row>
    <row r="110" spans="1:9" ht="21.25" customHeight="1" x14ac:dyDescent="0.15">
      <c r="A110" s="9" t="s">
        <v>255</v>
      </c>
      <c r="B110" s="178">
        <v>135.1</v>
      </c>
      <c r="C110" s="178"/>
      <c r="D110" s="178"/>
      <c r="E110" s="178">
        <f t="shared" si="1"/>
        <v>135.1</v>
      </c>
      <c r="F110" s="83" t="s">
        <v>838</v>
      </c>
      <c r="G110" s="180">
        <v>6000000</v>
      </c>
      <c r="H110" s="83" t="s">
        <v>793</v>
      </c>
      <c r="I110" s="180"/>
    </row>
    <row r="111" spans="1:9" ht="21.25" customHeight="1" x14ac:dyDescent="0.15">
      <c r="A111" s="9" t="s">
        <v>237</v>
      </c>
      <c r="B111" s="178">
        <v>88</v>
      </c>
      <c r="C111" s="178"/>
      <c r="D111" s="178"/>
      <c r="E111" s="178">
        <f t="shared" si="1"/>
        <v>88</v>
      </c>
      <c r="F111" s="83" t="s">
        <v>848</v>
      </c>
      <c r="G111" s="180">
        <v>6000000</v>
      </c>
      <c r="H111" s="83" t="s">
        <v>793</v>
      </c>
      <c r="I111" s="180"/>
    </row>
    <row r="112" spans="1:9" ht="21.25" customHeight="1" x14ac:dyDescent="0.15">
      <c r="A112" s="9" t="s">
        <v>239</v>
      </c>
      <c r="B112" s="178">
        <v>169.4</v>
      </c>
      <c r="C112" s="178"/>
      <c r="D112" s="178"/>
      <c r="E112" s="178">
        <f t="shared" si="1"/>
        <v>169.4</v>
      </c>
      <c r="F112" s="83" t="s">
        <v>834</v>
      </c>
      <c r="G112" s="180">
        <v>7100000</v>
      </c>
      <c r="H112" s="83" t="s">
        <v>793</v>
      </c>
      <c r="I112" s="180"/>
    </row>
    <row r="113" spans="1:9" ht="21.25" customHeight="1" x14ac:dyDescent="0.15">
      <c r="A113" s="9" t="s">
        <v>240</v>
      </c>
      <c r="B113" s="178">
        <v>138.1</v>
      </c>
      <c r="C113" s="178"/>
      <c r="D113" s="178"/>
      <c r="E113" s="178">
        <f t="shared" si="1"/>
        <v>138.1</v>
      </c>
      <c r="F113" s="83" t="s">
        <v>830</v>
      </c>
      <c r="G113" s="180">
        <v>7000000</v>
      </c>
      <c r="H113" s="83" t="s">
        <v>793</v>
      </c>
      <c r="I113" s="180"/>
    </row>
    <row r="114" spans="1:9" ht="21.25" customHeight="1" x14ac:dyDescent="0.15">
      <c r="A114" s="9" t="s">
        <v>242</v>
      </c>
      <c r="B114" s="178">
        <v>109.1</v>
      </c>
      <c r="C114" s="178"/>
      <c r="D114" s="178"/>
      <c r="E114" s="178">
        <f t="shared" si="1"/>
        <v>109.1</v>
      </c>
      <c r="F114" s="83" t="s">
        <v>850</v>
      </c>
      <c r="G114" s="180">
        <v>11000000</v>
      </c>
      <c r="H114" s="83" t="s">
        <v>793</v>
      </c>
      <c r="I114" s="180"/>
    </row>
    <row r="115" spans="1:9" ht="21.25" customHeight="1" x14ac:dyDescent="0.15">
      <c r="A115" s="9" t="s">
        <v>244</v>
      </c>
      <c r="B115" s="178">
        <v>143.80000000000001</v>
      </c>
      <c r="C115" s="178"/>
      <c r="D115" s="178"/>
      <c r="E115" s="178">
        <f t="shared" si="1"/>
        <v>143.80000000000001</v>
      </c>
      <c r="F115" s="83" t="s">
        <v>839</v>
      </c>
      <c r="G115" s="180">
        <v>6100000</v>
      </c>
      <c r="H115" s="83" t="s">
        <v>793</v>
      </c>
      <c r="I115" s="180"/>
    </row>
    <row r="116" spans="1:9" ht="21.25" customHeight="1" x14ac:dyDescent="0.15">
      <c r="A116" s="9" t="s">
        <v>259</v>
      </c>
      <c r="B116" s="178">
        <v>175</v>
      </c>
      <c r="C116" s="178"/>
      <c r="D116" s="178"/>
      <c r="E116" s="178">
        <f t="shared" si="1"/>
        <v>175</v>
      </c>
      <c r="F116" s="83" t="s">
        <v>851</v>
      </c>
      <c r="G116" s="180">
        <v>894167</v>
      </c>
      <c r="H116" s="83" t="s">
        <v>85</v>
      </c>
      <c r="I116" s="180"/>
    </row>
    <row r="117" spans="1:9" ht="21.25" customHeight="1" x14ac:dyDescent="0.15">
      <c r="A117" s="9" t="s">
        <v>247</v>
      </c>
      <c r="B117" s="178">
        <v>131.30000000000001</v>
      </c>
      <c r="C117" s="178"/>
      <c r="D117" s="178"/>
      <c r="E117" s="178">
        <f t="shared" si="1"/>
        <v>131.30000000000001</v>
      </c>
      <c r="F117" s="83" t="s">
        <v>840</v>
      </c>
      <c r="G117" s="180">
        <v>8050000</v>
      </c>
      <c r="H117" s="83" t="s">
        <v>793</v>
      </c>
      <c r="I117" s="180"/>
    </row>
    <row r="118" spans="1:9" ht="21.25" customHeight="1" x14ac:dyDescent="0.15">
      <c r="A118" s="9" t="s">
        <v>231</v>
      </c>
      <c r="B118" s="178">
        <v>73.8</v>
      </c>
      <c r="C118" s="178"/>
      <c r="D118" s="178"/>
      <c r="E118" s="178">
        <f t="shared" si="1"/>
        <v>73.8</v>
      </c>
      <c r="F118" s="83" t="s">
        <v>856</v>
      </c>
      <c r="G118" s="180">
        <v>6200000</v>
      </c>
      <c r="H118" s="83" t="s">
        <v>793</v>
      </c>
      <c r="I118" s="180"/>
    </row>
    <row r="119" spans="1:9" ht="21.25" customHeight="1" x14ac:dyDescent="0.15">
      <c r="A119" s="9" t="s">
        <v>248</v>
      </c>
      <c r="B119" s="178">
        <v>132.19999999999999</v>
      </c>
      <c r="C119" s="178"/>
      <c r="D119" s="178"/>
      <c r="E119" s="178">
        <f t="shared" si="1"/>
        <v>132.19999999999999</v>
      </c>
      <c r="F119" s="83" t="s">
        <v>838</v>
      </c>
      <c r="G119" s="180">
        <v>8500000</v>
      </c>
      <c r="H119" s="83" t="s">
        <v>793</v>
      </c>
      <c r="I119" s="180"/>
    </row>
    <row r="120" spans="1:9" ht="21.25" customHeight="1" x14ac:dyDescent="0.15">
      <c r="A120" s="9" t="s">
        <v>246</v>
      </c>
      <c r="B120" s="178">
        <v>89.3</v>
      </c>
      <c r="C120" s="178"/>
      <c r="D120" s="178"/>
      <c r="E120" s="178">
        <f t="shared" si="1"/>
        <v>89.3</v>
      </c>
      <c r="F120" s="83" t="s">
        <v>840</v>
      </c>
      <c r="G120" s="180">
        <v>5000000</v>
      </c>
      <c r="H120" s="83" t="s">
        <v>793</v>
      </c>
      <c r="I120" s="180"/>
    </row>
    <row r="121" spans="1:9" ht="21.25" customHeight="1" x14ac:dyDescent="0.15">
      <c r="A121" s="9" t="s">
        <v>249</v>
      </c>
      <c r="B121" s="178">
        <v>123.4</v>
      </c>
      <c r="C121" s="178"/>
      <c r="D121" s="178"/>
      <c r="E121" s="178">
        <f t="shared" si="1"/>
        <v>123.4</v>
      </c>
      <c r="F121" s="83" t="s">
        <v>828</v>
      </c>
      <c r="G121" s="180">
        <v>7750000</v>
      </c>
      <c r="H121" s="83" t="s">
        <v>85</v>
      </c>
      <c r="I121" s="180"/>
    </row>
    <row r="122" spans="1:9" ht="21.25" customHeight="1" x14ac:dyDescent="0.15">
      <c r="A122" s="9" t="s">
        <v>250</v>
      </c>
      <c r="B122" s="178">
        <v>113.4</v>
      </c>
      <c r="C122" s="178"/>
      <c r="D122" s="178"/>
      <c r="E122" s="178">
        <f t="shared" si="1"/>
        <v>113.4</v>
      </c>
      <c r="F122" s="83" t="s">
        <v>855</v>
      </c>
      <c r="G122" s="180">
        <v>7350000</v>
      </c>
      <c r="H122" s="83" t="s">
        <v>793</v>
      </c>
      <c r="I122" s="180"/>
    </row>
    <row r="123" spans="1:9" ht="21.25" customHeight="1" x14ac:dyDescent="0.15">
      <c r="A123" s="9" t="s">
        <v>252</v>
      </c>
      <c r="B123" s="178">
        <v>182</v>
      </c>
      <c r="C123" s="178"/>
      <c r="D123" s="178"/>
      <c r="E123" s="178">
        <f t="shared" si="1"/>
        <v>182</v>
      </c>
      <c r="F123" s="83" t="s">
        <v>844</v>
      </c>
      <c r="G123" s="180">
        <v>5000000</v>
      </c>
      <c r="H123" s="83" t="s">
        <v>793</v>
      </c>
      <c r="I123" s="180"/>
    </row>
    <row r="124" spans="1:9" ht="21.25" customHeight="1" x14ac:dyDescent="0.15">
      <c r="A124" s="9" t="s">
        <v>253</v>
      </c>
      <c r="B124" s="178">
        <v>118.3</v>
      </c>
      <c r="C124" s="178"/>
      <c r="D124" s="178"/>
      <c r="E124" s="178">
        <f t="shared" si="1"/>
        <v>118.3</v>
      </c>
      <c r="F124" s="83" t="s">
        <v>849</v>
      </c>
      <c r="G124" s="180">
        <v>5280000</v>
      </c>
      <c r="H124" s="83" t="s">
        <v>793</v>
      </c>
      <c r="I124" s="180"/>
    </row>
    <row r="125" spans="1:9" ht="21.25" customHeight="1" x14ac:dyDescent="0.15">
      <c r="A125" s="9" t="s">
        <v>260</v>
      </c>
      <c r="B125" s="178">
        <v>112.6</v>
      </c>
      <c r="C125" s="178"/>
      <c r="D125" s="178"/>
      <c r="E125" s="178">
        <f t="shared" si="1"/>
        <v>112.6</v>
      </c>
      <c r="F125" s="83" t="s">
        <v>854</v>
      </c>
      <c r="G125" s="180">
        <v>950000</v>
      </c>
      <c r="H125" s="83" t="s">
        <v>82</v>
      </c>
      <c r="I125" s="180"/>
    </row>
    <row r="126" spans="1:9" ht="21.25" customHeight="1" x14ac:dyDescent="0.15">
      <c r="A126" s="9" t="s">
        <v>254</v>
      </c>
      <c r="B126" s="178">
        <v>85.6</v>
      </c>
      <c r="C126" s="178"/>
      <c r="D126" s="178"/>
      <c r="E126" s="178">
        <f t="shared" si="1"/>
        <v>85.6</v>
      </c>
      <c r="F126" s="83" t="s">
        <v>855</v>
      </c>
      <c r="G126" s="180">
        <v>7142857</v>
      </c>
      <c r="H126" s="83" t="s">
        <v>793</v>
      </c>
      <c r="I126" s="180"/>
    </row>
    <row r="127" spans="1:9" ht="21.25" customHeight="1" x14ac:dyDescent="0.15">
      <c r="A127" s="9" t="s">
        <v>234</v>
      </c>
      <c r="B127" s="178">
        <v>153.5</v>
      </c>
      <c r="C127" s="178"/>
      <c r="D127" s="178"/>
      <c r="E127" s="178">
        <f t="shared" si="1"/>
        <v>153.5</v>
      </c>
      <c r="F127" s="83" t="s">
        <v>835</v>
      </c>
      <c r="G127" s="180">
        <v>5500000</v>
      </c>
      <c r="H127" s="83" t="s">
        <v>793</v>
      </c>
      <c r="I127" s="180"/>
    </row>
    <row r="128" spans="1:9" ht="21.25" customHeight="1" x14ac:dyDescent="0.15">
      <c r="A128" s="9" t="s">
        <v>236</v>
      </c>
      <c r="B128" s="178">
        <v>114.2</v>
      </c>
      <c r="C128" s="178"/>
      <c r="D128" s="178"/>
      <c r="E128" s="178">
        <f t="shared" si="1"/>
        <v>114.2</v>
      </c>
      <c r="F128" s="83" t="s">
        <v>849</v>
      </c>
      <c r="G128" s="180">
        <v>6500000</v>
      </c>
      <c r="H128" s="83" t="s">
        <v>793</v>
      </c>
      <c r="I128" s="180"/>
    </row>
    <row r="129" spans="1:9" ht="21.25" customHeight="1" x14ac:dyDescent="0.15">
      <c r="A129" s="9" t="s">
        <v>266</v>
      </c>
      <c r="B129" s="83" t="s">
        <v>857</v>
      </c>
      <c r="C129" s="178"/>
      <c r="D129" s="178"/>
      <c r="E129" s="83" t="str">
        <f t="shared" si="1"/>
        <v>—</v>
      </c>
      <c r="F129" s="83" t="s">
        <v>845</v>
      </c>
      <c r="G129" s="180">
        <v>10500000</v>
      </c>
      <c r="H129" s="83" t="s">
        <v>793</v>
      </c>
      <c r="I129" s="180"/>
    </row>
    <row r="130" spans="1:9" ht="21.25" customHeight="1" x14ac:dyDescent="0.15">
      <c r="A130" s="9" t="s">
        <v>257</v>
      </c>
      <c r="B130" s="178">
        <v>94.7</v>
      </c>
      <c r="C130" s="178"/>
      <c r="D130" s="178"/>
      <c r="E130" s="178">
        <f t="shared" ref="E130:E193" si="2">IFERROR(AVERAGE(B130:D130),"—")</f>
        <v>94.7</v>
      </c>
      <c r="F130" s="83" t="s">
        <v>832</v>
      </c>
      <c r="G130" s="180">
        <v>5750000</v>
      </c>
      <c r="H130" s="83" t="s">
        <v>793</v>
      </c>
      <c r="I130" s="180"/>
    </row>
    <row r="131" spans="1:9" ht="21.25" customHeight="1" x14ac:dyDescent="0.15">
      <c r="A131" s="9" t="s">
        <v>258</v>
      </c>
      <c r="B131" s="178">
        <v>186</v>
      </c>
      <c r="C131" s="178"/>
      <c r="D131" s="178"/>
      <c r="E131" s="178">
        <f t="shared" si="2"/>
        <v>186</v>
      </c>
      <c r="F131" s="83" t="s">
        <v>839</v>
      </c>
      <c r="G131" s="180">
        <v>6100000</v>
      </c>
      <c r="H131" s="83" t="s">
        <v>793</v>
      </c>
      <c r="I131" s="180"/>
    </row>
    <row r="132" spans="1:9" ht="21.25" customHeight="1" x14ac:dyDescent="0.15">
      <c r="A132" s="9" t="s">
        <v>241</v>
      </c>
      <c r="B132" s="178">
        <v>60.4</v>
      </c>
      <c r="C132" s="178"/>
      <c r="D132" s="178"/>
      <c r="E132" s="178">
        <f t="shared" si="2"/>
        <v>60.4</v>
      </c>
      <c r="F132" s="83" t="s">
        <v>835</v>
      </c>
      <c r="G132" s="180">
        <v>6500000</v>
      </c>
      <c r="H132" s="83" t="s">
        <v>793</v>
      </c>
      <c r="I132" s="180"/>
    </row>
    <row r="133" spans="1:9" ht="21.25" customHeight="1" x14ac:dyDescent="0.15">
      <c r="A133" s="9" t="s">
        <v>243</v>
      </c>
      <c r="B133" s="178">
        <v>171</v>
      </c>
      <c r="C133" s="178"/>
      <c r="D133" s="178"/>
      <c r="E133" s="178">
        <f t="shared" si="2"/>
        <v>171</v>
      </c>
      <c r="F133" s="83" t="s">
        <v>858</v>
      </c>
      <c r="G133" s="180">
        <v>7000000</v>
      </c>
      <c r="H133" s="83" t="s">
        <v>793</v>
      </c>
      <c r="I133" s="180"/>
    </row>
    <row r="134" spans="1:9" ht="21.25" customHeight="1" x14ac:dyDescent="0.15">
      <c r="A134" s="9" t="s">
        <v>245</v>
      </c>
      <c r="B134" s="178">
        <v>158</v>
      </c>
      <c r="C134" s="178"/>
      <c r="D134" s="178"/>
      <c r="E134" s="178">
        <f t="shared" si="2"/>
        <v>158</v>
      </c>
      <c r="F134" s="83" t="s">
        <v>834</v>
      </c>
      <c r="G134" s="180">
        <v>855833</v>
      </c>
      <c r="H134" s="83" t="s">
        <v>793</v>
      </c>
      <c r="I134" s="180"/>
    </row>
    <row r="135" spans="1:9" ht="21.25" customHeight="1" x14ac:dyDescent="0.15">
      <c r="A135" s="9" t="s">
        <v>251</v>
      </c>
      <c r="B135" s="178">
        <v>177</v>
      </c>
      <c r="C135" s="178"/>
      <c r="D135" s="178"/>
      <c r="E135" s="178">
        <f t="shared" si="2"/>
        <v>177</v>
      </c>
      <c r="F135" s="83" t="s">
        <v>845</v>
      </c>
      <c r="G135" s="180">
        <v>3100000</v>
      </c>
      <c r="H135" s="83" t="s">
        <v>793</v>
      </c>
      <c r="I135" s="180"/>
    </row>
    <row r="136" spans="1:9" ht="21.25" customHeight="1" x14ac:dyDescent="0.15">
      <c r="A136" s="9" t="s">
        <v>271</v>
      </c>
      <c r="B136" s="178">
        <v>175</v>
      </c>
      <c r="C136" s="178"/>
      <c r="D136" s="178"/>
      <c r="E136" s="178">
        <f t="shared" si="2"/>
        <v>175</v>
      </c>
      <c r="F136" s="83" t="s">
        <v>844</v>
      </c>
      <c r="G136" s="180">
        <v>8500000</v>
      </c>
      <c r="H136" s="83" t="s">
        <v>793</v>
      </c>
      <c r="I136" s="180"/>
    </row>
    <row r="137" spans="1:9" ht="21.25" customHeight="1" x14ac:dyDescent="0.15">
      <c r="A137" s="9" t="s">
        <v>262</v>
      </c>
      <c r="B137" s="83" t="s">
        <v>857</v>
      </c>
      <c r="C137" s="178"/>
      <c r="D137" s="178"/>
      <c r="E137" s="83" t="str">
        <f t="shared" si="2"/>
        <v>—</v>
      </c>
      <c r="F137" s="83" t="s">
        <v>851</v>
      </c>
      <c r="G137" s="180">
        <v>950000</v>
      </c>
      <c r="H137" s="83" t="s">
        <v>793</v>
      </c>
      <c r="I137" s="180"/>
    </row>
    <row r="138" spans="1:9" ht="21.25" customHeight="1" x14ac:dyDescent="0.15">
      <c r="A138" s="9" t="s">
        <v>256</v>
      </c>
      <c r="B138" s="178">
        <v>121.3</v>
      </c>
      <c r="C138" s="178"/>
      <c r="D138" s="178"/>
      <c r="E138" s="178">
        <f t="shared" si="2"/>
        <v>121.3</v>
      </c>
      <c r="F138" s="83" t="s">
        <v>842</v>
      </c>
      <c r="G138" s="180">
        <v>4000000</v>
      </c>
      <c r="H138" s="83" t="s">
        <v>793</v>
      </c>
      <c r="I138" s="180"/>
    </row>
    <row r="139" spans="1:9" ht="21.25" customHeight="1" x14ac:dyDescent="0.15">
      <c r="A139" s="9" t="s">
        <v>267</v>
      </c>
      <c r="B139" s="178">
        <v>99</v>
      </c>
      <c r="C139" s="178"/>
      <c r="D139" s="178"/>
      <c r="E139" s="178">
        <f t="shared" si="2"/>
        <v>99</v>
      </c>
      <c r="F139" s="83" t="s">
        <v>825</v>
      </c>
      <c r="G139" s="180">
        <v>7250000</v>
      </c>
      <c r="H139" s="83" t="s">
        <v>793</v>
      </c>
      <c r="I139" s="180"/>
    </row>
    <row r="140" spans="1:9" ht="21.25" customHeight="1" x14ac:dyDescent="0.15">
      <c r="A140" s="9" t="s">
        <v>268</v>
      </c>
      <c r="B140" s="178">
        <v>169.9</v>
      </c>
      <c r="C140" s="178"/>
      <c r="D140" s="178"/>
      <c r="E140" s="178">
        <f t="shared" si="2"/>
        <v>169.9</v>
      </c>
      <c r="F140" s="83" t="s">
        <v>850</v>
      </c>
      <c r="G140" s="180">
        <v>7000000</v>
      </c>
      <c r="H140" s="83" t="s">
        <v>793</v>
      </c>
      <c r="I140" s="180"/>
    </row>
    <row r="141" spans="1:9" ht="21.25" customHeight="1" x14ac:dyDescent="0.15">
      <c r="A141" s="9" t="s">
        <v>269</v>
      </c>
      <c r="B141" s="178">
        <v>132</v>
      </c>
      <c r="C141" s="178"/>
      <c r="D141" s="178"/>
      <c r="E141" s="178">
        <f t="shared" si="2"/>
        <v>132</v>
      </c>
      <c r="F141" s="83" t="s">
        <v>837</v>
      </c>
      <c r="G141" s="83" t="s">
        <v>843</v>
      </c>
      <c r="H141" s="83" t="s">
        <v>793</v>
      </c>
      <c r="I141" s="180"/>
    </row>
    <row r="142" spans="1:9" ht="21.25" customHeight="1" x14ac:dyDescent="0.15">
      <c r="A142" s="9" t="s">
        <v>261</v>
      </c>
      <c r="B142" s="178">
        <v>153.30000000000001</v>
      </c>
      <c r="C142" s="178"/>
      <c r="D142" s="178"/>
      <c r="E142" s="178">
        <f t="shared" si="2"/>
        <v>153.30000000000001</v>
      </c>
      <c r="F142" s="83" t="s">
        <v>859</v>
      </c>
      <c r="G142" s="180">
        <v>6000000</v>
      </c>
      <c r="H142" s="83" t="s">
        <v>793</v>
      </c>
      <c r="I142" s="180"/>
    </row>
    <row r="143" spans="1:9" ht="21.25" customHeight="1" x14ac:dyDescent="0.15">
      <c r="A143" s="9" t="s">
        <v>286</v>
      </c>
      <c r="B143" s="178">
        <v>158</v>
      </c>
      <c r="C143" s="178"/>
      <c r="D143" s="178"/>
      <c r="E143" s="178">
        <f t="shared" si="2"/>
        <v>158</v>
      </c>
      <c r="F143" s="83" t="s">
        <v>837</v>
      </c>
      <c r="G143" s="180">
        <v>9500000</v>
      </c>
      <c r="H143" s="83" t="s">
        <v>793</v>
      </c>
      <c r="I143" s="180"/>
    </row>
    <row r="144" spans="1:9" ht="21.25" customHeight="1" x14ac:dyDescent="0.15">
      <c r="A144" s="9" t="s">
        <v>273</v>
      </c>
      <c r="B144" s="83" t="s">
        <v>857</v>
      </c>
      <c r="C144" s="178"/>
      <c r="D144" s="178"/>
      <c r="E144" s="83" t="str">
        <f t="shared" si="2"/>
        <v>—</v>
      </c>
      <c r="F144" s="83" t="s">
        <v>859</v>
      </c>
      <c r="G144" s="180">
        <v>3400000</v>
      </c>
      <c r="H144" s="83" t="s">
        <v>793</v>
      </c>
      <c r="I144" s="180"/>
    </row>
    <row r="145" spans="1:9" ht="21.25" customHeight="1" x14ac:dyDescent="0.15">
      <c r="A145" s="9" t="s">
        <v>275</v>
      </c>
      <c r="B145" s="178">
        <v>134</v>
      </c>
      <c r="C145" s="178"/>
      <c r="D145" s="178"/>
      <c r="E145" s="178">
        <f t="shared" si="2"/>
        <v>134</v>
      </c>
      <c r="F145" s="83" t="s">
        <v>841</v>
      </c>
      <c r="G145" s="180">
        <v>6750000</v>
      </c>
      <c r="H145" s="83" t="s">
        <v>793</v>
      </c>
      <c r="I145" s="180"/>
    </row>
    <row r="146" spans="1:9" ht="21.25" customHeight="1" x14ac:dyDescent="0.15">
      <c r="A146" s="9" t="s">
        <v>274</v>
      </c>
      <c r="B146" s="178">
        <v>137.9</v>
      </c>
      <c r="C146" s="178"/>
      <c r="D146" s="178"/>
      <c r="E146" s="178">
        <f t="shared" si="2"/>
        <v>137.9</v>
      </c>
      <c r="F146" s="83" t="s">
        <v>839</v>
      </c>
      <c r="G146" s="180">
        <v>5375000</v>
      </c>
      <c r="H146" s="83" t="s">
        <v>793</v>
      </c>
      <c r="I146" s="180"/>
    </row>
    <row r="147" spans="1:9" ht="21.25" customHeight="1" x14ac:dyDescent="0.15">
      <c r="A147" s="9" t="s">
        <v>277</v>
      </c>
      <c r="B147" s="178">
        <v>172.2</v>
      </c>
      <c r="C147" s="178"/>
      <c r="D147" s="178"/>
      <c r="E147" s="178">
        <f t="shared" si="2"/>
        <v>172.2</v>
      </c>
      <c r="F147" s="83" t="s">
        <v>830</v>
      </c>
      <c r="G147" s="180">
        <v>4500000</v>
      </c>
      <c r="H147" s="83" t="s">
        <v>83</v>
      </c>
      <c r="I147" s="180"/>
    </row>
    <row r="148" spans="1:9" ht="21.25" customHeight="1" x14ac:dyDescent="0.15">
      <c r="A148" s="9" t="s">
        <v>276</v>
      </c>
      <c r="B148" s="178">
        <v>78.8</v>
      </c>
      <c r="C148" s="178"/>
      <c r="D148" s="178"/>
      <c r="E148" s="178">
        <f t="shared" si="2"/>
        <v>78.8</v>
      </c>
      <c r="F148" s="83" t="s">
        <v>841</v>
      </c>
      <c r="G148" s="180">
        <v>4900000</v>
      </c>
      <c r="H148" s="83" t="s">
        <v>793</v>
      </c>
      <c r="I148" s="180"/>
    </row>
    <row r="149" spans="1:9" ht="21.25" customHeight="1" x14ac:dyDescent="0.15">
      <c r="A149" s="9" t="s">
        <v>263</v>
      </c>
      <c r="B149" s="83" t="s">
        <v>857</v>
      </c>
      <c r="C149" s="178"/>
      <c r="D149" s="178"/>
      <c r="E149" s="83" t="str">
        <f t="shared" si="2"/>
        <v>—</v>
      </c>
      <c r="F149" s="83" t="s">
        <v>851</v>
      </c>
      <c r="G149" s="180">
        <v>5850000</v>
      </c>
      <c r="H149" s="83" t="s">
        <v>793</v>
      </c>
      <c r="I149" s="180"/>
    </row>
    <row r="150" spans="1:9" ht="21.25" customHeight="1" x14ac:dyDescent="0.15">
      <c r="A150" s="9" t="s">
        <v>264</v>
      </c>
      <c r="B150" s="83" t="s">
        <v>857</v>
      </c>
      <c r="C150" s="178"/>
      <c r="D150" s="178"/>
      <c r="E150" s="83" t="str">
        <f t="shared" si="2"/>
        <v>—</v>
      </c>
      <c r="F150" s="83" t="s">
        <v>831</v>
      </c>
      <c r="G150" s="180">
        <v>2325000</v>
      </c>
      <c r="H150" s="83" t="s">
        <v>83</v>
      </c>
      <c r="I150" s="180"/>
    </row>
    <row r="151" spans="1:9" ht="21.25" customHeight="1" x14ac:dyDescent="0.15">
      <c r="A151" s="9" t="s">
        <v>279</v>
      </c>
      <c r="B151" s="83" t="s">
        <v>857</v>
      </c>
      <c r="C151" s="178"/>
      <c r="D151" s="178"/>
      <c r="E151" s="83" t="str">
        <f t="shared" si="2"/>
        <v>—</v>
      </c>
      <c r="F151" s="83" t="s">
        <v>848</v>
      </c>
      <c r="G151" s="180">
        <v>6500000</v>
      </c>
      <c r="H151" s="83" t="s">
        <v>793</v>
      </c>
      <c r="I151" s="180"/>
    </row>
    <row r="152" spans="1:9" ht="21.25" customHeight="1" x14ac:dyDescent="0.15">
      <c r="A152" s="9" t="s">
        <v>265</v>
      </c>
      <c r="B152" s="178">
        <v>179.8</v>
      </c>
      <c r="C152" s="178"/>
      <c r="D152" s="178"/>
      <c r="E152" s="178">
        <f t="shared" si="2"/>
        <v>179.8</v>
      </c>
      <c r="F152" s="83" t="s">
        <v>840</v>
      </c>
      <c r="G152" s="180">
        <v>6500000</v>
      </c>
      <c r="H152" s="83" t="s">
        <v>793</v>
      </c>
      <c r="I152" s="180"/>
    </row>
    <row r="153" spans="1:9" ht="21.25" customHeight="1" x14ac:dyDescent="0.15">
      <c r="A153" s="9" t="s">
        <v>293</v>
      </c>
      <c r="B153" s="178">
        <v>147</v>
      </c>
      <c r="C153" s="178"/>
      <c r="D153" s="178"/>
      <c r="E153" s="178">
        <f t="shared" si="2"/>
        <v>147</v>
      </c>
      <c r="F153" s="83" t="s">
        <v>858</v>
      </c>
      <c r="G153" s="180">
        <v>3650000</v>
      </c>
      <c r="H153" s="83" t="s">
        <v>793</v>
      </c>
      <c r="I153" s="180"/>
    </row>
    <row r="154" spans="1:9" ht="21.25" customHeight="1" x14ac:dyDescent="0.15">
      <c r="A154" s="9" t="s">
        <v>278</v>
      </c>
      <c r="B154" s="178">
        <v>144.30000000000001</v>
      </c>
      <c r="C154" s="178"/>
      <c r="D154" s="178"/>
      <c r="E154" s="178">
        <f t="shared" si="2"/>
        <v>144.30000000000001</v>
      </c>
      <c r="F154" s="83" t="s">
        <v>851</v>
      </c>
      <c r="G154" s="180">
        <v>1950000</v>
      </c>
      <c r="H154" s="83" t="s">
        <v>793</v>
      </c>
      <c r="I154" s="180"/>
    </row>
    <row r="155" spans="1:9" ht="21.25" customHeight="1" x14ac:dyDescent="0.15">
      <c r="A155" s="9" t="s">
        <v>280</v>
      </c>
      <c r="B155" s="178">
        <v>121.7</v>
      </c>
      <c r="C155" s="178"/>
      <c r="D155" s="178"/>
      <c r="E155" s="178">
        <f t="shared" si="2"/>
        <v>121.7</v>
      </c>
      <c r="F155" s="83" t="s">
        <v>832</v>
      </c>
      <c r="G155" s="180">
        <v>7500000</v>
      </c>
      <c r="H155" s="83" t="s">
        <v>793</v>
      </c>
      <c r="I155" s="180"/>
    </row>
    <row r="156" spans="1:9" ht="21.25" customHeight="1" x14ac:dyDescent="0.15">
      <c r="A156" s="9" t="s">
        <v>281</v>
      </c>
      <c r="B156" s="178">
        <v>162.4</v>
      </c>
      <c r="C156" s="178"/>
      <c r="D156" s="178"/>
      <c r="E156" s="178">
        <f t="shared" si="2"/>
        <v>162.4</v>
      </c>
      <c r="F156" s="83" t="s">
        <v>856</v>
      </c>
      <c r="G156" s="180">
        <v>6250000</v>
      </c>
      <c r="H156" s="83" t="s">
        <v>793</v>
      </c>
      <c r="I156" s="180"/>
    </row>
    <row r="157" spans="1:9" ht="21.25" customHeight="1" x14ac:dyDescent="0.15">
      <c r="A157" s="9" t="s">
        <v>295</v>
      </c>
      <c r="B157" s="178">
        <v>149</v>
      </c>
      <c r="C157" s="178"/>
      <c r="D157" s="178"/>
      <c r="E157" s="178">
        <f t="shared" si="2"/>
        <v>149</v>
      </c>
      <c r="F157" s="83" t="s">
        <v>854</v>
      </c>
      <c r="G157" s="180">
        <v>8700000</v>
      </c>
      <c r="H157" s="83" t="s">
        <v>83</v>
      </c>
      <c r="I157" s="180"/>
    </row>
    <row r="158" spans="1:9" ht="21.25" customHeight="1" x14ac:dyDescent="0.15">
      <c r="A158" s="9" t="s">
        <v>282</v>
      </c>
      <c r="B158" s="178">
        <v>156.4</v>
      </c>
      <c r="C158" s="178"/>
      <c r="D158" s="178"/>
      <c r="E158" s="178">
        <f t="shared" si="2"/>
        <v>156.4</v>
      </c>
      <c r="F158" s="83" t="s">
        <v>840</v>
      </c>
      <c r="G158" s="180">
        <v>8000000</v>
      </c>
      <c r="H158" s="83" t="s">
        <v>793</v>
      </c>
      <c r="I158" s="180"/>
    </row>
    <row r="159" spans="1:9" ht="21.25" customHeight="1" x14ac:dyDescent="0.15">
      <c r="A159" s="9" t="s">
        <v>283</v>
      </c>
      <c r="B159" s="178">
        <v>148.1</v>
      </c>
      <c r="C159" s="178"/>
      <c r="D159" s="178"/>
      <c r="E159" s="178">
        <f t="shared" si="2"/>
        <v>148.1</v>
      </c>
      <c r="F159" s="83" t="s">
        <v>844</v>
      </c>
      <c r="G159" s="180">
        <v>4600000</v>
      </c>
      <c r="H159" s="83" t="s">
        <v>793</v>
      </c>
      <c r="I159" s="180"/>
    </row>
    <row r="160" spans="1:9" ht="21.25" customHeight="1" x14ac:dyDescent="0.15">
      <c r="A160" s="9" t="s">
        <v>284</v>
      </c>
      <c r="B160" s="178">
        <v>142.30000000000001</v>
      </c>
      <c r="C160" s="178"/>
      <c r="D160" s="178"/>
      <c r="E160" s="178">
        <f t="shared" si="2"/>
        <v>142.30000000000001</v>
      </c>
      <c r="F160" s="83" t="s">
        <v>824</v>
      </c>
      <c r="G160" s="180">
        <v>9250000</v>
      </c>
      <c r="H160" s="83" t="s">
        <v>793</v>
      </c>
      <c r="I160" s="180"/>
    </row>
    <row r="161" spans="1:9" ht="21.25" customHeight="1" x14ac:dyDescent="0.15">
      <c r="A161" s="9" t="s">
        <v>299</v>
      </c>
      <c r="B161" s="178">
        <v>169</v>
      </c>
      <c r="C161" s="178"/>
      <c r="D161" s="178"/>
      <c r="E161" s="178">
        <f t="shared" si="2"/>
        <v>169</v>
      </c>
      <c r="F161" s="83" t="s">
        <v>852</v>
      </c>
      <c r="G161" s="180">
        <v>3750000</v>
      </c>
      <c r="H161" s="83" t="s">
        <v>793</v>
      </c>
      <c r="I161" s="180"/>
    </row>
    <row r="162" spans="1:9" ht="21.25" customHeight="1" x14ac:dyDescent="0.15">
      <c r="A162" s="9" t="s">
        <v>270</v>
      </c>
      <c r="B162" s="178">
        <v>94.8</v>
      </c>
      <c r="C162" s="178"/>
      <c r="D162" s="79"/>
      <c r="E162" s="178">
        <f t="shared" si="2"/>
        <v>94.8</v>
      </c>
      <c r="F162" s="83" t="s">
        <v>840</v>
      </c>
      <c r="G162" s="180">
        <v>4975000</v>
      </c>
      <c r="H162" s="83" t="s">
        <v>793</v>
      </c>
      <c r="I162" s="180"/>
    </row>
    <row r="163" spans="1:9" ht="21.25" customHeight="1" x14ac:dyDescent="0.15">
      <c r="A163" s="9" t="s">
        <v>285</v>
      </c>
      <c r="B163" s="178">
        <v>76.900000000000006</v>
      </c>
      <c r="C163" s="178"/>
      <c r="D163" s="178"/>
      <c r="E163" s="178">
        <f t="shared" si="2"/>
        <v>76.900000000000006</v>
      </c>
      <c r="F163" s="83" t="s">
        <v>826</v>
      </c>
      <c r="G163" s="180">
        <v>766667</v>
      </c>
      <c r="H163" s="83" t="s">
        <v>83</v>
      </c>
      <c r="I163" s="180"/>
    </row>
    <row r="164" spans="1:9" ht="21.25" customHeight="1" x14ac:dyDescent="0.15">
      <c r="A164" s="9" t="s">
        <v>300</v>
      </c>
      <c r="B164" s="83" t="s">
        <v>857</v>
      </c>
      <c r="C164" s="178"/>
      <c r="D164" s="178"/>
      <c r="E164" s="83" t="str">
        <f t="shared" si="2"/>
        <v>—</v>
      </c>
      <c r="F164" s="83" t="s">
        <v>839</v>
      </c>
      <c r="G164" s="180">
        <v>4500000</v>
      </c>
      <c r="H164" s="83" t="s">
        <v>86</v>
      </c>
      <c r="I164" s="180"/>
    </row>
    <row r="165" spans="1:9" ht="21.25" customHeight="1" x14ac:dyDescent="0.15">
      <c r="A165" s="9" t="s">
        <v>272</v>
      </c>
      <c r="B165" s="178">
        <v>172.7</v>
      </c>
      <c r="C165" s="178"/>
      <c r="D165" s="178"/>
      <c r="E165" s="178">
        <f t="shared" si="2"/>
        <v>172.7</v>
      </c>
      <c r="F165" s="83" t="s">
        <v>847</v>
      </c>
      <c r="G165" s="180">
        <v>5400000</v>
      </c>
      <c r="H165" s="83" t="s">
        <v>793</v>
      </c>
      <c r="I165" s="180"/>
    </row>
    <row r="166" spans="1:9" ht="21.25" customHeight="1" x14ac:dyDescent="0.15">
      <c r="A166" s="9" t="s">
        <v>287</v>
      </c>
      <c r="B166" s="83" t="s">
        <v>857</v>
      </c>
      <c r="C166" s="178"/>
      <c r="D166" s="178"/>
      <c r="E166" s="83" t="str">
        <f t="shared" si="2"/>
        <v>—</v>
      </c>
      <c r="F166" s="83" t="s">
        <v>858</v>
      </c>
      <c r="G166" s="180">
        <v>894167</v>
      </c>
      <c r="H166" s="83" t="s">
        <v>793</v>
      </c>
      <c r="I166" s="180"/>
    </row>
    <row r="167" spans="1:9" ht="21.25" customHeight="1" x14ac:dyDescent="0.15">
      <c r="A167" s="9" t="s">
        <v>291</v>
      </c>
      <c r="B167" s="178">
        <v>106.2</v>
      </c>
      <c r="C167" s="178"/>
      <c r="D167" s="178"/>
      <c r="E167" s="178">
        <f t="shared" si="2"/>
        <v>106.2</v>
      </c>
      <c r="F167" s="83" t="s">
        <v>829</v>
      </c>
      <c r="G167" s="180">
        <v>925000</v>
      </c>
      <c r="H167" s="83" t="s">
        <v>793</v>
      </c>
      <c r="I167" s="180"/>
    </row>
    <row r="168" spans="1:9" ht="21.25" customHeight="1" x14ac:dyDescent="0.15">
      <c r="A168" s="9" t="s">
        <v>290</v>
      </c>
      <c r="B168" s="178">
        <v>105.7</v>
      </c>
      <c r="C168" s="178"/>
      <c r="D168" s="178"/>
      <c r="E168" s="178">
        <f t="shared" si="2"/>
        <v>105.7</v>
      </c>
      <c r="F168" s="83" t="s">
        <v>860</v>
      </c>
      <c r="G168" s="180">
        <v>5250000</v>
      </c>
      <c r="H168" s="83" t="s">
        <v>793</v>
      </c>
      <c r="I168" s="180"/>
    </row>
    <row r="169" spans="1:9" ht="21.25" customHeight="1" x14ac:dyDescent="0.15">
      <c r="A169" s="9" t="s">
        <v>292</v>
      </c>
      <c r="B169" s="178">
        <v>158.9</v>
      </c>
      <c r="C169" s="178"/>
      <c r="D169" s="178"/>
      <c r="E169" s="178">
        <f t="shared" si="2"/>
        <v>158.9</v>
      </c>
      <c r="F169" s="83" t="s">
        <v>833</v>
      </c>
      <c r="G169" s="180">
        <v>3750000</v>
      </c>
      <c r="H169" s="83" t="s">
        <v>85</v>
      </c>
      <c r="I169" s="180"/>
    </row>
    <row r="170" spans="1:9" ht="21.25" customHeight="1" x14ac:dyDescent="0.15">
      <c r="A170" s="9" t="s">
        <v>297</v>
      </c>
      <c r="B170" s="178">
        <v>134.9</v>
      </c>
      <c r="C170" s="178"/>
      <c r="D170" s="178"/>
      <c r="E170" s="178">
        <f t="shared" si="2"/>
        <v>134.9</v>
      </c>
      <c r="F170" s="83" t="s">
        <v>835</v>
      </c>
      <c r="G170" s="180">
        <v>7250000</v>
      </c>
      <c r="H170" s="83" t="s">
        <v>793</v>
      </c>
      <c r="I170" s="180"/>
    </row>
    <row r="171" spans="1:9" ht="21.25" customHeight="1" x14ac:dyDescent="0.15">
      <c r="A171" s="9" t="s">
        <v>306</v>
      </c>
      <c r="B171" s="83" t="s">
        <v>857</v>
      </c>
      <c r="C171" s="178"/>
      <c r="D171" s="178"/>
      <c r="E171" s="83" t="str">
        <f t="shared" si="2"/>
        <v>—</v>
      </c>
      <c r="F171" s="83" t="s">
        <v>847</v>
      </c>
      <c r="G171" s="180">
        <v>5500000</v>
      </c>
      <c r="H171" s="83" t="s">
        <v>83</v>
      </c>
      <c r="I171" s="180"/>
    </row>
    <row r="172" spans="1:9" ht="21.25" customHeight="1" x14ac:dyDescent="0.15">
      <c r="A172" s="9" t="s">
        <v>298</v>
      </c>
      <c r="B172" s="178">
        <v>164.8</v>
      </c>
      <c r="C172" s="178"/>
      <c r="D172" s="178"/>
      <c r="E172" s="178">
        <f t="shared" si="2"/>
        <v>164.8</v>
      </c>
      <c r="F172" s="83" t="s">
        <v>851</v>
      </c>
      <c r="G172" s="180">
        <v>6000000</v>
      </c>
      <c r="H172" s="83" t="s">
        <v>793</v>
      </c>
      <c r="I172" s="180"/>
    </row>
    <row r="173" spans="1:9" ht="21.25" customHeight="1" x14ac:dyDescent="0.15">
      <c r="A173" s="9" t="s">
        <v>301</v>
      </c>
      <c r="B173" s="178">
        <v>152</v>
      </c>
      <c r="C173" s="178"/>
      <c r="D173" s="178"/>
      <c r="E173" s="178">
        <f t="shared" si="2"/>
        <v>152</v>
      </c>
      <c r="F173" s="83" t="s">
        <v>831</v>
      </c>
      <c r="G173" s="180">
        <v>8000000</v>
      </c>
      <c r="H173" s="83" t="s">
        <v>793</v>
      </c>
      <c r="I173" s="180"/>
    </row>
    <row r="174" spans="1:9" ht="21.25" customHeight="1" x14ac:dyDescent="0.15">
      <c r="A174" s="9" t="s">
        <v>303</v>
      </c>
      <c r="B174" s="178">
        <v>137.69999999999999</v>
      </c>
      <c r="C174" s="178"/>
      <c r="D174" s="178"/>
      <c r="E174" s="178">
        <f t="shared" si="2"/>
        <v>137.69999999999999</v>
      </c>
      <c r="F174" s="83" t="s">
        <v>859</v>
      </c>
      <c r="G174" s="180">
        <v>975000</v>
      </c>
      <c r="H174" s="83" t="s">
        <v>793</v>
      </c>
      <c r="I174" s="180"/>
    </row>
    <row r="175" spans="1:9" ht="21.25" customHeight="1" x14ac:dyDescent="0.15">
      <c r="A175" s="9" t="s">
        <v>288</v>
      </c>
      <c r="B175" s="178">
        <v>137.69999999999999</v>
      </c>
      <c r="C175" s="178"/>
      <c r="D175" s="178"/>
      <c r="E175" s="178">
        <f t="shared" si="2"/>
        <v>137.69999999999999</v>
      </c>
      <c r="F175" s="83" t="s">
        <v>841</v>
      </c>
      <c r="G175" s="180">
        <v>9500000</v>
      </c>
      <c r="H175" s="83" t="s">
        <v>793</v>
      </c>
      <c r="I175" s="180"/>
    </row>
    <row r="176" spans="1:9" ht="21.25" customHeight="1" x14ac:dyDescent="0.15">
      <c r="A176" s="9" t="s">
        <v>302</v>
      </c>
      <c r="B176" s="178">
        <v>163</v>
      </c>
      <c r="C176" s="178"/>
      <c r="D176" s="178"/>
      <c r="E176" s="178">
        <f t="shared" si="2"/>
        <v>163</v>
      </c>
      <c r="F176" s="83" t="s">
        <v>854</v>
      </c>
      <c r="G176" s="180">
        <v>3150000</v>
      </c>
      <c r="H176" s="83" t="s">
        <v>85</v>
      </c>
      <c r="I176" s="180"/>
    </row>
    <row r="177" spans="1:9" ht="21.25" customHeight="1" x14ac:dyDescent="0.15">
      <c r="A177" s="9" t="s">
        <v>289</v>
      </c>
      <c r="B177" s="178">
        <v>138.9</v>
      </c>
      <c r="C177" s="178"/>
      <c r="D177" s="178"/>
      <c r="E177" s="178">
        <f t="shared" si="2"/>
        <v>138.9</v>
      </c>
      <c r="F177" s="83" t="s">
        <v>833</v>
      </c>
      <c r="G177" s="180">
        <v>4125000</v>
      </c>
      <c r="H177" s="83" t="s">
        <v>793</v>
      </c>
      <c r="I177" s="180"/>
    </row>
    <row r="178" spans="1:9" ht="21.25" customHeight="1" x14ac:dyDescent="0.15">
      <c r="A178" s="9" t="s">
        <v>304</v>
      </c>
      <c r="B178" s="178">
        <v>152.1</v>
      </c>
      <c r="C178" s="178"/>
      <c r="D178" s="178"/>
      <c r="E178" s="178">
        <f t="shared" si="2"/>
        <v>152.1</v>
      </c>
      <c r="F178" s="83" t="s">
        <v>850</v>
      </c>
      <c r="G178" s="180">
        <v>6250000</v>
      </c>
      <c r="H178" s="83" t="s">
        <v>793</v>
      </c>
      <c r="I178" s="180"/>
    </row>
    <row r="179" spans="1:9" ht="21.25" customHeight="1" x14ac:dyDescent="0.15">
      <c r="A179" s="9" t="s">
        <v>305</v>
      </c>
      <c r="B179" s="178">
        <v>180.7</v>
      </c>
      <c r="C179" s="178"/>
      <c r="D179" s="178"/>
      <c r="E179" s="178">
        <f t="shared" si="2"/>
        <v>180.7</v>
      </c>
      <c r="F179" s="83" t="s">
        <v>828</v>
      </c>
      <c r="G179" s="180">
        <v>6500000</v>
      </c>
      <c r="H179" s="83" t="s">
        <v>793</v>
      </c>
      <c r="I179" s="180"/>
    </row>
    <row r="180" spans="1:9" ht="21.25" customHeight="1" x14ac:dyDescent="0.15">
      <c r="A180" s="9" t="s">
        <v>294</v>
      </c>
      <c r="B180" s="178">
        <v>168.4</v>
      </c>
      <c r="C180" s="178"/>
      <c r="D180" s="178"/>
      <c r="E180" s="178">
        <f t="shared" si="2"/>
        <v>168.4</v>
      </c>
      <c r="F180" s="83" t="s">
        <v>837</v>
      </c>
      <c r="G180" s="180">
        <v>3000000</v>
      </c>
      <c r="H180" s="83" t="s">
        <v>793</v>
      </c>
      <c r="I180" s="180"/>
    </row>
    <row r="181" spans="1:9" ht="21.25" customHeight="1" x14ac:dyDescent="0.15">
      <c r="A181" s="9" t="s">
        <v>325</v>
      </c>
      <c r="B181" s="83" t="s">
        <v>857</v>
      </c>
      <c r="C181" s="178"/>
      <c r="D181" s="178"/>
      <c r="E181" s="83" t="str">
        <f t="shared" si="2"/>
        <v>—</v>
      </c>
      <c r="F181" s="83" t="s">
        <v>848</v>
      </c>
      <c r="G181" s="180">
        <v>6500000</v>
      </c>
      <c r="H181" s="83" t="s">
        <v>793</v>
      </c>
      <c r="I181" s="180"/>
    </row>
    <row r="182" spans="1:9" ht="21.25" customHeight="1" x14ac:dyDescent="0.15">
      <c r="A182" s="9" t="s">
        <v>327</v>
      </c>
      <c r="B182" s="178">
        <v>149.30000000000001</v>
      </c>
      <c r="C182" s="178"/>
      <c r="D182" s="178"/>
      <c r="E182" s="178">
        <f t="shared" si="2"/>
        <v>149.30000000000001</v>
      </c>
      <c r="F182" s="83" t="s">
        <v>824</v>
      </c>
      <c r="G182" s="180">
        <v>3000000</v>
      </c>
      <c r="H182" s="83" t="s">
        <v>793</v>
      </c>
      <c r="I182" s="180"/>
    </row>
    <row r="183" spans="1:9" ht="21.25" customHeight="1" x14ac:dyDescent="0.15">
      <c r="A183" s="9" t="s">
        <v>308</v>
      </c>
      <c r="B183" s="178">
        <v>174.7</v>
      </c>
      <c r="C183" s="178"/>
      <c r="D183" s="178"/>
      <c r="E183" s="178">
        <f t="shared" si="2"/>
        <v>174.7</v>
      </c>
      <c r="F183" s="83" t="s">
        <v>849</v>
      </c>
      <c r="G183" s="180">
        <v>5300000</v>
      </c>
      <c r="H183" s="83" t="s">
        <v>793</v>
      </c>
      <c r="I183" s="180"/>
    </row>
    <row r="184" spans="1:9" ht="21.25" customHeight="1" x14ac:dyDescent="0.15">
      <c r="A184" s="9" t="s">
        <v>296</v>
      </c>
      <c r="B184" s="178">
        <v>162.69999999999999</v>
      </c>
      <c r="C184" s="178"/>
      <c r="D184" s="178"/>
      <c r="E184" s="178">
        <f t="shared" si="2"/>
        <v>162.69999999999999</v>
      </c>
      <c r="F184" s="83" t="s">
        <v>850</v>
      </c>
      <c r="G184" s="180">
        <v>4200000</v>
      </c>
      <c r="H184" s="83" t="s">
        <v>793</v>
      </c>
      <c r="I184" s="180"/>
    </row>
    <row r="185" spans="1:9" ht="21.25" customHeight="1" x14ac:dyDescent="0.15">
      <c r="A185" s="9" t="s">
        <v>310</v>
      </c>
      <c r="B185" s="178">
        <v>107.3</v>
      </c>
      <c r="C185" s="178"/>
      <c r="D185" s="178"/>
      <c r="E185" s="178">
        <f t="shared" si="2"/>
        <v>107.3</v>
      </c>
      <c r="F185" s="83" t="s">
        <v>824</v>
      </c>
      <c r="G185" s="180">
        <v>6000000</v>
      </c>
      <c r="H185" s="83" t="s">
        <v>793</v>
      </c>
      <c r="I185" s="180"/>
    </row>
    <row r="186" spans="1:9" ht="21.25" customHeight="1" x14ac:dyDescent="0.15">
      <c r="A186" s="9" t="s">
        <v>332</v>
      </c>
      <c r="B186" s="178">
        <v>168.6</v>
      </c>
      <c r="C186" s="178"/>
      <c r="D186" s="178"/>
      <c r="E186" s="178">
        <f t="shared" si="2"/>
        <v>168.6</v>
      </c>
      <c r="F186" s="83" t="s">
        <v>825</v>
      </c>
      <c r="G186" s="180">
        <v>4500000</v>
      </c>
      <c r="H186" s="83" t="s">
        <v>83</v>
      </c>
      <c r="I186" s="180"/>
    </row>
    <row r="187" spans="1:9" ht="21.25" customHeight="1" x14ac:dyDescent="0.15">
      <c r="A187" s="9" t="s">
        <v>311</v>
      </c>
      <c r="B187" s="178">
        <v>157</v>
      </c>
      <c r="C187" s="178"/>
      <c r="D187" s="79"/>
      <c r="E187" s="178">
        <f t="shared" si="2"/>
        <v>157</v>
      </c>
      <c r="F187" s="83" t="s">
        <v>834</v>
      </c>
      <c r="G187" s="180">
        <v>8350000</v>
      </c>
      <c r="H187" s="83" t="s">
        <v>793</v>
      </c>
      <c r="I187" s="180"/>
    </row>
    <row r="188" spans="1:9" ht="21.25" customHeight="1" x14ac:dyDescent="0.15">
      <c r="A188" s="9" t="s">
        <v>312</v>
      </c>
      <c r="B188" s="83" t="s">
        <v>857</v>
      </c>
      <c r="C188" s="178"/>
      <c r="D188" s="178"/>
      <c r="E188" s="83" t="str">
        <f t="shared" si="2"/>
        <v>—</v>
      </c>
      <c r="F188" s="83" t="s">
        <v>855</v>
      </c>
      <c r="G188" s="180">
        <v>7142857</v>
      </c>
      <c r="H188" s="83" t="s">
        <v>793</v>
      </c>
      <c r="I188" s="180"/>
    </row>
    <row r="189" spans="1:9" ht="21.25" customHeight="1" x14ac:dyDescent="0.15">
      <c r="A189" s="9" t="s">
        <v>313</v>
      </c>
      <c r="B189" s="178">
        <v>168.6</v>
      </c>
      <c r="C189" s="178"/>
      <c r="D189" s="178"/>
      <c r="E189" s="178">
        <f t="shared" si="2"/>
        <v>168.6</v>
      </c>
      <c r="F189" s="83" t="s">
        <v>838</v>
      </c>
      <c r="G189" s="180">
        <v>5875000</v>
      </c>
      <c r="H189" s="83" t="s">
        <v>793</v>
      </c>
      <c r="I189" s="180"/>
    </row>
    <row r="190" spans="1:9" ht="21.25" customHeight="1" x14ac:dyDescent="0.15">
      <c r="A190" s="9" t="s">
        <v>315</v>
      </c>
      <c r="B190" s="178">
        <v>159.1</v>
      </c>
      <c r="C190" s="178"/>
      <c r="D190" s="178"/>
      <c r="E190" s="178">
        <f t="shared" si="2"/>
        <v>159.1</v>
      </c>
      <c r="F190" s="83" t="s">
        <v>849</v>
      </c>
      <c r="G190" s="180">
        <v>3200000</v>
      </c>
      <c r="H190" s="83" t="s">
        <v>793</v>
      </c>
      <c r="I190" s="180"/>
    </row>
    <row r="191" spans="1:9" ht="21.25" customHeight="1" x14ac:dyDescent="0.15">
      <c r="A191" s="9" t="s">
        <v>316</v>
      </c>
      <c r="B191" s="83" t="s">
        <v>857</v>
      </c>
      <c r="C191" s="178"/>
      <c r="D191" s="79"/>
      <c r="E191" s="83" t="str">
        <f t="shared" si="2"/>
        <v>—</v>
      </c>
      <c r="F191" s="83" t="s">
        <v>858</v>
      </c>
      <c r="G191" s="180">
        <v>5750000</v>
      </c>
      <c r="H191" s="83" t="s">
        <v>83</v>
      </c>
      <c r="I191" s="180"/>
    </row>
    <row r="192" spans="1:9" ht="21.25" customHeight="1" x14ac:dyDescent="0.15">
      <c r="A192" s="9" t="s">
        <v>318</v>
      </c>
      <c r="B192" s="178">
        <v>186</v>
      </c>
      <c r="C192" s="178"/>
      <c r="D192" s="178"/>
      <c r="E192" s="178">
        <f t="shared" si="2"/>
        <v>186</v>
      </c>
      <c r="F192" s="83" t="s">
        <v>841</v>
      </c>
      <c r="G192" s="180">
        <v>5900000</v>
      </c>
      <c r="H192" s="83" t="s">
        <v>793</v>
      </c>
      <c r="I192" s="180"/>
    </row>
    <row r="193" spans="1:9" ht="21.25" customHeight="1" x14ac:dyDescent="0.15">
      <c r="A193" s="9" t="s">
        <v>319</v>
      </c>
      <c r="B193" s="83" t="s">
        <v>857</v>
      </c>
      <c r="C193" s="178"/>
      <c r="D193" s="178"/>
      <c r="E193" s="83" t="str">
        <f t="shared" si="2"/>
        <v>—</v>
      </c>
      <c r="F193" s="83" t="s">
        <v>852</v>
      </c>
      <c r="G193" s="180">
        <v>950000</v>
      </c>
      <c r="H193" s="83" t="s">
        <v>793</v>
      </c>
      <c r="I193" s="180"/>
    </row>
    <row r="194" spans="1:9" ht="21.25" customHeight="1" x14ac:dyDescent="0.15">
      <c r="A194" s="9" t="s">
        <v>320</v>
      </c>
      <c r="B194" s="178">
        <v>184</v>
      </c>
      <c r="C194" s="178"/>
      <c r="D194" s="178"/>
      <c r="E194" s="178">
        <f t="shared" ref="E194:E257" si="3">IFERROR(AVERAGE(B194:D194),"—")</f>
        <v>184</v>
      </c>
      <c r="F194" s="83" t="s">
        <v>854</v>
      </c>
      <c r="G194" s="180">
        <v>863333</v>
      </c>
      <c r="H194" s="83" t="s">
        <v>793</v>
      </c>
      <c r="I194" s="180"/>
    </row>
    <row r="195" spans="1:9" ht="21.25" customHeight="1" x14ac:dyDescent="0.15">
      <c r="A195" s="9" t="s">
        <v>317</v>
      </c>
      <c r="B195" s="178">
        <v>131</v>
      </c>
      <c r="C195" s="178"/>
      <c r="D195" s="178"/>
      <c r="E195" s="178">
        <f t="shared" si="3"/>
        <v>131</v>
      </c>
      <c r="F195" s="83" t="s">
        <v>844</v>
      </c>
      <c r="G195" s="180">
        <v>1100000</v>
      </c>
      <c r="H195" s="83" t="s">
        <v>793</v>
      </c>
      <c r="I195" s="180"/>
    </row>
    <row r="196" spans="1:9" ht="21.25" customHeight="1" x14ac:dyDescent="0.15">
      <c r="A196" s="9" t="s">
        <v>321</v>
      </c>
      <c r="B196" s="83" t="s">
        <v>857</v>
      </c>
      <c r="C196" s="178"/>
      <c r="D196" s="178"/>
      <c r="E196" s="83" t="str">
        <f t="shared" si="3"/>
        <v>—</v>
      </c>
      <c r="F196" s="83" t="s">
        <v>852</v>
      </c>
      <c r="G196" s="180">
        <v>4725000</v>
      </c>
      <c r="H196" s="83" t="s">
        <v>793</v>
      </c>
      <c r="I196" s="180"/>
    </row>
    <row r="197" spans="1:9" ht="21.25" customHeight="1" x14ac:dyDescent="0.15">
      <c r="A197" s="9" t="s">
        <v>323</v>
      </c>
      <c r="B197" s="83" t="s">
        <v>857</v>
      </c>
      <c r="C197" s="178"/>
      <c r="D197" s="178"/>
      <c r="E197" s="83" t="str">
        <f t="shared" si="3"/>
        <v>—</v>
      </c>
      <c r="F197" s="83" t="s">
        <v>844</v>
      </c>
      <c r="G197" s="180">
        <v>5750000</v>
      </c>
      <c r="H197" s="83" t="s">
        <v>793</v>
      </c>
      <c r="I197" s="180"/>
    </row>
    <row r="198" spans="1:9" ht="21.25" customHeight="1" x14ac:dyDescent="0.15">
      <c r="A198" s="9" t="s">
        <v>326</v>
      </c>
      <c r="B198" s="83" t="s">
        <v>857</v>
      </c>
      <c r="C198" s="178"/>
      <c r="D198" s="178"/>
      <c r="E198" s="83" t="str">
        <f t="shared" si="3"/>
        <v>—</v>
      </c>
      <c r="F198" s="83" t="s">
        <v>831</v>
      </c>
      <c r="G198" s="180">
        <v>3872000</v>
      </c>
      <c r="H198" s="83" t="s">
        <v>793</v>
      </c>
      <c r="I198" s="180"/>
    </row>
    <row r="199" spans="1:9" ht="21.25" customHeight="1" x14ac:dyDescent="0.15">
      <c r="A199" s="9" t="s">
        <v>324</v>
      </c>
      <c r="B199" s="178">
        <v>174.3</v>
      </c>
      <c r="C199" s="178"/>
      <c r="D199" s="178"/>
      <c r="E199" s="178">
        <f t="shared" si="3"/>
        <v>174.3</v>
      </c>
      <c r="F199" s="83" t="s">
        <v>855</v>
      </c>
      <c r="G199" s="180">
        <v>1200000</v>
      </c>
      <c r="H199" s="83" t="s">
        <v>793</v>
      </c>
      <c r="I199" s="180"/>
    </row>
    <row r="200" spans="1:9" ht="21.25" customHeight="1" x14ac:dyDescent="0.15">
      <c r="A200" s="9" t="s">
        <v>307</v>
      </c>
      <c r="B200" s="178">
        <v>110.1</v>
      </c>
      <c r="C200" s="178"/>
      <c r="D200" s="178"/>
      <c r="E200" s="178">
        <f t="shared" si="3"/>
        <v>110.1</v>
      </c>
      <c r="F200" s="83" t="s">
        <v>845</v>
      </c>
      <c r="G200" s="180">
        <v>5500000</v>
      </c>
      <c r="H200" s="83" t="s">
        <v>793</v>
      </c>
      <c r="I200" s="180"/>
    </row>
    <row r="201" spans="1:9" ht="21.25" customHeight="1" x14ac:dyDescent="0.15">
      <c r="A201" s="9" t="s">
        <v>309</v>
      </c>
      <c r="B201" s="178">
        <v>170.8</v>
      </c>
      <c r="C201" s="178"/>
      <c r="D201" s="178"/>
      <c r="E201" s="178">
        <f t="shared" si="3"/>
        <v>170.8</v>
      </c>
      <c r="F201" s="83" t="s">
        <v>848</v>
      </c>
      <c r="G201" s="180">
        <v>835833</v>
      </c>
      <c r="H201" s="83" t="s">
        <v>793</v>
      </c>
      <c r="I201" s="180"/>
    </row>
    <row r="202" spans="1:9" ht="21.25" customHeight="1" x14ac:dyDescent="0.15">
      <c r="A202" s="9" t="s">
        <v>349</v>
      </c>
      <c r="B202" s="83" t="s">
        <v>857</v>
      </c>
      <c r="C202" s="178"/>
      <c r="D202" s="178"/>
      <c r="E202" s="83" t="str">
        <f t="shared" si="3"/>
        <v>—</v>
      </c>
      <c r="F202" s="83" t="s">
        <v>851</v>
      </c>
      <c r="G202" s="180">
        <v>3425000</v>
      </c>
      <c r="H202" s="83" t="s">
        <v>793</v>
      </c>
      <c r="I202" s="180"/>
    </row>
    <row r="203" spans="1:9" ht="21.25" customHeight="1" x14ac:dyDescent="0.15">
      <c r="A203" s="9" t="s">
        <v>333</v>
      </c>
      <c r="B203" s="83" t="s">
        <v>857</v>
      </c>
      <c r="C203" s="178"/>
      <c r="D203" s="178"/>
      <c r="E203" s="83" t="str">
        <f t="shared" si="3"/>
        <v>—</v>
      </c>
      <c r="F203" s="83" t="s">
        <v>859</v>
      </c>
      <c r="G203" s="180">
        <v>863333</v>
      </c>
      <c r="H203" s="83" t="s">
        <v>793</v>
      </c>
      <c r="I203" s="180"/>
    </row>
    <row r="204" spans="1:9" ht="21.25" customHeight="1" x14ac:dyDescent="0.15">
      <c r="A204" s="9" t="s">
        <v>334</v>
      </c>
      <c r="B204" s="178">
        <v>185.3</v>
      </c>
      <c r="C204" s="178"/>
      <c r="D204" s="79"/>
      <c r="E204" s="178">
        <f t="shared" si="3"/>
        <v>185.3</v>
      </c>
      <c r="F204" s="83" t="s">
        <v>858</v>
      </c>
      <c r="G204" s="180">
        <v>918333</v>
      </c>
      <c r="H204" s="83" t="s">
        <v>793</v>
      </c>
      <c r="I204" s="180"/>
    </row>
    <row r="205" spans="1:9" ht="21.25" customHeight="1" x14ac:dyDescent="0.15">
      <c r="A205" s="9" t="s">
        <v>335</v>
      </c>
      <c r="B205" s="83" t="s">
        <v>857</v>
      </c>
      <c r="C205" s="178"/>
      <c r="D205" s="178"/>
      <c r="E205" s="83" t="str">
        <f t="shared" si="3"/>
        <v>—</v>
      </c>
      <c r="F205" s="83" t="s">
        <v>828</v>
      </c>
      <c r="G205" s="180">
        <v>4750000</v>
      </c>
      <c r="H205" s="83" t="s">
        <v>85</v>
      </c>
      <c r="I205" s="180"/>
    </row>
    <row r="206" spans="1:9" ht="21.25" customHeight="1" x14ac:dyDescent="0.15">
      <c r="A206" s="9" t="s">
        <v>339</v>
      </c>
      <c r="B206" s="83" t="s">
        <v>857</v>
      </c>
      <c r="C206" s="178"/>
      <c r="D206" s="178"/>
      <c r="E206" s="83" t="str">
        <f t="shared" si="3"/>
        <v>—</v>
      </c>
      <c r="F206" s="83" t="s">
        <v>856</v>
      </c>
      <c r="G206" s="180">
        <v>1600000</v>
      </c>
      <c r="H206" s="83" t="s">
        <v>793</v>
      </c>
      <c r="I206" s="180"/>
    </row>
    <row r="207" spans="1:9" ht="21.25" customHeight="1" x14ac:dyDescent="0.15">
      <c r="A207" s="9" t="s">
        <v>340</v>
      </c>
      <c r="B207" s="83" t="s">
        <v>857</v>
      </c>
      <c r="C207" s="178"/>
      <c r="D207" s="178"/>
      <c r="E207" s="83" t="str">
        <f t="shared" si="3"/>
        <v>—</v>
      </c>
      <c r="F207" s="83" t="s">
        <v>837</v>
      </c>
      <c r="G207" s="180">
        <v>5800000</v>
      </c>
      <c r="H207" s="83" t="s">
        <v>793</v>
      </c>
      <c r="I207" s="180"/>
    </row>
    <row r="208" spans="1:9" ht="21.25" customHeight="1" x14ac:dyDescent="0.15">
      <c r="A208" s="9" t="s">
        <v>314</v>
      </c>
      <c r="B208" s="178">
        <v>185</v>
      </c>
      <c r="C208" s="178"/>
      <c r="D208" s="178"/>
      <c r="E208" s="178">
        <f t="shared" si="3"/>
        <v>185</v>
      </c>
      <c r="F208" s="83" t="s">
        <v>837</v>
      </c>
      <c r="G208" s="180">
        <v>9850000</v>
      </c>
      <c r="H208" s="83" t="s">
        <v>793</v>
      </c>
      <c r="I208" s="180"/>
    </row>
    <row r="209" spans="1:9" ht="21.25" customHeight="1" x14ac:dyDescent="0.15">
      <c r="A209" s="9" t="s">
        <v>341</v>
      </c>
      <c r="B209" s="83" t="s">
        <v>857</v>
      </c>
      <c r="C209" s="178"/>
      <c r="D209" s="79"/>
      <c r="E209" s="83" t="str">
        <f t="shared" si="3"/>
        <v>—</v>
      </c>
      <c r="F209" s="83" t="s">
        <v>833</v>
      </c>
      <c r="G209" s="180">
        <v>6000000</v>
      </c>
      <c r="H209" s="83" t="s">
        <v>793</v>
      </c>
      <c r="I209" s="180"/>
    </row>
    <row r="210" spans="1:9" ht="21.25" customHeight="1" x14ac:dyDescent="0.15">
      <c r="A210" s="9" t="s">
        <v>343</v>
      </c>
      <c r="B210" s="83" t="s">
        <v>857</v>
      </c>
      <c r="C210" s="178"/>
      <c r="D210" s="178"/>
      <c r="E210" s="83" t="str">
        <f t="shared" si="3"/>
        <v>—</v>
      </c>
      <c r="F210" s="83" t="s">
        <v>833</v>
      </c>
      <c r="G210" s="180">
        <v>7575000</v>
      </c>
      <c r="H210" s="83" t="s">
        <v>793</v>
      </c>
      <c r="I210" s="180"/>
    </row>
    <row r="211" spans="1:9" ht="21.25" customHeight="1" x14ac:dyDescent="0.15">
      <c r="A211" s="9" t="s">
        <v>322</v>
      </c>
      <c r="B211" s="83" t="s">
        <v>857</v>
      </c>
      <c r="C211" s="178"/>
      <c r="D211" s="178"/>
      <c r="E211" s="83" t="str">
        <f t="shared" si="3"/>
        <v>—</v>
      </c>
      <c r="F211" s="83" t="s">
        <v>835</v>
      </c>
      <c r="G211" s="180">
        <v>4950000</v>
      </c>
      <c r="H211" s="83" t="s">
        <v>793</v>
      </c>
      <c r="I211" s="180"/>
    </row>
    <row r="212" spans="1:9" ht="21.25" customHeight="1" x14ac:dyDescent="0.15">
      <c r="A212" s="9" t="s">
        <v>370</v>
      </c>
      <c r="B212" s="83" t="s">
        <v>857</v>
      </c>
      <c r="C212" s="178"/>
      <c r="D212" s="178"/>
      <c r="E212" s="83" t="str">
        <f t="shared" si="3"/>
        <v>—</v>
      </c>
      <c r="F212" s="83" t="s">
        <v>826</v>
      </c>
      <c r="G212" s="180">
        <v>925000</v>
      </c>
      <c r="H212" s="83" t="s">
        <v>793</v>
      </c>
      <c r="I212" s="180"/>
    </row>
    <row r="213" spans="1:9" ht="21.25" customHeight="1" x14ac:dyDescent="0.15">
      <c r="A213" s="9" t="s">
        <v>344</v>
      </c>
      <c r="B213" s="83" t="s">
        <v>857</v>
      </c>
      <c r="C213" s="178"/>
      <c r="D213" s="178"/>
      <c r="E213" s="83" t="str">
        <f t="shared" si="3"/>
        <v>—</v>
      </c>
      <c r="F213" s="83" t="s">
        <v>858</v>
      </c>
      <c r="G213" s="180">
        <v>6500000</v>
      </c>
      <c r="H213" s="83" t="s">
        <v>793</v>
      </c>
      <c r="I213" s="180"/>
    </row>
    <row r="214" spans="1:9" ht="21.25" customHeight="1" x14ac:dyDescent="0.15">
      <c r="A214" s="9" t="s">
        <v>346</v>
      </c>
      <c r="B214" s="83" t="s">
        <v>857</v>
      </c>
      <c r="C214" s="178"/>
      <c r="D214" s="79"/>
      <c r="E214" s="83" t="str">
        <f t="shared" si="3"/>
        <v>—</v>
      </c>
      <c r="F214" s="83" t="s">
        <v>858</v>
      </c>
      <c r="G214" s="180">
        <v>950000</v>
      </c>
      <c r="H214" s="83" t="s">
        <v>793</v>
      </c>
      <c r="I214" s="180"/>
    </row>
    <row r="215" spans="1:9" ht="21.25" customHeight="1" x14ac:dyDescent="0.15">
      <c r="A215" s="9" t="s">
        <v>348</v>
      </c>
      <c r="B215" s="178"/>
      <c r="C215" s="178"/>
      <c r="D215" s="178"/>
      <c r="E215" s="83" t="str">
        <f t="shared" si="3"/>
        <v>—</v>
      </c>
      <c r="F215" s="83" t="s">
        <v>854</v>
      </c>
      <c r="G215" s="180">
        <v>950000</v>
      </c>
      <c r="H215" s="79"/>
      <c r="I215" s="180"/>
    </row>
    <row r="216" spans="1:9" ht="21.25" customHeight="1" x14ac:dyDescent="0.15">
      <c r="A216" s="9" t="s">
        <v>345</v>
      </c>
      <c r="B216" s="178">
        <v>86.6</v>
      </c>
      <c r="C216" s="178"/>
      <c r="D216" s="178"/>
      <c r="E216" s="178">
        <f t="shared" si="3"/>
        <v>86.6</v>
      </c>
      <c r="F216" s="83" t="s">
        <v>834</v>
      </c>
      <c r="G216" s="180">
        <v>4750000</v>
      </c>
      <c r="H216" s="83" t="s">
        <v>85</v>
      </c>
      <c r="I216" s="180"/>
    </row>
    <row r="217" spans="1:9" ht="21.25" customHeight="1" x14ac:dyDescent="0.15">
      <c r="A217" s="9" t="s">
        <v>328</v>
      </c>
      <c r="B217" s="83" t="s">
        <v>857</v>
      </c>
      <c r="C217" s="178"/>
      <c r="D217" s="79"/>
      <c r="E217" s="83" t="str">
        <f t="shared" si="3"/>
        <v>—</v>
      </c>
      <c r="F217" s="83" t="s">
        <v>836</v>
      </c>
      <c r="G217" s="180">
        <v>5000000</v>
      </c>
      <c r="H217" s="83" t="s">
        <v>793</v>
      </c>
      <c r="I217" s="180"/>
    </row>
    <row r="218" spans="1:9" ht="21.25" customHeight="1" x14ac:dyDescent="0.15">
      <c r="A218" s="9" t="s">
        <v>329</v>
      </c>
      <c r="B218" s="178">
        <v>171.2</v>
      </c>
      <c r="C218" s="178"/>
      <c r="D218" s="178"/>
      <c r="E218" s="178">
        <f t="shared" si="3"/>
        <v>171.2</v>
      </c>
      <c r="F218" s="83" t="s">
        <v>838</v>
      </c>
      <c r="G218" s="180">
        <v>3437500</v>
      </c>
      <c r="H218" s="83" t="s">
        <v>793</v>
      </c>
      <c r="I218" s="180"/>
    </row>
    <row r="219" spans="1:9" ht="21.25" customHeight="1" x14ac:dyDescent="0.15">
      <c r="A219" s="9" t="s">
        <v>330</v>
      </c>
      <c r="B219" s="178">
        <v>164.4</v>
      </c>
      <c r="C219" s="178"/>
      <c r="D219" s="178"/>
      <c r="E219" s="178">
        <f t="shared" si="3"/>
        <v>164.4</v>
      </c>
      <c r="F219" s="83" t="s">
        <v>856</v>
      </c>
      <c r="G219" s="180">
        <v>950000</v>
      </c>
      <c r="H219" s="83" t="s">
        <v>793</v>
      </c>
      <c r="I219" s="180"/>
    </row>
    <row r="220" spans="1:9" ht="21.25" customHeight="1" x14ac:dyDescent="0.15">
      <c r="A220" s="9" t="s">
        <v>347</v>
      </c>
      <c r="B220" s="178">
        <v>76</v>
      </c>
      <c r="C220" s="178"/>
      <c r="D220" s="178"/>
      <c r="E220" s="178">
        <f t="shared" si="3"/>
        <v>76</v>
      </c>
      <c r="F220" s="83" t="s">
        <v>849</v>
      </c>
      <c r="G220" s="180">
        <v>3400000</v>
      </c>
      <c r="H220" s="83" t="s">
        <v>793</v>
      </c>
      <c r="I220" s="180"/>
    </row>
    <row r="221" spans="1:9" ht="21.25" customHeight="1" x14ac:dyDescent="0.15">
      <c r="A221" s="9" t="s">
        <v>377</v>
      </c>
      <c r="B221" s="83" t="s">
        <v>857</v>
      </c>
      <c r="C221" s="178"/>
      <c r="D221" s="178"/>
      <c r="E221" s="83" t="str">
        <f t="shared" si="3"/>
        <v>—</v>
      </c>
      <c r="F221" s="83" t="s">
        <v>825</v>
      </c>
      <c r="G221" s="180">
        <v>2500000</v>
      </c>
      <c r="H221" s="83" t="s">
        <v>83</v>
      </c>
      <c r="I221" s="180"/>
    </row>
    <row r="222" spans="1:9" ht="21.25" customHeight="1" x14ac:dyDescent="0.15">
      <c r="A222" s="9" t="s">
        <v>331</v>
      </c>
      <c r="B222" s="178">
        <v>181.5</v>
      </c>
      <c r="C222" s="178"/>
      <c r="D222" s="178"/>
      <c r="E222" s="178">
        <f t="shared" si="3"/>
        <v>181.5</v>
      </c>
      <c r="F222" s="83" t="s">
        <v>844</v>
      </c>
      <c r="G222" s="180">
        <v>6500000</v>
      </c>
      <c r="H222" s="83" t="s">
        <v>793</v>
      </c>
      <c r="I222" s="180"/>
    </row>
    <row r="223" spans="1:9" ht="21.25" customHeight="1" x14ac:dyDescent="0.15">
      <c r="A223" s="9" t="s">
        <v>351</v>
      </c>
      <c r="B223" s="83" t="s">
        <v>857</v>
      </c>
      <c r="C223" s="178"/>
      <c r="D223" s="178"/>
      <c r="E223" s="83" t="str">
        <f t="shared" si="3"/>
        <v>—</v>
      </c>
      <c r="F223" s="83" t="s">
        <v>839</v>
      </c>
      <c r="G223" s="180">
        <v>4025000</v>
      </c>
      <c r="H223" s="83" t="s">
        <v>793</v>
      </c>
      <c r="I223" s="180"/>
    </row>
    <row r="224" spans="1:9" ht="21.25" customHeight="1" x14ac:dyDescent="0.15">
      <c r="A224" s="9" t="s">
        <v>352</v>
      </c>
      <c r="B224" s="83" t="s">
        <v>857</v>
      </c>
      <c r="C224" s="178"/>
      <c r="D224" s="178"/>
      <c r="E224" s="83" t="str">
        <f t="shared" si="3"/>
        <v>—</v>
      </c>
      <c r="F224" s="83" t="s">
        <v>836</v>
      </c>
      <c r="G224" s="180">
        <v>6150000</v>
      </c>
      <c r="H224" s="83" t="s">
        <v>793</v>
      </c>
      <c r="I224" s="180"/>
    </row>
    <row r="225" spans="1:9" ht="21.25" customHeight="1" x14ac:dyDescent="0.15">
      <c r="A225" s="9" t="s">
        <v>378</v>
      </c>
      <c r="B225" s="178">
        <v>146.80000000000001</v>
      </c>
      <c r="C225" s="178"/>
      <c r="D225" s="79"/>
      <c r="E225" s="178">
        <f t="shared" si="3"/>
        <v>146.80000000000001</v>
      </c>
      <c r="F225" s="83" t="s">
        <v>824</v>
      </c>
      <c r="G225" s="180">
        <v>4000000</v>
      </c>
      <c r="H225" s="83" t="s">
        <v>793</v>
      </c>
      <c r="I225" s="180"/>
    </row>
    <row r="226" spans="1:9" ht="21.25" customHeight="1" x14ac:dyDescent="0.15">
      <c r="A226" s="9" t="s">
        <v>354</v>
      </c>
      <c r="B226" s="83" t="s">
        <v>857</v>
      </c>
      <c r="C226" s="178"/>
      <c r="D226" s="178"/>
      <c r="E226" s="83" t="str">
        <f t="shared" si="3"/>
        <v>—</v>
      </c>
      <c r="F226" s="83" t="s">
        <v>832</v>
      </c>
      <c r="G226" s="180">
        <v>4400000</v>
      </c>
      <c r="H226" s="83" t="s">
        <v>793</v>
      </c>
      <c r="I226" s="180"/>
    </row>
    <row r="227" spans="1:9" ht="21.25" customHeight="1" x14ac:dyDescent="0.15">
      <c r="A227" s="9" t="s">
        <v>336</v>
      </c>
      <c r="B227" s="178">
        <v>148</v>
      </c>
      <c r="C227" s="178"/>
      <c r="D227" s="79"/>
      <c r="E227" s="178">
        <f t="shared" si="3"/>
        <v>148</v>
      </c>
      <c r="F227" s="83" t="s">
        <v>845</v>
      </c>
      <c r="G227" s="180">
        <v>4900000</v>
      </c>
      <c r="H227" s="83" t="s">
        <v>793</v>
      </c>
      <c r="I227" s="180"/>
    </row>
    <row r="228" spans="1:9" ht="21.25" customHeight="1" x14ac:dyDescent="0.15">
      <c r="A228" s="9" t="s">
        <v>337</v>
      </c>
      <c r="B228" s="178">
        <v>168</v>
      </c>
      <c r="C228" s="178"/>
      <c r="D228" s="178"/>
      <c r="E228" s="178">
        <f t="shared" si="3"/>
        <v>168</v>
      </c>
      <c r="F228" s="83" t="s">
        <v>855</v>
      </c>
      <c r="G228" s="180">
        <v>5400000</v>
      </c>
      <c r="H228" s="83" t="s">
        <v>793</v>
      </c>
      <c r="I228" s="180"/>
    </row>
    <row r="229" spans="1:9" ht="21.25" customHeight="1" x14ac:dyDescent="0.15">
      <c r="A229" s="9" t="s">
        <v>338</v>
      </c>
      <c r="B229" s="83" t="s">
        <v>857</v>
      </c>
      <c r="C229" s="178"/>
      <c r="D229" s="178"/>
      <c r="E229" s="83" t="str">
        <f t="shared" si="3"/>
        <v>—</v>
      </c>
      <c r="F229" s="83" t="s">
        <v>855</v>
      </c>
      <c r="G229" s="180">
        <v>4750000</v>
      </c>
      <c r="H229" s="83" t="s">
        <v>793</v>
      </c>
      <c r="I229" s="180"/>
    </row>
    <row r="230" spans="1:9" ht="21.25" customHeight="1" x14ac:dyDescent="0.15">
      <c r="A230" s="9" t="s">
        <v>356</v>
      </c>
      <c r="B230" s="83" t="s">
        <v>857</v>
      </c>
      <c r="C230" s="178"/>
      <c r="D230" s="178"/>
      <c r="E230" s="83" t="str">
        <f t="shared" si="3"/>
        <v>—</v>
      </c>
      <c r="F230" s="83" t="s">
        <v>852</v>
      </c>
      <c r="G230" s="180">
        <v>6250000</v>
      </c>
      <c r="H230" s="83" t="s">
        <v>793</v>
      </c>
      <c r="I230" s="180"/>
    </row>
    <row r="231" spans="1:9" ht="21.25" customHeight="1" x14ac:dyDescent="0.15">
      <c r="A231" s="9" t="s">
        <v>350</v>
      </c>
      <c r="B231" s="178"/>
      <c r="C231" s="178"/>
      <c r="D231" s="178"/>
      <c r="E231" s="83" t="str">
        <f t="shared" si="3"/>
        <v>—</v>
      </c>
      <c r="F231" s="83" t="s">
        <v>861</v>
      </c>
      <c r="G231" s="180">
        <v>925000</v>
      </c>
      <c r="H231" s="79"/>
      <c r="I231" s="180"/>
    </row>
    <row r="232" spans="1:9" ht="21.25" customHeight="1" x14ac:dyDescent="0.15">
      <c r="A232" s="9" t="s">
        <v>357</v>
      </c>
      <c r="B232" s="83" t="s">
        <v>857</v>
      </c>
      <c r="C232" s="178"/>
      <c r="D232" s="178"/>
      <c r="E232" s="83" t="str">
        <f t="shared" si="3"/>
        <v>—</v>
      </c>
      <c r="F232" s="83" t="s">
        <v>850</v>
      </c>
      <c r="G232" s="180">
        <v>863000</v>
      </c>
      <c r="H232" s="83" t="s">
        <v>793</v>
      </c>
      <c r="I232" s="180"/>
    </row>
    <row r="233" spans="1:9" ht="21.25" customHeight="1" x14ac:dyDescent="0.15">
      <c r="A233" s="9" t="s">
        <v>358</v>
      </c>
      <c r="B233" s="178">
        <v>176.3</v>
      </c>
      <c r="C233" s="178"/>
      <c r="D233" s="178"/>
      <c r="E233" s="178">
        <f t="shared" si="3"/>
        <v>176.3</v>
      </c>
      <c r="F233" s="83" t="s">
        <v>829</v>
      </c>
      <c r="G233" s="83" t="s">
        <v>843</v>
      </c>
      <c r="H233" s="83" t="s">
        <v>83</v>
      </c>
      <c r="I233" s="180"/>
    </row>
    <row r="234" spans="1:9" ht="21.25" customHeight="1" x14ac:dyDescent="0.15">
      <c r="A234" s="9" t="s">
        <v>353</v>
      </c>
      <c r="B234" s="178">
        <v>184</v>
      </c>
      <c r="C234" s="178"/>
      <c r="D234" s="79"/>
      <c r="E234" s="178">
        <f t="shared" si="3"/>
        <v>184</v>
      </c>
      <c r="F234" s="83" t="s">
        <v>852</v>
      </c>
      <c r="G234" s="180">
        <v>5400000</v>
      </c>
      <c r="H234" s="83" t="s">
        <v>793</v>
      </c>
      <c r="I234" s="180"/>
    </row>
    <row r="235" spans="1:9" ht="21.25" customHeight="1" x14ac:dyDescent="0.15">
      <c r="A235" s="9" t="s">
        <v>383</v>
      </c>
      <c r="B235" s="83" t="s">
        <v>857</v>
      </c>
      <c r="C235" s="178"/>
      <c r="D235" s="178"/>
      <c r="E235" s="83" t="str">
        <f t="shared" si="3"/>
        <v>—</v>
      </c>
      <c r="F235" s="83" t="s">
        <v>836</v>
      </c>
      <c r="G235" s="180">
        <v>3500000</v>
      </c>
      <c r="H235" s="83" t="s">
        <v>793</v>
      </c>
      <c r="I235" s="180"/>
    </row>
    <row r="236" spans="1:9" ht="21.25" customHeight="1" x14ac:dyDescent="0.15">
      <c r="A236" s="9" t="s">
        <v>365</v>
      </c>
      <c r="B236" s="178">
        <v>153</v>
      </c>
      <c r="C236" s="178"/>
      <c r="D236" s="178"/>
      <c r="E236" s="178">
        <f t="shared" si="3"/>
        <v>153</v>
      </c>
      <c r="F236" s="83" t="s">
        <v>850</v>
      </c>
      <c r="G236" s="180">
        <v>5500000</v>
      </c>
      <c r="H236" s="83" t="s">
        <v>793</v>
      </c>
      <c r="I236" s="180"/>
    </row>
    <row r="237" spans="1:9" ht="21.25" customHeight="1" x14ac:dyDescent="0.15">
      <c r="A237" s="9" t="s">
        <v>359</v>
      </c>
      <c r="B237" s="178">
        <v>171.7</v>
      </c>
      <c r="C237" s="178"/>
      <c r="D237" s="178"/>
      <c r="E237" s="178">
        <f t="shared" si="3"/>
        <v>171.7</v>
      </c>
      <c r="F237" s="83" t="s">
        <v>842</v>
      </c>
      <c r="G237" s="180">
        <v>2500000</v>
      </c>
      <c r="H237" s="83" t="s">
        <v>85</v>
      </c>
      <c r="I237" s="180"/>
    </row>
    <row r="238" spans="1:9" ht="21.25" customHeight="1" x14ac:dyDescent="0.15">
      <c r="A238" s="9" t="s">
        <v>390</v>
      </c>
      <c r="B238" s="178">
        <v>169</v>
      </c>
      <c r="C238" s="178"/>
      <c r="D238" s="178"/>
      <c r="E238" s="178">
        <f t="shared" si="3"/>
        <v>169</v>
      </c>
      <c r="F238" s="83" t="s">
        <v>830</v>
      </c>
      <c r="G238" s="180">
        <v>3185000</v>
      </c>
      <c r="H238" s="83" t="s">
        <v>793</v>
      </c>
      <c r="I238" s="180"/>
    </row>
    <row r="239" spans="1:9" ht="21.25" customHeight="1" x14ac:dyDescent="0.15">
      <c r="A239" s="9" t="s">
        <v>367</v>
      </c>
      <c r="B239" s="83" t="s">
        <v>857</v>
      </c>
      <c r="C239" s="178"/>
      <c r="D239" s="178"/>
      <c r="E239" s="83" t="str">
        <f t="shared" si="3"/>
        <v>—</v>
      </c>
      <c r="F239" s="83" t="s">
        <v>859</v>
      </c>
      <c r="G239" s="180">
        <v>8000000</v>
      </c>
      <c r="H239" s="83" t="s">
        <v>793</v>
      </c>
      <c r="I239" s="180"/>
    </row>
    <row r="240" spans="1:9" ht="21.25" customHeight="1" x14ac:dyDescent="0.15">
      <c r="A240" s="9" t="s">
        <v>368</v>
      </c>
      <c r="B240" s="83" t="s">
        <v>857</v>
      </c>
      <c r="C240" s="178"/>
      <c r="D240" s="178"/>
      <c r="E240" s="83" t="str">
        <f t="shared" si="3"/>
        <v>—</v>
      </c>
      <c r="F240" s="83" t="s">
        <v>840</v>
      </c>
      <c r="G240" s="180">
        <v>3750000</v>
      </c>
      <c r="H240" s="83" t="s">
        <v>793</v>
      </c>
      <c r="I240" s="180"/>
    </row>
    <row r="241" spans="1:9" ht="21.25" customHeight="1" x14ac:dyDescent="0.15">
      <c r="A241" s="9" t="s">
        <v>369</v>
      </c>
      <c r="B241" s="83" t="s">
        <v>857</v>
      </c>
      <c r="C241" s="178"/>
      <c r="D241" s="178"/>
      <c r="E241" s="83" t="str">
        <f t="shared" si="3"/>
        <v>—</v>
      </c>
      <c r="F241" s="83" t="s">
        <v>858</v>
      </c>
      <c r="G241" s="180">
        <v>844000</v>
      </c>
      <c r="H241" s="83" t="s">
        <v>793</v>
      </c>
      <c r="I241" s="180"/>
    </row>
    <row r="242" spans="1:9" ht="21.25" customHeight="1" x14ac:dyDescent="0.15">
      <c r="A242" s="9" t="s">
        <v>363</v>
      </c>
      <c r="B242" s="178">
        <v>83.1</v>
      </c>
      <c r="C242" s="178"/>
      <c r="D242" s="178"/>
      <c r="E242" s="178">
        <f t="shared" si="3"/>
        <v>83.1</v>
      </c>
      <c r="F242" s="83" t="s">
        <v>849</v>
      </c>
      <c r="G242" s="180">
        <v>2000000</v>
      </c>
      <c r="H242" s="83" t="s">
        <v>793</v>
      </c>
      <c r="I242" s="180"/>
    </row>
    <row r="243" spans="1:9" ht="21.25" customHeight="1" x14ac:dyDescent="0.15">
      <c r="A243" s="9" t="s">
        <v>342</v>
      </c>
      <c r="B243" s="178">
        <v>175.3</v>
      </c>
      <c r="C243" s="178"/>
      <c r="D243" s="79"/>
      <c r="E243" s="178">
        <f t="shared" si="3"/>
        <v>175.3</v>
      </c>
      <c r="F243" s="83" t="s">
        <v>842</v>
      </c>
      <c r="G243" s="180">
        <v>4750000</v>
      </c>
      <c r="H243" s="83" t="s">
        <v>793</v>
      </c>
      <c r="I243" s="180"/>
    </row>
    <row r="244" spans="1:9" ht="21.25" customHeight="1" x14ac:dyDescent="0.15">
      <c r="A244" s="9" t="s">
        <v>393</v>
      </c>
      <c r="B244" s="178">
        <v>162.80000000000001</v>
      </c>
      <c r="C244" s="178"/>
      <c r="D244" s="178"/>
      <c r="E244" s="178">
        <f t="shared" si="3"/>
        <v>162.80000000000001</v>
      </c>
      <c r="F244" s="83" t="s">
        <v>845</v>
      </c>
      <c r="G244" s="180">
        <v>4500000</v>
      </c>
      <c r="H244" s="83" t="s">
        <v>793</v>
      </c>
      <c r="I244" s="180"/>
    </row>
    <row r="245" spans="1:9" ht="21.25" customHeight="1" x14ac:dyDescent="0.15">
      <c r="A245" s="9" t="s">
        <v>372</v>
      </c>
      <c r="B245" s="83" t="s">
        <v>857</v>
      </c>
      <c r="C245" s="178"/>
      <c r="D245" s="79"/>
      <c r="E245" s="83" t="str">
        <f t="shared" si="3"/>
        <v>—</v>
      </c>
      <c r="F245" s="83" t="s">
        <v>855</v>
      </c>
      <c r="G245" s="180">
        <v>4000000</v>
      </c>
      <c r="H245" s="83" t="s">
        <v>793</v>
      </c>
      <c r="I245" s="180"/>
    </row>
    <row r="246" spans="1:9" ht="21.25" customHeight="1" x14ac:dyDescent="0.15">
      <c r="A246" s="9" t="s">
        <v>373</v>
      </c>
      <c r="B246" s="178">
        <v>158</v>
      </c>
      <c r="C246" s="178"/>
      <c r="D246" s="79"/>
      <c r="E246" s="178">
        <f t="shared" si="3"/>
        <v>158</v>
      </c>
      <c r="F246" s="83" t="s">
        <v>849</v>
      </c>
      <c r="G246" s="180">
        <v>7750000</v>
      </c>
      <c r="H246" s="83" t="s">
        <v>793</v>
      </c>
      <c r="I246" s="180"/>
    </row>
    <row r="247" spans="1:9" ht="21.25" customHeight="1" x14ac:dyDescent="0.15">
      <c r="A247" s="9" t="s">
        <v>374</v>
      </c>
      <c r="B247" s="83" t="s">
        <v>857</v>
      </c>
      <c r="C247" s="178"/>
      <c r="D247" s="79"/>
      <c r="E247" s="83" t="str">
        <f t="shared" si="3"/>
        <v>—</v>
      </c>
      <c r="F247" s="83" t="s">
        <v>859</v>
      </c>
      <c r="G247" s="180">
        <v>3250000</v>
      </c>
      <c r="H247" s="83" t="s">
        <v>793</v>
      </c>
      <c r="I247" s="180"/>
    </row>
    <row r="248" spans="1:9" ht="21.25" customHeight="1" x14ac:dyDescent="0.15">
      <c r="A248" s="9" t="s">
        <v>375</v>
      </c>
      <c r="B248" s="83" t="s">
        <v>857</v>
      </c>
      <c r="C248" s="178"/>
      <c r="D248" s="79"/>
      <c r="E248" s="83" t="str">
        <f t="shared" si="3"/>
        <v>—</v>
      </c>
      <c r="F248" s="83" t="s">
        <v>826</v>
      </c>
      <c r="G248" s="180">
        <v>4500000</v>
      </c>
      <c r="H248" s="83" t="s">
        <v>793</v>
      </c>
      <c r="I248" s="180"/>
    </row>
    <row r="249" spans="1:9" ht="21.25" customHeight="1" x14ac:dyDescent="0.15">
      <c r="A249" s="9" t="s">
        <v>397</v>
      </c>
      <c r="B249" s="178">
        <v>164</v>
      </c>
      <c r="C249" s="178"/>
      <c r="D249" s="79"/>
      <c r="E249" s="178">
        <f t="shared" si="3"/>
        <v>164</v>
      </c>
      <c r="F249" s="83" t="s">
        <v>837</v>
      </c>
      <c r="G249" s="180">
        <v>4500000</v>
      </c>
      <c r="H249" s="83" t="s">
        <v>793</v>
      </c>
      <c r="I249" s="180"/>
    </row>
    <row r="250" spans="1:9" ht="21.25" customHeight="1" x14ac:dyDescent="0.15">
      <c r="A250" s="9" t="s">
        <v>398</v>
      </c>
      <c r="B250" s="83" t="s">
        <v>857</v>
      </c>
      <c r="C250" s="178"/>
      <c r="D250" s="178"/>
      <c r="E250" s="83" t="str">
        <f t="shared" si="3"/>
        <v>—</v>
      </c>
      <c r="F250" s="83" t="s">
        <v>847</v>
      </c>
      <c r="G250" s="180">
        <v>6000000</v>
      </c>
      <c r="H250" s="83" t="s">
        <v>793</v>
      </c>
      <c r="I250" s="180"/>
    </row>
    <row r="251" spans="1:9" ht="21.25" customHeight="1" x14ac:dyDescent="0.15">
      <c r="A251" s="9" t="s">
        <v>402</v>
      </c>
      <c r="B251" s="83" t="s">
        <v>857</v>
      </c>
      <c r="C251" s="178"/>
      <c r="D251" s="178"/>
      <c r="E251" s="83" t="str">
        <f t="shared" si="3"/>
        <v>—</v>
      </c>
      <c r="F251" s="83" t="s">
        <v>844</v>
      </c>
      <c r="G251" s="180">
        <v>5800000</v>
      </c>
      <c r="H251" s="83" t="s">
        <v>793</v>
      </c>
      <c r="I251" s="180"/>
    </row>
    <row r="252" spans="1:9" ht="21.25" customHeight="1" x14ac:dyDescent="0.15">
      <c r="A252" s="9" t="s">
        <v>380</v>
      </c>
      <c r="B252" s="83" t="s">
        <v>857</v>
      </c>
      <c r="C252" s="178"/>
      <c r="D252" s="178"/>
      <c r="E252" s="83" t="str">
        <f t="shared" si="3"/>
        <v>—</v>
      </c>
      <c r="F252" s="83" t="s">
        <v>842</v>
      </c>
      <c r="G252" s="180">
        <v>2000000</v>
      </c>
      <c r="H252" s="83" t="s">
        <v>793</v>
      </c>
      <c r="I252" s="180"/>
    </row>
    <row r="253" spans="1:9" ht="21.25" customHeight="1" x14ac:dyDescent="0.15">
      <c r="A253" s="9" t="s">
        <v>376</v>
      </c>
      <c r="B253" s="178">
        <v>175.5</v>
      </c>
      <c r="C253" s="178"/>
      <c r="D253" s="79"/>
      <c r="E253" s="178">
        <f t="shared" si="3"/>
        <v>175.5</v>
      </c>
      <c r="F253" s="83" t="s">
        <v>856</v>
      </c>
      <c r="G253" s="180">
        <v>1450000</v>
      </c>
      <c r="H253" s="83" t="s">
        <v>793</v>
      </c>
      <c r="I253" s="180"/>
    </row>
    <row r="254" spans="1:9" ht="21.25" customHeight="1" x14ac:dyDescent="0.15">
      <c r="A254" s="9" t="s">
        <v>406</v>
      </c>
      <c r="B254" s="83" t="s">
        <v>857</v>
      </c>
      <c r="C254" s="178"/>
      <c r="D254" s="79"/>
      <c r="E254" s="83" t="str">
        <f t="shared" si="3"/>
        <v>—</v>
      </c>
      <c r="F254" s="83" t="s">
        <v>838</v>
      </c>
      <c r="G254" s="83" t="s">
        <v>843</v>
      </c>
      <c r="H254" s="83" t="s">
        <v>793</v>
      </c>
      <c r="I254" s="180"/>
    </row>
    <row r="255" spans="1:9" ht="21.25" customHeight="1" x14ac:dyDescent="0.15">
      <c r="A255" s="9" t="s">
        <v>408</v>
      </c>
      <c r="B255" s="178">
        <v>167</v>
      </c>
      <c r="C255" s="178"/>
      <c r="D255" s="178"/>
      <c r="E255" s="178">
        <f t="shared" si="3"/>
        <v>167</v>
      </c>
      <c r="F255" s="83" t="s">
        <v>858</v>
      </c>
      <c r="G255" s="180">
        <v>6242000</v>
      </c>
      <c r="H255" s="83" t="s">
        <v>793</v>
      </c>
      <c r="I255" s="180"/>
    </row>
    <row r="256" spans="1:9" ht="21.25" customHeight="1" x14ac:dyDescent="0.15">
      <c r="A256" s="9" t="s">
        <v>381</v>
      </c>
      <c r="B256" s="83" t="s">
        <v>857</v>
      </c>
      <c r="C256" s="178"/>
      <c r="D256" s="178"/>
      <c r="E256" s="83" t="str">
        <f t="shared" si="3"/>
        <v>—</v>
      </c>
      <c r="F256" s="83" t="s">
        <v>828</v>
      </c>
      <c r="G256" s="180">
        <v>5250000</v>
      </c>
      <c r="H256" s="83" t="s">
        <v>793</v>
      </c>
      <c r="I256" s="180"/>
    </row>
    <row r="257" spans="1:9" ht="21.25" customHeight="1" x14ac:dyDescent="0.15">
      <c r="A257" s="9" t="s">
        <v>382</v>
      </c>
      <c r="B257" s="83" t="s">
        <v>857</v>
      </c>
      <c r="C257" s="178"/>
      <c r="D257" s="79"/>
      <c r="E257" s="83" t="str">
        <f t="shared" si="3"/>
        <v>—</v>
      </c>
      <c r="F257" s="83" t="s">
        <v>829</v>
      </c>
      <c r="G257" s="180">
        <v>5500000</v>
      </c>
      <c r="H257" s="83" t="s">
        <v>793</v>
      </c>
      <c r="I257" s="180"/>
    </row>
    <row r="258" spans="1:9" ht="21.25" customHeight="1" x14ac:dyDescent="0.15">
      <c r="A258" s="9" t="s">
        <v>355</v>
      </c>
      <c r="B258" s="83" t="s">
        <v>857</v>
      </c>
      <c r="C258" s="178"/>
      <c r="D258" s="178"/>
      <c r="E258" s="83" t="str">
        <f t="shared" ref="E258:E321" si="4">IFERROR(AVERAGE(B258:D258),"—")</f>
        <v>—</v>
      </c>
      <c r="F258" s="83" t="s">
        <v>833</v>
      </c>
      <c r="G258" s="180">
        <v>4000000</v>
      </c>
      <c r="H258" s="83" t="s">
        <v>793</v>
      </c>
      <c r="I258" s="180"/>
    </row>
    <row r="259" spans="1:9" ht="21.25" customHeight="1" x14ac:dyDescent="0.15">
      <c r="A259" s="9" t="s">
        <v>419</v>
      </c>
      <c r="B259" s="83" t="s">
        <v>857</v>
      </c>
      <c r="C259" s="178"/>
      <c r="D259" s="79"/>
      <c r="E259" s="83" t="str">
        <f t="shared" si="4"/>
        <v>—</v>
      </c>
      <c r="F259" s="83" t="s">
        <v>841</v>
      </c>
      <c r="G259" s="180">
        <v>5000000</v>
      </c>
      <c r="H259" s="83" t="s">
        <v>793</v>
      </c>
      <c r="I259" s="180"/>
    </row>
    <row r="260" spans="1:9" ht="21.25" customHeight="1" x14ac:dyDescent="0.15">
      <c r="A260" s="9" t="s">
        <v>385</v>
      </c>
      <c r="B260" s="83" t="s">
        <v>857</v>
      </c>
      <c r="C260" s="178"/>
      <c r="D260" s="178"/>
      <c r="E260" s="83" t="str">
        <f t="shared" si="4"/>
        <v>—</v>
      </c>
      <c r="F260" s="83" t="s">
        <v>827</v>
      </c>
      <c r="G260" s="180">
        <v>6250000</v>
      </c>
      <c r="H260" s="83" t="s">
        <v>793</v>
      </c>
      <c r="I260" s="180"/>
    </row>
    <row r="261" spans="1:9" ht="21.25" customHeight="1" x14ac:dyDescent="0.15">
      <c r="A261" s="9" t="s">
        <v>386</v>
      </c>
      <c r="B261" s="178">
        <v>142</v>
      </c>
      <c r="C261" s="178"/>
      <c r="D261" s="79"/>
      <c r="E261" s="178">
        <f t="shared" si="4"/>
        <v>142</v>
      </c>
      <c r="F261" s="83" t="s">
        <v>849</v>
      </c>
      <c r="G261" s="180">
        <v>3600000</v>
      </c>
      <c r="H261" s="83" t="s">
        <v>83</v>
      </c>
      <c r="I261" s="180"/>
    </row>
    <row r="262" spans="1:9" ht="21.25" customHeight="1" x14ac:dyDescent="0.15">
      <c r="A262" s="9" t="s">
        <v>360</v>
      </c>
      <c r="B262" s="178">
        <v>190</v>
      </c>
      <c r="C262" s="178"/>
      <c r="D262" s="178"/>
      <c r="E262" s="178">
        <f t="shared" si="4"/>
        <v>190</v>
      </c>
      <c r="F262" s="83" t="s">
        <v>834</v>
      </c>
      <c r="G262" s="180">
        <v>863333</v>
      </c>
      <c r="H262" s="83" t="s">
        <v>793</v>
      </c>
      <c r="I262" s="180"/>
    </row>
    <row r="263" spans="1:9" ht="21.25" customHeight="1" x14ac:dyDescent="0.15">
      <c r="A263" s="9" t="s">
        <v>388</v>
      </c>
      <c r="B263" s="83" t="s">
        <v>857</v>
      </c>
      <c r="C263" s="178"/>
      <c r="D263" s="79"/>
      <c r="E263" s="83" t="str">
        <f t="shared" si="4"/>
        <v>—</v>
      </c>
      <c r="F263" s="83" t="s">
        <v>836</v>
      </c>
      <c r="G263" s="180">
        <v>2500000</v>
      </c>
      <c r="H263" s="83" t="s">
        <v>793</v>
      </c>
      <c r="I263" s="180"/>
    </row>
    <row r="264" spans="1:9" ht="21.25" customHeight="1" x14ac:dyDescent="0.15">
      <c r="A264" s="9" t="s">
        <v>389</v>
      </c>
      <c r="B264" s="178">
        <v>189</v>
      </c>
      <c r="C264" s="178"/>
      <c r="D264" s="79"/>
      <c r="E264" s="178">
        <f t="shared" si="4"/>
        <v>189</v>
      </c>
      <c r="F264" s="83" t="s">
        <v>838</v>
      </c>
      <c r="G264" s="180">
        <v>4900000</v>
      </c>
      <c r="H264" s="83" t="s">
        <v>793</v>
      </c>
      <c r="I264" s="180"/>
    </row>
    <row r="265" spans="1:9" ht="21.25" customHeight="1" x14ac:dyDescent="0.15">
      <c r="A265" s="9" t="s">
        <v>391</v>
      </c>
      <c r="B265" s="83" t="s">
        <v>857</v>
      </c>
      <c r="C265" s="178"/>
      <c r="D265" s="178"/>
      <c r="E265" s="83" t="str">
        <f t="shared" si="4"/>
        <v>—</v>
      </c>
      <c r="F265" s="83" t="s">
        <v>827</v>
      </c>
      <c r="G265" s="180">
        <v>6750000</v>
      </c>
      <c r="H265" s="83" t="s">
        <v>793</v>
      </c>
      <c r="I265" s="180"/>
    </row>
    <row r="266" spans="1:9" ht="21.25" customHeight="1" x14ac:dyDescent="0.15">
      <c r="A266" s="9" t="s">
        <v>361</v>
      </c>
      <c r="B266" s="83" t="s">
        <v>857</v>
      </c>
      <c r="C266" s="178"/>
      <c r="D266" s="79"/>
      <c r="E266" s="83" t="str">
        <f t="shared" si="4"/>
        <v>—</v>
      </c>
      <c r="F266" s="83" t="s">
        <v>832</v>
      </c>
      <c r="G266" s="180">
        <v>5000000</v>
      </c>
      <c r="H266" s="83" t="s">
        <v>793</v>
      </c>
      <c r="I266" s="180"/>
    </row>
    <row r="267" spans="1:9" ht="21.25" customHeight="1" x14ac:dyDescent="0.15">
      <c r="A267" s="9" t="s">
        <v>362</v>
      </c>
      <c r="B267" s="83" t="s">
        <v>857</v>
      </c>
      <c r="C267" s="178"/>
      <c r="D267" s="79"/>
      <c r="E267" s="83" t="str">
        <f t="shared" si="4"/>
        <v>—</v>
      </c>
      <c r="F267" s="83" t="s">
        <v>852</v>
      </c>
      <c r="G267" s="180">
        <v>3850000</v>
      </c>
      <c r="H267" s="83" t="s">
        <v>793</v>
      </c>
      <c r="I267" s="180"/>
    </row>
    <row r="268" spans="1:9" ht="21.25" customHeight="1" x14ac:dyDescent="0.15">
      <c r="A268" s="9" t="s">
        <v>364</v>
      </c>
      <c r="B268" s="83" t="s">
        <v>857</v>
      </c>
      <c r="C268" s="178"/>
      <c r="D268" s="178"/>
      <c r="E268" s="83" t="str">
        <f t="shared" si="4"/>
        <v>—</v>
      </c>
      <c r="F268" s="83" t="s">
        <v>839</v>
      </c>
      <c r="G268" s="180">
        <v>5000000</v>
      </c>
      <c r="H268" s="83" t="s">
        <v>793</v>
      </c>
      <c r="I268" s="180"/>
    </row>
    <row r="269" spans="1:9" ht="21.25" customHeight="1" x14ac:dyDescent="0.15">
      <c r="A269" s="9" t="s">
        <v>366</v>
      </c>
      <c r="B269" s="83" t="s">
        <v>857</v>
      </c>
      <c r="C269" s="178"/>
      <c r="D269" s="79"/>
      <c r="E269" s="83" t="str">
        <f t="shared" si="4"/>
        <v>—</v>
      </c>
      <c r="F269" s="83" t="s">
        <v>859</v>
      </c>
      <c r="G269" s="180">
        <v>5000000</v>
      </c>
      <c r="H269" s="83" t="s">
        <v>793</v>
      </c>
      <c r="I269" s="180"/>
    </row>
    <row r="270" spans="1:9" ht="21.25" customHeight="1" x14ac:dyDescent="0.15">
      <c r="A270" s="9" t="s">
        <v>392</v>
      </c>
      <c r="B270" s="178">
        <v>176</v>
      </c>
      <c r="C270" s="178"/>
      <c r="D270" s="178"/>
      <c r="E270" s="178">
        <f t="shared" si="4"/>
        <v>176</v>
      </c>
      <c r="F270" s="83" t="s">
        <v>826</v>
      </c>
      <c r="G270" s="180">
        <v>2000000</v>
      </c>
      <c r="H270" s="83" t="s">
        <v>793</v>
      </c>
      <c r="I270" s="180"/>
    </row>
    <row r="271" spans="1:9" ht="21.25" customHeight="1" x14ac:dyDescent="0.15">
      <c r="A271" s="9" t="s">
        <v>394</v>
      </c>
      <c r="B271" s="83" t="s">
        <v>857</v>
      </c>
      <c r="C271" s="178"/>
      <c r="D271" s="178"/>
      <c r="E271" s="83" t="str">
        <f t="shared" si="4"/>
        <v>—</v>
      </c>
      <c r="F271" s="83" t="s">
        <v>852</v>
      </c>
      <c r="G271" s="180">
        <v>5500000</v>
      </c>
      <c r="H271" s="83" t="s">
        <v>793</v>
      </c>
      <c r="I271" s="180"/>
    </row>
    <row r="272" spans="1:9" ht="21.25" customHeight="1" x14ac:dyDescent="0.15">
      <c r="A272" s="9" t="s">
        <v>395</v>
      </c>
      <c r="B272" s="83" t="s">
        <v>857</v>
      </c>
      <c r="C272" s="178"/>
      <c r="D272" s="178"/>
      <c r="E272" s="83" t="str">
        <f t="shared" si="4"/>
        <v>—</v>
      </c>
      <c r="F272" s="83" t="s">
        <v>825</v>
      </c>
      <c r="G272" s="180">
        <v>5750000</v>
      </c>
      <c r="H272" s="83" t="s">
        <v>793</v>
      </c>
      <c r="I272" s="180"/>
    </row>
    <row r="273" spans="1:9" ht="21.25" customHeight="1" x14ac:dyDescent="0.15">
      <c r="A273" s="9" t="s">
        <v>371</v>
      </c>
      <c r="B273" s="83" t="s">
        <v>857</v>
      </c>
      <c r="C273" s="178"/>
      <c r="D273" s="178"/>
      <c r="E273" s="83" t="str">
        <f t="shared" si="4"/>
        <v>—</v>
      </c>
      <c r="F273" s="83" t="s">
        <v>856</v>
      </c>
      <c r="G273" s="180">
        <v>863333</v>
      </c>
      <c r="H273" s="83" t="s">
        <v>793</v>
      </c>
      <c r="I273" s="180"/>
    </row>
    <row r="274" spans="1:9" ht="21.25" customHeight="1" x14ac:dyDescent="0.15">
      <c r="A274" s="9" t="s">
        <v>396</v>
      </c>
      <c r="B274" s="83" t="s">
        <v>857</v>
      </c>
      <c r="C274" s="178"/>
      <c r="D274" s="178"/>
      <c r="E274" s="83" t="str">
        <f t="shared" si="4"/>
        <v>—</v>
      </c>
      <c r="F274" s="83" t="s">
        <v>856</v>
      </c>
      <c r="G274" s="180">
        <v>2700000</v>
      </c>
      <c r="H274" s="83" t="s">
        <v>793</v>
      </c>
      <c r="I274" s="180"/>
    </row>
    <row r="275" spans="1:9" ht="21.25" customHeight="1" x14ac:dyDescent="0.15">
      <c r="A275" s="9" t="s">
        <v>399</v>
      </c>
      <c r="B275" s="83" t="s">
        <v>857</v>
      </c>
      <c r="C275" s="178"/>
      <c r="D275" s="178"/>
      <c r="E275" s="83" t="str">
        <f t="shared" si="4"/>
        <v>—</v>
      </c>
      <c r="F275" s="83" t="s">
        <v>848</v>
      </c>
      <c r="G275" s="180">
        <v>6500000</v>
      </c>
      <c r="H275" s="83" t="s">
        <v>793</v>
      </c>
      <c r="I275" s="180"/>
    </row>
    <row r="276" spans="1:9" ht="21.25" customHeight="1" x14ac:dyDescent="0.15">
      <c r="A276" s="9" t="s">
        <v>401</v>
      </c>
      <c r="B276" s="83" t="s">
        <v>857</v>
      </c>
      <c r="C276" s="178"/>
      <c r="D276" s="178"/>
      <c r="E276" s="83" t="str">
        <f t="shared" si="4"/>
        <v>—</v>
      </c>
      <c r="F276" s="83" t="s">
        <v>841</v>
      </c>
      <c r="G276" s="180">
        <v>2850000</v>
      </c>
      <c r="H276" s="83" t="s">
        <v>793</v>
      </c>
      <c r="I276" s="180"/>
    </row>
    <row r="277" spans="1:9" ht="21.25" customHeight="1" x14ac:dyDescent="0.15">
      <c r="A277" s="9" t="s">
        <v>403</v>
      </c>
      <c r="B277" s="178">
        <v>168</v>
      </c>
      <c r="C277" s="178"/>
      <c r="D277" s="79"/>
      <c r="E277" s="178">
        <f t="shared" si="4"/>
        <v>168</v>
      </c>
      <c r="F277" s="83" t="s">
        <v>831</v>
      </c>
      <c r="G277" s="180">
        <v>2200000</v>
      </c>
      <c r="H277" s="83" t="s">
        <v>793</v>
      </c>
      <c r="I277" s="180"/>
    </row>
    <row r="278" spans="1:9" ht="21.25" customHeight="1" x14ac:dyDescent="0.15">
      <c r="A278" s="9" t="s">
        <v>405</v>
      </c>
      <c r="B278" s="83" t="s">
        <v>857</v>
      </c>
      <c r="C278" s="178"/>
      <c r="D278" s="178"/>
      <c r="E278" s="83" t="str">
        <f t="shared" si="4"/>
        <v>—</v>
      </c>
      <c r="F278" s="83" t="s">
        <v>856</v>
      </c>
      <c r="G278" s="180">
        <v>2100000</v>
      </c>
      <c r="H278" s="83" t="s">
        <v>793</v>
      </c>
      <c r="I278" s="180"/>
    </row>
    <row r="279" spans="1:9" ht="21.25" customHeight="1" x14ac:dyDescent="0.15">
      <c r="A279" s="9" t="s">
        <v>409</v>
      </c>
      <c r="B279" s="83" t="s">
        <v>857</v>
      </c>
      <c r="C279" s="178"/>
      <c r="D279" s="178"/>
      <c r="E279" s="83" t="str">
        <f t="shared" si="4"/>
        <v>—</v>
      </c>
      <c r="F279" s="83" t="s">
        <v>826</v>
      </c>
      <c r="G279" s="180">
        <v>3000000</v>
      </c>
      <c r="H279" s="83" t="s">
        <v>793</v>
      </c>
      <c r="I279" s="180"/>
    </row>
    <row r="280" spans="1:9" ht="21.25" customHeight="1" x14ac:dyDescent="0.15">
      <c r="A280" s="9" t="s">
        <v>379</v>
      </c>
      <c r="B280" s="83" t="s">
        <v>857</v>
      </c>
      <c r="C280" s="178"/>
      <c r="D280" s="79"/>
      <c r="E280" s="83" t="str">
        <f t="shared" si="4"/>
        <v>—</v>
      </c>
      <c r="F280" s="83" t="s">
        <v>856</v>
      </c>
      <c r="G280" s="180">
        <v>5000000</v>
      </c>
      <c r="H280" s="83" t="s">
        <v>793</v>
      </c>
      <c r="I280" s="180"/>
    </row>
    <row r="281" spans="1:9" ht="21.25" customHeight="1" x14ac:dyDescent="0.15">
      <c r="A281" s="9" t="s">
        <v>410</v>
      </c>
      <c r="B281" s="178">
        <v>147.4</v>
      </c>
      <c r="C281" s="178"/>
      <c r="D281" s="79"/>
      <c r="E281" s="178">
        <f t="shared" si="4"/>
        <v>147.4</v>
      </c>
      <c r="F281" s="83" t="s">
        <v>834</v>
      </c>
      <c r="G281" s="180">
        <v>3850000</v>
      </c>
      <c r="H281" s="83" t="s">
        <v>793</v>
      </c>
      <c r="I281" s="180"/>
    </row>
    <row r="282" spans="1:9" ht="21.25" customHeight="1" x14ac:dyDescent="0.15">
      <c r="A282" s="9" t="s">
        <v>404</v>
      </c>
      <c r="B282" s="178">
        <v>161</v>
      </c>
      <c r="C282" s="178"/>
      <c r="D282" s="178"/>
      <c r="E282" s="178">
        <f t="shared" si="4"/>
        <v>161</v>
      </c>
      <c r="F282" s="83" t="s">
        <v>845</v>
      </c>
      <c r="G282" s="180">
        <v>850000</v>
      </c>
      <c r="H282" s="83" t="s">
        <v>793</v>
      </c>
      <c r="I282" s="180"/>
    </row>
    <row r="283" spans="1:9" ht="21.25" customHeight="1" x14ac:dyDescent="0.15">
      <c r="A283" s="9" t="s">
        <v>412</v>
      </c>
      <c r="B283" s="83" t="s">
        <v>857</v>
      </c>
      <c r="C283" s="178"/>
      <c r="D283" s="178"/>
      <c r="E283" s="83" t="str">
        <f t="shared" si="4"/>
        <v>—</v>
      </c>
      <c r="F283" s="83" t="s">
        <v>830</v>
      </c>
      <c r="G283" s="180">
        <v>3750000</v>
      </c>
      <c r="H283" s="83" t="s">
        <v>793</v>
      </c>
      <c r="I283" s="180"/>
    </row>
    <row r="284" spans="1:9" ht="21.25" customHeight="1" x14ac:dyDescent="0.15">
      <c r="A284" s="9" t="s">
        <v>413</v>
      </c>
      <c r="B284" s="83" t="s">
        <v>857</v>
      </c>
      <c r="C284" s="178"/>
      <c r="D284" s="79"/>
      <c r="E284" s="83" t="str">
        <f t="shared" si="4"/>
        <v>—</v>
      </c>
      <c r="F284" s="83" t="s">
        <v>850</v>
      </c>
      <c r="G284" s="180">
        <v>5875000</v>
      </c>
      <c r="H284" s="83" t="s">
        <v>793</v>
      </c>
      <c r="I284" s="180"/>
    </row>
    <row r="285" spans="1:9" ht="21.25" customHeight="1" x14ac:dyDescent="0.15">
      <c r="A285" s="9" t="s">
        <v>416</v>
      </c>
      <c r="B285" s="178">
        <v>172</v>
      </c>
      <c r="C285" s="178"/>
      <c r="D285" s="79"/>
      <c r="E285" s="178">
        <f t="shared" si="4"/>
        <v>172</v>
      </c>
      <c r="F285" s="83" t="s">
        <v>828</v>
      </c>
      <c r="G285" s="180">
        <v>5000000</v>
      </c>
      <c r="H285" s="83" t="s">
        <v>793</v>
      </c>
      <c r="I285" s="180"/>
    </row>
    <row r="286" spans="1:9" ht="21.25" customHeight="1" x14ac:dyDescent="0.15">
      <c r="A286" s="9" t="s">
        <v>442</v>
      </c>
      <c r="B286" s="178">
        <v>187</v>
      </c>
      <c r="C286" s="178"/>
      <c r="D286" s="178"/>
      <c r="E286" s="178">
        <f t="shared" si="4"/>
        <v>187</v>
      </c>
      <c r="F286" s="83" t="s">
        <v>832</v>
      </c>
      <c r="G286" s="180">
        <v>3000000</v>
      </c>
      <c r="H286" s="83" t="s">
        <v>793</v>
      </c>
      <c r="I286" s="180"/>
    </row>
    <row r="287" spans="1:9" ht="21.25" customHeight="1" x14ac:dyDescent="0.15">
      <c r="A287" s="9" t="s">
        <v>384</v>
      </c>
      <c r="B287" s="83" t="s">
        <v>857</v>
      </c>
      <c r="C287" s="178"/>
      <c r="D287" s="178"/>
      <c r="E287" s="83" t="str">
        <f t="shared" si="4"/>
        <v>—</v>
      </c>
      <c r="F287" s="83" t="s">
        <v>855</v>
      </c>
      <c r="G287" s="180">
        <v>3475000</v>
      </c>
      <c r="H287" s="83" t="s">
        <v>793</v>
      </c>
      <c r="I287" s="180"/>
    </row>
    <row r="288" spans="1:9" ht="21.25" customHeight="1" x14ac:dyDescent="0.15">
      <c r="A288" s="9" t="s">
        <v>420</v>
      </c>
      <c r="B288" s="83" t="s">
        <v>857</v>
      </c>
      <c r="C288" s="178"/>
      <c r="D288" s="79"/>
      <c r="E288" s="83" t="str">
        <f t="shared" si="4"/>
        <v>—</v>
      </c>
      <c r="F288" s="83" t="s">
        <v>839</v>
      </c>
      <c r="G288" s="180">
        <v>4500000</v>
      </c>
      <c r="H288" s="83" t="s">
        <v>793</v>
      </c>
      <c r="I288" s="180"/>
    </row>
    <row r="289" spans="1:9" ht="21.25" customHeight="1" x14ac:dyDescent="0.15">
      <c r="A289" s="9" t="s">
        <v>421</v>
      </c>
      <c r="B289" s="83" t="s">
        <v>857</v>
      </c>
      <c r="C289" s="178"/>
      <c r="D289" s="79"/>
      <c r="E289" s="83" t="str">
        <f t="shared" si="4"/>
        <v>—</v>
      </c>
      <c r="F289" s="83" t="s">
        <v>856</v>
      </c>
      <c r="G289" s="180">
        <v>2300000</v>
      </c>
      <c r="H289" s="83" t="s">
        <v>83</v>
      </c>
      <c r="I289" s="180"/>
    </row>
    <row r="290" spans="1:9" ht="21.25" customHeight="1" x14ac:dyDescent="0.15">
      <c r="A290" s="9" t="s">
        <v>418</v>
      </c>
      <c r="B290" s="178">
        <v>138.30000000000001</v>
      </c>
      <c r="C290" s="178"/>
      <c r="D290" s="79"/>
      <c r="E290" s="178">
        <f t="shared" si="4"/>
        <v>138.30000000000001</v>
      </c>
      <c r="F290" s="83" t="s">
        <v>826</v>
      </c>
      <c r="G290" s="180">
        <v>2500000</v>
      </c>
      <c r="H290" s="83" t="s">
        <v>793</v>
      </c>
      <c r="I290" s="180"/>
    </row>
    <row r="291" spans="1:9" ht="21.25" customHeight="1" x14ac:dyDescent="0.15">
      <c r="A291" s="9" t="s">
        <v>414</v>
      </c>
      <c r="B291" s="178">
        <v>191</v>
      </c>
      <c r="C291" s="178"/>
      <c r="D291" s="178"/>
      <c r="E291" s="178">
        <f t="shared" si="4"/>
        <v>191</v>
      </c>
      <c r="F291" s="83" t="s">
        <v>858</v>
      </c>
      <c r="G291" s="180">
        <v>6400000</v>
      </c>
      <c r="H291" s="83" t="s">
        <v>793</v>
      </c>
      <c r="I291" s="180"/>
    </row>
    <row r="292" spans="1:9" ht="21.25" customHeight="1" x14ac:dyDescent="0.15">
      <c r="A292" s="9" t="s">
        <v>422</v>
      </c>
      <c r="B292" s="83" t="s">
        <v>857</v>
      </c>
      <c r="C292" s="178"/>
      <c r="D292" s="79"/>
      <c r="E292" s="83" t="str">
        <f t="shared" si="4"/>
        <v>—</v>
      </c>
      <c r="F292" s="83" t="s">
        <v>832</v>
      </c>
      <c r="G292" s="180">
        <v>775000</v>
      </c>
      <c r="H292" s="83" t="s">
        <v>793</v>
      </c>
      <c r="I292" s="180"/>
    </row>
    <row r="293" spans="1:9" ht="21.25" customHeight="1" x14ac:dyDescent="0.15">
      <c r="A293" s="9" t="s">
        <v>423</v>
      </c>
      <c r="B293" s="83" t="s">
        <v>857</v>
      </c>
      <c r="C293" s="178"/>
      <c r="D293" s="178"/>
      <c r="E293" s="83" t="str">
        <f t="shared" si="4"/>
        <v>—</v>
      </c>
      <c r="F293" s="83" t="s">
        <v>836</v>
      </c>
      <c r="G293" s="180">
        <v>5750000</v>
      </c>
      <c r="H293" s="83" t="s">
        <v>793</v>
      </c>
      <c r="I293" s="180"/>
    </row>
    <row r="294" spans="1:9" ht="21.25" customHeight="1" x14ac:dyDescent="0.15">
      <c r="A294" s="9" t="s">
        <v>387</v>
      </c>
      <c r="B294" s="83" t="s">
        <v>857</v>
      </c>
      <c r="C294" s="178"/>
      <c r="D294" s="79"/>
      <c r="E294" s="83" t="str">
        <f t="shared" si="4"/>
        <v>—</v>
      </c>
      <c r="F294" s="83" t="s">
        <v>828</v>
      </c>
      <c r="G294" s="180">
        <v>2000000</v>
      </c>
      <c r="H294" s="83" t="s">
        <v>793</v>
      </c>
      <c r="I294" s="180"/>
    </row>
    <row r="295" spans="1:9" ht="21.25" customHeight="1" x14ac:dyDescent="0.15">
      <c r="A295" s="9" t="s">
        <v>424</v>
      </c>
      <c r="B295" s="83" t="s">
        <v>857</v>
      </c>
      <c r="C295" s="178"/>
      <c r="D295" s="178"/>
      <c r="E295" s="83" t="str">
        <f t="shared" si="4"/>
        <v>—</v>
      </c>
      <c r="F295" s="83" t="s">
        <v>848</v>
      </c>
      <c r="G295" s="180">
        <v>4580917</v>
      </c>
      <c r="H295" s="83" t="s">
        <v>793</v>
      </c>
      <c r="I295" s="180"/>
    </row>
    <row r="296" spans="1:9" ht="21.25" customHeight="1" x14ac:dyDescent="0.15">
      <c r="A296" s="9" t="s">
        <v>425</v>
      </c>
      <c r="B296" s="83" t="s">
        <v>857</v>
      </c>
      <c r="C296" s="178"/>
      <c r="D296" s="178"/>
      <c r="E296" s="83" t="str">
        <f t="shared" si="4"/>
        <v>—</v>
      </c>
      <c r="F296" s="83" t="s">
        <v>842</v>
      </c>
      <c r="G296" s="180">
        <v>4750000</v>
      </c>
      <c r="H296" s="83" t="s">
        <v>793</v>
      </c>
      <c r="I296" s="180"/>
    </row>
    <row r="297" spans="1:9" ht="21.25" customHeight="1" x14ac:dyDescent="0.15">
      <c r="A297" s="9" t="s">
        <v>426</v>
      </c>
      <c r="B297" s="83" t="s">
        <v>857</v>
      </c>
      <c r="C297" s="178"/>
      <c r="D297" s="178"/>
      <c r="E297" s="83" t="str">
        <f t="shared" si="4"/>
        <v>—</v>
      </c>
      <c r="F297" s="83" t="s">
        <v>825</v>
      </c>
      <c r="G297" s="180">
        <v>5000000</v>
      </c>
      <c r="H297" s="83" t="s">
        <v>793</v>
      </c>
      <c r="I297" s="180"/>
    </row>
    <row r="298" spans="1:9" ht="21.25" customHeight="1" x14ac:dyDescent="0.15">
      <c r="A298" s="9" t="s">
        <v>427</v>
      </c>
      <c r="B298" s="178">
        <v>158.9</v>
      </c>
      <c r="C298" s="178"/>
      <c r="D298" s="79"/>
      <c r="E298" s="178">
        <f t="shared" si="4"/>
        <v>158.9</v>
      </c>
      <c r="F298" s="83" t="s">
        <v>858</v>
      </c>
      <c r="G298" s="180">
        <v>4000000</v>
      </c>
      <c r="H298" s="83" t="s">
        <v>793</v>
      </c>
      <c r="I298" s="180"/>
    </row>
    <row r="299" spans="1:9" ht="21.25" customHeight="1" x14ac:dyDescent="0.15">
      <c r="A299" s="9" t="s">
        <v>428</v>
      </c>
      <c r="B299" s="83" t="s">
        <v>857</v>
      </c>
      <c r="C299" s="178"/>
      <c r="D299" s="79"/>
      <c r="E299" s="83" t="str">
        <f t="shared" si="4"/>
        <v>—</v>
      </c>
      <c r="F299" s="83" t="s">
        <v>855</v>
      </c>
      <c r="G299" s="180">
        <v>4600000</v>
      </c>
      <c r="H299" s="83" t="s">
        <v>793</v>
      </c>
      <c r="I299" s="180"/>
    </row>
    <row r="300" spans="1:9" ht="21.25" customHeight="1" x14ac:dyDescent="0.15">
      <c r="A300" s="9" t="s">
        <v>430</v>
      </c>
      <c r="B300" s="83" t="s">
        <v>857</v>
      </c>
      <c r="C300" s="178"/>
      <c r="D300" s="79"/>
      <c r="E300" s="83" t="str">
        <f t="shared" si="4"/>
        <v>—</v>
      </c>
      <c r="F300" s="83" t="s">
        <v>854</v>
      </c>
      <c r="G300" s="180">
        <v>3500000</v>
      </c>
      <c r="H300" s="83" t="s">
        <v>793</v>
      </c>
      <c r="I300" s="180"/>
    </row>
    <row r="301" spans="1:9" ht="21.25" customHeight="1" x14ac:dyDescent="0.15">
      <c r="A301" s="9" t="s">
        <v>431</v>
      </c>
      <c r="B301" s="83" t="s">
        <v>857</v>
      </c>
      <c r="C301" s="178"/>
      <c r="D301" s="79"/>
      <c r="E301" s="83" t="str">
        <f t="shared" si="4"/>
        <v>—</v>
      </c>
      <c r="F301" s="83" t="s">
        <v>855</v>
      </c>
      <c r="G301" s="180">
        <v>6250000</v>
      </c>
      <c r="H301" s="83" t="s">
        <v>793</v>
      </c>
      <c r="I301" s="180"/>
    </row>
    <row r="302" spans="1:9" ht="21.25" customHeight="1" x14ac:dyDescent="0.15">
      <c r="A302" s="9" t="s">
        <v>435</v>
      </c>
      <c r="B302" s="178">
        <v>183</v>
      </c>
      <c r="C302" s="178"/>
      <c r="D302" s="79"/>
      <c r="E302" s="178">
        <f t="shared" si="4"/>
        <v>183</v>
      </c>
      <c r="F302" s="83" t="s">
        <v>837</v>
      </c>
      <c r="G302" s="180">
        <v>814000</v>
      </c>
      <c r="H302" s="83" t="s">
        <v>793</v>
      </c>
      <c r="I302" s="180"/>
    </row>
    <row r="303" spans="1:9" ht="21.25" customHeight="1" x14ac:dyDescent="0.15">
      <c r="A303" s="9" t="s">
        <v>400</v>
      </c>
      <c r="B303" s="83" t="s">
        <v>857</v>
      </c>
      <c r="C303" s="178"/>
      <c r="D303" s="79"/>
      <c r="E303" s="83" t="str">
        <f t="shared" si="4"/>
        <v>—</v>
      </c>
      <c r="F303" s="83" t="s">
        <v>842</v>
      </c>
      <c r="G303" s="180">
        <v>5100000</v>
      </c>
      <c r="H303" s="83" t="s">
        <v>793</v>
      </c>
      <c r="I303" s="180"/>
    </row>
    <row r="304" spans="1:9" ht="21.25" customHeight="1" x14ac:dyDescent="0.15">
      <c r="A304" s="9" t="s">
        <v>437</v>
      </c>
      <c r="B304" s="83" t="s">
        <v>857</v>
      </c>
      <c r="C304" s="178"/>
      <c r="D304" s="178"/>
      <c r="E304" s="83" t="str">
        <f t="shared" si="4"/>
        <v>—</v>
      </c>
      <c r="F304" s="83" t="s">
        <v>859</v>
      </c>
      <c r="G304" s="180">
        <v>3250000</v>
      </c>
      <c r="H304" s="83" t="s">
        <v>793</v>
      </c>
      <c r="I304" s="180"/>
    </row>
    <row r="305" spans="1:9" ht="21.25" customHeight="1" x14ac:dyDescent="0.15">
      <c r="A305" s="9" t="s">
        <v>457</v>
      </c>
      <c r="B305" s="83" t="s">
        <v>857</v>
      </c>
      <c r="C305" s="178"/>
      <c r="D305" s="178"/>
      <c r="E305" s="83" t="str">
        <f t="shared" si="4"/>
        <v>—</v>
      </c>
      <c r="F305" s="83" t="s">
        <v>848</v>
      </c>
      <c r="G305" s="180">
        <v>4500000</v>
      </c>
      <c r="H305" s="83" t="s">
        <v>793</v>
      </c>
      <c r="I305" s="180"/>
    </row>
    <row r="306" spans="1:9" ht="21.25" customHeight="1" x14ac:dyDescent="0.15">
      <c r="A306" s="9" t="s">
        <v>407</v>
      </c>
      <c r="B306" s="83" t="s">
        <v>857</v>
      </c>
      <c r="C306" s="178"/>
      <c r="D306" s="79"/>
      <c r="E306" s="83" t="str">
        <f t="shared" si="4"/>
        <v>—</v>
      </c>
      <c r="F306" s="83" t="s">
        <v>859</v>
      </c>
      <c r="G306" s="180">
        <v>1450000</v>
      </c>
      <c r="H306" s="83" t="s">
        <v>793</v>
      </c>
      <c r="I306" s="180"/>
    </row>
    <row r="307" spans="1:9" ht="21.25" customHeight="1" x14ac:dyDescent="0.15">
      <c r="A307" s="9" t="s">
        <v>439</v>
      </c>
      <c r="B307" s="83" t="s">
        <v>857</v>
      </c>
      <c r="C307" s="178"/>
      <c r="D307" s="79"/>
      <c r="E307" s="83" t="str">
        <f t="shared" si="4"/>
        <v>—</v>
      </c>
      <c r="F307" s="83" t="s">
        <v>835</v>
      </c>
      <c r="G307" s="180">
        <v>3000000</v>
      </c>
      <c r="H307" s="83" t="s">
        <v>793</v>
      </c>
      <c r="I307" s="180"/>
    </row>
    <row r="308" spans="1:9" ht="21.25" customHeight="1" x14ac:dyDescent="0.15">
      <c r="A308" s="9" t="s">
        <v>463</v>
      </c>
      <c r="B308" s="83" t="s">
        <v>857</v>
      </c>
      <c r="C308" s="178"/>
      <c r="D308" s="79"/>
      <c r="E308" s="83" t="str">
        <f t="shared" si="4"/>
        <v>—</v>
      </c>
      <c r="F308" s="83" t="s">
        <v>836</v>
      </c>
      <c r="G308" s="180">
        <v>7000000</v>
      </c>
      <c r="H308" s="83" t="s">
        <v>793</v>
      </c>
      <c r="I308" s="180"/>
    </row>
    <row r="309" spans="1:9" ht="21.25" customHeight="1" x14ac:dyDescent="0.15">
      <c r="A309" s="9" t="s">
        <v>464</v>
      </c>
      <c r="B309" s="83" t="s">
        <v>857</v>
      </c>
      <c r="C309" s="178"/>
      <c r="D309" s="178"/>
      <c r="E309" s="83" t="str">
        <f t="shared" si="4"/>
        <v>—</v>
      </c>
      <c r="F309" s="83" t="s">
        <v>824</v>
      </c>
      <c r="G309" s="180">
        <v>3000000</v>
      </c>
      <c r="H309" s="83" t="s">
        <v>793</v>
      </c>
      <c r="I309" s="180"/>
    </row>
    <row r="310" spans="1:9" ht="21.25" customHeight="1" x14ac:dyDescent="0.15">
      <c r="A310" s="9" t="s">
        <v>440</v>
      </c>
      <c r="B310" s="83" t="s">
        <v>857</v>
      </c>
      <c r="C310" s="178"/>
      <c r="D310" s="178"/>
      <c r="E310" s="83" t="str">
        <f t="shared" si="4"/>
        <v>—</v>
      </c>
      <c r="F310" s="83" t="s">
        <v>830</v>
      </c>
      <c r="G310" s="180">
        <v>3500000</v>
      </c>
      <c r="H310" s="83" t="s">
        <v>83</v>
      </c>
      <c r="I310" s="180"/>
    </row>
    <row r="311" spans="1:9" ht="21.25" customHeight="1" x14ac:dyDescent="0.15">
      <c r="A311" s="9" t="s">
        <v>466</v>
      </c>
      <c r="B311" s="83" t="s">
        <v>857</v>
      </c>
      <c r="C311" s="178"/>
      <c r="D311" s="178"/>
      <c r="E311" s="83" t="str">
        <f t="shared" si="4"/>
        <v>—</v>
      </c>
      <c r="F311" s="83" t="s">
        <v>852</v>
      </c>
      <c r="G311" s="180">
        <v>925000</v>
      </c>
      <c r="H311" s="83" t="s">
        <v>793</v>
      </c>
      <c r="I311" s="180"/>
    </row>
    <row r="312" spans="1:9" ht="21.25" customHeight="1" x14ac:dyDescent="0.15">
      <c r="A312" s="9" t="s">
        <v>441</v>
      </c>
      <c r="B312" s="83" t="s">
        <v>857</v>
      </c>
      <c r="C312" s="178"/>
      <c r="D312" s="79"/>
      <c r="E312" s="83" t="str">
        <f t="shared" si="4"/>
        <v>—</v>
      </c>
      <c r="F312" s="83" t="s">
        <v>842</v>
      </c>
      <c r="G312" s="180">
        <v>2343750</v>
      </c>
      <c r="H312" s="83" t="s">
        <v>793</v>
      </c>
      <c r="I312" s="180"/>
    </row>
    <row r="313" spans="1:9" ht="21.25" customHeight="1" x14ac:dyDescent="0.15">
      <c r="A313" s="9" t="s">
        <v>411</v>
      </c>
      <c r="B313" s="178">
        <v>175.5</v>
      </c>
      <c r="C313" s="178"/>
      <c r="D313" s="178"/>
      <c r="E313" s="178">
        <f t="shared" si="4"/>
        <v>175.5</v>
      </c>
      <c r="F313" s="83" t="s">
        <v>851</v>
      </c>
      <c r="G313" s="180">
        <v>4300000</v>
      </c>
      <c r="H313" s="83" t="s">
        <v>793</v>
      </c>
      <c r="I313" s="180"/>
    </row>
    <row r="314" spans="1:9" ht="21.25" customHeight="1" x14ac:dyDescent="0.15">
      <c r="A314" s="9" t="s">
        <v>438</v>
      </c>
      <c r="B314" s="83" t="s">
        <v>857</v>
      </c>
      <c r="C314" s="178"/>
      <c r="D314" s="178"/>
      <c r="E314" s="83" t="str">
        <f t="shared" si="4"/>
        <v>—</v>
      </c>
      <c r="F314" s="83" t="s">
        <v>847</v>
      </c>
      <c r="G314" s="180">
        <v>4250000</v>
      </c>
      <c r="H314" s="83" t="s">
        <v>793</v>
      </c>
      <c r="I314" s="180"/>
    </row>
    <row r="315" spans="1:9" ht="21.25" customHeight="1" x14ac:dyDescent="0.15">
      <c r="A315" s="9" t="s">
        <v>443</v>
      </c>
      <c r="B315" s="83" t="s">
        <v>857</v>
      </c>
      <c r="C315" s="178"/>
      <c r="D315" s="178"/>
      <c r="E315" s="83" t="str">
        <f t="shared" si="4"/>
        <v>—</v>
      </c>
      <c r="F315" s="83" t="s">
        <v>847</v>
      </c>
      <c r="G315" s="180">
        <v>4600000</v>
      </c>
      <c r="H315" s="83" t="s">
        <v>793</v>
      </c>
      <c r="I315" s="180"/>
    </row>
    <row r="316" spans="1:9" ht="21.25" customHeight="1" x14ac:dyDescent="0.15">
      <c r="A316" s="9" t="s">
        <v>468</v>
      </c>
      <c r="B316" s="83" t="s">
        <v>857</v>
      </c>
      <c r="C316" s="178"/>
      <c r="D316" s="178"/>
      <c r="E316" s="83" t="str">
        <f t="shared" si="4"/>
        <v>—</v>
      </c>
      <c r="F316" s="83" t="s">
        <v>834</v>
      </c>
      <c r="G316" s="180">
        <v>950000</v>
      </c>
      <c r="H316" s="83" t="s">
        <v>793</v>
      </c>
      <c r="I316" s="180"/>
    </row>
    <row r="317" spans="1:9" ht="21.25" customHeight="1" x14ac:dyDescent="0.15">
      <c r="A317" s="9" t="s">
        <v>415</v>
      </c>
      <c r="B317" s="83" t="s">
        <v>857</v>
      </c>
      <c r="C317" s="178"/>
      <c r="D317" s="178"/>
      <c r="E317" s="83" t="str">
        <f t="shared" si="4"/>
        <v>—</v>
      </c>
      <c r="F317" s="83" t="s">
        <v>831</v>
      </c>
      <c r="G317" s="180">
        <v>3750000</v>
      </c>
      <c r="H317" s="83" t="s">
        <v>793</v>
      </c>
      <c r="I317" s="180"/>
    </row>
    <row r="318" spans="1:9" ht="21.25" customHeight="1" x14ac:dyDescent="0.15">
      <c r="A318" s="9" t="s">
        <v>444</v>
      </c>
      <c r="B318" s="83" t="s">
        <v>857</v>
      </c>
      <c r="C318" s="178"/>
      <c r="D318" s="178"/>
      <c r="E318" s="83" t="str">
        <f t="shared" si="4"/>
        <v>—</v>
      </c>
      <c r="F318" s="83" t="s">
        <v>859</v>
      </c>
      <c r="G318" s="180">
        <v>1000000</v>
      </c>
      <c r="H318" s="83" t="s">
        <v>793</v>
      </c>
      <c r="I318" s="180"/>
    </row>
    <row r="319" spans="1:9" ht="21.25" customHeight="1" x14ac:dyDescent="0.15">
      <c r="A319" s="9" t="s">
        <v>417</v>
      </c>
      <c r="B319" s="178">
        <v>168.5</v>
      </c>
      <c r="C319" s="178"/>
      <c r="D319" s="79"/>
      <c r="E319" s="178">
        <f t="shared" si="4"/>
        <v>168.5</v>
      </c>
      <c r="F319" s="83" t="s">
        <v>840</v>
      </c>
      <c r="G319" s="180">
        <v>4000000</v>
      </c>
      <c r="H319" s="83" t="s">
        <v>793</v>
      </c>
      <c r="I319" s="180"/>
    </row>
    <row r="320" spans="1:9" ht="21.25" customHeight="1" x14ac:dyDescent="0.15">
      <c r="A320" s="9" t="s">
        <v>445</v>
      </c>
      <c r="B320" s="83" t="s">
        <v>857</v>
      </c>
      <c r="C320" s="178"/>
      <c r="D320" s="79"/>
      <c r="E320" s="83" t="str">
        <f t="shared" si="4"/>
        <v>—</v>
      </c>
      <c r="F320" s="83" t="s">
        <v>829</v>
      </c>
      <c r="G320" s="180">
        <v>918333</v>
      </c>
      <c r="H320" s="83" t="s">
        <v>793</v>
      </c>
      <c r="I320" s="180"/>
    </row>
    <row r="321" spans="1:9" ht="21.25" customHeight="1" x14ac:dyDescent="0.15">
      <c r="A321" s="9" t="s">
        <v>446</v>
      </c>
      <c r="B321" s="83" t="s">
        <v>857</v>
      </c>
      <c r="C321" s="178"/>
      <c r="D321" s="178"/>
      <c r="E321" s="83" t="str">
        <f t="shared" si="4"/>
        <v>—</v>
      </c>
      <c r="F321" s="83" t="s">
        <v>852</v>
      </c>
      <c r="G321" s="180">
        <v>4000000</v>
      </c>
      <c r="H321" s="83" t="s">
        <v>793</v>
      </c>
      <c r="I321" s="180"/>
    </row>
    <row r="322" spans="1:9" ht="21.25" customHeight="1" x14ac:dyDescent="0.15">
      <c r="A322" s="9" t="s">
        <v>447</v>
      </c>
      <c r="B322" s="83" t="s">
        <v>857</v>
      </c>
      <c r="C322" s="178"/>
      <c r="D322" s="178"/>
      <c r="E322" s="83" t="str">
        <f t="shared" ref="E322:E385" si="5">IFERROR(AVERAGE(B322:D322),"—")</f>
        <v>—</v>
      </c>
      <c r="F322" s="83" t="s">
        <v>842</v>
      </c>
      <c r="G322" s="180">
        <v>894167</v>
      </c>
      <c r="H322" s="83" t="s">
        <v>793</v>
      </c>
      <c r="I322" s="180"/>
    </row>
    <row r="323" spans="1:9" ht="21.25" customHeight="1" x14ac:dyDescent="0.15">
      <c r="A323" s="9" t="s">
        <v>449</v>
      </c>
      <c r="B323" s="178">
        <v>177.7</v>
      </c>
      <c r="C323" s="178"/>
      <c r="D323" s="178"/>
      <c r="E323" s="178">
        <f t="shared" si="5"/>
        <v>177.7</v>
      </c>
      <c r="F323" s="83" t="s">
        <v>826</v>
      </c>
      <c r="G323" s="180">
        <v>3500000</v>
      </c>
      <c r="H323" s="83" t="s">
        <v>793</v>
      </c>
      <c r="I323" s="180"/>
    </row>
    <row r="324" spans="1:9" ht="21.25" customHeight="1" x14ac:dyDescent="0.15">
      <c r="A324" s="9" t="s">
        <v>450</v>
      </c>
      <c r="B324" s="178"/>
      <c r="C324" s="178"/>
      <c r="D324" s="79"/>
      <c r="E324" s="83" t="str">
        <f t="shared" si="5"/>
        <v>—</v>
      </c>
      <c r="F324" s="83" t="s">
        <v>859</v>
      </c>
      <c r="G324" s="180">
        <v>950000</v>
      </c>
      <c r="H324" s="79"/>
      <c r="I324" s="180"/>
    </row>
    <row r="325" spans="1:9" ht="21.25" customHeight="1" x14ac:dyDescent="0.15">
      <c r="A325" s="9" t="s">
        <v>451</v>
      </c>
      <c r="B325" s="83" t="s">
        <v>857</v>
      </c>
      <c r="C325" s="178"/>
      <c r="D325" s="79"/>
      <c r="E325" s="83" t="str">
        <f t="shared" si="5"/>
        <v>—</v>
      </c>
      <c r="F325" s="83" t="s">
        <v>851</v>
      </c>
      <c r="G325" s="180">
        <v>4400000</v>
      </c>
      <c r="H325" s="83" t="s">
        <v>793</v>
      </c>
      <c r="I325" s="180"/>
    </row>
    <row r="326" spans="1:9" ht="21.25" customHeight="1" x14ac:dyDescent="0.15">
      <c r="A326" s="9" t="s">
        <v>452</v>
      </c>
      <c r="B326" s="83" t="s">
        <v>857</v>
      </c>
      <c r="C326" s="178"/>
      <c r="D326" s="79"/>
      <c r="E326" s="83" t="str">
        <f t="shared" si="5"/>
        <v>—</v>
      </c>
      <c r="F326" s="83" t="s">
        <v>830</v>
      </c>
      <c r="G326" s="180">
        <v>2500000</v>
      </c>
      <c r="H326" s="83" t="s">
        <v>793</v>
      </c>
      <c r="I326" s="180"/>
    </row>
    <row r="327" spans="1:9" ht="21.25" customHeight="1" x14ac:dyDescent="0.15">
      <c r="A327" s="9" t="s">
        <v>454</v>
      </c>
      <c r="B327" s="83" t="s">
        <v>857</v>
      </c>
      <c r="C327" s="178"/>
      <c r="D327" s="178"/>
      <c r="E327" s="83" t="str">
        <f t="shared" si="5"/>
        <v>—</v>
      </c>
      <c r="F327" s="83" t="s">
        <v>825</v>
      </c>
      <c r="G327" s="180">
        <v>4500000</v>
      </c>
      <c r="H327" s="83" t="s">
        <v>793</v>
      </c>
      <c r="I327" s="180"/>
    </row>
    <row r="328" spans="1:9" ht="21.25" customHeight="1" x14ac:dyDescent="0.15">
      <c r="A328" s="9" t="s">
        <v>429</v>
      </c>
      <c r="B328" s="83" t="s">
        <v>857</v>
      </c>
      <c r="C328" s="178"/>
      <c r="D328" s="178"/>
      <c r="E328" s="83" t="str">
        <f t="shared" si="5"/>
        <v>—</v>
      </c>
      <c r="F328" s="83" t="s">
        <v>838</v>
      </c>
      <c r="G328" s="180">
        <v>4000000</v>
      </c>
      <c r="H328" s="83" t="s">
        <v>793</v>
      </c>
      <c r="I328" s="180"/>
    </row>
    <row r="329" spans="1:9" ht="21.25" customHeight="1" x14ac:dyDescent="0.15">
      <c r="A329" s="9" t="s">
        <v>455</v>
      </c>
      <c r="B329" s="83" t="s">
        <v>857</v>
      </c>
      <c r="C329" s="178"/>
      <c r="D329" s="79"/>
      <c r="E329" s="83" t="str">
        <f t="shared" si="5"/>
        <v>—</v>
      </c>
      <c r="F329" s="83" t="s">
        <v>840</v>
      </c>
      <c r="G329" s="180">
        <v>4600000</v>
      </c>
      <c r="H329" s="83" t="s">
        <v>793</v>
      </c>
      <c r="I329" s="180"/>
    </row>
    <row r="330" spans="1:9" ht="21.25" customHeight="1" x14ac:dyDescent="0.15">
      <c r="A330" s="9" t="s">
        <v>456</v>
      </c>
      <c r="B330" s="83" t="s">
        <v>857</v>
      </c>
      <c r="C330" s="178"/>
      <c r="D330" s="79"/>
      <c r="E330" s="83" t="str">
        <f t="shared" si="5"/>
        <v>—</v>
      </c>
      <c r="F330" s="83" t="s">
        <v>827</v>
      </c>
      <c r="G330" s="180">
        <v>3375000</v>
      </c>
      <c r="H330" s="83" t="s">
        <v>793</v>
      </c>
      <c r="I330" s="180"/>
    </row>
    <row r="331" spans="1:9" ht="21.25" customHeight="1" x14ac:dyDescent="0.15">
      <c r="A331" s="9" t="s">
        <v>432</v>
      </c>
      <c r="B331" s="178"/>
      <c r="C331" s="178"/>
      <c r="D331" s="178"/>
      <c r="E331" s="83" t="str">
        <f t="shared" si="5"/>
        <v>—</v>
      </c>
      <c r="F331" s="83" t="s">
        <v>825</v>
      </c>
      <c r="G331" s="180">
        <v>6125000</v>
      </c>
      <c r="H331" s="79"/>
      <c r="I331" s="180"/>
    </row>
    <row r="332" spans="1:9" ht="21.25" customHeight="1" x14ac:dyDescent="0.15">
      <c r="A332" s="9" t="s">
        <v>458</v>
      </c>
      <c r="B332" s="83" t="s">
        <v>857</v>
      </c>
      <c r="C332" s="178"/>
      <c r="D332" s="79"/>
      <c r="E332" s="83" t="str">
        <f t="shared" si="5"/>
        <v>—</v>
      </c>
      <c r="F332" s="83" t="s">
        <v>833</v>
      </c>
      <c r="G332" s="180">
        <v>2450000</v>
      </c>
      <c r="H332" s="83" t="s">
        <v>793</v>
      </c>
      <c r="I332" s="180"/>
    </row>
    <row r="333" spans="1:9" ht="21.25" customHeight="1" x14ac:dyDescent="0.15">
      <c r="A333" s="9" t="s">
        <v>433</v>
      </c>
      <c r="B333" s="83" t="s">
        <v>857</v>
      </c>
      <c r="C333" s="178"/>
      <c r="D333" s="178"/>
      <c r="E333" s="83" t="str">
        <f t="shared" si="5"/>
        <v>—</v>
      </c>
      <c r="F333" s="83" t="s">
        <v>847</v>
      </c>
      <c r="G333" s="180">
        <v>2250000</v>
      </c>
      <c r="H333" s="83" t="s">
        <v>793</v>
      </c>
      <c r="I333" s="180"/>
    </row>
    <row r="334" spans="1:9" ht="21.25" customHeight="1" x14ac:dyDescent="0.15">
      <c r="A334" s="9" t="s">
        <v>434</v>
      </c>
      <c r="B334" s="83" t="s">
        <v>857</v>
      </c>
      <c r="C334" s="178"/>
      <c r="D334" s="79"/>
      <c r="E334" s="83" t="str">
        <f t="shared" si="5"/>
        <v>—</v>
      </c>
      <c r="F334" s="83" t="s">
        <v>835</v>
      </c>
      <c r="G334" s="180">
        <v>975000</v>
      </c>
      <c r="H334" s="83" t="s">
        <v>793</v>
      </c>
      <c r="I334" s="180"/>
    </row>
    <row r="335" spans="1:9" ht="21.25" customHeight="1" x14ac:dyDescent="0.15">
      <c r="A335" s="9" t="s">
        <v>459</v>
      </c>
      <c r="B335" s="83" t="s">
        <v>857</v>
      </c>
      <c r="C335" s="178"/>
      <c r="D335" s="79"/>
      <c r="E335" s="83" t="str">
        <f t="shared" si="5"/>
        <v>—</v>
      </c>
      <c r="F335" s="83" t="s">
        <v>827</v>
      </c>
      <c r="G335" s="180">
        <v>975000</v>
      </c>
      <c r="H335" s="83" t="s">
        <v>793</v>
      </c>
      <c r="I335" s="180"/>
    </row>
    <row r="336" spans="1:9" ht="21.25" customHeight="1" x14ac:dyDescent="0.15">
      <c r="A336" s="9" t="s">
        <v>460</v>
      </c>
      <c r="B336" s="83" t="s">
        <v>857</v>
      </c>
      <c r="C336" s="178"/>
      <c r="D336" s="178"/>
      <c r="E336" s="83" t="str">
        <f t="shared" si="5"/>
        <v>—</v>
      </c>
      <c r="F336" s="83" t="s">
        <v>833</v>
      </c>
      <c r="G336" s="180">
        <v>863333</v>
      </c>
      <c r="H336" s="83" t="s">
        <v>82</v>
      </c>
      <c r="I336" s="180"/>
    </row>
    <row r="337" spans="1:9" ht="21.25" customHeight="1" x14ac:dyDescent="0.15">
      <c r="A337" s="9" t="s">
        <v>436</v>
      </c>
      <c r="B337" s="83" t="s">
        <v>857</v>
      </c>
      <c r="C337" s="178"/>
      <c r="D337" s="178"/>
      <c r="E337" s="83" t="str">
        <f t="shared" si="5"/>
        <v>—</v>
      </c>
      <c r="F337" s="83" t="s">
        <v>841</v>
      </c>
      <c r="G337" s="180">
        <v>894167</v>
      </c>
      <c r="H337" s="83" t="s">
        <v>793</v>
      </c>
      <c r="I337" s="180"/>
    </row>
    <row r="338" spans="1:9" ht="21.25" customHeight="1" x14ac:dyDescent="0.15">
      <c r="A338" s="9" t="s">
        <v>461</v>
      </c>
      <c r="B338" s="83" t="s">
        <v>857</v>
      </c>
      <c r="C338" s="178"/>
      <c r="D338" s="79"/>
      <c r="E338" s="83" t="str">
        <f t="shared" si="5"/>
        <v>—</v>
      </c>
      <c r="F338" s="83" t="s">
        <v>850</v>
      </c>
      <c r="G338" s="180">
        <v>4125000</v>
      </c>
      <c r="H338" s="83" t="s">
        <v>793</v>
      </c>
      <c r="I338" s="180"/>
    </row>
    <row r="339" spans="1:9" ht="21.25" customHeight="1" x14ac:dyDescent="0.15">
      <c r="A339" s="9" t="s">
        <v>492</v>
      </c>
      <c r="B339" s="83" t="s">
        <v>857</v>
      </c>
      <c r="C339" s="178"/>
      <c r="D339" s="79"/>
      <c r="E339" s="83" t="str">
        <f t="shared" si="5"/>
        <v>—</v>
      </c>
      <c r="F339" s="83" t="s">
        <v>827</v>
      </c>
      <c r="G339" s="180">
        <v>3150000</v>
      </c>
      <c r="H339" s="83" t="s">
        <v>793</v>
      </c>
      <c r="I339" s="180"/>
    </row>
    <row r="340" spans="1:9" ht="21.25" customHeight="1" x14ac:dyDescent="0.15">
      <c r="A340" s="9" t="s">
        <v>462</v>
      </c>
      <c r="B340" s="83" t="s">
        <v>857</v>
      </c>
      <c r="C340" s="178"/>
      <c r="D340" s="79"/>
      <c r="E340" s="83" t="str">
        <f t="shared" si="5"/>
        <v>—</v>
      </c>
      <c r="F340" s="83" t="s">
        <v>847</v>
      </c>
      <c r="G340" s="180">
        <v>3300000</v>
      </c>
      <c r="H340" s="83" t="s">
        <v>85</v>
      </c>
      <c r="I340" s="180"/>
    </row>
    <row r="341" spans="1:9" ht="21.25" customHeight="1" x14ac:dyDescent="0.15">
      <c r="A341" s="9" t="s">
        <v>493</v>
      </c>
      <c r="B341" s="83" t="s">
        <v>857</v>
      </c>
      <c r="C341" s="178"/>
      <c r="D341" s="79"/>
      <c r="E341" s="83" t="str">
        <f t="shared" si="5"/>
        <v>—</v>
      </c>
      <c r="F341" s="83" t="s">
        <v>858</v>
      </c>
      <c r="G341" s="180">
        <v>950000</v>
      </c>
      <c r="H341" s="83" t="s">
        <v>793</v>
      </c>
      <c r="I341" s="180"/>
    </row>
    <row r="342" spans="1:9" ht="21.25" customHeight="1" x14ac:dyDescent="0.15">
      <c r="A342" s="9" t="s">
        <v>469</v>
      </c>
      <c r="B342" s="83" t="s">
        <v>857</v>
      </c>
      <c r="C342" s="178"/>
      <c r="D342" s="79"/>
      <c r="E342" s="83" t="str">
        <f t="shared" si="5"/>
        <v>—</v>
      </c>
      <c r="F342" s="83" t="s">
        <v>856</v>
      </c>
      <c r="G342" s="180">
        <v>7750000</v>
      </c>
      <c r="H342" s="83" t="s">
        <v>83</v>
      </c>
      <c r="I342" s="180"/>
    </row>
    <row r="343" spans="1:9" ht="21.25" customHeight="1" x14ac:dyDescent="0.15">
      <c r="A343" s="9" t="s">
        <v>470</v>
      </c>
      <c r="B343" s="83" t="s">
        <v>857</v>
      </c>
      <c r="C343" s="178"/>
      <c r="D343" s="79"/>
      <c r="E343" s="83" t="str">
        <f t="shared" si="5"/>
        <v>—</v>
      </c>
      <c r="F343" s="83" t="s">
        <v>841</v>
      </c>
      <c r="G343" s="180">
        <v>2294150</v>
      </c>
      <c r="H343" s="83" t="s">
        <v>793</v>
      </c>
      <c r="I343" s="180"/>
    </row>
    <row r="344" spans="1:9" ht="21.25" customHeight="1" x14ac:dyDescent="0.15">
      <c r="A344" s="9" t="s">
        <v>471</v>
      </c>
      <c r="B344" s="83" t="s">
        <v>857</v>
      </c>
      <c r="C344" s="178"/>
      <c r="D344" s="79"/>
      <c r="E344" s="83" t="str">
        <f t="shared" si="5"/>
        <v>—</v>
      </c>
      <c r="F344" s="83" t="s">
        <v>838</v>
      </c>
      <c r="G344" s="180">
        <v>1400000</v>
      </c>
      <c r="H344" s="83" t="s">
        <v>793</v>
      </c>
      <c r="I344" s="180"/>
    </row>
    <row r="345" spans="1:9" ht="21.25" customHeight="1" x14ac:dyDescent="0.15">
      <c r="A345" s="9" t="s">
        <v>472</v>
      </c>
      <c r="B345" s="83" t="s">
        <v>857</v>
      </c>
      <c r="C345" s="178"/>
      <c r="D345" s="79"/>
      <c r="E345" s="83" t="str">
        <f t="shared" si="5"/>
        <v>—</v>
      </c>
      <c r="F345" s="83" t="s">
        <v>844</v>
      </c>
      <c r="G345" s="180">
        <v>4600000</v>
      </c>
      <c r="H345" s="83" t="s">
        <v>793</v>
      </c>
      <c r="I345" s="180"/>
    </row>
    <row r="346" spans="1:9" ht="21.25" customHeight="1" x14ac:dyDescent="0.15">
      <c r="A346" s="9" t="s">
        <v>473</v>
      </c>
      <c r="B346" s="83" t="s">
        <v>857</v>
      </c>
      <c r="C346" s="178"/>
      <c r="D346" s="79"/>
      <c r="E346" s="83" t="str">
        <f t="shared" si="5"/>
        <v>—</v>
      </c>
      <c r="F346" s="83" t="s">
        <v>850</v>
      </c>
      <c r="G346" s="180">
        <v>1500000</v>
      </c>
      <c r="H346" s="83" t="s">
        <v>793</v>
      </c>
      <c r="I346" s="180"/>
    </row>
    <row r="347" spans="1:9" ht="21.25" customHeight="1" x14ac:dyDescent="0.15">
      <c r="A347" s="9" t="s">
        <v>502</v>
      </c>
      <c r="B347" s="83" t="s">
        <v>857</v>
      </c>
      <c r="C347" s="178"/>
      <c r="D347" s="178"/>
      <c r="E347" s="83" t="str">
        <f t="shared" si="5"/>
        <v>—</v>
      </c>
      <c r="F347" s="83" t="s">
        <v>835</v>
      </c>
      <c r="G347" s="180">
        <v>2250000</v>
      </c>
      <c r="H347" s="83" t="s">
        <v>793</v>
      </c>
      <c r="I347" s="180"/>
    </row>
    <row r="348" spans="1:9" ht="21.25" customHeight="1" x14ac:dyDescent="0.15">
      <c r="A348" s="9" t="s">
        <v>475</v>
      </c>
      <c r="B348" s="83" t="s">
        <v>857</v>
      </c>
      <c r="C348" s="178"/>
      <c r="D348" s="79"/>
      <c r="E348" s="83" t="str">
        <f t="shared" si="5"/>
        <v>—</v>
      </c>
      <c r="F348" s="83" t="s">
        <v>827</v>
      </c>
      <c r="G348" s="180">
        <v>5200000</v>
      </c>
      <c r="H348" s="83" t="s">
        <v>793</v>
      </c>
      <c r="I348" s="180"/>
    </row>
    <row r="349" spans="1:9" ht="21.25" customHeight="1" x14ac:dyDescent="0.15">
      <c r="A349" s="9" t="s">
        <v>476</v>
      </c>
      <c r="B349" s="178">
        <v>191</v>
      </c>
      <c r="C349" s="178"/>
      <c r="D349" s="79"/>
      <c r="E349" s="178">
        <f t="shared" si="5"/>
        <v>191</v>
      </c>
      <c r="F349" s="83" t="s">
        <v>828</v>
      </c>
      <c r="G349" s="180">
        <v>4100000</v>
      </c>
      <c r="H349" s="83" t="s">
        <v>793</v>
      </c>
      <c r="I349" s="180"/>
    </row>
    <row r="350" spans="1:9" ht="21.25" customHeight="1" x14ac:dyDescent="0.15">
      <c r="A350" s="9" t="s">
        <v>477</v>
      </c>
      <c r="B350" s="83" t="s">
        <v>857</v>
      </c>
      <c r="C350" s="178"/>
      <c r="D350" s="79"/>
      <c r="E350" s="83" t="str">
        <f t="shared" si="5"/>
        <v>—</v>
      </c>
      <c r="F350" s="83" t="s">
        <v>840</v>
      </c>
      <c r="G350" s="180">
        <v>7950000</v>
      </c>
      <c r="H350" s="83" t="s">
        <v>793</v>
      </c>
      <c r="I350" s="180"/>
    </row>
    <row r="351" spans="1:9" ht="21.25" customHeight="1" x14ac:dyDescent="0.15">
      <c r="A351" s="9" t="s">
        <v>478</v>
      </c>
      <c r="B351" s="83" t="s">
        <v>857</v>
      </c>
      <c r="C351" s="178"/>
      <c r="D351" s="178"/>
      <c r="E351" s="83" t="str">
        <f t="shared" si="5"/>
        <v>—</v>
      </c>
      <c r="F351" s="83" t="s">
        <v>847</v>
      </c>
      <c r="G351" s="180">
        <v>3750000</v>
      </c>
      <c r="H351" s="83" t="s">
        <v>793</v>
      </c>
      <c r="I351" s="180"/>
    </row>
    <row r="352" spans="1:9" ht="21.25" customHeight="1" x14ac:dyDescent="0.15">
      <c r="A352" s="9" t="s">
        <v>479</v>
      </c>
      <c r="B352" s="83" t="s">
        <v>857</v>
      </c>
      <c r="C352" s="178"/>
      <c r="D352" s="79"/>
      <c r="E352" s="83" t="str">
        <f t="shared" si="5"/>
        <v>—</v>
      </c>
      <c r="F352" s="83" t="s">
        <v>849</v>
      </c>
      <c r="G352" s="180">
        <v>4820000</v>
      </c>
      <c r="H352" s="83" t="s">
        <v>793</v>
      </c>
      <c r="I352" s="180"/>
    </row>
    <row r="353" spans="1:9" ht="21.25" customHeight="1" x14ac:dyDescent="0.15">
      <c r="A353" s="9" t="s">
        <v>506</v>
      </c>
      <c r="B353" s="83" t="s">
        <v>857</v>
      </c>
      <c r="C353" s="178"/>
      <c r="D353" s="79"/>
      <c r="E353" s="83" t="str">
        <f t="shared" si="5"/>
        <v>—</v>
      </c>
      <c r="F353" s="83" t="s">
        <v>841</v>
      </c>
      <c r="G353" s="180">
        <v>1835000</v>
      </c>
      <c r="H353" s="83" t="s">
        <v>793</v>
      </c>
      <c r="I353" s="180"/>
    </row>
    <row r="354" spans="1:9" ht="21.25" customHeight="1" x14ac:dyDescent="0.15">
      <c r="A354" s="9" t="s">
        <v>480</v>
      </c>
      <c r="B354" s="83" t="s">
        <v>857</v>
      </c>
      <c r="C354" s="178"/>
      <c r="D354" s="79"/>
      <c r="E354" s="83" t="str">
        <f t="shared" si="5"/>
        <v>—</v>
      </c>
      <c r="F354" s="83" t="s">
        <v>840</v>
      </c>
      <c r="G354" s="180">
        <v>4050000</v>
      </c>
      <c r="H354" s="83" t="s">
        <v>793</v>
      </c>
      <c r="I354" s="180"/>
    </row>
    <row r="355" spans="1:9" ht="21.25" customHeight="1" x14ac:dyDescent="0.15">
      <c r="A355" s="9" t="s">
        <v>448</v>
      </c>
      <c r="B355" s="83" t="s">
        <v>857</v>
      </c>
      <c r="C355" s="178"/>
      <c r="D355" s="178"/>
      <c r="E355" s="83" t="str">
        <f t="shared" si="5"/>
        <v>—</v>
      </c>
      <c r="F355" s="83" t="s">
        <v>849</v>
      </c>
      <c r="G355" s="180">
        <v>2800000</v>
      </c>
      <c r="H355" s="83" t="s">
        <v>793</v>
      </c>
      <c r="I355" s="180"/>
    </row>
    <row r="356" spans="1:9" ht="21.25" customHeight="1" x14ac:dyDescent="0.15">
      <c r="A356" s="9" t="s">
        <v>481</v>
      </c>
      <c r="B356" s="83" t="s">
        <v>857</v>
      </c>
      <c r="C356" s="178"/>
      <c r="D356" s="178"/>
      <c r="E356" s="83" t="str">
        <f t="shared" si="5"/>
        <v>—</v>
      </c>
      <c r="F356" s="83" t="s">
        <v>847</v>
      </c>
      <c r="G356" s="180">
        <v>918333</v>
      </c>
      <c r="H356" s="83" t="s">
        <v>793</v>
      </c>
      <c r="I356" s="180"/>
    </row>
    <row r="357" spans="1:9" ht="21.25" customHeight="1" x14ac:dyDescent="0.15">
      <c r="A357" s="9" t="s">
        <v>482</v>
      </c>
      <c r="B357" s="83" t="s">
        <v>857</v>
      </c>
      <c r="C357" s="178"/>
      <c r="D357" s="79"/>
      <c r="E357" s="83" t="str">
        <f t="shared" si="5"/>
        <v>—</v>
      </c>
      <c r="F357" s="83" t="s">
        <v>855</v>
      </c>
      <c r="G357" s="180">
        <v>886667</v>
      </c>
      <c r="H357" s="83" t="s">
        <v>793</v>
      </c>
      <c r="I357" s="180"/>
    </row>
    <row r="358" spans="1:9" ht="21.25" customHeight="1" x14ac:dyDescent="0.15">
      <c r="A358" s="9" t="s">
        <v>483</v>
      </c>
      <c r="B358" s="83" t="s">
        <v>857</v>
      </c>
      <c r="C358" s="178"/>
      <c r="D358" s="79"/>
      <c r="E358" s="83" t="str">
        <f t="shared" si="5"/>
        <v>—</v>
      </c>
      <c r="F358" s="83" t="s">
        <v>844</v>
      </c>
      <c r="G358" s="180">
        <v>2100000</v>
      </c>
      <c r="H358" s="83" t="s">
        <v>83</v>
      </c>
      <c r="I358" s="180"/>
    </row>
    <row r="359" spans="1:9" ht="21.25" customHeight="1" x14ac:dyDescent="0.15">
      <c r="A359" s="9" t="s">
        <v>484</v>
      </c>
      <c r="B359" s="83" t="s">
        <v>857</v>
      </c>
      <c r="C359" s="178"/>
      <c r="D359" s="79"/>
      <c r="E359" s="83" t="str">
        <f t="shared" si="5"/>
        <v>—</v>
      </c>
      <c r="F359" s="83" t="s">
        <v>847</v>
      </c>
      <c r="G359" s="180">
        <v>4000000</v>
      </c>
      <c r="H359" s="83" t="s">
        <v>793</v>
      </c>
      <c r="I359" s="180"/>
    </row>
    <row r="360" spans="1:9" ht="21.25" customHeight="1" x14ac:dyDescent="0.15">
      <c r="A360" s="9" t="s">
        <v>485</v>
      </c>
      <c r="B360" s="83" t="s">
        <v>857</v>
      </c>
      <c r="C360" s="178"/>
      <c r="D360" s="178"/>
      <c r="E360" s="83" t="str">
        <f t="shared" si="5"/>
        <v>—</v>
      </c>
      <c r="F360" s="83" t="s">
        <v>855</v>
      </c>
      <c r="G360" s="180">
        <v>2700000</v>
      </c>
      <c r="H360" s="83" t="s">
        <v>793</v>
      </c>
      <c r="I360" s="180"/>
    </row>
    <row r="361" spans="1:9" ht="21.25" customHeight="1" x14ac:dyDescent="0.15">
      <c r="A361" s="9" t="s">
        <v>486</v>
      </c>
      <c r="B361" s="83" t="s">
        <v>857</v>
      </c>
      <c r="C361" s="178"/>
      <c r="D361" s="79"/>
      <c r="E361" s="83" t="str">
        <f t="shared" si="5"/>
        <v>—</v>
      </c>
      <c r="F361" s="83" t="s">
        <v>827</v>
      </c>
      <c r="G361" s="180">
        <v>1125000</v>
      </c>
      <c r="H361" s="83" t="s">
        <v>793</v>
      </c>
      <c r="I361" s="180"/>
    </row>
    <row r="362" spans="1:9" ht="21.25" customHeight="1" x14ac:dyDescent="0.15">
      <c r="A362" s="9" t="s">
        <v>489</v>
      </c>
      <c r="B362" s="83" t="s">
        <v>857</v>
      </c>
      <c r="C362" s="178"/>
      <c r="D362" s="79"/>
      <c r="E362" s="83" t="str">
        <f t="shared" si="5"/>
        <v>—</v>
      </c>
      <c r="F362" s="83" t="s">
        <v>848</v>
      </c>
      <c r="G362" s="180">
        <v>4000000</v>
      </c>
      <c r="H362" s="83" t="s">
        <v>793</v>
      </c>
      <c r="I362" s="180"/>
    </row>
    <row r="363" spans="1:9" ht="21.25" customHeight="1" x14ac:dyDescent="0.15">
      <c r="A363" s="9" t="s">
        <v>517</v>
      </c>
      <c r="B363" s="83" t="s">
        <v>857</v>
      </c>
      <c r="C363" s="178"/>
      <c r="D363" s="79"/>
      <c r="E363" s="83" t="str">
        <f t="shared" si="5"/>
        <v>—</v>
      </c>
      <c r="F363" s="83" t="s">
        <v>835</v>
      </c>
      <c r="G363" s="180">
        <v>1100000</v>
      </c>
      <c r="H363" s="83" t="s">
        <v>793</v>
      </c>
      <c r="I363" s="180"/>
    </row>
    <row r="364" spans="1:9" ht="21.25" customHeight="1" x14ac:dyDescent="0.15">
      <c r="A364" s="9" t="s">
        <v>453</v>
      </c>
      <c r="B364" s="83" t="s">
        <v>857</v>
      </c>
      <c r="C364" s="178"/>
      <c r="D364" s="79"/>
      <c r="E364" s="83" t="str">
        <f t="shared" si="5"/>
        <v>—</v>
      </c>
      <c r="F364" s="83" t="s">
        <v>830</v>
      </c>
      <c r="G364" s="180">
        <v>797500</v>
      </c>
      <c r="H364" s="83" t="s">
        <v>793</v>
      </c>
      <c r="I364" s="180"/>
    </row>
    <row r="365" spans="1:9" ht="21.25" customHeight="1" x14ac:dyDescent="0.15">
      <c r="A365" s="9" t="s">
        <v>522</v>
      </c>
      <c r="B365" s="83" t="s">
        <v>857</v>
      </c>
      <c r="C365" s="178"/>
      <c r="D365" s="178"/>
      <c r="E365" s="83" t="str">
        <f t="shared" si="5"/>
        <v>—</v>
      </c>
      <c r="F365" s="83" t="s">
        <v>829</v>
      </c>
      <c r="G365" s="180">
        <v>6000000</v>
      </c>
      <c r="H365" s="83" t="s">
        <v>793</v>
      </c>
      <c r="I365" s="180"/>
    </row>
    <row r="366" spans="1:9" ht="21.25" customHeight="1" x14ac:dyDescent="0.15">
      <c r="A366" s="9" t="s">
        <v>523</v>
      </c>
      <c r="B366" s="83" t="s">
        <v>857</v>
      </c>
      <c r="C366" s="178"/>
      <c r="D366" s="79"/>
      <c r="E366" s="83" t="str">
        <f t="shared" si="5"/>
        <v>—</v>
      </c>
      <c r="F366" s="83" t="s">
        <v>839</v>
      </c>
      <c r="G366" s="180">
        <v>925000</v>
      </c>
      <c r="H366" s="83" t="s">
        <v>793</v>
      </c>
      <c r="I366" s="180"/>
    </row>
    <row r="367" spans="1:9" ht="21.25" customHeight="1" x14ac:dyDescent="0.15">
      <c r="A367" s="9" t="s">
        <v>490</v>
      </c>
      <c r="B367" s="83" t="s">
        <v>857</v>
      </c>
      <c r="C367" s="178"/>
      <c r="D367" s="178"/>
      <c r="E367" s="83" t="str">
        <f t="shared" si="5"/>
        <v>—</v>
      </c>
      <c r="F367" s="83" t="s">
        <v>826</v>
      </c>
      <c r="G367" s="180">
        <v>3750000</v>
      </c>
      <c r="H367" s="83" t="s">
        <v>793</v>
      </c>
      <c r="I367" s="180"/>
    </row>
    <row r="368" spans="1:9" ht="21.25" customHeight="1" x14ac:dyDescent="0.15">
      <c r="A368" s="9" t="s">
        <v>524</v>
      </c>
      <c r="B368" s="178">
        <v>178</v>
      </c>
      <c r="C368" s="178"/>
      <c r="D368" s="79"/>
      <c r="E368" s="178">
        <f t="shared" si="5"/>
        <v>178</v>
      </c>
      <c r="F368" s="83" t="s">
        <v>848</v>
      </c>
      <c r="G368" s="180">
        <v>2290457</v>
      </c>
      <c r="H368" s="83" t="s">
        <v>793</v>
      </c>
      <c r="I368" s="180"/>
    </row>
    <row r="369" spans="1:9" ht="21.25" customHeight="1" x14ac:dyDescent="0.15">
      <c r="A369" s="9" t="s">
        <v>528</v>
      </c>
      <c r="B369" s="83" t="s">
        <v>857</v>
      </c>
      <c r="C369" s="178"/>
      <c r="D369" s="178"/>
      <c r="E369" s="83" t="str">
        <f t="shared" si="5"/>
        <v>—</v>
      </c>
      <c r="F369" s="83" t="s">
        <v>826</v>
      </c>
      <c r="G369" s="180">
        <v>1350000</v>
      </c>
      <c r="H369" s="83" t="s">
        <v>793</v>
      </c>
      <c r="I369" s="180"/>
    </row>
    <row r="370" spans="1:9" ht="21.25" customHeight="1" x14ac:dyDescent="0.15">
      <c r="A370" s="9" t="s">
        <v>532</v>
      </c>
      <c r="B370" s="178">
        <v>168</v>
      </c>
      <c r="C370" s="178"/>
      <c r="D370" s="79"/>
      <c r="E370" s="178">
        <f t="shared" si="5"/>
        <v>168</v>
      </c>
      <c r="F370" s="83" t="s">
        <v>834</v>
      </c>
      <c r="G370" s="180">
        <v>5000000</v>
      </c>
      <c r="H370" s="83" t="s">
        <v>793</v>
      </c>
      <c r="I370" s="180"/>
    </row>
    <row r="371" spans="1:9" ht="21.25" customHeight="1" x14ac:dyDescent="0.15">
      <c r="A371" s="9" t="s">
        <v>465</v>
      </c>
      <c r="B371" s="83" t="s">
        <v>857</v>
      </c>
      <c r="C371" s="178"/>
      <c r="D371" s="79"/>
      <c r="E371" s="83" t="str">
        <f t="shared" si="5"/>
        <v>—</v>
      </c>
      <c r="F371" s="83" t="s">
        <v>851</v>
      </c>
      <c r="G371" s="180">
        <v>925000</v>
      </c>
      <c r="H371" s="83" t="s">
        <v>793</v>
      </c>
      <c r="I371" s="180"/>
    </row>
    <row r="372" spans="1:9" ht="21.25" customHeight="1" x14ac:dyDescent="0.15">
      <c r="A372" s="9" t="s">
        <v>495</v>
      </c>
      <c r="B372" s="83" t="s">
        <v>857</v>
      </c>
      <c r="C372" s="178"/>
      <c r="D372" s="79"/>
      <c r="E372" s="83" t="str">
        <f t="shared" si="5"/>
        <v>—</v>
      </c>
      <c r="F372" s="83" t="s">
        <v>831</v>
      </c>
      <c r="G372" s="180">
        <v>4437500</v>
      </c>
      <c r="H372" s="83" t="s">
        <v>793</v>
      </c>
      <c r="I372" s="180"/>
    </row>
    <row r="373" spans="1:9" ht="21.25" customHeight="1" x14ac:dyDescent="0.15">
      <c r="A373" s="9" t="s">
        <v>496</v>
      </c>
      <c r="B373" s="83" t="s">
        <v>857</v>
      </c>
      <c r="C373" s="178"/>
      <c r="D373" s="178"/>
      <c r="E373" s="83" t="str">
        <f t="shared" si="5"/>
        <v>—</v>
      </c>
      <c r="F373" s="83" t="s">
        <v>825</v>
      </c>
      <c r="G373" s="180">
        <v>900000</v>
      </c>
      <c r="H373" s="83" t="s">
        <v>793</v>
      </c>
      <c r="I373" s="180"/>
    </row>
    <row r="374" spans="1:9" ht="21.25" customHeight="1" x14ac:dyDescent="0.15">
      <c r="A374" s="9" t="s">
        <v>535</v>
      </c>
      <c r="B374" s="83" t="s">
        <v>857</v>
      </c>
      <c r="C374" s="178"/>
      <c r="D374" s="79"/>
      <c r="E374" s="83" t="str">
        <f t="shared" si="5"/>
        <v>—</v>
      </c>
      <c r="F374" s="83" t="s">
        <v>855</v>
      </c>
      <c r="G374" s="180">
        <v>5500000</v>
      </c>
      <c r="H374" s="83" t="s">
        <v>793</v>
      </c>
      <c r="I374" s="180"/>
    </row>
    <row r="375" spans="1:9" ht="21.25" customHeight="1" x14ac:dyDescent="0.15">
      <c r="A375" s="9" t="s">
        <v>537</v>
      </c>
      <c r="B375" s="83" t="s">
        <v>857</v>
      </c>
      <c r="C375" s="178"/>
      <c r="D375" s="79"/>
      <c r="E375" s="83" t="str">
        <f t="shared" si="5"/>
        <v>—</v>
      </c>
      <c r="F375" s="83" t="s">
        <v>829</v>
      </c>
      <c r="G375" s="180">
        <v>3150000</v>
      </c>
      <c r="H375" s="83" t="s">
        <v>793</v>
      </c>
      <c r="I375" s="180"/>
    </row>
    <row r="376" spans="1:9" ht="21.25" customHeight="1" x14ac:dyDescent="0.15">
      <c r="A376" s="9" t="s">
        <v>538</v>
      </c>
      <c r="B376" s="178">
        <v>159.80000000000001</v>
      </c>
      <c r="C376" s="178"/>
      <c r="D376" s="79"/>
      <c r="E376" s="178">
        <f t="shared" si="5"/>
        <v>159.80000000000001</v>
      </c>
      <c r="F376" s="83" t="s">
        <v>824</v>
      </c>
      <c r="G376" s="180">
        <v>5125000</v>
      </c>
      <c r="H376" s="83" t="s">
        <v>793</v>
      </c>
      <c r="I376" s="180"/>
    </row>
    <row r="377" spans="1:9" ht="21.25" customHeight="1" x14ac:dyDescent="0.15">
      <c r="A377" s="9" t="s">
        <v>539</v>
      </c>
      <c r="B377" s="83" t="s">
        <v>857</v>
      </c>
      <c r="C377" s="178"/>
      <c r="D377" s="79"/>
      <c r="E377" s="83" t="str">
        <f t="shared" si="5"/>
        <v>—</v>
      </c>
      <c r="F377" s="83" t="s">
        <v>856</v>
      </c>
      <c r="G377" s="180">
        <v>3000000</v>
      </c>
      <c r="H377" s="83" t="s">
        <v>793</v>
      </c>
      <c r="I377" s="180"/>
    </row>
    <row r="378" spans="1:9" ht="21.25" customHeight="1" x14ac:dyDescent="0.15">
      <c r="A378" s="9" t="s">
        <v>498</v>
      </c>
      <c r="B378" s="83" t="s">
        <v>857</v>
      </c>
      <c r="C378" s="178"/>
      <c r="D378" s="79"/>
      <c r="E378" s="83" t="str">
        <f t="shared" si="5"/>
        <v>—</v>
      </c>
      <c r="F378" s="83" t="s">
        <v>858</v>
      </c>
      <c r="G378" s="180">
        <v>925000</v>
      </c>
      <c r="H378" s="83" t="s">
        <v>793</v>
      </c>
      <c r="I378" s="180"/>
    </row>
    <row r="379" spans="1:9" ht="21.25" customHeight="1" x14ac:dyDescent="0.15">
      <c r="A379" s="9" t="s">
        <v>499</v>
      </c>
      <c r="B379" s="83" t="s">
        <v>857</v>
      </c>
      <c r="C379" s="178"/>
      <c r="D379" s="79"/>
      <c r="E379" s="83" t="str">
        <f t="shared" si="5"/>
        <v>—</v>
      </c>
      <c r="F379" s="83" t="s">
        <v>835</v>
      </c>
      <c r="G379" s="180">
        <v>3250000</v>
      </c>
      <c r="H379" s="83" t="s">
        <v>793</v>
      </c>
      <c r="I379" s="180"/>
    </row>
    <row r="380" spans="1:9" ht="21.25" customHeight="1" x14ac:dyDescent="0.15">
      <c r="A380" s="9" t="s">
        <v>467</v>
      </c>
      <c r="B380" s="83" t="s">
        <v>857</v>
      </c>
      <c r="C380" s="178"/>
      <c r="D380" s="79"/>
      <c r="E380" s="83" t="str">
        <f t="shared" si="5"/>
        <v>—</v>
      </c>
      <c r="F380" s="83" t="s">
        <v>850</v>
      </c>
      <c r="G380" s="180">
        <v>3500000</v>
      </c>
      <c r="H380" s="83" t="s">
        <v>793</v>
      </c>
      <c r="I380" s="180"/>
    </row>
    <row r="381" spans="1:9" ht="21.25" customHeight="1" x14ac:dyDescent="0.15">
      <c r="A381" s="9" t="s">
        <v>501</v>
      </c>
      <c r="B381" s="83" t="s">
        <v>857</v>
      </c>
      <c r="C381" s="178"/>
      <c r="D381" s="79"/>
      <c r="E381" s="83" t="str">
        <f t="shared" si="5"/>
        <v>—</v>
      </c>
      <c r="F381" s="83" t="s">
        <v>832</v>
      </c>
      <c r="G381" s="180">
        <v>1150000</v>
      </c>
      <c r="H381" s="83" t="s">
        <v>793</v>
      </c>
      <c r="I381" s="180"/>
    </row>
    <row r="382" spans="1:9" ht="21.25" customHeight="1" x14ac:dyDescent="0.15">
      <c r="A382" s="9" t="s">
        <v>494</v>
      </c>
      <c r="B382" s="83" t="s">
        <v>857</v>
      </c>
      <c r="C382" s="178"/>
      <c r="D382" s="178"/>
      <c r="E382" s="83" t="str">
        <f t="shared" si="5"/>
        <v>—</v>
      </c>
      <c r="F382" s="83" t="s">
        <v>845</v>
      </c>
      <c r="G382" s="180">
        <v>2200000</v>
      </c>
      <c r="H382" s="83" t="s">
        <v>793</v>
      </c>
      <c r="I382" s="180"/>
    </row>
    <row r="383" spans="1:9" ht="21.25" customHeight="1" x14ac:dyDescent="0.15">
      <c r="A383" s="9" t="s">
        <v>503</v>
      </c>
      <c r="B383" s="83" t="s">
        <v>857</v>
      </c>
      <c r="C383" s="178"/>
      <c r="D383" s="79"/>
      <c r="E383" s="83" t="str">
        <f t="shared" si="5"/>
        <v>—</v>
      </c>
      <c r="F383" s="83" t="s">
        <v>831</v>
      </c>
      <c r="G383" s="180">
        <v>4500000</v>
      </c>
      <c r="H383" s="83" t="s">
        <v>793</v>
      </c>
      <c r="I383" s="180"/>
    </row>
    <row r="384" spans="1:9" ht="21.25" customHeight="1" x14ac:dyDescent="0.15">
      <c r="A384" s="9" t="s">
        <v>547</v>
      </c>
      <c r="B384" s="83" t="s">
        <v>857</v>
      </c>
      <c r="C384" s="178"/>
      <c r="D384" s="178"/>
      <c r="E384" s="83" t="str">
        <f t="shared" si="5"/>
        <v>—</v>
      </c>
      <c r="F384" s="83" t="s">
        <v>826</v>
      </c>
      <c r="G384" s="83" t="s">
        <v>843</v>
      </c>
      <c r="H384" s="83" t="s">
        <v>793</v>
      </c>
      <c r="I384" s="180"/>
    </row>
    <row r="385" spans="1:9" ht="21.25" customHeight="1" x14ac:dyDescent="0.15">
      <c r="A385" s="9" t="s">
        <v>497</v>
      </c>
      <c r="B385" s="83" t="s">
        <v>857</v>
      </c>
      <c r="C385" s="178"/>
      <c r="D385" s="79"/>
      <c r="E385" s="83" t="str">
        <f t="shared" si="5"/>
        <v>—</v>
      </c>
      <c r="F385" s="83" t="s">
        <v>858</v>
      </c>
      <c r="G385" s="180">
        <v>812500</v>
      </c>
      <c r="H385" s="83" t="s">
        <v>793</v>
      </c>
      <c r="I385" s="180"/>
    </row>
    <row r="386" spans="1:9" ht="21.25" customHeight="1" x14ac:dyDescent="0.15">
      <c r="A386" s="9" t="s">
        <v>504</v>
      </c>
      <c r="B386" s="83" t="s">
        <v>857</v>
      </c>
      <c r="C386" s="178"/>
      <c r="D386" s="79"/>
      <c r="E386" s="83" t="str">
        <f t="shared" ref="E386:E449" si="6">IFERROR(AVERAGE(B386:D386),"—")</f>
        <v>—</v>
      </c>
      <c r="F386" s="83" t="s">
        <v>844</v>
      </c>
      <c r="G386" s="180">
        <v>2675000</v>
      </c>
      <c r="H386" s="83" t="s">
        <v>793</v>
      </c>
      <c r="I386" s="180"/>
    </row>
    <row r="387" spans="1:9" ht="21.25" customHeight="1" x14ac:dyDescent="0.15">
      <c r="A387" s="9" t="s">
        <v>505</v>
      </c>
      <c r="B387" s="83" t="s">
        <v>857</v>
      </c>
      <c r="C387" s="178"/>
      <c r="D387" s="79"/>
      <c r="E387" s="83" t="str">
        <f t="shared" si="6"/>
        <v>—</v>
      </c>
      <c r="F387" s="83" t="s">
        <v>851</v>
      </c>
      <c r="G387" s="180">
        <v>3100000</v>
      </c>
      <c r="H387" s="83" t="s">
        <v>793</v>
      </c>
      <c r="I387" s="180"/>
    </row>
    <row r="388" spans="1:9" ht="21.25" customHeight="1" x14ac:dyDescent="0.15">
      <c r="A388" s="9" t="s">
        <v>549</v>
      </c>
      <c r="B388" s="83" t="s">
        <v>857</v>
      </c>
      <c r="C388" s="178"/>
      <c r="D388" s="79"/>
      <c r="E388" s="83" t="str">
        <f t="shared" si="6"/>
        <v>—</v>
      </c>
      <c r="F388" s="83" t="s">
        <v>842</v>
      </c>
      <c r="G388" s="180">
        <v>5625000</v>
      </c>
      <c r="H388" s="83" t="s">
        <v>793</v>
      </c>
      <c r="I388" s="180"/>
    </row>
    <row r="389" spans="1:9" ht="21.25" customHeight="1" x14ac:dyDescent="0.15">
      <c r="A389" s="9" t="s">
        <v>507</v>
      </c>
      <c r="B389" s="83" t="s">
        <v>857</v>
      </c>
      <c r="C389" s="178"/>
      <c r="D389" s="79"/>
      <c r="E389" s="83" t="str">
        <f t="shared" si="6"/>
        <v>—</v>
      </c>
      <c r="F389" s="83" t="s">
        <v>824</v>
      </c>
      <c r="G389" s="180">
        <v>950000</v>
      </c>
      <c r="H389" s="83" t="s">
        <v>793</v>
      </c>
      <c r="I389" s="180"/>
    </row>
    <row r="390" spans="1:9" ht="21.25" customHeight="1" x14ac:dyDescent="0.15">
      <c r="A390" s="9" t="s">
        <v>508</v>
      </c>
      <c r="B390" s="83" t="s">
        <v>857</v>
      </c>
      <c r="C390" s="178"/>
      <c r="D390" s="79"/>
      <c r="E390" s="83" t="str">
        <f t="shared" si="6"/>
        <v>—</v>
      </c>
      <c r="F390" s="83" t="s">
        <v>855</v>
      </c>
      <c r="G390" s="180">
        <v>5166600</v>
      </c>
      <c r="H390" s="83" t="s">
        <v>793</v>
      </c>
      <c r="I390" s="180"/>
    </row>
    <row r="391" spans="1:9" ht="21.25" customHeight="1" x14ac:dyDescent="0.15">
      <c r="A391" s="9" t="s">
        <v>474</v>
      </c>
      <c r="B391" s="83" t="s">
        <v>857</v>
      </c>
      <c r="C391" s="178"/>
      <c r="D391" s="79"/>
      <c r="E391" s="83" t="str">
        <f t="shared" si="6"/>
        <v>—</v>
      </c>
      <c r="F391" s="83" t="s">
        <v>845</v>
      </c>
      <c r="G391" s="180">
        <v>863333</v>
      </c>
      <c r="H391" s="83" t="s">
        <v>793</v>
      </c>
      <c r="I391" s="180"/>
    </row>
    <row r="392" spans="1:9" ht="21.25" customHeight="1" x14ac:dyDescent="0.15">
      <c r="A392" s="9" t="s">
        <v>510</v>
      </c>
      <c r="B392" s="83" t="s">
        <v>857</v>
      </c>
      <c r="C392" s="178"/>
      <c r="D392" s="79"/>
      <c r="E392" s="83" t="str">
        <f t="shared" si="6"/>
        <v>—</v>
      </c>
      <c r="F392" s="83" t="s">
        <v>854</v>
      </c>
      <c r="G392" s="180">
        <v>2900000</v>
      </c>
      <c r="H392" s="83" t="s">
        <v>793</v>
      </c>
      <c r="I392" s="180"/>
    </row>
    <row r="393" spans="1:9" ht="21.25" customHeight="1" x14ac:dyDescent="0.15">
      <c r="A393" s="9" t="s">
        <v>552</v>
      </c>
      <c r="B393" s="83" t="s">
        <v>857</v>
      </c>
      <c r="C393" s="178"/>
      <c r="D393" s="79"/>
      <c r="E393" s="83" t="str">
        <f t="shared" si="6"/>
        <v>—</v>
      </c>
      <c r="F393" s="83" t="s">
        <v>858</v>
      </c>
      <c r="G393" s="180">
        <v>5000000</v>
      </c>
      <c r="H393" s="83" t="s">
        <v>793</v>
      </c>
      <c r="I393" s="180"/>
    </row>
    <row r="394" spans="1:9" ht="21.25" customHeight="1" x14ac:dyDescent="0.15">
      <c r="A394" s="9" t="s">
        <v>511</v>
      </c>
      <c r="B394" s="83" t="s">
        <v>857</v>
      </c>
      <c r="C394" s="178"/>
      <c r="D394" s="79"/>
      <c r="E394" s="83" t="str">
        <f t="shared" si="6"/>
        <v>—</v>
      </c>
      <c r="F394" s="83" t="s">
        <v>832</v>
      </c>
      <c r="G394" s="180">
        <v>2500000</v>
      </c>
      <c r="H394" s="83" t="s">
        <v>793</v>
      </c>
      <c r="I394" s="180"/>
    </row>
    <row r="395" spans="1:9" ht="21.25" customHeight="1" x14ac:dyDescent="0.15">
      <c r="A395" s="9" t="s">
        <v>513</v>
      </c>
      <c r="B395" s="83" t="s">
        <v>857</v>
      </c>
      <c r="C395" s="178"/>
      <c r="D395" s="79"/>
      <c r="E395" s="83" t="str">
        <f t="shared" si="6"/>
        <v>—</v>
      </c>
      <c r="F395" s="83" t="s">
        <v>829</v>
      </c>
      <c r="G395" s="180">
        <v>3400000</v>
      </c>
      <c r="H395" s="83" t="s">
        <v>793</v>
      </c>
      <c r="I395" s="180"/>
    </row>
    <row r="396" spans="1:9" ht="21.25" customHeight="1" x14ac:dyDescent="0.15">
      <c r="A396" s="9" t="s">
        <v>514</v>
      </c>
      <c r="B396" s="83" t="s">
        <v>857</v>
      </c>
      <c r="C396" s="178"/>
      <c r="D396" s="178"/>
      <c r="E396" s="83" t="str">
        <f t="shared" si="6"/>
        <v>—</v>
      </c>
      <c r="F396" s="83" t="s">
        <v>836</v>
      </c>
      <c r="G396" s="180">
        <v>3500000</v>
      </c>
      <c r="H396" s="83" t="s">
        <v>793</v>
      </c>
      <c r="I396" s="180"/>
    </row>
    <row r="397" spans="1:9" ht="21.25" customHeight="1" x14ac:dyDescent="0.15">
      <c r="A397" s="9" t="s">
        <v>518</v>
      </c>
      <c r="B397" s="178">
        <v>182</v>
      </c>
      <c r="C397" s="178"/>
      <c r="D397" s="79"/>
      <c r="E397" s="178">
        <f t="shared" si="6"/>
        <v>182</v>
      </c>
      <c r="F397" s="83" t="s">
        <v>829</v>
      </c>
      <c r="G397" s="180">
        <v>4000000</v>
      </c>
      <c r="H397" s="83" t="s">
        <v>793</v>
      </c>
      <c r="I397" s="180"/>
    </row>
    <row r="398" spans="1:9" ht="21.25" customHeight="1" x14ac:dyDescent="0.15">
      <c r="A398" s="9" t="s">
        <v>519</v>
      </c>
      <c r="B398" s="178">
        <v>188</v>
      </c>
      <c r="C398" s="178"/>
      <c r="D398" s="79"/>
      <c r="E398" s="178">
        <f t="shared" si="6"/>
        <v>188</v>
      </c>
      <c r="F398" s="83" t="s">
        <v>834</v>
      </c>
      <c r="G398" s="180">
        <v>3333000</v>
      </c>
      <c r="H398" s="83" t="s">
        <v>793</v>
      </c>
      <c r="I398" s="180"/>
    </row>
    <row r="399" spans="1:9" ht="21.25" customHeight="1" x14ac:dyDescent="0.15">
      <c r="A399" s="9" t="s">
        <v>520</v>
      </c>
      <c r="B399" s="83" t="s">
        <v>857</v>
      </c>
      <c r="C399" s="178"/>
      <c r="D399" s="79"/>
      <c r="E399" s="83" t="str">
        <f t="shared" si="6"/>
        <v>—</v>
      </c>
      <c r="F399" s="83" t="s">
        <v>837</v>
      </c>
      <c r="G399" s="180">
        <v>3750000</v>
      </c>
      <c r="H399" s="83" t="s">
        <v>793</v>
      </c>
      <c r="I399" s="180"/>
    </row>
    <row r="400" spans="1:9" ht="21.25" customHeight="1" x14ac:dyDescent="0.15">
      <c r="A400" s="9" t="s">
        <v>521</v>
      </c>
      <c r="B400" s="83" t="s">
        <v>857</v>
      </c>
      <c r="C400" s="178"/>
      <c r="D400" s="79"/>
      <c r="E400" s="83" t="str">
        <f t="shared" si="6"/>
        <v>—</v>
      </c>
      <c r="F400" s="83" t="s">
        <v>849</v>
      </c>
      <c r="G400" s="180">
        <v>3000000</v>
      </c>
      <c r="H400" s="83" t="s">
        <v>793</v>
      </c>
      <c r="I400" s="180"/>
    </row>
    <row r="401" spans="1:9" ht="21.25" customHeight="1" x14ac:dyDescent="0.15">
      <c r="A401" s="9" t="s">
        <v>509</v>
      </c>
      <c r="B401" s="178">
        <v>158.4</v>
      </c>
      <c r="C401" s="178"/>
      <c r="D401" s="79"/>
      <c r="E401" s="178">
        <f t="shared" si="6"/>
        <v>158.4</v>
      </c>
      <c r="F401" s="83" t="s">
        <v>844</v>
      </c>
      <c r="G401" s="180">
        <v>766600</v>
      </c>
      <c r="H401" s="83" t="s">
        <v>793</v>
      </c>
      <c r="I401" s="180"/>
    </row>
    <row r="402" spans="1:9" ht="21.25" customHeight="1" x14ac:dyDescent="0.15">
      <c r="A402" s="9" t="s">
        <v>525</v>
      </c>
      <c r="B402" s="83" t="s">
        <v>857</v>
      </c>
      <c r="C402" s="178"/>
      <c r="D402" s="79"/>
      <c r="E402" s="83" t="str">
        <f t="shared" si="6"/>
        <v>—</v>
      </c>
      <c r="F402" s="83" t="s">
        <v>851</v>
      </c>
      <c r="G402" s="180">
        <v>1400000</v>
      </c>
      <c r="H402" s="83" t="s">
        <v>793</v>
      </c>
      <c r="I402" s="180"/>
    </row>
    <row r="403" spans="1:9" ht="21.25" customHeight="1" x14ac:dyDescent="0.15">
      <c r="A403" s="9" t="s">
        <v>565</v>
      </c>
      <c r="B403" s="83" t="s">
        <v>857</v>
      </c>
      <c r="C403" s="178"/>
      <c r="D403" s="79"/>
      <c r="E403" s="83" t="str">
        <f t="shared" si="6"/>
        <v>—</v>
      </c>
      <c r="F403" s="83" t="s">
        <v>838</v>
      </c>
      <c r="G403" s="180">
        <v>2000000</v>
      </c>
      <c r="H403" s="83" t="s">
        <v>793</v>
      </c>
      <c r="I403" s="180"/>
    </row>
    <row r="404" spans="1:9" ht="21.25" customHeight="1" x14ac:dyDescent="0.15">
      <c r="A404" s="9" t="s">
        <v>487</v>
      </c>
      <c r="B404" s="83" t="s">
        <v>857</v>
      </c>
      <c r="C404" s="178"/>
      <c r="D404" s="79"/>
      <c r="E404" s="83" t="str">
        <f t="shared" si="6"/>
        <v>—</v>
      </c>
      <c r="F404" s="83" t="s">
        <v>828</v>
      </c>
      <c r="G404" s="180">
        <v>2300000</v>
      </c>
      <c r="H404" s="83" t="s">
        <v>793</v>
      </c>
      <c r="I404" s="180"/>
    </row>
    <row r="405" spans="1:9" ht="21.25" customHeight="1" x14ac:dyDescent="0.15">
      <c r="A405" s="9" t="s">
        <v>488</v>
      </c>
      <c r="B405" s="178"/>
      <c r="C405" s="178"/>
      <c r="D405" s="79"/>
      <c r="E405" s="83" t="str">
        <f t="shared" si="6"/>
        <v>—</v>
      </c>
      <c r="F405" s="83" t="s">
        <v>839</v>
      </c>
      <c r="G405" s="180">
        <v>950000</v>
      </c>
      <c r="H405" s="79"/>
      <c r="I405" s="180"/>
    </row>
    <row r="406" spans="1:9" ht="21.25" customHeight="1" x14ac:dyDescent="0.15">
      <c r="A406" s="9" t="s">
        <v>527</v>
      </c>
      <c r="B406" s="83" t="s">
        <v>857</v>
      </c>
      <c r="C406" s="178"/>
      <c r="D406" s="79"/>
      <c r="E406" s="83" t="str">
        <f t="shared" si="6"/>
        <v>—</v>
      </c>
      <c r="F406" s="83" t="s">
        <v>847</v>
      </c>
      <c r="G406" s="180">
        <v>4400000</v>
      </c>
      <c r="H406" s="83" t="s">
        <v>793</v>
      </c>
      <c r="I406" s="180"/>
    </row>
    <row r="407" spans="1:9" ht="21.25" customHeight="1" x14ac:dyDescent="0.15">
      <c r="A407" s="9" t="s">
        <v>529</v>
      </c>
      <c r="B407" s="83" t="s">
        <v>857</v>
      </c>
      <c r="C407" s="178"/>
      <c r="D407" s="178"/>
      <c r="E407" s="83" t="str">
        <f t="shared" si="6"/>
        <v>—</v>
      </c>
      <c r="F407" s="83" t="s">
        <v>842</v>
      </c>
      <c r="G407" s="180">
        <v>3200000</v>
      </c>
      <c r="H407" s="83" t="s">
        <v>793</v>
      </c>
      <c r="I407" s="180"/>
    </row>
    <row r="408" spans="1:9" ht="21.25" customHeight="1" x14ac:dyDescent="0.15">
      <c r="A408" s="9" t="s">
        <v>512</v>
      </c>
      <c r="B408" s="83" t="s">
        <v>857</v>
      </c>
      <c r="C408" s="178"/>
      <c r="D408" s="79"/>
      <c r="E408" s="83" t="str">
        <f t="shared" si="6"/>
        <v>—</v>
      </c>
      <c r="F408" s="83" t="s">
        <v>842</v>
      </c>
      <c r="G408" s="180">
        <v>900000</v>
      </c>
      <c r="H408" s="83" t="s">
        <v>793</v>
      </c>
      <c r="I408" s="180"/>
    </row>
    <row r="409" spans="1:9" ht="21.25" customHeight="1" x14ac:dyDescent="0.15">
      <c r="A409" s="9" t="s">
        <v>531</v>
      </c>
      <c r="B409" s="83" t="s">
        <v>857</v>
      </c>
      <c r="C409" s="178"/>
      <c r="D409" s="79"/>
      <c r="E409" s="83" t="str">
        <f t="shared" si="6"/>
        <v>—</v>
      </c>
      <c r="F409" s="83" t="s">
        <v>834</v>
      </c>
      <c r="G409" s="180">
        <v>4285714</v>
      </c>
      <c r="H409" s="83" t="s">
        <v>793</v>
      </c>
      <c r="I409" s="180"/>
    </row>
    <row r="410" spans="1:9" ht="21.25" customHeight="1" x14ac:dyDescent="0.15">
      <c r="A410" s="9" t="s">
        <v>568</v>
      </c>
      <c r="B410" s="83" t="s">
        <v>857</v>
      </c>
      <c r="C410" s="178"/>
      <c r="D410" s="79"/>
      <c r="E410" s="83" t="str">
        <f t="shared" si="6"/>
        <v>—</v>
      </c>
      <c r="F410" s="83" t="s">
        <v>841</v>
      </c>
      <c r="G410" s="180">
        <v>1075000</v>
      </c>
      <c r="H410" s="83" t="s">
        <v>793</v>
      </c>
      <c r="I410" s="180"/>
    </row>
    <row r="411" spans="1:9" ht="21.25" customHeight="1" x14ac:dyDescent="0.15">
      <c r="A411" s="9" t="s">
        <v>533</v>
      </c>
      <c r="B411" s="83" t="s">
        <v>857</v>
      </c>
      <c r="C411" s="178"/>
      <c r="D411" s="79"/>
      <c r="E411" s="83" t="str">
        <f t="shared" si="6"/>
        <v>—</v>
      </c>
      <c r="F411" s="83" t="s">
        <v>856</v>
      </c>
      <c r="G411" s="180">
        <v>5100000</v>
      </c>
      <c r="H411" s="83" t="s">
        <v>793</v>
      </c>
      <c r="I411" s="180"/>
    </row>
    <row r="412" spans="1:9" ht="21.25" customHeight="1" x14ac:dyDescent="0.15">
      <c r="A412" s="9" t="s">
        <v>534</v>
      </c>
      <c r="B412" s="83" t="s">
        <v>857</v>
      </c>
      <c r="C412" s="178"/>
      <c r="D412" s="79"/>
      <c r="E412" s="83" t="str">
        <f t="shared" si="6"/>
        <v>—</v>
      </c>
      <c r="F412" s="83" t="s">
        <v>844</v>
      </c>
      <c r="G412" s="180">
        <v>3000000</v>
      </c>
      <c r="H412" s="83" t="s">
        <v>793</v>
      </c>
      <c r="I412" s="180"/>
    </row>
    <row r="413" spans="1:9" ht="21.25" customHeight="1" x14ac:dyDescent="0.15">
      <c r="A413" s="9" t="s">
        <v>536</v>
      </c>
      <c r="B413" s="83" t="s">
        <v>857</v>
      </c>
      <c r="C413" s="178"/>
      <c r="D413" s="79"/>
      <c r="E413" s="83" t="str">
        <f t="shared" si="6"/>
        <v>—</v>
      </c>
      <c r="F413" s="83" t="s">
        <v>841</v>
      </c>
      <c r="G413" s="180">
        <v>2750000</v>
      </c>
      <c r="H413" s="83" t="s">
        <v>793</v>
      </c>
      <c r="I413" s="180"/>
    </row>
    <row r="414" spans="1:9" ht="21.25" customHeight="1" x14ac:dyDescent="0.15">
      <c r="A414" s="9" t="s">
        <v>573</v>
      </c>
      <c r="B414" s="83" t="s">
        <v>857</v>
      </c>
      <c r="C414" s="178"/>
      <c r="D414" s="178"/>
      <c r="E414" s="83" t="str">
        <f t="shared" si="6"/>
        <v>—</v>
      </c>
      <c r="F414" s="83" t="s">
        <v>851</v>
      </c>
      <c r="G414" s="180">
        <v>3500000</v>
      </c>
      <c r="H414" s="83" t="s">
        <v>793</v>
      </c>
      <c r="I414" s="180"/>
    </row>
    <row r="415" spans="1:9" ht="21.25" customHeight="1" x14ac:dyDescent="0.15">
      <c r="A415" s="9" t="s">
        <v>491</v>
      </c>
      <c r="B415" s="83" t="s">
        <v>857</v>
      </c>
      <c r="C415" s="178"/>
      <c r="D415" s="79"/>
      <c r="E415" s="83" t="str">
        <f t="shared" si="6"/>
        <v>—</v>
      </c>
      <c r="F415" s="83" t="s">
        <v>841</v>
      </c>
      <c r="G415" s="180">
        <v>3000000</v>
      </c>
      <c r="H415" s="83" t="s">
        <v>793</v>
      </c>
      <c r="I415" s="180"/>
    </row>
    <row r="416" spans="1:9" ht="21.25" customHeight="1" x14ac:dyDescent="0.15">
      <c r="A416" s="9" t="s">
        <v>540</v>
      </c>
      <c r="B416" s="83" t="s">
        <v>857</v>
      </c>
      <c r="C416" s="178"/>
      <c r="D416" s="79"/>
      <c r="E416" s="83" t="str">
        <f t="shared" si="6"/>
        <v>—</v>
      </c>
      <c r="F416" s="83" t="s">
        <v>824</v>
      </c>
      <c r="G416" s="180">
        <v>2750000</v>
      </c>
      <c r="H416" s="83" t="s">
        <v>793</v>
      </c>
      <c r="I416" s="180"/>
    </row>
    <row r="417" spans="1:9" ht="21.25" customHeight="1" x14ac:dyDescent="0.15">
      <c r="A417" s="9" t="s">
        <v>541</v>
      </c>
      <c r="B417" s="83" t="s">
        <v>857</v>
      </c>
      <c r="C417" s="178"/>
      <c r="D417" s="79"/>
      <c r="E417" s="83" t="str">
        <f t="shared" si="6"/>
        <v>—</v>
      </c>
      <c r="F417" s="83" t="s">
        <v>825</v>
      </c>
      <c r="G417" s="180">
        <v>4000000</v>
      </c>
      <c r="H417" s="83" t="s">
        <v>793</v>
      </c>
      <c r="I417" s="180"/>
    </row>
    <row r="418" spans="1:9" ht="21.25" customHeight="1" x14ac:dyDescent="0.15">
      <c r="A418" s="9" t="s">
        <v>542</v>
      </c>
      <c r="B418" s="83" t="s">
        <v>857</v>
      </c>
      <c r="C418" s="178"/>
      <c r="D418" s="79"/>
      <c r="E418" s="83" t="str">
        <f t="shared" si="6"/>
        <v>—</v>
      </c>
      <c r="F418" s="83" t="s">
        <v>840</v>
      </c>
      <c r="G418" s="180">
        <v>805000</v>
      </c>
      <c r="H418" s="83" t="s">
        <v>793</v>
      </c>
      <c r="I418" s="180"/>
    </row>
    <row r="419" spans="1:9" ht="21.25" customHeight="1" x14ac:dyDescent="0.15">
      <c r="A419" s="9" t="s">
        <v>543</v>
      </c>
      <c r="B419" s="83" t="s">
        <v>857</v>
      </c>
      <c r="C419" s="178"/>
      <c r="D419" s="79"/>
      <c r="E419" s="83" t="str">
        <f t="shared" si="6"/>
        <v>—</v>
      </c>
      <c r="F419" s="83" t="s">
        <v>837</v>
      </c>
      <c r="G419" s="180">
        <v>3250000</v>
      </c>
      <c r="H419" s="83" t="s">
        <v>793</v>
      </c>
      <c r="I419" s="180"/>
    </row>
    <row r="420" spans="1:9" ht="21.25" customHeight="1" x14ac:dyDescent="0.15">
      <c r="A420" s="9" t="s">
        <v>544</v>
      </c>
      <c r="B420" s="83" t="s">
        <v>857</v>
      </c>
      <c r="C420" s="178"/>
      <c r="D420" s="79"/>
      <c r="E420" s="83" t="str">
        <f t="shared" si="6"/>
        <v>—</v>
      </c>
      <c r="F420" s="83" t="s">
        <v>834</v>
      </c>
      <c r="G420" s="180">
        <v>3100000</v>
      </c>
      <c r="H420" s="83" t="s">
        <v>793</v>
      </c>
      <c r="I420" s="180"/>
    </row>
    <row r="421" spans="1:9" ht="21.25" customHeight="1" x14ac:dyDescent="0.15">
      <c r="A421" s="9" t="s">
        <v>545</v>
      </c>
      <c r="B421" s="83" t="s">
        <v>857</v>
      </c>
      <c r="C421" s="178"/>
      <c r="D421" s="79"/>
      <c r="E421" s="83" t="str">
        <f t="shared" si="6"/>
        <v>—</v>
      </c>
      <c r="F421" s="83" t="s">
        <v>854</v>
      </c>
      <c r="G421" s="180">
        <v>1150000</v>
      </c>
      <c r="H421" s="83" t="s">
        <v>793</v>
      </c>
      <c r="I421" s="180"/>
    </row>
    <row r="422" spans="1:9" ht="21.25" customHeight="1" x14ac:dyDescent="0.15">
      <c r="A422" s="9" t="s">
        <v>546</v>
      </c>
      <c r="B422" s="83" t="s">
        <v>857</v>
      </c>
      <c r="C422" s="178"/>
      <c r="D422" s="79"/>
      <c r="E422" s="83" t="str">
        <f t="shared" si="6"/>
        <v>—</v>
      </c>
      <c r="F422" s="83" t="s">
        <v>826</v>
      </c>
      <c r="G422" s="180">
        <v>1500000</v>
      </c>
      <c r="H422" s="83" t="s">
        <v>793</v>
      </c>
      <c r="I422" s="180"/>
    </row>
    <row r="423" spans="1:9" ht="21.25" customHeight="1" x14ac:dyDescent="0.15">
      <c r="A423" s="9" t="s">
        <v>500</v>
      </c>
      <c r="B423" s="83" t="s">
        <v>857</v>
      </c>
      <c r="C423" s="178"/>
      <c r="D423" s="79"/>
      <c r="E423" s="83" t="str">
        <f t="shared" si="6"/>
        <v>—</v>
      </c>
      <c r="F423" s="83" t="s">
        <v>852</v>
      </c>
      <c r="G423" s="180">
        <v>2100000</v>
      </c>
      <c r="H423" s="83" t="s">
        <v>793</v>
      </c>
      <c r="I423" s="180"/>
    </row>
    <row r="424" spans="1:9" ht="21.25" customHeight="1" x14ac:dyDescent="0.15">
      <c r="A424" s="9" t="s">
        <v>548</v>
      </c>
      <c r="B424" s="83" t="s">
        <v>857</v>
      </c>
      <c r="C424" s="178"/>
      <c r="D424" s="79"/>
      <c r="E424" s="83" t="str">
        <f t="shared" si="6"/>
        <v>—</v>
      </c>
      <c r="F424" s="83" t="s">
        <v>852</v>
      </c>
      <c r="G424" s="180">
        <v>2250000</v>
      </c>
      <c r="H424" s="83" t="s">
        <v>793</v>
      </c>
      <c r="I424" s="180"/>
    </row>
    <row r="425" spans="1:9" ht="21.25" customHeight="1" x14ac:dyDescent="0.15">
      <c r="A425" s="9" t="s">
        <v>550</v>
      </c>
      <c r="B425" s="83" t="s">
        <v>857</v>
      </c>
      <c r="C425" s="178"/>
      <c r="D425" s="79"/>
      <c r="E425" s="83" t="str">
        <f t="shared" si="6"/>
        <v>—</v>
      </c>
      <c r="F425" s="83" t="s">
        <v>851</v>
      </c>
      <c r="G425" s="180">
        <v>2000000</v>
      </c>
      <c r="H425" s="83" t="s">
        <v>793</v>
      </c>
      <c r="I425" s="180"/>
    </row>
    <row r="426" spans="1:9" ht="21.25" customHeight="1" x14ac:dyDescent="0.15">
      <c r="A426" s="9" t="s">
        <v>551</v>
      </c>
      <c r="B426" s="83" t="s">
        <v>857</v>
      </c>
      <c r="C426" s="178"/>
      <c r="D426" s="79"/>
      <c r="E426" s="83" t="str">
        <f t="shared" si="6"/>
        <v>—</v>
      </c>
      <c r="F426" s="83" t="s">
        <v>836</v>
      </c>
      <c r="G426" s="180">
        <v>5000000</v>
      </c>
      <c r="H426" s="83" t="s">
        <v>793</v>
      </c>
      <c r="I426" s="180"/>
    </row>
    <row r="427" spans="1:9" ht="21.25" customHeight="1" x14ac:dyDescent="0.15">
      <c r="A427" s="9" t="s">
        <v>553</v>
      </c>
      <c r="B427" s="83" t="s">
        <v>857</v>
      </c>
      <c r="C427" s="178"/>
      <c r="D427" s="79"/>
      <c r="E427" s="83" t="str">
        <f t="shared" si="6"/>
        <v>—</v>
      </c>
      <c r="F427" s="83" t="s">
        <v>832</v>
      </c>
      <c r="G427" s="180">
        <v>3000000</v>
      </c>
      <c r="H427" s="83" t="s">
        <v>793</v>
      </c>
      <c r="I427" s="180"/>
    </row>
    <row r="428" spans="1:9" ht="21.25" customHeight="1" x14ac:dyDescent="0.15">
      <c r="A428" s="9" t="s">
        <v>554</v>
      </c>
      <c r="B428" s="83" t="s">
        <v>857</v>
      </c>
      <c r="C428" s="178"/>
      <c r="D428" s="79"/>
      <c r="E428" s="83" t="str">
        <f t="shared" si="6"/>
        <v>—</v>
      </c>
      <c r="F428" s="83" t="s">
        <v>840</v>
      </c>
      <c r="G428" s="180">
        <v>1100000</v>
      </c>
      <c r="H428" s="83" t="s">
        <v>793</v>
      </c>
      <c r="I428" s="180"/>
    </row>
    <row r="429" spans="1:9" ht="21.25" customHeight="1" x14ac:dyDescent="0.15">
      <c r="A429" s="9" t="s">
        <v>555</v>
      </c>
      <c r="B429" s="83" t="s">
        <v>857</v>
      </c>
      <c r="C429" s="178"/>
      <c r="D429" s="79"/>
      <c r="E429" s="83" t="str">
        <f t="shared" si="6"/>
        <v>—</v>
      </c>
      <c r="F429" s="83" t="s">
        <v>859</v>
      </c>
      <c r="G429" s="180">
        <v>2750000</v>
      </c>
      <c r="H429" s="83" t="s">
        <v>793</v>
      </c>
      <c r="I429" s="180"/>
    </row>
    <row r="430" spans="1:9" ht="21.25" customHeight="1" x14ac:dyDescent="0.15">
      <c r="A430" s="9" t="s">
        <v>586</v>
      </c>
      <c r="B430" s="83" t="s">
        <v>857</v>
      </c>
      <c r="C430" s="178"/>
      <c r="D430" s="79"/>
      <c r="E430" s="83" t="str">
        <f t="shared" si="6"/>
        <v>—</v>
      </c>
      <c r="F430" s="83" t="s">
        <v>849</v>
      </c>
      <c r="G430" s="180">
        <v>3050000</v>
      </c>
      <c r="H430" s="83" t="s">
        <v>793</v>
      </c>
      <c r="I430" s="180"/>
    </row>
    <row r="431" spans="1:9" ht="21.25" customHeight="1" x14ac:dyDescent="0.15">
      <c r="A431" s="9" t="s">
        <v>556</v>
      </c>
      <c r="B431" s="83" t="s">
        <v>857</v>
      </c>
      <c r="C431" s="178"/>
      <c r="D431" s="79"/>
      <c r="E431" s="83" t="str">
        <f t="shared" si="6"/>
        <v>—</v>
      </c>
      <c r="F431" s="83" t="s">
        <v>836</v>
      </c>
      <c r="G431" s="180">
        <v>1250000</v>
      </c>
      <c r="H431" s="83" t="s">
        <v>793</v>
      </c>
      <c r="I431" s="180"/>
    </row>
    <row r="432" spans="1:9" ht="21.25" customHeight="1" x14ac:dyDescent="0.15">
      <c r="A432" s="9" t="s">
        <v>588</v>
      </c>
      <c r="B432" s="83" t="s">
        <v>857</v>
      </c>
      <c r="C432" s="178"/>
      <c r="D432" s="79"/>
      <c r="E432" s="83" t="str">
        <f t="shared" si="6"/>
        <v>—</v>
      </c>
      <c r="F432" s="83" t="s">
        <v>825</v>
      </c>
      <c r="G432" s="180">
        <v>2500000</v>
      </c>
      <c r="H432" s="83" t="s">
        <v>793</v>
      </c>
      <c r="I432" s="180"/>
    </row>
    <row r="433" spans="1:9" ht="21.25" customHeight="1" x14ac:dyDescent="0.15">
      <c r="A433" s="9" t="s">
        <v>557</v>
      </c>
      <c r="B433" s="83" t="s">
        <v>857</v>
      </c>
      <c r="C433" s="178"/>
      <c r="D433" s="79"/>
      <c r="E433" s="83" t="str">
        <f t="shared" si="6"/>
        <v>—</v>
      </c>
      <c r="F433" s="83" t="s">
        <v>839</v>
      </c>
      <c r="G433" s="180">
        <v>2750000</v>
      </c>
      <c r="H433" s="83" t="s">
        <v>793</v>
      </c>
      <c r="I433" s="180"/>
    </row>
    <row r="434" spans="1:9" ht="21.25" customHeight="1" x14ac:dyDescent="0.15">
      <c r="A434" s="9" t="s">
        <v>559</v>
      </c>
      <c r="B434" s="83" t="s">
        <v>857</v>
      </c>
      <c r="C434" s="178"/>
      <c r="D434" s="79"/>
      <c r="E434" s="83" t="str">
        <f t="shared" si="6"/>
        <v>—</v>
      </c>
      <c r="F434" s="83" t="s">
        <v>828</v>
      </c>
      <c r="G434" s="180">
        <v>2750000</v>
      </c>
      <c r="H434" s="83" t="s">
        <v>793</v>
      </c>
      <c r="I434" s="180"/>
    </row>
    <row r="435" spans="1:9" ht="21.25" customHeight="1" x14ac:dyDescent="0.15">
      <c r="A435" s="9" t="s">
        <v>560</v>
      </c>
      <c r="B435" s="83" t="s">
        <v>857</v>
      </c>
      <c r="C435" s="178"/>
      <c r="D435" s="79"/>
      <c r="E435" s="83" t="str">
        <f t="shared" si="6"/>
        <v>—</v>
      </c>
      <c r="F435" s="83" t="s">
        <v>845</v>
      </c>
      <c r="G435" s="180">
        <v>1250000</v>
      </c>
      <c r="H435" s="83" t="s">
        <v>793</v>
      </c>
      <c r="I435" s="180"/>
    </row>
    <row r="436" spans="1:9" ht="21.25" customHeight="1" x14ac:dyDescent="0.15">
      <c r="A436" s="9" t="s">
        <v>562</v>
      </c>
      <c r="B436" s="83" t="s">
        <v>857</v>
      </c>
      <c r="C436" s="178"/>
      <c r="D436" s="79"/>
      <c r="E436" s="83" t="str">
        <f t="shared" si="6"/>
        <v>—</v>
      </c>
      <c r="F436" s="83" t="s">
        <v>828</v>
      </c>
      <c r="G436" s="180">
        <v>925000</v>
      </c>
      <c r="H436" s="83" t="s">
        <v>793</v>
      </c>
      <c r="I436" s="180"/>
    </row>
    <row r="437" spans="1:9" ht="21.25" customHeight="1" x14ac:dyDescent="0.15">
      <c r="A437" s="9" t="s">
        <v>563</v>
      </c>
      <c r="B437" s="83" t="s">
        <v>857</v>
      </c>
      <c r="C437" s="178"/>
      <c r="D437" s="79"/>
      <c r="E437" s="83" t="str">
        <f t="shared" si="6"/>
        <v>—</v>
      </c>
      <c r="F437" s="83" t="s">
        <v>858</v>
      </c>
      <c r="G437" s="180">
        <v>3150000</v>
      </c>
      <c r="H437" s="83" t="s">
        <v>793</v>
      </c>
      <c r="I437" s="180"/>
    </row>
    <row r="438" spans="1:9" ht="21.25" customHeight="1" x14ac:dyDescent="0.15">
      <c r="A438" s="9" t="s">
        <v>564</v>
      </c>
      <c r="B438" s="83" t="s">
        <v>857</v>
      </c>
      <c r="C438" s="178"/>
      <c r="D438" s="178"/>
      <c r="E438" s="83" t="str">
        <f t="shared" si="6"/>
        <v>—</v>
      </c>
      <c r="F438" s="83" t="s">
        <v>838</v>
      </c>
      <c r="G438" s="180">
        <v>3250000</v>
      </c>
      <c r="H438" s="83" t="s">
        <v>793</v>
      </c>
      <c r="I438" s="180"/>
    </row>
    <row r="439" spans="1:9" ht="21.25" customHeight="1" x14ac:dyDescent="0.15">
      <c r="A439" s="9" t="s">
        <v>566</v>
      </c>
      <c r="B439" s="178">
        <v>106.9</v>
      </c>
      <c r="C439" s="178"/>
      <c r="D439" s="79"/>
      <c r="E439" s="178">
        <f t="shared" si="6"/>
        <v>106.9</v>
      </c>
      <c r="F439" s="83" t="s">
        <v>830</v>
      </c>
      <c r="G439" s="180">
        <v>2000000</v>
      </c>
      <c r="H439" s="83" t="s">
        <v>793</v>
      </c>
      <c r="I439" s="180"/>
    </row>
    <row r="440" spans="1:9" ht="21.25" customHeight="1" x14ac:dyDescent="0.15">
      <c r="A440" s="9" t="s">
        <v>515</v>
      </c>
      <c r="B440" s="83" t="s">
        <v>857</v>
      </c>
      <c r="C440" s="178"/>
      <c r="D440" s="79"/>
      <c r="E440" s="83" t="str">
        <f t="shared" si="6"/>
        <v>—</v>
      </c>
      <c r="F440" s="83" t="s">
        <v>829</v>
      </c>
      <c r="G440" s="180">
        <v>2750000</v>
      </c>
      <c r="H440" s="83" t="s">
        <v>793</v>
      </c>
      <c r="I440" s="180"/>
    </row>
    <row r="441" spans="1:9" ht="21.25" customHeight="1" x14ac:dyDescent="0.15">
      <c r="A441" s="9" t="s">
        <v>516</v>
      </c>
      <c r="B441" s="83" t="s">
        <v>857</v>
      </c>
      <c r="C441" s="178"/>
      <c r="D441" s="79"/>
      <c r="E441" s="83" t="str">
        <f t="shared" si="6"/>
        <v>—</v>
      </c>
      <c r="F441" s="83" t="s">
        <v>845</v>
      </c>
      <c r="G441" s="180">
        <v>3500000</v>
      </c>
      <c r="H441" s="83" t="s">
        <v>793</v>
      </c>
      <c r="I441" s="180"/>
    </row>
    <row r="442" spans="1:9" ht="21.25" customHeight="1" x14ac:dyDescent="0.15">
      <c r="A442" s="9" t="s">
        <v>567</v>
      </c>
      <c r="B442" s="83" t="s">
        <v>857</v>
      </c>
      <c r="C442" s="178"/>
      <c r="D442" s="79"/>
      <c r="E442" s="83" t="str">
        <f t="shared" si="6"/>
        <v>—</v>
      </c>
      <c r="F442" s="83" t="s">
        <v>851</v>
      </c>
      <c r="G442" s="180">
        <v>2100000</v>
      </c>
      <c r="H442" s="83" t="s">
        <v>793</v>
      </c>
      <c r="I442" s="180"/>
    </row>
    <row r="443" spans="1:9" ht="21.25" customHeight="1" x14ac:dyDescent="0.15">
      <c r="A443" s="9" t="s">
        <v>569</v>
      </c>
      <c r="B443" s="83" t="s">
        <v>857</v>
      </c>
      <c r="C443" s="178"/>
      <c r="D443" s="79"/>
      <c r="E443" s="83" t="str">
        <f t="shared" si="6"/>
        <v>—</v>
      </c>
      <c r="F443" s="83" t="s">
        <v>839</v>
      </c>
      <c r="G443" s="180">
        <v>3571429</v>
      </c>
      <c r="H443" s="83" t="s">
        <v>793</v>
      </c>
      <c r="I443" s="180"/>
    </row>
    <row r="444" spans="1:9" ht="21.25" customHeight="1" x14ac:dyDescent="0.15">
      <c r="A444" s="9" t="s">
        <v>570</v>
      </c>
      <c r="B444" s="83" t="s">
        <v>857</v>
      </c>
      <c r="C444" s="178"/>
      <c r="D444" s="79"/>
      <c r="E444" s="83" t="str">
        <f t="shared" si="6"/>
        <v>—</v>
      </c>
      <c r="F444" s="83" t="s">
        <v>852</v>
      </c>
      <c r="G444" s="180">
        <v>1400000</v>
      </c>
      <c r="H444" s="83" t="s">
        <v>793</v>
      </c>
      <c r="I444" s="180"/>
    </row>
    <row r="445" spans="1:9" ht="21.25" customHeight="1" x14ac:dyDescent="0.15">
      <c r="A445" s="9" t="s">
        <v>594</v>
      </c>
      <c r="B445" s="83" t="s">
        <v>857</v>
      </c>
      <c r="C445" s="178"/>
      <c r="D445" s="79"/>
      <c r="E445" s="83" t="str">
        <f t="shared" si="6"/>
        <v>—</v>
      </c>
      <c r="F445" s="83" t="s">
        <v>847</v>
      </c>
      <c r="G445" s="180">
        <v>4500000</v>
      </c>
      <c r="H445" s="83" t="s">
        <v>793</v>
      </c>
      <c r="I445" s="180"/>
    </row>
    <row r="446" spans="1:9" ht="21.25" customHeight="1" x14ac:dyDescent="0.15">
      <c r="A446" s="9" t="s">
        <v>526</v>
      </c>
      <c r="B446" s="83" t="s">
        <v>857</v>
      </c>
      <c r="C446" s="178"/>
      <c r="D446" s="79"/>
      <c r="E446" s="83" t="str">
        <f t="shared" si="6"/>
        <v>—</v>
      </c>
      <c r="F446" s="83" t="s">
        <v>831</v>
      </c>
      <c r="G446" s="180">
        <v>2400000</v>
      </c>
      <c r="H446" s="83" t="s">
        <v>793</v>
      </c>
      <c r="I446" s="180"/>
    </row>
    <row r="447" spans="1:9" ht="21.25" customHeight="1" x14ac:dyDescent="0.15">
      <c r="A447" s="9" t="s">
        <v>530</v>
      </c>
      <c r="B447" s="83" t="s">
        <v>857</v>
      </c>
      <c r="C447" s="178"/>
      <c r="D447" s="79"/>
      <c r="E447" s="83" t="str">
        <f t="shared" si="6"/>
        <v>—</v>
      </c>
      <c r="F447" s="83" t="s">
        <v>838</v>
      </c>
      <c r="G447" s="180">
        <v>4000000</v>
      </c>
      <c r="H447" s="83" t="s">
        <v>793</v>
      </c>
      <c r="I447" s="180"/>
    </row>
    <row r="448" spans="1:9" ht="21.25" customHeight="1" x14ac:dyDescent="0.15">
      <c r="A448" s="9" t="s">
        <v>596</v>
      </c>
      <c r="B448" s="178">
        <v>176</v>
      </c>
      <c r="C448" s="178"/>
      <c r="D448" s="79"/>
      <c r="E448" s="178">
        <f t="shared" si="6"/>
        <v>176</v>
      </c>
      <c r="F448" s="83" t="s">
        <v>835</v>
      </c>
      <c r="G448" s="180">
        <v>3250000</v>
      </c>
      <c r="H448" s="83" t="s">
        <v>793</v>
      </c>
      <c r="I448" s="180"/>
    </row>
    <row r="449" spans="1:9" ht="21.25" customHeight="1" x14ac:dyDescent="0.15">
      <c r="A449" s="9" t="s">
        <v>572</v>
      </c>
      <c r="B449" s="83" t="s">
        <v>857</v>
      </c>
      <c r="C449" s="178"/>
      <c r="D449" s="79"/>
      <c r="E449" s="83" t="str">
        <f t="shared" si="6"/>
        <v>—</v>
      </c>
      <c r="F449" s="83" t="s">
        <v>832</v>
      </c>
      <c r="G449" s="180">
        <v>800000</v>
      </c>
      <c r="H449" s="83" t="s">
        <v>793</v>
      </c>
      <c r="I449" s="180"/>
    </row>
    <row r="450" spans="1:9" ht="21.25" customHeight="1" x14ac:dyDescent="0.15">
      <c r="A450" s="9" t="s">
        <v>599</v>
      </c>
      <c r="B450" s="83" t="s">
        <v>857</v>
      </c>
      <c r="C450" s="178"/>
      <c r="D450" s="79"/>
      <c r="E450" s="83" t="str">
        <f t="shared" ref="E450:E513" si="7">IFERROR(AVERAGE(B450:D450),"—")</f>
        <v>—</v>
      </c>
      <c r="F450" s="83" t="s">
        <v>833</v>
      </c>
      <c r="G450" s="180">
        <v>2000000</v>
      </c>
      <c r="H450" s="83" t="s">
        <v>793</v>
      </c>
      <c r="I450" s="180"/>
    </row>
    <row r="451" spans="1:9" ht="21.25" customHeight="1" x14ac:dyDescent="0.15">
      <c r="A451" s="9" t="s">
        <v>574</v>
      </c>
      <c r="B451" s="83" t="s">
        <v>857</v>
      </c>
      <c r="C451" s="178"/>
      <c r="D451" s="79"/>
      <c r="E451" s="83" t="str">
        <f t="shared" si="7"/>
        <v>—</v>
      </c>
      <c r="F451" s="83" t="s">
        <v>859</v>
      </c>
      <c r="G451" s="180">
        <v>7000000</v>
      </c>
      <c r="H451" s="83" t="s">
        <v>793</v>
      </c>
      <c r="I451" s="180"/>
    </row>
    <row r="452" spans="1:9" ht="21.25" customHeight="1" x14ac:dyDescent="0.15">
      <c r="A452" s="9" t="s">
        <v>576</v>
      </c>
      <c r="B452" s="83" t="s">
        <v>857</v>
      </c>
      <c r="C452" s="178"/>
      <c r="D452" s="79"/>
      <c r="E452" s="83" t="str">
        <f t="shared" si="7"/>
        <v>—</v>
      </c>
      <c r="F452" s="83" t="s">
        <v>848</v>
      </c>
      <c r="G452" s="180">
        <v>775000</v>
      </c>
      <c r="H452" s="83" t="s">
        <v>793</v>
      </c>
      <c r="I452" s="180"/>
    </row>
    <row r="453" spans="1:9" ht="21.25" customHeight="1" x14ac:dyDescent="0.15">
      <c r="A453" s="9" t="s">
        <v>577</v>
      </c>
      <c r="B453" s="83" t="s">
        <v>857</v>
      </c>
      <c r="C453" s="178"/>
      <c r="D453" s="79"/>
      <c r="E453" s="83" t="str">
        <f t="shared" si="7"/>
        <v>—</v>
      </c>
      <c r="F453" s="83" t="s">
        <v>845</v>
      </c>
      <c r="G453" s="180">
        <v>1750000</v>
      </c>
      <c r="H453" s="83" t="s">
        <v>793</v>
      </c>
      <c r="I453" s="180"/>
    </row>
    <row r="454" spans="1:9" ht="21.25" customHeight="1" x14ac:dyDescent="0.15">
      <c r="A454" s="9" t="s">
        <v>578</v>
      </c>
      <c r="B454" s="83" t="s">
        <v>857</v>
      </c>
      <c r="C454" s="178"/>
      <c r="D454" s="79"/>
      <c r="E454" s="83" t="str">
        <f t="shared" si="7"/>
        <v>—</v>
      </c>
      <c r="F454" s="83" t="s">
        <v>848</v>
      </c>
      <c r="G454" s="180">
        <v>1150000</v>
      </c>
      <c r="H454" s="83" t="s">
        <v>793</v>
      </c>
      <c r="I454" s="180"/>
    </row>
    <row r="455" spans="1:9" ht="21.25" customHeight="1" x14ac:dyDescent="0.15">
      <c r="A455" s="9" t="s">
        <v>581</v>
      </c>
      <c r="B455" s="83" t="s">
        <v>857</v>
      </c>
      <c r="C455" s="178"/>
      <c r="D455" s="79"/>
      <c r="E455" s="83" t="str">
        <f t="shared" si="7"/>
        <v>—</v>
      </c>
      <c r="F455" s="83" t="s">
        <v>845</v>
      </c>
      <c r="G455" s="180">
        <v>1050000</v>
      </c>
      <c r="H455" s="83" t="s">
        <v>793</v>
      </c>
      <c r="I455" s="180"/>
    </row>
    <row r="456" spans="1:9" ht="21.25" customHeight="1" x14ac:dyDescent="0.15">
      <c r="A456" s="9" t="s">
        <v>575</v>
      </c>
      <c r="B456" s="178">
        <v>171.7</v>
      </c>
      <c r="C456" s="178"/>
      <c r="D456" s="79"/>
      <c r="E456" s="178">
        <f t="shared" si="7"/>
        <v>171.7</v>
      </c>
      <c r="F456" s="83" t="s">
        <v>855</v>
      </c>
      <c r="G456" s="180">
        <v>5900000</v>
      </c>
      <c r="H456" s="83" t="s">
        <v>793</v>
      </c>
      <c r="I456" s="180"/>
    </row>
    <row r="457" spans="1:9" ht="21.25" customHeight="1" x14ac:dyDescent="0.15">
      <c r="A457" s="9" t="s">
        <v>582</v>
      </c>
      <c r="B457" s="83" t="s">
        <v>857</v>
      </c>
      <c r="C457" s="178"/>
      <c r="D457" s="178"/>
      <c r="E457" s="83" t="str">
        <f t="shared" si="7"/>
        <v>—</v>
      </c>
      <c r="F457" s="83" t="s">
        <v>830</v>
      </c>
      <c r="G457" s="180">
        <v>2750000</v>
      </c>
      <c r="H457" s="83" t="s">
        <v>793</v>
      </c>
      <c r="I457" s="180"/>
    </row>
    <row r="458" spans="1:9" ht="21.25" customHeight="1" x14ac:dyDescent="0.15">
      <c r="A458" s="9" t="s">
        <v>583</v>
      </c>
      <c r="B458" s="83" t="s">
        <v>857</v>
      </c>
      <c r="C458" s="178"/>
      <c r="D458" s="79"/>
      <c r="E458" s="83" t="str">
        <f t="shared" si="7"/>
        <v>—</v>
      </c>
      <c r="F458" s="83" t="s">
        <v>842</v>
      </c>
      <c r="G458" s="180">
        <v>3000000</v>
      </c>
      <c r="H458" s="83" t="s">
        <v>793</v>
      </c>
      <c r="I458" s="180"/>
    </row>
    <row r="459" spans="1:9" ht="21.25" customHeight="1" x14ac:dyDescent="0.15">
      <c r="A459" s="9" t="s">
        <v>585</v>
      </c>
      <c r="B459" s="83" t="s">
        <v>857</v>
      </c>
      <c r="C459" s="178"/>
      <c r="D459" s="79"/>
      <c r="E459" s="83" t="str">
        <f t="shared" si="7"/>
        <v>—</v>
      </c>
      <c r="F459" s="83" t="s">
        <v>837</v>
      </c>
      <c r="G459" s="180">
        <v>1250000</v>
      </c>
      <c r="H459" s="83" t="s">
        <v>793</v>
      </c>
      <c r="I459" s="180"/>
    </row>
    <row r="460" spans="1:9" ht="21.25" customHeight="1" x14ac:dyDescent="0.15">
      <c r="A460" s="9" t="s">
        <v>580</v>
      </c>
      <c r="B460" s="178">
        <v>190</v>
      </c>
      <c r="C460" s="178"/>
      <c r="D460" s="178"/>
      <c r="E460" s="178">
        <f t="shared" si="7"/>
        <v>190</v>
      </c>
      <c r="F460" s="83" t="s">
        <v>834</v>
      </c>
      <c r="G460" s="180">
        <v>925000</v>
      </c>
      <c r="H460" s="83" t="s">
        <v>85</v>
      </c>
      <c r="I460" s="180"/>
    </row>
    <row r="461" spans="1:9" ht="21.25" customHeight="1" x14ac:dyDescent="0.15">
      <c r="A461" s="9" t="s">
        <v>587</v>
      </c>
      <c r="B461" s="83" t="s">
        <v>857</v>
      </c>
      <c r="C461" s="178"/>
      <c r="D461" s="79"/>
      <c r="E461" s="83" t="str">
        <f t="shared" si="7"/>
        <v>—</v>
      </c>
      <c r="F461" s="83" t="s">
        <v>855</v>
      </c>
      <c r="G461" s="180">
        <v>5500000</v>
      </c>
      <c r="H461" s="83" t="s">
        <v>793</v>
      </c>
      <c r="I461" s="180"/>
    </row>
    <row r="462" spans="1:9" ht="21.25" customHeight="1" x14ac:dyDescent="0.15">
      <c r="A462" s="9" t="s">
        <v>589</v>
      </c>
      <c r="B462" s="83" t="s">
        <v>857</v>
      </c>
      <c r="C462" s="178"/>
      <c r="D462" s="79"/>
      <c r="E462" s="83" t="str">
        <f t="shared" si="7"/>
        <v>—</v>
      </c>
      <c r="F462" s="83" t="s">
        <v>840</v>
      </c>
      <c r="G462" s="180">
        <v>863333</v>
      </c>
      <c r="H462" s="83" t="s">
        <v>793</v>
      </c>
      <c r="I462" s="180"/>
    </row>
    <row r="463" spans="1:9" ht="21.25" customHeight="1" x14ac:dyDescent="0.15">
      <c r="A463" s="9" t="s">
        <v>590</v>
      </c>
      <c r="B463" s="178">
        <v>167</v>
      </c>
      <c r="C463" s="178"/>
      <c r="D463" s="79"/>
      <c r="E463" s="178">
        <f t="shared" si="7"/>
        <v>167</v>
      </c>
      <c r="F463" s="83" t="s">
        <v>854</v>
      </c>
      <c r="G463" s="180">
        <v>1300000</v>
      </c>
      <c r="H463" s="83" t="s">
        <v>793</v>
      </c>
      <c r="I463" s="180"/>
    </row>
    <row r="464" spans="1:9" ht="21.25" customHeight="1" x14ac:dyDescent="0.15">
      <c r="A464" s="9" t="s">
        <v>591</v>
      </c>
      <c r="B464" s="83" t="s">
        <v>857</v>
      </c>
      <c r="C464" s="178"/>
      <c r="D464" s="79"/>
      <c r="E464" s="83" t="str">
        <f t="shared" si="7"/>
        <v>—</v>
      </c>
      <c r="F464" s="83" t="s">
        <v>852</v>
      </c>
      <c r="G464" s="180">
        <v>918300</v>
      </c>
      <c r="H464" s="83" t="s">
        <v>793</v>
      </c>
      <c r="I464" s="180"/>
    </row>
    <row r="465" spans="1:9" ht="21.25" customHeight="1" x14ac:dyDescent="0.15">
      <c r="A465" s="9" t="s">
        <v>592</v>
      </c>
      <c r="B465" s="83" t="s">
        <v>857</v>
      </c>
      <c r="C465" s="178"/>
      <c r="D465" s="178"/>
      <c r="E465" s="83" t="str">
        <f t="shared" si="7"/>
        <v>—</v>
      </c>
      <c r="F465" s="83" t="s">
        <v>847</v>
      </c>
      <c r="G465" s="180">
        <v>4250000</v>
      </c>
      <c r="H465" s="83" t="s">
        <v>793</v>
      </c>
      <c r="I465" s="180"/>
    </row>
    <row r="466" spans="1:9" ht="21.25" customHeight="1" x14ac:dyDescent="0.15">
      <c r="A466" s="9" t="s">
        <v>558</v>
      </c>
      <c r="B466" s="83" t="s">
        <v>857</v>
      </c>
      <c r="C466" s="178"/>
      <c r="D466" s="178"/>
      <c r="E466" s="83" t="str">
        <f t="shared" si="7"/>
        <v>—</v>
      </c>
      <c r="F466" s="83" t="s">
        <v>848</v>
      </c>
      <c r="G466" s="180">
        <v>2950000</v>
      </c>
      <c r="H466" s="83" t="s">
        <v>793</v>
      </c>
      <c r="I466" s="180"/>
    </row>
    <row r="467" spans="1:9" ht="21.25" customHeight="1" x14ac:dyDescent="0.15">
      <c r="A467" s="9" t="s">
        <v>561</v>
      </c>
      <c r="B467" s="83" t="s">
        <v>857</v>
      </c>
      <c r="C467" s="178"/>
      <c r="D467" s="178"/>
      <c r="E467" s="83" t="str">
        <f t="shared" si="7"/>
        <v>—</v>
      </c>
      <c r="F467" s="83" t="s">
        <v>825</v>
      </c>
      <c r="G467" s="180">
        <v>1050000</v>
      </c>
      <c r="H467" s="83" t="s">
        <v>793</v>
      </c>
      <c r="I467" s="180"/>
    </row>
    <row r="468" spans="1:9" ht="21.25" customHeight="1" x14ac:dyDescent="0.15">
      <c r="A468" s="9" t="s">
        <v>595</v>
      </c>
      <c r="B468" s="83" t="s">
        <v>857</v>
      </c>
      <c r="C468" s="178"/>
      <c r="D468" s="79"/>
      <c r="E468" s="83" t="str">
        <f t="shared" si="7"/>
        <v>—</v>
      </c>
      <c r="F468" s="83" t="s">
        <v>825</v>
      </c>
      <c r="G468" s="180">
        <v>800000</v>
      </c>
      <c r="H468" s="83" t="s">
        <v>793</v>
      </c>
      <c r="I468" s="180"/>
    </row>
    <row r="469" spans="1:9" ht="21.25" customHeight="1" x14ac:dyDescent="0.15">
      <c r="A469" s="9" t="s">
        <v>597</v>
      </c>
      <c r="B469" s="83" t="s">
        <v>857</v>
      </c>
      <c r="C469" s="178"/>
      <c r="D469" s="79"/>
      <c r="E469" s="83" t="str">
        <f t="shared" si="7"/>
        <v>—</v>
      </c>
      <c r="F469" s="83" t="s">
        <v>838</v>
      </c>
      <c r="G469" s="180">
        <v>1500000</v>
      </c>
      <c r="H469" s="83" t="s">
        <v>793</v>
      </c>
      <c r="I469" s="180"/>
    </row>
    <row r="470" spans="1:9" ht="21.25" customHeight="1" x14ac:dyDescent="0.15">
      <c r="A470" s="9" t="s">
        <v>624</v>
      </c>
      <c r="B470" s="83" t="s">
        <v>857</v>
      </c>
      <c r="C470" s="178"/>
      <c r="D470" s="79"/>
      <c r="E470" s="83" t="str">
        <f t="shared" si="7"/>
        <v>—</v>
      </c>
      <c r="F470" s="83" t="s">
        <v>834</v>
      </c>
      <c r="G470" s="180">
        <v>3000000</v>
      </c>
      <c r="H470" s="83" t="s">
        <v>793</v>
      </c>
      <c r="I470" s="180"/>
    </row>
    <row r="471" spans="1:9" ht="21.25" customHeight="1" x14ac:dyDescent="0.15">
      <c r="A471" s="9" t="s">
        <v>601</v>
      </c>
      <c r="B471" s="83" t="s">
        <v>857</v>
      </c>
      <c r="C471" s="178"/>
      <c r="D471" s="79"/>
      <c r="E471" s="83" t="str">
        <f t="shared" si="7"/>
        <v>—</v>
      </c>
      <c r="F471" s="83" t="s">
        <v>833</v>
      </c>
      <c r="G471" s="180">
        <v>1250000</v>
      </c>
      <c r="H471" s="83" t="s">
        <v>793</v>
      </c>
      <c r="I471" s="180"/>
    </row>
    <row r="472" spans="1:9" ht="21.25" customHeight="1" x14ac:dyDescent="0.15">
      <c r="A472" s="9" t="s">
        <v>571</v>
      </c>
      <c r="B472" s="83" t="s">
        <v>857</v>
      </c>
      <c r="C472" s="178"/>
      <c r="D472" s="79"/>
      <c r="E472" s="83" t="str">
        <f t="shared" si="7"/>
        <v>—</v>
      </c>
      <c r="F472" s="83" t="s">
        <v>854</v>
      </c>
      <c r="G472" s="180">
        <v>6500000</v>
      </c>
      <c r="H472" s="83" t="s">
        <v>793</v>
      </c>
      <c r="I472" s="180"/>
    </row>
    <row r="473" spans="1:9" ht="21.25" customHeight="1" x14ac:dyDescent="0.15">
      <c r="A473" s="9" t="s">
        <v>600</v>
      </c>
      <c r="B473" s="178">
        <v>187.5</v>
      </c>
      <c r="C473" s="178"/>
      <c r="D473" s="79"/>
      <c r="E473" s="178">
        <f t="shared" si="7"/>
        <v>187.5</v>
      </c>
      <c r="F473" s="83" t="s">
        <v>851</v>
      </c>
      <c r="G473" s="180">
        <v>2725000</v>
      </c>
      <c r="H473" s="83" t="s">
        <v>793</v>
      </c>
      <c r="I473" s="180"/>
    </row>
    <row r="474" spans="1:9" ht="21.25" customHeight="1" x14ac:dyDescent="0.15">
      <c r="A474" s="9" t="s">
        <v>579</v>
      </c>
      <c r="B474" s="83" t="s">
        <v>857</v>
      </c>
      <c r="C474" s="178"/>
      <c r="D474" s="178"/>
      <c r="E474" s="83" t="str">
        <f t="shared" si="7"/>
        <v>—</v>
      </c>
      <c r="F474" s="83" t="s">
        <v>827</v>
      </c>
      <c r="G474" s="180">
        <v>900000</v>
      </c>
      <c r="H474" s="83" t="s">
        <v>793</v>
      </c>
      <c r="I474" s="180"/>
    </row>
    <row r="475" spans="1:9" ht="21.25" customHeight="1" x14ac:dyDescent="0.15">
      <c r="A475" s="9" t="s">
        <v>602</v>
      </c>
      <c r="B475" s="178">
        <v>132.80000000000001</v>
      </c>
      <c r="C475" s="178"/>
      <c r="D475" s="79"/>
      <c r="E475" s="178">
        <f t="shared" si="7"/>
        <v>132.80000000000001</v>
      </c>
      <c r="F475" s="83" t="s">
        <v>841</v>
      </c>
      <c r="G475" s="180">
        <v>1800000</v>
      </c>
      <c r="H475" s="83" t="s">
        <v>793</v>
      </c>
      <c r="I475" s="180"/>
    </row>
    <row r="476" spans="1:9" ht="21.25" customHeight="1" x14ac:dyDescent="0.15">
      <c r="A476" s="9" t="s">
        <v>604</v>
      </c>
      <c r="B476" s="83" t="s">
        <v>857</v>
      </c>
      <c r="C476" s="178"/>
      <c r="D476" s="79"/>
      <c r="E476" s="83" t="str">
        <f t="shared" si="7"/>
        <v>—</v>
      </c>
      <c r="F476" s="83" t="s">
        <v>859</v>
      </c>
      <c r="G476" s="180">
        <v>5000000</v>
      </c>
      <c r="H476" s="83" t="s">
        <v>793</v>
      </c>
      <c r="I476" s="180"/>
    </row>
    <row r="477" spans="1:9" ht="21.25" customHeight="1" x14ac:dyDescent="0.15">
      <c r="A477" s="9" t="s">
        <v>634</v>
      </c>
      <c r="B477" s="83" t="s">
        <v>857</v>
      </c>
      <c r="C477" s="178"/>
      <c r="D477" s="79"/>
      <c r="E477" s="83" t="str">
        <f t="shared" si="7"/>
        <v>—</v>
      </c>
      <c r="F477" s="83" t="s">
        <v>839</v>
      </c>
      <c r="G477" s="180">
        <v>1250000</v>
      </c>
      <c r="H477" s="83" t="s">
        <v>793</v>
      </c>
      <c r="I477" s="180"/>
    </row>
    <row r="478" spans="1:9" ht="21.25" customHeight="1" x14ac:dyDescent="0.15">
      <c r="A478" s="9" t="s">
        <v>608</v>
      </c>
      <c r="B478" s="83" t="s">
        <v>857</v>
      </c>
      <c r="C478" s="178"/>
      <c r="D478" s="79"/>
      <c r="E478" s="83" t="str">
        <f t="shared" si="7"/>
        <v>—</v>
      </c>
      <c r="F478" s="83" t="s">
        <v>852</v>
      </c>
      <c r="G478" s="180">
        <v>1800000</v>
      </c>
      <c r="H478" s="83" t="s">
        <v>793</v>
      </c>
      <c r="I478" s="180"/>
    </row>
    <row r="479" spans="1:9" ht="21.25" customHeight="1" x14ac:dyDescent="0.15">
      <c r="A479" s="9" t="s">
        <v>609</v>
      </c>
      <c r="B479" s="178">
        <v>182</v>
      </c>
      <c r="C479" s="178"/>
      <c r="D479" s="79"/>
      <c r="E479" s="178">
        <f t="shared" si="7"/>
        <v>182</v>
      </c>
      <c r="F479" s="83" t="s">
        <v>826</v>
      </c>
      <c r="G479" s="180">
        <v>1350000</v>
      </c>
      <c r="H479" s="83" t="s">
        <v>793</v>
      </c>
      <c r="I479" s="180"/>
    </row>
    <row r="480" spans="1:9" ht="21.25" customHeight="1" x14ac:dyDescent="0.15">
      <c r="A480" s="9" t="s">
        <v>610</v>
      </c>
      <c r="B480" s="83" t="s">
        <v>857</v>
      </c>
      <c r="C480" s="178"/>
      <c r="D480" s="79"/>
      <c r="E480" s="83" t="str">
        <f t="shared" si="7"/>
        <v>—</v>
      </c>
      <c r="F480" s="83" t="s">
        <v>835</v>
      </c>
      <c r="G480" s="180">
        <v>2000000</v>
      </c>
      <c r="H480" s="83" t="s">
        <v>793</v>
      </c>
      <c r="I480" s="180"/>
    </row>
    <row r="481" spans="1:9" ht="21.25" customHeight="1" x14ac:dyDescent="0.15">
      <c r="A481" s="9" t="s">
        <v>643</v>
      </c>
      <c r="B481" s="83" t="s">
        <v>857</v>
      </c>
      <c r="C481" s="178"/>
      <c r="D481" s="79"/>
      <c r="E481" s="83" t="str">
        <f t="shared" si="7"/>
        <v>—</v>
      </c>
      <c r="F481" s="83" t="s">
        <v>836</v>
      </c>
      <c r="G481" s="180">
        <v>3000000</v>
      </c>
      <c r="H481" s="83" t="s">
        <v>793</v>
      </c>
      <c r="I481" s="180"/>
    </row>
    <row r="482" spans="1:9" ht="21.25" customHeight="1" x14ac:dyDescent="0.15">
      <c r="A482" s="9" t="s">
        <v>584</v>
      </c>
      <c r="B482" s="83" t="s">
        <v>857</v>
      </c>
      <c r="C482" s="178"/>
      <c r="D482" s="79"/>
      <c r="E482" s="83" t="str">
        <f t="shared" si="7"/>
        <v>—</v>
      </c>
      <c r="F482" s="83" t="s">
        <v>839</v>
      </c>
      <c r="G482" s="180">
        <v>775000</v>
      </c>
      <c r="H482" s="83" t="s">
        <v>793</v>
      </c>
      <c r="I482" s="180"/>
    </row>
    <row r="483" spans="1:9" ht="21.25" customHeight="1" x14ac:dyDescent="0.15">
      <c r="A483" s="9" t="s">
        <v>645</v>
      </c>
      <c r="B483" s="83" t="s">
        <v>857</v>
      </c>
      <c r="C483" s="178"/>
      <c r="D483" s="79"/>
      <c r="E483" s="83" t="str">
        <f t="shared" si="7"/>
        <v>—</v>
      </c>
      <c r="F483" s="83" t="s">
        <v>842</v>
      </c>
      <c r="G483" s="83" t="s">
        <v>843</v>
      </c>
      <c r="H483" s="83" t="s">
        <v>793</v>
      </c>
      <c r="I483" s="180"/>
    </row>
    <row r="484" spans="1:9" ht="21.25" customHeight="1" x14ac:dyDescent="0.15">
      <c r="A484" s="9" t="s">
        <v>646</v>
      </c>
      <c r="B484" s="83" t="s">
        <v>857</v>
      </c>
      <c r="C484" s="178"/>
      <c r="D484" s="178"/>
      <c r="E484" s="83" t="str">
        <f t="shared" si="7"/>
        <v>—</v>
      </c>
      <c r="F484" s="83" t="s">
        <v>856</v>
      </c>
      <c r="G484" s="180">
        <v>2625000</v>
      </c>
      <c r="H484" s="83" t="s">
        <v>793</v>
      </c>
      <c r="I484" s="180"/>
    </row>
    <row r="485" spans="1:9" ht="21.25" customHeight="1" x14ac:dyDescent="0.15">
      <c r="A485" s="9" t="s">
        <v>614</v>
      </c>
      <c r="B485" s="83" t="s">
        <v>857</v>
      </c>
      <c r="C485" s="178"/>
      <c r="D485" s="79"/>
      <c r="E485" s="83" t="str">
        <f t="shared" si="7"/>
        <v>—</v>
      </c>
      <c r="F485" s="83" t="s">
        <v>850</v>
      </c>
      <c r="G485" s="180">
        <v>3850000</v>
      </c>
      <c r="H485" s="83" t="s">
        <v>793</v>
      </c>
      <c r="I485" s="180"/>
    </row>
    <row r="486" spans="1:9" ht="21.25" customHeight="1" x14ac:dyDescent="0.15">
      <c r="A486" s="9" t="s">
        <v>615</v>
      </c>
      <c r="B486" s="83" t="s">
        <v>857</v>
      </c>
      <c r="C486" s="178"/>
      <c r="D486" s="178"/>
      <c r="E486" s="83" t="str">
        <f t="shared" si="7"/>
        <v>—</v>
      </c>
      <c r="F486" s="83" t="s">
        <v>855</v>
      </c>
      <c r="G486" s="180">
        <v>897500</v>
      </c>
      <c r="H486" s="83" t="s">
        <v>793</v>
      </c>
      <c r="I486" s="180"/>
    </row>
    <row r="487" spans="1:9" ht="21.25" customHeight="1" x14ac:dyDescent="0.15">
      <c r="A487" s="9" t="s">
        <v>616</v>
      </c>
      <c r="B487" s="83" t="s">
        <v>857</v>
      </c>
      <c r="C487" s="178"/>
      <c r="D487" s="79"/>
      <c r="E487" s="83" t="str">
        <f t="shared" si="7"/>
        <v>—</v>
      </c>
      <c r="F487" s="83" t="s">
        <v>854</v>
      </c>
      <c r="G487" s="180">
        <v>3362500</v>
      </c>
      <c r="H487" s="83" t="s">
        <v>793</v>
      </c>
      <c r="I487" s="180"/>
    </row>
    <row r="488" spans="1:9" ht="21.25" customHeight="1" x14ac:dyDescent="0.15">
      <c r="A488" s="9" t="s">
        <v>617</v>
      </c>
      <c r="B488" s="83" t="s">
        <v>857</v>
      </c>
      <c r="C488" s="178"/>
      <c r="D488" s="79"/>
      <c r="E488" s="83" t="str">
        <f t="shared" si="7"/>
        <v>—</v>
      </c>
      <c r="F488" s="83" t="s">
        <v>835</v>
      </c>
      <c r="G488" s="180">
        <v>1500000</v>
      </c>
      <c r="H488" s="83" t="s">
        <v>793</v>
      </c>
      <c r="I488" s="180"/>
    </row>
    <row r="489" spans="1:9" ht="21.25" customHeight="1" x14ac:dyDescent="0.15">
      <c r="A489" s="9" t="s">
        <v>606</v>
      </c>
      <c r="B489" s="83" t="s">
        <v>857</v>
      </c>
      <c r="C489" s="178"/>
      <c r="D489" s="79"/>
      <c r="E489" s="83" t="str">
        <f t="shared" si="7"/>
        <v>—</v>
      </c>
      <c r="F489" s="83" t="s">
        <v>840</v>
      </c>
      <c r="G489" s="180">
        <v>2750000</v>
      </c>
      <c r="H489" s="83" t="s">
        <v>793</v>
      </c>
      <c r="I489" s="180"/>
    </row>
    <row r="490" spans="1:9" ht="21.25" customHeight="1" x14ac:dyDescent="0.15">
      <c r="A490" s="9" t="s">
        <v>618</v>
      </c>
      <c r="B490" s="83" t="s">
        <v>857</v>
      </c>
      <c r="C490" s="178"/>
      <c r="D490" s="79"/>
      <c r="E490" s="83" t="str">
        <f t="shared" si="7"/>
        <v>—</v>
      </c>
      <c r="F490" s="83" t="s">
        <v>848</v>
      </c>
      <c r="G490" s="180">
        <v>863000</v>
      </c>
      <c r="H490" s="83" t="s">
        <v>793</v>
      </c>
      <c r="I490" s="180"/>
    </row>
    <row r="491" spans="1:9" ht="21.25" customHeight="1" x14ac:dyDescent="0.15">
      <c r="A491" s="9" t="s">
        <v>619</v>
      </c>
      <c r="B491" s="83" t="s">
        <v>857</v>
      </c>
      <c r="C491" s="178"/>
      <c r="D491" s="79"/>
      <c r="E491" s="83" t="str">
        <f t="shared" si="7"/>
        <v>—</v>
      </c>
      <c r="F491" s="83" t="s">
        <v>837</v>
      </c>
      <c r="G491" s="180">
        <v>1000000</v>
      </c>
      <c r="H491" s="83" t="s">
        <v>793</v>
      </c>
      <c r="I491" s="180"/>
    </row>
    <row r="492" spans="1:9" ht="21.25" customHeight="1" x14ac:dyDescent="0.15">
      <c r="A492" s="9" t="s">
        <v>613</v>
      </c>
      <c r="B492" s="178">
        <v>177.5</v>
      </c>
      <c r="C492" s="178"/>
      <c r="D492" s="79"/>
      <c r="E492" s="178">
        <f t="shared" si="7"/>
        <v>177.5</v>
      </c>
      <c r="F492" s="83" t="s">
        <v>839</v>
      </c>
      <c r="G492" s="180">
        <v>2500000</v>
      </c>
      <c r="H492" s="83" t="s">
        <v>793</v>
      </c>
      <c r="I492" s="180"/>
    </row>
    <row r="493" spans="1:9" ht="21.25" customHeight="1" x14ac:dyDescent="0.15">
      <c r="A493" s="9" t="s">
        <v>620</v>
      </c>
      <c r="B493" s="83" t="s">
        <v>857</v>
      </c>
      <c r="C493" s="178"/>
      <c r="D493" s="79"/>
      <c r="E493" s="83" t="str">
        <f t="shared" si="7"/>
        <v>—</v>
      </c>
      <c r="F493" s="83" t="s">
        <v>844</v>
      </c>
      <c r="G493" s="180">
        <v>3375000</v>
      </c>
      <c r="H493" s="83" t="s">
        <v>793</v>
      </c>
      <c r="I493" s="180"/>
    </row>
    <row r="494" spans="1:9" ht="21.25" customHeight="1" x14ac:dyDescent="0.15">
      <c r="A494" s="9" t="s">
        <v>593</v>
      </c>
      <c r="B494" s="178">
        <v>161.19999999999999</v>
      </c>
      <c r="C494" s="178"/>
      <c r="D494" s="79"/>
      <c r="E494" s="178">
        <f t="shared" si="7"/>
        <v>161.19999999999999</v>
      </c>
      <c r="F494" s="83" t="s">
        <v>845</v>
      </c>
      <c r="G494" s="180">
        <v>1000000</v>
      </c>
      <c r="H494" s="83" t="s">
        <v>793</v>
      </c>
      <c r="I494" s="180"/>
    </row>
    <row r="495" spans="1:9" ht="21.25" customHeight="1" x14ac:dyDescent="0.15">
      <c r="A495" s="9" t="s">
        <v>622</v>
      </c>
      <c r="B495" s="83" t="s">
        <v>857</v>
      </c>
      <c r="C495" s="178"/>
      <c r="D495" s="79"/>
      <c r="E495" s="83" t="str">
        <f t="shared" si="7"/>
        <v>—</v>
      </c>
      <c r="F495" s="83" t="s">
        <v>848</v>
      </c>
      <c r="G495" s="180">
        <v>950000</v>
      </c>
      <c r="H495" s="83" t="s">
        <v>793</v>
      </c>
      <c r="I495" s="180"/>
    </row>
    <row r="496" spans="1:9" ht="21.25" customHeight="1" x14ac:dyDescent="0.15">
      <c r="A496" s="9" t="s">
        <v>623</v>
      </c>
      <c r="B496" s="83" t="s">
        <v>857</v>
      </c>
      <c r="C496" s="178"/>
      <c r="D496" s="79"/>
      <c r="E496" s="83" t="str">
        <f t="shared" si="7"/>
        <v>—</v>
      </c>
      <c r="F496" s="83" t="s">
        <v>848</v>
      </c>
      <c r="G496" s="180">
        <v>800000</v>
      </c>
      <c r="H496" s="83" t="s">
        <v>793</v>
      </c>
      <c r="I496" s="180"/>
    </row>
    <row r="497" spans="1:9" ht="21.25" customHeight="1" x14ac:dyDescent="0.15">
      <c r="A497" s="9" t="s">
        <v>626</v>
      </c>
      <c r="B497" s="83" t="s">
        <v>857</v>
      </c>
      <c r="C497" s="178"/>
      <c r="D497" s="79"/>
      <c r="E497" s="83" t="str">
        <f t="shared" si="7"/>
        <v>—</v>
      </c>
      <c r="F497" s="83" t="s">
        <v>851</v>
      </c>
      <c r="G497" s="180">
        <v>2650000</v>
      </c>
      <c r="H497" s="83" t="s">
        <v>793</v>
      </c>
      <c r="I497" s="180"/>
    </row>
    <row r="498" spans="1:9" ht="21.25" customHeight="1" x14ac:dyDescent="0.15">
      <c r="A498" s="9" t="s">
        <v>657</v>
      </c>
      <c r="B498" s="178"/>
      <c r="C498" s="178"/>
      <c r="D498" s="79"/>
      <c r="E498" s="83" t="str">
        <f t="shared" si="7"/>
        <v>—</v>
      </c>
      <c r="F498" s="83" t="s">
        <v>849</v>
      </c>
      <c r="G498" s="180">
        <v>918333</v>
      </c>
      <c r="H498" s="79"/>
      <c r="I498" s="180"/>
    </row>
    <row r="499" spans="1:9" ht="21.25" customHeight="1" x14ac:dyDescent="0.15">
      <c r="A499" s="9" t="s">
        <v>627</v>
      </c>
      <c r="B499" s="83" t="s">
        <v>857</v>
      </c>
      <c r="C499" s="178"/>
      <c r="D499" s="79"/>
      <c r="E499" s="83" t="str">
        <f t="shared" si="7"/>
        <v>—</v>
      </c>
      <c r="F499" s="83" t="s">
        <v>827</v>
      </c>
      <c r="G499" s="180">
        <v>800000</v>
      </c>
      <c r="H499" s="83" t="s">
        <v>793</v>
      </c>
      <c r="I499" s="180"/>
    </row>
    <row r="500" spans="1:9" ht="21.25" customHeight="1" x14ac:dyDescent="0.15">
      <c r="A500" s="9" t="s">
        <v>659</v>
      </c>
      <c r="B500" s="83" t="s">
        <v>857</v>
      </c>
      <c r="C500" s="178"/>
      <c r="D500" s="79"/>
      <c r="E500" s="83" t="str">
        <f t="shared" si="7"/>
        <v>—</v>
      </c>
      <c r="F500" s="83" t="s">
        <v>829</v>
      </c>
      <c r="G500" s="180">
        <v>1800000</v>
      </c>
      <c r="H500" s="83" t="s">
        <v>793</v>
      </c>
      <c r="I500" s="180"/>
    </row>
    <row r="501" spans="1:9" ht="21.25" customHeight="1" x14ac:dyDescent="0.15">
      <c r="A501" s="9" t="s">
        <v>628</v>
      </c>
      <c r="B501" s="83" t="s">
        <v>857</v>
      </c>
      <c r="C501" s="178"/>
      <c r="D501" s="79"/>
      <c r="E501" s="83" t="str">
        <f t="shared" si="7"/>
        <v>—</v>
      </c>
      <c r="F501" s="83" t="s">
        <v>830</v>
      </c>
      <c r="G501" s="83" t="s">
        <v>843</v>
      </c>
      <c r="H501" s="83" t="s">
        <v>793</v>
      </c>
      <c r="I501" s="180"/>
    </row>
    <row r="502" spans="1:9" ht="21.25" customHeight="1" x14ac:dyDescent="0.15">
      <c r="A502" s="9" t="s">
        <v>629</v>
      </c>
      <c r="B502" s="83" t="s">
        <v>857</v>
      </c>
      <c r="C502" s="178"/>
      <c r="D502" s="79"/>
      <c r="E502" s="83" t="str">
        <f t="shared" si="7"/>
        <v>—</v>
      </c>
      <c r="F502" s="83" t="s">
        <v>838</v>
      </c>
      <c r="G502" s="180">
        <v>1250000</v>
      </c>
      <c r="H502" s="83" t="s">
        <v>793</v>
      </c>
      <c r="I502" s="180"/>
    </row>
    <row r="503" spans="1:9" ht="21.25" customHeight="1" x14ac:dyDescent="0.15">
      <c r="A503" s="9" t="s">
        <v>661</v>
      </c>
      <c r="B503" s="83" t="s">
        <v>857</v>
      </c>
      <c r="C503" s="178"/>
      <c r="D503" s="79"/>
      <c r="E503" s="83" t="str">
        <f t="shared" si="7"/>
        <v>—</v>
      </c>
      <c r="F503" s="83" t="s">
        <v>849</v>
      </c>
      <c r="G503" s="180">
        <v>2000000</v>
      </c>
      <c r="H503" s="83" t="s">
        <v>793</v>
      </c>
      <c r="I503" s="180"/>
    </row>
    <row r="504" spans="1:9" ht="21.25" customHeight="1" x14ac:dyDescent="0.15">
      <c r="A504" s="9" t="s">
        <v>630</v>
      </c>
      <c r="B504" s="83" t="s">
        <v>857</v>
      </c>
      <c r="C504" s="178"/>
      <c r="D504" s="79"/>
      <c r="E504" s="83" t="str">
        <f t="shared" si="7"/>
        <v>—</v>
      </c>
      <c r="F504" s="83" t="s">
        <v>829</v>
      </c>
      <c r="G504" s="180">
        <v>766667</v>
      </c>
      <c r="H504" s="83" t="s">
        <v>793</v>
      </c>
      <c r="I504" s="180"/>
    </row>
    <row r="505" spans="1:9" ht="21.25" customHeight="1" x14ac:dyDescent="0.15">
      <c r="A505" s="9" t="s">
        <v>598</v>
      </c>
      <c r="B505" s="83" t="s">
        <v>857</v>
      </c>
      <c r="C505" s="178"/>
      <c r="D505" s="178"/>
      <c r="E505" s="83" t="str">
        <f t="shared" si="7"/>
        <v>—</v>
      </c>
      <c r="F505" s="83" t="s">
        <v>850</v>
      </c>
      <c r="G505" s="83" t="s">
        <v>843</v>
      </c>
      <c r="H505" s="83" t="s">
        <v>793</v>
      </c>
      <c r="I505" s="180"/>
    </row>
    <row r="506" spans="1:9" ht="21.25" customHeight="1" x14ac:dyDescent="0.15">
      <c r="A506" s="9" t="s">
        <v>631</v>
      </c>
      <c r="B506" s="83" t="s">
        <v>857</v>
      </c>
      <c r="C506" s="178"/>
      <c r="D506" s="79"/>
      <c r="E506" s="83" t="str">
        <f t="shared" si="7"/>
        <v>—</v>
      </c>
      <c r="F506" s="83" t="s">
        <v>845</v>
      </c>
      <c r="G506" s="180">
        <v>775000</v>
      </c>
      <c r="H506" s="83" t="s">
        <v>793</v>
      </c>
      <c r="I506" s="180"/>
    </row>
    <row r="507" spans="1:9" ht="21.25" customHeight="1" x14ac:dyDescent="0.15">
      <c r="A507" s="9" t="s">
        <v>667</v>
      </c>
      <c r="B507" s="83" t="s">
        <v>857</v>
      </c>
      <c r="C507" s="178"/>
      <c r="D507" s="79"/>
      <c r="E507" s="83" t="str">
        <f t="shared" si="7"/>
        <v>—</v>
      </c>
      <c r="F507" s="83" t="s">
        <v>844</v>
      </c>
      <c r="G507" s="180">
        <v>1900000</v>
      </c>
      <c r="H507" s="83" t="s">
        <v>793</v>
      </c>
      <c r="I507" s="180"/>
    </row>
    <row r="508" spans="1:9" ht="21.25" customHeight="1" x14ac:dyDescent="0.15">
      <c r="A508" s="9" t="s">
        <v>625</v>
      </c>
      <c r="B508" s="83" t="s">
        <v>857</v>
      </c>
      <c r="C508" s="178"/>
      <c r="D508" s="178"/>
      <c r="E508" s="83" t="str">
        <f t="shared" si="7"/>
        <v>—</v>
      </c>
      <c r="F508" s="83" t="s">
        <v>861</v>
      </c>
      <c r="G508" s="180">
        <v>2350000</v>
      </c>
      <c r="H508" s="83" t="s">
        <v>793</v>
      </c>
      <c r="I508" s="180"/>
    </row>
    <row r="509" spans="1:9" ht="21.25" customHeight="1" x14ac:dyDescent="0.15">
      <c r="A509" s="9" t="s">
        <v>633</v>
      </c>
      <c r="B509" s="83" t="s">
        <v>857</v>
      </c>
      <c r="C509" s="178"/>
      <c r="D509" s="178"/>
      <c r="E509" s="83" t="str">
        <f t="shared" si="7"/>
        <v>—</v>
      </c>
      <c r="F509" s="83" t="s">
        <v>856</v>
      </c>
      <c r="G509" s="180">
        <v>1700000</v>
      </c>
      <c r="H509" s="83" t="s">
        <v>793</v>
      </c>
      <c r="I509" s="180"/>
    </row>
    <row r="510" spans="1:9" ht="21.25" customHeight="1" x14ac:dyDescent="0.15">
      <c r="A510" s="9" t="s">
        <v>603</v>
      </c>
      <c r="B510" s="83" t="s">
        <v>857</v>
      </c>
      <c r="C510" s="178"/>
      <c r="D510" s="79"/>
      <c r="E510" s="83" t="str">
        <f t="shared" si="7"/>
        <v>—</v>
      </c>
      <c r="F510" s="83" t="s">
        <v>856</v>
      </c>
      <c r="G510" s="180">
        <v>1500000</v>
      </c>
      <c r="H510" s="83" t="s">
        <v>793</v>
      </c>
      <c r="I510" s="180"/>
    </row>
    <row r="511" spans="1:9" ht="21.25" customHeight="1" x14ac:dyDescent="0.15">
      <c r="A511" s="9" t="s">
        <v>635</v>
      </c>
      <c r="B511" s="83" t="s">
        <v>857</v>
      </c>
      <c r="C511" s="178"/>
      <c r="D511" s="79"/>
      <c r="E511" s="83" t="str">
        <f t="shared" si="7"/>
        <v>—</v>
      </c>
      <c r="F511" s="83" t="s">
        <v>830</v>
      </c>
      <c r="G511" s="180">
        <v>825000</v>
      </c>
      <c r="H511" s="83" t="s">
        <v>793</v>
      </c>
      <c r="I511" s="180"/>
    </row>
    <row r="512" spans="1:9" ht="21.25" customHeight="1" x14ac:dyDescent="0.15">
      <c r="A512" s="9" t="s">
        <v>636</v>
      </c>
      <c r="B512" s="83" t="s">
        <v>857</v>
      </c>
      <c r="C512" s="178"/>
      <c r="D512" s="79"/>
      <c r="E512" s="83" t="str">
        <f t="shared" si="7"/>
        <v>—</v>
      </c>
      <c r="F512" s="83" t="s">
        <v>859</v>
      </c>
      <c r="G512" s="180">
        <v>1250000</v>
      </c>
      <c r="H512" s="83" t="s">
        <v>793</v>
      </c>
      <c r="I512" s="180"/>
    </row>
    <row r="513" spans="1:9" ht="21.25" customHeight="1" x14ac:dyDescent="0.15">
      <c r="A513" s="9" t="s">
        <v>637</v>
      </c>
      <c r="B513" s="83" t="s">
        <v>857</v>
      </c>
      <c r="C513" s="178"/>
      <c r="D513" s="178"/>
      <c r="E513" s="83" t="str">
        <f t="shared" si="7"/>
        <v>—</v>
      </c>
      <c r="F513" s="83" t="s">
        <v>826</v>
      </c>
      <c r="G513" s="180">
        <v>1100000</v>
      </c>
      <c r="H513" s="83" t="s">
        <v>793</v>
      </c>
      <c r="I513" s="180"/>
    </row>
    <row r="514" spans="1:9" ht="21.25" customHeight="1" x14ac:dyDescent="0.15">
      <c r="A514" s="9" t="s">
        <v>638</v>
      </c>
      <c r="B514" s="83" t="s">
        <v>857</v>
      </c>
      <c r="C514" s="178"/>
      <c r="D514" s="79"/>
      <c r="E514" s="83" t="str">
        <f t="shared" ref="E514:E577" si="8">IFERROR(AVERAGE(B514:D514),"—")</f>
        <v>—</v>
      </c>
      <c r="F514" s="83" t="s">
        <v>856</v>
      </c>
      <c r="G514" s="180">
        <v>1900000</v>
      </c>
      <c r="H514" s="83" t="s">
        <v>793</v>
      </c>
      <c r="I514" s="180"/>
    </row>
    <row r="515" spans="1:9" ht="21.25" customHeight="1" x14ac:dyDescent="0.15">
      <c r="A515" s="9" t="s">
        <v>640</v>
      </c>
      <c r="B515" s="83" t="s">
        <v>857</v>
      </c>
      <c r="C515" s="178"/>
      <c r="D515" s="79"/>
      <c r="E515" s="83" t="str">
        <f t="shared" si="8"/>
        <v>—</v>
      </c>
      <c r="F515" s="83" t="s">
        <v>842</v>
      </c>
      <c r="G515" s="180">
        <v>2275000</v>
      </c>
      <c r="H515" s="83" t="s">
        <v>793</v>
      </c>
      <c r="I515" s="180"/>
    </row>
    <row r="516" spans="1:9" ht="21.25" customHeight="1" x14ac:dyDescent="0.15">
      <c r="A516" s="9" t="s">
        <v>641</v>
      </c>
      <c r="B516" s="83" t="s">
        <v>857</v>
      </c>
      <c r="C516" s="178"/>
      <c r="D516" s="79"/>
      <c r="E516" s="83" t="str">
        <f t="shared" si="8"/>
        <v>—</v>
      </c>
      <c r="F516" s="83" t="s">
        <v>841</v>
      </c>
      <c r="G516" s="180">
        <v>825000</v>
      </c>
      <c r="H516" s="83" t="s">
        <v>793</v>
      </c>
      <c r="I516" s="180"/>
    </row>
    <row r="517" spans="1:9" ht="21.25" customHeight="1" x14ac:dyDescent="0.15">
      <c r="A517" s="9" t="s">
        <v>642</v>
      </c>
      <c r="B517" s="83" t="s">
        <v>857</v>
      </c>
      <c r="C517" s="178"/>
      <c r="D517" s="79"/>
      <c r="E517" s="83" t="str">
        <f t="shared" si="8"/>
        <v>—</v>
      </c>
      <c r="F517" s="83" t="s">
        <v>849</v>
      </c>
      <c r="G517" s="180">
        <v>2900000</v>
      </c>
      <c r="H517" s="83" t="s">
        <v>793</v>
      </c>
      <c r="I517" s="180"/>
    </row>
    <row r="518" spans="1:9" ht="21.25" customHeight="1" x14ac:dyDescent="0.15">
      <c r="A518" s="9" t="s">
        <v>674</v>
      </c>
      <c r="B518" s="83" t="s">
        <v>857</v>
      </c>
      <c r="C518" s="178"/>
      <c r="D518" s="79"/>
      <c r="E518" s="83" t="str">
        <f t="shared" si="8"/>
        <v>—</v>
      </c>
      <c r="F518" s="83" t="s">
        <v>830</v>
      </c>
      <c r="G518" s="180">
        <v>2857000</v>
      </c>
      <c r="H518" s="83" t="s">
        <v>793</v>
      </c>
      <c r="I518" s="180"/>
    </row>
    <row r="519" spans="1:9" ht="21.25" customHeight="1" x14ac:dyDescent="0.15">
      <c r="A519" s="9" t="s">
        <v>605</v>
      </c>
      <c r="B519" s="83" t="s">
        <v>857</v>
      </c>
      <c r="C519" s="178"/>
      <c r="D519" s="79"/>
      <c r="E519" s="83" t="str">
        <f t="shared" si="8"/>
        <v>—</v>
      </c>
      <c r="F519" s="83" t="s">
        <v>838</v>
      </c>
      <c r="G519" s="180">
        <v>2166667</v>
      </c>
      <c r="H519" s="83" t="s">
        <v>793</v>
      </c>
      <c r="I519" s="180"/>
    </row>
    <row r="520" spans="1:9" ht="21.25" customHeight="1" x14ac:dyDescent="0.15">
      <c r="A520" s="9" t="s">
        <v>644</v>
      </c>
      <c r="B520" s="83" t="s">
        <v>857</v>
      </c>
      <c r="C520" s="178"/>
      <c r="D520" s="79"/>
      <c r="E520" s="83" t="str">
        <f t="shared" si="8"/>
        <v>—</v>
      </c>
      <c r="F520" s="83" t="s">
        <v>833</v>
      </c>
      <c r="G520" s="180">
        <v>1000000</v>
      </c>
      <c r="H520" s="83" t="s">
        <v>793</v>
      </c>
      <c r="I520" s="180"/>
    </row>
    <row r="521" spans="1:9" ht="21.25" customHeight="1" x14ac:dyDescent="0.15">
      <c r="A521" s="9" t="s">
        <v>677</v>
      </c>
      <c r="B521" s="178">
        <v>181</v>
      </c>
      <c r="C521" s="178"/>
      <c r="D521" s="79"/>
      <c r="E521" s="178">
        <f t="shared" si="8"/>
        <v>181</v>
      </c>
      <c r="F521" s="83" t="s">
        <v>850</v>
      </c>
      <c r="G521" s="180">
        <v>2665000</v>
      </c>
      <c r="H521" s="83" t="s">
        <v>793</v>
      </c>
      <c r="I521" s="180"/>
    </row>
    <row r="522" spans="1:9" ht="21.25" customHeight="1" x14ac:dyDescent="0.15">
      <c r="A522" s="9" t="s">
        <v>647</v>
      </c>
      <c r="B522" s="83" t="s">
        <v>857</v>
      </c>
      <c r="C522" s="178"/>
      <c r="D522" s="79"/>
      <c r="E522" s="83" t="str">
        <f t="shared" si="8"/>
        <v>—</v>
      </c>
      <c r="F522" s="83" t="s">
        <v>835</v>
      </c>
      <c r="G522" s="180">
        <v>1600000</v>
      </c>
      <c r="H522" s="83" t="s">
        <v>793</v>
      </c>
      <c r="I522" s="180"/>
    </row>
    <row r="523" spans="1:9" ht="21.25" customHeight="1" x14ac:dyDescent="0.15">
      <c r="A523" s="9" t="s">
        <v>607</v>
      </c>
      <c r="B523" s="83" t="s">
        <v>857</v>
      </c>
      <c r="C523" s="178"/>
      <c r="D523" s="79"/>
      <c r="E523" s="83" t="str">
        <f t="shared" si="8"/>
        <v>—</v>
      </c>
      <c r="F523" s="83" t="s">
        <v>847</v>
      </c>
      <c r="G523" s="180">
        <v>4750000</v>
      </c>
      <c r="H523" s="83" t="s">
        <v>793</v>
      </c>
      <c r="I523" s="180"/>
    </row>
    <row r="524" spans="1:9" ht="21.25" customHeight="1" x14ac:dyDescent="0.15">
      <c r="A524" s="9" t="s">
        <v>648</v>
      </c>
      <c r="B524" s="83" t="s">
        <v>857</v>
      </c>
      <c r="C524" s="178"/>
      <c r="D524" s="79"/>
      <c r="E524" s="83" t="str">
        <f t="shared" si="8"/>
        <v>—</v>
      </c>
      <c r="F524" s="83" t="s">
        <v>838</v>
      </c>
      <c r="G524" s="180">
        <v>775000</v>
      </c>
      <c r="H524" s="83" t="s">
        <v>793</v>
      </c>
      <c r="I524" s="180"/>
    </row>
    <row r="525" spans="1:9" ht="21.25" customHeight="1" x14ac:dyDescent="0.15">
      <c r="A525" s="9" t="s">
        <v>678</v>
      </c>
      <c r="B525" s="83" t="s">
        <v>857</v>
      </c>
      <c r="C525" s="178"/>
      <c r="D525" s="79"/>
      <c r="E525" s="83" t="str">
        <f t="shared" si="8"/>
        <v>—</v>
      </c>
      <c r="F525" s="83" t="s">
        <v>834</v>
      </c>
      <c r="G525" s="180">
        <v>1350000</v>
      </c>
      <c r="H525" s="83" t="s">
        <v>793</v>
      </c>
      <c r="I525" s="180"/>
    </row>
    <row r="526" spans="1:9" ht="21.25" customHeight="1" x14ac:dyDescent="0.15">
      <c r="A526" s="9" t="s">
        <v>611</v>
      </c>
      <c r="B526" s="83" t="s">
        <v>857</v>
      </c>
      <c r="C526" s="178"/>
      <c r="D526" s="79"/>
      <c r="E526" s="83" t="str">
        <f t="shared" si="8"/>
        <v>—</v>
      </c>
      <c r="F526" s="83" t="s">
        <v>837</v>
      </c>
      <c r="G526" s="180">
        <v>2250000</v>
      </c>
      <c r="H526" s="83" t="s">
        <v>793</v>
      </c>
      <c r="I526" s="180"/>
    </row>
    <row r="527" spans="1:9" ht="21.25" customHeight="1" x14ac:dyDescent="0.15">
      <c r="A527" s="9" t="s">
        <v>679</v>
      </c>
      <c r="B527" s="83" t="s">
        <v>857</v>
      </c>
      <c r="C527" s="178"/>
      <c r="D527" s="79"/>
      <c r="E527" s="83" t="str">
        <f t="shared" si="8"/>
        <v>—</v>
      </c>
      <c r="F527" s="83" t="s">
        <v>855</v>
      </c>
      <c r="G527" s="180">
        <v>3500000</v>
      </c>
      <c r="H527" s="83" t="s">
        <v>793</v>
      </c>
      <c r="I527" s="180"/>
    </row>
    <row r="528" spans="1:9" ht="21.25" customHeight="1" x14ac:dyDescent="0.15">
      <c r="A528" s="9" t="s">
        <v>680</v>
      </c>
      <c r="B528" s="83" t="s">
        <v>857</v>
      </c>
      <c r="C528" s="178"/>
      <c r="D528" s="79"/>
      <c r="E528" s="83" t="str">
        <f t="shared" si="8"/>
        <v>—</v>
      </c>
      <c r="F528" s="83" t="s">
        <v>847</v>
      </c>
      <c r="G528" s="180">
        <v>1200000</v>
      </c>
      <c r="H528" s="83" t="s">
        <v>793</v>
      </c>
      <c r="I528" s="180"/>
    </row>
    <row r="529" spans="1:9" ht="21.25" customHeight="1" x14ac:dyDescent="0.15">
      <c r="A529" s="9" t="s">
        <v>681</v>
      </c>
      <c r="B529" s="178">
        <v>136.9</v>
      </c>
      <c r="C529" s="178"/>
      <c r="D529" s="178"/>
      <c r="E529" s="178">
        <f t="shared" si="8"/>
        <v>136.9</v>
      </c>
      <c r="F529" s="83" t="s">
        <v>825</v>
      </c>
      <c r="G529" s="180">
        <v>7000000</v>
      </c>
      <c r="H529" s="83" t="s">
        <v>793</v>
      </c>
      <c r="I529" s="180"/>
    </row>
    <row r="530" spans="1:9" ht="21.25" customHeight="1" x14ac:dyDescent="0.15">
      <c r="A530" s="9" t="s">
        <v>650</v>
      </c>
      <c r="B530" s="83" t="s">
        <v>857</v>
      </c>
      <c r="C530" s="178"/>
      <c r="D530" s="79"/>
      <c r="E530" s="83" t="str">
        <f t="shared" si="8"/>
        <v>—</v>
      </c>
      <c r="F530" s="83" t="s">
        <v>828</v>
      </c>
      <c r="G530" s="180">
        <v>800000</v>
      </c>
      <c r="H530" s="83" t="s">
        <v>793</v>
      </c>
      <c r="I530" s="180"/>
    </row>
    <row r="531" spans="1:9" ht="21.25" customHeight="1" x14ac:dyDescent="0.15">
      <c r="A531" s="9" t="s">
        <v>612</v>
      </c>
      <c r="B531" s="83" t="s">
        <v>857</v>
      </c>
      <c r="C531" s="178"/>
      <c r="D531" s="79"/>
      <c r="E531" s="83" t="str">
        <f t="shared" si="8"/>
        <v>—</v>
      </c>
      <c r="F531" s="83" t="s">
        <v>850</v>
      </c>
      <c r="G531" s="180">
        <v>875000</v>
      </c>
      <c r="H531" s="83" t="s">
        <v>793</v>
      </c>
      <c r="I531" s="180"/>
    </row>
    <row r="532" spans="1:9" ht="21.25" customHeight="1" x14ac:dyDescent="0.15">
      <c r="A532" s="9" t="s">
        <v>651</v>
      </c>
      <c r="B532" s="83" t="s">
        <v>857</v>
      </c>
      <c r="C532" s="178"/>
      <c r="D532" s="79"/>
      <c r="E532" s="83" t="str">
        <f t="shared" si="8"/>
        <v>—</v>
      </c>
      <c r="F532" s="83" t="s">
        <v>847</v>
      </c>
      <c r="G532" s="180">
        <v>916770</v>
      </c>
      <c r="H532" s="83" t="s">
        <v>793</v>
      </c>
      <c r="I532" s="180"/>
    </row>
    <row r="533" spans="1:9" ht="21.25" customHeight="1" x14ac:dyDescent="0.15">
      <c r="A533" s="9" t="s">
        <v>653</v>
      </c>
      <c r="B533" s="83" t="s">
        <v>857</v>
      </c>
      <c r="C533" s="178"/>
      <c r="D533" s="79"/>
      <c r="E533" s="83" t="str">
        <f t="shared" si="8"/>
        <v>—</v>
      </c>
      <c r="F533" s="83" t="s">
        <v>834</v>
      </c>
      <c r="G533" s="180">
        <v>2100000</v>
      </c>
      <c r="H533" s="83" t="s">
        <v>793</v>
      </c>
      <c r="I533" s="180"/>
    </row>
    <row r="534" spans="1:9" ht="21.25" customHeight="1" x14ac:dyDescent="0.15">
      <c r="A534" s="9" t="s">
        <v>654</v>
      </c>
      <c r="B534" s="83" t="s">
        <v>857</v>
      </c>
      <c r="C534" s="178"/>
      <c r="D534" s="79"/>
      <c r="E534" s="83" t="str">
        <f t="shared" si="8"/>
        <v>—</v>
      </c>
      <c r="F534" s="83" t="s">
        <v>847</v>
      </c>
      <c r="G534" s="180">
        <v>2000000</v>
      </c>
      <c r="H534" s="83" t="s">
        <v>793</v>
      </c>
      <c r="I534" s="180"/>
    </row>
    <row r="535" spans="1:9" ht="21.25" customHeight="1" x14ac:dyDescent="0.15">
      <c r="A535" s="9" t="s">
        <v>655</v>
      </c>
      <c r="B535" s="83" t="s">
        <v>857</v>
      </c>
      <c r="C535" s="178"/>
      <c r="D535" s="79"/>
      <c r="E535" s="83" t="str">
        <f t="shared" si="8"/>
        <v>—</v>
      </c>
      <c r="F535" s="83" t="s">
        <v>840</v>
      </c>
      <c r="G535" s="180">
        <v>2600000</v>
      </c>
      <c r="H535" s="83" t="s">
        <v>793</v>
      </c>
      <c r="I535" s="180"/>
    </row>
    <row r="536" spans="1:9" ht="21.25" customHeight="1" x14ac:dyDescent="0.15">
      <c r="A536" s="9" t="s">
        <v>684</v>
      </c>
      <c r="B536" s="83" t="s">
        <v>857</v>
      </c>
      <c r="C536" s="178"/>
      <c r="D536" s="79"/>
      <c r="E536" s="83" t="str">
        <f t="shared" si="8"/>
        <v>—</v>
      </c>
      <c r="F536" s="83" t="s">
        <v>858</v>
      </c>
      <c r="G536" s="180">
        <v>4000000</v>
      </c>
      <c r="H536" s="83" t="s">
        <v>793</v>
      </c>
      <c r="I536" s="180"/>
    </row>
    <row r="537" spans="1:9" ht="21.25" customHeight="1" x14ac:dyDescent="0.15">
      <c r="A537" s="9" t="s">
        <v>649</v>
      </c>
      <c r="B537" s="178">
        <v>165.6</v>
      </c>
      <c r="C537" s="178"/>
      <c r="D537" s="79"/>
      <c r="E537" s="178">
        <f t="shared" si="8"/>
        <v>165.6</v>
      </c>
      <c r="F537" s="83" t="s">
        <v>833</v>
      </c>
      <c r="G537" s="180">
        <v>2500000</v>
      </c>
      <c r="H537" s="83" t="s">
        <v>793</v>
      </c>
      <c r="I537" s="180"/>
    </row>
    <row r="538" spans="1:9" ht="21.25" customHeight="1" x14ac:dyDescent="0.15">
      <c r="A538" s="9" t="s">
        <v>686</v>
      </c>
      <c r="B538" s="83" t="s">
        <v>857</v>
      </c>
      <c r="C538" s="178"/>
      <c r="D538" s="79"/>
      <c r="E538" s="83" t="str">
        <f t="shared" si="8"/>
        <v>—</v>
      </c>
      <c r="F538" s="83" t="s">
        <v>831</v>
      </c>
      <c r="G538" s="180">
        <v>800000</v>
      </c>
      <c r="H538" s="83" t="s">
        <v>793</v>
      </c>
      <c r="I538" s="180"/>
    </row>
    <row r="539" spans="1:9" ht="21.25" customHeight="1" x14ac:dyDescent="0.15">
      <c r="A539" s="9" t="s">
        <v>652</v>
      </c>
      <c r="B539" s="178">
        <v>165.4</v>
      </c>
      <c r="C539" s="178"/>
      <c r="D539" s="79"/>
      <c r="E539" s="178">
        <f t="shared" si="8"/>
        <v>165.4</v>
      </c>
      <c r="F539" s="83" t="s">
        <v>836</v>
      </c>
      <c r="G539" s="180">
        <v>2750000</v>
      </c>
      <c r="H539" s="83" t="s">
        <v>793</v>
      </c>
      <c r="I539" s="180"/>
    </row>
    <row r="540" spans="1:9" ht="21.25" customHeight="1" x14ac:dyDescent="0.15">
      <c r="A540" s="9" t="s">
        <v>660</v>
      </c>
      <c r="B540" s="83" t="s">
        <v>857</v>
      </c>
      <c r="C540" s="178"/>
      <c r="D540" s="79"/>
      <c r="E540" s="83" t="str">
        <f t="shared" si="8"/>
        <v>—</v>
      </c>
      <c r="F540" s="83" t="s">
        <v>828</v>
      </c>
      <c r="G540" s="180">
        <v>870000</v>
      </c>
      <c r="H540" s="83" t="s">
        <v>793</v>
      </c>
      <c r="I540" s="180"/>
    </row>
    <row r="541" spans="1:9" ht="21.25" customHeight="1" x14ac:dyDescent="0.15">
      <c r="A541" s="9" t="s">
        <v>621</v>
      </c>
      <c r="B541" s="83" t="s">
        <v>857</v>
      </c>
      <c r="C541" s="178"/>
      <c r="D541" s="79"/>
      <c r="E541" s="83" t="str">
        <f t="shared" si="8"/>
        <v>—</v>
      </c>
      <c r="F541" s="83" t="s">
        <v>848</v>
      </c>
      <c r="G541" s="180">
        <v>2100000</v>
      </c>
      <c r="H541" s="83" t="s">
        <v>793</v>
      </c>
      <c r="I541" s="180"/>
    </row>
    <row r="542" spans="1:9" ht="21.25" customHeight="1" x14ac:dyDescent="0.15">
      <c r="A542" s="9" t="s">
        <v>662</v>
      </c>
      <c r="B542" s="83" t="s">
        <v>857</v>
      </c>
      <c r="C542" s="178"/>
      <c r="D542" s="79"/>
      <c r="E542" s="83" t="str">
        <f t="shared" si="8"/>
        <v>—</v>
      </c>
      <c r="F542" s="83" t="s">
        <v>851</v>
      </c>
      <c r="G542" s="180">
        <v>878333</v>
      </c>
      <c r="H542" s="83" t="s">
        <v>793</v>
      </c>
      <c r="I542" s="180"/>
    </row>
    <row r="543" spans="1:9" ht="21.25" customHeight="1" x14ac:dyDescent="0.15">
      <c r="A543" s="9" t="s">
        <v>666</v>
      </c>
      <c r="B543" s="83" t="s">
        <v>857</v>
      </c>
      <c r="C543" s="178"/>
      <c r="D543" s="79"/>
      <c r="E543" s="83" t="str">
        <f t="shared" si="8"/>
        <v>—</v>
      </c>
      <c r="F543" s="83" t="s">
        <v>839</v>
      </c>
      <c r="G543" s="180">
        <v>2450000</v>
      </c>
      <c r="H543" s="83" t="s">
        <v>793</v>
      </c>
      <c r="I543" s="180"/>
    </row>
    <row r="544" spans="1:9" ht="21.25" customHeight="1" x14ac:dyDescent="0.15">
      <c r="A544" s="9" t="s">
        <v>656</v>
      </c>
      <c r="B544" s="178">
        <v>166</v>
      </c>
      <c r="C544" s="178"/>
      <c r="D544" s="79"/>
      <c r="E544" s="178">
        <f t="shared" si="8"/>
        <v>166</v>
      </c>
      <c r="F544" s="83" t="s">
        <v>825</v>
      </c>
      <c r="G544" s="180">
        <v>837500</v>
      </c>
      <c r="H544" s="83" t="s">
        <v>793</v>
      </c>
      <c r="I544" s="180"/>
    </row>
    <row r="545" spans="1:9" ht="21.25" customHeight="1" x14ac:dyDescent="0.15">
      <c r="A545" s="9" t="s">
        <v>668</v>
      </c>
      <c r="B545" s="83" t="s">
        <v>857</v>
      </c>
      <c r="C545" s="178"/>
      <c r="D545" s="79"/>
      <c r="E545" s="83" t="str">
        <f t="shared" si="8"/>
        <v>—</v>
      </c>
      <c r="F545" s="83" t="s">
        <v>844</v>
      </c>
      <c r="G545" s="180">
        <v>1300000</v>
      </c>
      <c r="H545" s="83" t="s">
        <v>793</v>
      </c>
      <c r="I545" s="180"/>
    </row>
    <row r="546" spans="1:9" ht="21.25" customHeight="1" x14ac:dyDescent="0.15">
      <c r="A546" s="9" t="s">
        <v>669</v>
      </c>
      <c r="B546" s="83" t="s">
        <v>857</v>
      </c>
      <c r="C546" s="178"/>
      <c r="D546" s="79"/>
      <c r="E546" s="83" t="str">
        <f t="shared" si="8"/>
        <v>—</v>
      </c>
      <c r="F546" s="83" t="s">
        <v>849</v>
      </c>
      <c r="G546" s="180">
        <v>1725000</v>
      </c>
      <c r="H546" s="83" t="s">
        <v>793</v>
      </c>
      <c r="I546" s="180"/>
    </row>
    <row r="547" spans="1:9" ht="21.25" customHeight="1" x14ac:dyDescent="0.15">
      <c r="A547" s="9" t="s">
        <v>670</v>
      </c>
      <c r="B547" s="83" t="s">
        <v>857</v>
      </c>
      <c r="C547" s="178"/>
      <c r="D547" s="79"/>
      <c r="E547" s="83" t="str">
        <f t="shared" si="8"/>
        <v>—</v>
      </c>
      <c r="F547" s="83" t="s">
        <v>842</v>
      </c>
      <c r="G547" s="180">
        <v>3400000</v>
      </c>
      <c r="H547" s="83" t="s">
        <v>793</v>
      </c>
      <c r="I547" s="180"/>
    </row>
    <row r="548" spans="1:9" ht="21.25" customHeight="1" x14ac:dyDescent="0.15">
      <c r="A548" s="9" t="s">
        <v>658</v>
      </c>
      <c r="B548" s="83" t="s">
        <v>857</v>
      </c>
      <c r="C548" s="178"/>
      <c r="D548" s="79"/>
      <c r="E548" s="83" t="str">
        <f t="shared" si="8"/>
        <v>—</v>
      </c>
      <c r="F548" s="83" t="s">
        <v>854</v>
      </c>
      <c r="G548" s="180">
        <v>890000</v>
      </c>
      <c r="H548" s="83" t="s">
        <v>793</v>
      </c>
      <c r="I548" s="180"/>
    </row>
    <row r="549" spans="1:9" ht="21.25" customHeight="1" x14ac:dyDescent="0.15">
      <c r="A549" s="9" t="s">
        <v>672</v>
      </c>
      <c r="B549" s="83" t="s">
        <v>857</v>
      </c>
      <c r="C549" s="178"/>
      <c r="D549" s="79"/>
      <c r="E549" s="83" t="str">
        <f t="shared" si="8"/>
        <v>—</v>
      </c>
      <c r="F549" s="83" t="s">
        <v>831</v>
      </c>
      <c r="G549" s="180">
        <v>812500</v>
      </c>
      <c r="H549" s="83" t="s">
        <v>793</v>
      </c>
      <c r="I549" s="180"/>
    </row>
    <row r="550" spans="1:9" ht="21.25" customHeight="1" x14ac:dyDescent="0.15">
      <c r="A550" s="9" t="s">
        <v>632</v>
      </c>
      <c r="B550" s="83" t="s">
        <v>857</v>
      </c>
      <c r="C550" s="178"/>
      <c r="D550" s="79"/>
      <c r="E550" s="83" t="str">
        <f t="shared" si="8"/>
        <v>—</v>
      </c>
      <c r="F550" s="83" t="s">
        <v>828</v>
      </c>
      <c r="G550" s="180">
        <v>775000</v>
      </c>
      <c r="H550" s="83" t="s">
        <v>793</v>
      </c>
      <c r="I550" s="180"/>
    </row>
    <row r="551" spans="1:9" ht="21.25" customHeight="1" x14ac:dyDescent="0.15">
      <c r="A551" s="9" t="s">
        <v>675</v>
      </c>
      <c r="B551" s="83" t="s">
        <v>857</v>
      </c>
      <c r="C551" s="178"/>
      <c r="D551" s="79"/>
      <c r="E551" s="83" t="str">
        <f t="shared" si="8"/>
        <v>—</v>
      </c>
      <c r="F551" s="83" t="s">
        <v>839</v>
      </c>
      <c r="G551" s="180">
        <v>775000</v>
      </c>
      <c r="H551" s="83" t="s">
        <v>793</v>
      </c>
      <c r="I551" s="180"/>
    </row>
    <row r="552" spans="1:9" ht="21.25" customHeight="1" x14ac:dyDescent="0.15">
      <c r="A552" s="9" t="s">
        <v>639</v>
      </c>
      <c r="B552" s="83" t="s">
        <v>857</v>
      </c>
      <c r="C552" s="178"/>
      <c r="D552" s="79"/>
      <c r="E552" s="83" t="str">
        <f t="shared" si="8"/>
        <v>—</v>
      </c>
      <c r="F552" s="83" t="s">
        <v>854</v>
      </c>
      <c r="G552" s="180">
        <v>5500000</v>
      </c>
      <c r="H552" s="83" t="s">
        <v>793</v>
      </c>
      <c r="I552" s="180"/>
    </row>
    <row r="553" spans="1:9" ht="21.25" customHeight="1" x14ac:dyDescent="0.15">
      <c r="A553" s="9" t="s">
        <v>700</v>
      </c>
      <c r="B553" s="83" t="s">
        <v>857</v>
      </c>
      <c r="C553" s="178"/>
      <c r="D553" s="79"/>
      <c r="E553" s="83" t="str">
        <f t="shared" si="8"/>
        <v>—</v>
      </c>
      <c r="F553" s="83" t="s">
        <v>827</v>
      </c>
      <c r="G553" s="180">
        <v>2000000</v>
      </c>
      <c r="H553" s="83" t="s">
        <v>793</v>
      </c>
      <c r="I553" s="180"/>
    </row>
    <row r="554" spans="1:9" ht="21.25" customHeight="1" x14ac:dyDescent="0.15">
      <c r="A554" s="9" t="s">
        <v>701</v>
      </c>
      <c r="B554" s="83" t="s">
        <v>857</v>
      </c>
      <c r="C554" s="178"/>
      <c r="D554" s="79"/>
      <c r="E554" s="83" t="str">
        <f t="shared" si="8"/>
        <v>—</v>
      </c>
      <c r="F554" s="83" t="s">
        <v>831</v>
      </c>
      <c r="G554" s="180">
        <v>828333</v>
      </c>
      <c r="H554" s="83" t="s">
        <v>793</v>
      </c>
      <c r="I554" s="180"/>
    </row>
    <row r="555" spans="1:9" ht="21.25" customHeight="1" x14ac:dyDescent="0.15">
      <c r="A555" s="9" t="s">
        <v>671</v>
      </c>
      <c r="B555" s="83" t="s">
        <v>857</v>
      </c>
      <c r="C555" s="178"/>
      <c r="D555" s="79"/>
      <c r="E555" s="83" t="str">
        <f t="shared" si="8"/>
        <v>—</v>
      </c>
      <c r="F555" s="83" t="s">
        <v>848</v>
      </c>
      <c r="G555" s="180">
        <v>775000</v>
      </c>
      <c r="H555" s="83" t="s">
        <v>793</v>
      </c>
      <c r="I555" s="180"/>
    </row>
    <row r="556" spans="1:9" ht="21.25" customHeight="1" x14ac:dyDescent="0.15">
      <c r="A556" s="9" t="s">
        <v>683</v>
      </c>
      <c r="B556" s="83" t="s">
        <v>857</v>
      </c>
      <c r="C556" s="178"/>
      <c r="D556" s="79"/>
      <c r="E556" s="83" t="str">
        <f t="shared" si="8"/>
        <v>—</v>
      </c>
      <c r="F556" s="83" t="s">
        <v>829</v>
      </c>
      <c r="G556" s="180">
        <v>775000</v>
      </c>
      <c r="H556" s="83" t="s">
        <v>793</v>
      </c>
      <c r="I556" s="180"/>
    </row>
    <row r="557" spans="1:9" ht="21.25" customHeight="1" x14ac:dyDescent="0.15">
      <c r="A557" s="9" t="s">
        <v>685</v>
      </c>
      <c r="B557" s="83" t="s">
        <v>857</v>
      </c>
      <c r="C557" s="178"/>
      <c r="D557" s="79"/>
      <c r="E557" s="83" t="str">
        <f t="shared" si="8"/>
        <v>—</v>
      </c>
      <c r="F557" s="83" t="s">
        <v>836</v>
      </c>
      <c r="G557" s="180">
        <v>800000</v>
      </c>
      <c r="H557" s="83" t="s">
        <v>793</v>
      </c>
      <c r="I557" s="180"/>
    </row>
    <row r="558" spans="1:9" ht="21.25" customHeight="1" x14ac:dyDescent="0.15">
      <c r="A558" s="9" t="s">
        <v>687</v>
      </c>
      <c r="B558" s="83" t="s">
        <v>857</v>
      </c>
      <c r="C558" s="178"/>
      <c r="D558" s="79"/>
      <c r="E558" s="83" t="str">
        <f t="shared" si="8"/>
        <v>—</v>
      </c>
      <c r="F558" s="83" t="s">
        <v>839</v>
      </c>
      <c r="G558" s="180">
        <v>2500000</v>
      </c>
      <c r="H558" s="83" t="s">
        <v>793</v>
      </c>
      <c r="I558" s="180"/>
    </row>
    <row r="559" spans="1:9" ht="21.25" customHeight="1" x14ac:dyDescent="0.15">
      <c r="A559" s="9" t="s">
        <v>689</v>
      </c>
      <c r="B559" s="83" t="s">
        <v>857</v>
      </c>
      <c r="C559" s="178"/>
      <c r="D559" s="79"/>
      <c r="E559" s="83" t="str">
        <f t="shared" si="8"/>
        <v>—</v>
      </c>
      <c r="F559" s="83" t="s">
        <v>826</v>
      </c>
      <c r="G559" s="180">
        <v>2100000</v>
      </c>
      <c r="H559" s="83" t="s">
        <v>793</v>
      </c>
      <c r="I559" s="180"/>
    </row>
    <row r="560" spans="1:9" ht="21.25" customHeight="1" x14ac:dyDescent="0.15">
      <c r="A560" s="9" t="s">
        <v>691</v>
      </c>
      <c r="B560" s="83" t="s">
        <v>857</v>
      </c>
      <c r="C560" s="178"/>
      <c r="D560" s="79"/>
      <c r="E560" s="83" t="str">
        <f t="shared" si="8"/>
        <v>—</v>
      </c>
      <c r="F560" s="83" t="s">
        <v>854</v>
      </c>
      <c r="G560" s="180">
        <v>1700000</v>
      </c>
      <c r="H560" s="83" t="s">
        <v>793</v>
      </c>
      <c r="I560" s="180"/>
    </row>
    <row r="561" spans="1:9" ht="21.25" customHeight="1" x14ac:dyDescent="0.15">
      <c r="A561" s="9" t="s">
        <v>692</v>
      </c>
      <c r="B561" s="83" t="s">
        <v>857</v>
      </c>
      <c r="C561" s="178"/>
      <c r="D561" s="79"/>
      <c r="E561" s="83" t="str">
        <f t="shared" si="8"/>
        <v>—</v>
      </c>
      <c r="F561" s="83" t="s">
        <v>852</v>
      </c>
      <c r="G561" s="180">
        <v>775000</v>
      </c>
      <c r="H561" s="83" t="s">
        <v>793</v>
      </c>
      <c r="I561" s="180"/>
    </row>
    <row r="562" spans="1:9" ht="21.25" customHeight="1" x14ac:dyDescent="0.15">
      <c r="A562" s="9" t="s">
        <v>715</v>
      </c>
      <c r="B562" s="83" t="s">
        <v>857</v>
      </c>
      <c r="C562" s="178"/>
      <c r="D562" s="79"/>
      <c r="E562" s="83" t="str">
        <f t="shared" si="8"/>
        <v>—</v>
      </c>
      <c r="F562" s="83" t="s">
        <v>855</v>
      </c>
      <c r="G562" s="180">
        <v>859167</v>
      </c>
      <c r="H562" s="83" t="s">
        <v>793</v>
      </c>
      <c r="I562" s="180"/>
    </row>
    <row r="563" spans="1:9" ht="21.25" customHeight="1" x14ac:dyDescent="0.15">
      <c r="A563" s="9" t="s">
        <v>696</v>
      </c>
      <c r="B563" s="83" t="s">
        <v>857</v>
      </c>
      <c r="C563" s="178"/>
      <c r="D563" s="79"/>
      <c r="E563" s="83" t="str">
        <f t="shared" si="8"/>
        <v>—</v>
      </c>
      <c r="F563" s="83" t="s">
        <v>833</v>
      </c>
      <c r="G563" s="180">
        <v>2100000</v>
      </c>
      <c r="H563" s="83" t="s">
        <v>793</v>
      </c>
      <c r="I563" s="180"/>
    </row>
    <row r="564" spans="1:9" ht="21.25" customHeight="1" x14ac:dyDescent="0.15">
      <c r="A564" s="9" t="s">
        <v>663</v>
      </c>
      <c r="B564" s="83" t="s">
        <v>857</v>
      </c>
      <c r="C564" s="178"/>
      <c r="D564" s="79"/>
      <c r="E564" s="83" t="str">
        <f t="shared" si="8"/>
        <v>—</v>
      </c>
      <c r="F564" s="83" t="s">
        <v>848</v>
      </c>
      <c r="G564" s="180">
        <v>1000000</v>
      </c>
      <c r="H564" s="83" t="s">
        <v>793</v>
      </c>
      <c r="I564" s="180"/>
    </row>
    <row r="565" spans="1:9" ht="21.25" customHeight="1" x14ac:dyDescent="0.15">
      <c r="A565" s="9" t="s">
        <v>664</v>
      </c>
      <c r="B565" s="83" t="s">
        <v>857</v>
      </c>
      <c r="C565" s="178"/>
      <c r="D565" s="79"/>
      <c r="E565" s="83" t="str">
        <f t="shared" si="8"/>
        <v>—</v>
      </c>
      <c r="F565" s="83" t="s">
        <v>833</v>
      </c>
      <c r="G565" s="180">
        <v>4000000</v>
      </c>
      <c r="H565" s="83" t="s">
        <v>793</v>
      </c>
      <c r="I565" s="180"/>
    </row>
    <row r="566" spans="1:9" ht="21.25" customHeight="1" x14ac:dyDescent="0.15">
      <c r="A566" s="9" t="s">
        <v>665</v>
      </c>
      <c r="B566" s="83" t="s">
        <v>857</v>
      </c>
      <c r="C566" s="178"/>
      <c r="D566" s="79"/>
      <c r="E566" s="83" t="str">
        <f t="shared" si="8"/>
        <v>—</v>
      </c>
      <c r="F566" s="83" t="s">
        <v>854</v>
      </c>
      <c r="G566" s="180">
        <v>835000</v>
      </c>
      <c r="H566" s="83" t="s">
        <v>793</v>
      </c>
      <c r="I566" s="180"/>
    </row>
    <row r="567" spans="1:9" ht="21.25" customHeight="1" x14ac:dyDescent="0.15">
      <c r="A567" s="9" t="s">
        <v>699</v>
      </c>
      <c r="B567" s="83" t="s">
        <v>857</v>
      </c>
      <c r="C567" s="178"/>
      <c r="D567" s="79"/>
      <c r="E567" s="83" t="str">
        <f t="shared" si="8"/>
        <v>—</v>
      </c>
      <c r="F567" s="83" t="s">
        <v>837</v>
      </c>
      <c r="G567" s="180">
        <v>894167</v>
      </c>
      <c r="H567" s="83" t="s">
        <v>793</v>
      </c>
      <c r="I567" s="180"/>
    </row>
    <row r="568" spans="1:9" ht="21.25" customHeight="1" x14ac:dyDescent="0.15">
      <c r="A568" s="9" t="s">
        <v>695</v>
      </c>
      <c r="B568" s="83" t="s">
        <v>857</v>
      </c>
      <c r="C568" s="178"/>
      <c r="D568" s="79"/>
      <c r="E568" s="83" t="str">
        <f t="shared" si="8"/>
        <v>—</v>
      </c>
      <c r="F568" s="83" t="s">
        <v>860</v>
      </c>
      <c r="G568" s="180">
        <v>1000000</v>
      </c>
      <c r="H568" s="83" t="s">
        <v>793</v>
      </c>
      <c r="I568" s="180"/>
    </row>
    <row r="569" spans="1:9" ht="21.25" customHeight="1" x14ac:dyDescent="0.15">
      <c r="A569" s="9" t="s">
        <v>722</v>
      </c>
      <c r="B569" s="83" t="s">
        <v>857</v>
      </c>
      <c r="C569" s="178"/>
      <c r="D569" s="178"/>
      <c r="E569" s="83" t="str">
        <f t="shared" si="8"/>
        <v>—</v>
      </c>
      <c r="F569" s="83" t="s">
        <v>830</v>
      </c>
      <c r="G569" s="180">
        <v>1000000</v>
      </c>
      <c r="H569" s="83" t="s">
        <v>793</v>
      </c>
      <c r="I569" s="180"/>
    </row>
    <row r="570" spans="1:9" ht="21.25" customHeight="1" x14ac:dyDescent="0.15">
      <c r="A570" s="9" t="s">
        <v>694</v>
      </c>
      <c r="B570" s="83" t="s">
        <v>857</v>
      </c>
      <c r="C570" s="178"/>
      <c r="D570" s="79"/>
      <c r="E570" s="83" t="str">
        <f t="shared" si="8"/>
        <v>—</v>
      </c>
      <c r="F570" s="83" t="s">
        <v>852</v>
      </c>
      <c r="G570" s="180">
        <v>1050000</v>
      </c>
      <c r="H570" s="83" t="s">
        <v>793</v>
      </c>
      <c r="I570" s="180"/>
    </row>
    <row r="571" spans="1:9" ht="21.25" customHeight="1" x14ac:dyDescent="0.15">
      <c r="A571" s="9" t="s">
        <v>673</v>
      </c>
      <c r="B571" s="83" t="s">
        <v>857</v>
      </c>
      <c r="C571" s="178"/>
      <c r="D571" s="79"/>
      <c r="E571" s="83" t="str">
        <f t="shared" si="8"/>
        <v>—</v>
      </c>
      <c r="F571" s="83" t="s">
        <v>856</v>
      </c>
      <c r="G571" s="180">
        <v>2375000</v>
      </c>
      <c r="H571" s="83" t="s">
        <v>793</v>
      </c>
      <c r="I571" s="180"/>
    </row>
    <row r="572" spans="1:9" ht="21.25" customHeight="1" x14ac:dyDescent="0.15">
      <c r="A572" s="9" t="s">
        <v>702</v>
      </c>
      <c r="B572" s="83" t="s">
        <v>857</v>
      </c>
      <c r="C572" s="178"/>
      <c r="D572" s="79"/>
      <c r="E572" s="83" t="str">
        <f t="shared" si="8"/>
        <v>—</v>
      </c>
      <c r="F572" s="83" t="s">
        <v>829</v>
      </c>
      <c r="G572" s="180">
        <v>775000</v>
      </c>
      <c r="H572" s="83" t="s">
        <v>793</v>
      </c>
      <c r="I572" s="180"/>
    </row>
    <row r="573" spans="1:9" ht="21.25" customHeight="1" x14ac:dyDescent="0.15">
      <c r="A573" s="9" t="s">
        <v>676</v>
      </c>
      <c r="B573" s="178"/>
      <c r="C573" s="178"/>
      <c r="D573" s="79"/>
      <c r="E573" s="83" t="str">
        <f t="shared" si="8"/>
        <v>—</v>
      </c>
      <c r="F573" s="83" t="s">
        <v>836</v>
      </c>
      <c r="G573" s="180">
        <v>950000</v>
      </c>
      <c r="H573" s="79"/>
      <c r="I573" s="180"/>
    </row>
    <row r="574" spans="1:9" ht="21.25" customHeight="1" x14ac:dyDescent="0.15">
      <c r="A574" s="9" t="s">
        <v>706</v>
      </c>
      <c r="B574" s="83" t="s">
        <v>857</v>
      </c>
      <c r="C574" s="178"/>
      <c r="D574" s="79"/>
      <c r="E574" s="83" t="str">
        <f t="shared" si="8"/>
        <v>—</v>
      </c>
      <c r="F574" s="83" t="s">
        <v>836</v>
      </c>
      <c r="G574" s="180">
        <v>2500000</v>
      </c>
      <c r="H574" s="83" t="s">
        <v>793</v>
      </c>
      <c r="I574" s="180"/>
    </row>
    <row r="575" spans="1:9" ht="21.25" customHeight="1" x14ac:dyDescent="0.15">
      <c r="A575" s="9" t="s">
        <v>682</v>
      </c>
      <c r="B575" s="83" t="s">
        <v>857</v>
      </c>
      <c r="C575" s="178"/>
      <c r="D575" s="79"/>
      <c r="E575" s="83" t="str">
        <f t="shared" si="8"/>
        <v>—</v>
      </c>
      <c r="F575" s="83" t="s">
        <v>854</v>
      </c>
      <c r="G575" s="180">
        <v>3400000</v>
      </c>
      <c r="H575" s="83" t="s">
        <v>793</v>
      </c>
      <c r="I575" s="180"/>
    </row>
    <row r="576" spans="1:9" ht="21.25" customHeight="1" x14ac:dyDescent="0.15">
      <c r="A576" s="9" t="s">
        <v>711</v>
      </c>
      <c r="B576" s="83" t="s">
        <v>857</v>
      </c>
      <c r="C576" s="178"/>
      <c r="D576" s="79"/>
      <c r="E576" s="83" t="str">
        <f t="shared" si="8"/>
        <v>—</v>
      </c>
      <c r="F576" s="83" t="s">
        <v>833</v>
      </c>
      <c r="G576" s="180">
        <v>3500000</v>
      </c>
      <c r="H576" s="83" t="s">
        <v>793</v>
      </c>
      <c r="I576" s="180"/>
    </row>
    <row r="577" spans="1:9" ht="21.25" customHeight="1" x14ac:dyDescent="0.15">
      <c r="A577" s="9" t="s">
        <v>712</v>
      </c>
      <c r="B577" s="83" t="s">
        <v>857</v>
      </c>
      <c r="C577" s="178"/>
      <c r="D577" s="79"/>
      <c r="E577" s="83" t="str">
        <f t="shared" si="8"/>
        <v>—</v>
      </c>
      <c r="F577" s="83" t="s">
        <v>847</v>
      </c>
      <c r="G577" s="180">
        <v>4250000</v>
      </c>
      <c r="H577" s="83" t="s">
        <v>793</v>
      </c>
      <c r="I577" s="180"/>
    </row>
    <row r="578" spans="1:9" ht="21.25" customHeight="1" x14ac:dyDescent="0.15">
      <c r="A578" s="9" t="s">
        <v>732</v>
      </c>
      <c r="B578" s="83" t="s">
        <v>857</v>
      </c>
      <c r="C578" s="178"/>
      <c r="D578" s="79"/>
      <c r="E578" s="83" t="str">
        <f t="shared" ref="E578:E641" si="9">IFERROR(AVERAGE(B578:D578),"—")</f>
        <v>—</v>
      </c>
      <c r="F578" s="83" t="s">
        <v>851</v>
      </c>
      <c r="G578" s="180">
        <v>775000</v>
      </c>
      <c r="H578" s="83" t="s">
        <v>793</v>
      </c>
      <c r="I578" s="180"/>
    </row>
    <row r="579" spans="1:9" ht="21.25" customHeight="1" x14ac:dyDescent="0.15">
      <c r="A579" s="9" t="s">
        <v>733</v>
      </c>
      <c r="B579" s="83" t="s">
        <v>857</v>
      </c>
      <c r="C579" s="178"/>
      <c r="D579" s="79"/>
      <c r="E579" s="83" t="str">
        <f t="shared" si="9"/>
        <v>—</v>
      </c>
      <c r="F579" s="83" t="s">
        <v>842</v>
      </c>
      <c r="G579" s="180">
        <v>800000</v>
      </c>
      <c r="H579" s="83" t="s">
        <v>793</v>
      </c>
      <c r="I579" s="180"/>
    </row>
    <row r="580" spans="1:9" ht="21.25" customHeight="1" x14ac:dyDescent="0.15">
      <c r="A580" s="9" t="s">
        <v>705</v>
      </c>
      <c r="B580" s="83" t="s">
        <v>857</v>
      </c>
      <c r="C580" s="178"/>
      <c r="D580" s="79"/>
      <c r="E580" s="83" t="str">
        <f t="shared" si="9"/>
        <v>—</v>
      </c>
      <c r="F580" s="83" t="s">
        <v>824</v>
      </c>
      <c r="G580" s="180">
        <v>1000000</v>
      </c>
      <c r="H580" s="83" t="s">
        <v>793</v>
      </c>
      <c r="I580" s="180"/>
    </row>
    <row r="581" spans="1:9" ht="21.25" customHeight="1" x14ac:dyDescent="0.15">
      <c r="A581" s="9" t="s">
        <v>688</v>
      </c>
      <c r="B581" s="83" t="s">
        <v>857</v>
      </c>
      <c r="C581" s="178"/>
      <c r="D581" s="79"/>
      <c r="E581" s="83" t="str">
        <f t="shared" si="9"/>
        <v>—</v>
      </c>
      <c r="F581" s="83" t="s">
        <v>852</v>
      </c>
      <c r="G581" s="180">
        <v>1100000</v>
      </c>
      <c r="H581" s="83" t="s">
        <v>793</v>
      </c>
      <c r="I581" s="180"/>
    </row>
    <row r="582" spans="1:9" ht="21.25" customHeight="1" x14ac:dyDescent="0.15">
      <c r="A582" s="9" t="s">
        <v>690</v>
      </c>
      <c r="B582" s="83" t="s">
        <v>857</v>
      </c>
      <c r="C582" s="178"/>
      <c r="D582" s="79"/>
      <c r="E582" s="83" t="str">
        <f t="shared" si="9"/>
        <v>—</v>
      </c>
      <c r="F582" s="83" t="s">
        <v>836</v>
      </c>
      <c r="G582" s="83" t="s">
        <v>843</v>
      </c>
      <c r="H582" s="83" t="s">
        <v>793</v>
      </c>
      <c r="I582" s="180"/>
    </row>
    <row r="583" spans="1:9" ht="21.25" customHeight="1" x14ac:dyDescent="0.15">
      <c r="A583" s="9" t="s">
        <v>717</v>
      </c>
      <c r="B583" s="83" t="s">
        <v>857</v>
      </c>
      <c r="C583" s="178"/>
      <c r="D583" s="79"/>
      <c r="E583" s="83" t="str">
        <f t="shared" si="9"/>
        <v>—</v>
      </c>
      <c r="F583" s="83" t="s">
        <v>839</v>
      </c>
      <c r="G583" s="180">
        <v>1850000</v>
      </c>
      <c r="H583" s="83" t="s">
        <v>793</v>
      </c>
      <c r="I583" s="180"/>
    </row>
    <row r="584" spans="1:9" ht="21.25" customHeight="1" x14ac:dyDescent="0.15">
      <c r="A584" s="9" t="s">
        <v>708</v>
      </c>
      <c r="B584" s="178">
        <v>180.7</v>
      </c>
      <c r="C584" s="178"/>
      <c r="D584" s="79"/>
      <c r="E584" s="178">
        <f t="shared" si="9"/>
        <v>180.7</v>
      </c>
      <c r="F584" s="83" t="s">
        <v>828</v>
      </c>
      <c r="G584" s="180">
        <v>3000000</v>
      </c>
      <c r="H584" s="83" t="s">
        <v>793</v>
      </c>
      <c r="I584" s="180"/>
    </row>
    <row r="585" spans="1:9" ht="21.25" customHeight="1" x14ac:dyDescent="0.15">
      <c r="A585" s="9" t="s">
        <v>710</v>
      </c>
      <c r="B585" s="83" t="s">
        <v>857</v>
      </c>
      <c r="C585" s="178"/>
      <c r="D585" s="79"/>
      <c r="E585" s="83" t="str">
        <f t="shared" si="9"/>
        <v>—</v>
      </c>
      <c r="F585" s="83" t="s">
        <v>856</v>
      </c>
      <c r="G585" s="180">
        <v>3275000</v>
      </c>
      <c r="H585" s="83" t="s">
        <v>793</v>
      </c>
      <c r="I585" s="180"/>
    </row>
    <row r="586" spans="1:9" ht="21.25" customHeight="1" x14ac:dyDescent="0.15">
      <c r="A586" s="9" t="s">
        <v>719</v>
      </c>
      <c r="B586" s="83" t="s">
        <v>857</v>
      </c>
      <c r="C586" s="178"/>
      <c r="D586" s="79"/>
      <c r="E586" s="83" t="str">
        <f t="shared" si="9"/>
        <v>—</v>
      </c>
      <c r="F586" s="83" t="s">
        <v>835</v>
      </c>
      <c r="G586" s="180">
        <v>1800000</v>
      </c>
      <c r="H586" s="83" t="s">
        <v>793</v>
      </c>
      <c r="I586" s="180"/>
    </row>
    <row r="587" spans="1:9" ht="21.25" customHeight="1" x14ac:dyDescent="0.15">
      <c r="A587" s="9" t="s">
        <v>693</v>
      </c>
      <c r="B587" s="83" t="s">
        <v>857</v>
      </c>
      <c r="C587" s="178"/>
      <c r="D587" s="79"/>
      <c r="E587" s="83" t="str">
        <f t="shared" si="9"/>
        <v>—</v>
      </c>
      <c r="F587" s="83" t="s">
        <v>858</v>
      </c>
      <c r="G587" s="180">
        <v>1050000</v>
      </c>
      <c r="H587" s="83" t="s">
        <v>793</v>
      </c>
      <c r="I587" s="180"/>
    </row>
    <row r="588" spans="1:9" ht="21.25" customHeight="1" x14ac:dyDescent="0.15">
      <c r="A588" s="9" t="s">
        <v>720</v>
      </c>
      <c r="B588" s="83" t="s">
        <v>857</v>
      </c>
      <c r="C588" s="178"/>
      <c r="D588" s="79"/>
      <c r="E588" s="83" t="str">
        <f t="shared" si="9"/>
        <v>—</v>
      </c>
      <c r="F588" s="83" t="s">
        <v>844</v>
      </c>
      <c r="G588" s="180">
        <v>863000</v>
      </c>
      <c r="H588" s="83" t="s">
        <v>793</v>
      </c>
      <c r="I588" s="180"/>
    </row>
    <row r="589" spans="1:9" ht="21.25" customHeight="1" x14ac:dyDescent="0.15">
      <c r="A589" s="9" t="s">
        <v>721</v>
      </c>
      <c r="B589" s="83" t="s">
        <v>857</v>
      </c>
      <c r="C589" s="178"/>
      <c r="D589" s="79"/>
      <c r="E589" s="83" t="str">
        <f t="shared" si="9"/>
        <v>—</v>
      </c>
      <c r="F589" s="83" t="s">
        <v>859</v>
      </c>
      <c r="G589" s="180">
        <v>874125</v>
      </c>
      <c r="H589" s="83" t="s">
        <v>793</v>
      </c>
      <c r="I589" s="180"/>
    </row>
    <row r="590" spans="1:9" ht="21.25" customHeight="1" x14ac:dyDescent="0.15">
      <c r="A590" s="9" t="s">
        <v>745</v>
      </c>
      <c r="B590" s="83" t="s">
        <v>857</v>
      </c>
      <c r="C590" s="178"/>
      <c r="D590" s="79"/>
      <c r="E590" s="83" t="str">
        <f t="shared" si="9"/>
        <v>—</v>
      </c>
      <c r="F590" s="83" t="s">
        <v>854</v>
      </c>
      <c r="G590" s="180">
        <v>1100000</v>
      </c>
      <c r="H590" s="83" t="s">
        <v>793</v>
      </c>
      <c r="I590" s="180"/>
    </row>
    <row r="591" spans="1:9" ht="21.25" customHeight="1" x14ac:dyDescent="0.15">
      <c r="A591" s="9" t="s">
        <v>716</v>
      </c>
      <c r="B591" s="178">
        <v>165.3</v>
      </c>
      <c r="C591" s="178"/>
      <c r="D591" s="79"/>
      <c r="E591" s="178">
        <f t="shared" si="9"/>
        <v>165.3</v>
      </c>
      <c r="F591" s="83" t="s">
        <v>853</v>
      </c>
      <c r="G591" s="180">
        <v>1925000</v>
      </c>
      <c r="H591" s="83" t="s">
        <v>793</v>
      </c>
      <c r="I591" s="180"/>
    </row>
    <row r="592" spans="1:9" ht="21.25" customHeight="1" x14ac:dyDescent="0.15">
      <c r="A592" s="9" t="s">
        <v>697</v>
      </c>
      <c r="B592" s="83" t="s">
        <v>857</v>
      </c>
      <c r="C592" s="178"/>
      <c r="D592" s="79"/>
      <c r="E592" s="83" t="str">
        <f t="shared" si="9"/>
        <v>—</v>
      </c>
      <c r="F592" s="83" t="s">
        <v>830</v>
      </c>
      <c r="G592" s="180">
        <v>900000</v>
      </c>
      <c r="H592" s="83" t="s">
        <v>793</v>
      </c>
      <c r="I592" s="180"/>
    </row>
    <row r="593" spans="1:9" ht="21.25" customHeight="1" x14ac:dyDescent="0.15">
      <c r="A593" s="9" t="s">
        <v>698</v>
      </c>
      <c r="B593" s="83" t="s">
        <v>857</v>
      </c>
      <c r="C593" s="178"/>
      <c r="D593" s="79"/>
      <c r="E593" s="83" t="str">
        <f t="shared" si="9"/>
        <v>—</v>
      </c>
      <c r="F593" s="83" t="s">
        <v>859</v>
      </c>
      <c r="G593" s="180">
        <v>1800000</v>
      </c>
      <c r="H593" s="83" t="s">
        <v>793</v>
      </c>
      <c r="I593" s="180"/>
    </row>
    <row r="594" spans="1:9" ht="21.25" customHeight="1" x14ac:dyDescent="0.15">
      <c r="A594" s="9" t="s">
        <v>723</v>
      </c>
      <c r="B594" s="83" t="s">
        <v>857</v>
      </c>
      <c r="C594" s="178"/>
      <c r="D594" s="79"/>
      <c r="E594" s="83" t="str">
        <f t="shared" si="9"/>
        <v>—</v>
      </c>
      <c r="F594" s="83" t="s">
        <v>830</v>
      </c>
      <c r="G594" s="83" t="s">
        <v>843</v>
      </c>
      <c r="H594" s="83" t="s">
        <v>793</v>
      </c>
      <c r="I594" s="180"/>
    </row>
    <row r="595" spans="1:9" ht="21.25" customHeight="1" x14ac:dyDescent="0.15">
      <c r="A595" s="9" t="s">
        <v>725</v>
      </c>
      <c r="B595" s="83" t="s">
        <v>857</v>
      </c>
      <c r="C595" s="178"/>
      <c r="D595" s="79"/>
      <c r="E595" s="83" t="str">
        <f t="shared" si="9"/>
        <v>—</v>
      </c>
      <c r="F595" s="83" t="s">
        <v>837</v>
      </c>
      <c r="G595" s="180">
        <v>1200000</v>
      </c>
      <c r="H595" s="83" t="s">
        <v>793</v>
      </c>
      <c r="I595" s="180"/>
    </row>
    <row r="596" spans="1:9" ht="21.25" customHeight="1" x14ac:dyDescent="0.15">
      <c r="A596" s="9" t="s">
        <v>749</v>
      </c>
      <c r="B596" s="83" t="s">
        <v>857</v>
      </c>
      <c r="C596" s="178"/>
      <c r="D596" s="79"/>
      <c r="E596" s="83" t="str">
        <f t="shared" si="9"/>
        <v>—</v>
      </c>
      <c r="F596" s="83" t="s">
        <v>854</v>
      </c>
      <c r="G596" s="180">
        <v>812500</v>
      </c>
      <c r="H596" s="83" t="s">
        <v>793</v>
      </c>
      <c r="I596" s="180"/>
    </row>
    <row r="597" spans="1:9" ht="21.25" customHeight="1" x14ac:dyDescent="0.15">
      <c r="A597" s="9" t="s">
        <v>726</v>
      </c>
      <c r="B597" s="83" t="s">
        <v>857</v>
      </c>
      <c r="C597" s="178"/>
      <c r="D597" s="79"/>
      <c r="E597" s="83" t="str">
        <f t="shared" si="9"/>
        <v>—</v>
      </c>
      <c r="F597" s="83" t="s">
        <v>859</v>
      </c>
      <c r="G597" s="180">
        <v>3641667</v>
      </c>
      <c r="H597" s="83" t="s">
        <v>793</v>
      </c>
      <c r="I597" s="180"/>
    </row>
    <row r="598" spans="1:9" ht="21.25" customHeight="1" x14ac:dyDescent="0.15">
      <c r="A598" s="9" t="s">
        <v>703</v>
      </c>
      <c r="B598" s="83" t="s">
        <v>857</v>
      </c>
      <c r="C598" s="178"/>
      <c r="D598" s="79"/>
      <c r="E598" s="83" t="str">
        <f t="shared" si="9"/>
        <v>—</v>
      </c>
      <c r="F598" s="83" t="s">
        <v>849</v>
      </c>
      <c r="G598" s="180">
        <v>2400000</v>
      </c>
      <c r="H598" s="83" t="s">
        <v>793</v>
      </c>
      <c r="I598" s="180"/>
    </row>
    <row r="599" spans="1:9" ht="21.25" customHeight="1" x14ac:dyDescent="0.15">
      <c r="A599" s="9" t="s">
        <v>752</v>
      </c>
      <c r="B599" s="83" t="s">
        <v>857</v>
      </c>
      <c r="C599" s="178"/>
      <c r="D599" s="79"/>
      <c r="E599" s="83" t="str">
        <f t="shared" si="9"/>
        <v>—</v>
      </c>
      <c r="F599" s="83" t="s">
        <v>825</v>
      </c>
      <c r="G599" s="180">
        <v>825000</v>
      </c>
      <c r="H599" s="83" t="s">
        <v>793</v>
      </c>
      <c r="I599" s="180"/>
    </row>
    <row r="600" spans="1:9" ht="21.25" customHeight="1" x14ac:dyDescent="0.15">
      <c r="A600" s="9" t="s">
        <v>704</v>
      </c>
      <c r="B600" s="83" t="s">
        <v>857</v>
      </c>
      <c r="C600" s="178"/>
      <c r="D600" s="79"/>
      <c r="E600" s="83" t="str">
        <f t="shared" si="9"/>
        <v>—</v>
      </c>
      <c r="F600" s="83" t="s">
        <v>824</v>
      </c>
      <c r="G600" s="180">
        <v>1150000</v>
      </c>
      <c r="H600" s="83" t="s">
        <v>793</v>
      </c>
      <c r="I600" s="180"/>
    </row>
    <row r="601" spans="1:9" ht="21.25" customHeight="1" x14ac:dyDescent="0.15">
      <c r="A601" s="9" t="s">
        <v>728</v>
      </c>
      <c r="B601" s="83" t="s">
        <v>857</v>
      </c>
      <c r="C601" s="178"/>
      <c r="D601" s="79"/>
      <c r="E601" s="83" t="str">
        <f t="shared" si="9"/>
        <v>—</v>
      </c>
      <c r="F601" s="83" t="s">
        <v>852</v>
      </c>
      <c r="G601" s="180">
        <v>2500000</v>
      </c>
      <c r="H601" s="83" t="s">
        <v>793</v>
      </c>
      <c r="I601" s="180"/>
    </row>
    <row r="602" spans="1:9" ht="21.25" customHeight="1" x14ac:dyDescent="0.15">
      <c r="A602" s="9" t="s">
        <v>707</v>
      </c>
      <c r="B602" s="83" t="s">
        <v>857</v>
      </c>
      <c r="C602" s="178"/>
      <c r="D602" s="79"/>
      <c r="E602" s="83" t="str">
        <f t="shared" si="9"/>
        <v>—</v>
      </c>
      <c r="F602" s="83" t="s">
        <v>842</v>
      </c>
      <c r="G602" s="180">
        <v>1125000</v>
      </c>
      <c r="H602" s="83" t="s">
        <v>793</v>
      </c>
      <c r="I602" s="180"/>
    </row>
    <row r="603" spans="1:9" ht="21.25" customHeight="1" x14ac:dyDescent="0.15">
      <c r="A603" s="9" t="s">
        <v>753</v>
      </c>
      <c r="B603" s="83" t="s">
        <v>857</v>
      </c>
      <c r="C603" s="178"/>
      <c r="D603" s="79"/>
      <c r="E603" s="83" t="str">
        <f t="shared" si="9"/>
        <v>—</v>
      </c>
      <c r="F603" s="83" t="s">
        <v>827</v>
      </c>
      <c r="G603" s="180">
        <v>850000</v>
      </c>
      <c r="H603" s="83" t="s">
        <v>793</v>
      </c>
      <c r="I603" s="180"/>
    </row>
    <row r="604" spans="1:9" ht="21.25" customHeight="1" x14ac:dyDescent="0.15">
      <c r="A604" s="9" t="s">
        <v>731</v>
      </c>
      <c r="B604" s="83" t="s">
        <v>857</v>
      </c>
      <c r="C604" s="178"/>
      <c r="D604" s="79"/>
      <c r="E604" s="83" t="str">
        <f t="shared" si="9"/>
        <v>—</v>
      </c>
      <c r="F604" s="83" t="s">
        <v>829</v>
      </c>
      <c r="G604" s="180">
        <v>1000000</v>
      </c>
      <c r="H604" s="83" t="s">
        <v>793</v>
      </c>
      <c r="I604" s="180"/>
    </row>
    <row r="605" spans="1:9" ht="21.25" customHeight="1" x14ac:dyDescent="0.15">
      <c r="A605" s="9" t="s">
        <v>734</v>
      </c>
      <c r="B605" s="83" t="s">
        <v>857</v>
      </c>
      <c r="C605" s="178"/>
      <c r="D605" s="79"/>
      <c r="E605" s="83" t="str">
        <f t="shared" si="9"/>
        <v>—</v>
      </c>
      <c r="F605" s="83" t="s">
        <v>851</v>
      </c>
      <c r="G605" s="180">
        <v>1599000</v>
      </c>
      <c r="H605" s="83" t="s">
        <v>793</v>
      </c>
      <c r="I605" s="180"/>
    </row>
    <row r="606" spans="1:9" ht="21.25" customHeight="1" x14ac:dyDescent="0.15">
      <c r="A606" s="9" t="s">
        <v>736</v>
      </c>
      <c r="B606" s="83" t="s">
        <v>857</v>
      </c>
      <c r="C606" s="178"/>
      <c r="D606" s="79"/>
      <c r="E606" s="83" t="str">
        <f t="shared" si="9"/>
        <v>—</v>
      </c>
      <c r="F606" s="83" t="s">
        <v>832</v>
      </c>
      <c r="G606" s="180">
        <v>775000</v>
      </c>
      <c r="H606" s="83" t="s">
        <v>793</v>
      </c>
      <c r="I606" s="180"/>
    </row>
    <row r="607" spans="1:9" ht="21.25" customHeight="1" x14ac:dyDescent="0.15">
      <c r="A607" s="9" t="s">
        <v>737</v>
      </c>
      <c r="B607" s="83" t="s">
        <v>857</v>
      </c>
      <c r="C607" s="178"/>
      <c r="D607" s="79"/>
      <c r="E607" s="83" t="str">
        <f t="shared" si="9"/>
        <v>—</v>
      </c>
      <c r="F607" s="83" t="s">
        <v>841</v>
      </c>
      <c r="G607" s="180">
        <v>1900000</v>
      </c>
      <c r="H607" s="83" t="s">
        <v>793</v>
      </c>
      <c r="I607" s="180"/>
    </row>
    <row r="608" spans="1:9" ht="21.25" customHeight="1" x14ac:dyDescent="0.15">
      <c r="A608" s="9" t="s">
        <v>709</v>
      </c>
      <c r="B608" s="83" t="s">
        <v>857</v>
      </c>
      <c r="C608" s="178"/>
      <c r="D608" s="79"/>
      <c r="E608" s="83" t="str">
        <f t="shared" si="9"/>
        <v>—</v>
      </c>
      <c r="F608" s="83" t="s">
        <v>841</v>
      </c>
      <c r="G608" s="180">
        <v>1400000</v>
      </c>
      <c r="H608" s="83" t="s">
        <v>793</v>
      </c>
      <c r="I608" s="180"/>
    </row>
    <row r="609" spans="1:9" ht="21.25" customHeight="1" x14ac:dyDescent="0.15">
      <c r="A609" s="9" t="s">
        <v>738</v>
      </c>
      <c r="B609" s="83" t="s">
        <v>857</v>
      </c>
      <c r="C609" s="178"/>
      <c r="D609" s="79"/>
      <c r="E609" s="83" t="str">
        <f t="shared" si="9"/>
        <v>—</v>
      </c>
      <c r="F609" s="83" t="s">
        <v>859</v>
      </c>
      <c r="G609" s="180">
        <v>2000000</v>
      </c>
      <c r="H609" s="83" t="s">
        <v>793</v>
      </c>
      <c r="I609" s="180"/>
    </row>
    <row r="610" spans="1:9" ht="21.25" customHeight="1" x14ac:dyDescent="0.15">
      <c r="A610" s="9" t="s">
        <v>740</v>
      </c>
      <c r="B610" s="83" t="s">
        <v>857</v>
      </c>
      <c r="C610" s="178"/>
      <c r="D610" s="79"/>
      <c r="E610" s="83" t="str">
        <f t="shared" si="9"/>
        <v>—</v>
      </c>
      <c r="F610" s="83" t="s">
        <v>859</v>
      </c>
      <c r="G610" s="180">
        <v>2750000</v>
      </c>
      <c r="H610" s="83" t="s">
        <v>793</v>
      </c>
      <c r="I610" s="180"/>
    </row>
    <row r="611" spans="1:9" ht="21.25" customHeight="1" x14ac:dyDescent="0.15">
      <c r="A611" s="9" t="s">
        <v>759</v>
      </c>
      <c r="B611" s="83" t="s">
        <v>857</v>
      </c>
      <c r="C611" s="178"/>
      <c r="D611" s="79"/>
      <c r="E611" s="83" t="str">
        <f t="shared" si="9"/>
        <v>—</v>
      </c>
      <c r="F611" s="83" t="s">
        <v>844</v>
      </c>
      <c r="G611" s="180">
        <v>950000</v>
      </c>
      <c r="H611" s="83" t="s">
        <v>793</v>
      </c>
      <c r="I611" s="180"/>
    </row>
    <row r="612" spans="1:9" ht="21.25" customHeight="1" x14ac:dyDescent="0.15">
      <c r="A612" s="9" t="s">
        <v>713</v>
      </c>
      <c r="B612" s="83" t="s">
        <v>857</v>
      </c>
      <c r="C612" s="178"/>
      <c r="D612" s="79"/>
      <c r="E612" s="83" t="str">
        <f t="shared" si="9"/>
        <v>—</v>
      </c>
      <c r="F612" s="83" t="s">
        <v>835</v>
      </c>
      <c r="G612" s="180">
        <v>1500000</v>
      </c>
      <c r="H612" s="83" t="s">
        <v>793</v>
      </c>
      <c r="I612" s="180"/>
    </row>
    <row r="613" spans="1:9" ht="21.25" customHeight="1" x14ac:dyDescent="0.15">
      <c r="A613" s="9" t="s">
        <v>741</v>
      </c>
      <c r="B613" s="83" t="s">
        <v>857</v>
      </c>
      <c r="C613" s="178"/>
      <c r="D613" s="79"/>
      <c r="E613" s="83" t="str">
        <f t="shared" si="9"/>
        <v>—</v>
      </c>
      <c r="F613" s="83" t="s">
        <v>840</v>
      </c>
      <c r="G613" s="180">
        <v>850000</v>
      </c>
      <c r="H613" s="83" t="s">
        <v>793</v>
      </c>
      <c r="I613" s="180"/>
    </row>
    <row r="614" spans="1:9" ht="21.25" customHeight="1" x14ac:dyDescent="0.15">
      <c r="A614" s="9" t="s">
        <v>742</v>
      </c>
      <c r="B614" s="83" t="s">
        <v>857</v>
      </c>
      <c r="C614" s="178"/>
      <c r="D614" s="79"/>
      <c r="E614" s="83" t="str">
        <f t="shared" si="9"/>
        <v>—</v>
      </c>
      <c r="F614" s="83" t="s">
        <v>841</v>
      </c>
      <c r="G614" s="180">
        <v>925000</v>
      </c>
      <c r="H614" s="83" t="s">
        <v>793</v>
      </c>
      <c r="I614" s="180"/>
    </row>
    <row r="615" spans="1:9" ht="21.25" customHeight="1" x14ac:dyDescent="0.15">
      <c r="A615" s="9" t="s">
        <v>714</v>
      </c>
      <c r="B615" s="83" t="s">
        <v>857</v>
      </c>
      <c r="C615" s="178"/>
      <c r="D615" s="79"/>
      <c r="E615" s="83" t="str">
        <f t="shared" si="9"/>
        <v>—</v>
      </c>
      <c r="F615" s="83" t="s">
        <v>847</v>
      </c>
      <c r="G615" s="180">
        <v>800000</v>
      </c>
      <c r="H615" s="83" t="s">
        <v>793</v>
      </c>
      <c r="I615" s="180"/>
    </row>
    <row r="616" spans="1:9" ht="21.25" customHeight="1" x14ac:dyDescent="0.15">
      <c r="A616" s="9" t="s">
        <v>743</v>
      </c>
      <c r="B616" s="83" t="s">
        <v>857</v>
      </c>
      <c r="C616" s="178"/>
      <c r="D616" s="79"/>
      <c r="E616" s="83" t="str">
        <f t="shared" si="9"/>
        <v>—</v>
      </c>
      <c r="F616" s="83" t="s">
        <v>826</v>
      </c>
      <c r="G616" s="180">
        <v>2400000</v>
      </c>
      <c r="H616" s="83" t="s">
        <v>793</v>
      </c>
      <c r="I616" s="180"/>
    </row>
    <row r="617" spans="1:9" ht="21.25" customHeight="1" x14ac:dyDescent="0.15">
      <c r="A617" s="9" t="s">
        <v>718</v>
      </c>
      <c r="B617" s="83" t="s">
        <v>857</v>
      </c>
      <c r="C617" s="178"/>
      <c r="D617" s="79"/>
      <c r="E617" s="83" t="str">
        <f t="shared" si="9"/>
        <v>—</v>
      </c>
      <c r="F617" s="83" t="s">
        <v>826</v>
      </c>
      <c r="G617" s="180">
        <v>800000</v>
      </c>
      <c r="H617" s="83" t="s">
        <v>793</v>
      </c>
      <c r="I617" s="180"/>
    </row>
    <row r="618" spans="1:9" ht="21.25" customHeight="1" x14ac:dyDescent="0.15">
      <c r="A618" s="9" t="s">
        <v>744</v>
      </c>
      <c r="B618" s="83" t="s">
        <v>857</v>
      </c>
      <c r="C618" s="178"/>
      <c r="D618" s="79"/>
      <c r="E618" s="83" t="str">
        <f t="shared" si="9"/>
        <v>—</v>
      </c>
      <c r="F618" s="83" t="s">
        <v>854</v>
      </c>
      <c r="G618" s="180">
        <v>4450000</v>
      </c>
      <c r="H618" s="83" t="s">
        <v>793</v>
      </c>
      <c r="I618" s="180"/>
    </row>
    <row r="619" spans="1:9" ht="21.25" customHeight="1" x14ac:dyDescent="0.15">
      <c r="A619" s="9" t="s">
        <v>746</v>
      </c>
      <c r="B619" s="83" t="s">
        <v>857</v>
      </c>
      <c r="C619" s="178"/>
      <c r="D619" s="79"/>
      <c r="E619" s="83" t="str">
        <f t="shared" si="9"/>
        <v>—</v>
      </c>
      <c r="F619" s="83" t="s">
        <v>848</v>
      </c>
      <c r="G619" s="180">
        <v>1500000</v>
      </c>
      <c r="H619" s="83" t="s">
        <v>793</v>
      </c>
      <c r="I619" s="180"/>
    </row>
    <row r="620" spans="1:9" ht="21.25" customHeight="1" x14ac:dyDescent="0.15">
      <c r="A620" s="9" t="s">
        <v>747</v>
      </c>
      <c r="B620" s="83" t="s">
        <v>857</v>
      </c>
      <c r="C620" s="178"/>
      <c r="D620" s="79"/>
      <c r="E620" s="83" t="str">
        <f t="shared" si="9"/>
        <v>—</v>
      </c>
      <c r="F620" s="83" t="s">
        <v>848</v>
      </c>
      <c r="G620" s="180">
        <v>3250000</v>
      </c>
      <c r="H620" s="83" t="s">
        <v>793</v>
      </c>
      <c r="I620" s="180"/>
    </row>
    <row r="621" spans="1:9" ht="21.25" customHeight="1" x14ac:dyDescent="0.15">
      <c r="A621" s="9" t="s">
        <v>748</v>
      </c>
      <c r="B621" s="83" t="s">
        <v>857</v>
      </c>
      <c r="C621" s="178"/>
      <c r="D621" s="79"/>
      <c r="E621" s="83" t="str">
        <f t="shared" si="9"/>
        <v>—</v>
      </c>
      <c r="F621" s="83" t="s">
        <v>826</v>
      </c>
      <c r="G621" s="180">
        <v>1180000</v>
      </c>
      <c r="H621" s="83" t="s">
        <v>793</v>
      </c>
      <c r="I621" s="180"/>
    </row>
    <row r="622" spans="1:9" ht="21.25" customHeight="1" x14ac:dyDescent="0.15">
      <c r="A622" s="9" t="s">
        <v>750</v>
      </c>
      <c r="B622" s="83" t="s">
        <v>857</v>
      </c>
      <c r="C622" s="178"/>
      <c r="D622" s="79"/>
      <c r="E622" s="83" t="str">
        <f t="shared" si="9"/>
        <v>—</v>
      </c>
      <c r="F622" s="83" t="s">
        <v>858</v>
      </c>
      <c r="G622" s="180">
        <v>1500000</v>
      </c>
      <c r="H622" s="83" t="s">
        <v>793</v>
      </c>
      <c r="I622" s="180"/>
    </row>
    <row r="623" spans="1:9" ht="21.25" customHeight="1" x14ac:dyDescent="0.15">
      <c r="A623" s="9" t="s">
        <v>764</v>
      </c>
      <c r="B623" s="83" t="s">
        <v>857</v>
      </c>
      <c r="C623" s="178"/>
      <c r="D623" s="79"/>
      <c r="E623" s="83" t="str">
        <f t="shared" si="9"/>
        <v>—</v>
      </c>
      <c r="F623" s="83" t="s">
        <v>832</v>
      </c>
      <c r="G623" s="180">
        <v>850000</v>
      </c>
      <c r="H623" s="83" t="s">
        <v>793</v>
      </c>
      <c r="I623" s="180"/>
    </row>
    <row r="624" spans="1:9" ht="21.25" customHeight="1" x14ac:dyDescent="0.15">
      <c r="A624" s="9" t="s">
        <v>724</v>
      </c>
      <c r="B624" s="83" t="s">
        <v>857</v>
      </c>
      <c r="C624" s="178"/>
      <c r="D624" s="79"/>
      <c r="E624" s="83" t="str">
        <f t="shared" si="9"/>
        <v>—</v>
      </c>
      <c r="F624" s="83" t="s">
        <v>845</v>
      </c>
      <c r="G624" s="180">
        <v>925000</v>
      </c>
      <c r="H624" s="83" t="s">
        <v>793</v>
      </c>
      <c r="I624" s="180"/>
    </row>
    <row r="625" spans="1:9" ht="21.25" customHeight="1" x14ac:dyDescent="0.15">
      <c r="A625" s="9" t="s">
        <v>765</v>
      </c>
      <c r="B625" s="83" t="s">
        <v>857</v>
      </c>
      <c r="C625" s="178"/>
      <c r="D625" s="79"/>
      <c r="E625" s="83" t="str">
        <f t="shared" si="9"/>
        <v>—</v>
      </c>
      <c r="F625" s="83" t="s">
        <v>858</v>
      </c>
      <c r="G625" s="180">
        <v>2750000</v>
      </c>
      <c r="H625" s="83" t="s">
        <v>793</v>
      </c>
      <c r="I625" s="180"/>
    </row>
    <row r="626" spans="1:9" ht="21.25" customHeight="1" x14ac:dyDescent="0.15">
      <c r="A626" s="9" t="s">
        <v>754</v>
      </c>
      <c r="B626" s="83" t="s">
        <v>857</v>
      </c>
      <c r="C626" s="178"/>
      <c r="D626" s="178"/>
      <c r="E626" s="83" t="str">
        <f t="shared" si="9"/>
        <v>—</v>
      </c>
      <c r="F626" s="83" t="s">
        <v>838</v>
      </c>
      <c r="G626" s="180">
        <v>1350000</v>
      </c>
      <c r="H626" s="83" t="s">
        <v>793</v>
      </c>
      <c r="I626" s="180"/>
    </row>
    <row r="627" spans="1:9" ht="21.25" customHeight="1" x14ac:dyDescent="0.15">
      <c r="A627" s="9" t="s">
        <v>727</v>
      </c>
      <c r="B627" s="83" t="s">
        <v>857</v>
      </c>
      <c r="C627" s="178"/>
      <c r="D627" s="79"/>
      <c r="E627" s="83" t="str">
        <f t="shared" si="9"/>
        <v>—</v>
      </c>
      <c r="F627" s="83" t="s">
        <v>829</v>
      </c>
      <c r="G627" s="180">
        <v>1350000</v>
      </c>
      <c r="H627" s="83" t="s">
        <v>793</v>
      </c>
      <c r="I627" s="180"/>
    </row>
    <row r="628" spans="1:9" ht="21.25" customHeight="1" x14ac:dyDescent="0.15">
      <c r="A628" s="9" t="s">
        <v>756</v>
      </c>
      <c r="B628" s="83" t="s">
        <v>857</v>
      </c>
      <c r="C628" s="178"/>
      <c r="D628" s="79"/>
      <c r="E628" s="83" t="str">
        <f t="shared" si="9"/>
        <v>—</v>
      </c>
      <c r="F628" s="83" t="s">
        <v>839</v>
      </c>
      <c r="G628" s="180">
        <v>2000000</v>
      </c>
      <c r="H628" s="83" t="s">
        <v>793</v>
      </c>
      <c r="I628" s="180"/>
    </row>
    <row r="629" spans="1:9" ht="21.25" customHeight="1" x14ac:dyDescent="0.15">
      <c r="A629" s="9" t="s">
        <v>729</v>
      </c>
      <c r="B629" s="83" t="s">
        <v>857</v>
      </c>
      <c r="C629" s="178"/>
      <c r="D629" s="79"/>
      <c r="E629" s="83" t="str">
        <f t="shared" si="9"/>
        <v>—</v>
      </c>
      <c r="F629" s="83" t="s">
        <v>824</v>
      </c>
      <c r="G629" s="180">
        <v>1000000</v>
      </c>
      <c r="H629" s="83" t="s">
        <v>793</v>
      </c>
      <c r="I629" s="180"/>
    </row>
    <row r="630" spans="1:9" ht="21.25" customHeight="1" x14ac:dyDescent="0.15">
      <c r="A630" s="9" t="s">
        <v>730</v>
      </c>
      <c r="B630" s="83" t="s">
        <v>857</v>
      </c>
      <c r="C630" s="178"/>
      <c r="D630" s="79"/>
      <c r="E630" s="83" t="str">
        <f t="shared" si="9"/>
        <v>—</v>
      </c>
      <c r="F630" s="83" t="s">
        <v>844</v>
      </c>
      <c r="G630" s="180">
        <v>1850000</v>
      </c>
      <c r="H630" s="83" t="s">
        <v>793</v>
      </c>
      <c r="I630" s="180"/>
    </row>
    <row r="631" spans="1:9" ht="21.25" customHeight="1" x14ac:dyDescent="0.15">
      <c r="A631" s="9" t="s">
        <v>757</v>
      </c>
      <c r="B631" s="83" t="s">
        <v>857</v>
      </c>
      <c r="C631" s="178"/>
      <c r="D631" s="79"/>
      <c r="E631" s="83" t="str">
        <f t="shared" si="9"/>
        <v>—</v>
      </c>
      <c r="F631" s="83" t="s">
        <v>850</v>
      </c>
      <c r="G631" s="180">
        <v>775000</v>
      </c>
      <c r="H631" s="83" t="s">
        <v>793</v>
      </c>
      <c r="I631" s="180"/>
    </row>
    <row r="632" spans="1:9" ht="21.25" customHeight="1" x14ac:dyDescent="0.15">
      <c r="A632" s="9" t="s">
        <v>735</v>
      </c>
      <c r="B632" s="83" t="s">
        <v>857</v>
      </c>
      <c r="C632" s="178"/>
      <c r="D632" s="79"/>
      <c r="E632" s="83" t="str">
        <f t="shared" si="9"/>
        <v>—</v>
      </c>
      <c r="F632" s="83" t="s">
        <v>834</v>
      </c>
      <c r="G632" s="180">
        <v>2000000</v>
      </c>
      <c r="H632" s="83" t="s">
        <v>793</v>
      </c>
      <c r="I632" s="180"/>
    </row>
    <row r="633" spans="1:9" ht="21.25" customHeight="1" x14ac:dyDescent="0.15">
      <c r="A633" s="9" t="s">
        <v>770</v>
      </c>
      <c r="B633" s="83" t="s">
        <v>857</v>
      </c>
      <c r="C633" s="178"/>
      <c r="D633" s="79"/>
      <c r="E633" s="83" t="str">
        <f t="shared" si="9"/>
        <v>—</v>
      </c>
      <c r="F633" s="83" t="s">
        <v>832</v>
      </c>
      <c r="G633" s="180">
        <v>775000</v>
      </c>
      <c r="H633" s="83" t="s">
        <v>793</v>
      </c>
      <c r="I633" s="180"/>
    </row>
    <row r="634" spans="1:9" ht="21.25" customHeight="1" x14ac:dyDescent="0.15">
      <c r="A634" s="9" t="s">
        <v>755</v>
      </c>
      <c r="B634" s="178">
        <v>186</v>
      </c>
      <c r="C634" s="178"/>
      <c r="D634" s="79"/>
      <c r="E634" s="178">
        <f t="shared" si="9"/>
        <v>186</v>
      </c>
      <c r="F634" s="83" t="s">
        <v>832</v>
      </c>
      <c r="G634" s="180">
        <v>4500000</v>
      </c>
      <c r="H634" s="83" t="s">
        <v>793</v>
      </c>
      <c r="I634" s="180"/>
    </row>
    <row r="635" spans="1:9" ht="21.25" customHeight="1" x14ac:dyDescent="0.15">
      <c r="A635" s="9" t="s">
        <v>771</v>
      </c>
      <c r="B635" s="83" t="s">
        <v>857</v>
      </c>
      <c r="C635" s="178"/>
      <c r="D635" s="79"/>
      <c r="E635" s="83" t="str">
        <f t="shared" si="9"/>
        <v>—</v>
      </c>
      <c r="F635" s="83" t="s">
        <v>828</v>
      </c>
      <c r="G635" s="180">
        <v>1000000</v>
      </c>
      <c r="H635" s="83" t="s">
        <v>793</v>
      </c>
      <c r="I635" s="180"/>
    </row>
    <row r="636" spans="1:9" ht="21.25" customHeight="1" x14ac:dyDescent="0.15">
      <c r="A636" s="9" t="s">
        <v>739</v>
      </c>
      <c r="B636" s="83" t="s">
        <v>857</v>
      </c>
      <c r="C636" s="178"/>
      <c r="D636" s="79"/>
      <c r="E636" s="83" t="str">
        <f t="shared" si="9"/>
        <v>—</v>
      </c>
      <c r="F636" s="83" t="s">
        <v>836</v>
      </c>
      <c r="G636" s="180">
        <v>775000</v>
      </c>
      <c r="H636" s="83" t="s">
        <v>793</v>
      </c>
      <c r="I636" s="180"/>
    </row>
    <row r="637" spans="1:9" ht="21.25" customHeight="1" x14ac:dyDescent="0.15">
      <c r="A637" s="9" t="s">
        <v>762</v>
      </c>
      <c r="B637" s="83" t="s">
        <v>857</v>
      </c>
      <c r="C637" s="178"/>
      <c r="D637" s="79"/>
      <c r="E637" s="83" t="str">
        <f t="shared" si="9"/>
        <v>—</v>
      </c>
      <c r="F637" s="83" t="s">
        <v>837</v>
      </c>
      <c r="G637" s="180">
        <v>775000</v>
      </c>
      <c r="H637" s="83" t="s">
        <v>793</v>
      </c>
      <c r="I637" s="180"/>
    </row>
    <row r="638" spans="1:9" ht="21.25" customHeight="1" x14ac:dyDescent="0.15">
      <c r="A638" s="9" t="s">
        <v>774</v>
      </c>
      <c r="B638" s="83" t="s">
        <v>857</v>
      </c>
      <c r="C638" s="178"/>
      <c r="D638" s="79"/>
      <c r="E638" s="83" t="str">
        <f t="shared" si="9"/>
        <v>—</v>
      </c>
      <c r="F638" s="83" t="s">
        <v>845</v>
      </c>
      <c r="G638" s="180">
        <v>2000000</v>
      </c>
      <c r="H638" s="83" t="s">
        <v>793</v>
      </c>
      <c r="I638" s="180"/>
    </row>
    <row r="639" spans="1:9" ht="21.25" customHeight="1" x14ac:dyDescent="0.15">
      <c r="A639" s="9" t="s">
        <v>760</v>
      </c>
      <c r="B639" s="178">
        <v>160</v>
      </c>
      <c r="C639" s="178"/>
      <c r="D639" s="79"/>
      <c r="E639" s="178">
        <f t="shared" si="9"/>
        <v>160</v>
      </c>
      <c r="F639" s="83" t="s">
        <v>835</v>
      </c>
      <c r="G639" s="180">
        <v>850000</v>
      </c>
      <c r="H639" s="83" t="s">
        <v>793</v>
      </c>
      <c r="I639" s="180"/>
    </row>
    <row r="640" spans="1:9" ht="21.25" customHeight="1" x14ac:dyDescent="0.15">
      <c r="A640" s="9" t="s">
        <v>763</v>
      </c>
      <c r="B640" s="83" t="s">
        <v>857</v>
      </c>
      <c r="C640" s="178"/>
      <c r="D640" s="79"/>
      <c r="E640" s="83" t="str">
        <f t="shared" si="9"/>
        <v>—</v>
      </c>
      <c r="F640" s="83" t="s">
        <v>829</v>
      </c>
      <c r="G640" s="180">
        <v>775000</v>
      </c>
      <c r="H640" s="83" t="s">
        <v>793</v>
      </c>
      <c r="I640" s="180"/>
    </row>
    <row r="641" spans="1:9" ht="21.25" customHeight="1" x14ac:dyDescent="0.15">
      <c r="A641" s="9" t="s">
        <v>751</v>
      </c>
      <c r="B641" s="83" t="s">
        <v>857</v>
      </c>
      <c r="C641" s="178"/>
      <c r="D641" s="79"/>
      <c r="E641" s="83" t="str">
        <f t="shared" si="9"/>
        <v>—</v>
      </c>
      <c r="F641" s="83" t="s">
        <v>834</v>
      </c>
      <c r="G641" s="180">
        <v>1500000</v>
      </c>
      <c r="H641" s="83" t="s">
        <v>793</v>
      </c>
      <c r="I641" s="180"/>
    </row>
    <row r="642" spans="1:9" ht="21.25" customHeight="1" x14ac:dyDescent="0.15">
      <c r="A642" s="9" t="s">
        <v>766</v>
      </c>
      <c r="B642" s="83" t="s">
        <v>857</v>
      </c>
      <c r="C642" s="178"/>
      <c r="D642" s="79"/>
      <c r="E642" s="83" t="str">
        <f t="shared" ref="E642:E705" si="10">IFERROR(AVERAGE(B642:D642),"—")</f>
        <v>—</v>
      </c>
      <c r="F642" s="83" t="s">
        <v>831</v>
      </c>
      <c r="G642" s="180">
        <v>787500</v>
      </c>
      <c r="H642" s="83" t="s">
        <v>793</v>
      </c>
      <c r="I642" s="180"/>
    </row>
    <row r="643" spans="1:9" ht="21.25" customHeight="1" x14ac:dyDescent="0.15">
      <c r="A643" s="9" t="s">
        <v>767</v>
      </c>
      <c r="B643" s="83" t="s">
        <v>857</v>
      </c>
      <c r="C643" s="178"/>
      <c r="D643" s="79"/>
      <c r="E643" s="83" t="str">
        <f t="shared" si="10"/>
        <v>—</v>
      </c>
      <c r="F643" s="83" t="s">
        <v>828</v>
      </c>
      <c r="G643" s="180">
        <v>835000</v>
      </c>
      <c r="H643" s="83" t="s">
        <v>793</v>
      </c>
      <c r="I643" s="180"/>
    </row>
    <row r="644" spans="1:9" ht="21.25" customHeight="1" x14ac:dyDescent="0.15">
      <c r="A644" s="9" t="s">
        <v>769</v>
      </c>
      <c r="B644" s="83" t="s">
        <v>857</v>
      </c>
      <c r="C644" s="178"/>
      <c r="D644" s="79"/>
      <c r="E644" s="83" t="str">
        <f t="shared" si="10"/>
        <v>—</v>
      </c>
      <c r="F644" s="83" t="s">
        <v>830</v>
      </c>
      <c r="G644" s="180">
        <v>800000</v>
      </c>
      <c r="H644" s="83" t="s">
        <v>793</v>
      </c>
      <c r="I644" s="180"/>
    </row>
    <row r="645" spans="1:9" ht="21.25" customHeight="1" x14ac:dyDescent="0.15">
      <c r="A645" s="9" t="s">
        <v>772</v>
      </c>
      <c r="B645" s="83" t="s">
        <v>857</v>
      </c>
      <c r="C645" s="178"/>
      <c r="D645" s="79"/>
      <c r="E645" s="83" t="str">
        <f t="shared" si="10"/>
        <v>—</v>
      </c>
      <c r="F645" s="83" t="s">
        <v>859</v>
      </c>
      <c r="G645" s="180">
        <v>1300000</v>
      </c>
      <c r="H645" s="83" t="s">
        <v>793</v>
      </c>
      <c r="I645" s="180"/>
    </row>
    <row r="646" spans="1:9" ht="21.25" customHeight="1" x14ac:dyDescent="0.15">
      <c r="A646" s="9" t="s">
        <v>782</v>
      </c>
      <c r="B646" s="83" t="s">
        <v>857</v>
      </c>
      <c r="C646" s="178"/>
      <c r="D646" s="79"/>
      <c r="E646" s="83" t="str">
        <f t="shared" si="10"/>
        <v>—</v>
      </c>
      <c r="F646" s="83" t="s">
        <v>847</v>
      </c>
      <c r="G646" s="180">
        <v>1300000</v>
      </c>
      <c r="H646" s="83" t="s">
        <v>793</v>
      </c>
      <c r="I646" s="180"/>
    </row>
    <row r="647" spans="1:9" ht="21.25" customHeight="1" x14ac:dyDescent="0.15">
      <c r="A647" s="9" t="s">
        <v>758</v>
      </c>
      <c r="B647" s="83" t="s">
        <v>857</v>
      </c>
      <c r="C647" s="178"/>
      <c r="D647" s="79"/>
      <c r="E647" s="83" t="str">
        <f t="shared" si="10"/>
        <v>—</v>
      </c>
      <c r="F647" s="83" t="s">
        <v>824</v>
      </c>
      <c r="G647" s="180">
        <v>1000000</v>
      </c>
      <c r="H647" s="83" t="s">
        <v>793</v>
      </c>
      <c r="I647" s="180"/>
    </row>
    <row r="648" spans="1:9" ht="21.25" customHeight="1" x14ac:dyDescent="0.15">
      <c r="A648" s="9" t="s">
        <v>761</v>
      </c>
      <c r="B648" s="83" t="s">
        <v>857</v>
      </c>
      <c r="C648" s="178"/>
      <c r="D648" s="79"/>
      <c r="E648" s="83" t="str">
        <f t="shared" si="10"/>
        <v>—</v>
      </c>
      <c r="F648" s="83" t="s">
        <v>852</v>
      </c>
      <c r="G648" s="180">
        <v>1100000</v>
      </c>
      <c r="H648" s="83" t="s">
        <v>793</v>
      </c>
      <c r="I648" s="180"/>
    </row>
    <row r="649" spans="1:9" ht="21.25" customHeight="1" x14ac:dyDescent="0.15">
      <c r="A649" s="9" t="s">
        <v>783</v>
      </c>
      <c r="B649" s="83" t="s">
        <v>857</v>
      </c>
      <c r="C649" s="178"/>
      <c r="D649" s="79"/>
      <c r="E649" s="83" t="str">
        <f t="shared" si="10"/>
        <v>—</v>
      </c>
      <c r="F649" s="83" t="s">
        <v>825</v>
      </c>
      <c r="G649" s="180">
        <v>775000</v>
      </c>
      <c r="H649" s="83" t="s">
        <v>793</v>
      </c>
      <c r="I649" s="180"/>
    </row>
    <row r="650" spans="1:9" ht="21.25" customHeight="1" x14ac:dyDescent="0.15">
      <c r="A650" s="9" t="s">
        <v>773</v>
      </c>
      <c r="B650" s="83" t="s">
        <v>857</v>
      </c>
      <c r="C650" s="178"/>
      <c r="D650" s="79"/>
      <c r="E650" s="83" t="str">
        <f t="shared" si="10"/>
        <v>—</v>
      </c>
      <c r="F650" s="83" t="s">
        <v>830</v>
      </c>
      <c r="G650" s="180">
        <v>1500000</v>
      </c>
      <c r="H650" s="83" t="s">
        <v>793</v>
      </c>
      <c r="I650" s="180"/>
    </row>
    <row r="651" spans="1:9" ht="21.25" customHeight="1" x14ac:dyDescent="0.15">
      <c r="A651" s="9" t="s">
        <v>777</v>
      </c>
      <c r="B651" s="83" t="s">
        <v>857</v>
      </c>
      <c r="C651" s="178"/>
      <c r="D651" s="79"/>
      <c r="E651" s="83" t="str">
        <f t="shared" si="10"/>
        <v>—</v>
      </c>
      <c r="F651" s="83" t="s">
        <v>836</v>
      </c>
      <c r="G651" s="180">
        <v>775000</v>
      </c>
      <c r="H651" s="83" t="s">
        <v>793</v>
      </c>
      <c r="I651" s="180"/>
    </row>
    <row r="652" spans="1:9" ht="21.25" customHeight="1" x14ac:dyDescent="0.15">
      <c r="A652" s="9" t="s">
        <v>785</v>
      </c>
      <c r="B652" s="83" t="s">
        <v>857</v>
      </c>
      <c r="C652" s="178"/>
      <c r="D652" s="79"/>
      <c r="E652" s="83" t="str">
        <f t="shared" si="10"/>
        <v>—</v>
      </c>
      <c r="F652" s="83" t="s">
        <v>845</v>
      </c>
      <c r="G652" s="180">
        <v>1300000</v>
      </c>
      <c r="H652" s="83" t="s">
        <v>793</v>
      </c>
      <c r="I652" s="180"/>
    </row>
    <row r="653" spans="1:9" ht="21.25" customHeight="1" x14ac:dyDescent="0.15">
      <c r="A653" s="9" t="s">
        <v>778</v>
      </c>
      <c r="B653" s="83" t="s">
        <v>857</v>
      </c>
      <c r="C653" s="178"/>
      <c r="D653" s="178"/>
      <c r="E653" s="83" t="str">
        <f t="shared" si="10"/>
        <v>—</v>
      </c>
      <c r="F653" s="83" t="s">
        <v>824</v>
      </c>
      <c r="G653" s="180">
        <v>1450000</v>
      </c>
      <c r="H653" s="83" t="s">
        <v>793</v>
      </c>
      <c r="I653" s="180"/>
    </row>
    <row r="654" spans="1:9" ht="21.25" customHeight="1" x14ac:dyDescent="0.15">
      <c r="A654" s="9" t="s">
        <v>775</v>
      </c>
      <c r="B654" s="83" t="s">
        <v>857</v>
      </c>
      <c r="C654" s="178"/>
      <c r="D654" s="178"/>
      <c r="E654" s="83" t="str">
        <f t="shared" si="10"/>
        <v>—</v>
      </c>
      <c r="F654" s="83" t="s">
        <v>831</v>
      </c>
      <c r="G654" s="180">
        <v>1275000</v>
      </c>
      <c r="H654" s="83" t="s">
        <v>793</v>
      </c>
      <c r="I654" s="180"/>
    </row>
    <row r="655" spans="1:9" ht="21.25" customHeight="1" x14ac:dyDescent="0.15">
      <c r="A655" s="9" t="s">
        <v>779</v>
      </c>
      <c r="B655" s="83" t="s">
        <v>857</v>
      </c>
      <c r="C655" s="178"/>
      <c r="D655" s="178"/>
      <c r="E655" s="83" t="str">
        <f t="shared" si="10"/>
        <v>—</v>
      </c>
      <c r="F655" s="83" t="s">
        <v>824</v>
      </c>
      <c r="G655" s="180">
        <v>900000</v>
      </c>
      <c r="H655" s="83" t="s">
        <v>793</v>
      </c>
      <c r="I655" s="180"/>
    </row>
    <row r="656" spans="1:9" ht="21.25" customHeight="1" x14ac:dyDescent="0.15">
      <c r="A656" s="9" t="s">
        <v>776</v>
      </c>
      <c r="B656" s="83" t="s">
        <v>857</v>
      </c>
      <c r="C656" s="178"/>
      <c r="D656" s="178"/>
      <c r="E656" s="83" t="str">
        <f t="shared" si="10"/>
        <v>—</v>
      </c>
      <c r="F656" s="83" t="s">
        <v>846</v>
      </c>
      <c r="G656" s="180">
        <v>775000</v>
      </c>
      <c r="H656" s="83" t="s">
        <v>793</v>
      </c>
      <c r="I656" s="180"/>
    </row>
    <row r="657" spans="1:9" ht="21.25" customHeight="1" x14ac:dyDescent="0.15">
      <c r="A657" s="9" t="s">
        <v>781</v>
      </c>
      <c r="B657" s="83" t="s">
        <v>857</v>
      </c>
      <c r="C657" s="178"/>
      <c r="D657" s="178"/>
      <c r="E657" s="83" t="str">
        <f t="shared" si="10"/>
        <v>—</v>
      </c>
      <c r="F657" s="83" t="s">
        <v>828</v>
      </c>
      <c r="G657" s="180">
        <v>925000</v>
      </c>
      <c r="H657" s="83" t="s">
        <v>793</v>
      </c>
      <c r="I657" s="180"/>
    </row>
    <row r="658" spans="1:9" ht="21.25" customHeight="1" x14ac:dyDescent="0.15">
      <c r="A658" s="9" t="s">
        <v>768</v>
      </c>
      <c r="B658" s="83" t="s">
        <v>857</v>
      </c>
      <c r="C658" s="178"/>
      <c r="D658" s="178"/>
      <c r="E658" s="83" t="str">
        <f t="shared" si="10"/>
        <v>—</v>
      </c>
      <c r="F658" s="83" t="s">
        <v>827</v>
      </c>
      <c r="G658" s="180">
        <v>800000</v>
      </c>
      <c r="H658" s="83" t="s">
        <v>793</v>
      </c>
      <c r="I658" s="180"/>
    </row>
    <row r="659" spans="1:9" ht="21.25" customHeight="1" x14ac:dyDescent="0.15">
      <c r="A659" s="9" t="s">
        <v>780</v>
      </c>
      <c r="B659" s="83" t="s">
        <v>857</v>
      </c>
      <c r="C659" s="178"/>
      <c r="D659" s="178"/>
      <c r="E659" s="83" t="str">
        <f t="shared" si="10"/>
        <v>—</v>
      </c>
      <c r="F659" s="83" t="s">
        <v>838</v>
      </c>
      <c r="G659" s="180">
        <v>1000000</v>
      </c>
      <c r="H659" s="83" t="s">
        <v>793</v>
      </c>
      <c r="I659" s="180"/>
    </row>
    <row r="660" spans="1:9" ht="21.25" customHeight="1" x14ac:dyDescent="0.15">
      <c r="A660" s="9" t="s">
        <v>784</v>
      </c>
      <c r="B660" s="83" t="s">
        <v>857</v>
      </c>
      <c r="C660" s="178"/>
      <c r="D660" s="178"/>
      <c r="E660" s="83" t="str">
        <f t="shared" si="10"/>
        <v>—</v>
      </c>
      <c r="F660" s="83" t="s">
        <v>827</v>
      </c>
      <c r="G660" s="180">
        <v>800000</v>
      </c>
      <c r="H660" s="83" t="s">
        <v>793</v>
      </c>
      <c r="I660" s="180"/>
    </row>
    <row r="661" spans="1:9" ht="21.25" customHeight="1" x14ac:dyDescent="0.15">
      <c r="A661" s="9" t="s">
        <v>788</v>
      </c>
      <c r="B661" s="83" t="s">
        <v>857</v>
      </c>
      <c r="C661" s="178"/>
      <c r="D661" s="178"/>
      <c r="E661" s="83" t="str">
        <f t="shared" si="10"/>
        <v>—</v>
      </c>
      <c r="F661" s="83" t="s">
        <v>832</v>
      </c>
      <c r="G661" s="180">
        <v>775000</v>
      </c>
      <c r="H661" s="83" t="s">
        <v>793</v>
      </c>
      <c r="I661" s="180"/>
    </row>
    <row r="662" spans="1:9" ht="21.25" customHeight="1" x14ac:dyDescent="0.15">
      <c r="A662" s="9" t="s">
        <v>786</v>
      </c>
      <c r="B662" s="83" t="s">
        <v>857</v>
      </c>
      <c r="C662" s="178"/>
      <c r="D662" s="178"/>
      <c r="E662" s="83" t="str">
        <f t="shared" si="10"/>
        <v>—</v>
      </c>
      <c r="F662" s="83" t="s">
        <v>833</v>
      </c>
      <c r="G662" s="180">
        <v>787500</v>
      </c>
      <c r="H662" s="83" t="s">
        <v>793</v>
      </c>
      <c r="I662" s="180"/>
    </row>
    <row r="663" spans="1:9" ht="21.25" customHeight="1" x14ac:dyDescent="0.15">
      <c r="A663" s="9" t="s">
        <v>787</v>
      </c>
      <c r="B663" s="83" t="s">
        <v>857</v>
      </c>
      <c r="C663" s="178"/>
      <c r="D663" s="178"/>
      <c r="E663" s="83" t="str">
        <f t="shared" si="10"/>
        <v>—</v>
      </c>
      <c r="F663" s="83" t="s">
        <v>838</v>
      </c>
      <c r="G663" s="180">
        <v>835000</v>
      </c>
      <c r="H663" s="83" t="s">
        <v>793</v>
      </c>
      <c r="I663" s="180"/>
    </row>
    <row r="664" spans="1:9" ht="21.25" customHeight="1" x14ac:dyDescent="0.15">
      <c r="A664" s="9" t="s">
        <v>789</v>
      </c>
      <c r="B664" s="83" t="s">
        <v>857</v>
      </c>
      <c r="C664" s="178"/>
      <c r="D664" s="178"/>
      <c r="E664" s="83" t="str">
        <f t="shared" si="10"/>
        <v>—</v>
      </c>
      <c r="F664" s="83" t="s">
        <v>840</v>
      </c>
      <c r="G664" s="180">
        <v>775000</v>
      </c>
      <c r="H664" s="83" t="s">
        <v>793</v>
      </c>
      <c r="I664" s="180"/>
    </row>
    <row r="665" spans="1:9" ht="21.25" customHeight="1" x14ac:dyDescent="0.15">
      <c r="A665" s="9" t="s">
        <v>790</v>
      </c>
      <c r="B665" s="83" t="s">
        <v>857</v>
      </c>
      <c r="C665" s="178"/>
      <c r="D665" s="178"/>
      <c r="E665" s="83" t="str">
        <f t="shared" si="10"/>
        <v>—</v>
      </c>
      <c r="F665" s="83" t="s">
        <v>831</v>
      </c>
      <c r="G665" s="180">
        <v>820000</v>
      </c>
      <c r="H665" s="83" t="s">
        <v>793</v>
      </c>
      <c r="I665" s="180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E66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8" defaultRowHeight="16.25" customHeight="1" x14ac:dyDescent="0.15"/>
  <cols>
    <col min="1" max="1" width="28.33203125" style="1" customWidth="1"/>
    <col min="2" max="4" width="7.1640625" style="1" customWidth="1"/>
    <col min="5" max="22" width="8.33203125" style="1" customWidth="1"/>
    <col min="23" max="23" width="2.33203125" style="1" customWidth="1"/>
    <col min="24" max="28" width="7.1640625" style="1" customWidth="1"/>
    <col min="29" max="31" width="8.33203125" style="1" customWidth="1"/>
    <col min="32" max="32" width="8" style="1" customWidth="1"/>
    <col min="33" max="16384" width="8" style="1"/>
  </cols>
  <sheetData>
    <row r="1" spans="1:31" ht="21.25" customHeight="1" x14ac:dyDescent="0.2">
      <c r="A1" s="181"/>
      <c r="B1" s="182"/>
      <c r="C1" s="182"/>
      <c r="D1" s="182"/>
      <c r="E1" s="183"/>
      <c r="F1" s="208" t="s">
        <v>862</v>
      </c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182"/>
      <c r="X1" s="208" t="s">
        <v>863</v>
      </c>
      <c r="Y1" s="209"/>
      <c r="Z1" s="209"/>
      <c r="AA1" s="209"/>
      <c r="AB1" s="209"/>
      <c r="AC1" s="209"/>
      <c r="AD1" s="209"/>
      <c r="AE1" s="209"/>
    </row>
    <row r="2" spans="1:31" ht="21.25" customHeight="1" x14ac:dyDescent="0.15">
      <c r="A2" s="2" t="s">
        <v>864</v>
      </c>
      <c r="B2" s="3" t="s">
        <v>12</v>
      </c>
      <c r="C2" s="3" t="s">
        <v>25</v>
      </c>
      <c r="D2" s="3" t="s">
        <v>3</v>
      </c>
      <c r="E2" s="184" t="s">
        <v>102</v>
      </c>
      <c r="F2" s="184" t="s">
        <v>55</v>
      </c>
      <c r="G2" s="184" t="s">
        <v>103</v>
      </c>
      <c r="H2" s="184" t="s">
        <v>104</v>
      </c>
      <c r="I2" s="184" t="s">
        <v>105</v>
      </c>
      <c r="J2" s="184" t="s">
        <v>106</v>
      </c>
      <c r="K2" s="184" t="s">
        <v>107</v>
      </c>
      <c r="L2" s="184" t="s">
        <v>63</v>
      </c>
      <c r="M2" s="184" t="s">
        <v>108</v>
      </c>
      <c r="N2" s="184" t="s">
        <v>109</v>
      </c>
      <c r="O2" s="184" t="s">
        <v>110</v>
      </c>
      <c r="P2" s="184" t="s">
        <v>111</v>
      </c>
      <c r="Q2" s="184" t="s">
        <v>112</v>
      </c>
      <c r="R2" s="184" t="s">
        <v>113</v>
      </c>
      <c r="S2" s="184" t="s">
        <v>114</v>
      </c>
      <c r="T2" s="184" t="s">
        <v>115</v>
      </c>
      <c r="U2" s="184" t="s">
        <v>116</v>
      </c>
      <c r="V2" s="184" t="s">
        <v>117</v>
      </c>
      <c r="W2" s="185"/>
      <c r="X2" s="184" t="s">
        <v>102</v>
      </c>
      <c r="Y2" s="184" t="s">
        <v>118</v>
      </c>
      <c r="Z2" s="184" t="s">
        <v>119</v>
      </c>
      <c r="AA2" s="184" t="s">
        <v>120</v>
      </c>
      <c r="AB2" s="184" t="s">
        <v>121</v>
      </c>
      <c r="AC2" s="184" t="s">
        <v>122</v>
      </c>
      <c r="AD2" s="184" t="s">
        <v>124</v>
      </c>
      <c r="AE2" s="184" t="s">
        <v>123</v>
      </c>
    </row>
    <row r="3" spans="1:31" ht="21.25" customHeight="1" x14ac:dyDescent="0.15">
      <c r="A3" s="9" t="s">
        <v>126</v>
      </c>
      <c r="B3" s="186" t="s">
        <v>824</v>
      </c>
      <c r="C3" s="187">
        <v>27</v>
      </c>
      <c r="D3" s="186" t="s">
        <v>815</v>
      </c>
      <c r="E3" s="90">
        <v>80.765000000000001</v>
      </c>
      <c r="F3" s="188">
        <v>21.612988329775799</v>
      </c>
      <c r="G3" s="189">
        <v>0.53878453951919103</v>
      </c>
      <c r="H3" s="189">
        <v>1.10600348306397</v>
      </c>
      <c r="I3" s="189">
        <v>1.6447880225831599</v>
      </c>
      <c r="J3" s="189">
        <v>3.6743758225681802</v>
      </c>
      <c r="K3" s="189">
        <v>0.13933090939984399</v>
      </c>
      <c r="L3" s="189">
        <v>0.61144865185710295</v>
      </c>
      <c r="M3" s="189">
        <v>1.10840930116494E-2</v>
      </c>
      <c r="N3" s="189">
        <v>1.95914212924829E-2</v>
      </c>
      <c r="O3" s="189">
        <v>0.49961428528789897</v>
      </c>
      <c r="P3" s="189">
        <v>1.3331202604706101</v>
      </c>
      <c r="Q3" s="189">
        <v>0.15959959910413801</v>
      </c>
      <c r="R3" s="189">
        <v>0.44024262216495902</v>
      </c>
      <c r="S3" s="189">
        <v>8.7000318382963404E-2</v>
      </c>
      <c r="T3" s="189">
        <v>6.1259902724532598</v>
      </c>
      <c r="U3" s="189">
        <v>5.6508592793574302</v>
      </c>
      <c r="V3" s="189">
        <v>0.52017224517497496</v>
      </c>
      <c r="W3" s="189"/>
      <c r="X3" s="90"/>
      <c r="Y3" s="188"/>
      <c r="Z3" s="188"/>
      <c r="AA3" s="188"/>
      <c r="AB3" s="188"/>
      <c r="AC3" s="188"/>
      <c r="AD3" s="190"/>
      <c r="AE3" s="189"/>
    </row>
    <row r="4" spans="1:31" ht="21.25" customHeight="1" x14ac:dyDescent="0.15">
      <c r="A4" s="9" t="s">
        <v>129</v>
      </c>
      <c r="B4" s="186" t="s">
        <v>827</v>
      </c>
      <c r="C4" s="187">
        <v>31</v>
      </c>
      <c r="D4" s="186" t="s">
        <v>817</v>
      </c>
      <c r="E4" s="90">
        <v>78.352500000000006</v>
      </c>
      <c r="F4" s="188">
        <v>21.6773910862217</v>
      </c>
      <c r="G4" s="189">
        <v>0.47699541986378602</v>
      </c>
      <c r="H4" s="189">
        <v>1.0825375900868399</v>
      </c>
      <c r="I4" s="189">
        <v>1.5595330099506299</v>
      </c>
      <c r="J4" s="189">
        <v>3.6817474688694798</v>
      </c>
      <c r="K4" s="189">
        <v>0.13067668949764</v>
      </c>
      <c r="L4" s="189">
        <v>0.58388097027041297</v>
      </c>
      <c r="M4" s="189">
        <v>4.5193527431613499E-5</v>
      </c>
      <c r="N4" s="189">
        <v>7.7479330499037298E-5</v>
      </c>
      <c r="O4" s="189">
        <v>0.418228649231211</v>
      </c>
      <c r="P4" s="189">
        <v>0.65438581653523697</v>
      </c>
      <c r="Q4" s="189">
        <v>5.5761554638660601E-2</v>
      </c>
      <c r="R4" s="189">
        <v>0.41080204757469901</v>
      </c>
      <c r="S4" s="189">
        <v>7.5156172030825599E-2</v>
      </c>
      <c r="T4" s="189">
        <v>3.3323504262041899E-2</v>
      </c>
      <c r="U4" s="189">
        <v>1.0441644284493999E-2</v>
      </c>
      <c r="V4" s="189">
        <v>0.76141645507289202</v>
      </c>
      <c r="W4" s="189"/>
      <c r="X4" s="90"/>
      <c r="Y4" s="188"/>
      <c r="Z4" s="188"/>
      <c r="AA4" s="188"/>
      <c r="AB4" s="188"/>
      <c r="AC4" s="188"/>
      <c r="AD4" s="190"/>
      <c r="AE4" s="189"/>
    </row>
    <row r="5" spans="1:31" ht="21.25" customHeight="1" x14ac:dyDescent="0.15">
      <c r="A5" s="9" t="s">
        <v>128</v>
      </c>
      <c r="B5" s="186" t="s">
        <v>825</v>
      </c>
      <c r="C5" s="187">
        <v>29</v>
      </c>
      <c r="D5" s="186" t="s">
        <v>815</v>
      </c>
      <c r="E5" s="90">
        <v>78.817499999999995</v>
      </c>
      <c r="F5" s="188">
        <v>22.313906488352298</v>
      </c>
      <c r="G5" s="189">
        <v>0.55625236639346198</v>
      </c>
      <c r="H5" s="189">
        <v>0.94846844002538899</v>
      </c>
      <c r="I5" s="189">
        <v>1.50472080641885</v>
      </c>
      <c r="J5" s="189">
        <v>4.7509669305092199</v>
      </c>
      <c r="K5" s="189">
        <v>0.122064421754846</v>
      </c>
      <c r="L5" s="189">
        <v>0.47125500593609299</v>
      </c>
      <c r="M5" s="189">
        <v>2.7767131071860498E-4</v>
      </c>
      <c r="N5" s="189">
        <v>4.7071362957667399E-4</v>
      </c>
      <c r="O5" s="189">
        <v>0.74405461796481698</v>
      </c>
      <c r="P5" s="189">
        <v>0.714805280434895</v>
      </c>
      <c r="Q5" s="189">
        <v>0.11234503752932699</v>
      </c>
      <c r="R5" s="189">
        <v>0.48723392392714998</v>
      </c>
      <c r="S5" s="189">
        <v>8.3110030204213203E-2</v>
      </c>
      <c r="T5" s="189">
        <v>7.0710195689199704</v>
      </c>
      <c r="U5" s="189">
        <v>8.48655763225063</v>
      </c>
      <c r="V5" s="189">
        <v>0.45450647472203598</v>
      </c>
      <c r="W5" s="189"/>
      <c r="X5" s="90"/>
      <c r="Y5" s="188"/>
      <c r="Z5" s="188"/>
      <c r="AA5" s="188"/>
      <c r="AB5" s="188"/>
      <c r="AC5" s="188"/>
      <c r="AD5" s="190"/>
      <c r="AE5" s="189"/>
    </row>
    <row r="6" spans="1:31" ht="21.25" customHeight="1" x14ac:dyDescent="0.15">
      <c r="A6" s="9" t="s">
        <v>136</v>
      </c>
      <c r="B6" s="186" t="s">
        <v>829</v>
      </c>
      <c r="C6" s="187">
        <v>23</v>
      </c>
      <c r="D6" s="186" t="s">
        <v>865</v>
      </c>
      <c r="E6" s="90">
        <v>74.63</v>
      </c>
      <c r="F6" s="188">
        <v>21.0833454170787</v>
      </c>
      <c r="G6" s="189">
        <v>0.54603640439581702</v>
      </c>
      <c r="H6" s="189">
        <v>0.80191446039769498</v>
      </c>
      <c r="I6" s="189">
        <v>1.3479508647935099</v>
      </c>
      <c r="J6" s="189">
        <v>4.30069898922084</v>
      </c>
      <c r="K6" s="189">
        <v>0.15894173204938</v>
      </c>
      <c r="L6" s="189">
        <v>0.49981343680518298</v>
      </c>
      <c r="M6" s="189">
        <v>3.5442123249511398E-4</v>
      </c>
      <c r="N6" s="189">
        <v>5.9501010582264902E-4</v>
      </c>
      <c r="O6" s="189">
        <v>0.40276653822714298</v>
      </c>
      <c r="P6" s="189">
        <v>0.234222939322968</v>
      </c>
      <c r="Q6" s="189">
        <v>5.0820022248094399E-2</v>
      </c>
      <c r="R6" s="189">
        <v>0.19802469328445099</v>
      </c>
      <c r="S6" s="189">
        <v>8.2383963866312596E-2</v>
      </c>
      <c r="T6" s="189">
        <v>2.0242101781773201</v>
      </c>
      <c r="U6" s="189">
        <v>3.6018686569760701</v>
      </c>
      <c r="V6" s="189">
        <v>0.35979058194660601</v>
      </c>
      <c r="W6" s="189"/>
      <c r="X6" s="90"/>
      <c r="Y6" s="188"/>
      <c r="Z6" s="188"/>
      <c r="AA6" s="188"/>
      <c r="AB6" s="188"/>
      <c r="AC6" s="188"/>
      <c r="AD6" s="190"/>
      <c r="AE6" s="189"/>
    </row>
    <row r="7" spans="1:31" ht="21.25" customHeight="1" x14ac:dyDescent="0.15">
      <c r="A7" s="9" t="s">
        <v>134</v>
      </c>
      <c r="B7" s="186" t="s">
        <v>824</v>
      </c>
      <c r="C7" s="187">
        <v>28</v>
      </c>
      <c r="D7" s="186" t="s">
        <v>865</v>
      </c>
      <c r="E7" s="90">
        <v>81.377499999999998</v>
      </c>
      <c r="F7" s="188">
        <v>20.835084255972902</v>
      </c>
      <c r="G7" s="189">
        <v>0.54924286651326704</v>
      </c>
      <c r="H7" s="189">
        <v>0.78207649026297199</v>
      </c>
      <c r="I7" s="189">
        <v>1.33131935677624</v>
      </c>
      <c r="J7" s="189">
        <v>2.8787532291259299</v>
      </c>
      <c r="K7" s="189">
        <v>0.27743359814784602</v>
      </c>
      <c r="L7" s="189">
        <v>0.529601938537822</v>
      </c>
      <c r="M7" s="189">
        <v>4.3007812562777196E-3</v>
      </c>
      <c r="N7" s="189">
        <v>1.08593567631723E-2</v>
      </c>
      <c r="O7" s="189">
        <v>0.37915653204758198</v>
      </c>
      <c r="P7" s="189">
        <v>0.73126665229052101</v>
      </c>
      <c r="Q7" s="189">
        <v>0.114398095792801</v>
      </c>
      <c r="R7" s="189">
        <v>0.51586901361169202</v>
      </c>
      <c r="S7" s="189">
        <v>8.8689078381625805E-2</v>
      </c>
      <c r="T7" s="189">
        <v>10.0569712957116</v>
      </c>
      <c r="U7" s="189">
        <v>8.1174352732046504</v>
      </c>
      <c r="V7" s="189">
        <v>0.55335899180950698</v>
      </c>
      <c r="W7" s="189"/>
      <c r="X7" s="90"/>
      <c r="Y7" s="188"/>
      <c r="Z7" s="188"/>
      <c r="AA7" s="188"/>
      <c r="AB7" s="188"/>
      <c r="AC7" s="188"/>
      <c r="AD7" s="190"/>
      <c r="AE7" s="189"/>
    </row>
    <row r="8" spans="1:31" ht="21.25" customHeight="1" x14ac:dyDescent="0.15">
      <c r="A8" s="9" t="s">
        <v>130</v>
      </c>
      <c r="B8" s="186" t="s">
        <v>826</v>
      </c>
      <c r="C8" s="187">
        <v>26</v>
      </c>
      <c r="D8" s="186" t="s">
        <v>815</v>
      </c>
      <c r="E8" s="90">
        <v>79.852500000000006</v>
      </c>
      <c r="F8" s="188">
        <v>21.0873947009791</v>
      </c>
      <c r="G8" s="189">
        <v>0.73510582467524599</v>
      </c>
      <c r="H8" s="189">
        <v>0.56852711036983805</v>
      </c>
      <c r="I8" s="189">
        <v>1.3036329350450799</v>
      </c>
      <c r="J8" s="189">
        <v>4.5322469059008998</v>
      </c>
      <c r="K8" s="189">
        <v>0.21410847469043701</v>
      </c>
      <c r="L8" s="189">
        <v>0.40185225273247599</v>
      </c>
      <c r="M8" s="189">
        <v>1.18196277788675E-3</v>
      </c>
      <c r="N8" s="189">
        <v>7.1443325074370904E-3</v>
      </c>
      <c r="O8" s="189">
        <v>1.0838016381501401</v>
      </c>
      <c r="P8" s="189">
        <v>1.07735619556992</v>
      </c>
      <c r="Q8" s="189">
        <v>0.15226258901608</v>
      </c>
      <c r="R8" s="189">
        <v>0.260593821784879</v>
      </c>
      <c r="S8" s="189">
        <v>0.11760375473405001</v>
      </c>
      <c r="T8" s="189">
        <v>8.7500107308417601</v>
      </c>
      <c r="U8" s="189">
        <v>7.5211560982914598</v>
      </c>
      <c r="V8" s="189">
        <v>0.53776172432668001</v>
      </c>
      <c r="W8" s="189"/>
      <c r="X8" s="90"/>
      <c r="Y8" s="188"/>
      <c r="Z8" s="188"/>
      <c r="AA8" s="188"/>
      <c r="AB8" s="188"/>
      <c r="AC8" s="188"/>
      <c r="AD8" s="190"/>
      <c r="AE8" s="189"/>
    </row>
    <row r="9" spans="1:31" ht="21.25" customHeight="1" x14ac:dyDescent="0.15">
      <c r="A9" s="9" t="s">
        <v>131</v>
      </c>
      <c r="B9" s="186" t="s">
        <v>828</v>
      </c>
      <c r="C9" s="187">
        <v>28</v>
      </c>
      <c r="D9" s="186" t="s">
        <v>817</v>
      </c>
      <c r="E9" s="90">
        <v>81.03</v>
      </c>
      <c r="F9" s="188">
        <v>20.024525537270101</v>
      </c>
      <c r="G9" s="189">
        <v>0.61056478003217496</v>
      </c>
      <c r="H9" s="189">
        <v>0.69128751704724201</v>
      </c>
      <c r="I9" s="189">
        <v>1.30185229707942</v>
      </c>
      <c r="J9" s="189">
        <v>4.63477605353253</v>
      </c>
      <c r="K9" s="189">
        <v>0.17682024480979</v>
      </c>
      <c r="L9" s="189">
        <v>0.42398465038038402</v>
      </c>
      <c r="M9" s="189">
        <v>2.2492070067350401E-4</v>
      </c>
      <c r="N9" s="189">
        <v>3.7935072980448001E-4</v>
      </c>
      <c r="O9" s="189">
        <v>0.30122624740603199</v>
      </c>
      <c r="P9" s="189">
        <v>0.92414494249448698</v>
      </c>
      <c r="Q9" s="189">
        <v>7.27366125978193E-2</v>
      </c>
      <c r="R9" s="189">
        <v>0.44593844754360301</v>
      </c>
      <c r="S9" s="189">
        <v>9.5097734550004795E-2</v>
      </c>
      <c r="T9" s="189">
        <v>0.10500643628282701</v>
      </c>
      <c r="U9" s="189">
        <v>0.183129720753651</v>
      </c>
      <c r="V9" s="189">
        <v>0.36443338927968399</v>
      </c>
      <c r="W9" s="189"/>
      <c r="X9" s="90"/>
      <c r="Y9" s="188"/>
      <c r="Z9" s="188"/>
      <c r="AA9" s="188"/>
      <c r="AB9" s="188"/>
      <c r="AC9" s="188"/>
      <c r="AD9" s="190"/>
      <c r="AE9" s="189"/>
    </row>
    <row r="10" spans="1:31" ht="21.25" customHeight="1" x14ac:dyDescent="0.15">
      <c r="A10" s="9" t="s">
        <v>140</v>
      </c>
      <c r="B10" s="186" t="s">
        <v>831</v>
      </c>
      <c r="C10" s="187">
        <v>32</v>
      </c>
      <c r="D10" s="186" t="s">
        <v>816</v>
      </c>
      <c r="E10" s="90">
        <v>81.33</v>
      </c>
      <c r="F10" s="188">
        <v>20.2691151278479</v>
      </c>
      <c r="G10" s="189">
        <v>0.45773443937633701</v>
      </c>
      <c r="H10" s="189">
        <v>0.83425756354717495</v>
      </c>
      <c r="I10" s="189">
        <v>1.2919920029235099</v>
      </c>
      <c r="J10" s="189">
        <v>3.3066311701874498</v>
      </c>
      <c r="K10" s="189">
        <v>0.114634296399448</v>
      </c>
      <c r="L10" s="189">
        <v>0.47176260554377503</v>
      </c>
      <c r="M10" s="189">
        <v>3.1870016583859501E-5</v>
      </c>
      <c r="N10" s="189">
        <v>5.4569791222050198E-5</v>
      </c>
      <c r="O10" s="189">
        <v>0.20498505836806999</v>
      </c>
      <c r="P10" s="189">
        <v>0.318952435875477</v>
      </c>
      <c r="Q10" s="189">
        <v>7.7977638692002194E-2</v>
      </c>
      <c r="R10" s="189">
        <v>0.34904989655762902</v>
      </c>
      <c r="S10" s="189">
        <v>7.4820495072480994E-2</v>
      </c>
      <c r="T10" s="189">
        <v>3.36069944859562E-2</v>
      </c>
      <c r="U10" s="189">
        <v>9.3872453450149995E-2</v>
      </c>
      <c r="V10" s="189">
        <v>0.263626765177084</v>
      </c>
      <c r="W10" s="189"/>
      <c r="X10" s="90"/>
      <c r="Y10" s="188"/>
      <c r="Z10" s="188"/>
      <c r="AA10" s="188"/>
      <c r="AB10" s="188"/>
      <c r="AC10" s="188"/>
      <c r="AD10" s="190"/>
      <c r="AE10" s="189"/>
    </row>
    <row r="11" spans="1:31" ht="21.25" customHeight="1" x14ac:dyDescent="0.15">
      <c r="A11" s="9" t="s">
        <v>139</v>
      </c>
      <c r="B11" s="186" t="s">
        <v>826</v>
      </c>
      <c r="C11" s="187">
        <v>27</v>
      </c>
      <c r="D11" s="186" t="s">
        <v>817</v>
      </c>
      <c r="E11" s="90">
        <v>78.447500000000005</v>
      </c>
      <c r="F11" s="188">
        <v>21.8289999332322</v>
      </c>
      <c r="G11" s="189">
        <v>0.41697746878893899</v>
      </c>
      <c r="H11" s="189">
        <v>0.86525232485410597</v>
      </c>
      <c r="I11" s="189">
        <v>1.28222979364305</v>
      </c>
      <c r="J11" s="189">
        <v>2.6161894235010998</v>
      </c>
      <c r="K11" s="189">
        <v>0.124200604662416</v>
      </c>
      <c r="L11" s="189">
        <v>0.43371198890785201</v>
      </c>
      <c r="M11" s="189">
        <v>2.5589843917825001E-2</v>
      </c>
      <c r="N11" s="189">
        <v>3.2958257479288801E-2</v>
      </c>
      <c r="O11" s="189">
        <v>0.67143043792558199</v>
      </c>
      <c r="P11" s="189">
        <v>0.86861669312745504</v>
      </c>
      <c r="Q11" s="189">
        <v>0.115264840167806</v>
      </c>
      <c r="R11" s="189">
        <v>0.33294537472987601</v>
      </c>
      <c r="S11" s="189">
        <v>6.6708920434338098E-2</v>
      </c>
      <c r="T11" s="189">
        <v>4.80225959886676E-2</v>
      </c>
      <c r="U11" s="189">
        <v>0.162575297140897</v>
      </c>
      <c r="V11" s="189">
        <v>0.22802980255421201</v>
      </c>
      <c r="W11" s="189"/>
      <c r="X11" s="90"/>
      <c r="Y11" s="188"/>
      <c r="Z11" s="188"/>
      <c r="AA11" s="188"/>
      <c r="AB11" s="188"/>
      <c r="AC11" s="188"/>
      <c r="AD11" s="190"/>
      <c r="AE11" s="189"/>
    </row>
    <row r="12" spans="1:31" ht="21.25" customHeight="1" x14ac:dyDescent="0.15">
      <c r="A12" s="9" t="s">
        <v>133</v>
      </c>
      <c r="B12" s="186" t="s">
        <v>825</v>
      </c>
      <c r="C12" s="187">
        <v>27</v>
      </c>
      <c r="D12" s="186" t="s">
        <v>817</v>
      </c>
      <c r="E12" s="90">
        <v>80.974999999999994</v>
      </c>
      <c r="F12" s="188">
        <v>22.316170580145599</v>
      </c>
      <c r="G12" s="189">
        <v>0.53326628623888495</v>
      </c>
      <c r="H12" s="189">
        <v>0.68554131413739805</v>
      </c>
      <c r="I12" s="189">
        <v>1.21880760037628</v>
      </c>
      <c r="J12" s="189">
        <v>3.4190705470098002</v>
      </c>
      <c r="K12" s="189">
        <v>0.153573326388695</v>
      </c>
      <c r="L12" s="189">
        <v>0.42159223854910699</v>
      </c>
      <c r="M12" s="189">
        <v>1.63962210811166E-4</v>
      </c>
      <c r="N12" s="189">
        <v>2.7704474560951201E-4</v>
      </c>
      <c r="O12" s="189">
        <v>0.57935069132121197</v>
      </c>
      <c r="P12" s="189">
        <v>0.74444947513732096</v>
      </c>
      <c r="Q12" s="189">
        <v>8.3107708066788202E-2</v>
      </c>
      <c r="R12" s="189">
        <v>0.68332678734378405</v>
      </c>
      <c r="S12" s="189">
        <v>7.9675664920862602E-2</v>
      </c>
      <c r="T12" s="189">
        <v>3.0150964683526702</v>
      </c>
      <c r="U12" s="189">
        <v>2.9520524354331701</v>
      </c>
      <c r="V12" s="189">
        <v>0.50528259256941799</v>
      </c>
      <c r="W12" s="189"/>
      <c r="X12" s="90"/>
      <c r="Y12" s="188"/>
      <c r="Z12" s="188"/>
      <c r="AA12" s="188"/>
      <c r="AB12" s="188"/>
      <c r="AC12" s="188"/>
      <c r="AD12" s="190"/>
      <c r="AE12" s="189"/>
    </row>
    <row r="13" spans="1:31" ht="21.25" customHeight="1" x14ac:dyDescent="0.15">
      <c r="A13" s="9" t="s">
        <v>135</v>
      </c>
      <c r="B13" s="186" t="s">
        <v>832</v>
      </c>
      <c r="C13" s="187">
        <v>26</v>
      </c>
      <c r="D13" s="186" t="s">
        <v>866</v>
      </c>
      <c r="E13" s="90">
        <v>81.262500000000003</v>
      </c>
      <c r="F13" s="188">
        <v>19.360542100403901</v>
      </c>
      <c r="G13" s="189">
        <v>0.41181686010194901</v>
      </c>
      <c r="H13" s="189">
        <v>0.78347809349666098</v>
      </c>
      <c r="I13" s="189">
        <v>1.1952949535986099</v>
      </c>
      <c r="J13" s="189">
        <v>3.54537609789889</v>
      </c>
      <c r="K13" s="189">
        <v>0.11081423225220099</v>
      </c>
      <c r="L13" s="189">
        <v>0.38402374103278097</v>
      </c>
      <c r="M13" s="189">
        <v>4.3243398768191103E-3</v>
      </c>
      <c r="N13" s="189">
        <v>6.9266188764183396E-3</v>
      </c>
      <c r="O13" s="189">
        <v>0.38514174806547102</v>
      </c>
      <c r="P13" s="189">
        <v>1.51783319230544</v>
      </c>
      <c r="Q13" s="189">
        <v>0.123532825705396</v>
      </c>
      <c r="R13" s="189">
        <v>0.82114024118876505</v>
      </c>
      <c r="S13" s="189">
        <v>7.0157832956247598E-2</v>
      </c>
      <c r="T13" s="189">
        <v>8.8050703392145893E-2</v>
      </c>
      <c r="U13" s="189">
        <v>0.12892549130443601</v>
      </c>
      <c r="V13" s="189">
        <v>0.40580812800812299</v>
      </c>
      <c r="W13" s="189"/>
      <c r="X13" s="90"/>
      <c r="Y13" s="188"/>
      <c r="Z13" s="188"/>
      <c r="AA13" s="188"/>
      <c r="AB13" s="188"/>
      <c r="AC13" s="188"/>
      <c r="AD13" s="190"/>
      <c r="AE13" s="189"/>
    </row>
    <row r="14" spans="1:31" ht="21.25" customHeight="1" x14ac:dyDescent="0.15">
      <c r="A14" s="9" t="s">
        <v>143</v>
      </c>
      <c r="B14" s="186" t="s">
        <v>833</v>
      </c>
      <c r="C14" s="187">
        <v>27</v>
      </c>
      <c r="D14" s="186" t="s">
        <v>816</v>
      </c>
      <c r="E14" s="90">
        <v>78.625</v>
      </c>
      <c r="F14" s="188">
        <v>20.838426738633899</v>
      </c>
      <c r="G14" s="189">
        <v>0.56486782141735703</v>
      </c>
      <c r="H14" s="189">
        <v>0.626401317767041</v>
      </c>
      <c r="I14" s="189">
        <v>1.1912691391843999</v>
      </c>
      <c r="J14" s="189">
        <v>3.5745796156993501</v>
      </c>
      <c r="K14" s="189">
        <v>0.197195554496394</v>
      </c>
      <c r="L14" s="189">
        <v>0.42130990098450599</v>
      </c>
      <c r="M14" s="189">
        <v>2.1761068969665899E-4</v>
      </c>
      <c r="N14" s="189">
        <v>3.6711870784076098E-4</v>
      </c>
      <c r="O14" s="189">
        <v>0.48169693341421999</v>
      </c>
      <c r="P14" s="189">
        <v>0.786787911770509</v>
      </c>
      <c r="Q14" s="189">
        <v>4.3349022228963301E-2</v>
      </c>
      <c r="R14" s="189">
        <v>0.49002027957323002</v>
      </c>
      <c r="S14" s="189">
        <v>9.3247886856407405E-2</v>
      </c>
      <c r="T14" s="189">
        <v>9.5661743679447495E-3</v>
      </c>
      <c r="U14" s="189">
        <v>2.67528162411028E-2</v>
      </c>
      <c r="V14" s="189">
        <v>0.26339317826640501</v>
      </c>
      <c r="W14" s="189"/>
      <c r="X14" s="90"/>
      <c r="Y14" s="188"/>
      <c r="Z14" s="188"/>
      <c r="AA14" s="188"/>
      <c r="AB14" s="188"/>
      <c r="AC14" s="188"/>
      <c r="AD14" s="190"/>
      <c r="AE14" s="189"/>
    </row>
    <row r="15" spans="1:31" ht="21.25" customHeight="1" x14ac:dyDescent="0.15">
      <c r="A15" s="9" t="s">
        <v>138</v>
      </c>
      <c r="B15" s="186" t="s">
        <v>826</v>
      </c>
      <c r="C15" s="187">
        <v>28</v>
      </c>
      <c r="D15" s="186" t="s">
        <v>817</v>
      </c>
      <c r="E15" s="90">
        <v>81.93</v>
      </c>
      <c r="F15" s="188">
        <v>20.6056125659568</v>
      </c>
      <c r="G15" s="189">
        <v>0.495839459347447</v>
      </c>
      <c r="H15" s="189">
        <v>0.68068357003437396</v>
      </c>
      <c r="I15" s="189">
        <v>1.1765230293818201</v>
      </c>
      <c r="J15" s="189">
        <v>3.8694966758693199</v>
      </c>
      <c r="K15" s="189">
        <v>0.13956267175213</v>
      </c>
      <c r="L15" s="189">
        <v>0.41491717090810698</v>
      </c>
      <c r="M15" s="189">
        <v>1.74854592340861E-2</v>
      </c>
      <c r="N15" s="189">
        <v>2.3939603146120599E-2</v>
      </c>
      <c r="O15" s="189">
        <v>0.38025482679189299</v>
      </c>
      <c r="P15" s="189">
        <v>0.40890343903953802</v>
      </c>
      <c r="Q15" s="189">
        <v>7.5105313912579505E-2</v>
      </c>
      <c r="R15" s="189">
        <v>0.33457021004505599</v>
      </c>
      <c r="S15" s="189">
        <v>7.9325425275092204E-2</v>
      </c>
      <c r="T15" s="189">
        <v>0.61800445691598205</v>
      </c>
      <c r="U15" s="189">
        <v>0.70525843661631404</v>
      </c>
      <c r="V15" s="189">
        <v>0.46703074645000497</v>
      </c>
      <c r="W15" s="189"/>
      <c r="X15" s="90"/>
      <c r="Y15" s="188"/>
      <c r="Z15" s="188"/>
      <c r="AA15" s="188"/>
      <c r="AB15" s="188"/>
      <c r="AC15" s="188"/>
      <c r="AD15" s="190"/>
      <c r="AE15" s="189"/>
    </row>
    <row r="16" spans="1:31" ht="21.25" customHeight="1" x14ac:dyDescent="0.15">
      <c r="A16" s="9" t="s">
        <v>150</v>
      </c>
      <c r="B16" s="186" t="s">
        <v>837</v>
      </c>
      <c r="C16" s="187">
        <v>25</v>
      </c>
      <c r="D16" s="186" t="s">
        <v>816</v>
      </c>
      <c r="E16" s="90">
        <v>81.23</v>
      </c>
      <c r="F16" s="188">
        <v>18.7155566199656</v>
      </c>
      <c r="G16" s="189">
        <v>0.45997975150139703</v>
      </c>
      <c r="H16" s="189">
        <v>0.66441442467912204</v>
      </c>
      <c r="I16" s="189">
        <v>1.1243941761805201</v>
      </c>
      <c r="J16" s="189">
        <v>3.09668476285231</v>
      </c>
      <c r="K16" s="189">
        <v>0.14417961395831699</v>
      </c>
      <c r="L16" s="189">
        <v>0.40236935482164798</v>
      </c>
      <c r="M16" s="189">
        <v>6.9561968666981405E-5</v>
      </c>
      <c r="N16" s="189">
        <v>1.17090374247285E-4</v>
      </c>
      <c r="O16" s="189">
        <v>0.35255515551480499</v>
      </c>
      <c r="P16" s="189">
        <v>0.84284421339733795</v>
      </c>
      <c r="Q16" s="189">
        <v>0.123601019977423</v>
      </c>
      <c r="R16" s="189">
        <v>0.30930509135564099</v>
      </c>
      <c r="S16" s="189">
        <v>7.35593702238619E-2</v>
      </c>
      <c r="T16" s="189">
        <v>2.9830066101640401E-11</v>
      </c>
      <c r="U16" s="189">
        <v>1.84053137180004E-3</v>
      </c>
      <c r="V16" s="189">
        <v>1.6207311690102499E-8</v>
      </c>
      <c r="W16" s="189"/>
      <c r="X16" s="90"/>
      <c r="Y16" s="188"/>
      <c r="Z16" s="188"/>
      <c r="AA16" s="188"/>
      <c r="AB16" s="188"/>
      <c r="AC16" s="188"/>
      <c r="AD16" s="190"/>
      <c r="AE16" s="189"/>
    </row>
    <row r="17" spans="1:31" ht="21.25" customHeight="1" x14ac:dyDescent="0.15">
      <c r="A17" s="9" t="s">
        <v>132</v>
      </c>
      <c r="B17" s="186" t="s">
        <v>825</v>
      </c>
      <c r="C17" s="187">
        <v>25</v>
      </c>
      <c r="D17" s="186" t="s">
        <v>818</v>
      </c>
      <c r="E17" s="90">
        <v>77.617500000000007</v>
      </c>
      <c r="F17" s="188">
        <v>25.836596637368402</v>
      </c>
      <c r="G17" s="189">
        <v>0.28562469255836298</v>
      </c>
      <c r="H17" s="189">
        <v>0.83833070877531402</v>
      </c>
      <c r="I17" s="189">
        <v>1.1239554013336801</v>
      </c>
      <c r="J17" s="189">
        <v>3.0146569949765101</v>
      </c>
      <c r="K17" s="189">
        <v>9.3535471199111805E-2</v>
      </c>
      <c r="L17" s="189">
        <v>0.48522858030972199</v>
      </c>
      <c r="M17" s="189">
        <v>6.3477779414884599E-3</v>
      </c>
      <c r="N17" s="189">
        <v>2.56002845487029E-2</v>
      </c>
      <c r="O17" s="189">
        <v>1.8017902185841601</v>
      </c>
      <c r="P17" s="189">
        <v>0.77246784229199295</v>
      </c>
      <c r="Q17" s="189">
        <v>6.4551587738049906E-2</v>
      </c>
      <c r="R17" s="189">
        <v>0.374638711353312</v>
      </c>
      <c r="S17" s="189">
        <v>4.2675372294602602E-2</v>
      </c>
      <c r="T17" s="189">
        <v>0</v>
      </c>
      <c r="U17" s="189">
        <v>0</v>
      </c>
      <c r="V17" s="189">
        <v>0</v>
      </c>
      <c r="W17" s="189"/>
      <c r="X17" s="90"/>
      <c r="Y17" s="188"/>
      <c r="Z17" s="188"/>
      <c r="AA17" s="188"/>
      <c r="AB17" s="188"/>
      <c r="AC17" s="188"/>
      <c r="AD17" s="190"/>
      <c r="AE17" s="189"/>
    </row>
    <row r="18" spans="1:31" ht="21.25" customHeight="1" x14ac:dyDescent="0.15">
      <c r="A18" s="9" t="s">
        <v>145</v>
      </c>
      <c r="B18" s="186" t="s">
        <v>835</v>
      </c>
      <c r="C18" s="187">
        <v>25</v>
      </c>
      <c r="D18" s="186" t="s">
        <v>865</v>
      </c>
      <c r="E18" s="90">
        <v>81.555000000000007</v>
      </c>
      <c r="F18" s="188">
        <v>19.8948879671368</v>
      </c>
      <c r="G18" s="189">
        <v>0.442418104696439</v>
      </c>
      <c r="H18" s="189">
        <v>0.67219779251813105</v>
      </c>
      <c r="I18" s="189">
        <v>1.1146158972145701</v>
      </c>
      <c r="J18" s="189">
        <v>2.6790536804365201</v>
      </c>
      <c r="K18" s="189">
        <v>0.12915067444654801</v>
      </c>
      <c r="L18" s="189">
        <v>0.33855245670353901</v>
      </c>
      <c r="M18" s="189">
        <v>1.2705686967264099E-2</v>
      </c>
      <c r="N18" s="189">
        <v>3.7511922531775703E-2</v>
      </c>
      <c r="O18" s="189">
        <v>0.85602042907680898</v>
      </c>
      <c r="P18" s="189">
        <v>1.2578215838938001</v>
      </c>
      <c r="Q18" s="189">
        <v>8.5449256564783499E-2</v>
      </c>
      <c r="R18" s="189">
        <v>0.212270826334472</v>
      </c>
      <c r="S18" s="189">
        <v>7.5553599415994002E-2</v>
      </c>
      <c r="T18" s="189">
        <v>4.6216009768354498</v>
      </c>
      <c r="U18" s="189">
        <v>5.2144779487649302</v>
      </c>
      <c r="V18" s="189">
        <v>0.46986212817048501</v>
      </c>
      <c r="W18" s="189"/>
      <c r="X18" s="90"/>
      <c r="Y18" s="188"/>
      <c r="Z18" s="188"/>
      <c r="AA18" s="188"/>
      <c r="AB18" s="188"/>
      <c r="AC18" s="188"/>
      <c r="AD18" s="190"/>
      <c r="AE18" s="189"/>
    </row>
    <row r="19" spans="1:31" ht="21.25" customHeight="1" x14ac:dyDescent="0.15">
      <c r="A19" s="9" t="s">
        <v>166</v>
      </c>
      <c r="B19" s="186" t="s">
        <v>827</v>
      </c>
      <c r="C19" s="187">
        <v>28</v>
      </c>
      <c r="D19" s="186" t="s">
        <v>815</v>
      </c>
      <c r="E19" s="90">
        <v>80.252499999999998</v>
      </c>
      <c r="F19" s="188">
        <v>20.061426532503599</v>
      </c>
      <c r="G19" s="189">
        <v>0.54744375710563398</v>
      </c>
      <c r="H19" s="189">
        <v>0.54204466449964495</v>
      </c>
      <c r="I19" s="189">
        <v>1.08948842160528</v>
      </c>
      <c r="J19" s="189">
        <v>2.8626828125831301</v>
      </c>
      <c r="K19" s="189">
        <v>0.18427225297591199</v>
      </c>
      <c r="L19" s="189">
        <v>0.357561620229085</v>
      </c>
      <c r="M19" s="189">
        <v>2.0301225135206601E-4</v>
      </c>
      <c r="N19" s="189">
        <v>3.4236702199707099E-4</v>
      </c>
      <c r="O19" s="189">
        <v>0.51442603631740602</v>
      </c>
      <c r="P19" s="189">
        <v>0.37793195938971602</v>
      </c>
      <c r="Q19" s="189">
        <v>3.4971933565104599E-2</v>
      </c>
      <c r="R19" s="189">
        <v>0.26889832813107001</v>
      </c>
      <c r="S19" s="189">
        <v>8.6256126312453593E-2</v>
      </c>
      <c r="T19" s="189">
        <v>4.21701793258182</v>
      </c>
      <c r="U19" s="189">
        <v>4.4718327038306303</v>
      </c>
      <c r="V19" s="189">
        <v>0.48533668134534702</v>
      </c>
      <c r="W19" s="189"/>
      <c r="X19" s="90"/>
      <c r="Y19" s="188"/>
      <c r="Z19" s="188"/>
      <c r="AA19" s="188"/>
      <c r="AB19" s="188"/>
      <c r="AC19" s="188"/>
      <c r="AD19" s="190"/>
      <c r="AE19" s="189"/>
    </row>
    <row r="20" spans="1:31" ht="21.25" customHeight="1" x14ac:dyDescent="0.15">
      <c r="A20" s="9" t="s">
        <v>174</v>
      </c>
      <c r="B20" s="186" t="s">
        <v>832</v>
      </c>
      <c r="C20" s="187">
        <v>29</v>
      </c>
      <c r="D20" s="186" t="s">
        <v>815</v>
      </c>
      <c r="E20" s="90">
        <v>77.007499999999993</v>
      </c>
      <c r="F20" s="188">
        <v>20.237888724917301</v>
      </c>
      <c r="G20" s="189">
        <v>0.35237348596919599</v>
      </c>
      <c r="H20" s="189">
        <v>0.73535410127459899</v>
      </c>
      <c r="I20" s="189">
        <v>1.0877275872437999</v>
      </c>
      <c r="J20" s="189">
        <v>2.8313262704454698</v>
      </c>
      <c r="K20" s="189">
        <v>8.5800674489261597E-2</v>
      </c>
      <c r="L20" s="189">
        <v>0.34617062686487798</v>
      </c>
      <c r="M20" s="189">
        <v>1.2029465430213E-2</v>
      </c>
      <c r="N20" s="189">
        <v>2.9478558186514299E-2</v>
      </c>
      <c r="O20" s="189">
        <v>0.68557350733084799</v>
      </c>
      <c r="P20" s="189">
        <v>1.17749235848175</v>
      </c>
      <c r="Q20" s="189">
        <v>0.112840713633965</v>
      </c>
      <c r="R20" s="189">
        <v>0.29948176972707402</v>
      </c>
      <c r="S20" s="189">
        <v>6.0030956869316601E-2</v>
      </c>
      <c r="T20" s="189">
        <v>9.2583130259042594</v>
      </c>
      <c r="U20" s="189">
        <v>7.1681302142118097</v>
      </c>
      <c r="V20" s="189">
        <v>0.56362250126636904</v>
      </c>
      <c r="W20" s="189"/>
      <c r="X20" s="90"/>
      <c r="Y20" s="188"/>
      <c r="Z20" s="188"/>
      <c r="AA20" s="188"/>
      <c r="AB20" s="188"/>
      <c r="AC20" s="188"/>
      <c r="AD20" s="190"/>
      <c r="AE20" s="189"/>
    </row>
    <row r="21" spans="1:31" ht="21.25" customHeight="1" x14ac:dyDescent="0.15">
      <c r="A21" s="9" t="s">
        <v>177</v>
      </c>
      <c r="B21" s="186" t="s">
        <v>847</v>
      </c>
      <c r="C21" s="187">
        <v>19</v>
      </c>
      <c r="D21" s="186" t="s">
        <v>815</v>
      </c>
      <c r="E21" s="90">
        <v>76.22</v>
      </c>
      <c r="F21" s="188">
        <v>20.1941393345999</v>
      </c>
      <c r="G21" s="189">
        <v>0.40549265069851798</v>
      </c>
      <c r="H21" s="189">
        <v>0.67896920721590504</v>
      </c>
      <c r="I21" s="189">
        <v>1.0844618579144201</v>
      </c>
      <c r="J21" s="189">
        <v>3.1648577251280199</v>
      </c>
      <c r="K21" s="189">
        <v>9.0274818838999404E-2</v>
      </c>
      <c r="L21" s="189">
        <v>0.38485410707685802</v>
      </c>
      <c r="M21" s="189">
        <v>8.6941286171644995E-5</v>
      </c>
      <c r="N21" s="189">
        <v>1.4480281983554201E-4</v>
      </c>
      <c r="O21" s="189">
        <v>0.41203445250527898</v>
      </c>
      <c r="P21" s="189">
        <v>0.77452242528611803</v>
      </c>
      <c r="Q21" s="189">
        <v>-0.12404500664506</v>
      </c>
      <c r="R21" s="189">
        <v>0.46021134703536498</v>
      </c>
      <c r="S21" s="189">
        <v>5.2403942190375197E-2</v>
      </c>
      <c r="T21" s="189">
        <v>3.1073680299291402</v>
      </c>
      <c r="U21" s="189">
        <v>4.8787179213863396</v>
      </c>
      <c r="V21" s="189">
        <v>0.389097744360902</v>
      </c>
      <c r="W21" s="189"/>
      <c r="X21" s="90"/>
      <c r="Y21" s="188"/>
      <c r="Z21" s="188"/>
      <c r="AA21" s="188"/>
      <c r="AB21" s="188"/>
      <c r="AC21" s="188"/>
      <c r="AD21" s="190"/>
      <c r="AE21" s="189"/>
    </row>
    <row r="22" spans="1:31" ht="21.25" customHeight="1" x14ac:dyDescent="0.15">
      <c r="A22" s="9" t="s">
        <v>155</v>
      </c>
      <c r="B22" s="186" t="s">
        <v>830</v>
      </c>
      <c r="C22" s="187">
        <v>30</v>
      </c>
      <c r="D22" s="186" t="s">
        <v>816</v>
      </c>
      <c r="E22" s="90">
        <v>76.33</v>
      </c>
      <c r="F22" s="188">
        <v>18.844415277466101</v>
      </c>
      <c r="G22" s="189">
        <v>0.516885328866861</v>
      </c>
      <c r="H22" s="189">
        <v>0.55110863103985797</v>
      </c>
      <c r="I22" s="189">
        <v>1.0679939599067201</v>
      </c>
      <c r="J22" s="189">
        <v>3.8891374867350499</v>
      </c>
      <c r="K22" s="189">
        <v>0.13457351056657199</v>
      </c>
      <c r="L22" s="189">
        <v>0.35015056115843401</v>
      </c>
      <c r="M22" s="189">
        <v>5.7993998295741698E-5</v>
      </c>
      <c r="N22" s="189">
        <v>9.7867886088315599E-5</v>
      </c>
      <c r="O22" s="189">
        <v>0.52315715349749103</v>
      </c>
      <c r="P22" s="189">
        <v>1.6120692375496699</v>
      </c>
      <c r="Q22" s="189">
        <v>5.939431812538E-2</v>
      </c>
      <c r="R22" s="189">
        <v>0.46225820713446802</v>
      </c>
      <c r="S22" s="189">
        <v>7.3187251342949497E-2</v>
      </c>
      <c r="T22" s="189">
        <v>0.10667833329568201</v>
      </c>
      <c r="U22" s="189">
        <v>0.10593158152159</v>
      </c>
      <c r="V22" s="189">
        <v>0.50175615463355505</v>
      </c>
      <c r="W22" s="189"/>
      <c r="X22" s="90"/>
      <c r="Y22" s="188"/>
      <c r="Z22" s="188"/>
      <c r="AA22" s="188"/>
      <c r="AB22" s="188"/>
      <c r="AC22" s="188"/>
      <c r="AD22" s="190"/>
      <c r="AE22" s="189"/>
    </row>
    <row r="23" spans="1:31" ht="21.25" customHeight="1" x14ac:dyDescent="0.15">
      <c r="A23" s="9" t="s">
        <v>157</v>
      </c>
      <c r="B23" s="186" t="s">
        <v>835</v>
      </c>
      <c r="C23" s="187">
        <v>31</v>
      </c>
      <c r="D23" s="186" t="s">
        <v>867</v>
      </c>
      <c r="E23" s="90">
        <v>81.515000000000001</v>
      </c>
      <c r="F23" s="188">
        <v>19.244986384495299</v>
      </c>
      <c r="G23" s="189">
        <v>0.37773609615035397</v>
      </c>
      <c r="H23" s="189">
        <v>0.68874940357172398</v>
      </c>
      <c r="I23" s="189">
        <v>1.0664854997220801</v>
      </c>
      <c r="J23" s="189">
        <v>2.4143221805379</v>
      </c>
      <c r="K23" s="189">
        <v>0.111553890936975</v>
      </c>
      <c r="L23" s="189">
        <v>0.39843890723834302</v>
      </c>
      <c r="M23" s="189">
        <v>1.84639301365438E-2</v>
      </c>
      <c r="N23" s="189">
        <v>2.7169506486324699E-2</v>
      </c>
      <c r="O23" s="189">
        <v>0.68327036742438896</v>
      </c>
      <c r="P23" s="189">
        <v>2.3513976737600202</v>
      </c>
      <c r="Q23" s="189">
        <v>6.7420936001283197E-2</v>
      </c>
      <c r="R23" s="189">
        <v>0.63637960427838802</v>
      </c>
      <c r="S23" s="189">
        <v>6.4507580929779595E-2</v>
      </c>
      <c r="T23" s="189">
        <v>8.8819729102747296</v>
      </c>
      <c r="U23" s="189">
        <v>7.1983259175928902</v>
      </c>
      <c r="V23" s="189">
        <v>0.55235123459783098</v>
      </c>
      <c r="W23" s="189"/>
      <c r="X23" s="90"/>
      <c r="Y23" s="188"/>
      <c r="Z23" s="188"/>
      <c r="AA23" s="188"/>
      <c r="AB23" s="188"/>
      <c r="AC23" s="188"/>
      <c r="AD23" s="190"/>
      <c r="AE23" s="189"/>
    </row>
    <row r="24" spans="1:31" ht="21.25" customHeight="1" x14ac:dyDescent="0.15">
      <c r="A24" s="9" t="s">
        <v>152</v>
      </c>
      <c r="B24" s="186" t="s">
        <v>839</v>
      </c>
      <c r="C24" s="187">
        <v>37</v>
      </c>
      <c r="D24" s="186" t="s">
        <v>815</v>
      </c>
      <c r="E24" s="90">
        <v>80.73</v>
      </c>
      <c r="F24" s="188">
        <v>20.2766159771814</v>
      </c>
      <c r="G24" s="189">
        <v>0.42117243612800398</v>
      </c>
      <c r="H24" s="189">
        <v>0.63606388588971596</v>
      </c>
      <c r="I24" s="189">
        <v>1.0572363220177201</v>
      </c>
      <c r="J24" s="189">
        <v>3.2915658303358999</v>
      </c>
      <c r="K24" s="189">
        <v>0.109550843047321</v>
      </c>
      <c r="L24" s="189">
        <v>0.302221770678473</v>
      </c>
      <c r="M24" s="189">
        <v>3.9328537481406802E-4</v>
      </c>
      <c r="N24" s="189">
        <v>6.7216071751199198E-4</v>
      </c>
      <c r="O24" s="189">
        <v>0.493308252345252</v>
      </c>
      <c r="P24" s="189">
        <v>1.0751398173528199</v>
      </c>
      <c r="Q24" s="189">
        <v>3.91084534926626E-2</v>
      </c>
      <c r="R24" s="189">
        <v>0.47105887114102901</v>
      </c>
      <c r="S24" s="189">
        <v>6.24358242623895E-2</v>
      </c>
      <c r="T24" s="189">
        <v>12.549330371696399</v>
      </c>
      <c r="U24" s="189">
        <v>10.2228147565407</v>
      </c>
      <c r="V24" s="189">
        <v>0.55108248700450302</v>
      </c>
      <c r="W24" s="189"/>
      <c r="X24" s="90"/>
      <c r="Y24" s="188"/>
      <c r="Z24" s="188"/>
      <c r="AA24" s="188"/>
      <c r="AB24" s="188"/>
      <c r="AC24" s="188"/>
      <c r="AD24" s="190"/>
      <c r="AE24" s="189"/>
    </row>
    <row r="25" spans="1:31" ht="21.25" customHeight="1" x14ac:dyDescent="0.15">
      <c r="A25" s="9" t="s">
        <v>203</v>
      </c>
      <c r="B25" s="186" t="s">
        <v>848</v>
      </c>
      <c r="C25" s="187">
        <v>25</v>
      </c>
      <c r="D25" s="186" t="s">
        <v>815</v>
      </c>
      <c r="E25" s="90">
        <v>79.792500000000004</v>
      </c>
      <c r="F25" s="188">
        <v>20.891723649905401</v>
      </c>
      <c r="G25" s="189">
        <v>0.31983237043560098</v>
      </c>
      <c r="H25" s="189">
        <v>0.73360910403781698</v>
      </c>
      <c r="I25" s="189">
        <v>1.05344147447342</v>
      </c>
      <c r="J25" s="189">
        <v>2.07148712441102</v>
      </c>
      <c r="K25" s="189">
        <v>9.7366365207445807E-2</v>
      </c>
      <c r="L25" s="189">
        <v>0.34583872147875899</v>
      </c>
      <c r="M25" s="189">
        <v>1.4498291789515901E-2</v>
      </c>
      <c r="N25" s="189">
        <v>2.72324989922198E-2</v>
      </c>
      <c r="O25" s="189">
        <v>0.527772597955244</v>
      </c>
      <c r="P25" s="189">
        <v>0.28138271594859798</v>
      </c>
      <c r="Q25" s="189">
        <v>-1.5549765984143401E-2</v>
      </c>
      <c r="R25" s="189">
        <v>0.40017830372366198</v>
      </c>
      <c r="S25" s="189">
        <v>3.8505928260762101E-2</v>
      </c>
      <c r="T25" s="189">
        <v>10.185559734647301</v>
      </c>
      <c r="U25" s="189">
        <v>9.2794456697077496</v>
      </c>
      <c r="V25" s="189">
        <v>0.52327546399593805</v>
      </c>
      <c r="W25" s="189"/>
      <c r="X25" s="90"/>
      <c r="Y25" s="188"/>
      <c r="Z25" s="188"/>
      <c r="AA25" s="188"/>
      <c r="AB25" s="188"/>
      <c r="AC25" s="188"/>
      <c r="AD25" s="190"/>
      <c r="AE25" s="189"/>
    </row>
    <row r="26" spans="1:31" ht="21.25" customHeight="1" x14ac:dyDescent="0.15">
      <c r="A26" s="9" t="s">
        <v>164</v>
      </c>
      <c r="B26" s="186" t="s">
        <v>829</v>
      </c>
      <c r="C26" s="187">
        <v>26</v>
      </c>
      <c r="D26" s="186" t="s">
        <v>866</v>
      </c>
      <c r="E26" s="90">
        <v>81.430000000000007</v>
      </c>
      <c r="F26" s="188">
        <v>19.6709605173006</v>
      </c>
      <c r="G26" s="189">
        <v>0.38093587659005101</v>
      </c>
      <c r="H26" s="189">
        <v>0.670859941701899</v>
      </c>
      <c r="I26" s="189">
        <v>1.05179581829195</v>
      </c>
      <c r="J26" s="189">
        <v>2.98818551357075</v>
      </c>
      <c r="K26" s="189">
        <v>9.4787930045307806E-2</v>
      </c>
      <c r="L26" s="189">
        <v>0.34801487800553699</v>
      </c>
      <c r="M26" s="189">
        <v>2.2225979205864302E-3</v>
      </c>
      <c r="N26" s="189">
        <v>1.34476517872153E-2</v>
      </c>
      <c r="O26" s="189">
        <v>0.40590076989313301</v>
      </c>
      <c r="P26" s="189">
        <v>0.68409664008365001</v>
      </c>
      <c r="Q26" s="189">
        <v>8.2756201950129393E-2</v>
      </c>
      <c r="R26" s="189">
        <v>0.21177447351829601</v>
      </c>
      <c r="S26" s="189">
        <v>5.7474203624027199E-2</v>
      </c>
      <c r="T26" s="189">
        <v>3.3631790787580197E-2</v>
      </c>
      <c r="U26" s="189">
        <v>0.17338148769682701</v>
      </c>
      <c r="V26" s="189">
        <v>0.16246199777041601</v>
      </c>
      <c r="W26" s="189"/>
      <c r="X26" s="90"/>
      <c r="Y26" s="188"/>
      <c r="Z26" s="188"/>
      <c r="AA26" s="188"/>
      <c r="AB26" s="188"/>
      <c r="AC26" s="188"/>
      <c r="AD26" s="190"/>
      <c r="AE26" s="189"/>
    </row>
    <row r="27" spans="1:31" ht="21.25" customHeight="1" x14ac:dyDescent="0.15">
      <c r="A27" s="9" t="s">
        <v>156</v>
      </c>
      <c r="B27" s="186" t="s">
        <v>827</v>
      </c>
      <c r="C27" s="187">
        <v>29</v>
      </c>
      <c r="D27" s="186" t="s">
        <v>816</v>
      </c>
      <c r="E27" s="90">
        <v>78.217500000000001</v>
      </c>
      <c r="F27" s="188">
        <v>20.0957448838519</v>
      </c>
      <c r="G27" s="189">
        <v>0.45031711856971501</v>
      </c>
      <c r="H27" s="189">
        <v>0.59533475421368298</v>
      </c>
      <c r="I27" s="189">
        <v>1.0456518727834001</v>
      </c>
      <c r="J27" s="189">
        <v>3.42508633906135</v>
      </c>
      <c r="K27" s="189">
        <v>9.9082700311381694E-2</v>
      </c>
      <c r="L27" s="189">
        <v>0.29604497661409301</v>
      </c>
      <c r="M27" s="189">
        <v>2.6174358462234E-4</v>
      </c>
      <c r="N27" s="189">
        <v>4.4360524427628E-4</v>
      </c>
      <c r="O27" s="189">
        <v>0.47794203618685999</v>
      </c>
      <c r="P27" s="189">
        <v>0.837154698937428</v>
      </c>
      <c r="Q27" s="189">
        <v>2.8952570272004E-2</v>
      </c>
      <c r="R27" s="189">
        <v>0.49046665069841899</v>
      </c>
      <c r="S27" s="189">
        <v>7.0952695607257504E-2</v>
      </c>
      <c r="T27" s="189">
        <v>0.132340797240483</v>
      </c>
      <c r="U27" s="189">
        <v>0.186940766655111</v>
      </c>
      <c r="V27" s="189">
        <v>0.414495580721218</v>
      </c>
      <c r="W27" s="189"/>
      <c r="X27" s="90"/>
      <c r="Y27" s="188"/>
      <c r="Z27" s="188"/>
      <c r="AA27" s="188"/>
      <c r="AB27" s="188"/>
      <c r="AC27" s="188"/>
      <c r="AD27" s="190"/>
      <c r="AE27" s="189"/>
    </row>
    <row r="28" spans="1:31" ht="21.25" customHeight="1" x14ac:dyDescent="0.15">
      <c r="A28" s="9" t="s">
        <v>183</v>
      </c>
      <c r="B28" s="186" t="s">
        <v>849</v>
      </c>
      <c r="C28" s="187">
        <v>27</v>
      </c>
      <c r="D28" s="186" t="s">
        <v>815</v>
      </c>
      <c r="E28" s="90">
        <v>80.057500000000005</v>
      </c>
      <c r="F28" s="188">
        <v>19.766526020526999</v>
      </c>
      <c r="G28" s="189">
        <v>0.46083269813865102</v>
      </c>
      <c r="H28" s="189">
        <v>0.58365269612847304</v>
      </c>
      <c r="I28" s="189">
        <v>1.0444853942671199</v>
      </c>
      <c r="J28" s="189">
        <v>2.8483099848624098</v>
      </c>
      <c r="K28" s="189">
        <v>0.125235076096122</v>
      </c>
      <c r="L28" s="189">
        <v>0.32005785759532601</v>
      </c>
      <c r="M28" s="189">
        <v>1.8948787387518502E-2</v>
      </c>
      <c r="N28" s="189">
        <v>3.3343324378833902E-2</v>
      </c>
      <c r="O28" s="189">
        <v>0.28575295445509802</v>
      </c>
      <c r="P28" s="189">
        <v>0.69978761420659596</v>
      </c>
      <c r="Q28" s="189">
        <v>9.6072877868308801E-2</v>
      </c>
      <c r="R28" s="189">
        <v>0.509441986055298</v>
      </c>
      <c r="S28" s="189">
        <v>7.9855664220645106E-2</v>
      </c>
      <c r="T28" s="189">
        <v>7.2504961931934897</v>
      </c>
      <c r="U28" s="189">
        <v>6.4742870030460598</v>
      </c>
      <c r="V28" s="189">
        <v>0.52827764850814196</v>
      </c>
      <c r="W28" s="189"/>
      <c r="X28" s="90"/>
      <c r="Y28" s="188"/>
      <c r="Z28" s="188"/>
      <c r="AA28" s="188"/>
      <c r="AB28" s="188"/>
      <c r="AC28" s="188"/>
      <c r="AD28" s="190"/>
      <c r="AE28" s="189"/>
    </row>
    <row r="29" spans="1:31" ht="21.25" customHeight="1" x14ac:dyDescent="0.15">
      <c r="A29" s="9" t="s">
        <v>165</v>
      </c>
      <c r="B29" s="186" t="s">
        <v>841</v>
      </c>
      <c r="C29" s="187">
        <v>27</v>
      </c>
      <c r="D29" s="186" t="s">
        <v>815</v>
      </c>
      <c r="E29" s="90">
        <v>71.795000000000002</v>
      </c>
      <c r="F29" s="188">
        <v>20.838575743616101</v>
      </c>
      <c r="G29" s="189">
        <v>0.44852250642545699</v>
      </c>
      <c r="H29" s="189">
        <v>0.57877793208797601</v>
      </c>
      <c r="I29" s="189">
        <v>1.0273004385134299</v>
      </c>
      <c r="J29" s="189">
        <v>4.1141753843366597</v>
      </c>
      <c r="K29" s="189">
        <v>0.12457666258439</v>
      </c>
      <c r="L29" s="189">
        <v>0.31359273749571898</v>
      </c>
      <c r="M29" s="189">
        <v>3.1154912422924901E-3</v>
      </c>
      <c r="N29" s="189">
        <v>2.83794905927022E-2</v>
      </c>
      <c r="O29" s="189">
        <v>0.94052944531147697</v>
      </c>
      <c r="P29" s="189">
        <v>0.63708472318992604</v>
      </c>
      <c r="Q29" s="189">
        <v>4.99852904116471E-2</v>
      </c>
      <c r="R29" s="189">
        <v>0.28847930743070499</v>
      </c>
      <c r="S29" s="189">
        <v>6.8220851354883594E-2</v>
      </c>
      <c r="T29" s="189">
        <v>6.5084899078531304</v>
      </c>
      <c r="U29" s="189">
        <v>7.6973960797079899</v>
      </c>
      <c r="V29" s="189">
        <v>0.45815445186256298</v>
      </c>
      <c r="W29" s="189"/>
      <c r="X29" s="90"/>
      <c r="Y29" s="188"/>
      <c r="Z29" s="188"/>
      <c r="AA29" s="188"/>
      <c r="AB29" s="188"/>
      <c r="AC29" s="188"/>
      <c r="AD29" s="190"/>
      <c r="AE29" s="189"/>
    </row>
    <row r="30" spans="1:31" ht="21.25" customHeight="1" x14ac:dyDescent="0.15">
      <c r="A30" s="9" t="s">
        <v>144</v>
      </c>
      <c r="B30" s="186" t="s">
        <v>835</v>
      </c>
      <c r="C30" s="187">
        <v>24</v>
      </c>
      <c r="D30" s="186" t="s">
        <v>818</v>
      </c>
      <c r="E30" s="90">
        <v>80.88</v>
      </c>
      <c r="F30" s="188">
        <v>24.403279674747299</v>
      </c>
      <c r="G30" s="189">
        <v>0.153278548817956</v>
      </c>
      <c r="H30" s="189">
        <v>0.86209259077786105</v>
      </c>
      <c r="I30" s="189">
        <v>1.01537113959582</v>
      </c>
      <c r="J30" s="189">
        <v>2.2300939272585198</v>
      </c>
      <c r="K30" s="189">
        <v>3.7297846894682699E-2</v>
      </c>
      <c r="L30" s="189">
        <v>0.42692803686865199</v>
      </c>
      <c r="M30" s="189">
        <v>1.58999499985718E-4</v>
      </c>
      <c r="N30" s="189">
        <v>3.4513198205188699E-3</v>
      </c>
      <c r="O30" s="189">
        <v>0.89034826638791498</v>
      </c>
      <c r="P30" s="189">
        <v>0.47783528902554301</v>
      </c>
      <c r="Q30" s="189">
        <v>0.112440172823251</v>
      </c>
      <c r="R30" s="189">
        <v>0.457152733649764</v>
      </c>
      <c r="S30" s="189">
        <v>2.61760220784878E-2</v>
      </c>
      <c r="T30" s="189">
        <v>6.1234228853903E-4</v>
      </c>
      <c r="U30" s="189">
        <v>1.1626310846430299E-3</v>
      </c>
      <c r="V30" s="189">
        <v>0.34498674616242903</v>
      </c>
      <c r="W30" s="189"/>
      <c r="X30" s="90"/>
      <c r="Y30" s="188"/>
      <c r="Z30" s="188"/>
      <c r="AA30" s="188"/>
      <c r="AB30" s="188"/>
      <c r="AC30" s="188"/>
      <c r="AD30" s="190"/>
      <c r="AE30" s="189"/>
    </row>
    <row r="31" spans="1:31" ht="21.25" customHeight="1" x14ac:dyDescent="0.15">
      <c r="A31" s="9" t="s">
        <v>186</v>
      </c>
      <c r="B31" s="186" t="s">
        <v>840</v>
      </c>
      <c r="C31" s="187">
        <v>22</v>
      </c>
      <c r="D31" s="186" t="s">
        <v>865</v>
      </c>
      <c r="E31" s="90">
        <v>79.9375</v>
      </c>
      <c r="F31" s="188">
        <v>20.649562578545201</v>
      </c>
      <c r="G31" s="189">
        <v>0.36428770662606202</v>
      </c>
      <c r="H31" s="189">
        <v>0.64464504598464301</v>
      </c>
      <c r="I31" s="189">
        <v>1.0089327526107099</v>
      </c>
      <c r="J31" s="189">
        <v>2.62070804209324</v>
      </c>
      <c r="K31" s="189">
        <v>5.98737217803159E-2</v>
      </c>
      <c r="L31" s="189">
        <v>0.26608132372774101</v>
      </c>
      <c r="M31" s="189">
        <v>1.18322228429879E-2</v>
      </c>
      <c r="N31" s="189">
        <v>1.2580855897654701E-2</v>
      </c>
      <c r="O31" s="189">
        <v>0.58112129001283197</v>
      </c>
      <c r="P31" s="189">
        <v>1.3352668680464901</v>
      </c>
      <c r="Q31" s="189">
        <v>-1.43476376661709E-2</v>
      </c>
      <c r="R31" s="189">
        <v>0.511529566940092</v>
      </c>
      <c r="S31" s="189">
        <v>5.6560853639222301E-2</v>
      </c>
      <c r="T31" s="189">
        <v>2.8248214735815398</v>
      </c>
      <c r="U31" s="189">
        <v>3.7597255733333701</v>
      </c>
      <c r="V31" s="189">
        <v>0.42900771358374201</v>
      </c>
      <c r="W31" s="189"/>
      <c r="X31" s="90"/>
      <c r="Y31" s="188"/>
      <c r="Z31" s="188"/>
      <c r="AA31" s="188"/>
      <c r="AB31" s="188"/>
      <c r="AC31" s="188"/>
      <c r="AD31" s="190"/>
      <c r="AE31" s="189"/>
    </row>
    <row r="32" spans="1:31" ht="21.25" customHeight="1" x14ac:dyDescent="0.15">
      <c r="A32" s="9" t="s">
        <v>154</v>
      </c>
      <c r="B32" s="186" t="s">
        <v>834</v>
      </c>
      <c r="C32" s="187">
        <v>26</v>
      </c>
      <c r="D32" s="186" t="s">
        <v>867</v>
      </c>
      <c r="E32" s="90">
        <v>79.127499999999998</v>
      </c>
      <c r="F32" s="188">
        <v>19.0226303620571</v>
      </c>
      <c r="G32" s="189">
        <v>0.50505902967242799</v>
      </c>
      <c r="H32" s="189">
        <v>0.50195836765503299</v>
      </c>
      <c r="I32" s="189">
        <v>1.0070173973274601</v>
      </c>
      <c r="J32" s="189">
        <v>3.6823712190217601</v>
      </c>
      <c r="K32" s="189">
        <v>0.18839301740082001</v>
      </c>
      <c r="L32" s="189">
        <v>0.33596209413435202</v>
      </c>
      <c r="M32" s="189">
        <v>7.28391599784773E-3</v>
      </c>
      <c r="N32" s="189">
        <v>7.8584790397829597E-3</v>
      </c>
      <c r="O32" s="189">
        <v>0.40274669982251499</v>
      </c>
      <c r="P32" s="189">
        <v>1.0095310938667501</v>
      </c>
      <c r="Q32" s="189">
        <v>1.1948364330378099E-2</v>
      </c>
      <c r="R32" s="189">
        <v>0.47272802117187102</v>
      </c>
      <c r="S32" s="189">
        <v>7.1443345183822393E-2</v>
      </c>
      <c r="T32" s="189">
        <v>5.29569315088923</v>
      </c>
      <c r="U32" s="189">
        <v>7.1737174846251204</v>
      </c>
      <c r="V32" s="189">
        <v>0.42469474345535402</v>
      </c>
      <c r="W32" s="189"/>
      <c r="X32" s="90"/>
      <c r="Y32" s="188"/>
      <c r="Z32" s="188"/>
      <c r="AA32" s="188"/>
      <c r="AB32" s="188"/>
      <c r="AC32" s="188"/>
      <c r="AD32" s="190"/>
      <c r="AE32" s="189"/>
    </row>
    <row r="33" spans="1:31" ht="21.25" customHeight="1" x14ac:dyDescent="0.15">
      <c r="A33" s="9" t="s">
        <v>160</v>
      </c>
      <c r="B33" s="186" t="s">
        <v>836</v>
      </c>
      <c r="C33" s="187">
        <v>27</v>
      </c>
      <c r="D33" s="186" t="s">
        <v>867</v>
      </c>
      <c r="E33" s="90">
        <v>77.474999999999994</v>
      </c>
      <c r="F33" s="188">
        <v>20.438819014693301</v>
      </c>
      <c r="G33" s="189">
        <v>0.29739333680192997</v>
      </c>
      <c r="H33" s="189">
        <v>0.70746832402309001</v>
      </c>
      <c r="I33" s="189">
        <v>1.00486166082502</v>
      </c>
      <c r="J33" s="189">
        <v>2.9331102491015399</v>
      </c>
      <c r="K33" s="189">
        <v>6.2839657343177702E-2</v>
      </c>
      <c r="L33" s="189">
        <v>0.31790416365665702</v>
      </c>
      <c r="M33" s="189">
        <v>2.0348050067394501E-4</v>
      </c>
      <c r="N33" s="189">
        <v>3.4561876880021198E-4</v>
      </c>
      <c r="O33" s="189">
        <v>0.61606401975728298</v>
      </c>
      <c r="P33" s="189">
        <v>0.64740334772410602</v>
      </c>
      <c r="Q33" s="189">
        <v>4.9544234551512897E-2</v>
      </c>
      <c r="R33" s="189">
        <v>0.417012734072919</v>
      </c>
      <c r="S33" s="189">
        <v>4.67380210558151E-2</v>
      </c>
      <c r="T33" s="189">
        <v>1.1274899316785101</v>
      </c>
      <c r="U33" s="189">
        <v>1.5728703017293499</v>
      </c>
      <c r="V33" s="189">
        <v>0.41753315640247601</v>
      </c>
      <c r="W33" s="189"/>
      <c r="X33" s="90"/>
      <c r="Y33" s="188"/>
      <c r="Z33" s="188"/>
      <c r="AA33" s="188"/>
      <c r="AB33" s="188"/>
      <c r="AC33" s="188"/>
      <c r="AD33" s="190"/>
      <c r="AE33" s="189"/>
    </row>
    <row r="34" spans="1:31" ht="21.25" customHeight="1" x14ac:dyDescent="0.15">
      <c r="A34" s="9" t="s">
        <v>158</v>
      </c>
      <c r="B34" s="186" t="s">
        <v>832</v>
      </c>
      <c r="C34" s="187">
        <v>28</v>
      </c>
      <c r="D34" s="186" t="s">
        <v>867</v>
      </c>
      <c r="E34" s="90">
        <v>81.63</v>
      </c>
      <c r="F34" s="188">
        <v>20.158651514531201</v>
      </c>
      <c r="G34" s="189">
        <v>0.51889030771507905</v>
      </c>
      <c r="H34" s="189">
        <v>0.485638355145385</v>
      </c>
      <c r="I34" s="189">
        <v>1.0045286628604599</v>
      </c>
      <c r="J34" s="189">
        <v>2.7715667843930798</v>
      </c>
      <c r="K34" s="189">
        <v>0.221310052919615</v>
      </c>
      <c r="L34" s="189">
        <v>0.33815749029256298</v>
      </c>
      <c r="M34" s="189">
        <v>2.6539686632218399E-2</v>
      </c>
      <c r="N34" s="189">
        <v>4.3144025023769801E-2</v>
      </c>
      <c r="O34" s="189">
        <v>0.72481937764610105</v>
      </c>
      <c r="P34" s="189">
        <v>0.84069561183993402</v>
      </c>
      <c r="Q34" s="189">
        <v>2.87250540221623E-2</v>
      </c>
      <c r="R34" s="189">
        <v>0.31436199200586201</v>
      </c>
      <c r="S34" s="189">
        <v>8.8399050787474398E-2</v>
      </c>
      <c r="T34" s="189">
        <v>2.9253911795171801</v>
      </c>
      <c r="U34" s="189">
        <v>3.2522449054892602</v>
      </c>
      <c r="V34" s="189">
        <v>0.47354540462772099</v>
      </c>
      <c r="W34" s="189"/>
      <c r="X34" s="90"/>
      <c r="Y34" s="189"/>
      <c r="Z34" s="189"/>
      <c r="AA34" s="189"/>
      <c r="AB34" s="189"/>
      <c r="AC34" s="188"/>
      <c r="AD34" s="190"/>
      <c r="AE34" s="189"/>
    </row>
    <row r="35" spans="1:31" ht="21.25" customHeight="1" x14ac:dyDescent="0.15">
      <c r="A35" s="9" t="s">
        <v>175</v>
      </c>
      <c r="B35" s="186" t="s">
        <v>851</v>
      </c>
      <c r="C35" s="187">
        <v>26</v>
      </c>
      <c r="D35" s="186" t="s">
        <v>866</v>
      </c>
      <c r="E35" s="90">
        <v>79.819999999999993</v>
      </c>
      <c r="F35" s="188">
        <v>19.329478387051701</v>
      </c>
      <c r="G35" s="189">
        <v>0.42250733725818701</v>
      </c>
      <c r="H35" s="189">
        <v>0.57415626042040802</v>
      </c>
      <c r="I35" s="189">
        <v>0.99666359767859503</v>
      </c>
      <c r="J35" s="189">
        <v>2.8302890769603199</v>
      </c>
      <c r="K35" s="189">
        <v>0.107398021727999</v>
      </c>
      <c r="L35" s="189">
        <v>0.328179534073684</v>
      </c>
      <c r="M35" s="189">
        <v>3.27675520148334E-4</v>
      </c>
      <c r="N35" s="189">
        <v>4.7392902560350201E-4</v>
      </c>
      <c r="O35" s="189">
        <v>0.39447949822917699</v>
      </c>
      <c r="P35" s="189">
        <v>0.31333357222992098</v>
      </c>
      <c r="Q35" s="189">
        <v>-1.0620561207853299E-2</v>
      </c>
      <c r="R35" s="189">
        <v>0.44506869255211401</v>
      </c>
      <c r="S35" s="189">
        <v>6.1825242132593501E-2</v>
      </c>
      <c r="T35" s="189">
        <v>0.343354600967884</v>
      </c>
      <c r="U35" s="189">
        <v>0.49154502275122303</v>
      </c>
      <c r="V35" s="189">
        <v>0.41125255205936201</v>
      </c>
      <c r="W35" s="189"/>
      <c r="X35" s="90"/>
      <c r="Y35" s="188"/>
      <c r="Z35" s="188"/>
      <c r="AA35" s="188"/>
      <c r="AB35" s="188"/>
      <c r="AC35" s="188"/>
      <c r="AD35" s="190"/>
      <c r="AE35" s="189"/>
    </row>
    <row r="36" spans="1:31" ht="21.25" customHeight="1" x14ac:dyDescent="0.15">
      <c r="A36" s="9" t="s">
        <v>187</v>
      </c>
      <c r="B36" s="186" t="s">
        <v>842</v>
      </c>
      <c r="C36" s="187">
        <v>28</v>
      </c>
      <c r="D36" s="186" t="s">
        <v>815</v>
      </c>
      <c r="E36" s="90">
        <v>78.17</v>
      </c>
      <c r="F36" s="188">
        <v>20.131338092575401</v>
      </c>
      <c r="G36" s="189">
        <v>0.43578360756080098</v>
      </c>
      <c r="H36" s="189">
        <v>0.55820412005040199</v>
      </c>
      <c r="I36" s="189">
        <v>0.99398772761120302</v>
      </c>
      <c r="J36" s="189">
        <v>3.1507010814829401</v>
      </c>
      <c r="K36" s="189">
        <v>0.16303208247018999</v>
      </c>
      <c r="L36" s="189">
        <v>0.31297466397767498</v>
      </c>
      <c r="M36" s="189">
        <v>9.3821649577638302E-3</v>
      </c>
      <c r="N36" s="189">
        <v>1.21020998174929E-2</v>
      </c>
      <c r="O36" s="189">
        <v>0.466623561127949</v>
      </c>
      <c r="P36" s="189">
        <v>0.69517369253275596</v>
      </c>
      <c r="Q36" s="189">
        <v>-2.8394038833733402E-2</v>
      </c>
      <c r="R36" s="189">
        <v>0.48571562882867098</v>
      </c>
      <c r="S36" s="189">
        <v>5.9851682080541702E-2</v>
      </c>
      <c r="T36" s="189">
        <v>10.039750386170599</v>
      </c>
      <c r="U36" s="189">
        <v>8.4523883800615494</v>
      </c>
      <c r="V36" s="189">
        <v>0.54291991386652405</v>
      </c>
      <c r="W36" s="189"/>
      <c r="X36" s="90"/>
      <c r="Y36" s="188"/>
      <c r="Z36" s="188"/>
      <c r="AA36" s="188"/>
      <c r="AB36" s="188"/>
      <c r="AC36" s="188"/>
      <c r="AD36" s="190"/>
      <c r="AE36" s="189"/>
    </row>
    <row r="37" spans="1:31" ht="21.25" customHeight="1" x14ac:dyDescent="0.15">
      <c r="A37" s="9" t="s">
        <v>198</v>
      </c>
      <c r="B37" s="186" t="s">
        <v>829</v>
      </c>
      <c r="C37" s="187">
        <v>25</v>
      </c>
      <c r="D37" s="186" t="s">
        <v>815</v>
      </c>
      <c r="E37" s="90">
        <v>78.739999999999995</v>
      </c>
      <c r="F37" s="188">
        <v>19.884926992199802</v>
      </c>
      <c r="G37" s="189">
        <v>0.384916091982554</v>
      </c>
      <c r="H37" s="189">
        <v>0.60352218166753802</v>
      </c>
      <c r="I37" s="189">
        <v>0.98843827365009196</v>
      </c>
      <c r="J37" s="189">
        <v>2.7574351946070998</v>
      </c>
      <c r="K37" s="189">
        <v>9.75197350272346E-2</v>
      </c>
      <c r="L37" s="189">
        <v>0.26436048996911898</v>
      </c>
      <c r="M37" s="189">
        <v>1.7277862108645601E-2</v>
      </c>
      <c r="N37" s="189">
        <v>2.6050791848828799E-2</v>
      </c>
      <c r="O37" s="189">
        <v>0.63553621626694501</v>
      </c>
      <c r="P37" s="189">
        <v>0.59773356712950698</v>
      </c>
      <c r="Q37" s="189">
        <v>6.3739895237009403E-2</v>
      </c>
      <c r="R37" s="189">
        <v>0.23592966097535201</v>
      </c>
      <c r="S37" s="189">
        <v>5.807472387952E-2</v>
      </c>
      <c r="T37" s="189">
        <v>11.023994142723501</v>
      </c>
      <c r="U37" s="189">
        <v>9.1878380132051696</v>
      </c>
      <c r="V37" s="189">
        <v>0.54542280272646504</v>
      </c>
      <c r="W37" s="189"/>
      <c r="X37" s="90"/>
      <c r="Y37" s="188"/>
      <c r="Z37" s="188"/>
      <c r="AA37" s="188"/>
      <c r="AB37" s="188"/>
      <c r="AC37" s="188"/>
      <c r="AD37" s="190"/>
      <c r="AE37" s="189"/>
    </row>
    <row r="38" spans="1:31" ht="21.25" customHeight="1" x14ac:dyDescent="0.15">
      <c r="A38" s="9" t="s">
        <v>180</v>
      </c>
      <c r="B38" s="186" t="s">
        <v>838</v>
      </c>
      <c r="C38" s="187">
        <v>27</v>
      </c>
      <c r="D38" s="186" t="s">
        <v>816</v>
      </c>
      <c r="E38" s="90">
        <v>78.712500000000006</v>
      </c>
      <c r="F38" s="188">
        <v>19.673294669517901</v>
      </c>
      <c r="G38" s="189">
        <v>0.46716630146478899</v>
      </c>
      <c r="H38" s="189">
        <v>0.51378671985531499</v>
      </c>
      <c r="I38" s="189">
        <v>0.98095302132010398</v>
      </c>
      <c r="J38" s="189">
        <v>3.3759345100701901</v>
      </c>
      <c r="K38" s="189">
        <v>8.08817819561157E-2</v>
      </c>
      <c r="L38" s="189">
        <v>0.29313251529068202</v>
      </c>
      <c r="M38" s="189">
        <v>1.5222249390998001E-3</v>
      </c>
      <c r="N38" s="189">
        <v>1.79127429378022E-3</v>
      </c>
      <c r="O38" s="189">
        <v>0.30714712130587002</v>
      </c>
      <c r="P38" s="189">
        <v>0.37124565397154302</v>
      </c>
      <c r="Q38" s="189">
        <v>8.5773011576477896E-3</v>
      </c>
      <c r="R38" s="189">
        <v>0.19256263800218801</v>
      </c>
      <c r="S38" s="189">
        <v>7.7655446242485895E-2</v>
      </c>
      <c r="T38" s="189">
        <v>2.3324867174137402E-2</v>
      </c>
      <c r="U38" s="189">
        <v>7.67694952187431E-2</v>
      </c>
      <c r="V38" s="189">
        <v>0.233028780208269</v>
      </c>
      <c r="W38" s="189"/>
      <c r="X38" s="90"/>
      <c r="Y38" s="188"/>
      <c r="Z38" s="188"/>
      <c r="AA38" s="188"/>
      <c r="AB38" s="188"/>
      <c r="AC38" s="188"/>
      <c r="AD38" s="190"/>
      <c r="AE38" s="189"/>
    </row>
    <row r="39" spans="1:31" ht="21.25" customHeight="1" x14ac:dyDescent="0.15">
      <c r="A39" s="9" t="s">
        <v>137</v>
      </c>
      <c r="B39" s="186" t="s">
        <v>830</v>
      </c>
      <c r="C39" s="187">
        <v>34</v>
      </c>
      <c r="D39" s="186" t="s">
        <v>818</v>
      </c>
      <c r="E39" s="90">
        <v>79.767499999999998</v>
      </c>
      <c r="F39" s="188">
        <v>24.4388690036265</v>
      </c>
      <c r="G39" s="189">
        <v>0.25558115925928598</v>
      </c>
      <c r="H39" s="189">
        <v>0.71588152382796899</v>
      </c>
      <c r="I39" s="189">
        <v>0.97146268308725503</v>
      </c>
      <c r="J39" s="189">
        <v>3.3165776376518701</v>
      </c>
      <c r="K39" s="189">
        <v>0.11229377142305</v>
      </c>
      <c r="L39" s="189">
        <v>0.38857218115571202</v>
      </c>
      <c r="M39" s="189">
        <v>1.65060977581074E-4</v>
      </c>
      <c r="N39" s="189">
        <v>3.8798724244925101E-3</v>
      </c>
      <c r="O39" s="189">
        <v>1.82369610499146</v>
      </c>
      <c r="P39" s="189">
        <v>0.70115884312271803</v>
      </c>
      <c r="Q39" s="189">
        <v>6.5579386042128707E-2</v>
      </c>
      <c r="R39" s="189">
        <v>0.55570736992145098</v>
      </c>
      <c r="S39" s="189">
        <v>3.61884570843563E-2</v>
      </c>
      <c r="T39" s="189">
        <v>0</v>
      </c>
      <c r="U39" s="189">
        <v>0</v>
      </c>
      <c r="V39" s="189">
        <v>0</v>
      </c>
      <c r="W39" s="189"/>
      <c r="X39" s="90"/>
      <c r="Y39" s="188"/>
      <c r="Z39" s="188"/>
      <c r="AA39" s="188"/>
      <c r="AB39" s="188"/>
      <c r="AC39" s="188"/>
      <c r="AD39" s="190"/>
      <c r="AE39" s="189"/>
    </row>
    <row r="40" spans="1:31" ht="21.25" customHeight="1" x14ac:dyDescent="0.15">
      <c r="A40" s="9" t="s">
        <v>191</v>
      </c>
      <c r="B40" s="186" t="s">
        <v>850</v>
      </c>
      <c r="C40" s="187">
        <v>28</v>
      </c>
      <c r="D40" s="186" t="s">
        <v>816</v>
      </c>
      <c r="E40" s="90">
        <v>80.242500000000007</v>
      </c>
      <c r="F40" s="188">
        <v>17.955755113695101</v>
      </c>
      <c r="G40" s="189">
        <v>0.35554064153065401</v>
      </c>
      <c r="H40" s="189">
        <v>0.598926571865943</v>
      </c>
      <c r="I40" s="189">
        <v>0.95446721339659701</v>
      </c>
      <c r="J40" s="189">
        <v>2.86992697757564</v>
      </c>
      <c r="K40" s="189">
        <v>0.114401433116644</v>
      </c>
      <c r="L40" s="189">
        <v>0.32618689997642197</v>
      </c>
      <c r="M40" s="189">
        <v>2.0146218825813799E-4</v>
      </c>
      <c r="N40" s="189">
        <v>2.5872560457141698E-4</v>
      </c>
      <c r="O40" s="189">
        <v>0.336106852760863</v>
      </c>
      <c r="P40" s="189">
        <v>0.75322292916757305</v>
      </c>
      <c r="Q40" s="189">
        <v>5.8418451317926702E-2</v>
      </c>
      <c r="R40" s="189">
        <v>0.61226317748049697</v>
      </c>
      <c r="S40" s="189">
        <v>6.3361491607858006E-2</v>
      </c>
      <c r="T40" s="189">
        <v>0.13524981737446101</v>
      </c>
      <c r="U40" s="189">
        <v>0.25612327355422998</v>
      </c>
      <c r="V40" s="189">
        <v>0.34557771218640898</v>
      </c>
      <c r="W40" s="189"/>
      <c r="X40" s="90"/>
      <c r="Y40" s="188"/>
      <c r="Z40" s="188"/>
      <c r="AA40" s="188"/>
      <c r="AB40" s="188"/>
      <c r="AC40" s="188"/>
      <c r="AD40" s="190"/>
      <c r="AE40" s="189"/>
    </row>
    <row r="41" spans="1:31" ht="21.25" customHeight="1" x14ac:dyDescent="0.15">
      <c r="A41" s="9" t="s">
        <v>207</v>
      </c>
      <c r="B41" s="186" t="s">
        <v>854</v>
      </c>
      <c r="C41" s="187">
        <v>25</v>
      </c>
      <c r="D41" s="186" t="s">
        <v>815</v>
      </c>
      <c r="E41" s="90">
        <v>82.03</v>
      </c>
      <c r="F41" s="188">
        <v>21.419775751017699</v>
      </c>
      <c r="G41" s="189">
        <v>0.38353867187134999</v>
      </c>
      <c r="H41" s="189">
        <v>0.56156097459076604</v>
      </c>
      <c r="I41" s="189">
        <v>0.94509964646211597</v>
      </c>
      <c r="J41" s="189">
        <v>2.3355970277572502</v>
      </c>
      <c r="K41" s="189">
        <v>0.13013008073523899</v>
      </c>
      <c r="L41" s="189">
        <v>0.33212177286779698</v>
      </c>
      <c r="M41" s="189">
        <v>7.9342381279839998E-3</v>
      </c>
      <c r="N41" s="189">
        <v>1.1909961806243499E-2</v>
      </c>
      <c r="O41" s="189">
        <v>0.61365504941302995</v>
      </c>
      <c r="P41" s="189">
        <v>0.79010610346447696</v>
      </c>
      <c r="Q41" s="189">
        <v>-4.5475740366785498E-2</v>
      </c>
      <c r="R41" s="189">
        <v>0.410087587628295</v>
      </c>
      <c r="S41" s="189">
        <v>4.4452620186061699E-2</v>
      </c>
      <c r="T41" s="189">
        <v>8.2818159980567501</v>
      </c>
      <c r="U41" s="189">
        <v>8.2664006299971096</v>
      </c>
      <c r="V41" s="189">
        <v>0.50046577127935099</v>
      </c>
      <c r="W41" s="189"/>
      <c r="X41" s="90"/>
      <c r="Y41" s="188"/>
      <c r="Z41" s="188"/>
      <c r="AA41" s="188"/>
      <c r="AB41" s="188"/>
      <c r="AC41" s="188"/>
      <c r="AD41" s="190"/>
      <c r="AE41" s="189"/>
    </row>
    <row r="42" spans="1:31" ht="21.25" customHeight="1" x14ac:dyDescent="0.15">
      <c r="A42" s="9" t="s">
        <v>171</v>
      </c>
      <c r="B42" s="186" t="s">
        <v>848</v>
      </c>
      <c r="C42" s="187">
        <v>26</v>
      </c>
      <c r="D42" s="186" t="s">
        <v>867</v>
      </c>
      <c r="E42" s="90">
        <v>80.817499999999995</v>
      </c>
      <c r="F42" s="188">
        <v>18.7253208698856</v>
      </c>
      <c r="G42" s="189">
        <v>0.41834068227474203</v>
      </c>
      <c r="H42" s="189">
        <v>0.51949197668575797</v>
      </c>
      <c r="I42" s="189">
        <v>0.93783265896050005</v>
      </c>
      <c r="J42" s="189">
        <v>3.1634787994855298</v>
      </c>
      <c r="K42" s="189">
        <v>0.11775601877078801</v>
      </c>
      <c r="L42" s="189">
        <v>0.309804642882685</v>
      </c>
      <c r="M42" s="189">
        <v>1.3568731075007499E-5</v>
      </c>
      <c r="N42" s="189">
        <v>2.2902894901537899E-5</v>
      </c>
      <c r="O42" s="189">
        <v>0.411504909810741</v>
      </c>
      <c r="P42" s="189">
        <v>0.34286841540763802</v>
      </c>
      <c r="Q42" s="189">
        <v>-3.5767180989090097E-2</v>
      </c>
      <c r="R42" s="189">
        <v>0.32729933565113301</v>
      </c>
      <c r="S42" s="189">
        <v>5.0365747151515997E-2</v>
      </c>
      <c r="T42" s="189">
        <v>4.86782252317918E-2</v>
      </c>
      <c r="U42" s="189">
        <v>8.8168624812434496E-2</v>
      </c>
      <c r="V42" s="189">
        <v>0.355713158293815</v>
      </c>
      <c r="W42" s="189"/>
      <c r="X42" s="90"/>
      <c r="Y42" s="188"/>
      <c r="Z42" s="188"/>
      <c r="AA42" s="188"/>
      <c r="AB42" s="188"/>
      <c r="AC42" s="188"/>
      <c r="AD42" s="190"/>
      <c r="AE42" s="189"/>
    </row>
    <row r="43" spans="1:31" ht="21.25" customHeight="1" x14ac:dyDescent="0.15">
      <c r="A43" s="9" t="s">
        <v>208</v>
      </c>
      <c r="B43" s="186" t="s">
        <v>824</v>
      </c>
      <c r="C43" s="187">
        <v>31</v>
      </c>
      <c r="D43" s="186" t="s">
        <v>865</v>
      </c>
      <c r="E43" s="90">
        <v>79.775000000000006</v>
      </c>
      <c r="F43" s="188">
        <v>19.827135206989801</v>
      </c>
      <c r="G43" s="189">
        <v>0.282714330882679</v>
      </c>
      <c r="H43" s="189">
        <v>0.65441586463018597</v>
      </c>
      <c r="I43" s="189">
        <v>0.93713019551286503</v>
      </c>
      <c r="J43" s="189">
        <v>2.36865593057099</v>
      </c>
      <c r="K43" s="189">
        <v>8.5381790250476E-2</v>
      </c>
      <c r="L43" s="189">
        <v>0.40852410957483298</v>
      </c>
      <c r="M43" s="189">
        <v>1.06117921112072E-2</v>
      </c>
      <c r="N43" s="189">
        <v>4.3762860147749001E-2</v>
      </c>
      <c r="O43" s="189">
        <v>0.42689082261386502</v>
      </c>
      <c r="P43" s="189">
        <v>0.770701384568662</v>
      </c>
      <c r="Q43" s="189">
        <v>0.109441652767968</v>
      </c>
      <c r="R43" s="189">
        <v>0.43514493151156097</v>
      </c>
      <c r="S43" s="189">
        <v>4.56513411096931E-2</v>
      </c>
      <c r="T43" s="189">
        <v>3.0281101493177101</v>
      </c>
      <c r="U43" s="189">
        <v>3.6189593861209599</v>
      </c>
      <c r="V43" s="189">
        <v>0.45555566000527398</v>
      </c>
      <c r="W43" s="189"/>
      <c r="X43" s="90"/>
      <c r="Y43" s="188"/>
      <c r="Z43" s="188"/>
      <c r="AA43" s="188"/>
      <c r="AB43" s="188"/>
      <c r="AC43" s="188"/>
      <c r="AD43" s="190"/>
      <c r="AE43" s="189"/>
    </row>
    <row r="44" spans="1:31" ht="21.25" customHeight="1" x14ac:dyDescent="0.15">
      <c r="A44" s="9" t="s">
        <v>151</v>
      </c>
      <c r="B44" s="186" t="s">
        <v>831</v>
      </c>
      <c r="C44" s="187">
        <v>26</v>
      </c>
      <c r="D44" s="186" t="s">
        <v>818</v>
      </c>
      <c r="E44" s="90">
        <v>79.855000000000004</v>
      </c>
      <c r="F44" s="188">
        <v>23.618864881548099</v>
      </c>
      <c r="G44" s="189">
        <v>0.174783742060651</v>
      </c>
      <c r="H44" s="189">
        <v>0.75741858905120896</v>
      </c>
      <c r="I44" s="189">
        <v>0.93220233111186002</v>
      </c>
      <c r="J44" s="189">
        <v>1.92822694780421</v>
      </c>
      <c r="K44" s="189">
        <v>4.3038132848544297E-2</v>
      </c>
      <c r="L44" s="189">
        <v>0.41101182444637901</v>
      </c>
      <c r="M44" s="189">
        <v>7.0391475942062397E-3</v>
      </c>
      <c r="N44" s="189">
        <v>1.8547170761311401E-2</v>
      </c>
      <c r="O44" s="189">
        <v>1.65736673931645</v>
      </c>
      <c r="P44" s="189">
        <v>0.68492552885903002</v>
      </c>
      <c r="Q44" s="189">
        <v>7.7425685382839504E-2</v>
      </c>
      <c r="R44" s="189">
        <v>0.45813255342960901</v>
      </c>
      <c r="S44" s="189">
        <v>2.8569854017138602E-2</v>
      </c>
      <c r="T44" s="189">
        <v>0</v>
      </c>
      <c r="U44" s="189">
        <v>0</v>
      </c>
      <c r="V44" s="189">
        <v>0</v>
      </c>
      <c r="W44" s="189"/>
      <c r="X44" s="90"/>
      <c r="Y44" s="188"/>
      <c r="Z44" s="188"/>
      <c r="AA44" s="188"/>
      <c r="AB44" s="188"/>
      <c r="AC44" s="188"/>
      <c r="AD44" s="190"/>
      <c r="AE44" s="189"/>
    </row>
    <row r="45" spans="1:31" ht="21.25" customHeight="1" x14ac:dyDescent="0.15">
      <c r="A45" s="9" t="s">
        <v>168</v>
      </c>
      <c r="B45" s="186" t="s">
        <v>824</v>
      </c>
      <c r="C45" s="187">
        <v>32</v>
      </c>
      <c r="D45" s="186" t="s">
        <v>866</v>
      </c>
      <c r="E45" s="90">
        <v>80.662499999999994</v>
      </c>
      <c r="F45" s="188">
        <v>19.661243025203099</v>
      </c>
      <c r="G45" s="189">
        <v>0.52427421440408195</v>
      </c>
      <c r="H45" s="189">
        <v>0.40716386653638098</v>
      </c>
      <c r="I45" s="189">
        <v>0.93143808094046299</v>
      </c>
      <c r="J45" s="189">
        <v>3.4817840499419299</v>
      </c>
      <c r="K45" s="189">
        <v>0.163744422038169</v>
      </c>
      <c r="L45" s="189">
        <v>0.26176607108691802</v>
      </c>
      <c r="M45" s="189">
        <v>2.3840223273428399E-4</v>
      </c>
      <c r="N45" s="189">
        <v>7.3274166646143798E-4</v>
      </c>
      <c r="O45" s="189">
        <v>0.39890893789570597</v>
      </c>
      <c r="P45" s="189">
        <v>1.03659833568211</v>
      </c>
      <c r="Q45" s="189">
        <v>0.14941927079786599</v>
      </c>
      <c r="R45" s="189">
        <v>0.53471498768731596</v>
      </c>
      <c r="S45" s="189">
        <v>8.4657261349475793E-2</v>
      </c>
      <c r="T45" s="189">
        <v>0.15159535041837199</v>
      </c>
      <c r="U45" s="189">
        <v>0.171010548005184</v>
      </c>
      <c r="V45" s="189">
        <v>0.46990879943347902</v>
      </c>
      <c r="W45" s="189"/>
      <c r="X45" s="90"/>
      <c r="Y45" s="188"/>
      <c r="Z45" s="188"/>
      <c r="AA45" s="188"/>
      <c r="AB45" s="188"/>
      <c r="AC45" s="188"/>
      <c r="AD45" s="190"/>
      <c r="AE45" s="189"/>
    </row>
    <row r="46" spans="1:31" ht="21.25" customHeight="1" x14ac:dyDescent="0.15">
      <c r="A46" s="9" t="s">
        <v>162</v>
      </c>
      <c r="B46" s="186" t="s">
        <v>829</v>
      </c>
      <c r="C46" s="187">
        <v>27</v>
      </c>
      <c r="D46" s="186" t="s">
        <v>866</v>
      </c>
      <c r="E46" s="90">
        <v>78.672499999999999</v>
      </c>
      <c r="F46" s="188">
        <v>18.8015170236282</v>
      </c>
      <c r="G46" s="189">
        <v>0.49473858012078198</v>
      </c>
      <c r="H46" s="189">
        <v>0.43616479508765699</v>
      </c>
      <c r="I46" s="189">
        <v>0.93090337520843902</v>
      </c>
      <c r="J46" s="189">
        <v>3.55706568968436</v>
      </c>
      <c r="K46" s="189">
        <v>0.21803256927123299</v>
      </c>
      <c r="L46" s="189">
        <v>0.35624816347024002</v>
      </c>
      <c r="M46" s="189">
        <v>6.61178649588316E-5</v>
      </c>
      <c r="N46" s="189">
        <v>1.11483775881697E-4</v>
      </c>
      <c r="O46" s="189">
        <v>0.55863314534008901</v>
      </c>
      <c r="P46" s="189">
        <v>1.58222379739772</v>
      </c>
      <c r="Q46" s="189">
        <v>4.0761998422814902E-2</v>
      </c>
      <c r="R46" s="189">
        <v>0.57241291201410605</v>
      </c>
      <c r="S46" s="189">
        <v>7.4644336860726607E-2</v>
      </c>
      <c r="T46" s="189">
        <v>0.488750971341119</v>
      </c>
      <c r="U46" s="189">
        <v>0.63712956605999704</v>
      </c>
      <c r="V46" s="189">
        <v>0.43410553349586201</v>
      </c>
      <c r="W46" s="189"/>
      <c r="X46" s="90"/>
      <c r="Y46" s="188"/>
      <c r="Z46" s="188"/>
      <c r="AA46" s="188"/>
      <c r="AB46" s="188"/>
      <c r="AC46" s="188"/>
      <c r="AD46" s="190"/>
      <c r="AE46" s="189"/>
    </row>
    <row r="47" spans="1:31" ht="21.25" customHeight="1" x14ac:dyDescent="0.15">
      <c r="A47" s="9" t="s">
        <v>211</v>
      </c>
      <c r="B47" s="186" t="s">
        <v>832</v>
      </c>
      <c r="C47" s="187">
        <v>29</v>
      </c>
      <c r="D47" s="186" t="s">
        <v>865</v>
      </c>
      <c r="E47" s="90">
        <v>80.427499999999995</v>
      </c>
      <c r="F47" s="188">
        <v>18.4363587716247</v>
      </c>
      <c r="G47" s="189">
        <v>0.45447187756423602</v>
      </c>
      <c r="H47" s="189">
        <v>0.472127553127621</v>
      </c>
      <c r="I47" s="189">
        <v>0.92659943069185702</v>
      </c>
      <c r="J47" s="189">
        <v>3.2376064265104798</v>
      </c>
      <c r="K47" s="189">
        <v>0.104978542949605</v>
      </c>
      <c r="L47" s="189">
        <v>0.24002410082243</v>
      </c>
      <c r="M47" s="189">
        <v>6.7857340021746501E-5</v>
      </c>
      <c r="N47" s="189">
        <v>1.1454438610174399E-4</v>
      </c>
      <c r="O47" s="189">
        <v>0.323912101227391</v>
      </c>
      <c r="P47" s="189">
        <v>0.69673191158201697</v>
      </c>
      <c r="Q47" s="189">
        <v>9.77077601348013E-2</v>
      </c>
      <c r="R47" s="189">
        <v>0.56035590121081402</v>
      </c>
      <c r="S47" s="189">
        <v>7.7424615547723105E-2</v>
      </c>
      <c r="T47" s="189">
        <v>0.47918570869391303</v>
      </c>
      <c r="U47" s="189">
        <v>0.46837435411512901</v>
      </c>
      <c r="V47" s="189">
        <v>0.50570483867098304</v>
      </c>
      <c r="W47" s="189"/>
      <c r="X47" s="90"/>
      <c r="Y47" s="188"/>
      <c r="Z47" s="188"/>
      <c r="AA47" s="188"/>
      <c r="AB47" s="188"/>
      <c r="AC47" s="188"/>
      <c r="AD47" s="190"/>
      <c r="AE47" s="189"/>
    </row>
    <row r="48" spans="1:31" ht="21.25" customHeight="1" x14ac:dyDescent="0.15">
      <c r="A48" s="9" t="s">
        <v>226</v>
      </c>
      <c r="B48" s="186" t="s">
        <v>848</v>
      </c>
      <c r="C48" s="187">
        <v>29</v>
      </c>
      <c r="D48" s="186" t="s">
        <v>865</v>
      </c>
      <c r="E48" s="90">
        <v>78.162499999999994</v>
      </c>
      <c r="F48" s="188">
        <v>19.871428988604301</v>
      </c>
      <c r="G48" s="189">
        <v>0.37547745515325198</v>
      </c>
      <c r="H48" s="189">
        <v>0.549091710080712</v>
      </c>
      <c r="I48" s="189">
        <v>0.92456916523396404</v>
      </c>
      <c r="J48" s="189">
        <v>2.6021916679953199</v>
      </c>
      <c r="K48" s="189">
        <v>0.120505742127386</v>
      </c>
      <c r="L48" s="189">
        <v>0.286814645563501</v>
      </c>
      <c r="M48" s="189">
        <v>1.43065940532166E-2</v>
      </c>
      <c r="N48" s="189">
        <v>3.1435867955696299E-2</v>
      </c>
      <c r="O48" s="189">
        <v>0.36321092487030998</v>
      </c>
      <c r="P48" s="189">
        <v>0.642999537175585</v>
      </c>
      <c r="Q48" s="189">
        <v>-7.6666813344425204E-3</v>
      </c>
      <c r="R48" s="189">
        <v>0.44521781094076301</v>
      </c>
      <c r="S48" s="189">
        <v>4.5205267784412098E-2</v>
      </c>
      <c r="T48" s="189">
        <v>0.82994396791583103</v>
      </c>
      <c r="U48" s="189">
        <v>1.5968829169555401</v>
      </c>
      <c r="V48" s="189">
        <v>0.34198729752403401</v>
      </c>
      <c r="W48" s="189"/>
      <c r="X48" s="90"/>
      <c r="Y48" s="188"/>
      <c r="Z48" s="188"/>
      <c r="AA48" s="188"/>
      <c r="AB48" s="188"/>
      <c r="AC48" s="188"/>
      <c r="AD48" s="190"/>
      <c r="AE48" s="189"/>
    </row>
    <row r="49" spans="1:31" ht="21.25" customHeight="1" x14ac:dyDescent="0.15">
      <c r="A49" s="9" t="s">
        <v>188</v>
      </c>
      <c r="B49" s="186" t="s">
        <v>831</v>
      </c>
      <c r="C49" s="187">
        <v>31</v>
      </c>
      <c r="D49" s="186" t="s">
        <v>815</v>
      </c>
      <c r="E49" s="90">
        <v>81.752499999999998</v>
      </c>
      <c r="F49" s="188">
        <v>19.7583542392249</v>
      </c>
      <c r="G49" s="189">
        <v>0.350668387978671</v>
      </c>
      <c r="H49" s="189">
        <v>0.57370548091126405</v>
      </c>
      <c r="I49" s="189">
        <v>0.924373868889935</v>
      </c>
      <c r="J49" s="189">
        <v>2.7593381895502298</v>
      </c>
      <c r="K49" s="189">
        <v>0.15329767640122199</v>
      </c>
      <c r="L49" s="189">
        <v>0.36367338273770999</v>
      </c>
      <c r="M49" s="189">
        <v>1.21276068809933E-2</v>
      </c>
      <c r="N49" s="189">
        <v>4.7251787366503803E-2</v>
      </c>
      <c r="O49" s="189">
        <v>0.64373159363232202</v>
      </c>
      <c r="P49" s="189">
        <v>0.72899331731965</v>
      </c>
      <c r="Q49" s="189">
        <v>5.5041242776164803E-2</v>
      </c>
      <c r="R49" s="189">
        <v>0.26804650657066198</v>
      </c>
      <c r="S49" s="189">
        <v>5.7319659911500502E-2</v>
      </c>
      <c r="T49" s="189">
        <v>7.3238931400771099</v>
      </c>
      <c r="U49" s="189">
        <v>7.2985339290008904</v>
      </c>
      <c r="V49" s="189">
        <v>0.50086713412747497</v>
      </c>
      <c r="W49" s="189"/>
      <c r="X49" s="90"/>
      <c r="Y49" s="188"/>
      <c r="Z49" s="188"/>
      <c r="AA49" s="188"/>
      <c r="AB49" s="188"/>
      <c r="AC49" s="188"/>
      <c r="AD49" s="190"/>
      <c r="AE49" s="189"/>
    </row>
    <row r="50" spans="1:31" ht="21.25" customHeight="1" x14ac:dyDescent="0.15">
      <c r="A50" s="9" t="s">
        <v>218</v>
      </c>
      <c r="B50" s="186" t="s">
        <v>849</v>
      </c>
      <c r="C50" s="187">
        <v>24</v>
      </c>
      <c r="D50" s="186" t="s">
        <v>866</v>
      </c>
      <c r="E50" s="90">
        <v>75.072500000000005</v>
      </c>
      <c r="F50" s="188">
        <v>17.967213548338801</v>
      </c>
      <c r="G50" s="189">
        <v>0.36632157022573603</v>
      </c>
      <c r="H50" s="189">
        <v>0.557129995511775</v>
      </c>
      <c r="I50" s="189">
        <v>0.92345156573751097</v>
      </c>
      <c r="J50" s="189">
        <v>2.8650491173245398</v>
      </c>
      <c r="K50" s="189">
        <v>8.7393993885420906E-2</v>
      </c>
      <c r="L50" s="189">
        <v>0.28763874907533898</v>
      </c>
      <c r="M50" s="189">
        <v>1.42280648101835E-4</v>
      </c>
      <c r="N50" s="189">
        <v>2.3924412845772501E-4</v>
      </c>
      <c r="O50" s="189">
        <v>0.35646646655210001</v>
      </c>
      <c r="P50" s="189">
        <v>2.1559121747341301</v>
      </c>
      <c r="Q50" s="189">
        <v>8.8078923354490996E-2</v>
      </c>
      <c r="R50" s="189">
        <v>0.88179265740923596</v>
      </c>
      <c r="S50" s="189">
        <v>6.3478248021203804E-2</v>
      </c>
      <c r="T50" s="189">
        <v>4.4249755273468097E-2</v>
      </c>
      <c r="U50" s="189">
        <v>8.7160040968183694E-2</v>
      </c>
      <c r="V50" s="189">
        <v>0.33673102416273798</v>
      </c>
      <c r="W50" s="189"/>
      <c r="X50" s="90"/>
      <c r="Y50" s="188"/>
      <c r="Z50" s="188"/>
      <c r="AA50" s="188"/>
      <c r="AB50" s="188"/>
      <c r="AC50" s="188"/>
      <c r="AD50" s="190"/>
      <c r="AE50" s="189"/>
    </row>
    <row r="51" spans="1:31" ht="21.25" customHeight="1" x14ac:dyDescent="0.15">
      <c r="A51" s="9" t="s">
        <v>195</v>
      </c>
      <c r="B51" s="186" t="s">
        <v>834</v>
      </c>
      <c r="C51" s="187">
        <v>28</v>
      </c>
      <c r="D51" s="186" t="s">
        <v>817</v>
      </c>
      <c r="E51" s="90">
        <v>76.487499999999997</v>
      </c>
      <c r="F51" s="188">
        <v>19.886386341682002</v>
      </c>
      <c r="G51" s="189">
        <v>0.36378339704325102</v>
      </c>
      <c r="H51" s="189">
        <v>0.55591426437036795</v>
      </c>
      <c r="I51" s="189">
        <v>0.91969766141361897</v>
      </c>
      <c r="J51" s="189">
        <v>2.75348526293544</v>
      </c>
      <c r="K51" s="189">
        <v>6.6424148744187395E-2</v>
      </c>
      <c r="L51" s="189">
        <v>0.21888714244222601</v>
      </c>
      <c r="M51" s="189">
        <v>1.3584029944632099E-2</v>
      </c>
      <c r="N51" s="189">
        <v>1.47411298199593E-2</v>
      </c>
      <c r="O51" s="189">
        <v>0.92372950406496002</v>
      </c>
      <c r="P51" s="189">
        <v>0.89912505884157901</v>
      </c>
      <c r="Q51" s="189">
        <v>1.34105601112855E-2</v>
      </c>
      <c r="R51" s="189">
        <v>0.45548670127845398</v>
      </c>
      <c r="S51" s="189">
        <v>5.1459138992052199E-2</v>
      </c>
      <c r="T51" s="189">
        <v>0.52305086735899098</v>
      </c>
      <c r="U51" s="189">
        <v>0.75772582963678603</v>
      </c>
      <c r="V51" s="189">
        <v>0.40838568392591201</v>
      </c>
      <c r="W51" s="189"/>
      <c r="X51" s="90"/>
      <c r="Y51" s="188"/>
      <c r="Z51" s="188"/>
      <c r="AA51" s="188"/>
      <c r="AB51" s="188"/>
      <c r="AC51" s="188"/>
      <c r="AD51" s="190"/>
      <c r="AE51" s="189"/>
    </row>
    <row r="52" spans="1:31" ht="21.25" customHeight="1" x14ac:dyDescent="0.15">
      <c r="A52" s="9" t="s">
        <v>161</v>
      </c>
      <c r="B52" s="186" t="s">
        <v>840</v>
      </c>
      <c r="C52" s="187">
        <v>24</v>
      </c>
      <c r="D52" s="186" t="s">
        <v>865</v>
      </c>
      <c r="E52" s="90">
        <v>81.552499999999995</v>
      </c>
      <c r="F52" s="188">
        <v>18.6435907241008</v>
      </c>
      <c r="G52" s="189">
        <v>0.41961474074133898</v>
      </c>
      <c r="H52" s="189">
        <v>0.49798572031252603</v>
      </c>
      <c r="I52" s="189">
        <v>0.91760046105386495</v>
      </c>
      <c r="J52" s="189">
        <v>4.0218054932268403</v>
      </c>
      <c r="K52" s="189">
        <v>0.11074262505721</v>
      </c>
      <c r="L52" s="189">
        <v>0.236681978613691</v>
      </c>
      <c r="M52" s="189">
        <v>2.19615794501967E-4</v>
      </c>
      <c r="N52" s="189">
        <v>3.7040501183133699E-4</v>
      </c>
      <c r="O52" s="189">
        <v>0.35044264805988501</v>
      </c>
      <c r="P52" s="189">
        <v>3.1734091108260101</v>
      </c>
      <c r="Q52" s="189">
        <v>2.3626496765197399E-2</v>
      </c>
      <c r="R52" s="189">
        <v>1.0131402111018999</v>
      </c>
      <c r="S52" s="189">
        <v>6.5151163501362797E-2</v>
      </c>
      <c r="T52" s="189">
        <v>2.7235115749762802</v>
      </c>
      <c r="U52" s="189">
        <v>2.6619398872011901</v>
      </c>
      <c r="V52" s="189">
        <v>0.50571648340046405</v>
      </c>
      <c r="W52" s="189"/>
      <c r="X52" s="90"/>
      <c r="Y52" s="188"/>
      <c r="Z52" s="188"/>
      <c r="AA52" s="188"/>
      <c r="AB52" s="188"/>
      <c r="AC52" s="188"/>
      <c r="AD52" s="190"/>
      <c r="AE52" s="189"/>
    </row>
    <row r="53" spans="1:31" ht="21.25" customHeight="1" x14ac:dyDescent="0.15">
      <c r="A53" s="9" t="s">
        <v>248</v>
      </c>
      <c r="B53" s="186" t="s">
        <v>838</v>
      </c>
      <c r="C53" s="187">
        <v>31</v>
      </c>
      <c r="D53" s="186" t="s">
        <v>815</v>
      </c>
      <c r="E53" s="90">
        <v>78.972499999999997</v>
      </c>
      <c r="F53" s="188">
        <v>20.300179404297399</v>
      </c>
      <c r="G53" s="189">
        <v>0.397229301582954</v>
      </c>
      <c r="H53" s="189">
        <v>0.51853393715089802</v>
      </c>
      <c r="I53" s="189">
        <v>0.91576323873385201</v>
      </c>
      <c r="J53" s="189">
        <v>2.28009783010959</v>
      </c>
      <c r="K53" s="189">
        <v>9.9935893259923997E-2</v>
      </c>
      <c r="L53" s="189">
        <v>0.247867069654919</v>
      </c>
      <c r="M53" s="189">
        <v>2.7058332384868498E-4</v>
      </c>
      <c r="N53" s="189">
        <v>4.599166355178E-4</v>
      </c>
      <c r="O53" s="189">
        <v>0.52951463450464398</v>
      </c>
      <c r="P53" s="189">
        <v>0.77367409517268804</v>
      </c>
      <c r="Q53" s="189">
        <v>1.9478128714002601E-2</v>
      </c>
      <c r="R53" s="189">
        <v>0.46075282823408298</v>
      </c>
      <c r="S53" s="189">
        <v>6.60300594848027E-2</v>
      </c>
      <c r="T53" s="189">
        <v>7.7872919771023597</v>
      </c>
      <c r="U53" s="189">
        <v>8.2099608962084893</v>
      </c>
      <c r="V53" s="189">
        <v>0.48678932806609299</v>
      </c>
      <c r="W53" s="189"/>
      <c r="X53" s="90"/>
      <c r="Y53" s="188"/>
      <c r="Z53" s="188"/>
      <c r="AA53" s="188"/>
      <c r="AB53" s="188"/>
      <c r="AC53" s="188"/>
      <c r="AD53" s="190"/>
      <c r="AE53" s="189"/>
    </row>
    <row r="54" spans="1:31" ht="21.25" customHeight="1" x14ac:dyDescent="0.15">
      <c r="A54" s="9" t="s">
        <v>224</v>
      </c>
      <c r="B54" s="186" t="s">
        <v>837</v>
      </c>
      <c r="C54" s="187">
        <v>27</v>
      </c>
      <c r="D54" s="186" t="s">
        <v>815</v>
      </c>
      <c r="E54" s="90">
        <v>80.237499999999997</v>
      </c>
      <c r="F54" s="188">
        <v>18.410798757824502</v>
      </c>
      <c r="G54" s="189">
        <v>0.4292996600392</v>
      </c>
      <c r="H54" s="189">
        <v>0.48177140510448002</v>
      </c>
      <c r="I54" s="189">
        <v>0.91107106514367997</v>
      </c>
      <c r="J54" s="189">
        <v>2.51582830210099</v>
      </c>
      <c r="K54" s="189">
        <v>0.11492052853653401</v>
      </c>
      <c r="L54" s="189">
        <v>0.27959285924924199</v>
      </c>
      <c r="M54" s="189">
        <v>3.0574341453442601E-2</v>
      </c>
      <c r="N54" s="189">
        <v>4.00704734128828E-2</v>
      </c>
      <c r="O54" s="189">
        <v>0.55216447724461504</v>
      </c>
      <c r="P54" s="189">
        <v>0.61450045055916303</v>
      </c>
      <c r="Q54" s="189">
        <v>0.10799464851130799</v>
      </c>
      <c r="R54" s="189">
        <v>0.37613996190993099</v>
      </c>
      <c r="S54" s="189">
        <v>6.8653049458647003E-2</v>
      </c>
      <c r="T54" s="189">
        <v>4.1166071141759</v>
      </c>
      <c r="U54" s="189">
        <v>3.5071106504513501</v>
      </c>
      <c r="V54" s="189">
        <v>0.53997370328637495</v>
      </c>
      <c r="W54" s="189"/>
      <c r="X54" s="90"/>
      <c r="Y54" s="188"/>
      <c r="Z54" s="188"/>
      <c r="AA54" s="188"/>
      <c r="AB54" s="188"/>
      <c r="AC54" s="188"/>
      <c r="AD54" s="190"/>
      <c r="AE54" s="189"/>
    </row>
    <row r="55" spans="1:31" ht="21.25" customHeight="1" x14ac:dyDescent="0.15">
      <c r="A55" s="9" t="s">
        <v>179</v>
      </c>
      <c r="B55" s="186" t="s">
        <v>837</v>
      </c>
      <c r="C55" s="187">
        <v>21</v>
      </c>
      <c r="D55" s="186" t="s">
        <v>867</v>
      </c>
      <c r="E55" s="90">
        <v>82.03</v>
      </c>
      <c r="F55" s="188">
        <v>19.9465854027308</v>
      </c>
      <c r="G55" s="189">
        <v>0.441651714541683</v>
      </c>
      <c r="H55" s="189">
        <v>0.46107112779992299</v>
      </c>
      <c r="I55" s="189">
        <v>0.90272284234160605</v>
      </c>
      <c r="J55" s="189">
        <v>3.0206867991734598</v>
      </c>
      <c r="K55" s="189">
        <v>8.0802545719946106E-2</v>
      </c>
      <c r="L55" s="189">
        <v>0.23130830594636301</v>
      </c>
      <c r="M55" s="189">
        <v>3.08009197291974E-2</v>
      </c>
      <c r="N55" s="189">
        <v>3.2558559559629399E-2</v>
      </c>
      <c r="O55" s="189">
        <v>0.54196983778063001</v>
      </c>
      <c r="P55" s="189">
        <v>0.62901592589497701</v>
      </c>
      <c r="Q55" s="189">
        <v>8.2527404463638696E-2</v>
      </c>
      <c r="R55" s="189">
        <v>0.45675341632036098</v>
      </c>
      <c r="S55" s="189">
        <v>7.0628374127195401E-2</v>
      </c>
      <c r="T55" s="189">
        <v>3.9976700861022598</v>
      </c>
      <c r="U55" s="189">
        <v>4.4719969898843601</v>
      </c>
      <c r="V55" s="189">
        <v>0.47199849182225101</v>
      </c>
      <c r="W55" s="189"/>
      <c r="X55" s="90"/>
      <c r="Y55" s="188"/>
      <c r="Z55" s="188"/>
      <c r="AA55" s="188"/>
      <c r="AB55" s="188"/>
      <c r="AC55" s="188"/>
      <c r="AD55" s="190"/>
      <c r="AE55" s="189"/>
    </row>
    <row r="56" spans="1:31" ht="21.25" customHeight="1" x14ac:dyDescent="0.15">
      <c r="A56" s="9" t="s">
        <v>184</v>
      </c>
      <c r="B56" s="186" t="s">
        <v>830</v>
      </c>
      <c r="C56" s="187">
        <v>34</v>
      </c>
      <c r="D56" s="186" t="s">
        <v>865</v>
      </c>
      <c r="E56" s="90">
        <v>81.260000000000005</v>
      </c>
      <c r="F56" s="188">
        <v>18.016804966073899</v>
      </c>
      <c r="G56" s="189">
        <v>0.39253276769356898</v>
      </c>
      <c r="H56" s="189">
        <v>0.50501754319630798</v>
      </c>
      <c r="I56" s="189">
        <v>0.89755031088987702</v>
      </c>
      <c r="J56" s="189">
        <v>3.0250736926853499</v>
      </c>
      <c r="K56" s="189">
        <v>0.16300372462978899</v>
      </c>
      <c r="L56" s="189">
        <v>0.37138439429785702</v>
      </c>
      <c r="M56" s="189">
        <v>1.0403157566581099E-4</v>
      </c>
      <c r="N56" s="189">
        <v>1.7678108842642001E-4</v>
      </c>
      <c r="O56" s="189">
        <v>0.54065022294413001</v>
      </c>
      <c r="P56" s="189">
        <v>0.99247678636250602</v>
      </c>
      <c r="Q56" s="189">
        <v>-1.7884456726588499E-3</v>
      </c>
      <c r="R56" s="189">
        <v>0.47125363812626397</v>
      </c>
      <c r="S56" s="189">
        <v>5.5579821529298398E-2</v>
      </c>
      <c r="T56" s="189">
        <v>4.9345500801892497</v>
      </c>
      <c r="U56" s="189">
        <v>4.2099169295371102</v>
      </c>
      <c r="V56" s="189">
        <v>0.53962139892250705</v>
      </c>
      <c r="W56" s="189"/>
      <c r="X56" s="90"/>
      <c r="Y56" s="188"/>
      <c r="Z56" s="188"/>
      <c r="AA56" s="188"/>
      <c r="AB56" s="188"/>
      <c r="AC56" s="188"/>
      <c r="AD56" s="190"/>
      <c r="AE56" s="189"/>
    </row>
    <row r="57" spans="1:31" ht="21.25" customHeight="1" x14ac:dyDescent="0.15">
      <c r="A57" s="9" t="s">
        <v>141</v>
      </c>
      <c r="B57" s="186" t="s">
        <v>824</v>
      </c>
      <c r="C57" s="187">
        <v>24</v>
      </c>
      <c r="D57" s="186" t="s">
        <v>818</v>
      </c>
      <c r="E57" s="90">
        <v>81.752499999999998</v>
      </c>
      <c r="F57" s="188">
        <v>23.499541438025801</v>
      </c>
      <c r="G57" s="189">
        <v>0.19749614043744701</v>
      </c>
      <c r="H57" s="189">
        <v>0.69096552872202199</v>
      </c>
      <c r="I57" s="189">
        <v>0.888461669159469</v>
      </c>
      <c r="J57" s="189">
        <v>2.69577601697008</v>
      </c>
      <c r="K57" s="189">
        <v>7.9855197830438804E-2</v>
      </c>
      <c r="L57" s="189">
        <v>0.37370750398508801</v>
      </c>
      <c r="M57" s="189">
        <v>2.4303729446904299E-4</v>
      </c>
      <c r="N57" s="189">
        <v>5.3008540700240801E-3</v>
      </c>
      <c r="O57" s="189">
        <v>1.35453587900385</v>
      </c>
      <c r="P57" s="189">
        <v>1.06665856740362</v>
      </c>
      <c r="Q57" s="189">
        <v>0.145202168128094</v>
      </c>
      <c r="R57" s="189">
        <v>0.43609586216071899</v>
      </c>
      <c r="S57" s="189">
        <v>3.1890720384808502E-2</v>
      </c>
      <c r="T57" s="189">
        <v>0</v>
      </c>
      <c r="U57" s="189">
        <v>0</v>
      </c>
      <c r="V57" s="189">
        <v>0</v>
      </c>
      <c r="W57" s="189"/>
      <c r="X57" s="90"/>
      <c r="Y57" s="188"/>
      <c r="Z57" s="188"/>
      <c r="AA57" s="188"/>
      <c r="AB57" s="188"/>
      <c r="AC57" s="188"/>
      <c r="AD57" s="190"/>
      <c r="AE57" s="189"/>
    </row>
    <row r="58" spans="1:31" ht="21.25" customHeight="1" x14ac:dyDescent="0.15">
      <c r="A58" s="9" t="s">
        <v>181</v>
      </c>
      <c r="B58" s="186" t="s">
        <v>844</v>
      </c>
      <c r="C58" s="187">
        <v>38</v>
      </c>
      <c r="D58" s="186" t="s">
        <v>816</v>
      </c>
      <c r="E58" s="90">
        <v>79.760000000000005</v>
      </c>
      <c r="F58" s="188">
        <v>19.455130943375099</v>
      </c>
      <c r="G58" s="189">
        <v>0.45000045328042299</v>
      </c>
      <c r="H58" s="189">
        <v>0.43792911991288103</v>
      </c>
      <c r="I58" s="189">
        <v>0.88792957319330401</v>
      </c>
      <c r="J58" s="189">
        <v>3.6089517148798902</v>
      </c>
      <c r="K58" s="189">
        <v>0.171419005744259</v>
      </c>
      <c r="L58" s="189">
        <v>0.34446188998892702</v>
      </c>
      <c r="M58" s="189">
        <v>8.3059402999367796E-5</v>
      </c>
      <c r="N58" s="189">
        <v>1.05365319468208E-4</v>
      </c>
      <c r="O58" s="189">
        <v>0.34926557708386102</v>
      </c>
      <c r="P58" s="189">
        <v>2.0094678488370001</v>
      </c>
      <c r="Q58" s="189">
        <v>-4.1719025077754997E-2</v>
      </c>
      <c r="R58" s="189">
        <v>0.35293418402691801</v>
      </c>
      <c r="S58" s="189">
        <v>6.3860705091539696E-2</v>
      </c>
      <c r="T58" s="189">
        <v>1.33670684960183E-2</v>
      </c>
      <c r="U58" s="189">
        <v>4.57666258384129E-2</v>
      </c>
      <c r="V58" s="189">
        <v>0.22604825635315001</v>
      </c>
      <c r="W58" s="189"/>
      <c r="X58" s="90"/>
      <c r="Y58" s="188"/>
      <c r="Z58" s="188"/>
      <c r="AA58" s="188"/>
      <c r="AB58" s="188"/>
      <c r="AC58" s="188"/>
      <c r="AD58" s="190"/>
      <c r="AE58" s="189"/>
    </row>
    <row r="59" spans="1:31" ht="21.25" customHeight="1" x14ac:dyDescent="0.15">
      <c r="A59" s="9" t="s">
        <v>153</v>
      </c>
      <c r="B59" s="186" t="s">
        <v>827</v>
      </c>
      <c r="C59" s="187">
        <v>33</v>
      </c>
      <c r="D59" s="186" t="s">
        <v>818</v>
      </c>
      <c r="E59" s="90">
        <v>80.495000000000005</v>
      </c>
      <c r="F59" s="188">
        <v>24.455325107845798</v>
      </c>
      <c r="G59" s="189">
        <v>0.1622932361102</v>
      </c>
      <c r="H59" s="189">
        <v>0.72425594672956495</v>
      </c>
      <c r="I59" s="189">
        <v>0.88654918283976503</v>
      </c>
      <c r="J59" s="189">
        <v>2.3015799829769299</v>
      </c>
      <c r="K59" s="189">
        <v>5.0598340824112402E-2</v>
      </c>
      <c r="L59" s="189">
        <v>0.38179470791540399</v>
      </c>
      <c r="M59" s="189">
        <v>2.6244975251941399E-3</v>
      </c>
      <c r="N59" s="189">
        <v>6.1178477177490998E-3</v>
      </c>
      <c r="O59" s="189">
        <v>1.4591560168025599</v>
      </c>
      <c r="P59" s="189">
        <v>1.01817574679878</v>
      </c>
      <c r="Q59" s="189">
        <v>3.12198971823727E-2</v>
      </c>
      <c r="R59" s="189">
        <v>0.514139972831828</v>
      </c>
      <c r="S59" s="189">
        <v>2.55711855179254E-2</v>
      </c>
      <c r="T59" s="189">
        <v>0</v>
      </c>
      <c r="U59" s="189">
        <v>0</v>
      </c>
      <c r="V59" s="189">
        <v>0</v>
      </c>
      <c r="W59" s="189"/>
      <c r="X59" s="90"/>
      <c r="Y59" s="188"/>
      <c r="Z59" s="188"/>
      <c r="AA59" s="188"/>
      <c r="AB59" s="188"/>
      <c r="AC59" s="188"/>
      <c r="AD59" s="190"/>
      <c r="AE59" s="189"/>
    </row>
    <row r="60" spans="1:31" ht="21.25" customHeight="1" x14ac:dyDescent="0.15">
      <c r="A60" s="9" t="s">
        <v>217</v>
      </c>
      <c r="B60" s="186" t="s">
        <v>842</v>
      </c>
      <c r="C60" s="187">
        <v>22</v>
      </c>
      <c r="D60" s="186" t="s">
        <v>866</v>
      </c>
      <c r="E60" s="90">
        <v>80.930000000000007</v>
      </c>
      <c r="F60" s="188">
        <v>18.7340133808761</v>
      </c>
      <c r="G60" s="189">
        <v>0.36361342735290703</v>
      </c>
      <c r="H60" s="189">
        <v>0.51787068264094605</v>
      </c>
      <c r="I60" s="189">
        <v>0.88148410999385296</v>
      </c>
      <c r="J60" s="189">
        <v>2.1891672087303302</v>
      </c>
      <c r="K60" s="189">
        <v>7.9162557961994007E-2</v>
      </c>
      <c r="L60" s="189">
        <v>0.24967447845634499</v>
      </c>
      <c r="M60" s="189">
        <v>7.0527112796674001E-4</v>
      </c>
      <c r="N60" s="189">
        <v>1.18398026829662E-3</v>
      </c>
      <c r="O60" s="189">
        <v>0.35067478577373901</v>
      </c>
      <c r="P60" s="189">
        <v>0.81210704289622204</v>
      </c>
      <c r="Q60" s="189">
        <v>-5.4352826832137102E-2</v>
      </c>
      <c r="R60" s="189">
        <v>0.35911061368321001</v>
      </c>
      <c r="S60" s="189">
        <v>4.9939637188179398E-2</v>
      </c>
      <c r="T60" s="189">
        <v>6.6788847380158001E-2</v>
      </c>
      <c r="U60" s="189">
        <v>0.11697890885826299</v>
      </c>
      <c r="V60" s="189">
        <v>0.36344160013308202</v>
      </c>
      <c r="W60" s="189"/>
      <c r="X60" s="90"/>
      <c r="Y60" s="188"/>
      <c r="Z60" s="188"/>
      <c r="AA60" s="188"/>
      <c r="AB60" s="188"/>
      <c r="AC60" s="188"/>
      <c r="AD60" s="190"/>
      <c r="AE60" s="189"/>
    </row>
    <row r="61" spans="1:31" ht="21.25" customHeight="1" x14ac:dyDescent="0.15">
      <c r="A61" s="9" t="s">
        <v>205</v>
      </c>
      <c r="B61" s="186" t="s">
        <v>856</v>
      </c>
      <c r="C61" s="187">
        <v>27</v>
      </c>
      <c r="D61" s="186" t="s">
        <v>866</v>
      </c>
      <c r="E61" s="90">
        <v>77.64</v>
      </c>
      <c r="F61" s="188">
        <v>19.622915373722702</v>
      </c>
      <c r="G61" s="189">
        <v>0.40508930239837898</v>
      </c>
      <c r="H61" s="189">
        <v>0.47432686121943302</v>
      </c>
      <c r="I61" s="189">
        <v>0.87941616361781205</v>
      </c>
      <c r="J61" s="189">
        <v>3.1178173889437399</v>
      </c>
      <c r="K61" s="189">
        <v>5.4005735581092097E-2</v>
      </c>
      <c r="L61" s="189">
        <v>0.15269627469613301</v>
      </c>
      <c r="M61" s="189">
        <v>5.7727088197909102E-2</v>
      </c>
      <c r="N61" s="189">
        <v>7.9626206823552398E-2</v>
      </c>
      <c r="O61" s="189">
        <v>0.48527408074259099</v>
      </c>
      <c r="P61" s="189">
        <v>1.07246833204491</v>
      </c>
      <c r="Q61" s="189">
        <v>-2.0780136045860501E-2</v>
      </c>
      <c r="R61" s="189">
        <v>0.67773443437830005</v>
      </c>
      <c r="S61" s="189">
        <v>5.8717502777639603E-2</v>
      </c>
      <c r="T61" s="189">
        <v>0.47332748591412099</v>
      </c>
      <c r="U61" s="189">
        <v>0.63842790769540603</v>
      </c>
      <c r="V61" s="189">
        <v>0.42574786561401101</v>
      </c>
      <c r="W61" s="189"/>
      <c r="X61" s="90"/>
      <c r="Y61" s="188"/>
      <c r="Z61" s="188"/>
      <c r="AA61" s="188"/>
      <c r="AB61" s="188"/>
      <c r="AC61" s="188"/>
      <c r="AD61" s="190"/>
      <c r="AE61" s="189"/>
    </row>
    <row r="62" spans="1:31" ht="21.25" customHeight="1" x14ac:dyDescent="0.15">
      <c r="A62" s="9" t="s">
        <v>206</v>
      </c>
      <c r="B62" s="186" t="s">
        <v>831</v>
      </c>
      <c r="C62" s="187">
        <v>31</v>
      </c>
      <c r="D62" s="186" t="s">
        <v>815</v>
      </c>
      <c r="E62" s="90">
        <v>81.93</v>
      </c>
      <c r="F62" s="188">
        <v>21.604695817430802</v>
      </c>
      <c r="G62" s="189">
        <v>0.30537907482172699</v>
      </c>
      <c r="H62" s="189">
        <v>0.56902762007674701</v>
      </c>
      <c r="I62" s="189">
        <v>0.874406694898474</v>
      </c>
      <c r="J62" s="189">
        <v>2.70993132745823</v>
      </c>
      <c r="K62" s="189">
        <v>0.108258120863853</v>
      </c>
      <c r="L62" s="189">
        <v>0.23884546300930001</v>
      </c>
      <c r="M62" s="189">
        <v>8.6249353619988599E-3</v>
      </c>
      <c r="N62" s="189">
        <v>1.04753124898738E-2</v>
      </c>
      <c r="O62" s="189">
        <v>0.898277574315683</v>
      </c>
      <c r="P62" s="189">
        <v>2.0709086095252398</v>
      </c>
      <c r="Q62" s="189">
        <v>6.4377822410949401E-2</v>
      </c>
      <c r="R62" s="189">
        <v>0.75499725139318297</v>
      </c>
      <c r="S62" s="189">
        <v>4.9916745600503798E-2</v>
      </c>
      <c r="T62" s="189">
        <v>10.4329759150634</v>
      </c>
      <c r="U62" s="189">
        <v>7.8874020184929501</v>
      </c>
      <c r="V62" s="189">
        <v>0.569473836888156</v>
      </c>
      <c r="W62" s="189"/>
      <c r="X62" s="90"/>
      <c r="Y62" s="188"/>
      <c r="Z62" s="188"/>
      <c r="AA62" s="188"/>
      <c r="AB62" s="188"/>
      <c r="AC62" s="188"/>
      <c r="AD62" s="190"/>
      <c r="AE62" s="189"/>
    </row>
    <row r="63" spans="1:31" ht="21.25" customHeight="1" x14ac:dyDescent="0.15">
      <c r="A63" s="9" t="s">
        <v>197</v>
      </c>
      <c r="B63" s="186" t="s">
        <v>833</v>
      </c>
      <c r="C63" s="187">
        <v>23</v>
      </c>
      <c r="D63" s="186" t="s">
        <v>866</v>
      </c>
      <c r="E63" s="90">
        <v>77.150000000000006</v>
      </c>
      <c r="F63" s="188">
        <v>18.371598070890101</v>
      </c>
      <c r="G63" s="189">
        <v>0.38593016053106599</v>
      </c>
      <c r="H63" s="189">
        <v>0.48812999892586401</v>
      </c>
      <c r="I63" s="189">
        <v>0.87406015945693005</v>
      </c>
      <c r="J63" s="189">
        <v>2.9332327700814602</v>
      </c>
      <c r="K63" s="189">
        <v>0.109377290379505</v>
      </c>
      <c r="L63" s="189">
        <v>0.30183432847115998</v>
      </c>
      <c r="M63" s="189">
        <v>5.0420647497008398E-4</v>
      </c>
      <c r="N63" s="189">
        <v>8.4909202690452502E-4</v>
      </c>
      <c r="O63" s="189">
        <v>0.41314052450104499</v>
      </c>
      <c r="P63" s="189">
        <v>0.58784237282404805</v>
      </c>
      <c r="Q63" s="189">
        <v>4.1060861637331199E-2</v>
      </c>
      <c r="R63" s="189">
        <v>0.51102711170897597</v>
      </c>
      <c r="S63" s="189">
        <v>6.3709014001501404E-2</v>
      </c>
      <c r="T63" s="189">
        <v>0.55526307107446005</v>
      </c>
      <c r="U63" s="189">
        <v>0.63940040312064395</v>
      </c>
      <c r="V63" s="189">
        <v>0.464786178759307</v>
      </c>
      <c r="W63" s="189"/>
      <c r="X63" s="90"/>
      <c r="Y63" s="188"/>
      <c r="Z63" s="188"/>
      <c r="AA63" s="188"/>
      <c r="AB63" s="188"/>
      <c r="AC63" s="188"/>
      <c r="AD63" s="190"/>
      <c r="AE63" s="189"/>
    </row>
    <row r="64" spans="1:31" ht="21.25" customHeight="1" x14ac:dyDescent="0.15">
      <c r="A64" s="9" t="s">
        <v>202</v>
      </c>
      <c r="B64" s="186" t="s">
        <v>827</v>
      </c>
      <c r="C64" s="187">
        <v>26</v>
      </c>
      <c r="D64" s="186" t="s">
        <v>866</v>
      </c>
      <c r="E64" s="90">
        <v>81.392499999999998</v>
      </c>
      <c r="F64" s="188">
        <v>19.918636109058099</v>
      </c>
      <c r="G64" s="189">
        <v>0.35658434355450902</v>
      </c>
      <c r="H64" s="189">
        <v>0.51368652152724203</v>
      </c>
      <c r="I64" s="189">
        <v>0.870270865081751</v>
      </c>
      <c r="J64" s="189">
        <v>2.3515213709074398</v>
      </c>
      <c r="K64" s="189">
        <v>8.6565928893170996E-2</v>
      </c>
      <c r="L64" s="189">
        <v>0.208444448915557</v>
      </c>
      <c r="M64" s="189">
        <v>7.0257121812707102E-3</v>
      </c>
      <c r="N64" s="189">
        <v>3.1121163307863801E-2</v>
      </c>
      <c r="O64" s="189">
        <v>0.57207404417401597</v>
      </c>
      <c r="P64" s="189">
        <v>0.78113716826610502</v>
      </c>
      <c r="Q64" s="189">
        <v>4.0361287830951602E-2</v>
      </c>
      <c r="R64" s="189">
        <v>0.59835521940236502</v>
      </c>
      <c r="S64" s="189">
        <v>5.6184007543164202E-2</v>
      </c>
      <c r="T64" s="189">
        <v>0.30496531215961198</v>
      </c>
      <c r="U64" s="189">
        <v>0.52369600313299702</v>
      </c>
      <c r="V64" s="189">
        <v>0.36802165918886398</v>
      </c>
      <c r="W64" s="189"/>
      <c r="X64" s="90"/>
      <c r="Y64" s="188"/>
      <c r="Z64" s="188"/>
      <c r="AA64" s="188"/>
      <c r="AB64" s="188"/>
      <c r="AC64" s="188"/>
      <c r="AD64" s="190"/>
      <c r="AE64" s="189"/>
    </row>
    <row r="65" spans="1:31" ht="21.25" customHeight="1" x14ac:dyDescent="0.15">
      <c r="A65" s="9" t="s">
        <v>252</v>
      </c>
      <c r="B65" s="186" t="s">
        <v>844</v>
      </c>
      <c r="C65" s="187">
        <v>27</v>
      </c>
      <c r="D65" s="186" t="s">
        <v>815</v>
      </c>
      <c r="E65" s="90">
        <v>80.592500000000001</v>
      </c>
      <c r="F65" s="188">
        <v>18.2168884104208</v>
      </c>
      <c r="G65" s="189">
        <v>0.33946261852392001</v>
      </c>
      <c r="H65" s="189">
        <v>0.52844638571952995</v>
      </c>
      <c r="I65" s="189">
        <v>0.86790900424344997</v>
      </c>
      <c r="J65" s="189">
        <v>2.1283836826059899</v>
      </c>
      <c r="K65" s="189">
        <v>7.5398353153008302E-2</v>
      </c>
      <c r="L65" s="189">
        <v>0.28773829669846901</v>
      </c>
      <c r="M65" s="189">
        <v>1.5682139888777599E-4</v>
      </c>
      <c r="N65" s="189">
        <v>2.6556962668591801E-4</v>
      </c>
      <c r="O65" s="189">
        <v>0.666529213397689</v>
      </c>
      <c r="P65" s="189">
        <v>0.25536117567137601</v>
      </c>
      <c r="Q65" s="189">
        <v>1.79498512741399E-3</v>
      </c>
      <c r="R65" s="189">
        <v>0.35062261145954698</v>
      </c>
      <c r="S65" s="189">
        <v>4.8174000744058802E-2</v>
      </c>
      <c r="T65" s="189">
        <v>8.0692449587981496</v>
      </c>
      <c r="U65" s="189">
        <v>7.6474186274449298</v>
      </c>
      <c r="V65" s="189">
        <v>0.51341971624697902</v>
      </c>
      <c r="W65" s="189"/>
      <c r="X65" s="90"/>
      <c r="Y65" s="188"/>
      <c r="Z65" s="188"/>
      <c r="AA65" s="188"/>
      <c r="AB65" s="188"/>
      <c r="AC65" s="188"/>
      <c r="AD65" s="190"/>
      <c r="AE65" s="189"/>
    </row>
    <row r="66" spans="1:31" ht="21.25" customHeight="1" x14ac:dyDescent="0.15">
      <c r="A66" s="9" t="s">
        <v>167</v>
      </c>
      <c r="B66" s="186" t="s">
        <v>839</v>
      </c>
      <c r="C66" s="187">
        <v>34</v>
      </c>
      <c r="D66" s="186" t="s">
        <v>818</v>
      </c>
      <c r="E66" s="90">
        <v>78.83</v>
      </c>
      <c r="F66" s="188">
        <v>24.386846180967499</v>
      </c>
      <c r="G66" s="189">
        <v>0.19331490609372101</v>
      </c>
      <c r="H66" s="189">
        <v>0.66815370640983596</v>
      </c>
      <c r="I66" s="189">
        <v>0.861468612503557</v>
      </c>
      <c r="J66" s="189">
        <v>2.53539636668348</v>
      </c>
      <c r="K66" s="189">
        <v>3.4874728307280597E-2</v>
      </c>
      <c r="L66" s="189">
        <v>0.26121540081869299</v>
      </c>
      <c r="M66" s="189">
        <v>6.5094081455125696E-5</v>
      </c>
      <c r="N66" s="189">
        <v>3.2409253240170199E-4</v>
      </c>
      <c r="O66" s="189">
        <v>1.21551440891454</v>
      </c>
      <c r="P66" s="189">
        <v>0.57102805333664597</v>
      </c>
      <c r="Q66" s="189">
        <v>2.8145909945692701E-2</v>
      </c>
      <c r="R66" s="189">
        <v>0.44133138940167299</v>
      </c>
      <c r="S66" s="189">
        <v>2.8657562719749299E-2</v>
      </c>
      <c r="T66" s="189">
        <v>0</v>
      </c>
      <c r="U66" s="189">
        <v>1.88484002163022E-3</v>
      </c>
      <c r="V66" s="189">
        <v>0</v>
      </c>
      <c r="W66" s="189"/>
      <c r="X66" s="90"/>
      <c r="Y66" s="188"/>
      <c r="Z66" s="188"/>
      <c r="AA66" s="188"/>
      <c r="AB66" s="188"/>
      <c r="AC66" s="188"/>
      <c r="AD66" s="190"/>
      <c r="AE66" s="189"/>
    </row>
    <row r="67" spans="1:31" ht="21.25" customHeight="1" x14ac:dyDescent="0.15">
      <c r="A67" s="9" t="s">
        <v>185</v>
      </c>
      <c r="B67" s="186" t="s">
        <v>854</v>
      </c>
      <c r="C67" s="187">
        <v>23</v>
      </c>
      <c r="D67" s="186" t="s">
        <v>866</v>
      </c>
      <c r="E67" s="90">
        <v>75.58</v>
      </c>
      <c r="F67" s="188">
        <v>19.5489909349314</v>
      </c>
      <c r="G67" s="189">
        <v>0.42435511526956599</v>
      </c>
      <c r="H67" s="189">
        <v>0.43653574553330698</v>
      </c>
      <c r="I67" s="189">
        <v>0.86089086080287303</v>
      </c>
      <c r="J67" s="189">
        <v>3.70999374362981</v>
      </c>
      <c r="K67" s="189">
        <v>0.12658334574098001</v>
      </c>
      <c r="L67" s="189">
        <v>0.27007244739556502</v>
      </c>
      <c r="M67" s="189">
        <v>1.9290695568774199E-5</v>
      </c>
      <c r="N67" s="189">
        <v>3.2600341390168101E-5</v>
      </c>
      <c r="O67" s="189">
        <v>0.290086673389851</v>
      </c>
      <c r="P67" s="189">
        <v>0.62150697738503002</v>
      </c>
      <c r="Q67" s="189">
        <v>-3.04930377919077E-2</v>
      </c>
      <c r="R67" s="189">
        <v>0.22945165175728199</v>
      </c>
      <c r="S67" s="189">
        <v>4.9183297921566199E-2</v>
      </c>
      <c r="T67" s="189">
        <v>6.1794678974506002E-2</v>
      </c>
      <c r="U67" s="189">
        <v>0.115292140532222</v>
      </c>
      <c r="V67" s="189">
        <v>0.34895131747599301</v>
      </c>
      <c r="W67" s="189"/>
      <c r="X67" s="90"/>
      <c r="Y67" s="188"/>
      <c r="Z67" s="188"/>
      <c r="AA67" s="188"/>
      <c r="AB67" s="188"/>
      <c r="AC67" s="188"/>
      <c r="AD67" s="190"/>
      <c r="AE67" s="189"/>
    </row>
    <row r="68" spans="1:31" ht="21.25" customHeight="1" x14ac:dyDescent="0.15">
      <c r="A68" s="9" t="s">
        <v>288</v>
      </c>
      <c r="B68" s="186" t="s">
        <v>841</v>
      </c>
      <c r="C68" s="187">
        <v>32</v>
      </c>
      <c r="D68" s="186" t="s">
        <v>817</v>
      </c>
      <c r="E68" s="90">
        <v>67.552499999999995</v>
      </c>
      <c r="F68" s="188">
        <v>19.028929747770601</v>
      </c>
      <c r="G68" s="189">
        <v>0.29998871638958002</v>
      </c>
      <c r="H68" s="189">
        <v>0.55464538369141703</v>
      </c>
      <c r="I68" s="189">
        <v>0.85463410008099705</v>
      </c>
      <c r="J68" s="189">
        <v>2.1529417971853899</v>
      </c>
      <c r="K68" s="189">
        <v>7.6088226116605498E-2</v>
      </c>
      <c r="L68" s="189">
        <v>0.23467106448245301</v>
      </c>
      <c r="M68" s="189">
        <v>3.2484587720001498E-2</v>
      </c>
      <c r="N68" s="189">
        <v>4.8830020557958098E-2</v>
      </c>
      <c r="O68" s="189">
        <v>0.653998388231954</v>
      </c>
      <c r="P68" s="189">
        <v>0.68607635948449497</v>
      </c>
      <c r="Q68" s="189">
        <v>4.52356524485759E-2</v>
      </c>
      <c r="R68" s="189">
        <v>0.35924108252929698</v>
      </c>
      <c r="S68" s="189">
        <v>4.5628670436312101E-2</v>
      </c>
      <c r="T68" s="189">
        <v>1.1847802762166E-2</v>
      </c>
      <c r="U68" s="189">
        <v>0.132278335548737</v>
      </c>
      <c r="V68" s="189">
        <v>8.2204400263666697E-2</v>
      </c>
      <c r="W68" s="189"/>
      <c r="X68" s="90"/>
      <c r="Y68" s="188"/>
      <c r="Z68" s="188"/>
      <c r="AA68" s="188"/>
      <c r="AB68" s="188"/>
      <c r="AC68" s="188"/>
      <c r="AD68" s="190"/>
      <c r="AE68" s="189"/>
    </row>
    <row r="69" spans="1:31" ht="21.25" customHeight="1" x14ac:dyDescent="0.15">
      <c r="A69" s="9" t="s">
        <v>219</v>
      </c>
      <c r="B69" s="186" t="s">
        <v>836</v>
      </c>
      <c r="C69" s="187">
        <v>29</v>
      </c>
      <c r="D69" s="186" t="s">
        <v>815</v>
      </c>
      <c r="E69" s="90">
        <v>80.239999999999995</v>
      </c>
      <c r="F69" s="188">
        <v>20.1073567807708</v>
      </c>
      <c r="G69" s="189">
        <v>0.42925599093804401</v>
      </c>
      <c r="H69" s="189">
        <v>0.42337686514533401</v>
      </c>
      <c r="I69" s="189">
        <v>0.85263285608337802</v>
      </c>
      <c r="J69" s="189">
        <v>3.0434700209539698</v>
      </c>
      <c r="K69" s="189">
        <v>0.13091968833034601</v>
      </c>
      <c r="L69" s="189">
        <v>0.243633772955965</v>
      </c>
      <c r="M69" s="189">
        <v>1.21174537723816E-2</v>
      </c>
      <c r="N69" s="189">
        <v>1.99470608984532E-2</v>
      </c>
      <c r="O69" s="189">
        <v>0.56481707926119595</v>
      </c>
      <c r="P69" s="189">
        <v>0.77652516689329498</v>
      </c>
      <c r="Q69" s="189">
        <v>4.0042089439001199E-2</v>
      </c>
      <c r="R69" s="189">
        <v>0.39431322916147699</v>
      </c>
      <c r="S69" s="189">
        <v>6.7461415775294103E-2</v>
      </c>
      <c r="T69" s="189">
        <v>10.471011679003601</v>
      </c>
      <c r="U69" s="189">
        <v>8.3417662959649697</v>
      </c>
      <c r="V69" s="189">
        <v>0.55659040323209297</v>
      </c>
      <c r="W69" s="189"/>
      <c r="X69" s="90"/>
      <c r="Y69" s="188"/>
      <c r="Z69" s="188"/>
      <c r="AA69" s="188"/>
      <c r="AB69" s="188"/>
      <c r="AC69" s="188"/>
      <c r="AD69" s="190"/>
      <c r="AE69" s="189"/>
    </row>
    <row r="70" spans="1:31" ht="21.25" customHeight="1" x14ac:dyDescent="0.15">
      <c r="A70" s="9" t="s">
        <v>190</v>
      </c>
      <c r="B70" s="186" t="s">
        <v>850</v>
      </c>
      <c r="C70" s="187">
        <v>27</v>
      </c>
      <c r="D70" s="186" t="s">
        <v>867</v>
      </c>
      <c r="E70" s="90">
        <v>80.742500000000007</v>
      </c>
      <c r="F70" s="188">
        <v>18.871301334211299</v>
      </c>
      <c r="G70" s="189">
        <v>0.40407458415137798</v>
      </c>
      <c r="H70" s="189">
        <v>0.44665142871677299</v>
      </c>
      <c r="I70" s="189">
        <v>0.85072601286815097</v>
      </c>
      <c r="J70" s="189">
        <v>3.09202002135663</v>
      </c>
      <c r="K70" s="189">
        <v>8.8153822038183602E-2</v>
      </c>
      <c r="L70" s="189">
        <v>0.26966318156264302</v>
      </c>
      <c r="M70" s="189">
        <v>3.8181692553924902E-2</v>
      </c>
      <c r="N70" s="189">
        <v>4.63260068913946E-2</v>
      </c>
      <c r="O70" s="189">
        <v>0.42985440330298802</v>
      </c>
      <c r="P70" s="189">
        <v>1.37375927957993</v>
      </c>
      <c r="Q70" s="189">
        <v>2.99558360059138E-2</v>
      </c>
      <c r="R70" s="189">
        <v>0.64342213711752305</v>
      </c>
      <c r="S70" s="189">
        <v>7.2010806591428306E-2</v>
      </c>
      <c r="T70" s="189">
        <v>9.9772622619809403E-2</v>
      </c>
      <c r="U70" s="189">
        <v>0.207892754539414</v>
      </c>
      <c r="V70" s="189">
        <v>0.32428940669581702</v>
      </c>
      <c r="W70" s="189"/>
      <c r="X70" s="90"/>
      <c r="Y70" s="188"/>
      <c r="Z70" s="188"/>
      <c r="AA70" s="188"/>
      <c r="AB70" s="188"/>
      <c r="AC70" s="188"/>
      <c r="AD70" s="190"/>
      <c r="AE70" s="189"/>
    </row>
    <row r="71" spans="1:31" ht="21.25" customHeight="1" x14ac:dyDescent="0.15">
      <c r="A71" s="9" t="s">
        <v>146</v>
      </c>
      <c r="B71" s="186" t="s">
        <v>836</v>
      </c>
      <c r="C71" s="187">
        <v>24</v>
      </c>
      <c r="D71" s="186" t="s">
        <v>818</v>
      </c>
      <c r="E71" s="90">
        <v>80.747500000000002</v>
      </c>
      <c r="F71" s="188">
        <v>24.709672339151499</v>
      </c>
      <c r="G71" s="189">
        <v>0.166770866162153</v>
      </c>
      <c r="H71" s="189">
        <v>0.68317014692503597</v>
      </c>
      <c r="I71" s="189">
        <v>0.84994101308718895</v>
      </c>
      <c r="J71" s="189">
        <v>2.50444785767636</v>
      </c>
      <c r="K71" s="189">
        <v>3.6006904347910602E-2</v>
      </c>
      <c r="L71" s="189">
        <v>0.29724700431088502</v>
      </c>
      <c r="M71" s="189">
        <v>2.83804183732173E-4</v>
      </c>
      <c r="N71" s="189">
        <v>6.6070159719816496E-3</v>
      </c>
      <c r="O71" s="189">
        <v>2.0348903211802698</v>
      </c>
      <c r="P71" s="189">
        <v>1.0547132115806599</v>
      </c>
      <c r="Q71" s="189">
        <v>4.7814240072519998E-2</v>
      </c>
      <c r="R71" s="189">
        <v>0.40825693576187599</v>
      </c>
      <c r="S71" s="189">
        <v>2.62095322578614E-2</v>
      </c>
      <c r="T71" s="189">
        <v>0</v>
      </c>
      <c r="U71" s="189">
        <v>0</v>
      </c>
      <c r="V71" s="189">
        <v>0</v>
      </c>
      <c r="W71" s="189"/>
      <c r="X71" s="90"/>
      <c r="Y71" s="188"/>
      <c r="Z71" s="188"/>
      <c r="AA71" s="188"/>
      <c r="AB71" s="188"/>
      <c r="AC71" s="188"/>
      <c r="AD71" s="190"/>
      <c r="AE71" s="189"/>
    </row>
    <row r="72" spans="1:31" ht="21.25" customHeight="1" x14ac:dyDescent="0.15">
      <c r="A72" s="9" t="s">
        <v>221</v>
      </c>
      <c r="B72" s="186" t="s">
        <v>836</v>
      </c>
      <c r="C72" s="187">
        <v>32</v>
      </c>
      <c r="D72" s="186" t="s">
        <v>815</v>
      </c>
      <c r="E72" s="90">
        <v>81.03</v>
      </c>
      <c r="F72" s="188">
        <v>18.7872021367005</v>
      </c>
      <c r="G72" s="189">
        <v>0.41584506670475802</v>
      </c>
      <c r="H72" s="189">
        <v>0.43087395242512999</v>
      </c>
      <c r="I72" s="189">
        <v>0.84671901912988801</v>
      </c>
      <c r="J72" s="189">
        <v>2.9607396606980498</v>
      </c>
      <c r="K72" s="189">
        <v>0.104174305929153</v>
      </c>
      <c r="L72" s="189">
        <v>0.22970164654172601</v>
      </c>
      <c r="M72" s="189">
        <v>7.9927511038686092E-3</v>
      </c>
      <c r="N72" s="189">
        <v>1.5607943507080601E-2</v>
      </c>
      <c r="O72" s="189">
        <v>0.57113520904605997</v>
      </c>
      <c r="P72" s="189">
        <v>0.54336538963634096</v>
      </c>
      <c r="Q72" s="189">
        <v>4.58449442784113E-2</v>
      </c>
      <c r="R72" s="189">
        <v>0.39755147866948198</v>
      </c>
      <c r="S72" s="189">
        <v>6.5353769161776598E-2</v>
      </c>
      <c r="T72" s="189">
        <v>5.1325604008146204</v>
      </c>
      <c r="U72" s="189">
        <v>5.8226441352476401</v>
      </c>
      <c r="V72" s="189">
        <v>0.46850429710548103</v>
      </c>
      <c r="W72" s="189"/>
      <c r="X72" s="90"/>
      <c r="Y72" s="188"/>
      <c r="Z72" s="188"/>
      <c r="AA72" s="188"/>
      <c r="AB72" s="188"/>
      <c r="AC72" s="188"/>
      <c r="AD72" s="190"/>
      <c r="AE72" s="189"/>
    </row>
    <row r="73" spans="1:31" ht="21.25" customHeight="1" x14ac:dyDescent="0.15">
      <c r="A73" s="9" t="s">
        <v>142</v>
      </c>
      <c r="B73" s="186" t="s">
        <v>834</v>
      </c>
      <c r="C73" s="187">
        <v>24</v>
      </c>
      <c r="D73" s="186" t="s">
        <v>818</v>
      </c>
      <c r="E73" s="90">
        <v>81.102500000000006</v>
      </c>
      <c r="F73" s="188">
        <v>25.657004599809799</v>
      </c>
      <c r="G73" s="189">
        <v>0.22210017748236299</v>
      </c>
      <c r="H73" s="189">
        <v>0.62330344081883704</v>
      </c>
      <c r="I73" s="189">
        <v>0.84540361830120003</v>
      </c>
      <c r="J73" s="189">
        <v>2.7671703072577598</v>
      </c>
      <c r="K73" s="189">
        <v>7.2379637577916905E-2</v>
      </c>
      <c r="L73" s="189">
        <v>0.32672923320893699</v>
      </c>
      <c r="M73" s="189">
        <v>2.29343429870201E-4</v>
      </c>
      <c r="N73" s="189">
        <v>2.5940909187592101E-3</v>
      </c>
      <c r="O73" s="189">
        <v>1.7900389627395701</v>
      </c>
      <c r="P73" s="189">
        <v>1.8848080287843501</v>
      </c>
      <c r="Q73" s="189">
        <v>-4.6389802818263296E-3</v>
      </c>
      <c r="R73" s="189">
        <v>0.82415280193952001</v>
      </c>
      <c r="S73" s="189">
        <v>3.14172774132008E-2</v>
      </c>
      <c r="T73" s="189">
        <v>0</v>
      </c>
      <c r="U73" s="189">
        <v>0</v>
      </c>
      <c r="V73" s="189">
        <v>0</v>
      </c>
      <c r="W73" s="189"/>
      <c r="X73" s="90"/>
      <c r="Y73" s="188"/>
      <c r="Z73" s="188"/>
      <c r="AA73" s="188"/>
      <c r="AB73" s="188"/>
      <c r="AC73" s="188"/>
      <c r="AD73" s="190"/>
      <c r="AE73" s="189"/>
    </row>
    <row r="74" spans="1:31" ht="21.25" customHeight="1" x14ac:dyDescent="0.15">
      <c r="A74" s="9" t="s">
        <v>249</v>
      </c>
      <c r="B74" s="186" t="s">
        <v>828</v>
      </c>
      <c r="C74" s="187">
        <v>29</v>
      </c>
      <c r="D74" s="186" t="s">
        <v>815</v>
      </c>
      <c r="E74" s="90">
        <v>80.512500000000003</v>
      </c>
      <c r="F74" s="188">
        <v>20.3596832263846</v>
      </c>
      <c r="G74" s="189">
        <v>0.33061096706842402</v>
      </c>
      <c r="H74" s="189">
        <v>0.51279261713596902</v>
      </c>
      <c r="I74" s="189">
        <v>0.84340358420439299</v>
      </c>
      <c r="J74" s="189">
        <v>2.57428197304016</v>
      </c>
      <c r="K74" s="189">
        <v>0.114452035195391</v>
      </c>
      <c r="L74" s="189">
        <v>0.241855806234962</v>
      </c>
      <c r="M74" s="189">
        <v>1.24597997020652E-2</v>
      </c>
      <c r="N74" s="189">
        <v>3.4146167807328598E-2</v>
      </c>
      <c r="O74" s="189">
        <v>0.75578561298815194</v>
      </c>
      <c r="P74" s="189">
        <v>1.17308053676764</v>
      </c>
      <c r="Q74" s="189">
        <v>2.4430671966594801E-3</v>
      </c>
      <c r="R74" s="189">
        <v>0.321195074030865</v>
      </c>
      <c r="S74" s="189">
        <v>5.1493887321729499E-2</v>
      </c>
      <c r="T74" s="189">
        <v>10.500856472769</v>
      </c>
      <c r="U74" s="189">
        <v>8.5093524787634802</v>
      </c>
      <c r="V74" s="189">
        <v>0.55237985545248303</v>
      </c>
      <c r="W74" s="189"/>
      <c r="X74" s="90"/>
      <c r="Y74" s="188"/>
      <c r="Z74" s="188"/>
      <c r="AA74" s="188"/>
      <c r="AB74" s="188"/>
      <c r="AC74" s="188"/>
      <c r="AD74" s="190"/>
      <c r="AE74" s="189"/>
    </row>
    <row r="75" spans="1:31" ht="21.25" customHeight="1" x14ac:dyDescent="0.15">
      <c r="A75" s="9" t="s">
        <v>204</v>
      </c>
      <c r="B75" s="186" t="s">
        <v>826</v>
      </c>
      <c r="C75" s="187">
        <v>33</v>
      </c>
      <c r="D75" s="186" t="s">
        <v>815</v>
      </c>
      <c r="E75" s="90">
        <v>81.099999999999994</v>
      </c>
      <c r="F75" s="188">
        <v>18.008931627609801</v>
      </c>
      <c r="G75" s="189">
        <v>0.35857257097017903</v>
      </c>
      <c r="H75" s="189">
        <v>0.484054960733802</v>
      </c>
      <c r="I75" s="189">
        <v>0.84262753170398097</v>
      </c>
      <c r="J75" s="189">
        <v>3.35534495016043</v>
      </c>
      <c r="K75" s="189">
        <v>0.13428819572919701</v>
      </c>
      <c r="L75" s="189">
        <v>0.31123693900272897</v>
      </c>
      <c r="M75" s="189">
        <v>8.0911512688192097E-5</v>
      </c>
      <c r="N75" s="189">
        <v>1.37848811049246E-4</v>
      </c>
      <c r="O75" s="189">
        <v>0.47058709991070602</v>
      </c>
      <c r="P75" s="189">
        <v>1.49502878104479</v>
      </c>
      <c r="Q75" s="189">
        <v>8.8705978812116101E-2</v>
      </c>
      <c r="R75" s="189">
        <v>0.40096752860596102</v>
      </c>
      <c r="S75" s="189">
        <v>5.73651837262538E-2</v>
      </c>
      <c r="T75" s="189">
        <v>9.9975854435120795</v>
      </c>
      <c r="U75" s="189">
        <v>6.8634522613696403</v>
      </c>
      <c r="V75" s="189">
        <v>0.59294010359857696</v>
      </c>
      <c r="W75" s="189"/>
      <c r="X75" s="90"/>
      <c r="Y75" s="188"/>
      <c r="Z75" s="188"/>
      <c r="AA75" s="188"/>
      <c r="AB75" s="188"/>
      <c r="AC75" s="188"/>
      <c r="AD75" s="190"/>
      <c r="AE75" s="189"/>
    </row>
    <row r="76" spans="1:31" ht="21.25" customHeight="1" x14ac:dyDescent="0.15">
      <c r="A76" s="9" t="s">
        <v>259</v>
      </c>
      <c r="B76" s="186" t="s">
        <v>851</v>
      </c>
      <c r="C76" s="187">
        <v>21</v>
      </c>
      <c r="D76" s="186" t="s">
        <v>816</v>
      </c>
      <c r="E76" s="90">
        <v>75.474999999999994</v>
      </c>
      <c r="F76" s="188">
        <v>17.639158663726</v>
      </c>
      <c r="G76" s="189">
        <v>0.39887248801554898</v>
      </c>
      <c r="H76" s="189">
        <v>0.44325202265697899</v>
      </c>
      <c r="I76" s="189">
        <v>0.84212451067252803</v>
      </c>
      <c r="J76" s="189">
        <v>2.7557545569094102</v>
      </c>
      <c r="K76" s="189">
        <v>0.20956808940483701</v>
      </c>
      <c r="L76" s="189">
        <v>0.34509700765714202</v>
      </c>
      <c r="M76" s="189">
        <v>8.4768829590696499E-3</v>
      </c>
      <c r="N76" s="189">
        <v>1.65456634979817E-2</v>
      </c>
      <c r="O76" s="189">
        <v>0.53527142094095403</v>
      </c>
      <c r="P76" s="189">
        <v>0.85327081287816198</v>
      </c>
      <c r="Q76" s="189">
        <v>1.1464212067254301E-3</v>
      </c>
      <c r="R76" s="189">
        <v>0.40491708891334899</v>
      </c>
      <c r="S76" s="189">
        <v>5.83667689929886E-2</v>
      </c>
      <c r="T76" s="189">
        <v>0.19416763576853999</v>
      </c>
      <c r="U76" s="189">
        <v>0.44606782776284398</v>
      </c>
      <c r="V76" s="189">
        <v>0.30327535231734598</v>
      </c>
      <c r="W76" s="189"/>
      <c r="X76" s="90"/>
      <c r="Y76" s="188"/>
      <c r="Z76" s="188"/>
      <c r="AA76" s="188"/>
      <c r="AB76" s="188"/>
      <c r="AC76" s="188"/>
      <c r="AD76" s="190"/>
      <c r="AE76" s="189"/>
    </row>
    <row r="77" spans="1:31" ht="21.25" customHeight="1" x14ac:dyDescent="0.15">
      <c r="A77" s="9" t="s">
        <v>243</v>
      </c>
      <c r="B77" s="186" t="s">
        <v>858</v>
      </c>
      <c r="C77" s="187">
        <v>26</v>
      </c>
      <c r="D77" s="186" t="s">
        <v>867</v>
      </c>
      <c r="E77" s="90">
        <v>78.614999999999995</v>
      </c>
      <c r="F77" s="188">
        <v>18.915992000941799</v>
      </c>
      <c r="G77" s="189">
        <v>0.34356407566247399</v>
      </c>
      <c r="H77" s="189">
        <v>0.49712827229050199</v>
      </c>
      <c r="I77" s="189">
        <v>0.84069234795297598</v>
      </c>
      <c r="J77" s="189">
        <v>2.50663822483506</v>
      </c>
      <c r="K77" s="189">
        <v>8.48306219829221E-2</v>
      </c>
      <c r="L77" s="189">
        <v>0.20857721001002</v>
      </c>
      <c r="M77" s="189">
        <v>2.36351103976752E-4</v>
      </c>
      <c r="N77" s="189">
        <v>3.9982820915287901E-4</v>
      </c>
      <c r="O77" s="189">
        <v>0.38334262321810197</v>
      </c>
      <c r="P77" s="189">
        <v>0.27388270805659898</v>
      </c>
      <c r="Q77" s="189">
        <v>-7.6031197996727307E-2</v>
      </c>
      <c r="R77" s="189">
        <v>0.359980164943762</v>
      </c>
      <c r="S77" s="189">
        <v>4.0045673825235703E-2</v>
      </c>
      <c r="T77" s="189">
        <v>9.9310350323768198E-2</v>
      </c>
      <c r="U77" s="189">
        <v>9.7192851535600297E-2</v>
      </c>
      <c r="V77" s="189">
        <v>0.50538794983524804</v>
      </c>
      <c r="W77" s="189"/>
      <c r="X77" s="90"/>
      <c r="Y77" s="188"/>
      <c r="Z77" s="188"/>
      <c r="AA77" s="188"/>
      <c r="AB77" s="188"/>
      <c r="AC77" s="188"/>
      <c r="AD77" s="190"/>
      <c r="AE77" s="189"/>
    </row>
    <row r="78" spans="1:31" ht="21.25" customHeight="1" x14ac:dyDescent="0.15">
      <c r="A78" s="9" t="s">
        <v>258</v>
      </c>
      <c r="B78" s="186" t="s">
        <v>839</v>
      </c>
      <c r="C78" s="187">
        <v>38</v>
      </c>
      <c r="D78" s="186" t="s">
        <v>815</v>
      </c>
      <c r="E78" s="90">
        <v>77.930000000000007</v>
      </c>
      <c r="F78" s="188">
        <v>18.676623219418801</v>
      </c>
      <c r="G78" s="189">
        <v>0.31306639979760698</v>
      </c>
      <c r="H78" s="189">
        <v>0.52469938002323802</v>
      </c>
      <c r="I78" s="189">
        <v>0.83776577982084499</v>
      </c>
      <c r="J78" s="189">
        <v>2.5936862021029898</v>
      </c>
      <c r="K78" s="189">
        <v>9.5260173193298506E-2</v>
      </c>
      <c r="L78" s="189">
        <v>0.28224991478315498</v>
      </c>
      <c r="M78" s="189">
        <v>8.6616217124265302E-5</v>
      </c>
      <c r="N78" s="189">
        <v>1.49222960860834E-4</v>
      </c>
      <c r="O78" s="189">
        <v>0.48489750436096302</v>
      </c>
      <c r="P78" s="189">
        <v>0.50084136905946097</v>
      </c>
      <c r="Q78" s="189">
        <v>1.7824671599993399E-2</v>
      </c>
      <c r="R78" s="189">
        <v>0.72881277385878296</v>
      </c>
      <c r="S78" s="189">
        <v>4.6409871690372702E-2</v>
      </c>
      <c r="T78" s="189">
        <v>4.7628050173795602</v>
      </c>
      <c r="U78" s="189">
        <v>5.1237353992328298</v>
      </c>
      <c r="V78" s="189">
        <v>0.48174637605047399</v>
      </c>
      <c r="W78" s="189"/>
      <c r="X78" s="90"/>
      <c r="Y78" s="188"/>
      <c r="Z78" s="188"/>
      <c r="AA78" s="188"/>
      <c r="AB78" s="188"/>
      <c r="AC78" s="188"/>
      <c r="AD78" s="190"/>
      <c r="AE78" s="189"/>
    </row>
    <row r="79" spans="1:31" ht="21.25" customHeight="1" x14ac:dyDescent="0.15">
      <c r="A79" s="9" t="s">
        <v>263</v>
      </c>
      <c r="B79" s="186" t="s">
        <v>851</v>
      </c>
      <c r="C79" s="187">
        <v>28</v>
      </c>
      <c r="D79" s="186" t="s">
        <v>867</v>
      </c>
      <c r="E79" s="90">
        <v>76.984999999999999</v>
      </c>
      <c r="F79" s="188">
        <v>18.9124496780219</v>
      </c>
      <c r="G79" s="189">
        <v>0.31239990969896198</v>
      </c>
      <c r="H79" s="189">
        <v>0.52339918986296896</v>
      </c>
      <c r="I79" s="189">
        <v>0.83579909956193099</v>
      </c>
      <c r="J79" s="189">
        <v>2.0538463531748201</v>
      </c>
      <c r="K79" s="189">
        <v>0.10714748175927</v>
      </c>
      <c r="L79" s="189">
        <v>0.23164630211067599</v>
      </c>
      <c r="M79" s="189">
        <v>4.6513834927108203E-3</v>
      </c>
      <c r="N79" s="189">
        <v>7.5077934504883901E-3</v>
      </c>
      <c r="O79" s="189">
        <v>0.48346598945373698</v>
      </c>
      <c r="P79" s="189">
        <v>0.272949102043752</v>
      </c>
      <c r="Q79" s="189">
        <v>6.35439301751488E-3</v>
      </c>
      <c r="R79" s="189">
        <v>0.26727555203512499</v>
      </c>
      <c r="S79" s="189">
        <v>4.5713289110376101E-2</v>
      </c>
      <c r="T79" s="189">
        <v>1.87713127201999</v>
      </c>
      <c r="U79" s="189">
        <v>2.5493937703320801</v>
      </c>
      <c r="V79" s="189">
        <v>0.42406430643902099</v>
      </c>
      <c r="W79" s="189"/>
      <c r="X79" s="90"/>
      <c r="Y79" s="188"/>
      <c r="Z79" s="188"/>
      <c r="AA79" s="188"/>
      <c r="AB79" s="188"/>
      <c r="AC79" s="188"/>
      <c r="AD79" s="190"/>
      <c r="AE79" s="189"/>
    </row>
    <row r="80" spans="1:31" ht="21.25" customHeight="1" x14ac:dyDescent="0.15">
      <c r="A80" s="9" t="s">
        <v>216</v>
      </c>
      <c r="B80" s="186" t="s">
        <v>845</v>
      </c>
      <c r="C80" s="187">
        <v>33</v>
      </c>
      <c r="D80" s="186" t="s">
        <v>815</v>
      </c>
      <c r="E80" s="90">
        <v>80.930000000000007</v>
      </c>
      <c r="F80" s="188">
        <v>18.731188770020601</v>
      </c>
      <c r="G80" s="189">
        <v>0.31373499511356501</v>
      </c>
      <c r="H80" s="189">
        <v>0.52193318147175605</v>
      </c>
      <c r="I80" s="189">
        <v>0.835668176585321</v>
      </c>
      <c r="J80" s="189">
        <v>3.3286256337052298</v>
      </c>
      <c r="K80" s="189">
        <v>0.106635552451823</v>
      </c>
      <c r="L80" s="189">
        <v>0.25384206813508298</v>
      </c>
      <c r="M80" s="189">
        <v>1.7352799825588101E-3</v>
      </c>
      <c r="N80" s="189">
        <v>2.9875872026437502E-3</v>
      </c>
      <c r="O80" s="189">
        <v>0.35699174049468302</v>
      </c>
      <c r="P80" s="189">
        <v>0.85456709594855496</v>
      </c>
      <c r="Q80" s="189">
        <v>-1.6180261071526699E-2</v>
      </c>
      <c r="R80" s="189">
        <v>0.573157123711036</v>
      </c>
      <c r="S80" s="189">
        <v>4.5580605489547399E-2</v>
      </c>
      <c r="T80" s="189">
        <v>7.4682719599926504</v>
      </c>
      <c r="U80" s="189">
        <v>7.8802246601769204</v>
      </c>
      <c r="V80" s="189">
        <v>0.48658003091837299</v>
      </c>
      <c r="W80" s="189"/>
      <c r="X80" s="90"/>
      <c r="Y80" s="188"/>
      <c r="Z80" s="188"/>
      <c r="AA80" s="188"/>
      <c r="AB80" s="188"/>
      <c r="AC80" s="188"/>
      <c r="AD80" s="190"/>
      <c r="AE80" s="189"/>
    </row>
    <row r="81" spans="1:31" ht="21.25" customHeight="1" x14ac:dyDescent="0.15">
      <c r="A81" s="9" t="s">
        <v>227</v>
      </c>
      <c r="B81" s="186" t="s">
        <v>855</v>
      </c>
      <c r="C81" s="187">
        <v>28</v>
      </c>
      <c r="D81" s="186" t="s">
        <v>865</v>
      </c>
      <c r="E81" s="90">
        <v>80.462500000000006</v>
      </c>
      <c r="F81" s="188">
        <v>17.885494987060301</v>
      </c>
      <c r="G81" s="189">
        <v>0.42068585346280601</v>
      </c>
      <c r="H81" s="189">
        <v>0.413857213486998</v>
      </c>
      <c r="I81" s="189">
        <v>0.83454306694980396</v>
      </c>
      <c r="J81" s="189">
        <v>2.8312915893160202</v>
      </c>
      <c r="K81" s="189">
        <v>9.9381598664874199E-2</v>
      </c>
      <c r="L81" s="189">
        <v>0.24935584919468701</v>
      </c>
      <c r="M81" s="189">
        <v>3.3989548632248699E-2</v>
      </c>
      <c r="N81" s="189">
        <v>3.6028292191766398E-2</v>
      </c>
      <c r="O81" s="189">
        <v>0.40408597873201302</v>
      </c>
      <c r="P81" s="189">
        <v>0.72976580756709497</v>
      </c>
      <c r="Q81" s="189">
        <v>4.3067227402471302E-4</v>
      </c>
      <c r="R81" s="189">
        <v>0.35589560620458199</v>
      </c>
      <c r="S81" s="189">
        <v>6.3880167008491806E-2</v>
      </c>
      <c r="T81" s="189">
        <v>1.73515683129564</v>
      </c>
      <c r="U81" s="189">
        <v>2.3619855232291802</v>
      </c>
      <c r="V81" s="189">
        <v>0.423504160010297</v>
      </c>
      <c r="W81" s="189"/>
      <c r="X81" s="90"/>
      <c r="Y81" s="188"/>
      <c r="Z81" s="188"/>
      <c r="AA81" s="188"/>
      <c r="AB81" s="188"/>
      <c r="AC81" s="188"/>
      <c r="AD81" s="190"/>
      <c r="AE81" s="189"/>
    </row>
    <row r="82" spans="1:31" ht="21.25" customHeight="1" x14ac:dyDescent="0.15">
      <c r="A82" s="9" t="s">
        <v>201</v>
      </c>
      <c r="B82" s="186" t="s">
        <v>842</v>
      </c>
      <c r="C82" s="187">
        <v>26</v>
      </c>
      <c r="D82" s="186" t="s">
        <v>866</v>
      </c>
      <c r="E82" s="90">
        <v>82.03</v>
      </c>
      <c r="F82" s="188">
        <v>18.2025138776383</v>
      </c>
      <c r="G82" s="189">
        <v>0.35472932460281198</v>
      </c>
      <c r="H82" s="189">
        <v>0.47594032053306901</v>
      </c>
      <c r="I82" s="189">
        <v>0.83066964513588104</v>
      </c>
      <c r="J82" s="189">
        <v>2.94040615509451</v>
      </c>
      <c r="K82" s="189">
        <v>0.121804243022718</v>
      </c>
      <c r="L82" s="189">
        <v>0.268273622985922</v>
      </c>
      <c r="M82" s="189">
        <v>1.12999600519879E-4</v>
      </c>
      <c r="N82" s="189">
        <v>1.90969881089854E-4</v>
      </c>
      <c r="O82" s="189">
        <v>0.43743129464795899</v>
      </c>
      <c r="P82" s="189">
        <v>0.926361838470527</v>
      </c>
      <c r="Q82" s="189">
        <v>-2.3394981416096E-2</v>
      </c>
      <c r="R82" s="189">
        <v>0.35056028513155801</v>
      </c>
      <c r="S82" s="189">
        <v>4.8719470839229798E-2</v>
      </c>
      <c r="T82" s="189">
        <v>0.208446079177665</v>
      </c>
      <c r="U82" s="189">
        <v>0.26009464567484902</v>
      </c>
      <c r="V82" s="189">
        <v>0.44488358881349999</v>
      </c>
      <c r="W82" s="189"/>
      <c r="X82" s="90"/>
      <c r="Y82" s="188"/>
      <c r="Z82" s="188"/>
      <c r="AA82" s="188"/>
      <c r="AB82" s="188"/>
      <c r="AC82" s="188"/>
      <c r="AD82" s="190"/>
      <c r="AE82" s="189"/>
    </row>
    <row r="83" spans="1:31" ht="21.25" customHeight="1" x14ac:dyDescent="0.15">
      <c r="A83" s="9" t="s">
        <v>295</v>
      </c>
      <c r="B83" s="186" t="s">
        <v>854</v>
      </c>
      <c r="C83" s="187">
        <v>26</v>
      </c>
      <c r="D83" s="186" t="s">
        <v>816</v>
      </c>
      <c r="E83" s="90">
        <v>64.357500000000002</v>
      </c>
      <c r="F83" s="188">
        <v>17.765671071872202</v>
      </c>
      <c r="G83" s="189">
        <v>0.37831867577244199</v>
      </c>
      <c r="H83" s="189">
        <v>0.45234260537948701</v>
      </c>
      <c r="I83" s="189">
        <v>0.83066128115192905</v>
      </c>
      <c r="J83" s="189">
        <v>2.8129302109115502</v>
      </c>
      <c r="K83" s="189">
        <v>0.110455026887038</v>
      </c>
      <c r="L83" s="189">
        <v>0.24903014682698399</v>
      </c>
      <c r="M83" s="189">
        <v>1.10331781453033E-4</v>
      </c>
      <c r="N83" s="189">
        <v>1.8631759477945499E-4</v>
      </c>
      <c r="O83" s="189">
        <v>0.55432547565554502</v>
      </c>
      <c r="P83" s="189">
        <v>0.57166920846407199</v>
      </c>
      <c r="Q83" s="189">
        <v>-9.04048532034189E-2</v>
      </c>
      <c r="R83" s="189">
        <v>0.327680073428055</v>
      </c>
      <c r="S83" s="189">
        <v>4.3847615994892897E-2</v>
      </c>
      <c r="T83" s="189">
        <v>0.93644706349019202</v>
      </c>
      <c r="U83" s="189">
        <v>1.6570065703366099</v>
      </c>
      <c r="V83" s="189">
        <v>0.361081089430701</v>
      </c>
      <c r="W83" s="189"/>
      <c r="X83" s="90"/>
      <c r="Y83" s="188"/>
      <c r="Z83" s="188"/>
      <c r="AA83" s="188"/>
      <c r="AB83" s="188"/>
      <c r="AC83" s="188"/>
      <c r="AD83" s="190"/>
      <c r="AE83" s="189"/>
    </row>
    <row r="84" spans="1:31" ht="21.25" customHeight="1" x14ac:dyDescent="0.15">
      <c r="A84" s="9" t="s">
        <v>222</v>
      </c>
      <c r="B84" s="186" t="s">
        <v>830</v>
      </c>
      <c r="C84" s="187">
        <v>33</v>
      </c>
      <c r="D84" s="186" t="s">
        <v>817</v>
      </c>
      <c r="E84" s="90">
        <v>80.605000000000004</v>
      </c>
      <c r="F84" s="188">
        <v>17.772379735531501</v>
      </c>
      <c r="G84" s="189">
        <v>0.43555834957725198</v>
      </c>
      <c r="H84" s="189">
        <v>0.39443854645411203</v>
      </c>
      <c r="I84" s="189">
        <v>0.82999689603136395</v>
      </c>
      <c r="J84" s="189">
        <v>3.1948267526102798</v>
      </c>
      <c r="K84" s="189">
        <v>0.11358097407425601</v>
      </c>
      <c r="L84" s="189">
        <v>0.25813252631260097</v>
      </c>
      <c r="M84" s="189">
        <v>7.1790779589698707E-5</v>
      </c>
      <c r="N84" s="189">
        <v>1.2071029271101701E-4</v>
      </c>
      <c r="O84" s="189">
        <v>0.285354319225195</v>
      </c>
      <c r="P84" s="189">
        <v>1.1608985967768599</v>
      </c>
      <c r="Q84" s="189">
        <v>5.15260656706352E-3</v>
      </c>
      <c r="R84" s="189">
        <v>0.41803757379455198</v>
      </c>
      <c r="S84" s="189">
        <v>6.1671935001354199E-2</v>
      </c>
      <c r="T84" s="189">
        <v>0.16517263611584099</v>
      </c>
      <c r="U84" s="189">
        <v>0.33095188495580202</v>
      </c>
      <c r="V84" s="189">
        <v>0.33292576581190397</v>
      </c>
      <c r="W84" s="189"/>
      <c r="X84" s="90"/>
      <c r="Y84" s="188"/>
      <c r="Z84" s="188"/>
      <c r="AA84" s="188"/>
      <c r="AB84" s="188"/>
      <c r="AC84" s="188"/>
      <c r="AD84" s="190"/>
      <c r="AE84" s="189"/>
    </row>
    <row r="85" spans="1:31" ht="21.25" customHeight="1" x14ac:dyDescent="0.15">
      <c r="A85" s="9" t="s">
        <v>239</v>
      </c>
      <c r="B85" s="186" t="s">
        <v>834</v>
      </c>
      <c r="C85" s="187">
        <v>23</v>
      </c>
      <c r="D85" s="186" t="s">
        <v>815</v>
      </c>
      <c r="E85" s="90">
        <v>81.06</v>
      </c>
      <c r="F85" s="188">
        <v>18.739456893642501</v>
      </c>
      <c r="G85" s="189">
        <v>0.33557159808393699</v>
      </c>
      <c r="H85" s="189">
        <v>0.49353680489545898</v>
      </c>
      <c r="I85" s="189">
        <v>0.82910840297939603</v>
      </c>
      <c r="J85" s="189">
        <v>2.7555689974136701</v>
      </c>
      <c r="K85" s="189">
        <v>6.4519712247806005E-2</v>
      </c>
      <c r="L85" s="189">
        <v>0.23366631558783901</v>
      </c>
      <c r="M85" s="189">
        <v>2.2192016102557399E-2</v>
      </c>
      <c r="N85" s="189">
        <v>2.8504509603598498E-2</v>
      </c>
      <c r="O85" s="189">
        <v>0.39084753242843501</v>
      </c>
      <c r="P85" s="189">
        <v>1.15603398365226</v>
      </c>
      <c r="Q85" s="189">
        <v>-1.7899674491043901E-2</v>
      </c>
      <c r="R85" s="189">
        <v>0.50173691638090701</v>
      </c>
      <c r="S85" s="189">
        <v>4.7468426673505801E-2</v>
      </c>
      <c r="T85" s="189">
        <v>7.1787438695720098</v>
      </c>
      <c r="U85" s="189">
        <v>8.2610545874696495</v>
      </c>
      <c r="V85" s="189">
        <v>0.46495062027820599</v>
      </c>
      <c r="W85" s="189"/>
      <c r="X85" s="90"/>
      <c r="Y85" s="188"/>
      <c r="Z85" s="188"/>
      <c r="AA85" s="188"/>
      <c r="AB85" s="188"/>
      <c r="AC85" s="188"/>
      <c r="AD85" s="190"/>
      <c r="AE85" s="189"/>
    </row>
    <row r="86" spans="1:31" ht="21.25" customHeight="1" x14ac:dyDescent="0.15">
      <c r="A86" s="9" t="s">
        <v>159</v>
      </c>
      <c r="B86" s="186" t="s">
        <v>837</v>
      </c>
      <c r="C86" s="187">
        <v>25</v>
      </c>
      <c r="D86" s="186" t="s">
        <v>818</v>
      </c>
      <c r="E86" s="90">
        <v>78.465000000000003</v>
      </c>
      <c r="F86" s="188">
        <v>24.6868002490022</v>
      </c>
      <c r="G86" s="189">
        <v>0.13291374829493999</v>
      </c>
      <c r="H86" s="189">
        <v>0.69558968247720598</v>
      </c>
      <c r="I86" s="189">
        <v>0.82850343077214605</v>
      </c>
      <c r="J86" s="189">
        <v>2.3936189379400301</v>
      </c>
      <c r="K86" s="189">
        <v>3.6809217491347898E-2</v>
      </c>
      <c r="L86" s="189">
        <v>0.35760524238249303</v>
      </c>
      <c r="M86" s="189">
        <v>1.8298961972442899E-4</v>
      </c>
      <c r="N86" s="189">
        <v>2.81249139217425E-3</v>
      </c>
      <c r="O86" s="189">
        <v>1.3818711882553001</v>
      </c>
      <c r="P86" s="189">
        <v>0.814851638242721</v>
      </c>
      <c r="Q86" s="189">
        <v>9.9097790711939998E-2</v>
      </c>
      <c r="R86" s="189">
        <v>0.40895607913786203</v>
      </c>
      <c r="S86" s="189">
        <v>2.1255395670691801E-2</v>
      </c>
      <c r="T86" s="189">
        <v>0</v>
      </c>
      <c r="U86" s="189">
        <v>0</v>
      </c>
      <c r="V86" s="189">
        <v>0</v>
      </c>
      <c r="W86" s="189"/>
      <c r="X86" s="90"/>
      <c r="Y86" s="188"/>
      <c r="Z86" s="188"/>
      <c r="AA86" s="188"/>
      <c r="AB86" s="188"/>
      <c r="AC86" s="188"/>
      <c r="AD86" s="190"/>
      <c r="AE86" s="189"/>
    </row>
    <row r="87" spans="1:31" ht="21.25" customHeight="1" x14ac:dyDescent="0.15">
      <c r="A87" s="9" t="s">
        <v>255</v>
      </c>
      <c r="B87" s="186" t="s">
        <v>838</v>
      </c>
      <c r="C87" s="187">
        <v>28</v>
      </c>
      <c r="D87" s="186" t="s">
        <v>816</v>
      </c>
      <c r="E87" s="90">
        <v>74.942499999999995</v>
      </c>
      <c r="F87" s="188">
        <v>17.479807861012301</v>
      </c>
      <c r="G87" s="189">
        <v>0.328362793572264</v>
      </c>
      <c r="H87" s="189">
        <v>0.49922025272142401</v>
      </c>
      <c r="I87" s="189">
        <v>0.82758304629368795</v>
      </c>
      <c r="J87" s="189">
        <v>3.16747446400066</v>
      </c>
      <c r="K87" s="189">
        <v>4.0287906530140999E-2</v>
      </c>
      <c r="L87" s="189">
        <v>0.17834375341504999</v>
      </c>
      <c r="M87" s="189">
        <v>4.7309559396589499E-5</v>
      </c>
      <c r="N87" s="189">
        <v>8.0290074589744204E-5</v>
      </c>
      <c r="O87" s="189">
        <v>0.46432575796195402</v>
      </c>
      <c r="P87" s="189">
        <v>0.53990429908612703</v>
      </c>
      <c r="Q87" s="189">
        <v>7.6646094291305894E-2</v>
      </c>
      <c r="R87" s="189">
        <v>0.37150673586829103</v>
      </c>
      <c r="S87" s="189">
        <v>5.4582616906081197E-2</v>
      </c>
      <c r="T87" s="189">
        <v>7.0791465208996096E-2</v>
      </c>
      <c r="U87" s="189">
        <v>9.6234448739308198E-2</v>
      </c>
      <c r="V87" s="189">
        <v>0.42383522134718898</v>
      </c>
      <c r="W87" s="189"/>
      <c r="X87" s="90"/>
      <c r="Y87" s="188"/>
      <c r="Z87" s="188"/>
      <c r="AA87" s="188"/>
      <c r="AB87" s="188"/>
      <c r="AC87" s="188"/>
      <c r="AD87" s="190"/>
      <c r="AE87" s="189"/>
    </row>
    <row r="88" spans="1:31" ht="21.25" customHeight="1" x14ac:dyDescent="0.15">
      <c r="A88" s="9" t="s">
        <v>262</v>
      </c>
      <c r="B88" s="186" t="s">
        <v>851</v>
      </c>
      <c r="C88" s="187">
        <v>20</v>
      </c>
      <c r="D88" s="186" t="s">
        <v>815</v>
      </c>
      <c r="E88" s="90">
        <v>80.680000000000007</v>
      </c>
      <c r="F88" s="188">
        <v>18.3350173890489</v>
      </c>
      <c r="G88" s="189">
        <v>0.347956043165912</v>
      </c>
      <c r="H88" s="189">
        <v>0.477379009176711</v>
      </c>
      <c r="I88" s="189">
        <v>0.82533505234262305</v>
      </c>
      <c r="J88" s="189">
        <v>2.2374508412337599</v>
      </c>
      <c r="K88" s="189">
        <v>8.8524396549886697E-2</v>
      </c>
      <c r="L88" s="189">
        <v>0.31699233423252099</v>
      </c>
      <c r="M88" s="189">
        <v>8.4193995655334995E-3</v>
      </c>
      <c r="N88" s="189">
        <v>9.4857265793434498E-3</v>
      </c>
      <c r="O88" s="189">
        <v>0.39191305311261199</v>
      </c>
      <c r="P88" s="189">
        <v>0.732052346052115</v>
      </c>
      <c r="Q88" s="189">
        <v>-9.6142768274443801E-3</v>
      </c>
      <c r="R88" s="189">
        <v>0.33251844664451002</v>
      </c>
      <c r="S88" s="189">
        <v>5.0916196532430298E-2</v>
      </c>
      <c r="T88" s="189">
        <v>3.7042724170901198</v>
      </c>
      <c r="U88" s="189">
        <v>6.0371157331964902</v>
      </c>
      <c r="V88" s="189">
        <v>0.380261248185776</v>
      </c>
      <c r="W88" s="189"/>
      <c r="X88" s="90"/>
      <c r="Y88" s="188"/>
      <c r="Z88" s="188"/>
      <c r="AA88" s="188"/>
      <c r="AB88" s="188"/>
      <c r="AC88" s="188"/>
      <c r="AD88" s="190"/>
      <c r="AE88" s="189"/>
    </row>
    <row r="89" spans="1:31" ht="21.25" customHeight="1" x14ac:dyDescent="0.15">
      <c r="A89" s="9" t="s">
        <v>266</v>
      </c>
      <c r="B89" s="186" t="s">
        <v>845</v>
      </c>
      <c r="C89" s="187">
        <v>31</v>
      </c>
      <c r="D89" s="186" t="s">
        <v>865</v>
      </c>
      <c r="E89" s="90">
        <v>81.239999999999995</v>
      </c>
      <c r="F89" s="188">
        <v>18.324356984088599</v>
      </c>
      <c r="G89" s="189">
        <v>0.21197804371972701</v>
      </c>
      <c r="H89" s="189">
        <v>0.60466903319288501</v>
      </c>
      <c r="I89" s="189">
        <v>0.81664707691261196</v>
      </c>
      <c r="J89" s="189">
        <v>2.0215794596922101</v>
      </c>
      <c r="K89" s="189">
        <v>5.5641067255722799E-2</v>
      </c>
      <c r="L89" s="189">
        <v>0.26149303267501101</v>
      </c>
      <c r="M89" s="189">
        <v>4.2838340106462997E-4</v>
      </c>
      <c r="N89" s="189">
        <v>7.4963965574318704E-4</v>
      </c>
      <c r="O89" s="189">
        <v>0.443819156450943</v>
      </c>
      <c r="P89" s="189">
        <v>0.84258017624496995</v>
      </c>
      <c r="Q89" s="189">
        <v>-2.78064551881761E-2</v>
      </c>
      <c r="R89" s="189">
        <v>0.47587634415539698</v>
      </c>
      <c r="S89" s="189">
        <v>3.07969711180528E-2</v>
      </c>
      <c r="T89" s="189">
        <v>0.163269738930608</v>
      </c>
      <c r="U89" s="189">
        <v>0.24979729312819399</v>
      </c>
      <c r="V89" s="189">
        <v>0.39526209128053902</v>
      </c>
      <c r="W89" s="189"/>
      <c r="X89" s="90"/>
      <c r="Y89" s="188"/>
      <c r="Z89" s="188"/>
      <c r="AA89" s="188"/>
      <c r="AB89" s="188"/>
      <c r="AC89" s="188"/>
      <c r="AD89" s="190"/>
      <c r="AE89" s="189"/>
    </row>
    <row r="90" spans="1:31" ht="21.25" customHeight="1" x14ac:dyDescent="0.15">
      <c r="A90" s="9" t="s">
        <v>213</v>
      </c>
      <c r="B90" s="186" t="s">
        <v>849</v>
      </c>
      <c r="C90" s="187">
        <v>22</v>
      </c>
      <c r="D90" s="186" t="s">
        <v>867</v>
      </c>
      <c r="E90" s="90">
        <v>80.452500000000001</v>
      </c>
      <c r="F90" s="188">
        <v>19.192046722028099</v>
      </c>
      <c r="G90" s="189">
        <v>0.36876552297132797</v>
      </c>
      <c r="H90" s="189">
        <v>0.44615947160916702</v>
      </c>
      <c r="I90" s="189">
        <v>0.81492499458049505</v>
      </c>
      <c r="J90" s="189">
        <v>2.3729080691424498</v>
      </c>
      <c r="K90" s="189">
        <v>0.10652890842813</v>
      </c>
      <c r="L90" s="189">
        <v>0.22017627742853099</v>
      </c>
      <c r="M90" s="189">
        <v>2.911236114403E-2</v>
      </c>
      <c r="N90" s="189">
        <v>4.1902146416958101E-2</v>
      </c>
      <c r="O90" s="189">
        <v>0.67140285505695496</v>
      </c>
      <c r="P90" s="189">
        <v>1.27140060123821</v>
      </c>
      <c r="Q90" s="189">
        <v>0.104590420631998</v>
      </c>
      <c r="R90" s="189">
        <v>0.26549778300506799</v>
      </c>
      <c r="S90" s="189">
        <v>6.3901749805281599E-2</v>
      </c>
      <c r="T90" s="189">
        <v>1.4368693774638099</v>
      </c>
      <c r="U90" s="189">
        <v>2.0650510344783899</v>
      </c>
      <c r="V90" s="189">
        <v>0.41030897577335401</v>
      </c>
      <c r="W90" s="189"/>
      <c r="X90" s="90"/>
      <c r="Y90" s="188"/>
      <c r="Z90" s="188"/>
      <c r="AA90" s="188"/>
      <c r="AB90" s="188"/>
      <c r="AC90" s="188"/>
      <c r="AD90" s="190"/>
      <c r="AE90" s="189"/>
    </row>
    <row r="91" spans="1:31" ht="21.25" customHeight="1" x14ac:dyDescent="0.15">
      <c r="A91" s="9" t="s">
        <v>238</v>
      </c>
      <c r="B91" s="186" t="s">
        <v>828</v>
      </c>
      <c r="C91" s="187">
        <v>36</v>
      </c>
      <c r="D91" s="186" t="s">
        <v>816</v>
      </c>
      <c r="E91" s="90">
        <v>79.592500000000001</v>
      </c>
      <c r="F91" s="188">
        <v>18.9353261930065</v>
      </c>
      <c r="G91" s="189">
        <v>0.30820913187589899</v>
      </c>
      <c r="H91" s="189">
        <v>0.505805403190009</v>
      </c>
      <c r="I91" s="189">
        <v>0.81401453506590804</v>
      </c>
      <c r="J91" s="189">
        <v>2.62435881745151</v>
      </c>
      <c r="K91" s="189">
        <v>8.2406912362243095E-2</v>
      </c>
      <c r="L91" s="189">
        <v>0.31208869680261198</v>
      </c>
      <c r="M91" s="189">
        <v>1.93547858212362E-2</v>
      </c>
      <c r="N91" s="189">
        <v>2.8659044969278999E-2</v>
      </c>
      <c r="O91" s="189">
        <v>0.401112670783074</v>
      </c>
      <c r="P91" s="189">
        <v>1.2843070665149099</v>
      </c>
      <c r="Q91" s="189">
        <v>4.9207394684206297E-2</v>
      </c>
      <c r="R91" s="189">
        <v>0.89635830464042499</v>
      </c>
      <c r="S91" s="189">
        <v>4.8004718201199101E-2</v>
      </c>
      <c r="T91" s="189">
        <v>0.26729327815391202</v>
      </c>
      <c r="U91" s="189">
        <v>0.40343841378334699</v>
      </c>
      <c r="V91" s="189">
        <v>0.39850998747635602</v>
      </c>
      <c r="W91" s="189"/>
      <c r="X91" s="90"/>
      <c r="Y91" s="188"/>
      <c r="Z91" s="188"/>
      <c r="AA91" s="188"/>
      <c r="AB91" s="188"/>
      <c r="AC91" s="188"/>
      <c r="AD91" s="190"/>
      <c r="AE91" s="189"/>
    </row>
    <row r="92" spans="1:31" ht="21.25" customHeight="1" x14ac:dyDescent="0.15">
      <c r="A92" s="9" t="s">
        <v>163</v>
      </c>
      <c r="B92" s="186" t="s">
        <v>826</v>
      </c>
      <c r="C92" s="187">
        <v>30</v>
      </c>
      <c r="D92" s="186" t="s">
        <v>818</v>
      </c>
      <c r="E92" s="90">
        <v>77.917500000000004</v>
      </c>
      <c r="F92" s="188">
        <v>24.4251828657397</v>
      </c>
      <c r="G92" s="189">
        <v>0.10322601931677799</v>
      </c>
      <c r="H92" s="189">
        <v>0.70494460592486496</v>
      </c>
      <c r="I92" s="189">
        <v>0.80817062524164296</v>
      </c>
      <c r="J92" s="189">
        <v>2.4291575549565398</v>
      </c>
      <c r="K92" s="189">
        <v>2.1379857285827301E-2</v>
      </c>
      <c r="L92" s="189">
        <v>0.305262105276352</v>
      </c>
      <c r="M92" s="189">
        <v>1.65266881608923E-4</v>
      </c>
      <c r="N92" s="189">
        <v>4.1011784275456799E-3</v>
      </c>
      <c r="O92" s="189">
        <v>1.74385010143095</v>
      </c>
      <c r="P92" s="189">
        <v>1.3113886434975099</v>
      </c>
      <c r="Q92" s="189">
        <v>6.9115678797990604E-2</v>
      </c>
      <c r="R92" s="189">
        <v>0.405289428725012</v>
      </c>
      <c r="S92" s="189">
        <v>1.6514312702209599E-2</v>
      </c>
      <c r="T92" s="189">
        <v>0</v>
      </c>
      <c r="U92" s="189">
        <v>0</v>
      </c>
      <c r="V92" s="189">
        <v>0</v>
      </c>
      <c r="W92" s="189"/>
      <c r="X92" s="90"/>
      <c r="Y92" s="188"/>
      <c r="Z92" s="188"/>
      <c r="AA92" s="188"/>
      <c r="AB92" s="188"/>
      <c r="AC92" s="188"/>
      <c r="AD92" s="190"/>
      <c r="AE92" s="189"/>
    </row>
    <row r="93" spans="1:31" ht="21.25" customHeight="1" x14ac:dyDescent="0.15">
      <c r="A93" s="9" t="s">
        <v>225</v>
      </c>
      <c r="B93" s="186" t="s">
        <v>831</v>
      </c>
      <c r="C93" s="187">
        <v>33</v>
      </c>
      <c r="D93" s="186" t="s">
        <v>816</v>
      </c>
      <c r="E93" s="90">
        <v>81.517499999999998</v>
      </c>
      <c r="F93" s="188">
        <v>18.838793565351502</v>
      </c>
      <c r="G93" s="189">
        <v>0.45800359448441902</v>
      </c>
      <c r="H93" s="189">
        <v>0.34949083479781601</v>
      </c>
      <c r="I93" s="189">
        <v>0.80749442928223503</v>
      </c>
      <c r="J93" s="189">
        <v>2.9711621128158301</v>
      </c>
      <c r="K93" s="189">
        <v>0.171500012959278</v>
      </c>
      <c r="L93" s="189">
        <v>0.28941066091944201</v>
      </c>
      <c r="M93" s="189">
        <v>3.2548325705303201E-2</v>
      </c>
      <c r="N93" s="189">
        <v>5.1234233562286499E-2</v>
      </c>
      <c r="O93" s="189">
        <v>0.313041195669644</v>
      </c>
      <c r="P93" s="189">
        <v>1.3110149213092099</v>
      </c>
      <c r="Q93" s="189">
        <v>6.3997040243890205E-2</v>
      </c>
      <c r="R93" s="189">
        <v>0.34859082387969698</v>
      </c>
      <c r="S93" s="189">
        <v>7.4864490709919601E-2</v>
      </c>
      <c r="T93" s="189">
        <v>0.52545582101512101</v>
      </c>
      <c r="U93" s="189">
        <v>0.71320110425008298</v>
      </c>
      <c r="V93" s="189">
        <v>0.42421417125054001</v>
      </c>
      <c r="W93" s="189"/>
      <c r="X93" s="90"/>
      <c r="Y93" s="188"/>
      <c r="Z93" s="188"/>
      <c r="AA93" s="188"/>
      <c r="AB93" s="188"/>
      <c r="AC93" s="188"/>
      <c r="AD93" s="190"/>
      <c r="AE93" s="189"/>
    </row>
    <row r="94" spans="1:31" ht="21.25" customHeight="1" x14ac:dyDescent="0.15">
      <c r="A94" s="9" t="s">
        <v>241</v>
      </c>
      <c r="B94" s="186" t="s">
        <v>835</v>
      </c>
      <c r="C94" s="187">
        <v>27</v>
      </c>
      <c r="D94" s="186" t="s">
        <v>817</v>
      </c>
      <c r="E94" s="90">
        <v>79.652500000000003</v>
      </c>
      <c r="F94" s="188">
        <v>17.922349985466099</v>
      </c>
      <c r="G94" s="189">
        <v>0.37895710697512403</v>
      </c>
      <c r="H94" s="189">
        <v>0.42309079437457597</v>
      </c>
      <c r="I94" s="189">
        <v>0.80204790134970005</v>
      </c>
      <c r="J94" s="189">
        <v>2.49833986636036</v>
      </c>
      <c r="K94" s="189">
        <v>0.153748087905694</v>
      </c>
      <c r="L94" s="189">
        <v>0.27950977356040801</v>
      </c>
      <c r="M94" s="189">
        <v>6.4742566706011705E-5</v>
      </c>
      <c r="N94" s="189">
        <v>1.09409649555585E-4</v>
      </c>
      <c r="O94" s="189">
        <v>0.38091430772222201</v>
      </c>
      <c r="P94" s="189">
        <v>0.67195720852793195</v>
      </c>
      <c r="Q94" s="189">
        <v>5.5389150115017098E-2</v>
      </c>
      <c r="R94" s="189">
        <v>0.29023576302220899</v>
      </c>
      <c r="S94" s="189">
        <v>6.47160980807686E-2</v>
      </c>
      <c r="T94" s="189">
        <v>0.19878533668763401</v>
      </c>
      <c r="U94" s="189">
        <v>0.21963255439952001</v>
      </c>
      <c r="V94" s="189">
        <v>0.47508804217510903</v>
      </c>
      <c r="W94" s="189"/>
      <c r="X94" s="90"/>
      <c r="Y94" s="188"/>
      <c r="Z94" s="188"/>
      <c r="AA94" s="188"/>
      <c r="AB94" s="188"/>
      <c r="AC94" s="188"/>
      <c r="AD94" s="190"/>
      <c r="AE94" s="189"/>
    </row>
    <row r="95" spans="1:31" ht="21.25" customHeight="1" x14ac:dyDescent="0.15">
      <c r="A95" s="9" t="s">
        <v>256</v>
      </c>
      <c r="B95" s="186" t="s">
        <v>842</v>
      </c>
      <c r="C95" s="187">
        <v>35</v>
      </c>
      <c r="D95" s="186" t="s">
        <v>817</v>
      </c>
      <c r="E95" s="90">
        <v>74.712500000000006</v>
      </c>
      <c r="F95" s="188">
        <v>18.382017483654302</v>
      </c>
      <c r="G95" s="189">
        <v>0.29987246887392099</v>
      </c>
      <c r="H95" s="189">
        <v>0.50054263414085298</v>
      </c>
      <c r="I95" s="189">
        <v>0.80041510301477403</v>
      </c>
      <c r="J95" s="189">
        <v>2.9266362151543999</v>
      </c>
      <c r="K95" s="189">
        <v>5.7450095568506401E-2</v>
      </c>
      <c r="L95" s="189">
        <v>0.25712964419078199</v>
      </c>
      <c r="M95" s="189">
        <v>4.49543671123337E-5</v>
      </c>
      <c r="N95" s="189">
        <v>7.7568583228938398E-5</v>
      </c>
      <c r="O95" s="189">
        <v>0.290283671999161</v>
      </c>
      <c r="P95" s="189">
        <v>0.31797559285119398</v>
      </c>
      <c r="Q95" s="189">
        <v>-3.1867215681198803E-2</v>
      </c>
      <c r="R95" s="189">
        <v>0.28675510595973702</v>
      </c>
      <c r="S95" s="189">
        <v>4.1185284073001698E-2</v>
      </c>
      <c r="T95" s="189">
        <v>8.5268752245274606E-3</v>
      </c>
      <c r="U95" s="189">
        <v>1.5744905042622E-2</v>
      </c>
      <c r="V95" s="189">
        <v>0.35130819126885898</v>
      </c>
      <c r="W95" s="189"/>
      <c r="X95" s="90"/>
      <c r="Y95" s="188"/>
      <c r="Z95" s="188"/>
      <c r="AA95" s="188"/>
      <c r="AB95" s="188"/>
      <c r="AC95" s="188"/>
      <c r="AD95" s="190"/>
      <c r="AE95" s="189"/>
    </row>
    <row r="96" spans="1:31" ht="21.25" customHeight="1" x14ac:dyDescent="0.15">
      <c r="A96" s="9" t="s">
        <v>268</v>
      </c>
      <c r="B96" s="186" t="s">
        <v>850</v>
      </c>
      <c r="C96" s="187">
        <v>37</v>
      </c>
      <c r="D96" s="186" t="s">
        <v>815</v>
      </c>
      <c r="E96" s="90">
        <v>81.752499999999998</v>
      </c>
      <c r="F96" s="188">
        <v>19.7039148154219</v>
      </c>
      <c r="G96" s="189">
        <v>0.28283052200777298</v>
      </c>
      <c r="H96" s="189">
        <v>0.50912318692228198</v>
      </c>
      <c r="I96" s="189">
        <v>0.79195370893005501</v>
      </c>
      <c r="J96" s="189">
        <v>1.89317895904987</v>
      </c>
      <c r="K96" s="189">
        <v>8.04165817199676E-2</v>
      </c>
      <c r="L96" s="189">
        <v>0.23720721872265901</v>
      </c>
      <c r="M96" s="189">
        <v>6.7936049959899901E-3</v>
      </c>
      <c r="N96" s="189">
        <v>2.43957507623749E-2</v>
      </c>
      <c r="O96" s="189">
        <v>0.83833170105065502</v>
      </c>
      <c r="P96" s="189">
        <v>0.60689441130602195</v>
      </c>
      <c r="Q96" s="189">
        <v>3.9609423608820402E-2</v>
      </c>
      <c r="R96" s="189">
        <v>0.18209179247388699</v>
      </c>
      <c r="S96" s="189">
        <v>5.0403699755648103E-2</v>
      </c>
      <c r="T96" s="189">
        <v>10.611248749162099</v>
      </c>
      <c r="U96" s="189">
        <v>8.4072954251585408</v>
      </c>
      <c r="V96" s="189">
        <v>0.55794221954641998</v>
      </c>
      <c r="W96" s="189"/>
      <c r="X96" s="90"/>
      <c r="Y96" s="188"/>
      <c r="Z96" s="188"/>
      <c r="AA96" s="188"/>
      <c r="AB96" s="188"/>
      <c r="AC96" s="188"/>
      <c r="AD96" s="190"/>
      <c r="AE96" s="189"/>
    </row>
    <row r="97" spans="1:31" ht="21.25" customHeight="1" x14ac:dyDescent="0.15">
      <c r="A97" s="9" t="s">
        <v>223</v>
      </c>
      <c r="B97" s="186" t="s">
        <v>839</v>
      </c>
      <c r="C97" s="187">
        <v>32</v>
      </c>
      <c r="D97" s="186" t="s">
        <v>817</v>
      </c>
      <c r="E97" s="90">
        <v>76.142499999999998</v>
      </c>
      <c r="F97" s="188">
        <v>20.527099367516001</v>
      </c>
      <c r="G97" s="189">
        <v>0.35525231286525299</v>
      </c>
      <c r="H97" s="189">
        <v>0.43433670625751603</v>
      </c>
      <c r="I97" s="189">
        <v>0.78958901912276902</v>
      </c>
      <c r="J97" s="189">
        <v>3.1937838371307699</v>
      </c>
      <c r="K97" s="189">
        <v>7.0916686181927494E-2</v>
      </c>
      <c r="L97" s="189">
        <v>0.21421675091255199</v>
      </c>
      <c r="M97" s="189">
        <v>1.94055558015664E-3</v>
      </c>
      <c r="N97" s="189">
        <v>7.6551671560200598E-3</v>
      </c>
      <c r="O97" s="189">
        <v>0.75123697828031599</v>
      </c>
      <c r="P97" s="189">
        <v>0.962248100564287</v>
      </c>
      <c r="Q97" s="189">
        <v>3.2987883695775398E-2</v>
      </c>
      <c r="R97" s="189">
        <v>0.389099631375736</v>
      </c>
      <c r="S97" s="189">
        <v>5.2663633875891201E-2</v>
      </c>
      <c r="T97" s="189">
        <v>4.3824549399826399E-2</v>
      </c>
      <c r="U97" s="189">
        <v>8.9091556136406305E-2</v>
      </c>
      <c r="V97" s="189">
        <v>0.32971587019512799</v>
      </c>
      <c r="W97" s="189"/>
      <c r="X97" s="90"/>
      <c r="Y97" s="188"/>
      <c r="Z97" s="188"/>
      <c r="AA97" s="188"/>
      <c r="AB97" s="188"/>
      <c r="AC97" s="188"/>
      <c r="AD97" s="190"/>
      <c r="AE97" s="189"/>
    </row>
    <row r="98" spans="1:31" ht="21.25" customHeight="1" x14ac:dyDescent="0.15">
      <c r="A98" s="9" t="s">
        <v>432</v>
      </c>
      <c r="B98" s="186" t="s">
        <v>825</v>
      </c>
      <c r="C98" s="187">
        <v>29</v>
      </c>
      <c r="D98" s="186" t="s">
        <v>817</v>
      </c>
      <c r="E98" s="90">
        <v>52</v>
      </c>
      <c r="F98" s="188">
        <v>18.495539537852899</v>
      </c>
      <c r="G98" s="189">
        <v>0.35555052686997701</v>
      </c>
      <c r="H98" s="189">
        <v>0.43176697556431098</v>
      </c>
      <c r="I98" s="189">
        <v>0.787317502434288</v>
      </c>
      <c r="J98" s="189">
        <v>2.56989653018461</v>
      </c>
      <c r="K98" s="189">
        <v>0.155567523245525</v>
      </c>
      <c r="L98" s="189">
        <v>0.238433298610395</v>
      </c>
      <c r="M98" s="189">
        <v>4.8799200993469901E-3</v>
      </c>
      <c r="N98" s="189">
        <v>2.2530376549468802E-2</v>
      </c>
      <c r="O98" s="189">
        <v>0.47094186791050102</v>
      </c>
      <c r="P98" s="189">
        <v>1.1645293384523701</v>
      </c>
      <c r="Q98" s="189">
        <v>5.7313760521094402E-2</v>
      </c>
      <c r="R98" s="189">
        <v>0.35</v>
      </c>
      <c r="S98" s="189">
        <v>5.3123036974885997E-2</v>
      </c>
      <c r="T98" s="189">
        <v>1.2186501111091701E-2</v>
      </c>
      <c r="U98" s="189">
        <v>8.9106056558631297E-2</v>
      </c>
      <c r="V98" s="189">
        <v>0.12030993580818899</v>
      </c>
      <c r="W98" s="189"/>
      <c r="X98" s="90"/>
      <c r="Y98" s="188"/>
      <c r="Z98" s="188"/>
      <c r="AA98" s="188"/>
      <c r="AB98" s="188"/>
      <c r="AC98" s="188"/>
      <c r="AD98" s="190"/>
      <c r="AE98" s="189"/>
    </row>
    <row r="99" spans="1:31" ht="21.25" customHeight="1" x14ac:dyDescent="0.15">
      <c r="A99" s="9" t="s">
        <v>172</v>
      </c>
      <c r="B99" s="186" t="s">
        <v>838</v>
      </c>
      <c r="C99" s="187">
        <v>29</v>
      </c>
      <c r="D99" s="186" t="s">
        <v>818</v>
      </c>
      <c r="E99" s="90">
        <v>81.002499999999998</v>
      </c>
      <c r="F99" s="188">
        <v>24.175495918563701</v>
      </c>
      <c r="G99" s="189">
        <v>0.156727981590639</v>
      </c>
      <c r="H99" s="189">
        <v>0.62983480382385004</v>
      </c>
      <c r="I99" s="189">
        <v>0.78656278541448899</v>
      </c>
      <c r="J99" s="189">
        <v>2.34090610950263</v>
      </c>
      <c r="K99" s="189">
        <v>3.7054442355119101E-2</v>
      </c>
      <c r="L99" s="189">
        <v>0.255480843668975</v>
      </c>
      <c r="M99" s="189">
        <v>5.30593116786146E-5</v>
      </c>
      <c r="N99" s="189">
        <v>2.62183413935912E-4</v>
      </c>
      <c r="O99" s="189">
        <v>1.3874590805403899</v>
      </c>
      <c r="P99" s="189">
        <v>1.1858848331810601</v>
      </c>
      <c r="Q99" s="189">
        <v>7.2007936141392295E-2</v>
      </c>
      <c r="R99" s="189">
        <v>0.59154649248785396</v>
      </c>
      <c r="S99" s="189">
        <v>2.60523529007636E-2</v>
      </c>
      <c r="T99" s="189">
        <v>0</v>
      </c>
      <c r="U99" s="189">
        <v>0</v>
      </c>
      <c r="V99" s="189">
        <v>0</v>
      </c>
      <c r="W99" s="189"/>
      <c r="X99" s="90"/>
      <c r="Y99" s="188"/>
      <c r="Z99" s="188"/>
      <c r="AA99" s="188"/>
      <c r="AB99" s="188"/>
      <c r="AC99" s="188"/>
      <c r="AD99" s="190"/>
      <c r="AE99" s="189"/>
    </row>
    <row r="100" spans="1:31" ht="21.25" customHeight="1" x14ac:dyDescent="0.15">
      <c r="A100" s="9" t="s">
        <v>210</v>
      </c>
      <c r="B100" s="186" t="s">
        <v>841</v>
      </c>
      <c r="C100" s="187">
        <v>29</v>
      </c>
      <c r="D100" s="186" t="s">
        <v>818</v>
      </c>
      <c r="E100" s="90">
        <v>71.704999999999998</v>
      </c>
      <c r="F100" s="188">
        <v>22.070063371082899</v>
      </c>
      <c r="G100" s="189">
        <v>0.14574338852025501</v>
      </c>
      <c r="H100" s="189">
        <v>0.63895942196470101</v>
      </c>
      <c r="I100" s="189">
        <v>0.78470281048495605</v>
      </c>
      <c r="J100" s="189">
        <v>2.3196947695896499</v>
      </c>
      <c r="K100" s="189">
        <v>3.8501572693682901E-2</v>
      </c>
      <c r="L100" s="189">
        <v>0.26899849494434702</v>
      </c>
      <c r="M100" s="189">
        <v>7.9067831257778303E-5</v>
      </c>
      <c r="N100" s="189">
        <v>3.9038880273482997E-4</v>
      </c>
      <c r="O100" s="189">
        <v>1.5273300613882701</v>
      </c>
      <c r="P100" s="189">
        <v>0.49532058917052302</v>
      </c>
      <c r="Q100" s="189">
        <v>4.9828357499386002E-2</v>
      </c>
      <c r="R100" s="189">
        <v>0.32088888159359502</v>
      </c>
      <c r="S100" s="189">
        <v>2.2167757251329401E-2</v>
      </c>
      <c r="T100" s="189">
        <v>0</v>
      </c>
      <c r="U100" s="189">
        <v>0</v>
      </c>
      <c r="V100" s="189">
        <v>0</v>
      </c>
      <c r="W100" s="189"/>
      <c r="X100" s="90"/>
      <c r="Y100" s="188"/>
      <c r="Z100" s="188"/>
      <c r="AA100" s="188"/>
      <c r="AB100" s="188"/>
      <c r="AC100" s="188"/>
      <c r="AD100" s="190"/>
      <c r="AE100" s="189"/>
    </row>
    <row r="101" spans="1:31" ht="21.25" customHeight="1" x14ac:dyDescent="0.15">
      <c r="A101" s="9" t="s">
        <v>234</v>
      </c>
      <c r="B101" s="186" t="s">
        <v>835</v>
      </c>
      <c r="C101" s="187">
        <v>27</v>
      </c>
      <c r="D101" s="186" t="s">
        <v>866</v>
      </c>
      <c r="E101" s="90">
        <v>78.7</v>
      </c>
      <c r="F101" s="188">
        <v>18.788566455598598</v>
      </c>
      <c r="G101" s="189">
        <v>0.37945400100702098</v>
      </c>
      <c r="H101" s="189">
        <v>0.40211582600252399</v>
      </c>
      <c r="I101" s="189">
        <v>0.78156982700954503</v>
      </c>
      <c r="J101" s="189">
        <v>2.8124435276678299</v>
      </c>
      <c r="K101" s="189">
        <v>7.8844448236596407E-2</v>
      </c>
      <c r="L101" s="189">
        <v>0.22930596444533899</v>
      </c>
      <c r="M101" s="189">
        <v>5.8383219209429899E-3</v>
      </c>
      <c r="N101" s="189">
        <v>9.3633846598472608E-3</v>
      </c>
      <c r="O101" s="189">
        <v>0.56017034853303405</v>
      </c>
      <c r="P101" s="189">
        <v>1.3756660245748999</v>
      </c>
      <c r="Q101" s="189">
        <v>5.0713306037276099E-2</v>
      </c>
      <c r="R101" s="189">
        <v>0.28199397397131798</v>
      </c>
      <c r="S101" s="189">
        <v>6.4800954763258797E-2</v>
      </c>
      <c r="T101" s="189">
        <v>0.10441908920236501</v>
      </c>
      <c r="U101" s="189">
        <v>0.21404939597438399</v>
      </c>
      <c r="V101" s="189">
        <v>0.32787887675734201</v>
      </c>
      <c r="W101" s="189"/>
      <c r="X101" s="90"/>
      <c r="Y101" s="188"/>
      <c r="Z101" s="188"/>
      <c r="AA101" s="188"/>
      <c r="AB101" s="188"/>
      <c r="AC101" s="188"/>
      <c r="AD101" s="190"/>
      <c r="AE101" s="189"/>
    </row>
    <row r="102" spans="1:31" ht="21.25" customHeight="1" x14ac:dyDescent="0.15">
      <c r="A102" s="9" t="s">
        <v>193</v>
      </c>
      <c r="B102" s="186" t="s">
        <v>852</v>
      </c>
      <c r="C102" s="187">
        <v>27</v>
      </c>
      <c r="D102" s="186" t="s">
        <v>818</v>
      </c>
      <c r="E102" s="90">
        <v>69.012500000000003</v>
      </c>
      <c r="F102" s="188">
        <v>24.7616890265747</v>
      </c>
      <c r="G102" s="189">
        <v>0.16892845466583201</v>
      </c>
      <c r="H102" s="189">
        <v>0.61174465707459103</v>
      </c>
      <c r="I102" s="189">
        <v>0.78067311174042298</v>
      </c>
      <c r="J102" s="189">
        <v>2.9004140869983401</v>
      </c>
      <c r="K102" s="189">
        <v>4.0142349163708999E-2</v>
      </c>
      <c r="L102" s="189">
        <v>0.206784015087633</v>
      </c>
      <c r="M102" s="189">
        <v>3.35491407184913E-4</v>
      </c>
      <c r="N102" s="189">
        <v>3.80053987363198E-3</v>
      </c>
      <c r="O102" s="189">
        <v>1.7947352840753701</v>
      </c>
      <c r="P102" s="189">
        <v>0.55017384860293195</v>
      </c>
      <c r="Q102" s="189">
        <v>-8.6603718340017996E-2</v>
      </c>
      <c r="R102" s="189">
        <v>0.36209719965995302</v>
      </c>
      <c r="S102" s="189">
        <v>1.8680843209062301E-2</v>
      </c>
      <c r="T102" s="189">
        <v>0</v>
      </c>
      <c r="U102" s="189">
        <v>0</v>
      </c>
      <c r="V102" s="189">
        <v>0</v>
      </c>
      <c r="W102" s="189"/>
      <c r="X102" s="90"/>
      <c r="Y102" s="188"/>
      <c r="Z102" s="188"/>
      <c r="AA102" s="188"/>
      <c r="AB102" s="188"/>
      <c r="AC102" s="188"/>
      <c r="AD102" s="190"/>
      <c r="AE102" s="189"/>
    </row>
    <row r="103" spans="1:31" ht="21.25" customHeight="1" x14ac:dyDescent="0.15">
      <c r="A103" s="9" t="s">
        <v>304</v>
      </c>
      <c r="B103" s="186" t="s">
        <v>850</v>
      </c>
      <c r="C103" s="187">
        <v>22</v>
      </c>
      <c r="D103" s="186" t="s">
        <v>815</v>
      </c>
      <c r="E103" s="90">
        <v>76.712500000000006</v>
      </c>
      <c r="F103" s="188">
        <v>18.653721548887301</v>
      </c>
      <c r="G103" s="189">
        <v>0.27597857082196497</v>
      </c>
      <c r="H103" s="189">
        <v>0.50221183871734398</v>
      </c>
      <c r="I103" s="189">
        <v>0.77819040953930896</v>
      </c>
      <c r="J103" s="189">
        <v>2.2743633548079298</v>
      </c>
      <c r="K103" s="189">
        <v>9.9575758883198695E-2</v>
      </c>
      <c r="L103" s="189">
        <v>0.20892277954437399</v>
      </c>
      <c r="M103" s="189">
        <v>3.2091813079161802E-3</v>
      </c>
      <c r="N103" s="189">
        <v>5.33917352887321E-3</v>
      </c>
      <c r="O103" s="189">
        <v>0.32472219850999001</v>
      </c>
      <c r="P103" s="189">
        <v>0.93360704118806803</v>
      </c>
      <c r="Q103" s="189">
        <v>5.8610048768547203E-2</v>
      </c>
      <c r="R103" s="189">
        <v>0.57020436801580299</v>
      </c>
      <c r="S103" s="189">
        <v>4.9182602089603698E-2</v>
      </c>
      <c r="T103" s="189">
        <v>0.91923395138346997</v>
      </c>
      <c r="U103" s="189">
        <v>1.0790234754460699</v>
      </c>
      <c r="V103" s="189">
        <v>0.46001778301504298</v>
      </c>
      <c r="W103" s="189"/>
      <c r="X103" s="90"/>
      <c r="Y103" s="188"/>
      <c r="Z103" s="188"/>
      <c r="AA103" s="188"/>
      <c r="AB103" s="188"/>
      <c r="AC103" s="188"/>
      <c r="AD103" s="190"/>
      <c r="AE103" s="189"/>
    </row>
    <row r="104" spans="1:31" ht="21.25" customHeight="1" x14ac:dyDescent="0.15">
      <c r="A104" s="9" t="s">
        <v>245</v>
      </c>
      <c r="B104" s="186" t="s">
        <v>834</v>
      </c>
      <c r="C104" s="187">
        <v>22</v>
      </c>
      <c r="D104" s="186" t="s">
        <v>817</v>
      </c>
      <c r="E104" s="90">
        <v>80.342500000000001</v>
      </c>
      <c r="F104" s="188">
        <v>17.8798997013355</v>
      </c>
      <c r="G104" s="189">
        <v>0.36910646488667498</v>
      </c>
      <c r="H104" s="189">
        <v>0.40905914028540602</v>
      </c>
      <c r="I104" s="189">
        <v>0.778165605172081</v>
      </c>
      <c r="J104" s="189">
        <v>2.86134108536683</v>
      </c>
      <c r="K104" s="189">
        <v>7.5421744962056697E-2</v>
      </c>
      <c r="L104" s="189">
        <v>0.18538605770424499</v>
      </c>
      <c r="M104" s="189">
        <v>1.4583038296110001E-5</v>
      </c>
      <c r="N104" s="189">
        <v>2.4619345706286801E-5</v>
      </c>
      <c r="O104" s="189">
        <v>0.246230075819765</v>
      </c>
      <c r="P104" s="189">
        <v>0.396139821359071</v>
      </c>
      <c r="Q104" s="189">
        <v>3.0067149133777998E-3</v>
      </c>
      <c r="R104" s="189">
        <v>0.345709700895384</v>
      </c>
      <c r="S104" s="189">
        <v>5.2212115874024398E-2</v>
      </c>
      <c r="T104" s="189">
        <v>6.4792154659745693E-2</v>
      </c>
      <c r="U104" s="189">
        <v>0.12748286904294201</v>
      </c>
      <c r="V104" s="189">
        <v>0.33697644869326798</v>
      </c>
      <c r="W104" s="189"/>
      <c r="X104" s="90"/>
      <c r="Y104" s="188"/>
      <c r="Z104" s="188"/>
      <c r="AA104" s="188"/>
      <c r="AB104" s="188"/>
      <c r="AC104" s="188"/>
      <c r="AD104" s="190"/>
      <c r="AE104" s="189"/>
    </row>
    <row r="105" spans="1:31" ht="21.25" customHeight="1" x14ac:dyDescent="0.15">
      <c r="A105" s="9" t="s">
        <v>287</v>
      </c>
      <c r="B105" s="186" t="s">
        <v>858</v>
      </c>
      <c r="C105" s="187">
        <v>21</v>
      </c>
      <c r="D105" s="186" t="s">
        <v>815</v>
      </c>
      <c r="E105" s="90">
        <v>76.760000000000005</v>
      </c>
      <c r="F105" s="188">
        <v>18.012116429466499</v>
      </c>
      <c r="G105" s="189">
        <v>0.33272845179789701</v>
      </c>
      <c r="H105" s="189">
        <v>0.44154785164562899</v>
      </c>
      <c r="I105" s="189">
        <v>0.77427630344352605</v>
      </c>
      <c r="J105" s="189">
        <v>2.3384724148095102</v>
      </c>
      <c r="K105" s="189">
        <v>0.102294012811131</v>
      </c>
      <c r="L105" s="189">
        <v>0.22090682312019699</v>
      </c>
      <c r="M105" s="189">
        <v>1.84036391891708E-2</v>
      </c>
      <c r="N105" s="189">
        <v>3.5769458463565197E-2</v>
      </c>
      <c r="O105" s="189">
        <v>0.55196943946604404</v>
      </c>
      <c r="P105" s="189">
        <v>0.999402254732768</v>
      </c>
      <c r="Q105" s="189">
        <v>-0.109202659179455</v>
      </c>
      <c r="R105" s="189">
        <v>0.85594191720839996</v>
      </c>
      <c r="S105" s="189">
        <v>3.8782678390869997E-2</v>
      </c>
      <c r="T105" s="189">
        <v>6.1901861671707499</v>
      </c>
      <c r="U105" s="189">
        <v>7.3990642287178803</v>
      </c>
      <c r="V105" s="189">
        <v>0.45552079672058798</v>
      </c>
      <c r="W105" s="189"/>
      <c r="X105" s="90"/>
      <c r="Y105" s="188"/>
      <c r="Z105" s="188"/>
      <c r="AA105" s="188"/>
      <c r="AB105" s="188"/>
      <c r="AC105" s="188"/>
      <c r="AD105" s="190"/>
      <c r="AE105" s="189"/>
    </row>
    <row r="106" spans="1:31" ht="21.25" customHeight="1" x14ac:dyDescent="0.15">
      <c r="A106" s="9" t="s">
        <v>275</v>
      </c>
      <c r="B106" s="186" t="s">
        <v>841</v>
      </c>
      <c r="C106" s="187">
        <v>30</v>
      </c>
      <c r="D106" s="186" t="s">
        <v>815</v>
      </c>
      <c r="E106" s="90">
        <v>76.647499999999994</v>
      </c>
      <c r="F106" s="188">
        <v>19.6578705778367</v>
      </c>
      <c r="G106" s="189">
        <v>0.31573867312092901</v>
      </c>
      <c r="H106" s="189">
        <v>0.45695318044118699</v>
      </c>
      <c r="I106" s="189">
        <v>0.772691853562116</v>
      </c>
      <c r="J106" s="189">
        <v>2.3572917762346002</v>
      </c>
      <c r="K106" s="189">
        <v>0.111427663984163</v>
      </c>
      <c r="L106" s="189">
        <v>0.287513630923728</v>
      </c>
      <c r="M106" s="189">
        <v>9.4935758483646604E-3</v>
      </c>
      <c r="N106" s="189">
        <v>1.36138574816301E-2</v>
      </c>
      <c r="O106" s="189">
        <v>0.75202357940348397</v>
      </c>
      <c r="P106" s="189">
        <v>1.0641110385188</v>
      </c>
      <c r="Q106" s="189">
        <v>2.25298323199968E-3</v>
      </c>
      <c r="R106" s="189">
        <v>0.398416559056891</v>
      </c>
      <c r="S106" s="189">
        <v>4.8024259156214603E-2</v>
      </c>
      <c r="T106" s="189">
        <v>9.7428877243841594</v>
      </c>
      <c r="U106" s="189">
        <v>7.9616895712002602</v>
      </c>
      <c r="V106" s="189">
        <v>0.55030332335661403</v>
      </c>
      <c r="W106" s="189"/>
      <c r="X106" s="90"/>
      <c r="Y106" s="188"/>
      <c r="Z106" s="188"/>
      <c r="AA106" s="188"/>
      <c r="AB106" s="188"/>
      <c r="AC106" s="188"/>
      <c r="AD106" s="190"/>
      <c r="AE106" s="189"/>
    </row>
    <row r="107" spans="1:31" ht="21.25" customHeight="1" x14ac:dyDescent="0.15">
      <c r="A107" s="9" t="s">
        <v>200</v>
      </c>
      <c r="B107" s="186" t="s">
        <v>851</v>
      </c>
      <c r="C107" s="187">
        <v>26</v>
      </c>
      <c r="D107" s="186" t="s">
        <v>818</v>
      </c>
      <c r="E107" s="90">
        <v>72.697500000000005</v>
      </c>
      <c r="F107" s="188">
        <v>24.284885318064301</v>
      </c>
      <c r="G107" s="189">
        <v>0.116268086593104</v>
      </c>
      <c r="H107" s="189">
        <v>0.65524121158067306</v>
      </c>
      <c r="I107" s="189">
        <v>0.771509298173777</v>
      </c>
      <c r="J107" s="189">
        <v>2.0016625963386798</v>
      </c>
      <c r="K107" s="189">
        <v>3.6069258253474602E-2</v>
      </c>
      <c r="L107" s="189">
        <v>0.35047114752630998</v>
      </c>
      <c r="M107" s="189">
        <v>4.9238268178892802E-4</v>
      </c>
      <c r="N107" s="189">
        <v>9.3777175563397892E-3</v>
      </c>
      <c r="O107" s="189">
        <v>1.8998091341688199</v>
      </c>
      <c r="P107" s="189">
        <v>1.3419180876625501</v>
      </c>
      <c r="Q107" s="189">
        <v>8.8743844379289508E-3</v>
      </c>
      <c r="R107" s="189">
        <v>0.66971264922934803</v>
      </c>
      <c r="S107" s="189">
        <v>1.70134385181561E-2</v>
      </c>
      <c r="T107" s="189">
        <v>0</v>
      </c>
      <c r="U107" s="189">
        <v>0</v>
      </c>
      <c r="V107" s="189">
        <v>0</v>
      </c>
      <c r="W107" s="189"/>
      <c r="X107" s="90"/>
      <c r="Y107" s="188"/>
      <c r="Z107" s="188"/>
      <c r="AA107" s="188"/>
      <c r="AB107" s="188"/>
      <c r="AC107" s="188"/>
      <c r="AD107" s="190"/>
      <c r="AE107" s="189"/>
    </row>
    <row r="108" spans="1:31" ht="21.25" customHeight="1" x14ac:dyDescent="0.15">
      <c r="A108" s="9" t="s">
        <v>182</v>
      </c>
      <c r="B108" s="186" t="s">
        <v>828</v>
      </c>
      <c r="C108" s="187">
        <v>26</v>
      </c>
      <c r="D108" s="186" t="s">
        <v>818</v>
      </c>
      <c r="E108" s="90">
        <v>78.147499999999994</v>
      </c>
      <c r="F108" s="188">
        <v>24.7892169531024</v>
      </c>
      <c r="G108" s="189">
        <v>0.14382364011828899</v>
      </c>
      <c r="H108" s="189">
        <v>0.61791056316297499</v>
      </c>
      <c r="I108" s="189">
        <v>0.76173420328126396</v>
      </c>
      <c r="J108" s="189">
        <v>1.8844236529713301</v>
      </c>
      <c r="K108" s="189">
        <v>3.2428833190787897E-2</v>
      </c>
      <c r="L108" s="189">
        <v>0.26263108836130999</v>
      </c>
      <c r="M108" s="189">
        <v>4.1594331477536202E-4</v>
      </c>
      <c r="N108" s="189">
        <v>1.79848016157253E-3</v>
      </c>
      <c r="O108" s="189">
        <v>2.0279456714095998</v>
      </c>
      <c r="P108" s="189">
        <v>1.7904473512666499</v>
      </c>
      <c r="Q108" s="189">
        <v>5.95422961113913E-2</v>
      </c>
      <c r="R108" s="189">
        <v>0.84037597306195799</v>
      </c>
      <c r="S108" s="189">
        <v>2.2401066680039598E-2</v>
      </c>
      <c r="T108" s="189">
        <v>0</v>
      </c>
      <c r="U108" s="189">
        <v>0</v>
      </c>
      <c r="V108" s="189">
        <v>0</v>
      </c>
      <c r="W108" s="189"/>
      <c r="X108" s="90"/>
      <c r="Y108" s="188"/>
      <c r="Z108" s="188"/>
      <c r="AA108" s="188"/>
      <c r="AB108" s="188"/>
      <c r="AC108" s="188"/>
      <c r="AD108" s="190"/>
      <c r="AE108" s="189"/>
    </row>
    <row r="109" spans="1:31" ht="21.25" customHeight="1" x14ac:dyDescent="0.15">
      <c r="A109" s="9" t="s">
        <v>300</v>
      </c>
      <c r="B109" s="186" t="s">
        <v>839</v>
      </c>
      <c r="C109" s="187">
        <v>28</v>
      </c>
      <c r="D109" s="186" t="s">
        <v>816</v>
      </c>
      <c r="E109" s="90">
        <v>81.552499999999995</v>
      </c>
      <c r="F109" s="188">
        <v>17.189890199026699</v>
      </c>
      <c r="G109" s="189">
        <v>0.292444542258263</v>
      </c>
      <c r="H109" s="189">
        <v>0.46786043047958698</v>
      </c>
      <c r="I109" s="189">
        <v>0.76030497273785003</v>
      </c>
      <c r="J109" s="189">
        <v>2.36641608040784</v>
      </c>
      <c r="K109" s="189">
        <v>0.109255097013521</v>
      </c>
      <c r="L109" s="189">
        <v>0.271940765359103</v>
      </c>
      <c r="M109" s="189">
        <v>6.6049950752016196E-5</v>
      </c>
      <c r="N109" s="189">
        <v>1.12411300989975E-4</v>
      </c>
      <c r="O109" s="189">
        <v>0.28512106959337202</v>
      </c>
      <c r="P109" s="189">
        <v>0.79409860126534104</v>
      </c>
      <c r="Q109" s="189">
        <v>1.01933169526935E-2</v>
      </c>
      <c r="R109" s="189">
        <v>0.75921782457917797</v>
      </c>
      <c r="S109" s="189">
        <v>4.3352827679783199E-2</v>
      </c>
      <c r="T109" s="189">
        <v>9.3187091038472697E-2</v>
      </c>
      <c r="U109" s="189">
        <v>0.16525388920185599</v>
      </c>
      <c r="V109" s="189">
        <v>0.36057397302787098</v>
      </c>
      <c r="W109" s="189"/>
      <c r="X109" s="90"/>
      <c r="Y109" s="188"/>
      <c r="Z109" s="188"/>
      <c r="AA109" s="188"/>
      <c r="AB109" s="188"/>
      <c r="AC109" s="188"/>
      <c r="AD109" s="190"/>
      <c r="AE109" s="189"/>
    </row>
    <row r="110" spans="1:31" ht="21.25" customHeight="1" x14ac:dyDescent="0.15">
      <c r="A110" s="9" t="s">
        <v>233</v>
      </c>
      <c r="B110" s="186" t="s">
        <v>833</v>
      </c>
      <c r="C110" s="187">
        <v>27</v>
      </c>
      <c r="D110" s="186" t="s">
        <v>815</v>
      </c>
      <c r="E110" s="90">
        <v>80.092500000000001</v>
      </c>
      <c r="F110" s="188">
        <v>19.609456977109399</v>
      </c>
      <c r="G110" s="189">
        <v>0.33155439125051001</v>
      </c>
      <c r="H110" s="189">
        <v>0.42792128197562501</v>
      </c>
      <c r="I110" s="189">
        <v>0.75947567322613496</v>
      </c>
      <c r="J110" s="189">
        <v>3.1706329637388202</v>
      </c>
      <c r="K110" s="189">
        <v>0.13840733071289399</v>
      </c>
      <c r="L110" s="189">
        <v>0.24703815327329301</v>
      </c>
      <c r="M110" s="189">
        <v>1.34152647796194E-2</v>
      </c>
      <c r="N110" s="189">
        <v>1.78562393453243E-2</v>
      </c>
      <c r="O110" s="189">
        <v>0.69269213117878203</v>
      </c>
      <c r="P110" s="189">
        <v>1.86870103769183</v>
      </c>
      <c r="Q110" s="189">
        <v>2.9372918482682201E-2</v>
      </c>
      <c r="R110" s="189">
        <v>0.547677589398193</v>
      </c>
      <c r="S110" s="189">
        <v>5.4732709476168803E-2</v>
      </c>
      <c r="T110" s="189">
        <v>9.6640655610402497</v>
      </c>
      <c r="U110" s="189">
        <v>10.023220533778399</v>
      </c>
      <c r="V110" s="189">
        <v>0.49087850476169398</v>
      </c>
      <c r="W110" s="189"/>
      <c r="X110" s="90"/>
      <c r="Y110" s="188"/>
      <c r="Z110" s="188"/>
      <c r="AA110" s="188"/>
      <c r="AB110" s="188"/>
      <c r="AC110" s="188"/>
      <c r="AD110" s="190"/>
      <c r="AE110" s="189"/>
    </row>
    <row r="111" spans="1:31" ht="21.25" customHeight="1" x14ac:dyDescent="0.15">
      <c r="A111" s="9" t="s">
        <v>236</v>
      </c>
      <c r="B111" s="186" t="s">
        <v>849</v>
      </c>
      <c r="C111" s="187">
        <v>25</v>
      </c>
      <c r="D111" s="186" t="s">
        <v>867</v>
      </c>
      <c r="E111" s="90">
        <v>80.742500000000007</v>
      </c>
      <c r="F111" s="188">
        <v>17.500334909652999</v>
      </c>
      <c r="G111" s="189">
        <v>0.32014809981391401</v>
      </c>
      <c r="H111" s="189">
        <v>0.438728288014547</v>
      </c>
      <c r="I111" s="189">
        <v>0.75887638782846101</v>
      </c>
      <c r="J111" s="189">
        <v>2.86104783521409</v>
      </c>
      <c r="K111" s="189">
        <v>0.104672473691485</v>
      </c>
      <c r="L111" s="189">
        <v>0.23150458407256799</v>
      </c>
      <c r="M111" s="189">
        <v>6.08435655758315E-4</v>
      </c>
      <c r="N111" s="189">
        <v>1.38369289305275E-3</v>
      </c>
      <c r="O111" s="189">
        <v>0.35861006281586999</v>
      </c>
      <c r="P111" s="189">
        <v>0.88611737517938904</v>
      </c>
      <c r="Q111" s="189">
        <v>4.7499505632786002E-2</v>
      </c>
      <c r="R111" s="189">
        <v>0.480324893749351</v>
      </c>
      <c r="S111" s="189">
        <v>5.54770511356499E-2</v>
      </c>
      <c r="T111" s="189">
        <v>0.90050106465054103</v>
      </c>
      <c r="U111" s="189">
        <v>1.3160664445602701</v>
      </c>
      <c r="V111" s="189">
        <v>0.40625925486526598</v>
      </c>
      <c r="W111" s="189"/>
      <c r="X111" s="90"/>
      <c r="Y111" s="188"/>
      <c r="Z111" s="188"/>
      <c r="AA111" s="188"/>
      <c r="AB111" s="188"/>
      <c r="AC111" s="188"/>
      <c r="AD111" s="190"/>
      <c r="AE111" s="189"/>
    </row>
    <row r="112" spans="1:31" ht="21.25" customHeight="1" x14ac:dyDescent="0.15">
      <c r="A112" s="9" t="s">
        <v>251</v>
      </c>
      <c r="B112" s="186" t="s">
        <v>845</v>
      </c>
      <c r="C112" s="187">
        <v>26</v>
      </c>
      <c r="D112" s="186" t="s">
        <v>867</v>
      </c>
      <c r="E112" s="90">
        <v>80.467500000000001</v>
      </c>
      <c r="F112" s="188">
        <v>18.2878523117691</v>
      </c>
      <c r="G112" s="189">
        <v>0.35379264451893999</v>
      </c>
      <c r="H112" s="189">
        <v>0.39745866330089902</v>
      </c>
      <c r="I112" s="189">
        <v>0.75125130781983895</v>
      </c>
      <c r="J112" s="189">
        <v>2.4085015034102502</v>
      </c>
      <c r="K112" s="189">
        <v>8.9193975287248803E-2</v>
      </c>
      <c r="L112" s="189">
        <v>0.24271400879129201</v>
      </c>
      <c r="M112" s="189">
        <v>2.73180941813875E-2</v>
      </c>
      <c r="N112" s="189">
        <v>5.85583417576944E-2</v>
      </c>
      <c r="O112" s="189">
        <v>0.55220195970589503</v>
      </c>
      <c r="P112" s="189">
        <v>0.31779794647630699</v>
      </c>
      <c r="Q112" s="189">
        <v>-6.8354917289679296E-2</v>
      </c>
      <c r="R112" s="189">
        <v>0.225808393346</v>
      </c>
      <c r="S112" s="189">
        <v>5.1400332146830499E-2</v>
      </c>
      <c r="T112" s="189">
        <v>1.4553155080776199</v>
      </c>
      <c r="U112" s="189">
        <v>2.41866722420052</v>
      </c>
      <c r="V112" s="189">
        <v>0.375663911961168</v>
      </c>
      <c r="W112" s="189"/>
      <c r="X112" s="90"/>
      <c r="Y112" s="188"/>
      <c r="Z112" s="188"/>
      <c r="AA112" s="188"/>
      <c r="AB112" s="188"/>
      <c r="AC112" s="188"/>
      <c r="AD112" s="190"/>
      <c r="AE112" s="189"/>
    </row>
    <row r="113" spans="1:31" ht="21.25" customHeight="1" x14ac:dyDescent="0.15">
      <c r="A113" s="9" t="s">
        <v>303</v>
      </c>
      <c r="B113" s="186" t="s">
        <v>859</v>
      </c>
      <c r="C113" s="187">
        <v>18</v>
      </c>
      <c r="D113" s="186" t="s">
        <v>815</v>
      </c>
      <c r="E113" s="90">
        <v>78</v>
      </c>
      <c r="F113" s="188">
        <v>18</v>
      </c>
      <c r="G113" s="189">
        <v>0.31</v>
      </c>
      <c r="H113" s="189">
        <v>0.44</v>
      </c>
      <c r="I113" s="189">
        <v>0.75</v>
      </c>
      <c r="J113" s="189">
        <v>2.2252926829268298</v>
      </c>
      <c r="K113" s="189">
        <v>8.8715447154471605E-2</v>
      </c>
      <c r="L113" s="189">
        <v>0.21463414634146299</v>
      </c>
      <c r="M113" s="189">
        <v>0</v>
      </c>
      <c r="N113" s="189">
        <v>0</v>
      </c>
      <c r="O113" s="189">
        <v>0.448780487804878</v>
      </c>
      <c r="P113" s="189">
        <v>1.1830924032672601</v>
      </c>
      <c r="Q113" s="189">
        <v>-7.5054402408671506E-2</v>
      </c>
      <c r="R113" s="189">
        <v>0.40406689838350401</v>
      </c>
      <c r="S113" s="189">
        <v>3.31111387246458E-2</v>
      </c>
      <c r="T113" s="189">
        <v>2.9268292682926802</v>
      </c>
      <c r="U113" s="189">
        <v>4.3902439024390203</v>
      </c>
      <c r="V113" s="189">
        <v>0.4</v>
      </c>
      <c r="W113" s="189"/>
      <c r="X113" s="90"/>
      <c r="Y113" s="189"/>
      <c r="Z113" s="189"/>
      <c r="AA113" s="189"/>
      <c r="AB113" s="189"/>
      <c r="AC113" s="188"/>
      <c r="AD113" s="190"/>
      <c r="AE113" s="189"/>
    </row>
    <row r="114" spans="1:31" ht="21.25" customHeight="1" x14ac:dyDescent="0.15">
      <c r="A114" s="9" t="s">
        <v>277</v>
      </c>
      <c r="B114" s="186" t="s">
        <v>830</v>
      </c>
      <c r="C114" s="187">
        <v>33</v>
      </c>
      <c r="D114" s="186" t="s">
        <v>815</v>
      </c>
      <c r="E114" s="90">
        <v>77.642499999999998</v>
      </c>
      <c r="F114" s="188">
        <v>19.787777849658799</v>
      </c>
      <c r="G114" s="189">
        <v>0.30201624826815299</v>
      </c>
      <c r="H114" s="189">
        <v>0.44673041641261202</v>
      </c>
      <c r="I114" s="189">
        <v>0.74874666468076501</v>
      </c>
      <c r="J114" s="189">
        <v>2.21815751486101</v>
      </c>
      <c r="K114" s="189">
        <v>0.12719776134265101</v>
      </c>
      <c r="L114" s="189">
        <v>0.27776068549695598</v>
      </c>
      <c r="M114" s="189">
        <v>5.2322265173661399E-3</v>
      </c>
      <c r="N114" s="189">
        <v>9.0043208134024093E-3</v>
      </c>
      <c r="O114" s="189">
        <v>0.62396800109596995</v>
      </c>
      <c r="P114" s="189">
        <v>0.41192336735012902</v>
      </c>
      <c r="Q114" s="189">
        <v>3.0645795692628201E-2</v>
      </c>
      <c r="R114" s="189">
        <v>0.27926965750457</v>
      </c>
      <c r="S114" s="189">
        <v>4.2763332285156497E-2</v>
      </c>
      <c r="T114" s="189">
        <v>10.5134949113212</v>
      </c>
      <c r="U114" s="189">
        <v>8.5615505355071093</v>
      </c>
      <c r="V114" s="189">
        <v>0.55116486828970201</v>
      </c>
      <c r="W114" s="189"/>
      <c r="X114" s="90"/>
      <c r="Y114" s="188"/>
      <c r="Z114" s="188"/>
      <c r="AA114" s="188"/>
      <c r="AB114" s="188"/>
      <c r="AC114" s="188"/>
      <c r="AD114" s="190"/>
      <c r="AE114" s="189"/>
    </row>
    <row r="115" spans="1:31" ht="21.25" customHeight="1" x14ac:dyDescent="0.15">
      <c r="A115" s="9" t="s">
        <v>260</v>
      </c>
      <c r="B115" s="186" t="s">
        <v>854</v>
      </c>
      <c r="C115" s="187">
        <v>20</v>
      </c>
      <c r="D115" s="186" t="s">
        <v>816</v>
      </c>
      <c r="E115" s="90">
        <v>76.217500000000001</v>
      </c>
      <c r="F115" s="188">
        <v>19.2690625217244</v>
      </c>
      <c r="G115" s="189">
        <v>0.30416658213432701</v>
      </c>
      <c r="H115" s="189">
        <v>0.44442086875153203</v>
      </c>
      <c r="I115" s="189">
        <v>0.74858745088585898</v>
      </c>
      <c r="J115" s="189">
        <v>2.1218288349783698</v>
      </c>
      <c r="K115" s="189">
        <v>0.10553410778837299</v>
      </c>
      <c r="L115" s="189">
        <v>0.24944821706898401</v>
      </c>
      <c r="M115" s="189">
        <v>7.6605987086954602E-5</v>
      </c>
      <c r="N115" s="189">
        <v>1.28221723264933E-4</v>
      </c>
      <c r="O115" s="189">
        <v>0.84299223792813505</v>
      </c>
      <c r="P115" s="189">
        <v>1.7466449642671</v>
      </c>
      <c r="Q115" s="189">
        <v>-5.3238156011353302E-2</v>
      </c>
      <c r="R115" s="189">
        <v>0.69317086459661703</v>
      </c>
      <c r="S115" s="189">
        <v>3.5253293971475003E-2</v>
      </c>
      <c r="T115" s="189">
        <v>0.135470521844375</v>
      </c>
      <c r="U115" s="189">
        <v>0.135470521844374</v>
      </c>
      <c r="V115" s="189">
        <v>0.5</v>
      </c>
      <c r="W115" s="189"/>
      <c r="X115" s="90"/>
      <c r="Y115" s="188"/>
      <c r="Z115" s="188"/>
      <c r="AA115" s="188"/>
      <c r="AB115" s="188"/>
      <c r="AC115" s="188"/>
      <c r="AD115" s="190"/>
      <c r="AE115" s="189"/>
    </row>
    <row r="116" spans="1:31" ht="21.25" customHeight="1" x14ac:dyDescent="0.15">
      <c r="A116" s="9" t="s">
        <v>270</v>
      </c>
      <c r="B116" s="186" t="s">
        <v>840</v>
      </c>
      <c r="C116" s="187">
        <v>26</v>
      </c>
      <c r="D116" s="186" t="s">
        <v>866</v>
      </c>
      <c r="E116" s="90">
        <v>78.430000000000007</v>
      </c>
      <c r="F116" s="188">
        <v>17.575206980338201</v>
      </c>
      <c r="G116" s="189">
        <v>0.29730885246321098</v>
      </c>
      <c r="H116" s="189">
        <v>0.44734817248896702</v>
      </c>
      <c r="I116" s="189">
        <v>0.744657024952178</v>
      </c>
      <c r="J116" s="189">
        <v>2.3950739155487599</v>
      </c>
      <c r="K116" s="189">
        <v>7.7198020139019899E-2</v>
      </c>
      <c r="L116" s="189">
        <v>0.213752769351679</v>
      </c>
      <c r="M116" s="189">
        <v>1.5136731390687E-4</v>
      </c>
      <c r="N116" s="189">
        <v>2.5584707428690699E-4</v>
      </c>
      <c r="O116" s="189">
        <v>0.41473923994691297</v>
      </c>
      <c r="P116" s="189">
        <v>1.2095516204843799</v>
      </c>
      <c r="Q116" s="189">
        <v>-1.49913310172629E-2</v>
      </c>
      <c r="R116" s="189">
        <v>0.40372093184290803</v>
      </c>
      <c r="S116" s="189">
        <v>4.6161432801459602E-2</v>
      </c>
      <c r="T116" s="189">
        <v>0.37355186268033902</v>
      </c>
      <c r="U116" s="189">
        <v>0.59817863569067498</v>
      </c>
      <c r="V116" s="189">
        <v>0.38441920193567303</v>
      </c>
      <c r="W116" s="189"/>
      <c r="X116" s="90"/>
      <c r="Y116" s="188"/>
      <c r="Z116" s="188"/>
      <c r="AA116" s="188"/>
      <c r="AB116" s="188"/>
      <c r="AC116" s="188"/>
      <c r="AD116" s="190"/>
      <c r="AE116" s="189"/>
    </row>
    <row r="117" spans="1:31" ht="21.25" customHeight="1" x14ac:dyDescent="0.15">
      <c r="A117" s="9" t="s">
        <v>316</v>
      </c>
      <c r="B117" s="186" t="s">
        <v>858</v>
      </c>
      <c r="C117" s="187">
        <v>23</v>
      </c>
      <c r="D117" s="186" t="s">
        <v>815</v>
      </c>
      <c r="E117" s="90">
        <v>72.14</v>
      </c>
      <c r="F117" s="188">
        <v>17.684279692064099</v>
      </c>
      <c r="G117" s="189">
        <v>0.28440910300582201</v>
      </c>
      <c r="H117" s="189">
        <v>0.459702726199335</v>
      </c>
      <c r="I117" s="189">
        <v>0.74411182920515695</v>
      </c>
      <c r="J117" s="189">
        <v>2.36839337105142</v>
      </c>
      <c r="K117" s="189">
        <v>7.6311932358795298E-2</v>
      </c>
      <c r="L117" s="189">
        <v>0.20216837751249001</v>
      </c>
      <c r="M117" s="189">
        <v>9.2084725298624499E-5</v>
      </c>
      <c r="N117" s="189">
        <v>1.5437844958336399E-4</v>
      </c>
      <c r="O117" s="189">
        <v>0.41395393923511797</v>
      </c>
      <c r="P117" s="189">
        <v>0.63009405719161204</v>
      </c>
      <c r="Q117" s="189">
        <v>-8.1520252534137E-2</v>
      </c>
      <c r="R117" s="189">
        <v>0.59101862945044303</v>
      </c>
      <c r="S117" s="189">
        <v>3.31505968717411E-2</v>
      </c>
      <c r="T117" s="189">
        <v>2.3483640457682999</v>
      </c>
      <c r="U117" s="189">
        <v>3.4789403158493801</v>
      </c>
      <c r="V117" s="189">
        <v>0.40299320235203601</v>
      </c>
      <c r="W117" s="189"/>
      <c r="X117" s="90"/>
      <c r="Y117" s="188"/>
      <c r="Z117" s="188"/>
      <c r="AA117" s="188"/>
      <c r="AB117" s="188"/>
      <c r="AC117" s="188"/>
      <c r="AD117" s="190"/>
      <c r="AE117" s="189"/>
    </row>
    <row r="118" spans="1:31" ht="21.25" customHeight="1" x14ac:dyDescent="0.15">
      <c r="A118" s="9" t="s">
        <v>271</v>
      </c>
      <c r="B118" s="186" t="s">
        <v>844</v>
      </c>
      <c r="C118" s="187">
        <v>26</v>
      </c>
      <c r="D118" s="186" t="s">
        <v>865</v>
      </c>
      <c r="E118" s="90">
        <v>80.692499999999995</v>
      </c>
      <c r="F118" s="188">
        <v>17.796106498242398</v>
      </c>
      <c r="G118" s="189">
        <v>0.315677707637671</v>
      </c>
      <c r="H118" s="189">
        <v>0.42728539552550898</v>
      </c>
      <c r="I118" s="189">
        <v>0.74296310316318004</v>
      </c>
      <c r="J118" s="189">
        <v>2.3382077664735901</v>
      </c>
      <c r="K118" s="189">
        <v>0.13291116840720499</v>
      </c>
      <c r="L118" s="189">
        <v>0.222684747942376</v>
      </c>
      <c r="M118" s="189">
        <v>2.7932297366482501E-4</v>
      </c>
      <c r="N118" s="189">
        <v>4.72025402605186E-4</v>
      </c>
      <c r="O118" s="189">
        <v>0.52438170492744995</v>
      </c>
      <c r="P118" s="189">
        <v>1.1659632371975699</v>
      </c>
      <c r="Q118" s="189">
        <v>2.7090872080436298E-2</v>
      </c>
      <c r="R118" s="189">
        <v>0.85851977311411798</v>
      </c>
      <c r="S118" s="189">
        <v>4.4798623744629902E-2</v>
      </c>
      <c r="T118" s="189">
        <v>6.0933305432209801</v>
      </c>
      <c r="U118" s="189">
        <v>6.4155585802712203</v>
      </c>
      <c r="V118" s="189">
        <v>0.48712003784392499</v>
      </c>
      <c r="W118" s="189"/>
      <c r="X118" s="90"/>
      <c r="Y118" s="188"/>
      <c r="Z118" s="188"/>
      <c r="AA118" s="188"/>
      <c r="AB118" s="188"/>
      <c r="AC118" s="188"/>
      <c r="AD118" s="190"/>
      <c r="AE118" s="189"/>
    </row>
    <row r="119" spans="1:31" ht="21.25" customHeight="1" x14ac:dyDescent="0.15">
      <c r="A119" s="9" t="s">
        <v>335</v>
      </c>
      <c r="B119" s="186" t="s">
        <v>828</v>
      </c>
      <c r="C119" s="187">
        <v>27</v>
      </c>
      <c r="D119" s="186" t="s">
        <v>815</v>
      </c>
      <c r="E119" s="90">
        <v>80.12</v>
      </c>
      <c r="F119" s="188">
        <v>18.1736110587842</v>
      </c>
      <c r="G119" s="189">
        <v>0.275844307594245</v>
      </c>
      <c r="H119" s="189">
        <v>0.46340232020701599</v>
      </c>
      <c r="I119" s="189">
        <v>0.73924662780126105</v>
      </c>
      <c r="J119" s="189">
        <v>2.0185036434327799</v>
      </c>
      <c r="K119" s="189">
        <v>7.7292499527069902E-2</v>
      </c>
      <c r="L119" s="189">
        <v>0.19012797056479899</v>
      </c>
      <c r="M119" s="189">
        <v>1.5198595546522199E-3</v>
      </c>
      <c r="N119" s="189">
        <v>6.3938470635107299E-3</v>
      </c>
      <c r="O119" s="189">
        <v>0.40412000853476299</v>
      </c>
      <c r="P119" s="189">
        <v>1.24370115915446</v>
      </c>
      <c r="Q119" s="189">
        <v>4.0859074859957302E-2</v>
      </c>
      <c r="R119" s="189">
        <v>0.297208746535994</v>
      </c>
      <c r="S119" s="189">
        <v>4.2963776487967398E-2</v>
      </c>
      <c r="T119" s="189">
        <v>5.7516469494793201</v>
      </c>
      <c r="U119" s="189">
        <v>5.6327425390292403</v>
      </c>
      <c r="V119" s="189">
        <v>0.50522225678285604</v>
      </c>
      <c r="W119" s="189"/>
      <c r="X119" s="90"/>
      <c r="Y119" s="188"/>
      <c r="Z119" s="188"/>
      <c r="AA119" s="188"/>
      <c r="AB119" s="188"/>
      <c r="AC119" s="188"/>
      <c r="AD119" s="190"/>
      <c r="AE119" s="189"/>
    </row>
    <row r="120" spans="1:31" ht="21.25" customHeight="1" x14ac:dyDescent="0.15">
      <c r="A120" s="9" t="s">
        <v>319</v>
      </c>
      <c r="B120" s="186" t="s">
        <v>852</v>
      </c>
      <c r="C120" s="187">
        <v>19</v>
      </c>
      <c r="D120" s="186" t="s">
        <v>815</v>
      </c>
      <c r="E120" s="90">
        <v>71.709999999999994</v>
      </c>
      <c r="F120" s="188">
        <v>17.774286797020199</v>
      </c>
      <c r="G120" s="189">
        <v>0.31788089346367698</v>
      </c>
      <c r="H120" s="189">
        <v>0.42136508786278898</v>
      </c>
      <c r="I120" s="189">
        <v>0.73924598132646602</v>
      </c>
      <c r="J120" s="189">
        <v>2.6605050311785501</v>
      </c>
      <c r="K120" s="189">
        <v>6.19884640376029E-2</v>
      </c>
      <c r="L120" s="189">
        <v>0.167500413075194</v>
      </c>
      <c r="M120" s="189">
        <v>1.64252194353718E-4</v>
      </c>
      <c r="N120" s="189">
        <v>2.7602286682288502E-4</v>
      </c>
      <c r="O120" s="189">
        <v>0.54354368987149304</v>
      </c>
      <c r="P120" s="189">
        <v>1.3173710791490001</v>
      </c>
      <c r="Q120" s="189">
        <v>-0.118463402956974</v>
      </c>
      <c r="R120" s="189">
        <v>0.41288838415266699</v>
      </c>
      <c r="S120" s="189">
        <v>3.5152651705116597E-2</v>
      </c>
      <c r="T120" s="189">
        <v>3.9483022113412001</v>
      </c>
      <c r="U120" s="189">
        <v>5.1027765421427196</v>
      </c>
      <c r="V120" s="189">
        <v>0.43622448979591799</v>
      </c>
      <c r="W120" s="189"/>
      <c r="X120" s="90"/>
      <c r="Y120" s="188"/>
      <c r="Z120" s="188"/>
      <c r="AA120" s="188"/>
      <c r="AB120" s="188"/>
      <c r="AC120" s="188"/>
      <c r="AD120" s="190"/>
      <c r="AE120" s="189"/>
    </row>
    <row r="121" spans="1:31" ht="21.25" customHeight="1" x14ac:dyDescent="0.15">
      <c r="A121" s="9" t="s">
        <v>346</v>
      </c>
      <c r="B121" s="186" t="s">
        <v>858</v>
      </c>
      <c r="C121" s="187">
        <v>19</v>
      </c>
      <c r="D121" s="186" t="s">
        <v>815</v>
      </c>
      <c r="E121" s="90">
        <v>70.825000000000003</v>
      </c>
      <c r="F121" s="188">
        <v>19.0729387377393</v>
      </c>
      <c r="G121" s="189">
        <v>0.30215434741970298</v>
      </c>
      <c r="H121" s="189">
        <v>0.43417704192663498</v>
      </c>
      <c r="I121" s="189">
        <v>0.73633138934633802</v>
      </c>
      <c r="J121" s="189">
        <v>2.2819203475137999</v>
      </c>
      <c r="K121" s="189">
        <v>7.6406414396264694E-2</v>
      </c>
      <c r="L121" s="189">
        <v>0.229369732190528</v>
      </c>
      <c r="M121" s="189">
        <v>1.5885870845725901E-3</v>
      </c>
      <c r="N121" s="189">
        <v>2.6603545220183502E-3</v>
      </c>
      <c r="O121" s="189">
        <v>0.47373217368720499</v>
      </c>
      <c r="P121" s="189">
        <v>0.58370775125813001</v>
      </c>
      <c r="Q121" s="189">
        <v>-7.1667961485583395E-2</v>
      </c>
      <c r="R121" s="189">
        <v>0.38843329744590199</v>
      </c>
      <c r="S121" s="189">
        <v>3.5218974563375798E-2</v>
      </c>
      <c r="T121" s="189">
        <v>3.7340847110089799</v>
      </c>
      <c r="U121" s="189">
        <v>7.0085897652783897</v>
      </c>
      <c r="V121" s="189">
        <v>0.34759358288770098</v>
      </c>
      <c r="W121" s="189"/>
      <c r="X121" s="90"/>
      <c r="Y121" s="188"/>
      <c r="Z121" s="188"/>
      <c r="AA121" s="188"/>
      <c r="AB121" s="188"/>
      <c r="AC121" s="188"/>
      <c r="AD121" s="190"/>
      <c r="AE121" s="189"/>
    </row>
    <row r="122" spans="1:31" ht="21.25" customHeight="1" x14ac:dyDescent="0.15">
      <c r="A122" s="9" t="s">
        <v>265</v>
      </c>
      <c r="B122" s="186" t="s">
        <v>840</v>
      </c>
      <c r="C122" s="187">
        <v>36</v>
      </c>
      <c r="D122" s="186" t="s">
        <v>817</v>
      </c>
      <c r="E122" s="90">
        <v>81.33</v>
      </c>
      <c r="F122" s="188">
        <v>19.5924550802476</v>
      </c>
      <c r="G122" s="189">
        <v>0.27708704837173798</v>
      </c>
      <c r="H122" s="189">
        <v>0.45911820533341102</v>
      </c>
      <c r="I122" s="189">
        <v>0.736205253705149</v>
      </c>
      <c r="J122" s="189">
        <v>2.3585484364729301</v>
      </c>
      <c r="K122" s="189">
        <v>4.0036396146368898E-2</v>
      </c>
      <c r="L122" s="189">
        <v>0.183806698306757</v>
      </c>
      <c r="M122" s="189">
        <v>1.4777381845487899E-2</v>
      </c>
      <c r="N122" s="189">
        <v>2.3505045777705399E-2</v>
      </c>
      <c r="O122" s="189">
        <v>0.39300895740152297</v>
      </c>
      <c r="P122" s="189">
        <v>0.65452392583199603</v>
      </c>
      <c r="Q122" s="189">
        <v>-2.31972172240799E-3</v>
      </c>
      <c r="R122" s="189">
        <v>0.38447375402623402</v>
      </c>
      <c r="S122" s="189">
        <v>4.30217097728346E-2</v>
      </c>
      <c r="T122" s="189">
        <v>8.4090583383840194</v>
      </c>
      <c r="U122" s="189">
        <v>5.9318202614489302</v>
      </c>
      <c r="V122" s="189">
        <v>0.58636981547852796</v>
      </c>
      <c r="W122" s="189"/>
      <c r="X122" s="90"/>
      <c r="Y122" s="189"/>
      <c r="Z122" s="189"/>
      <c r="AA122" s="189"/>
      <c r="AB122" s="189"/>
      <c r="AC122" s="188"/>
      <c r="AD122" s="190"/>
      <c r="AE122" s="189"/>
    </row>
    <row r="123" spans="1:31" ht="21.25" customHeight="1" x14ac:dyDescent="0.15">
      <c r="A123" s="9" t="s">
        <v>215</v>
      </c>
      <c r="B123" s="186" t="s">
        <v>829</v>
      </c>
      <c r="C123" s="187">
        <v>31</v>
      </c>
      <c r="D123" s="186" t="s">
        <v>818</v>
      </c>
      <c r="E123" s="90">
        <v>69.025000000000006</v>
      </c>
      <c r="F123" s="188">
        <v>22.019225952541099</v>
      </c>
      <c r="G123" s="189">
        <v>0.21289602093125601</v>
      </c>
      <c r="H123" s="189">
        <v>0.52181755165906896</v>
      </c>
      <c r="I123" s="189">
        <v>0.73471357259032499</v>
      </c>
      <c r="J123" s="189">
        <v>3.0794103087354499</v>
      </c>
      <c r="K123" s="189">
        <v>8.5858538037861004E-2</v>
      </c>
      <c r="L123" s="189">
        <v>0.25651675115690697</v>
      </c>
      <c r="M123" s="189">
        <v>1.3224488240953401E-4</v>
      </c>
      <c r="N123" s="189">
        <v>6.4914935021678202E-4</v>
      </c>
      <c r="O123" s="189">
        <v>1.25920308549562</v>
      </c>
      <c r="P123" s="189">
        <v>0.99172371963519002</v>
      </c>
      <c r="Q123" s="189">
        <v>4.7588359068260103E-2</v>
      </c>
      <c r="R123" s="189">
        <v>0.62723941089063395</v>
      </c>
      <c r="S123" s="189">
        <v>3.2120968408854103E-2</v>
      </c>
      <c r="T123" s="189">
        <v>0</v>
      </c>
      <c r="U123" s="189">
        <v>0</v>
      </c>
      <c r="V123" s="189">
        <v>0</v>
      </c>
      <c r="W123" s="189"/>
      <c r="X123" s="90"/>
      <c r="Y123" s="188"/>
      <c r="Z123" s="188"/>
      <c r="AA123" s="188"/>
      <c r="AB123" s="188"/>
      <c r="AC123" s="188"/>
      <c r="AD123" s="190"/>
      <c r="AE123" s="189"/>
    </row>
    <row r="124" spans="1:31" ht="21.25" customHeight="1" x14ac:dyDescent="0.15">
      <c r="A124" s="9" t="s">
        <v>329</v>
      </c>
      <c r="B124" s="186" t="s">
        <v>838</v>
      </c>
      <c r="C124" s="187">
        <v>25</v>
      </c>
      <c r="D124" s="186" t="s">
        <v>867</v>
      </c>
      <c r="E124" s="90">
        <v>67.504999999999995</v>
      </c>
      <c r="F124" s="188">
        <v>16.736697494192899</v>
      </c>
      <c r="G124" s="189">
        <v>0.404358936232323</v>
      </c>
      <c r="H124" s="189">
        <v>0.328226351958542</v>
      </c>
      <c r="I124" s="189">
        <v>0.73258528819086499</v>
      </c>
      <c r="J124" s="189">
        <v>2.3167947451668001</v>
      </c>
      <c r="K124" s="189">
        <v>0.13333607418580501</v>
      </c>
      <c r="L124" s="189">
        <v>0.23223791752806699</v>
      </c>
      <c r="M124" s="189">
        <v>2.7868449046476501E-5</v>
      </c>
      <c r="N124" s="189">
        <v>4.7141914523625402E-5</v>
      </c>
      <c r="O124" s="189">
        <v>0.515265714340151</v>
      </c>
      <c r="P124" s="189">
        <v>0.52398760303904102</v>
      </c>
      <c r="Q124" s="189">
        <v>3.9419098117475397E-2</v>
      </c>
      <c r="R124" s="189">
        <v>0.34969571318173398</v>
      </c>
      <c r="S124" s="189">
        <v>6.7215194111394302E-2</v>
      </c>
      <c r="T124" s="189">
        <v>0.78994909159960303</v>
      </c>
      <c r="U124" s="189">
        <v>0.91696004340793102</v>
      </c>
      <c r="V124" s="189">
        <v>0.46279504596834697</v>
      </c>
      <c r="W124" s="189"/>
      <c r="X124" s="90"/>
      <c r="Y124" s="188"/>
      <c r="Z124" s="188"/>
      <c r="AA124" s="188"/>
      <c r="AB124" s="188"/>
      <c r="AC124" s="188"/>
      <c r="AD124" s="190"/>
      <c r="AE124" s="189"/>
    </row>
    <row r="125" spans="1:31" ht="21.25" customHeight="1" x14ac:dyDescent="0.15">
      <c r="A125" s="9" t="s">
        <v>349</v>
      </c>
      <c r="B125" s="186" t="s">
        <v>851</v>
      </c>
      <c r="C125" s="187">
        <v>23</v>
      </c>
      <c r="D125" s="186" t="s">
        <v>816</v>
      </c>
      <c r="E125" s="90">
        <v>77.754999999999995</v>
      </c>
      <c r="F125" s="188">
        <v>16.035816101095801</v>
      </c>
      <c r="G125" s="189">
        <v>0.21517197162409399</v>
      </c>
      <c r="H125" s="189">
        <v>0.51263982861424795</v>
      </c>
      <c r="I125" s="189">
        <v>0.72781180023834202</v>
      </c>
      <c r="J125" s="189">
        <v>1.6853636219586201</v>
      </c>
      <c r="K125" s="189">
        <v>3.0457649363508199E-2</v>
      </c>
      <c r="L125" s="189">
        <v>0.174603015942007</v>
      </c>
      <c r="M125" s="189">
        <v>2.7170314975775501E-4</v>
      </c>
      <c r="N125" s="189">
        <v>1.6211945978017899E-3</v>
      </c>
      <c r="O125" s="189">
        <v>0.287441097790339</v>
      </c>
      <c r="P125" s="189">
        <v>0.42135111757476301</v>
      </c>
      <c r="Q125" s="189">
        <v>2.1594819757521502E-2</v>
      </c>
      <c r="R125" s="189">
        <v>0.22228713339381301</v>
      </c>
      <c r="S125" s="189">
        <v>3.1485983964529098E-2</v>
      </c>
      <c r="T125" s="189">
        <v>5.2340671220130502E-2</v>
      </c>
      <c r="U125" s="189">
        <v>0.126025309057304</v>
      </c>
      <c r="V125" s="189">
        <v>0.29344537079727101</v>
      </c>
      <c r="W125" s="189"/>
      <c r="X125" s="90"/>
      <c r="Y125" s="188"/>
      <c r="Z125" s="188"/>
      <c r="AA125" s="188"/>
      <c r="AB125" s="188"/>
      <c r="AC125" s="188"/>
      <c r="AD125" s="190"/>
      <c r="AE125" s="189"/>
    </row>
    <row r="126" spans="1:31" ht="21.25" customHeight="1" x14ac:dyDescent="0.15">
      <c r="A126" s="9" t="s">
        <v>272</v>
      </c>
      <c r="B126" s="186" t="s">
        <v>847</v>
      </c>
      <c r="C126" s="187">
        <v>29</v>
      </c>
      <c r="D126" s="186" t="s">
        <v>866</v>
      </c>
      <c r="E126" s="90">
        <v>78.540000000000006</v>
      </c>
      <c r="F126" s="188">
        <v>19.0365702426685</v>
      </c>
      <c r="G126" s="189">
        <v>0.28948276490288299</v>
      </c>
      <c r="H126" s="189">
        <v>0.43150064593807702</v>
      </c>
      <c r="I126" s="189">
        <v>0.72098341084095996</v>
      </c>
      <c r="J126" s="189">
        <v>2.3354268929905202</v>
      </c>
      <c r="K126" s="189">
        <v>0.10873167993834899</v>
      </c>
      <c r="L126" s="189">
        <v>0.24916480171798999</v>
      </c>
      <c r="M126" s="189">
        <v>2.0750641772477801E-2</v>
      </c>
      <c r="N126" s="189">
        <v>4.9267101277077702E-2</v>
      </c>
      <c r="O126" s="189">
        <v>0.40107831263740201</v>
      </c>
      <c r="P126" s="189">
        <v>0.34076539428910901</v>
      </c>
      <c r="Q126" s="189">
        <v>7.4936374377915893E-2</v>
      </c>
      <c r="R126" s="189">
        <v>0.28781515161024701</v>
      </c>
      <c r="S126" s="189">
        <v>3.7411376139488903E-2</v>
      </c>
      <c r="T126" s="189">
        <v>0.92580840289321298</v>
      </c>
      <c r="U126" s="189">
        <v>0.79844801498510198</v>
      </c>
      <c r="V126" s="189">
        <v>0.53693197444056096</v>
      </c>
      <c r="W126" s="189"/>
      <c r="X126" s="90"/>
      <c r="Y126" s="188"/>
      <c r="Z126" s="188"/>
      <c r="AA126" s="188"/>
      <c r="AB126" s="188"/>
      <c r="AC126" s="188"/>
      <c r="AD126" s="190"/>
      <c r="AE126" s="189"/>
    </row>
    <row r="127" spans="1:31" ht="21.25" customHeight="1" x14ac:dyDescent="0.15">
      <c r="A127" s="9" t="s">
        <v>307</v>
      </c>
      <c r="B127" s="186" t="s">
        <v>845</v>
      </c>
      <c r="C127" s="187">
        <v>28</v>
      </c>
      <c r="D127" s="186" t="s">
        <v>866</v>
      </c>
      <c r="E127" s="90">
        <v>79.617500000000007</v>
      </c>
      <c r="F127" s="188">
        <v>15.546550681169199</v>
      </c>
      <c r="G127" s="189">
        <v>0.34701830970279801</v>
      </c>
      <c r="H127" s="189">
        <v>0.37360563467961699</v>
      </c>
      <c r="I127" s="189">
        <v>0.72062394438241495</v>
      </c>
      <c r="J127" s="189">
        <v>1.7659357225796399</v>
      </c>
      <c r="K127" s="189">
        <v>0.111827203363699</v>
      </c>
      <c r="L127" s="189">
        <v>0.230809056516454</v>
      </c>
      <c r="M127" s="189">
        <v>3.4151527956457998E-6</v>
      </c>
      <c r="N127" s="189">
        <v>5.7700776158103097E-6</v>
      </c>
      <c r="O127" s="189">
        <v>0.27022537622287601</v>
      </c>
      <c r="P127" s="189">
        <v>0.328497726348909</v>
      </c>
      <c r="Q127" s="189">
        <v>1.04934118113322E-2</v>
      </c>
      <c r="R127" s="189">
        <v>0.20740887698600999</v>
      </c>
      <c r="S127" s="189">
        <v>5.0416131188958699E-2</v>
      </c>
      <c r="T127" s="189">
        <v>6.91903518772298E-3</v>
      </c>
      <c r="U127" s="189">
        <v>7.0450925698813498E-3</v>
      </c>
      <c r="V127" s="189">
        <v>0.49548638538881401</v>
      </c>
      <c r="W127" s="189"/>
      <c r="X127" s="90"/>
      <c r="Y127" s="188"/>
      <c r="Z127" s="188"/>
      <c r="AA127" s="188"/>
      <c r="AB127" s="188"/>
      <c r="AC127" s="188"/>
      <c r="AD127" s="190"/>
      <c r="AE127" s="189"/>
    </row>
    <row r="128" spans="1:31" ht="21.25" customHeight="1" x14ac:dyDescent="0.15">
      <c r="A128" s="9" t="s">
        <v>312</v>
      </c>
      <c r="B128" s="186" t="s">
        <v>855</v>
      </c>
      <c r="C128" s="187">
        <v>21</v>
      </c>
      <c r="D128" s="186" t="s">
        <v>815</v>
      </c>
      <c r="E128" s="90">
        <v>80.167500000000004</v>
      </c>
      <c r="F128" s="188">
        <v>18.579948781942999</v>
      </c>
      <c r="G128" s="189">
        <v>0.295112372454441</v>
      </c>
      <c r="H128" s="189">
        <v>0.41768160345219202</v>
      </c>
      <c r="I128" s="189">
        <v>0.71279397590663296</v>
      </c>
      <c r="J128" s="189">
        <v>1.92398165903561</v>
      </c>
      <c r="K128" s="189">
        <v>8.6535792796339397E-2</v>
      </c>
      <c r="L128" s="189">
        <v>0.19154684809042299</v>
      </c>
      <c r="M128" s="189">
        <v>2.7928106390563102E-3</v>
      </c>
      <c r="N128" s="189">
        <v>1.1616040515691499E-2</v>
      </c>
      <c r="O128" s="189">
        <v>0.60421670542187</v>
      </c>
      <c r="P128" s="189">
        <v>0.77236095788484904</v>
      </c>
      <c r="Q128" s="189">
        <v>1.13698324044491E-4</v>
      </c>
      <c r="R128" s="189">
        <v>0.23435261176987299</v>
      </c>
      <c r="S128" s="189">
        <v>4.4812126396659699E-2</v>
      </c>
      <c r="T128" s="189">
        <v>6.5369411097371604</v>
      </c>
      <c r="U128" s="189">
        <v>7.9967797688403897</v>
      </c>
      <c r="V128" s="189">
        <v>0.44977753215093702</v>
      </c>
      <c r="W128" s="189"/>
      <c r="X128" s="90"/>
      <c r="Y128" s="188"/>
      <c r="Z128" s="188"/>
      <c r="AA128" s="188"/>
      <c r="AB128" s="188"/>
      <c r="AC128" s="188"/>
      <c r="AD128" s="190"/>
      <c r="AE128" s="189"/>
    </row>
    <row r="129" spans="1:31" ht="21.25" customHeight="1" x14ac:dyDescent="0.15">
      <c r="A129" s="9" t="s">
        <v>264</v>
      </c>
      <c r="B129" s="186" t="s">
        <v>831</v>
      </c>
      <c r="C129" s="187">
        <v>22</v>
      </c>
      <c r="D129" s="186" t="s">
        <v>866</v>
      </c>
      <c r="E129" s="90">
        <v>81.592500000000001</v>
      </c>
      <c r="F129" s="188">
        <v>18.002009323301799</v>
      </c>
      <c r="G129" s="189">
        <v>0.329627233611968</v>
      </c>
      <c r="H129" s="189">
        <v>0.37996661998000902</v>
      </c>
      <c r="I129" s="189">
        <v>0.70959385359197702</v>
      </c>
      <c r="J129" s="189">
        <v>2.5387369183486199</v>
      </c>
      <c r="K129" s="189">
        <v>4.0755581557335503E-2</v>
      </c>
      <c r="L129" s="189">
        <v>8.45615951509084E-2</v>
      </c>
      <c r="M129" s="189">
        <v>1.2462556137363701E-4</v>
      </c>
      <c r="N129" s="189">
        <v>2.10402998132449E-4</v>
      </c>
      <c r="O129" s="189">
        <v>0.31937384011118197</v>
      </c>
      <c r="P129" s="189">
        <v>1.1523581850192499</v>
      </c>
      <c r="Q129" s="189">
        <v>5.0430445180934397E-2</v>
      </c>
      <c r="R129" s="189">
        <v>0.46374727454465198</v>
      </c>
      <c r="S129" s="189">
        <v>5.3880308507751697E-2</v>
      </c>
      <c r="T129" s="189">
        <v>0.26179879455097799</v>
      </c>
      <c r="U129" s="189">
        <v>0.60666953484011299</v>
      </c>
      <c r="V129" s="189">
        <v>0.30144886772616403</v>
      </c>
      <c r="W129" s="189"/>
      <c r="X129" s="90"/>
      <c r="Y129" s="188"/>
      <c r="Z129" s="188"/>
      <c r="AA129" s="188"/>
      <c r="AB129" s="188"/>
      <c r="AC129" s="188"/>
      <c r="AD129" s="190"/>
      <c r="AE129" s="189"/>
    </row>
    <row r="130" spans="1:31" ht="21.25" customHeight="1" x14ac:dyDescent="0.15">
      <c r="A130" s="9" t="s">
        <v>178</v>
      </c>
      <c r="B130" s="186" t="s">
        <v>844</v>
      </c>
      <c r="C130" s="187">
        <v>34</v>
      </c>
      <c r="D130" s="186" t="s">
        <v>818</v>
      </c>
      <c r="E130" s="90">
        <v>75.855000000000004</v>
      </c>
      <c r="F130" s="188">
        <v>26.142851134008499</v>
      </c>
      <c r="G130" s="189">
        <v>0.16206774866471099</v>
      </c>
      <c r="H130" s="189">
        <v>0.546987169225435</v>
      </c>
      <c r="I130" s="189">
        <v>0.70905491789014596</v>
      </c>
      <c r="J130" s="189">
        <v>2.3601781549634899</v>
      </c>
      <c r="K130" s="189">
        <v>6.36152433517779E-2</v>
      </c>
      <c r="L130" s="189">
        <v>0.25164668937382401</v>
      </c>
      <c r="M130" s="189">
        <v>4.4908056561396804E-3</v>
      </c>
      <c r="N130" s="189">
        <v>1.36643468456733E-2</v>
      </c>
      <c r="O130" s="189">
        <v>2.2808393612805902</v>
      </c>
      <c r="P130" s="189">
        <v>0.97011045783127103</v>
      </c>
      <c r="Q130" s="189">
        <v>-3.21211447164357E-2</v>
      </c>
      <c r="R130" s="189">
        <v>0.392079787336998</v>
      </c>
      <c r="S130" s="189">
        <v>2.2999445060285999E-2</v>
      </c>
      <c r="T130" s="189">
        <v>0</v>
      </c>
      <c r="U130" s="189">
        <v>0</v>
      </c>
      <c r="V130" s="189">
        <v>0</v>
      </c>
      <c r="W130" s="189"/>
      <c r="X130" s="90"/>
      <c r="Y130" s="188"/>
      <c r="Z130" s="188"/>
      <c r="AA130" s="188"/>
      <c r="AB130" s="188"/>
      <c r="AC130" s="188"/>
      <c r="AD130" s="190"/>
      <c r="AE130" s="189"/>
    </row>
    <row r="131" spans="1:31" ht="21.25" customHeight="1" x14ac:dyDescent="0.15">
      <c r="A131" s="9" t="s">
        <v>360</v>
      </c>
      <c r="B131" s="186" t="s">
        <v>834</v>
      </c>
      <c r="C131" s="187">
        <v>22</v>
      </c>
      <c r="D131" s="186" t="s">
        <v>817</v>
      </c>
      <c r="E131" s="90">
        <v>68.204999999999998</v>
      </c>
      <c r="F131" s="188">
        <v>16.967431027533198</v>
      </c>
      <c r="G131" s="189">
        <v>0.29974007881286302</v>
      </c>
      <c r="H131" s="189">
        <v>0.40929002648082802</v>
      </c>
      <c r="I131" s="189">
        <v>0.70903010529369104</v>
      </c>
      <c r="J131" s="189">
        <v>2.1901832004136201</v>
      </c>
      <c r="K131" s="189">
        <v>4.3430028131192198E-2</v>
      </c>
      <c r="L131" s="189">
        <v>0.12702209978086601</v>
      </c>
      <c r="M131" s="189">
        <v>2.08507217350628E-3</v>
      </c>
      <c r="N131" s="189">
        <v>8.6917192407516795E-3</v>
      </c>
      <c r="O131" s="189">
        <v>0.42319729727240901</v>
      </c>
      <c r="P131" s="189">
        <v>0.94921226907718803</v>
      </c>
      <c r="Q131" s="189">
        <v>1.3255347227242001E-3</v>
      </c>
      <c r="R131" s="189">
        <v>0.33217472062077702</v>
      </c>
      <c r="S131" s="189">
        <v>4.2399863497030302E-2</v>
      </c>
      <c r="T131" s="189">
        <v>0.13721700989347799</v>
      </c>
      <c r="U131" s="189">
        <v>0.28004575980052898</v>
      </c>
      <c r="V131" s="189">
        <v>0.32885035488333703</v>
      </c>
      <c r="W131" s="189"/>
      <c r="X131" s="90"/>
      <c r="Y131" s="188"/>
      <c r="Z131" s="188"/>
      <c r="AA131" s="188"/>
      <c r="AB131" s="188"/>
      <c r="AC131" s="188"/>
      <c r="AD131" s="190"/>
      <c r="AE131" s="189"/>
    </row>
    <row r="132" spans="1:31" ht="21.25" customHeight="1" x14ac:dyDescent="0.15">
      <c r="A132" s="9" t="s">
        <v>395</v>
      </c>
      <c r="B132" s="186" t="s">
        <v>825</v>
      </c>
      <c r="C132" s="187">
        <v>25</v>
      </c>
      <c r="D132" s="186" t="s">
        <v>815</v>
      </c>
      <c r="E132" s="90">
        <v>77.474999999999994</v>
      </c>
      <c r="F132" s="188">
        <v>16.846296567243598</v>
      </c>
      <c r="G132" s="189">
        <v>0.21612593919022</v>
      </c>
      <c r="H132" s="189">
        <v>0.49170317150014398</v>
      </c>
      <c r="I132" s="189">
        <v>0.70782911069036403</v>
      </c>
      <c r="J132" s="189">
        <v>1.6507518598486799</v>
      </c>
      <c r="K132" s="189">
        <v>2.84165810876169E-2</v>
      </c>
      <c r="L132" s="189">
        <v>9.5130856350812795E-2</v>
      </c>
      <c r="M132" s="189">
        <v>1.1689302390305799E-3</v>
      </c>
      <c r="N132" s="189">
        <v>1.4029187756291501E-3</v>
      </c>
      <c r="O132" s="189">
        <v>0.35040449361262699</v>
      </c>
      <c r="P132" s="189">
        <v>0.41347235203428001</v>
      </c>
      <c r="Q132" s="189">
        <v>9.2880028439039797E-3</v>
      </c>
      <c r="R132" s="189">
        <v>0.30628383333576997</v>
      </c>
      <c r="S132" s="189">
        <v>3.22915180576646E-2</v>
      </c>
      <c r="T132" s="189">
        <v>5.8791269737254801</v>
      </c>
      <c r="U132" s="189">
        <v>6.8120018680760799</v>
      </c>
      <c r="V132" s="189">
        <v>0.46324696936028498</v>
      </c>
      <c r="W132" s="189"/>
      <c r="X132" s="90"/>
      <c r="Y132" s="188"/>
      <c r="Z132" s="188"/>
      <c r="AA132" s="188"/>
      <c r="AB132" s="188"/>
      <c r="AC132" s="188"/>
      <c r="AD132" s="190"/>
      <c r="AE132" s="189"/>
    </row>
    <row r="133" spans="1:31" ht="21.25" customHeight="1" x14ac:dyDescent="0.15">
      <c r="A133" s="9" t="s">
        <v>294</v>
      </c>
      <c r="B133" s="186" t="s">
        <v>837</v>
      </c>
      <c r="C133" s="187">
        <v>33</v>
      </c>
      <c r="D133" s="186" t="s">
        <v>867</v>
      </c>
      <c r="E133" s="90">
        <v>79.762500000000003</v>
      </c>
      <c r="F133" s="188">
        <v>16.2386835614281</v>
      </c>
      <c r="G133" s="189">
        <v>0.282778995672543</v>
      </c>
      <c r="H133" s="189">
        <v>0.42017085275192201</v>
      </c>
      <c r="I133" s="189">
        <v>0.70294984842446495</v>
      </c>
      <c r="J133" s="189">
        <v>2.1000594670241601</v>
      </c>
      <c r="K133" s="189">
        <v>6.4042676000958199E-2</v>
      </c>
      <c r="L133" s="189">
        <v>0.15400022890217099</v>
      </c>
      <c r="M133" s="189">
        <v>8.2284632185808696E-4</v>
      </c>
      <c r="N133" s="189">
        <v>1.40931782847226E-3</v>
      </c>
      <c r="O133" s="189">
        <v>0.51945693575559904</v>
      </c>
      <c r="P133" s="189">
        <v>0.43833040761713499</v>
      </c>
      <c r="Q133" s="189">
        <v>7.3425190149874905E-2</v>
      </c>
      <c r="R133" s="189">
        <v>0.32358556539081701</v>
      </c>
      <c r="S133" s="189">
        <v>4.5221653271285897E-2</v>
      </c>
      <c r="T133" s="189">
        <v>3.4130602720099898</v>
      </c>
      <c r="U133" s="189">
        <v>2.8279422635491498</v>
      </c>
      <c r="V133" s="189">
        <v>0.54687692443057201</v>
      </c>
      <c r="W133" s="189"/>
      <c r="X133" s="90"/>
      <c r="Y133" s="188"/>
      <c r="Z133" s="188"/>
      <c r="AA133" s="188"/>
      <c r="AB133" s="188"/>
      <c r="AC133" s="188"/>
      <c r="AD133" s="190"/>
      <c r="AE133" s="189"/>
    </row>
    <row r="134" spans="1:31" ht="21.25" customHeight="1" x14ac:dyDescent="0.15">
      <c r="A134" s="9" t="s">
        <v>367</v>
      </c>
      <c r="B134" s="186" t="s">
        <v>859</v>
      </c>
      <c r="C134" s="187">
        <v>35</v>
      </c>
      <c r="D134" s="186" t="s">
        <v>815</v>
      </c>
      <c r="E134" s="90">
        <v>68.040000000000006</v>
      </c>
      <c r="F134" s="188">
        <v>18.048194486713399</v>
      </c>
      <c r="G134" s="189">
        <v>0.26981662280294</v>
      </c>
      <c r="H134" s="189">
        <v>0.42975351101466502</v>
      </c>
      <c r="I134" s="189">
        <v>0.69957013381760502</v>
      </c>
      <c r="J134" s="189">
        <v>2.30208594971104</v>
      </c>
      <c r="K134" s="189">
        <v>6.5557859913657396E-2</v>
      </c>
      <c r="L134" s="189">
        <v>0.22792752125114099</v>
      </c>
      <c r="M134" s="189">
        <v>6.6798768459050903E-3</v>
      </c>
      <c r="N134" s="189">
        <v>9.1837240131913706E-3</v>
      </c>
      <c r="O134" s="189">
        <v>0.73001936089513497</v>
      </c>
      <c r="P134" s="189">
        <v>1.34599098196917</v>
      </c>
      <c r="Q134" s="189">
        <v>-9.6641003418354895E-2</v>
      </c>
      <c r="R134" s="189">
        <v>0.30088833355040701</v>
      </c>
      <c r="S134" s="189">
        <v>2.88191471865922E-2</v>
      </c>
      <c r="T134" s="189">
        <v>7.4835853619110697</v>
      </c>
      <c r="U134" s="189">
        <v>8.1257463633296307</v>
      </c>
      <c r="V134" s="189">
        <v>0.47943022120606998</v>
      </c>
      <c r="W134" s="189"/>
      <c r="X134" s="90"/>
      <c r="Y134" s="188"/>
      <c r="Z134" s="188"/>
      <c r="AA134" s="188"/>
      <c r="AB134" s="188"/>
      <c r="AC134" s="188"/>
      <c r="AD134" s="190"/>
      <c r="AE134" s="189"/>
    </row>
    <row r="135" spans="1:31" ht="21.25" customHeight="1" x14ac:dyDescent="0.15">
      <c r="A135" s="9" t="s">
        <v>231</v>
      </c>
      <c r="B135" s="186" t="s">
        <v>856</v>
      </c>
      <c r="C135" s="187">
        <v>25</v>
      </c>
      <c r="D135" s="186" t="s">
        <v>866</v>
      </c>
      <c r="E135" s="90">
        <v>78.732500000000002</v>
      </c>
      <c r="F135" s="188">
        <v>17.4747066562133</v>
      </c>
      <c r="G135" s="189">
        <v>0.35344022702581401</v>
      </c>
      <c r="H135" s="189">
        <v>0.34330615471293302</v>
      </c>
      <c r="I135" s="189">
        <v>0.69674638173874703</v>
      </c>
      <c r="J135" s="189">
        <v>3.4751933507172001</v>
      </c>
      <c r="K135" s="189">
        <v>7.9456597389476996E-2</v>
      </c>
      <c r="L135" s="189">
        <v>0.14235480036647399</v>
      </c>
      <c r="M135" s="189">
        <v>1.1092302853230299E-4</v>
      </c>
      <c r="N135" s="189">
        <v>1.8756373955414001E-4</v>
      </c>
      <c r="O135" s="189">
        <v>0.66556348184553804</v>
      </c>
      <c r="P135" s="189">
        <v>1.7628641910993299</v>
      </c>
      <c r="Q135" s="189">
        <v>-3.30916972220699E-2</v>
      </c>
      <c r="R135" s="189">
        <v>0.24046778829214399</v>
      </c>
      <c r="S135" s="189">
        <v>5.1230993732113997E-2</v>
      </c>
      <c r="T135" s="189">
        <v>0.31060847482684401</v>
      </c>
      <c r="U135" s="189">
        <v>0.315372347279676</v>
      </c>
      <c r="V135" s="189">
        <v>0.49619487348126601</v>
      </c>
      <c r="W135" s="189"/>
      <c r="X135" s="90"/>
      <c r="Y135" s="188"/>
      <c r="Z135" s="188"/>
      <c r="AA135" s="188"/>
      <c r="AB135" s="188"/>
      <c r="AC135" s="188"/>
      <c r="AD135" s="190"/>
      <c r="AE135" s="189"/>
    </row>
    <row r="136" spans="1:31" ht="21.25" customHeight="1" x14ac:dyDescent="0.15">
      <c r="A136" s="9" t="s">
        <v>286</v>
      </c>
      <c r="B136" s="186" t="s">
        <v>837</v>
      </c>
      <c r="C136" s="187">
        <v>35</v>
      </c>
      <c r="D136" s="186" t="s">
        <v>816</v>
      </c>
      <c r="E136" s="90">
        <v>82.03</v>
      </c>
      <c r="F136" s="188">
        <v>15.7138775244771</v>
      </c>
      <c r="G136" s="189">
        <v>0.26230566682963402</v>
      </c>
      <c r="H136" s="189">
        <v>0.43331276420250697</v>
      </c>
      <c r="I136" s="189">
        <v>0.69561843103214105</v>
      </c>
      <c r="J136" s="189">
        <v>2.0771585171871498</v>
      </c>
      <c r="K136" s="189">
        <v>8.4006152608573095E-2</v>
      </c>
      <c r="L136" s="189">
        <v>0.23766963419911599</v>
      </c>
      <c r="M136" s="189">
        <v>1.4318239700291399E-2</v>
      </c>
      <c r="N136" s="189">
        <v>2.9461978730435202E-2</v>
      </c>
      <c r="O136" s="189">
        <v>0.58220210937223305</v>
      </c>
      <c r="P136" s="189">
        <v>1.31987035003993</v>
      </c>
      <c r="Q136" s="189">
        <v>7.4732925051354995E-2</v>
      </c>
      <c r="R136" s="189">
        <v>0.57095955750053895</v>
      </c>
      <c r="S136" s="189">
        <v>4.1947584855981199E-2</v>
      </c>
      <c r="T136" s="189">
        <v>5.5962251186081797</v>
      </c>
      <c r="U136" s="189">
        <v>3.8331131935543201</v>
      </c>
      <c r="V136" s="189">
        <v>0.59349075548491603</v>
      </c>
      <c r="W136" s="189"/>
      <c r="X136" s="90"/>
      <c r="Y136" s="188"/>
      <c r="Z136" s="188"/>
      <c r="AA136" s="188"/>
      <c r="AB136" s="188"/>
      <c r="AC136" s="188"/>
      <c r="AD136" s="190"/>
      <c r="AE136" s="189"/>
    </row>
    <row r="137" spans="1:31" ht="21.25" customHeight="1" x14ac:dyDescent="0.15">
      <c r="A137" s="9" t="s">
        <v>261</v>
      </c>
      <c r="B137" s="186" t="s">
        <v>859</v>
      </c>
      <c r="C137" s="187">
        <v>32</v>
      </c>
      <c r="D137" s="186" t="s">
        <v>866</v>
      </c>
      <c r="E137" s="90">
        <v>80.697500000000005</v>
      </c>
      <c r="F137" s="188">
        <v>17.253153697487601</v>
      </c>
      <c r="G137" s="189">
        <v>0.35010673909534901</v>
      </c>
      <c r="H137" s="189">
        <v>0.340419795937704</v>
      </c>
      <c r="I137" s="189">
        <v>0.69052653503305295</v>
      </c>
      <c r="J137" s="189">
        <v>2.95752944213053</v>
      </c>
      <c r="K137" s="189">
        <v>0.107163441458158</v>
      </c>
      <c r="L137" s="189">
        <v>0.224267843316275</v>
      </c>
      <c r="M137" s="189">
        <v>7.0823907730850903E-5</v>
      </c>
      <c r="N137" s="189">
        <v>1.3331288083938501E-4</v>
      </c>
      <c r="O137" s="189">
        <v>0.20415274859561799</v>
      </c>
      <c r="P137" s="189">
        <v>0.94078562125077803</v>
      </c>
      <c r="Q137" s="189">
        <v>1.2950869851438399E-2</v>
      </c>
      <c r="R137" s="189">
        <v>0.28163492170848298</v>
      </c>
      <c r="S137" s="189">
        <v>3.73949445374821E-2</v>
      </c>
      <c r="T137" s="189">
        <v>0.36092150513287802</v>
      </c>
      <c r="U137" s="189">
        <v>0.38215927754586998</v>
      </c>
      <c r="V137" s="189">
        <v>0.48570964765336</v>
      </c>
      <c r="W137" s="189"/>
      <c r="X137" s="90"/>
      <c r="Y137" s="188"/>
      <c r="Z137" s="188"/>
      <c r="AA137" s="188"/>
      <c r="AB137" s="188"/>
      <c r="AC137" s="188"/>
      <c r="AD137" s="190"/>
      <c r="AE137" s="189"/>
    </row>
    <row r="138" spans="1:31" ht="21.25" customHeight="1" x14ac:dyDescent="0.15">
      <c r="A138" s="9" t="s">
        <v>250</v>
      </c>
      <c r="B138" s="186" t="s">
        <v>855</v>
      </c>
      <c r="C138" s="187">
        <v>27</v>
      </c>
      <c r="D138" s="186" t="s">
        <v>818</v>
      </c>
      <c r="E138" s="90">
        <v>76.91</v>
      </c>
      <c r="F138" s="188">
        <v>22.6821536844542</v>
      </c>
      <c r="G138" s="189">
        <v>0.15529370234657</v>
      </c>
      <c r="H138" s="189">
        <v>0.53464170197782701</v>
      </c>
      <c r="I138" s="189">
        <v>0.68993540432439704</v>
      </c>
      <c r="J138" s="189">
        <v>1.9199311502221099</v>
      </c>
      <c r="K138" s="189">
        <v>2.9084775231250502E-2</v>
      </c>
      <c r="L138" s="189">
        <v>0.188128505127791</v>
      </c>
      <c r="M138" s="189">
        <v>9.7304457166419699E-5</v>
      </c>
      <c r="N138" s="189">
        <v>2.2808686833373799E-3</v>
      </c>
      <c r="O138" s="189">
        <v>1.1584673204153799</v>
      </c>
      <c r="P138" s="189">
        <v>0.94992308354097699</v>
      </c>
      <c r="Q138" s="189">
        <v>2.1504824255782099E-2</v>
      </c>
      <c r="R138" s="189">
        <v>0.74485977814079196</v>
      </c>
      <c r="S138" s="189">
        <v>2.3580986999228799E-2</v>
      </c>
      <c r="T138" s="189">
        <v>0</v>
      </c>
      <c r="U138" s="189">
        <v>0</v>
      </c>
      <c r="V138" s="189">
        <v>0</v>
      </c>
      <c r="W138" s="189"/>
      <c r="X138" s="90"/>
      <c r="Y138" s="188"/>
      <c r="Z138" s="188"/>
      <c r="AA138" s="188"/>
      <c r="AB138" s="188"/>
      <c r="AC138" s="188"/>
      <c r="AD138" s="190"/>
      <c r="AE138" s="189"/>
    </row>
    <row r="139" spans="1:31" ht="21.25" customHeight="1" x14ac:dyDescent="0.15">
      <c r="A139" s="9" t="s">
        <v>681</v>
      </c>
      <c r="B139" s="186" t="s">
        <v>825</v>
      </c>
      <c r="C139" s="187">
        <v>31</v>
      </c>
      <c r="D139" s="186" t="s">
        <v>816</v>
      </c>
      <c r="E139" s="90">
        <v>41</v>
      </c>
      <c r="F139" s="188">
        <v>15.8359688326638</v>
      </c>
      <c r="G139" s="189">
        <v>0.32218374025575602</v>
      </c>
      <c r="H139" s="189">
        <v>0.360930178660468</v>
      </c>
      <c r="I139" s="189">
        <v>0.68311391891622397</v>
      </c>
      <c r="J139" s="189">
        <v>2.08174634058087</v>
      </c>
      <c r="K139" s="189">
        <v>4.12093742373481E-2</v>
      </c>
      <c r="L139" s="189">
        <v>9.5011394739854704E-2</v>
      </c>
      <c r="M139" s="189">
        <v>0</v>
      </c>
      <c r="N139" s="189">
        <v>0</v>
      </c>
      <c r="O139" s="189">
        <v>0.50034967911829398</v>
      </c>
      <c r="P139" s="189">
        <v>1.14773055107888</v>
      </c>
      <c r="Q139" s="189">
        <v>8.4770606368378808E-3</v>
      </c>
      <c r="R139" s="189">
        <v>0.676353735162467</v>
      </c>
      <c r="S139" s="189">
        <v>4.8137683543842999E-2</v>
      </c>
      <c r="T139" s="189">
        <v>3.6832205512087799</v>
      </c>
      <c r="U139" s="189">
        <v>3.0260483854168698</v>
      </c>
      <c r="V139" s="189">
        <v>0.54897494585471396</v>
      </c>
      <c r="W139" s="189"/>
      <c r="X139" s="90"/>
      <c r="Y139" s="188"/>
      <c r="Z139" s="188"/>
      <c r="AA139" s="188"/>
      <c r="AB139" s="188"/>
      <c r="AC139" s="188"/>
      <c r="AD139" s="190"/>
      <c r="AE139" s="189"/>
    </row>
    <row r="140" spans="1:31" ht="21.25" customHeight="1" x14ac:dyDescent="0.15">
      <c r="A140" s="9" t="s">
        <v>377</v>
      </c>
      <c r="B140" s="186" t="s">
        <v>825</v>
      </c>
      <c r="C140" s="187">
        <v>29</v>
      </c>
      <c r="D140" s="186" t="s">
        <v>816</v>
      </c>
      <c r="E140" s="90">
        <v>73.397499999999994</v>
      </c>
      <c r="F140" s="188">
        <v>17.023264800602401</v>
      </c>
      <c r="G140" s="189">
        <v>0.20004463887266499</v>
      </c>
      <c r="H140" s="189">
        <v>0.48166721585169298</v>
      </c>
      <c r="I140" s="189">
        <v>0.68171185472435802</v>
      </c>
      <c r="J140" s="189">
        <v>1.57886903189724</v>
      </c>
      <c r="K140" s="189">
        <v>4.8098410547146302E-2</v>
      </c>
      <c r="L140" s="189">
        <v>0.21466823023665199</v>
      </c>
      <c r="M140" s="189">
        <v>3.9873320553014602E-5</v>
      </c>
      <c r="N140" s="189">
        <v>6.8995453590532606E-5</v>
      </c>
      <c r="O140" s="189">
        <v>0.41601259431623699</v>
      </c>
      <c r="P140" s="189">
        <v>0.58009798549869596</v>
      </c>
      <c r="Q140" s="189">
        <v>1.2866607746105201E-2</v>
      </c>
      <c r="R140" s="189">
        <v>0.38725465717977198</v>
      </c>
      <c r="S140" s="189">
        <v>2.9888800449862699E-2</v>
      </c>
      <c r="T140" s="189">
        <v>0.85032502515679098</v>
      </c>
      <c r="U140" s="189">
        <v>0.88339283863026397</v>
      </c>
      <c r="V140" s="189">
        <v>0.490463323311083</v>
      </c>
      <c r="W140" s="189"/>
      <c r="X140" s="90"/>
      <c r="Y140" s="188"/>
      <c r="Z140" s="188"/>
      <c r="AA140" s="188"/>
      <c r="AB140" s="188"/>
      <c r="AC140" s="188"/>
      <c r="AD140" s="190"/>
      <c r="AE140" s="189"/>
    </row>
    <row r="141" spans="1:31" ht="21.25" customHeight="1" x14ac:dyDescent="0.15">
      <c r="A141" s="9" t="s">
        <v>289</v>
      </c>
      <c r="B141" s="186" t="s">
        <v>833</v>
      </c>
      <c r="C141" s="187">
        <v>37</v>
      </c>
      <c r="D141" s="186" t="s">
        <v>817</v>
      </c>
      <c r="E141" s="90">
        <v>77.972499999999997</v>
      </c>
      <c r="F141" s="188">
        <v>16.9242672078006</v>
      </c>
      <c r="G141" s="189">
        <v>0.17295566945378099</v>
      </c>
      <c r="H141" s="189">
        <v>0.50499069328160295</v>
      </c>
      <c r="I141" s="189">
        <v>0.677946362735384</v>
      </c>
      <c r="J141" s="189">
        <v>2.1131429444923699</v>
      </c>
      <c r="K141" s="189">
        <v>5.8683373147912901E-2</v>
      </c>
      <c r="L141" s="189">
        <v>0.28455161604478801</v>
      </c>
      <c r="M141" s="189">
        <v>1.2247727019917899E-4</v>
      </c>
      <c r="N141" s="189">
        <v>2.22570962436979E-4</v>
      </c>
      <c r="O141" s="189">
        <v>0.60676855150097897</v>
      </c>
      <c r="P141" s="189">
        <v>0.48154934206045003</v>
      </c>
      <c r="Q141" s="189">
        <v>7.4524779607024897E-3</v>
      </c>
      <c r="R141" s="189">
        <v>0.35309856416913699</v>
      </c>
      <c r="S141" s="189">
        <v>2.8551370931225801E-2</v>
      </c>
      <c r="T141" s="189">
        <v>0.32990545502027302</v>
      </c>
      <c r="U141" s="189">
        <v>0.52428492088310397</v>
      </c>
      <c r="V141" s="189">
        <v>0.38622005623906802</v>
      </c>
      <c r="W141" s="189"/>
      <c r="X141" s="90"/>
      <c r="Y141" s="188"/>
      <c r="Z141" s="188"/>
      <c r="AA141" s="188"/>
      <c r="AB141" s="188"/>
      <c r="AC141" s="188"/>
      <c r="AD141" s="190"/>
      <c r="AE141" s="189"/>
    </row>
    <row r="142" spans="1:31" ht="21.25" customHeight="1" x14ac:dyDescent="0.15">
      <c r="A142" s="9" t="s">
        <v>332</v>
      </c>
      <c r="B142" s="186" t="s">
        <v>825</v>
      </c>
      <c r="C142" s="187">
        <v>29</v>
      </c>
      <c r="D142" s="186" t="s">
        <v>816</v>
      </c>
      <c r="E142" s="90">
        <v>72.1875</v>
      </c>
      <c r="F142" s="188">
        <v>18.166850177896801</v>
      </c>
      <c r="G142" s="189">
        <v>0.29771947664818699</v>
      </c>
      <c r="H142" s="189">
        <v>0.37741708872077501</v>
      </c>
      <c r="I142" s="189">
        <v>0.67513656536896205</v>
      </c>
      <c r="J142" s="189">
        <v>2.2658738471052602</v>
      </c>
      <c r="K142" s="189">
        <v>9.3755512354377707E-2</v>
      </c>
      <c r="L142" s="189">
        <v>0.194727651356775</v>
      </c>
      <c r="M142" s="189">
        <v>9.7076170595794004E-3</v>
      </c>
      <c r="N142" s="189">
        <v>1.0854017902095101E-2</v>
      </c>
      <c r="O142" s="189">
        <v>0.50461740800004096</v>
      </c>
      <c r="P142" s="189">
        <v>1.1556863164182301</v>
      </c>
      <c r="Q142" s="189">
        <v>6.3454160518684299E-2</v>
      </c>
      <c r="R142" s="189">
        <v>0.401980159951913</v>
      </c>
      <c r="S142" s="189">
        <v>4.44824619031126E-2</v>
      </c>
      <c r="T142" s="189">
        <v>0.13833826181178599</v>
      </c>
      <c r="U142" s="189">
        <v>0.45832883555086701</v>
      </c>
      <c r="V142" s="189">
        <v>0.23185166807967</v>
      </c>
      <c r="W142" s="189"/>
      <c r="X142" s="90"/>
      <c r="Y142" s="188"/>
      <c r="Z142" s="188"/>
      <c r="AA142" s="188"/>
      <c r="AB142" s="188"/>
      <c r="AC142" s="188"/>
      <c r="AD142" s="190"/>
      <c r="AE142" s="189"/>
    </row>
    <row r="143" spans="1:31" ht="21.25" customHeight="1" x14ac:dyDescent="0.15">
      <c r="A143" s="9" t="s">
        <v>318</v>
      </c>
      <c r="B143" s="186" t="s">
        <v>841</v>
      </c>
      <c r="C143" s="187">
        <v>31</v>
      </c>
      <c r="D143" s="186" t="s">
        <v>815</v>
      </c>
      <c r="E143" s="90">
        <v>78.400000000000006</v>
      </c>
      <c r="F143" s="188">
        <v>17.826861683761098</v>
      </c>
      <c r="G143" s="189">
        <v>0.270480315780117</v>
      </c>
      <c r="H143" s="189">
        <v>0.403209023709515</v>
      </c>
      <c r="I143" s="189">
        <v>0.67368933948963206</v>
      </c>
      <c r="J143" s="189">
        <v>2.26457172936788</v>
      </c>
      <c r="K143" s="189">
        <v>5.3540774005732802E-2</v>
      </c>
      <c r="L143" s="189">
        <v>0.140250491108449</v>
      </c>
      <c r="M143" s="189">
        <v>1.8496780566269001E-2</v>
      </c>
      <c r="N143" s="189">
        <v>3.93368186916686E-2</v>
      </c>
      <c r="O143" s="189">
        <v>0.65081440043271199</v>
      </c>
      <c r="P143" s="189">
        <v>0.64759233818264395</v>
      </c>
      <c r="Q143" s="189">
        <v>4.9217529606525402E-2</v>
      </c>
      <c r="R143" s="189">
        <v>0.21320608736166699</v>
      </c>
      <c r="S143" s="189">
        <v>4.1140404668464602E-2</v>
      </c>
      <c r="T143" s="189">
        <v>7.7537715023581404</v>
      </c>
      <c r="U143" s="189">
        <v>6.3694762278687698</v>
      </c>
      <c r="V143" s="189">
        <v>0.54900768226017405</v>
      </c>
      <c r="W143" s="189"/>
      <c r="X143" s="90"/>
      <c r="Y143" s="188"/>
      <c r="Z143" s="188"/>
      <c r="AA143" s="188"/>
      <c r="AB143" s="188"/>
      <c r="AC143" s="188"/>
      <c r="AD143" s="190"/>
      <c r="AE143" s="189"/>
    </row>
    <row r="144" spans="1:31" ht="21.25" customHeight="1" x14ac:dyDescent="0.15">
      <c r="A144" s="9" t="s">
        <v>327</v>
      </c>
      <c r="B144" s="186" t="s">
        <v>824</v>
      </c>
      <c r="C144" s="187">
        <v>32</v>
      </c>
      <c r="D144" s="186" t="s">
        <v>816</v>
      </c>
      <c r="E144" s="90">
        <v>79.997500000000002</v>
      </c>
      <c r="F144" s="188">
        <v>14.583018240460101</v>
      </c>
      <c r="G144" s="189">
        <v>0.31121017118148497</v>
      </c>
      <c r="H144" s="189">
        <v>0.36077734585365201</v>
      </c>
      <c r="I144" s="189">
        <v>0.67198751703513704</v>
      </c>
      <c r="J144" s="189">
        <v>2.4323484962425201</v>
      </c>
      <c r="K144" s="189">
        <v>3.9090256944565402E-2</v>
      </c>
      <c r="L144" s="189">
        <v>7.7858209376828594E-2</v>
      </c>
      <c r="M144" s="189">
        <v>1.97450702252672E-4</v>
      </c>
      <c r="N144" s="189">
        <v>3.3448214015254201E-4</v>
      </c>
      <c r="O144" s="189">
        <v>0.21581404870940099</v>
      </c>
      <c r="P144" s="189">
        <v>0.41742198818048398</v>
      </c>
      <c r="Q144" s="189">
        <v>7.6526390688911004E-3</v>
      </c>
      <c r="R144" s="189">
        <v>0.326700222416617</v>
      </c>
      <c r="S144" s="189">
        <v>5.0252711410330497E-2</v>
      </c>
      <c r="T144" s="189">
        <v>0.84285921394625796</v>
      </c>
      <c r="U144" s="189">
        <v>1.0917960226361401</v>
      </c>
      <c r="V144" s="189">
        <v>0.43566378029978398</v>
      </c>
      <c r="W144" s="189"/>
      <c r="X144" s="90"/>
      <c r="Y144" s="188"/>
      <c r="Z144" s="188"/>
      <c r="AA144" s="188"/>
      <c r="AB144" s="188"/>
      <c r="AC144" s="188"/>
      <c r="AD144" s="190"/>
      <c r="AE144" s="189"/>
    </row>
    <row r="145" spans="1:31" ht="21.25" customHeight="1" x14ac:dyDescent="0.15">
      <c r="A145" s="9" t="s">
        <v>333</v>
      </c>
      <c r="B145" s="186" t="s">
        <v>859</v>
      </c>
      <c r="C145" s="187">
        <v>21</v>
      </c>
      <c r="D145" s="186" t="s">
        <v>815</v>
      </c>
      <c r="E145" s="90">
        <v>79.849999999999994</v>
      </c>
      <c r="F145" s="188">
        <v>17.812313981679701</v>
      </c>
      <c r="G145" s="189">
        <v>0.25556907397012302</v>
      </c>
      <c r="H145" s="189">
        <v>0.40730125333834599</v>
      </c>
      <c r="I145" s="189">
        <v>0.66287032730846895</v>
      </c>
      <c r="J145" s="189">
        <v>1.7020150973310899</v>
      </c>
      <c r="K145" s="189">
        <v>0.11449224306678001</v>
      </c>
      <c r="L145" s="189">
        <v>0.25991096938497199</v>
      </c>
      <c r="M145" s="189">
        <v>6.5143543685823298E-4</v>
      </c>
      <c r="N145" s="189">
        <v>3.9049809477788699E-3</v>
      </c>
      <c r="O145" s="189">
        <v>0.79074351630991502</v>
      </c>
      <c r="P145" s="189">
        <v>0.525054553468422</v>
      </c>
      <c r="Q145" s="189">
        <v>-0.13876962419786201</v>
      </c>
      <c r="R145" s="189">
        <v>0.417862849537675</v>
      </c>
      <c r="S145" s="189">
        <v>2.7297364715980599E-2</v>
      </c>
      <c r="T145" s="189">
        <v>0.84820116743807505</v>
      </c>
      <c r="U145" s="189">
        <v>1.8243273249098799</v>
      </c>
      <c r="V145" s="189">
        <v>0.317377782825015</v>
      </c>
      <c r="W145" s="189"/>
      <c r="X145" s="90"/>
      <c r="Y145" s="188"/>
      <c r="Z145" s="188"/>
      <c r="AA145" s="188"/>
      <c r="AB145" s="188"/>
      <c r="AC145" s="188"/>
      <c r="AD145" s="190"/>
      <c r="AE145" s="189"/>
    </row>
    <row r="146" spans="1:31" ht="21.25" customHeight="1" x14ac:dyDescent="0.15">
      <c r="A146" s="9" t="s">
        <v>309</v>
      </c>
      <c r="B146" s="186" t="s">
        <v>848</v>
      </c>
      <c r="C146" s="187">
        <v>22</v>
      </c>
      <c r="D146" s="186" t="s">
        <v>866</v>
      </c>
      <c r="E146" s="90">
        <v>74.63</v>
      </c>
      <c r="F146" s="188">
        <v>17.603631480963902</v>
      </c>
      <c r="G146" s="189">
        <v>0.39486481985486599</v>
      </c>
      <c r="H146" s="189">
        <v>0.26735535737572302</v>
      </c>
      <c r="I146" s="189">
        <v>0.66222017723058901</v>
      </c>
      <c r="J146" s="189">
        <v>2.1508268731784299</v>
      </c>
      <c r="K146" s="189">
        <v>0.12845010270534599</v>
      </c>
      <c r="L146" s="189">
        <v>0.25206270521331198</v>
      </c>
      <c r="M146" s="189">
        <v>1.5845587783618999E-3</v>
      </c>
      <c r="N146" s="189">
        <v>2.7034808058591302E-3</v>
      </c>
      <c r="O146" s="189">
        <v>0.62004545092766605</v>
      </c>
      <c r="P146" s="189">
        <v>1.82675500983418</v>
      </c>
      <c r="Q146" s="189">
        <v>-7.7290661046346298E-2</v>
      </c>
      <c r="R146" s="189">
        <v>0.41404927303481498</v>
      </c>
      <c r="S146" s="189">
        <v>4.7539391979998798E-2</v>
      </c>
      <c r="T146" s="189">
        <v>0.16564849659157199</v>
      </c>
      <c r="U146" s="189">
        <v>0.27591382233621398</v>
      </c>
      <c r="V146" s="189">
        <v>0.37514183047548999</v>
      </c>
      <c r="W146" s="189"/>
      <c r="X146" s="90"/>
      <c r="Y146" s="188"/>
      <c r="Z146" s="188"/>
      <c r="AA146" s="188"/>
      <c r="AB146" s="188"/>
      <c r="AC146" s="188"/>
      <c r="AD146" s="190"/>
      <c r="AE146" s="189"/>
    </row>
    <row r="147" spans="1:31" ht="21.25" customHeight="1" x14ac:dyDescent="0.15">
      <c r="A147" s="9" t="s">
        <v>383</v>
      </c>
      <c r="B147" s="186" t="s">
        <v>836</v>
      </c>
      <c r="C147" s="187">
        <v>29</v>
      </c>
      <c r="D147" s="186" t="s">
        <v>816</v>
      </c>
      <c r="E147" s="90">
        <v>71.107500000000002</v>
      </c>
      <c r="F147" s="188">
        <v>16.530124048920001</v>
      </c>
      <c r="G147" s="189">
        <v>0.32915270080025999</v>
      </c>
      <c r="H147" s="189">
        <v>0.32799427085488198</v>
      </c>
      <c r="I147" s="189">
        <v>0.65714697165514202</v>
      </c>
      <c r="J147" s="189">
        <v>2.0542381970745001</v>
      </c>
      <c r="K147" s="189">
        <v>8.6745329820945599E-2</v>
      </c>
      <c r="L147" s="189">
        <v>0.20937697801895999</v>
      </c>
      <c r="M147" s="189">
        <v>3.8642942535805302E-4</v>
      </c>
      <c r="N147" s="189">
        <v>6.5296528280732501E-4</v>
      </c>
      <c r="O147" s="189">
        <v>0.465947526281212</v>
      </c>
      <c r="P147" s="189">
        <v>0.74689674762808</v>
      </c>
      <c r="Q147" s="189">
        <v>1.3867931195201501E-2</v>
      </c>
      <c r="R147" s="189">
        <v>0.33847909318456298</v>
      </c>
      <c r="S147" s="189">
        <v>5.1729288981437402E-2</v>
      </c>
      <c r="T147" s="189">
        <v>0.19520377466550501</v>
      </c>
      <c r="U147" s="189">
        <v>0.33714062561737101</v>
      </c>
      <c r="V147" s="189">
        <v>0.36668700668547999</v>
      </c>
      <c r="W147" s="189"/>
      <c r="X147" s="90"/>
      <c r="Y147" s="188"/>
      <c r="Z147" s="188"/>
      <c r="AA147" s="188"/>
      <c r="AB147" s="188"/>
      <c r="AC147" s="188"/>
      <c r="AD147" s="190"/>
      <c r="AE147" s="189"/>
    </row>
    <row r="148" spans="1:31" ht="21.25" customHeight="1" x14ac:dyDescent="0.15">
      <c r="A148" s="9" t="s">
        <v>330</v>
      </c>
      <c r="B148" s="186" t="s">
        <v>856</v>
      </c>
      <c r="C148" s="187">
        <v>19</v>
      </c>
      <c r="D148" s="186" t="s">
        <v>817</v>
      </c>
      <c r="E148" s="90">
        <v>76</v>
      </c>
      <c r="F148" s="188">
        <v>16</v>
      </c>
      <c r="G148" s="189">
        <v>0.28381731876482302</v>
      </c>
      <c r="H148" s="189">
        <v>0.37287551761272397</v>
      </c>
      <c r="I148" s="189">
        <v>0.65669283637754705</v>
      </c>
      <c r="J148" s="189">
        <v>2.1022340811214999</v>
      </c>
      <c r="K148" s="189">
        <v>7.6632497785811798E-2</v>
      </c>
      <c r="L148" s="189">
        <v>0.17731128089248299</v>
      </c>
      <c r="M148" s="189">
        <v>0</v>
      </c>
      <c r="N148" s="189">
        <v>0</v>
      </c>
      <c r="O148" s="189">
        <v>0.43414634146341502</v>
      </c>
      <c r="P148" s="189">
        <v>1.1830924032672601</v>
      </c>
      <c r="Q148" s="189">
        <v>-3.0815247290815601E-2</v>
      </c>
      <c r="R148" s="189">
        <v>0.40406689838350401</v>
      </c>
      <c r="S148" s="189">
        <v>4.1139186110934901E-2</v>
      </c>
      <c r="T148" s="189">
        <v>0</v>
      </c>
      <c r="U148" s="189">
        <v>0</v>
      </c>
      <c r="V148" s="189">
        <v>0</v>
      </c>
      <c r="W148" s="189"/>
      <c r="X148" s="90"/>
      <c r="Y148" s="189"/>
      <c r="Z148" s="189"/>
      <c r="AA148" s="189"/>
      <c r="AB148" s="189"/>
      <c r="AC148" s="188"/>
      <c r="AD148" s="190"/>
      <c r="AE148" s="189"/>
    </row>
    <row r="149" spans="1:31" ht="21.25" customHeight="1" x14ac:dyDescent="0.15">
      <c r="A149" s="9" t="s">
        <v>169</v>
      </c>
      <c r="B149" s="186" t="s">
        <v>842</v>
      </c>
      <c r="C149" s="187">
        <v>23</v>
      </c>
      <c r="D149" s="186" t="s">
        <v>818</v>
      </c>
      <c r="E149" s="90">
        <v>82.03</v>
      </c>
      <c r="F149" s="188">
        <v>24.832920092955</v>
      </c>
      <c r="G149" s="189">
        <v>0.113910470981207</v>
      </c>
      <c r="H149" s="189">
        <v>0.54133724522744298</v>
      </c>
      <c r="I149" s="189">
        <v>0.65524771620864997</v>
      </c>
      <c r="J149" s="189">
        <v>2.0303476910693998</v>
      </c>
      <c r="K149" s="189">
        <v>3.6081392604139999E-2</v>
      </c>
      <c r="L149" s="189">
        <v>0.26076182771388501</v>
      </c>
      <c r="M149" s="189">
        <v>2.9731213768846199E-3</v>
      </c>
      <c r="N149" s="189">
        <v>1.4501547025044401E-2</v>
      </c>
      <c r="O149" s="189">
        <v>2.4375593877706598</v>
      </c>
      <c r="P149" s="189">
        <v>2.3561848074399898</v>
      </c>
      <c r="Q149" s="189">
        <v>-6.37203551097687E-2</v>
      </c>
      <c r="R149" s="189">
        <v>0.58812971585286</v>
      </c>
      <c r="S149" s="189">
        <v>1.56447676702955E-2</v>
      </c>
      <c r="T149" s="189">
        <v>0</v>
      </c>
      <c r="U149" s="189">
        <v>0</v>
      </c>
      <c r="V149" s="189">
        <v>0</v>
      </c>
      <c r="W149" s="189"/>
      <c r="X149" s="90"/>
      <c r="Y149" s="189"/>
      <c r="Z149" s="189"/>
      <c r="AA149" s="189"/>
      <c r="AB149" s="189"/>
      <c r="AC149" s="188"/>
      <c r="AD149" s="190"/>
      <c r="AE149" s="189"/>
    </row>
    <row r="150" spans="1:31" ht="21.25" customHeight="1" x14ac:dyDescent="0.15">
      <c r="A150" s="9" t="s">
        <v>306</v>
      </c>
      <c r="B150" s="186" t="s">
        <v>847</v>
      </c>
      <c r="C150" s="187">
        <v>29</v>
      </c>
      <c r="D150" s="186" t="s">
        <v>816</v>
      </c>
      <c r="E150" s="90">
        <v>75.875</v>
      </c>
      <c r="F150" s="188">
        <v>17.986419365025199</v>
      </c>
      <c r="G150" s="189">
        <v>0.28459183800978499</v>
      </c>
      <c r="H150" s="189">
        <v>0.37017321865104402</v>
      </c>
      <c r="I150" s="189">
        <v>0.65476505666082896</v>
      </c>
      <c r="J150" s="189">
        <v>2.3640265481117502</v>
      </c>
      <c r="K150" s="189">
        <v>9.4467991471029897E-2</v>
      </c>
      <c r="L150" s="189">
        <v>0.18673474088068301</v>
      </c>
      <c r="M150" s="189">
        <v>1.13227156347017E-4</v>
      </c>
      <c r="N150" s="189">
        <v>2.14789477266871E-4</v>
      </c>
      <c r="O150" s="189">
        <v>0.54119729886813495</v>
      </c>
      <c r="P150" s="189">
        <v>1.1951847559651601</v>
      </c>
      <c r="Q150" s="189">
        <v>1.6437825804500601E-2</v>
      </c>
      <c r="R150" s="189">
        <v>0.51864568267550903</v>
      </c>
      <c r="S150" s="189">
        <v>3.67792960025944E-2</v>
      </c>
      <c r="T150" s="189">
        <v>6.0950715921105597E-2</v>
      </c>
      <c r="U150" s="189">
        <v>0.15964600708339499</v>
      </c>
      <c r="V150" s="189">
        <v>0.27629928083683303</v>
      </c>
      <c r="W150" s="189"/>
      <c r="X150" s="90"/>
      <c r="Y150" s="188"/>
      <c r="Z150" s="188"/>
      <c r="AA150" s="188"/>
      <c r="AB150" s="188"/>
      <c r="AC150" s="188"/>
      <c r="AD150" s="190"/>
      <c r="AE150" s="189"/>
    </row>
    <row r="151" spans="1:31" ht="21.25" customHeight="1" x14ac:dyDescent="0.15">
      <c r="A151" s="9" t="s">
        <v>325</v>
      </c>
      <c r="B151" s="186" t="s">
        <v>848</v>
      </c>
      <c r="C151" s="187">
        <v>33</v>
      </c>
      <c r="D151" s="186" t="s">
        <v>865</v>
      </c>
      <c r="E151" s="90">
        <v>80.03</v>
      </c>
      <c r="F151" s="188">
        <v>17.834915728372899</v>
      </c>
      <c r="G151" s="189">
        <v>0.24665672321478599</v>
      </c>
      <c r="H151" s="189">
        <v>0.40609133423594701</v>
      </c>
      <c r="I151" s="189">
        <v>0.65274805745073305</v>
      </c>
      <c r="J151" s="189">
        <v>1.99729490691048</v>
      </c>
      <c r="K151" s="189">
        <v>6.6974275071773198E-2</v>
      </c>
      <c r="L151" s="189">
        <v>0.183603928591799</v>
      </c>
      <c r="M151" s="189">
        <v>5.7933082207490098E-3</v>
      </c>
      <c r="N151" s="189">
        <v>6.7219226249928803E-3</v>
      </c>
      <c r="O151" s="189">
        <v>0.554654463649628</v>
      </c>
      <c r="P151" s="189">
        <v>1.80186947050194</v>
      </c>
      <c r="Q151" s="189">
        <v>-6.6310877890143893E-2</v>
      </c>
      <c r="R151" s="189">
        <v>0.55894637475407005</v>
      </c>
      <c r="S151" s="189">
        <v>2.9696012558727499E-2</v>
      </c>
      <c r="T151" s="189">
        <v>5.3897475883452799</v>
      </c>
      <c r="U151" s="189">
        <v>5.7640648254369102</v>
      </c>
      <c r="V151" s="189">
        <v>0.483220211027168</v>
      </c>
      <c r="W151" s="189"/>
      <c r="X151" s="90"/>
      <c r="Y151" s="188"/>
      <c r="Z151" s="188"/>
      <c r="AA151" s="188"/>
      <c r="AB151" s="188"/>
      <c r="AC151" s="188"/>
      <c r="AD151" s="190"/>
      <c r="AE151" s="189"/>
    </row>
    <row r="152" spans="1:31" ht="21.25" customHeight="1" x14ac:dyDescent="0.15">
      <c r="A152" s="9" t="s">
        <v>435</v>
      </c>
      <c r="B152" s="186" t="s">
        <v>837</v>
      </c>
      <c r="C152" s="187">
        <v>21</v>
      </c>
      <c r="D152" s="186" t="s">
        <v>815</v>
      </c>
      <c r="E152" s="90">
        <v>70.3</v>
      </c>
      <c r="F152" s="188">
        <v>15.1005459136322</v>
      </c>
      <c r="G152" s="189">
        <v>0.27601733851848997</v>
      </c>
      <c r="H152" s="189">
        <v>0.373012253906297</v>
      </c>
      <c r="I152" s="189">
        <v>0.64902959242478697</v>
      </c>
      <c r="J152" s="189">
        <v>2.1009767816386602</v>
      </c>
      <c r="K152" s="189">
        <v>5.3745768162278003E-2</v>
      </c>
      <c r="L152" s="189">
        <v>0.124203840854782</v>
      </c>
      <c r="M152" s="189">
        <v>7.0443978648771006E-5</v>
      </c>
      <c r="N152" s="189">
        <v>1.18339301262009E-4</v>
      </c>
      <c r="O152" s="189">
        <v>0.46698175969648298</v>
      </c>
      <c r="P152" s="189">
        <v>0.98595836256815395</v>
      </c>
      <c r="Q152" s="189">
        <v>8.0719392487357197E-2</v>
      </c>
      <c r="R152" s="189">
        <v>0.32366506017546798</v>
      </c>
      <c r="S152" s="189">
        <v>4.4140337756204399E-2</v>
      </c>
      <c r="T152" s="189">
        <v>0.47171784582385501</v>
      </c>
      <c r="U152" s="189">
        <v>0.25730064317664803</v>
      </c>
      <c r="V152" s="189">
        <v>0.64705882352941202</v>
      </c>
      <c r="W152" s="189"/>
      <c r="X152" s="90"/>
      <c r="Y152" s="188"/>
      <c r="Z152" s="188"/>
      <c r="AA152" s="188"/>
      <c r="AB152" s="188"/>
      <c r="AC152" s="188"/>
      <c r="AD152" s="190"/>
      <c r="AE152" s="189"/>
    </row>
    <row r="153" spans="1:31" ht="21.25" customHeight="1" x14ac:dyDescent="0.15">
      <c r="A153" s="9" t="s">
        <v>440</v>
      </c>
      <c r="B153" s="186" t="s">
        <v>830</v>
      </c>
      <c r="C153" s="187">
        <v>27</v>
      </c>
      <c r="D153" s="186" t="s">
        <v>815</v>
      </c>
      <c r="E153" s="90">
        <v>70.314999999999998</v>
      </c>
      <c r="F153" s="188">
        <v>15.432554031023599</v>
      </c>
      <c r="G153" s="189">
        <v>0.251668693121394</v>
      </c>
      <c r="H153" s="189">
        <v>0.39720463655763699</v>
      </c>
      <c r="I153" s="189">
        <v>0.648873329679031</v>
      </c>
      <c r="J153" s="189">
        <v>1.7192377734195501</v>
      </c>
      <c r="K153" s="189">
        <v>6.3006584002888305E-2</v>
      </c>
      <c r="L153" s="189">
        <v>0.14286617339082799</v>
      </c>
      <c r="M153" s="189">
        <v>1.4467830528786701E-4</v>
      </c>
      <c r="N153" s="189">
        <v>2.45268018759252E-4</v>
      </c>
      <c r="O153" s="189">
        <v>0.48359256682548502</v>
      </c>
      <c r="P153" s="189">
        <v>0.249972941404909</v>
      </c>
      <c r="Q153" s="189">
        <v>3.9188697000767402E-2</v>
      </c>
      <c r="R153" s="189">
        <v>0.19773280095071399</v>
      </c>
      <c r="S153" s="189">
        <v>3.5634479970646303E-2</v>
      </c>
      <c r="T153" s="189">
        <v>3.3207062274866099</v>
      </c>
      <c r="U153" s="189">
        <v>4.3701255282727303</v>
      </c>
      <c r="V153" s="189">
        <v>0.43177465493246198</v>
      </c>
      <c r="W153" s="189"/>
      <c r="X153" s="90"/>
      <c r="Y153" s="188"/>
      <c r="Z153" s="188"/>
      <c r="AA153" s="188"/>
      <c r="AB153" s="188"/>
      <c r="AC153" s="188"/>
      <c r="AD153" s="190"/>
      <c r="AE153" s="189"/>
    </row>
    <row r="154" spans="1:31" ht="21.25" customHeight="1" x14ac:dyDescent="0.15">
      <c r="A154" s="9" t="s">
        <v>370</v>
      </c>
      <c r="B154" s="186" t="s">
        <v>826</v>
      </c>
      <c r="C154" s="187">
        <v>21</v>
      </c>
      <c r="D154" s="186" t="s">
        <v>816</v>
      </c>
      <c r="E154" s="90">
        <v>79.849999999999994</v>
      </c>
      <c r="F154" s="188">
        <v>16.366339076451599</v>
      </c>
      <c r="G154" s="189">
        <v>0.26755798254408802</v>
      </c>
      <c r="H154" s="189">
        <v>0.375182092376667</v>
      </c>
      <c r="I154" s="189">
        <v>0.64274007492075502</v>
      </c>
      <c r="J154" s="189">
        <v>1.8361666442848801</v>
      </c>
      <c r="K154" s="189">
        <v>2.2732133979227701E-2</v>
      </c>
      <c r="L154" s="189">
        <v>8.7428726088771405E-2</v>
      </c>
      <c r="M154" s="189">
        <v>1.4018681281281399E-3</v>
      </c>
      <c r="N154" s="189">
        <v>2.3523223396383899E-3</v>
      </c>
      <c r="O154" s="189">
        <v>0.447384031267756</v>
      </c>
      <c r="P154" s="189">
        <v>2.1827854364732699</v>
      </c>
      <c r="Q154" s="189">
        <v>7.9048035550508405E-2</v>
      </c>
      <c r="R154" s="189">
        <v>0.58647587222594</v>
      </c>
      <c r="S154" s="189">
        <v>4.2804481069311603E-2</v>
      </c>
      <c r="T154" s="189">
        <v>0</v>
      </c>
      <c r="U154" s="189">
        <v>1.4847457693933501E-2</v>
      </c>
      <c r="V154" s="189">
        <v>0</v>
      </c>
      <c r="W154" s="189"/>
      <c r="X154" s="90"/>
      <c r="Y154" s="188"/>
      <c r="Z154" s="188"/>
      <c r="AA154" s="188"/>
      <c r="AB154" s="188"/>
      <c r="AC154" s="188"/>
      <c r="AD154" s="190"/>
      <c r="AE154" s="189"/>
    </row>
    <row r="155" spans="1:31" ht="21.25" customHeight="1" x14ac:dyDescent="0.15">
      <c r="A155" s="9" t="s">
        <v>394</v>
      </c>
      <c r="B155" s="186" t="s">
        <v>852</v>
      </c>
      <c r="C155" s="187">
        <v>29</v>
      </c>
      <c r="D155" s="186" t="s">
        <v>815</v>
      </c>
      <c r="E155" s="90">
        <v>72.67</v>
      </c>
      <c r="F155" s="188">
        <v>17.858560337869498</v>
      </c>
      <c r="G155" s="189">
        <v>0.26615547962231301</v>
      </c>
      <c r="H155" s="189">
        <v>0.37619685875253001</v>
      </c>
      <c r="I155" s="189">
        <v>0.64235233837484296</v>
      </c>
      <c r="J155" s="189">
        <v>2.0495639217327799</v>
      </c>
      <c r="K155" s="189">
        <v>8.0768951057280394E-2</v>
      </c>
      <c r="L155" s="189">
        <v>0.203273269805997</v>
      </c>
      <c r="M155" s="189">
        <v>1.67377932471067E-2</v>
      </c>
      <c r="N155" s="189">
        <v>1.8210509643566599E-2</v>
      </c>
      <c r="O155" s="189">
        <v>0.52307202444917</v>
      </c>
      <c r="P155" s="189">
        <v>0.48740799367046</v>
      </c>
      <c r="Q155" s="189">
        <v>-3.8093360203288401E-3</v>
      </c>
      <c r="R155" s="189">
        <v>0.28535644502810198</v>
      </c>
      <c r="S155" s="189">
        <v>2.9432630481896298E-2</v>
      </c>
      <c r="T155" s="189">
        <v>8.2003434382556897</v>
      </c>
      <c r="U155" s="189">
        <v>6.8388006752219903</v>
      </c>
      <c r="V155" s="189">
        <v>0.54526663062605796</v>
      </c>
      <c r="W155" s="189"/>
      <c r="X155" s="90"/>
      <c r="Y155" s="188"/>
      <c r="Z155" s="188"/>
      <c r="AA155" s="188"/>
      <c r="AB155" s="188"/>
      <c r="AC155" s="188"/>
      <c r="AD155" s="190"/>
      <c r="AE155" s="189"/>
    </row>
    <row r="156" spans="1:31" ht="21.25" customHeight="1" x14ac:dyDescent="0.15">
      <c r="A156" s="9" t="s">
        <v>314</v>
      </c>
      <c r="B156" s="186" t="s">
        <v>837</v>
      </c>
      <c r="C156" s="187">
        <v>32</v>
      </c>
      <c r="D156" s="186" t="s">
        <v>867</v>
      </c>
      <c r="E156" s="90">
        <v>78.62</v>
      </c>
      <c r="F156" s="188">
        <v>16.7124370217708</v>
      </c>
      <c r="G156" s="189">
        <v>0.28500413852037898</v>
      </c>
      <c r="H156" s="189">
        <v>0.35701093296039399</v>
      </c>
      <c r="I156" s="189">
        <v>0.64201507148077297</v>
      </c>
      <c r="J156" s="189">
        <v>2.3071093374523</v>
      </c>
      <c r="K156" s="189">
        <v>5.0075695447785902E-2</v>
      </c>
      <c r="L156" s="189">
        <v>0.118350209859741</v>
      </c>
      <c r="M156" s="189">
        <v>5.2010097305568897E-3</v>
      </c>
      <c r="N156" s="189">
        <v>1.66513291408736E-2</v>
      </c>
      <c r="O156" s="189">
        <v>0.35317220663447801</v>
      </c>
      <c r="P156" s="189">
        <v>0.97025386371667799</v>
      </c>
      <c r="Q156" s="189">
        <v>5.7733968470509399E-2</v>
      </c>
      <c r="R156" s="189">
        <v>0.37096845415144297</v>
      </c>
      <c r="S156" s="189">
        <v>4.5577495253483397E-2</v>
      </c>
      <c r="T156" s="189">
        <v>5.2951023856891002</v>
      </c>
      <c r="U156" s="189">
        <v>4.2185997996949096</v>
      </c>
      <c r="V156" s="189">
        <v>0.55657642866139101</v>
      </c>
      <c r="W156" s="189"/>
      <c r="X156" s="90"/>
      <c r="Y156" s="188"/>
      <c r="Z156" s="188"/>
      <c r="AA156" s="188"/>
      <c r="AB156" s="188"/>
      <c r="AC156" s="188"/>
      <c r="AD156" s="190"/>
      <c r="AE156" s="189"/>
    </row>
    <row r="157" spans="1:31" ht="21.25" customHeight="1" x14ac:dyDescent="0.15">
      <c r="A157" s="9" t="s">
        <v>220</v>
      </c>
      <c r="B157" s="186" t="s">
        <v>833</v>
      </c>
      <c r="C157" s="187">
        <v>22</v>
      </c>
      <c r="D157" s="186" t="s">
        <v>818</v>
      </c>
      <c r="E157" s="90">
        <v>80.680000000000007</v>
      </c>
      <c r="F157" s="188">
        <v>24.306197688146401</v>
      </c>
      <c r="G157" s="189">
        <v>0.115711521233453</v>
      </c>
      <c r="H157" s="189">
        <v>0.52505009131803504</v>
      </c>
      <c r="I157" s="189">
        <v>0.640761612551488</v>
      </c>
      <c r="J157" s="189">
        <v>1.7952898486719899</v>
      </c>
      <c r="K157" s="189">
        <v>3.1430968585827203E-2</v>
      </c>
      <c r="L157" s="189">
        <v>0.22400429073261099</v>
      </c>
      <c r="M157" s="189">
        <v>4.6632517046544999E-4</v>
      </c>
      <c r="N157" s="189">
        <v>1.9941338790808801E-3</v>
      </c>
      <c r="O157" s="189">
        <v>1.7502461052578699</v>
      </c>
      <c r="P157" s="189">
        <v>0.85595849846729499</v>
      </c>
      <c r="Q157" s="189">
        <v>2.6629513623248899E-3</v>
      </c>
      <c r="R157" s="189">
        <v>0.38796327460547703</v>
      </c>
      <c r="S157" s="189">
        <v>1.9101556914476198E-2</v>
      </c>
      <c r="T157" s="189">
        <v>0</v>
      </c>
      <c r="U157" s="189">
        <v>0</v>
      </c>
      <c r="V157" s="189">
        <v>0</v>
      </c>
      <c r="W157" s="189"/>
      <c r="X157" s="90"/>
      <c r="Y157" s="188"/>
      <c r="Z157" s="188"/>
      <c r="AA157" s="188"/>
      <c r="AB157" s="188"/>
      <c r="AC157" s="188"/>
      <c r="AD157" s="190"/>
      <c r="AE157" s="189"/>
    </row>
    <row r="158" spans="1:31" ht="21.25" customHeight="1" x14ac:dyDescent="0.15">
      <c r="A158" s="9" t="s">
        <v>209</v>
      </c>
      <c r="B158" s="186" t="s">
        <v>854</v>
      </c>
      <c r="C158" s="187">
        <v>30</v>
      </c>
      <c r="D158" s="186" t="s">
        <v>818</v>
      </c>
      <c r="E158" s="90">
        <v>76.555000000000007</v>
      </c>
      <c r="F158" s="188">
        <v>24.456351076150501</v>
      </c>
      <c r="G158" s="189">
        <v>0.146311934230412</v>
      </c>
      <c r="H158" s="189">
        <v>0.493476765339386</v>
      </c>
      <c r="I158" s="189">
        <v>0.639788699569798</v>
      </c>
      <c r="J158" s="189">
        <v>2.1994650079551699</v>
      </c>
      <c r="K158" s="189">
        <v>2.4799111293415801E-2</v>
      </c>
      <c r="L158" s="189">
        <v>0.20325944286693501</v>
      </c>
      <c r="M158" s="189">
        <v>1.50847774542626E-2</v>
      </c>
      <c r="N158" s="189">
        <v>2.5330952504531198E-2</v>
      </c>
      <c r="O158" s="189">
        <v>2.0453575556753001</v>
      </c>
      <c r="P158" s="189">
        <v>0.939935961596576</v>
      </c>
      <c r="Q158" s="189">
        <v>-6.6652835534097996E-2</v>
      </c>
      <c r="R158" s="189">
        <v>0.64811996517218895</v>
      </c>
      <c r="S158" s="189">
        <v>1.6957739383355201E-2</v>
      </c>
      <c r="T158" s="189">
        <v>0</v>
      </c>
      <c r="U158" s="189">
        <v>0</v>
      </c>
      <c r="V158" s="189">
        <v>0</v>
      </c>
      <c r="W158" s="189"/>
      <c r="X158" s="90"/>
      <c r="Y158" s="188"/>
      <c r="Z158" s="188"/>
      <c r="AA158" s="188"/>
      <c r="AB158" s="188"/>
      <c r="AC158" s="188"/>
      <c r="AD158" s="190"/>
      <c r="AE158" s="189"/>
    </row>
    <row r="159" spans="1:31" ht="21.25" customHeight="1" x14ac:dyDescent="0.15">
      <c r="A159" s="9" t="s">
        <v>398</v>
      </c>
      <c r="B159" s="186" t="s">
        <v>847</v>
      </c>
      <c r="C159" s="187">
        <v>32</v>
      </c>
      <c r="D159" s="186" t="s">
        <v>816</v>
      </c>
      <c r="E159" s="90">
        <v>66.262500000000003</v>
      </c>
      <c r="F159" s="188">
        <v>17.221810106018399</v>
      </c>
      <c r="G159" s="189">
        <v>0.25637260438647502</v>
      </c>
      <c r="H159" s="189">
        <v>0.376768310848554</v>
      </c>
      <c r="I159" s="189">
        <v>0.63314091523502902</v>
      </c>
      <c r="J159" s="189">
        <v>2.5516689483806201</v>
      </c>
      <c r="K159" s="189">
        <v>7.6333228183414495E-2</v>
      </c>
      <c r="L159" s="189">
        <v>0.185336183039605</v>
      </c>
      <c r="M159" s="189">
        <v>4.6759017098074398E-5</v>
      </c>
      <c r="N159" s="189">
        <v>8.0240317109386294E-5</v>
      </c>
      <c r="O159" s="189">
        <v>0.48566243413502902</v>
      </c>
      <c r="P159" s="189">
        <v>0.75379693994034602</v>
      </c>
      <c r="Q159" s="189">
        <v>-5.9927241380666602E-2</v>
      </c>
      <c r="R159" s="189">
        <v>0.47506753114921602</v>
      </c>
      <c r="S159" s="189">
        <v>3.3132376422411597E-2</v>
      </c>
      <c r="T159" s="189">
        <v>0.24133119310710299</v>
      </c>
      <c r="U159" s="189">
        <v>0.26909856685862299</v>
      </c>
      <c r="V159" s="189">
        <v>0.472800005084555</v>
      </c>
      <c r="W159" s="189"/>
      <c r="X159" s="90"/>
      <c r="Y159" s="188"/>
      <c r="Z159" s="188"/>
      <c r="AA159" s="188"/>
      <c r="AB159" s="188"/>
      <c r="AC159" s="188"/>
      <c r="AD159" s="190"/>
      <c r="AE159" s="189"/>
    </row>
    <row r="160" spans="1:31" ht="21.25" customHeight="1" x14ac:dyDescent="0.15">
      <c r="A160" s="9" t="s">
        <v>378</v>
      </c>
      <c r="B160" s="186" t="s">
        <v>824</v>
      </c>
      <c r="C160" s="187">
        <v>31</v>
      </c>
      <c r="D160" s="186" t="s">
        <v>816</v>
      </c>
      <c r="E160" s="90">
        <v>68.382499999999993</v>
      </c>
      <c r="F160" s="188">
        <v>14.6814860016397</v>
      </c>
      <c r="G160" s="189">
        <v>0.26994900992575799</v>
      </c>
      <c r="H160" s="189">
        <v>0.36317365926103701</v>
      </c>
      <c r="I160" s="189">
        <v>0.63312266918679505</v>
      </c>
      <c r="J160" s="189">
        <v>2.5976887441060099</v>
      </c>
      <c r="K160" s="189">
        <v>3.6631183870364403E-2</v>
      </c>
      <c r="L160" s="189">
        <v>0.10646329624388</v>
      </c>
      <c r="M160" s="189">
        <v>5.9292383434723104E-4</v>
      </c>
      <c r="N160" s="189">
        <v>7.1864945573894097E-4</v>
      </c>
      <c r="O160" s="189">
        <v>0.65140408651388404</v>
      </c>
      <c r="P160" s="189">
        <v>0.47053528222890201</v>
      </c>
      <c r="Q160" s="189">
        <v>3.6226944443039498E-2</v>
      </c>
      <c r="R160" s="189">
        <v>0.35420404477034401</v>
      </c>
      <c r="S160" s="189">
        <v>4.3590058897505099E-2</v>
      </c>
      <c r="T160" s="189">
        <v>0.20181016608678501</v>
      </c>
      <c r="U160" s="189">
        <v>0.33587639238337602</v>
      </c>
      <c r="V160" s="189">
        <v>0.37533050233016901</v>
      </c>
      <c r="W160" s="189"/>
      <c r="X160" s="90"/>
      <c r="Y160" s="188"/>
      <c r="Z160" s="188"/>
      <c r="AA160" s="188"/>
      <c r="AB160" s="188"/>
      <c r="AC160" s="188"/>
      <c r="AD160" s="190"/>
      <c r="AE160" s="189"/>
    </row>
    <row r="161" spans="1:31" ht="21.25" customHeight="1" x14ac:dyDescent="0.15">
      <c r="A161" s="9" t="s">
        <v>299</v>
      </c>
      <c r="B161" s="186" t="s">
        <v>852</v>
      </c>
      <c r="C161" s="187">
        <v>31</v>
      </c>
      <c r="D161" s="186" t="s">
        <v>865</v>
      </c>
      <c r="E161" s="90">
        <v>73.545000000000002</v>
      </c>
      <c r="F161" s="188">
        <v>20.077754733051801</v>
      </c>
      <c r="G161" s="189">
        <v>0.34770734989104102</v>
      </c>
      <c r="H161" s="189">
        <v>0.28402551011946298</v>
      </c>
      <c r="I161" s="189">
        <v>0.63173286001050399</v>
      </c>
      <c r="J161" s="189">
        <v>2.7359285395515802</v>
      </c>
      <c r="K161" s="189">
        <v>8.6974908804422504E-2</v>
      </c>
      <c r="L161" s="189">
        <v>0.14603337143430301</v>
      </c>
      <c r="M161" s="189">
        <v>2.4577482824193701E-3</v>
      </c>
      <c r="N161" s="189">
        <v>4.5193642001717304E-3</v>
      </c>
      <c r="O161" s="189">
        <v>1.11468515804788</v>
      </c>
      <c r="P161" s="189">
        <v>1.75716334727798</v>
      </c>
      <c r="Q161" s="189">
        <v>-9.5012393851034493E-2</v>
      </c>
      <c r="R161" s="189">
        <v>0.49948399242628699</v>
      </c>
      <c r="S161" s="189">
        <v>3.8450990976044798E-2</v>
      </c>
      <c r="T161" s="189">
        <v>10.561421524970401</v>
      </c>
      <c r="U161" s="189">
        <v>8.90037468398166</v>
      </c>
      <c r="V161" s="189">
        <v>0.54267455128896802</v>
      </c>
      <c r="W161" s="189"/>
      <c r="X161" s="90"/>
      <c r="Y161" s="188"/>
      <c r="Z161" s="188"/>
      <c r="AA161" s="188"/>
      <c r="AB161" s="188"/>
      <c r="AC161" s="188"/>
      <c r="AD161" s="190"/>
      <c r="AE161" s="189"/>
    </row>
    <row r="162" spans="1:31" ht="21.25" customHeight="1" x14ac:dyDescent="0.15">
      <c r="A162" s="9" t="s">
        <v>173</v>
      </c>
      <c r="B162" s="186" t="s">
        <v>845</v>
      </c>
      <c r="C162" s="187">
        <v>30</v>
      </c>
      <c r="D162" s="186" t="s">
        <v>818</v>
      </c>
      <c r="E162" s="90">
        <v>81.692499999999995</v>
      </c>
      <c r="F162" s="188">
        <v>23.820576186956799</v>
      </c>
      <c r="G162" s="189">
        <v>0.14949084844968899</v>
      </c>
      <c r="H162" s="189">
        <v>0.48005679653944899</v>
      </c>
      <c r="I162" s="189">
        <v>0.62954764498913796</v>
      </c>
      <c r="J162" s="189">
        <v>2.5272963275445699</v>
      </c>
      <c r="K162" s="189">
        <v>3.9233139857832902E-2</v>
      </c>
      <c r="L162" s="189">
        <v>0.21608520458967101</v>
      </c>
      <c r="M162" s="189">
        <v>2.1963339238927101E-3</v>
      </c>
      <c r="N162" s="189">
        <v>1.92324798755012E-2</v>
      </c>
      <c r="O162" s="189">
        <v>2.09389518506168</v>
      </c>
      <c r="P162" s="189">
        <v>2.15971140655317</v>
      </c>
      <c r="Q162" s="189">
        <v>-2.4147304590110701E-2</v>
      </c>
      <c r="R162" s="189">
        <v>0.63218602123999101</v>
      </c>
      <c r="S162" s="189">
        <v>2.1718595290960499E-2</v>
      </c>
      <c r="T162" s="189">
        <v>0</v>
      </c>
      <c r="U162" s="189">
        <v>0</v>
      </c>
      <c r="V162" s="189">
        <v>0</v>
      </c>
      <c r="W162" s="189"/>
      <c r="X162" s="90"/>
      <c r="Y162" s="188"/>
      <c r="Z162" s="188"/>
      <c r="AA162" s="188"/>
      <c r="AB162" s="188"/>
      <c r="AC162" s="188"/>
      <c r="AD162" s="190"/>
      <c r="AE162" s="189"/>
    </row>
    <row r="163" spans="1:31" ht="21.25" customHeight="1" x14ac:dyDescent="0.15">
      <c r="A163" s="9" t="s">
        <v>390</v>
      </c>
      <c r="B163" s="186" t="s">
        <v>830</v>
      </c>
      <c r="C163" s="187">
        <v>35</v>
      </c>
      <c r="D163" s="186" t="s">
        <v>816</v>
      </c>
      <c r="E163" s="90">
        <v>77.59</v>
      </c>
      <c r="F163" s="188">
        <v>16.549288573802599</v>
      </c>
      <c r="G163" s="189">
        <v>0.20758825477184201</v>
      </c>
      <c r="H163" s="189">
        <v>0.42186528499694398</v>
      </c>
      <c r="I163" s="189">
        <v>0.62945353976878604</v>
      </c>
      <c r="J163" s="189">
        <v>1.7201840816046601</v>
      </c>
      <c r="K163" s="189">
        <v>3.03569137689636E-2</v>
      </c>
      <c r="L163" s="189">
        <v>0.12812118034745701</v>
      </c>
      <c r="M163" s="189">
        <v>9.6982140886977004E-3</v>
      </c>
      <c r="N163" s="189">
        <v>1.3829355097586499E-2</v>
      </c>
      <c r="O163" s="189">
        <v>0.48862237568998701</v>
      </c>
      <c r="P163" s="189">
        <v>0.560701422408454</v>
      </c>
      <c r="Q163" s="189">
        <v>3.1667668717292298E-2</v>
      </c>
      <c r="R163" s="189">
        <v>0.24571645209349699</v>
      </c>
      <c r="S163" s="189">
        <v>2.9393006396868399E-2</v>
      </c>
      <c r="T163" s="189">
        <v>0.18741737158907301</v>
      </c>
      <c r="U163" s="189">
        <v>0.25799550104346602</v>
      </c>
      <c r="V163" s="189">
        <v>0.42077223875765901</v>
      </c>
      <c r="W163" s="189"/>
      <c r="X163" s="90"/>
      <c r="Y163" s="188"/>
      <c r="Z163" s="188"/>
      <c r="AA163" s="188"/>
      <c r="AB163" s="188"/>
      <c r="AC163" s="188"/>
      <c r="AD163" s="190"/>
      <c r="AE163" s="189"/>
    </row>
    <row r="164" spans="1:31" ht="21.25" customHeight="1" x14ac:dyDescent="0.15">
      <c r="A164" s="9" t="s">
        <v>406</v>
      </c>
      <c r="B164" s="186" t="s">
        <v>838</v>
      </c>
      <c r="C164" s="187">
        <v>22</v>
      </c>
      <c r="D164" s="186" t="s">
        <v>865</v>
      </c>
      <c r="E164" s="90">
        <v>72.715000000000003</v>
      </c>
      <c r="F164" s="188">
        <v>15.1703224022207</v>
      </c>
      <c r="G164" s="189">
        <v>0.25731824198122799</v>
      </c>
      <c r="H164" s="189">
        <v>0.36533710320384</v>
      </c>
      <c r="I164" s="189">
        <v>0.62265534518506804</v>
      </c>
      <c r="J164" s="189">
        <v>2.0940913683187299</v>
      </c>
      <c r="K164" s="189">
        <v>6.19136399909841E-2</v>
      </c>
      <c r="L164" s="189">
        <v>0.15254706009590399</v>
      </c>
      <c r="M164" s="189">
        <v>1.9011224428062599E-5</v>
      </c>
      <c r="N164" s="189">
        <v>3.1927337101805903E-5</v>
      </c>
      <c r="O164" s="189">
        <v>0.38979364185308502</v>
      </c>
      <c r="P164" s="189">
        <v>0.59222349787850603</v>
      </c>
      <c r="Q164" s="189">
        <v>5.3473070276245899E-2</v>
      </c>
      <c r="R164" s="189">
        <v>0.26991024903681099</v>
      </c>
      <c r="S164" s="189">
        <v>4.2773125640121298E-2</v>
      </c>
      <c r="T164" s="189">
        <v>0.41127172465354001</v>
      </c>
      <c r="U164" s="189">
        <v>0.93061004478158205</v>
      </c>
      <c r="V164" s="189">
        <v>0.30648879358922099</v>
      </c>
      <c r="W164" s="189"/>
      <c r="X164" s="90"/>
      <c r="Y164" s="188"/>
      <c r="Z164" s="188"/>
      <c r="AA164" s="188"/>
      <c r="AB164" s="188"/>
      <c r="AC164" s="188"/>
      <c r="AD164" s="190"/>
      <c r="AE164" s="189"/>
    </row>
    <row r="165" spans="1:31" ht="21.25" customHeight="1" x14ac:dyDescent="0.15">
      <c r="A165" s="9" t="s">
        <v>242</v>
      </c>
      <c r="B165" s="186" t="s">
        <v>850</v>
      </c>
      <c r="C165" s="187">
        <v>34</v>
      </c>
      <c r="D165" s="186" t="s">
        <v>818</v>
      </c>
      <c r="E165" s="90">
        <v>77.592500000000001</v>
      </c>
      <c r="F165" s="188">
        <v>25.599727606893101</v>
      </c>
      <c r="G165" s="189">
        <v>0.14142837154396901</v>
      </c>
      <c r="H165" s="189">
        <v>0.47738592756751702</v>
      </c>
      <c r="I165" s="189">
        <v>0.618814299111486</v>
      </c>
      <c r="J165" s="189">
        <v>1.7752006584262401</v>
      </c>
      <c r="K165" s="189">
        <v>5.5667127062763999E-2</v>
      </c>
      <c r="L165" s="189">
        <v>0.25407861657480602</v>
      </c>
      <c r="M165" s="189">
        <v>3.0919584017738102E-4</v>
      </c>
      <c r="N165" s="189">
        <v>1.34599820233962E-3</v>
      </c>
      <c r="O165" s="189">
        <v>1.6276674068414101</v>
      </c>
      <c r="P165" s="189">
        <v>1.3072930419718001</v>
      </c>
      <c r="Q165" s="189">
        <v>4.4904929177837997E-2</v>
      </c>
      <c r="R165" s="189">
        <v>0.54441206015417598</v>
      </c>
      <c r="S165" s="189">
        <v>2.5204186329071499E-2</v>
      </c>
      <c r="T165" s="189">
        <v>0</v>
      </c>
      <c r="U165" s="189">
        <v>0</v>
      </c>
      <c r="V165" s="189">
        <v>0</v>
      </c>
      <c r="W165" s="189"/>
      <c r="X165" s="90"/>
      <c r="Y165" s="188"/>
      <c r="Z165" s="188"/>
      <c r="AA165" s="188"/>
      <c r="AB165" s="188"/>
      <c r="AC165" s="188"/>
      <c r="AD165" s="190"/>
      <c r="AE165" s="189"/>
    </row>
    <row r="166" spans="1:31" ht="21.25" customHeight="1" x14ac:dyDescent="0.15">
      <c r="A166" s="9" t="s">
        <v>431</v>
      </c>
      <c r="B166" s="186" t="s">
        <v>855</v>
      </c>
      <c r="C166" s="187">
        <v>30</v>
      </c>
      <c r="D166" s="186" t="s">
        <v>815</v>
      </c>
      <c r="E166" s="90">
        <v>80.349999999999994</v>
      </c>
      <c r="F166" s="188">
        <v>17.653765721850299</v>
      </c>
      <c r="G166" s="189">
        <v>0.18463326668841101</v>
      </c>
      <c r="H166" s="189">
        <v>0.43418084224012199</v>
      </c>
      <c r="I166" s="189">
        <v>0.61881410892853295</v>
      </c>
      <c r="J166" s="189">
        <v>1.33334784244703</v>
      </c>
      <c r="K166" s="189">
        <v>3.5511807403880602E-2</v>
      </c>
      <c r="L166" s="189">
        <v>0.11213214081893901</v>
      </c>
      <c r="M166" s="189">
        <v>1.8750973146179E-2</v>
      </c>
      <c r="N166" s="189">
        <v>3.6146131799239603E-2</v>
      </c>
      <c r="O166" s="189">
        <v>0.56715412946239896</v>
      </c>
      <c r="P166" s="189">
        <v>0.710495083355979</v>
      </c>
      <c r="Q166" s="189">
        <v>-5.6678863928851797E-3</v>
      </c>
      <c r="R166" s="189">
        <v>0.25952083126091502</v>
      </c>
      <c r="S166" s="189">
        <v>2.8036131508334301E-2</v>
      </c>
      <c r="T166" s="189">
        <v>7.3688485142596196</v>
      </c>
      <c r="U166" s="189">
        <v>6.1731835285910401</v>
      </c>
      <c r="V166" s="189">
        <v>0.54414643909736604</v>
      </c>
      <c r="W166" s="189"/>
      <c r="X166" s="90"/>
      <c r="Y166" s="188"/>
      <c r="Z166" s="188"/>
      <c r="AA166" s="188"/>
      <c r="AB166" s="188"/>
      <c r="AC166" s="188"/>
      <c r="AD166" s="190"/>
      <c r="AE166" s="189"/>
    </row>
    <row r="167" spans="1:31" ht="21.25" customHeight="1" x14ac:dyDescent="0.15">
      <c r="A167" s="9" t="s">
        <v>368</v>
      </c>
      <c r="B167" s="186" t="s">
        <v>840</v>
      </c>
      <c r="C167" s="187">
        <v>23</v>
      </c>
      <c r="D167" s="186" t="s">
        <v>815</v>
      </c>
      <c r="E167" s="90">
        <v>72.752499999999998</v>
      </c>
      <c r="F167" s="188">
        <v>18.375242514962299</v>
      </c>
      <c r="G167" s="189">
        <v>0.26883827503802799</v>
      </c>
      <c r="H167" s="189">
        <v>0.344042145969507</v>
      </c>
      <c r="I167" s="189">
        <v>0.61288042100753504</v>
      </c>
      <c r="J167" s="189">
        <v>2.5317146666233499</v>
      </c>
      <c r="K167" s="189">
        <v>7.9454376767317397E-2</v>
      </c>
      <c r="L167" s="189">
        <v>0.14593779174492</v>
      </c>
      <c r="M167" s="189">
        <v>1.9306090071156601E-3</v>
      </c>
      <c r="N167" s="189">
        <v>3.2574924080071999E-3</v>
      </c>
      <c r="O167" s="189">
        <v>0.69413229324988901</v>
      </c>
      <c r="P167" s="189">
        <v>0.93253843414970905</v>
      </c>
      <c r="Q167" s="189">
        <v>-7.2118731451372899E-3</v>
      </c>
      <c r="R167" s="189">
        <v>0.368827742296224</v>
      </c>
      <c r="S167" s="189">
        <v>4.1740970256389703E-2</v>
      </c>
      <c r="T167" s="189">
        <v>6.2643568746298</v>
      </c>
      <c r="U167" s="189">
        <v>5.9940226646503296</v>
      </c>
      <c r="V167" s="189">
        <v>0.51102650677086703</v>
      </c>
      <c r="W167" s="189"/>
      <c r="X167" s="90"/>
      <c r="Y167" s="188"/>
      <c r="Z167" s="188"/>
      <c r="AA167" s="188"/>
      <c r="AB167" s="188"/>
      <c r="AC167" s="188"/>
      <c r="AD167" s="190"/>
      <c r="AE167" s="189"/>
    </row>
    <row r="168" spans="1:31" ht="21.25" customHeight="1" x14ac:dyDescent="0.15">
      <c r="A168" s="9" t="s">
        <v>342</v>
      </c>
      <c r="B168" s="186" t="s">
        <v>842</v>
      </c>
      <c r="C168" s="187">
        <v>32</v>
      </c>
      <c r="D168" s="186" t="s">
        <v>866</v>
      </c>
      <c r="E168" s="90">
        <v>78.477500000000006</v>
      </c>
      <c r="F168" s="188">
        <v>14.8372563780273</v>
      </c>
      <c r="G168" s="189">
        <v>0.24048567855512801</v>
      </c>
      <c r="H168" s="189">
        <v>0.36985294269853403</v>
      </c>
      <c r="I168" s="189">
        <v>0.61033862125366201</v>
      </c>
      <c r="J168" s="189">
        <v>2.03242544660747</v>
      </c>
      <c r="K168" s="189">
        <v>3.5158208086827403E-2</v>
      </c>
      <c r="L168" s="189">
        <v>0.12589287593326701</v>
      </c>
      <c r="M168" s="189">
        <v>4.4339853417244198E-5</v>
      </c>
      <c r="N168" s="189">
        <v>7.6066049204642503E-5</v>
      </c>
      <c r="O168" s="189">
        <v>0.48244482930357802</v>
      </c>
      <c r="P168" s="189">
        <v>1.0493187194289399</v>
      </c>
      <c r="Q168" s="189">
        <v>4.8257253381702898E-3</v>
      </c>
      <c r="R168" s="189">
        <v>0.217884944952593</v>
      </c>
      <c r="S168" s="189">
        <v>3.3028944017350799E-2</v>
      </c>
      <c r="T168" s="189">
        <v>2.78491033993832E-2</v>
      </c>
      <c r="U168" s="189">
        <v>5.6822560805635802E-2</v>
      </c>
      <c r="V168" s="189">
        <v>0.32890700402381401</v>
      </c>
      <c r="W168" s="189"/>
      <c r="X168" s="90"/>
      <c r="Y168" s="188"/>
      <c r="Z168" s="188"/>
      <c r="AA168" s="188"/>
      <c r="AB168" s="188"/>
      <c r="AC168" s="188"/>
      <c r="AD168" s="190"/>
      <c r="AE168" s="189"/>
    </row>
    <row r="169" spans="1:31" ht="21.25" customHeight="1" x14ac:dyDescent="0.15">
      <c r="A169" s="9" t="s">
        <v>338</v>
      </c>
      <c r="B169" s="186" t="s">
        <v>855</v>
      </c>
      <c r="C169" s="187">
        <v>34</v>
      </c>
      <c r="D169" s="186" t="s">
        <v>817</v>
      </c>
      <c r="E169" s="90">
        <v>81.02</v>
      </c>
      <c r="F169" s="188">
        <v>17.230364625966899</v>
      </c>
      <c r="G169" s="189">
        <v>0.219668045624487</v>
      </c>
      <c r="H169" s="189">
        <v>0.38693586791585499</v>
      </c>
      <c r="I169" s="189">
        <v>0.60660391354034204</v>
      </c>
      <c r="J169" s="189">
        <v>2.1214036806575201</v>
      </c>
      <c r="K169" s="189">
        <v>5.0530814597117397E-2</v>
      </c>
      <c r="L169" s="189">
        <v>0.12804140023189101</v>
      </c>
      <c r="M169" s="189">
        <v>1.16217300220943E-4</v>
      </c>
      <c r="N169" s="189">
        <v>2.0225910274925199E-4</v>
      </c>
      <c r="O169" s="189">
        <v>0.33267728564899601</v>
      </c>
      <c r="P169" s="189">
        <v>0.487154218815189</v>
      </c>
      <c r="Q169" s="189">
        <v>1.6751870251546699E-2</v>
      </c>
      <c r="R169" s="189">
        <v>0.30815699119472101</v>
      </c>
      <c r="S169" s="189">
        <v>3.3356081088573797E-2</v>
      </c>
      <c r="T169" s="189">
        <v>0.33058276748250798</v>
      </c>
      <c r="U169" s="189">
        <v>0.49756325020978398</v>
      </c>
      <c r="V169" s="189">
        <v>0.39918415402601198</v>
      </c>
      <c r="W169" s="189"/>
      <c r="X169" s="90"/>
      <c r="Y169" s="188"/>
      <c r="Z169" s="188"/>
      <c r="AA169" s="188"/>
      <c r="AB169" s="188"/>
      <c r="AC169" s="188"/>
      <c r="AD169" s="190"/>
      <c r="AE169" s="189"/>
    </row>
    <row r="170" spans="1:31" ht="21.25" customHeight="1" x14ac:dyDescent="0.15">
      <c r="A170" s="9" t="s">
        <v>397</v>
      </c>
      <c r="B170" s="186" t="s">
        <v>837</v>
      </c>
      <c r="C170" s="187">
        <v>29</v>
      </c>
      <c r="D170" s="186" t="s">
        <v>816</v>
      </c>
      <c r="E170" s="90">
        <v>77.127499999999998</v>
      </c>
      <c r="F170" s="188">
        <v>15.098541702226701</v>
      </c>
      <c r="G170" s="189">
        <v>0.23995332177095699</v>
      </c>
      <c r="H170" s="189">
        <v>0.36100783699827899</v>
      </c>
      <c r="I170" s="189">
        <v>0.60096115876923595</v>
      </c>
      <c r="J170" s="189">
        <v>1.9500422543359299</v>
      </c>
      <c r="K170" s="189">
        <v>4.9471149776422203E-2</v>
      </c>
      <c r="L170" s="189">
        <v>0.102376582357811</v>
      </c>
      <c r="M170" s="189">
        <v>1.3012243014550901E-4</v>
      </c>
      <c r="N170" s="189">
        <v>2.2163105912120101E-4</v>
      </c>
      <c r="O170" s="189">
        <v>0.44380131257123501</v>
      </c>
      <c r="P170" s="189">
        <v>1.2518637561738399</v>
      </c>
      <c r="Q170" s="189">
        <v>7.2354752889937896E-2</v>
      </c>
      <c r="R170" s="189">
        <v>0.68152379208070202</v>
      </c>
      <c r="S170" s="189">
        <v>3.8373026584283598E-2</v>
      </c>
      <c r="T170" s="189">
        <v>8.4515558166762803E-2</v>
      </c>
      <c r="U170" s="189">
        <v>0.12715570165557599</v>
      </c>
      <c r="V170" s="189">
        <v>0.39927743727560899</v>
      </c>
      <c r="W170" s="189"/>
      <c r="X170" s="90"/>
      <c r="Y170" s="188"/>
      <c r="Z170" s="188"/>
      <c r="AA170" s="188"/>
      <c r="AB170" s="188"/>
      <c r="AC170" s="188"/>
      <c r="AD170" s="190"/>
      <c r="AE170" s="189"/>
    </row>
    <row r="171" spans="1:31" ht="21.25" customHeight="1" x14ac:dyDescent="0.15">
      <c r="A171" s="9" t="s">
        <v>296</v>
      </c>
      <c r="B171" s="186" t="s">
        <v>850</v>
      </c>
      <c r="C171" s="187">
        <v>29</v>
      </c>
      <c r="D171" s="186" t="s">
        <v>866</v>
      </c>
      <c r="E171" s="90">
        <v>78.767499999999998</v>
      </c>
      <c r="F171" s="188">
        <v>17.375370895321701</v>
      </c>
      <c r="G171" s="189">
        <v>0.27647932707191297</v>
      </c>
      <c r="H171" s="189">
        <v>0.32440930229517101</v>
      </c>
      <c r="I171" s="189">
        <v>0.60088862936708398</v>
      </c>
      <c r="J171" s="189">
        <v>2.7553918631201899</v>
      </c>
      <c r="K171" s="189">
        <v>2.5105497716525E-2</v>
      </c>
      <c r="L171" s="189">
        <v>7.8717274455347305E-2</v>
      </c>
      <c r="M171" s="189">
        <v>2.43643282828871E-2</v>
      </c>
      <c r="N171" s="189">
        <v>3.2564108617266198E-2</v>
      </c>
      <c r="O171" s="189">
        <v>0.618302216938594</v>
      </c>
      <c r="P171" s="189">
        <v>1.0566449594437399</v>
      </c>
      <c r="Q171" s="189">
        <v>4.8469875402060998E-2</v>
      </c>
      <c r="R171" s="189">
        <v>0.33509429472496699</v>
      </c>
      <c r="S171" s="189">
        <v>4.9271842697349903E-2</v>
      </c>
      <c r="T171" s="189">
        <v>0.21294109825722801</v>
      </c>
      <c r="U171" s="189">
        <v>0.41170247010213501</v>
      </c>
      <c r="V171" s="189">
        <v>0.340900169382232</v>
      </c>
      <c r="W171" s="189"/>
      <c r="X171" s="90"/>
      <c r="Y171" s="188"/>
      <c r="Z171" s="188"/>
      <c r="AA171" s="188"/>
      <c r="AB171" s="188"/>
      <c r="AC171" s="188"/>
      <c r="AD171" s="190"/>
      <c r="AE171" s="189"/>
    </row>
    <row r="172" spans="1:31" ht="21.25" customHeight="1" x14ac:dyDescent="0.15">
      <c r="A172" s="9" t="s">
        <v>450</v>
      </c>
      <c r="B172" s="186" t="s">
        <v>859</v>
      </c>
      <c r="C172" s="187">
        <v>19</v>
      </c>
      <c r="D172" s="186" t="s">
        <v>815</v>
      </c>
      <c r="E172" s="90">
        <v>74</v>
      </c>
      <c r="F172" s="188">
        <v>16</v>
      </c>
      <c r="G172" s="189">
        <v>0.22</v>
      </c>
      <c r="H172" s="189">
        <v>0.38</v>
      </c>
      <c r="I172" s="189">
        <v>0.6</v>
      </c>
      <c r="J172" s="189">
        <v>1.80229268292683</v>
      </c>
      <c r="K172" s="189">
        <v>5.6699186991869897E-2</v>
      </c>
      <c r="L172" s="189">
        <v>0.154634146341463</v>
      </c>
      <c r="M172" s="189">
        <v>0</v>
      </c>
      <c r="N172" s="189">
        <v>0</v>
      </c>
      <c r="O172" s="189">
        <v>0.43414634146341502</v>
      </c>
      <c r="P172" s="189">
        <v>1.1830924032672601</v>
      </c>
      <c r="Q172" s="189">
        <v>-7.5054402408671506E-2</v>
      </c>
      <c r="R172" s="189">
        <v>0.40406689838350401</v>
      </c>
      <c r="S172" s="189">
        <v>2.3498227482006698E-2</v>
      </c>
      <c r="T172" s="189">
        <v>1.9512195121951199</v>
      </c>
      <c r="U172" s="189">
        <v>2.9268292682926802</v>
      </c>
      <c r="V172" s="189">
        <v>0.4</v>
      </c>
      <c r="W172" s="189"/>
      <c r="X172" s="90"/>
      <c r="Y172" s="189"/>
      <c r="Z172" s="189"/>
      <c r="AA172" s="189"/>
      <c r="AB172" s="189"/>
      <c r="AC172" s="188"/>
      <c r="AD172" s="190"/>
      <c r="AE172" s="189"/>
    </row>
    <row r="173" spans="1:31" ht="21.25" customHeight="1" x14ac:dyDescent="0.15">
      <c r="A173" s="9" t="s">
        <v>358</v>
      </c>
      <c r="B173" s="186" t="s">
        <v>829</v>
      </c>
      <c r="C173" s="187">
        <v>22</v>
      </c>
      <c r="D173" s="186" t="s">
        <v>815</v>
      </c>
      <c r="E173" s="90">
        <v>82.03</v>
      </c>
      <c r="F173" s="188">
        <v>17.4988918971526</v>
      </c>
      <c r="G173" s="189">
        <v>0.30149557326139298</v>
      </c>
      <c r="H173" s="189">
        <v>0.29582060972367402</v>
      </c>
      <c r="I173" s="189">
        <v>0.59731618298506695</v>
      </c>
      <c r="J173" s="189">
        <v>1.81691360721704</v>
      </c>
      <c r="K173" s="189">
        <v>4.2798466815083598E-2</v>
      </c>
      <c r="L173" s="189">
        <v>9.5668491381485907E-2</v>
      </c>
      <c r="M173" s="189">
        <v>1.0255088791621901E-2</v>
      </c>
      <c r="N173" s="189">
        <v>1.73314708292783E-2</v>
      </c>
      <c r="O173" s="189">
        <v>0.60650519594777896</v>
      </c>
      <c r="P173" s="189">
        <v>0.43954834151704603</v>
      </c>
      <c r="Q173" s="189">
        <v>2.0465160742712998E-2</v>
      </c>
      <c r="R173" s="189">
        <v>0.28785920743100102</v>
      </c>
      <c r="S173" s="189">
        <v>4.54885429130008E-2</v>
      </c>
      <c r="T173" s="189">
        <v>1.5605408485409</v>
      </c>
      <c r="U173" s="189">
        <v>2.1728015507248402</v>
      </c>
      <c r="V173" s="189">
        <v>0.41800099793895701</v>
      </c>
      <c r="W173" s="189"/>
      <c r="X173" s="90"/>
      <c r="Y173" s="188"/>
      <c r="Z173" s="188"/>
      <c r="AA173" s="188"/>
      <c r="AB173" s="188"/>
      <c r="AC173" s="188"/>
      <c r="AD173" s="190"/>
      <c r="AE173" s="189"/>
    </row>
    <row r="174" spans="1:31" ht="21.25" customHeight="1" x14ac:dyDescent="0.15">
      <c r="A174" s="9" t="s">
        <v>232</v>
      </c>
      <c r="B174" s="186" t="s">
        <v>848</v>
      </c>
      <c r="C174" s="187">
        <v>32</v>
      </c>
      <c r="D174" s="186" t="s">
        <v>818</v>
      </c>
      <c r="E174" s="90">
        <v>77.525000000000006</v>
      </c>
      <c r="F174" s="188">
        <v>23.0847739339676</v>
      </c>
      <c r="G174" s="189">
        <v>0.119748664305319</v>
      </c>
      <c r="H174" s="189">
        <v>0.47734317859005898</v>
      </c>
      <c r="I174" s="189">
        <v>0.59709184289537798</v>
      </c>
      <c r="J174" s="189">
        <v>2.28232683375004</v>
      </c>
      <c r="K174" s="189">
        <v>2.80299921284177E-2</v>
      </c>
      <c r="L174" s="189">
        <v>0.16671595895347099</v>
      </c>
      <c r="M174" s="189">
        <v>3.5899333970804901E-4</v>
      </c>
      <c r="N174" s="189">
        <v>6.6500999866066198E-3</v>
      </c>
      <c r="O174" s="189">
        <v>1.652231538453</v>
      </c>
      <c r="P174" s="189">
        <v>1.35798026735182</v>
      </c>
      <c r="Q174" s="189">
        <v>-5.3605027982398197E-2</v>
      </c>
      <c r="R174" s="189">
        <v>0.44737933057004903</v>
      </c>
      <c r="S174" s="189">
        <v>1.44170318682334E-2</v>
      </c>
      <c r="T174" s="189">
        <v>0</v>
      </c>
      <c r="U174" s="189">
        <v>0</v>
      </c>
      <c r="V174" s="189">
        <v>0</v>
      </c>
      <c r="W174" s="189"/>
      <c r="X174" s="90"/>
      <c r="Y174" s="188"/>
      <c r="Z174" s="188"/>
      <c r="AA174" s="188"/>
      <c r="AB174" s="188"/>
      <c r="AC174" s="188"/>
      <c r="AD174" s="190"/>
      <c r="AE174" s="189"/>
    </row>
    <row r="175" spans="1:31" ht="21.25" customHeight="1" x14ac:dyDescent="0.15">
      <c r="A175" s="9" t="s">
        <v>354</v>
      </c>
      <c r="B175" s="186" t="s">
        <v>832</v>
      </c>
      <c r="C175" s="187">
        <v>28</v>
      </c>
      <c r="D175" s="186" t="s">
        <v>815</v>
      </c>
      <c r="E175" s="90">
        <v>76.010000000000005</v>
      </c>
      <c r="F175" s="188">
        <v>16.713347613762501</v>
      </c>
      <c r="G175" s="189">
        <v>0.278883661171487</v>
      </c>
      <c r="H175" s="189">
        <v>0.31786673817026401</v>
      </c>
      <c r="I175" s="189">
        <v>0.596750399341751</v>
      </c>
      <c r="J175" s="189">
        <v>2.5981337102494799</v>
      </c>
      <c r="K175" s="189">
        <v>5.5355381909521897E-2</v>
      </c>
      <c r="L175" s="189">
        <v>0.127738034847141</v>
      </c>
      <c r="M175" s="189">
        <v>1.36277167994196E-3</v>
      </c>
      <c r="N175" s="189">
        <v>4.38184760964558E-3</v>
      </c>
      <c r="O175" s="189">
        <v>0.58576394507686602</v>
      </c>
      <c r="P175" s="189">
        <v>2.17963370667051</v>
      </c>
      <c r="Q175" s="189">
        <v>9.0350088019127001E-2</v>
      </c>
      <c r="R175" s="189">
        <v>0.85824831536681101</v>
      </c>
      <c r="S175" s="189">
        <v>4.7511103139031799E-2</v>
      </c>
      <c r="T175" s="189">
        <v>5.8506991664134604</v>
      </c>
      <c r="U175" s="189">
        <v>6.7879234702568603</v>
      </c>
      <c r="V175" s="189">
        <v>0.46292221348851398</v>
      </c>
      <c r="W175" s="189"/>
      <c r="X175" s="90"/>
      <c r="Y175" s="188"/>
      <c r="Z175" s="188"/>
      <c r="AA175" s="188"/>
      <c r="AB175" s="188"/>
      <c r="AC175" s="188"/>
      <c r="AD175" s="190"/>
      <c r="AE175" s="189"/>
    </row>
    <row r="176" spans="1:31" ht="21.25" customHeight="1" x14ac:dyDescent="0.15">
      <c r="A176" s="9" t="s">
        <v>385</v>
      </c>
      <c r="B176" s="186" t="s">
        <v>827</v>
      </c>
      <c r="C176" s="187">
        <v>27</v>
      </c>
      <c r="D176" s="186" t="s">
        <v>815</v>
      </c>
      <c r="E176" s="90">
        <v>77.597499999999997</v>
      </c>
      <c r="F176" s="188">
        <v>18.581210045434101</v>
      </c>
      <c r="G176" s="189">
        <v>0.24602697901038501</v>
      </c>
      <c r="H176" s="189">
        <v>0.34544008366265999</v>
      </c>
      <c r="I176" s="189">
        <v>0.59146706267304505</v>
      </c>
      <c r="J176" s="189">
        <v>1.82817816531746</v>
      </c>
      <c r="K176" s="189">
        <v>4.3707068446974799E-2</v>
      </c>
      <c r="L176" s="189">
        <v>9.7573244109791596E-2</v>
      </c>
      <c r="M176" s="189">
        <v>2.3453992849039498E-2</v>
      </c>
      <c r="N176" s="189">
        <v>2.4797592684542302E-2</v>
      </c>
      <c r="O176" s="189">
        <v>0.89167013782776805</v>
      </c>
      <c r="P176" s="189">
        <v>0.79651379134669897</v>
      </c>
      <c r="Q176" s="189">
        <v>2.5963035663987E-2</v>
      </c>
      <c r="R176" s="189">
        <v>0.46247024753184901</v>
      </c>
      <c r="S176" s="189">
        <v>3.8764409863744798E-2</v>
      </c>
      <c r="T176" s="189">
        <v>6.0911091745661397</v>
      </c>
      <c r="U176" s="189">
        <v>6.3217588342502102</v>
      </c>
      <c r="V176" s="189">
        <v>0.490709251902129</v>
      </c>
      <c r="W176" s="189"/>
      <c r="X176" s="90"/>
      <c r="Y176" s="188"/>
      <c r="Z176" s="188"/>
      <c r="AA176" s="188"/>
      <c r="AB176" s="188"/>
      <c r="AC176" s="188"/>
      <c r="AD176" s="190"/>
      <c r="AE176" s="189"/>
    </row>
    <row r="177" spans="1:31" ht="21.25" customHeight="1" x14ac:dyDescent="0.15">
      <c r="A177" s="9" t="s">
        <v>381</v>
      </c>
      <c r="B177" s="186" t="s">
        <v>828</v>
      </c>
      <c r="C177" s="187">
        <v>32</v>
      </c>
      <c r="D177" s="186" t="s">
        <v>815</v>
      </c>
      <c r="E177" s="90">
        <v>82.03</v>
      </c>
      <c r="F177" s="188">
        <v>17.459673532129798</v>
      </c>
      <c r="G177" s="189">
        <v>0.227923811314831</v>
      </c>
      <c r="H177" s="189">
        <v>0.36126553414748802</v>
      </c>
      <c r="I177" s="189">
        <v>0.58918934546231905</v>
      </c>
      <c r="J177" s="189">
        <v>1.7133576466231899</v>
      </c>
      <c r="K177" s="189">
        <v>5.0178631460628599E-2</v>
      </c>
      <c r="L177" s="189">
        <v>9.6798881858859903E-2</v>
      </c>
      <c r="M177" s="189">
        <v>8.9921148150508192E-3</v>
      </c>
      <c r="N177" s="189">
        <v>4.0489415704680697E-2</v>
      </c>
      <c r="O177" s="189">
        <v>0.69475111785254495</v>
      </c>
      <c r="P177" s="189">
        <v>1.3467015324177101</v>
      </c>
      <c r="Q177" s="189">
        <v>2.0120644769491301E-2</v>
      </c>
      <c r="R177" s="189">
        <v>0.39591087458562901</v>
      </c>
      <c r="S177" s="189">
        <v>3.5499981025602201E-2</v>
      </c>
      <c r="T177" s="189">
        <v>8.3143106969400709</v>
      </c>
      <c r="U177" s="189">
        <v>7.8892027567762</v>
      </c>
      <c r="V177" s="189">
        <v>0.51311777045694895</v>
      </c>
      <c r="W177" s="189"/>
      <c r="X177" s="90"/>
      <c r="Y177" s="188"/>
      <c r="Z177" s="188"/>
      <c r="AA177" s="188"/>
      <c r="AB177" s="188"/>
      <c r="AC177" s="188"/>
      <c r="AD177" s="190"/>
      <c r="AE177" s="189"/>
    </row>
    <row r="178" spans="1:31" ht="21.25" customHeight="1" x14ac:dyDescent="0.15">
      <c r="A178" s="9" t="s">
        <v>331</v>
      </c>
      <c r="B178" s="186" t="s">
        <v>844</v>
      </c>
      <c r="C178" s="187">
        <v>30</v>
      </c>
      <c r="D178" s="186" t="s">
        <v>817</v>
      </c>
      <c r="E178" s="90">
        <v>73.472499999999997</v>
      </c>
      <c r="F178" s="188">
        <v>18.394384338897801</v>
      </c>
      <c r="G178" s="189">
        <v>0.289585532828041</v>
      </c>
      <c r="H178" s="189">
        <v>0.29746577412271402</v>
      </c>
      <c r="I178" s="189">
        <v>0.58705130695075503</v>
      </c>
      <c r="J178" s="189">
        <v>2.2603935176485099</v>
      </c>
      <c r="K178" s="189">
        <v>7.3147754709224203E-2</v>
      </c>
      <c r="L178" s="189">
        <v>0.15016030108540701</v>
      </c>
      <c r="M178" s="189">
        <v>2.1985542197390101E-2</v>
      </c>
      <c r="N178" s="189">
        <v>2.6517061992159901E-2</v>
      </c>
      <c r="O178" s="189">
        <v>0.91525462413891001</v>
      </c>
      <c r="P178" s="189">
        <v>2.80810508901738</v>
      </c>
      <c r="Q178" s="189">
        <v>-3.52603236802468E-2</v>
      </c>
      <c r="R178" s="189">
        <v>1.1677189593294299</v>
      </c>
      <c r="S178" s="189">
        <v>4.1095817072841302E-2</v>
      </c>
      <c r="T178" s="189">
        <v>0.29244458756186498</v>
      </c>
      <c r="U178" s="189">
        <v>0.47990976157534498</v>
      </c>
      <c r="V178" s="189">
        <v>0.37864043607516701</v>
      </c>
      <c r="W178" s="189"/>
      <c r="X178" s="90"/>
      <c r="Y178" s="188"/>
      <c r="Z178" s="188"/>
      <c r="AA178" s="188"/>
      <c r="AB178" s="188"/>
      <c r="AC178" s="188"/>
      <c r="AD178" s="190"/>
      <c r="AE178" s="189"/>
    </row>
    <row r="179" spans="1:31" ht="21.25" customHeight="1" x14ac:dyDescent="0.15">
      <c r="A179" s="9" t="s">
        <v>419</v>
      </c>
      <c r="B179" s="186" t="s">
        <v>841</v>
      </c>
      <c r="C179" s="187">
        <v>28</v>
      </c>
      <c r="D179" s="186" t="s">
        <v>865</v>
      </c>
      <c r="E179" s="90">
        <v>81.93</v>
      </c>
      <c r="F179" s="188">
        <v>16.2544142607567</v>
      </c>
      <c r="G179" s="189">
        <v>0.23691753453588801</v>
      </c>
      <c r="H179" s="189">
        <v>0.34789353618936297</v>
      </c>
      <c r="I179" s="189">
        <v>0.58481107072525096</v>
      </c>
      <c r="J179" s="189">
        <v>1.51688264363282</v>
      </c>
      <c r="K179" s="189">
        <v>3.9530763900006198E-2</v>
      </c>
      <c r="L179" s="189">
        <v>8.4191622332483396E-2</v>
      </c>
      <c r="M179" s="189">
        <v>1.16857948977492E-4</v>
      </c>
      <c r="N179" s="189">
        <v>2.2200946432169899E-4</v>
      </c>
      <c r="O179" s="189">
        <v>0.506801499962521</v>
      </c>
      <c r="P179" s="189">
        <v>2.0176612534311702</v>
      </c>
      <c r="Q179" s="189">
        <v>2.7795702153856201E-2</v>
      </c>
      <c r="R179" s="189">
        <v>0.47588371370564297</v>
      </c>
      <c r="S179" s="189">
        <v>3.6035462380134803E-2</v>
      </c>
      <c r="T179" s="189">
        <v>0.64744981807272795</v>
      </c>
      <c r="U179" s="189">
        <v>0.94628906710222105</v>
      </c>
      <c r="V179" s="189">
        <v>0.40624585626625798</v>
      </c>
      <c r="W179" s="189"/>
      <c r="X179" s="90"/>
      <c r="Y179" s="188"/>
      <c r="Z179" s="188"/>
      <c r="AA179" s="188"/>
      <c r="AB179" s="188"/>
      <c r="AC179" s="188"/>
      <c r="AD179" s="190"/>
      <c r="AE179" s="189"/>
    </row>
    <row r="180" spans="1:31" ht="21.25" customHeight="1" x14ac:dyDescent="0.15">
      <c r="A180" s="9" t="s">
        <v>405</v>
      </c>
      <c r="B180" s="186" t="s">
        <v>856</v>
      </c>
      <c r="C180" s="187">
        <v>25</v>
      </c>
      <c r="D180" s="186" t="s">
        <v>815</v>
      </c>
      <c r="E180" s="90">
        <v>77.239999999999995</v>
      </c>
      <c r="F180" s="188">
        <v>16.237837213608401</v>
      </c>
      <c r="G180" s="189">
        <v>0.21466934791439399</v>
      </c>
      <c r="H180" s="189">
        <v>0.36956563263634301</v>
      </c>
      <c r="I180" s="189">
        <v>0.58423498055073697</v>
      </c>
      <c r="J180" s="189">
        <v>1.9358399766490899</v>
      </c>
      <c r="K180" s="189">
        <v>3.5411241789250099E-2</v>
      </c>
      <c r="L180" s="189">
        <v>0.12030584011254999</v>
      </c>
      <c r="M180" s="189">
        <v>1.5565854827290701E-4</v>
      </c>
      <c r="N180" s="189">
        <v>2.62363107516806E-4</v>
      </c>
      <c r="O180" s="189">
        <v>0.70264745428143904</v>
      </c>
      <c r="P180" s="189">
        <v>0.90152282756339996</v>
      </c>
      <c r="Q180" s="189">
        <v>-1.5557019003096299E-2</v>
      </c>
      <c r="R180" s="189">
        <v>0.33413505484819001</v>
      </c>
      <c r="S180" s="189">
        <v>3.1116220442774001E-2</v>
      </c>
      <c r="T180" s="189">
        <v>5.5697607442409298</v>
      </c>
      <c r="U180" s="189">
        <v>6.0843221226223996</v>
      </c>
      <c r="V180" s="189">
        <v>0.47792355759522898</v>
      </c>
      <c r="W180" s="189"/>
      <c r="X180" s="90"/>
      <c r="Y180" s="188"/>
      <c r="Z180" s="188"/>
      <c r="AA180" s="188"/>
      <c r="AB180" s="188"/>
      <c r="AC180" s="188"/>
      <c r="AD180" s="190"/>
      <c r="AE180" s="189"/>
    </row>
    <row r="181" spans="1:31" ht="21.25" customHeight="1" x14ac:dyDescent="0.15">
      <c r="A181" s="9" t="s">
        <v>230</v>
      </c>
      <c r="B181" s="186" t="s">
        <v>841</v>
      </c>
      <c r="C181" s="187">
        <v>27</v>
      </c>
      <c r="D181" s="186" t="s">
        <v>818</v>
      </c>
      <c r="E181" s="90">
        <v>81.4375</v>
      </c>
      <c r="F181" s="188">
        <v>23.574048039084602</v>
      </c>
      <c r="G181" s="189">
        <v>0.133190589076877</v>
      </c>
      <c r="H181" s="189">
        <v>0.44894528435249398</v>
      </c>
      <c r="I181" s="189">
        <v>0.58213587342937101</v>
      </c>
      <c r="J181" s="189">
        <v>2.1567580446958101</v>
      </c>
      <c r="K181" s="189">
        <v>3.4742469828376199E-2</v>
      </c>
      <c r="L181" s="189">
        <v>0.14425722464079799</v>
      </c>
      <c r="M181" s="189">
        <v>3.2765196122606401E-4</v>
      </c>
      <c r="N181" s="189">
        <v>1.5073094013323299E-2</v>
      </c>
      <c r="O181" s="189">
        <v>1.5588110809054601</v>
      </c>
      <c r="P181" s="189">
        <v>0.90626625608824096</v>
      </c>
      <c r="Q181" s="189">
        <v>1.8715149430557101E-2</v>
      </c>
      <c r="R181" s="189">
        <v>0.379768152738306</v>
      </c>
      <c r="S181" s="189">
        <v>2.0258460275935201E-2</v>
      </c>
      <c r="T181" s="189">
        <v>0</v>
      </c>
      <c r="U181" s="189">
        <v>0</v>
      </c>
      <c r="V181" s="189">
        <v>0</v>
      </c>
      <c r="W181" s="189"/>
      <c r="X181" s="90"/>
      <c r="Y181" s="188"/>
      <c r="Z181" s="188"/>
      <c r="AA181" s="188"/>
      <c r="AB181" s="188"/>
      <c r="AC181" s="188"/>
      <c r="AD181" s="190"/>
      <c r="AE181" s="189"/>
    </row>
    <row r="182" spans="1:31" ht="21.25" customHeight="1" x14ac:dyDescent="0.15">
      <c r="A182" s="9" t="s">
        <v>212</v>
      </c>
      <c r="B182" s="186" t="s">
        <v>847</v>
      </c>
      <c r="C182" s="187">
        <v>29</v>
      </c>
      <c r="D182" s="186" t="s">
        <v>818</v>
      </c>
      <c r="E182" s="90">
        <v>77.592500000000001</v>
      </c>
      <c r="F182" s="188">
        <v>25.8583008478248</v>
      </c>
      <c r="G182" s="189">
        <v>0.12983339677295599</v>
      </c>
      <c r="H182" s="189">
        <v>0.45142606040651201</v>
      </c>
      <c r="I182" s="189">
        <v>0.58125945717946803</v>
      </c>
      <c r="J182" s="189">
        <v>2.53882081028872</v>
      </c>
      <c r="K182" s="189">
        <v>3.10341978147093E-2</v>
      </c>
      <c r="L182" s="189">
        <v>0.19454244728378201</v>
      </c>
      <c r="M182" s="189">
        <v>4.3738687798194502E-4</v>
      </c>
      <c r="N182" s="189">
        <v>8.4492079515443592E-3</v>
      </c>
      <c r="O182" s="189">
        <v>1.9378416259801301</v>
      </c>
      <c r="P182" s="189">
        <v>1.23932776105413</v>
      </c>
      <c r="Q182" s="189">
        <v>-9.0079571522934304E-2</v>
      </c>
      <c r="R182" s="189">
        <v>0.478009958442075</v>
      </c>
      <c r="S182" s="189">
        <v>1.6779050883288699E-2</v>
      </c>
      <c r="T182" s="189">
        <v>0</v>
      </c>
      <c r="U182" s="189">
        <v>0</v>
      </c>
      <c r="V182" s="189">
        <v>0</v>
      </c>
      <c r="W182" s="189"/>
      <c r="X182" s="90"/>
      <c r="Y182" s="188"/>
      <c r="Z182" s="188"/>
      <c r="AA182" s="188"/>
      <c r="AB182" s="188"/>
      <c r="AC182" s="188"/>
      <c r="AD182" s="190"/>
      <c r="AE182" s="189"/>
    </row>
    <row r="183" spans="1:31" ht="21.25" customHeight="1" x14ac:dyDescent="0.15">
      <c r="A183" s="9" t="s">
        <v>366</v>
      </c>
      <c r="B183" s="186" t="s">
        <v>859</v>
      </c>
      <c r="C183" s="187">
        <v>32</v>
      </c>
      <c r="D183" s="186" t="s">
        <v>867</v>
      </c>
      <c r="E183" s="90">
        <v>79.11</v>
      </c>
      <c r="F183" s="188">
        <v>18.064288998387301</v>
      </c>
      <c r="G183" s="189">
        <v>0.130566533964944</v>
      </c>
      <c r="H183" s="189">
        <v>0.44950678340198602</v>
      </c>
      <c r="I183" s="189">
        <v>0.58007331736693002</v>
      </c>
      <c r="J183" s="189">
        <v>1.5516819448277599</v>
      </c>
      <c r="K183" s="189">
        <v>1.49125232569489E-2</v>
      </c>
      <c r="L183" s="189">
        <v>0.17055854859855099</v>
      </c>
      <c r="M183" s="189">
        <v>1.0222755501472999E-3</v>
      </c>
      <c r="N183" s="189">
        <v>8.8648431665732594E-3</v>
      </c>
      <c r="O183" s="189">
        <v>0.716576683781463</v>
      </c>
      <c r="P183" s="189">
        <v>0.83062490559098501</v>
      </c>
      <c r="Q183" s="189">
        <v>-0.12051629344732601</v>
      </c>
      <c r="R183" s="189">
        <v>0.39467139522863898</v>
      </c>
      <c r="S183" s="189">
        <v>1.39458278029337E-2</v>
      </c>
      <c r="T183" s="189">
        <v>5.5557146484829998</v>
      </c>
      <c r="U183" s="189">
        <v>6.4776987716844801</v>
      </c>
      <c r="V183" s="189">
        <v>0.46169066535783299</v>
      </c>
      <c r="W183" s="189"/>
      <c r="X183" s="90"/>
      <c r="Y183" s="188"/>
      <c r="Z183" s="188"/>
      <c r="AA183" s="188"/>
      <c r="AB183" s="188"/>
      <c r="AC183" s="188"/>
      <c r="AD183" s="190"/>
      <c r="AE183" s="189"/>
    </row>
    <row r="184" spans="1:31" ht="21.25" customHeight="1" x14ac:dyDescent="0.15">
      <c r="A184" s="9" t="s">
        <v>322</v>
      </c>
      <c r="B184" s="186" t="s">
        <v>835</v>
      </c>
      <c r="C184" s="187">
        <v>28</v>
      </c>
      <c r="D184" s="186" t="s">
        <v>817</v>
      </c>
      <c r="E184" s="90">
        <v>81.392499999999998</v>
      </c>
      <c r="F184" s="188">
        <v>15.367384742492799</v>
      </c>
      <c r="G184" s="189">
        <v>0.226636520199582</v>
      </c>
      <c r="H184" s="189">
        <v>0.35301644100294199</v>
      </c>
      <c r="I184" s="189">
        <v>0.57965296120252396</v>
      </c>
      <c r="J184" s="189">
        <v>2.40155212848458</v>
      </c>
      <c r="K184" s="189">
        <v>2.3974336255845399E-2</v>
      </c>
      <c r="L184" s="189">
        <v>0.10164873453706399</v>
      </c>
      <c r="M184" s="189">
        <v>4.2498921162579698E-5</v>
      </c>
      <c r="N184" s="189">
        <v>7.2359809993933298E-5</v>
      </c>
      <c r="O184" s="189">
        <v>0.38389298829914997</v>
      </c>
      <c r="P184" s="189">
        <v>0.69056516308259097</v>
      </c>
      <c r="Q184" s="189">
        <v>9.6727032397202206E-2</v>
      </c>
      <c r="R184" s="189">
        <v>0.32393809651862798</v>
      </c>
      <c r="S184" s="189">
        <v>3.8703671206997699E-2</v>
      </c>
      <c r="T184" s="189">
        <v>3.7785391102957401E-2</v>
      </c>
      <c r="U184" s="189">
        <v>9.6968529142822404E-2</v>
      </c>
      <c r="V184" s="189">
        <v>0.28040290801217499</v>
      </c>
      <c r="W184" s="189"/>
      <c r="X184" s="90"/>
      <c r="Y184" s="188"/>
      <c r="Z184" s="188"/>
      <c r="AA184" s="188"/>
      <c r="AB184" s="188"/>
      <c r="AC184" s="188"/>
      <c r="AD184" s="190"/>
      <c r="AE184" s="189"/>
    </row>
    <row r="185" spans="1:31" ht="21.25" customHeight="1" x14ac:dyDescent="0.15">
      <c r="A185" s="9" t="s">
        <v>408</v>
      </c>
      <c r="B185" s="186" t="s">
        <v>858</v>
      </c>
      <c r="C185" s="187">
        <v>34</v>
      </c>
      <c r="D185" s="186" t="s">
        <v>865</v>
      </c>
      <c r="E185" s="90">
        <v>78.657499999999999</v>
      </c>
      <c r="F185" s="188">
        <v>17.418181699659002</v>
      </c>
      <c r="G185" s="189">
        <v>0.25715833772520902</v>
      </c>
      <c r="H185" s="189">
        <v>0.32172567500997801</v>
      </c>
      <c r="I185" s="189">
        <v>0.57888401273518697</v>
      </c>
      <c r="J185" s="189">
        <v>1.94940891176387</v>
      </c>
      <c r="K185" s="189">
        <v>4.1133225861251899E-2</v>
      </c>
      <c r="L185" s="189">
        <v>8.87847958045518E-2</v>
      </c>
      <c r="M185" s="189">
        <v>4.8059465898643199E-3</v>
      </c>
      <c r="N185" s="189">
        <v>9.5130145480062708E-3</v>
      </c>
      <c r="O185" s="189">
        <v>0.40413965072591002</v>
      </c>
      <c r="P185" s="189">
        <v>0.96321416369182999</v>
      </c>
      <c r="Q185" s="189">
        <v>-7.66289976089473E-2</v>
      </c>
      <c r="R185" s="189">
        <v>0.615022412977972</v>
      </c>
      <c r="S185" s="189">
        <v>2.9974259951732099E-2</v>
      </c>
      <c r="T185" s="189">
        <v>0.14556010350332799</v>
      </c>
      <c r="U185" s="189">
        <v>0.26285491285797102</v>
      </c>
      <c r="V185" s="189">
        <v>0.356402428099166</v>
      </c>
      <c r="W185" s="189"/>
      <c r="X185" s="90"/>
      <c r="Y185" s="188"/>
      <c r="Z185" s="188"/>
      <c r="AA185" s="188"/>
      <c r="AB185" s="188"/>
      <c r="AC185" s="188"/>
      <c r="AD185" s="190"/>
      <c r="AE185" s="189"/>
    </row>
    <row r="186" spans="1:31" ht="21.25" customHeight="1" x14ac:dyDescent="0.15">
      <c r="A186" s="9" t="s">
        <v>269</v>
      </c>
      <c r="B186" s="186" t="s">
        <v>837</v>
      </c>
      <c r="C186" s="187">
        <v>23</v>
      </c>
      <c r="D186" s="186" t="s">
        <v>818</v>
      </c>
      <c r="E186" s="90">
        <v>74.772499999999994</v>
      </c>
      <c r="F186" s="188">
        <v>21.281060180600299</v>
      </c>
      <c r="G186" s="189">
        <v>0.15896078804891201</v>
      </c>
      <c r="H186" s="189">
        <v>0.41765577916941199</v>
      </c>
      <c r="I186" s="189">
        <v>0.57661656721832399</v>
      </c>
      <c r="J186" s="189">
        <v>1.8515117455314101</v>
      </c>
      <c r="K186" s="189">
        <v>1.5453990570369801E-2</v>
      </c>
      <c r="L186" s="189">
        <v>0.12976925894027799</v>
      </c>
      <c r="M186" s="189">
        <v>7.6434224927887599E-3</v>
      </c>
      <c r="N186" s="189">
        <v>9.25413972152608E-3</v>
      </c>
      <c r="O186" s="189">
        <v>1.6404476997828401</v>
      </c>
      <c r="P186" s="189">
        <v>0.92309799163988004</v>
      </c>
      <c r="Q186" s="189">
        <v>0.101687872274695</v>
      </c>
      <c r="R186" s="189">
        <v>0.32526629585264699</v>
      </c>
      <c r="S186" s="189">
        <v>2.5420804765862101E-2</v>
      </c>
      <c r="T186" s="189">
        <v>0</v>
      </c>
      <c r="U186" s="189">
        <v>0</v>
      </c>
      <c r="V186" s="189">
        <v>0</v>
      </c>
      <c r="W186" s="189"/>
      <c r="X186" s="90"/>
      <c r="Y186" s="188"/>
      <c r="Z186" s="188"/>
      <c r="AA186" s="188"/>
      <c r="AB186" s="188"/>
      <c r="AC186" s="188"/>
      <c r="AD186" s="190"/>
      <c r="AE186" s="189"/>
    </row>
    <row r="187" spans="1:31" ht="21.25" customHeight="1" x14ac:dyDescent="0.15">
      <c r="A187" s="9" t="s">
        <v>254</v>
      </c>
      <c r="B187" s="186" t="s">
        <v>855</v>
      </c>
      <c r="C187" s="187">
        <v>30</v>
      </c>
      <c r="D187" s="186" t="s">
        <v>818</v>
      </c>
      <c r="E187" s="90">
        <v>78.814999999999998</v>
      </c>
      <c r="F187" s="188">
        <v>22.298676990687401</v>
      </c>
      <c r="G187" s="189">
        <v>0.14259698630659901</v>
      </c>
      <c r="H187" s="189">
        <v>0.43359344235777803</v>
      </c>
      <c r="I187" s="189">
        <v>0.57619042866437697</v>
      </c>
      <c r="J187" s="189">
        <v>2.4118529754087299</v>
      </c>
      <c r="K187" s="189">
        <v>1.5967909867393298E-2</v>
      </c>
      <c r="L187" s="189">
        <v>0.17999064543635701</v>
      </c>
      <c r="M187" s="189">
        <v>3.0591678952033202E-4</v>
      </c>
      <c r="N187" s="189">
        <v>1.51131421925667E-3</v>
      </c>
      <c r="O187" s="189">
        <v>1.1635397152358</v>
      </c>
      <c r="P187" s="189">
        <v>1.3435965843916</v>
      </c>
      <c r="Q187" s="189">
        <v>8.3213911808819995E-3</v>
      </c>
      <c r="R187" s="189">
        <v>0.57481518990494695</v>
      </c>
      <c r="S187" s="189">
        <v>2.16530202410967E-2</v>
      </c>
      <c r="T187" s="189">
        <v>0</v>
      </c>
      <c r="U187" s="189">
        <v>0</v>
      </c>
      <c r="V187" s="189">
        <v>0</v>
      </c>
      <c r="W187" s="189"/>
      <c r="X187" s="90"/>
      <c r="Y187" s="188"/>
      <c r="Z187" s="188"/>
      <c r="AA187" s="188"/>
      <c r="AB187" s="188"/>
      <c r="AC187" s="188"/>
      <c r="AD187" s="190"/>
      <c r="AE187" s="189"/>
    </row>
    <row r="188" spans="1:31" ht="21.25" customHeight="1" x14ac:dyDescent="0.15">
      <c r="A188" s="9" t="s">
        <v>328</v>
      </c>
      <c r="B188" s="186" t="s">
        <v>836</v>
      </c>
      <c r="C188" s="187">
        <v>33</v>
      </c>
      <c r="D188" s="186" t="s">
        <v>817</v>
      </c>
      <c r="E188" s="90">
        <v>77.017499999999998</v>
      </c>
      <c r="F188" s="188">
        <v>17.068020721910401</v>
      </c>
      <c r="G188" s="189">
        <v>0.29123648177268702</v>
      </c>
      <c r="H188" s="189">
        <v>0.28392860662626901</v>
      </c>
      <c r="I188" s="189">
        <v>0.57516508839895597</v>
      </c>
      <c r="J188" s="189">
        <v>2.4863700354579201</v>
      </c>
      <c r="K188" s="189">
        <v>8.0111390204647595E-2</v>
      </c>
      <c r="L188" s="189">
        <v>0.166371637710025</v>
      </c>
      <c r="M188" s="189">
        <v>1.5239155230329299E-3</v>
      </c>
      <c r="N188" s="189">
        <v>2.57168697422785E-3</v>
      </c>
      <c r="O188" s="189">
        <v>0.47170401007808199</v>
      </c>
      <c r="P188" s="189">
        <v>1.1079821187469501</v>
      </c>
      <c r="Q188" s="189">
        <v>4.5489265324119101E-2</v>
      </c>
      <c r="R188" s="189">
        <v>0.45577887992926802</v>
      </c>
      <c r="S188" s="189">
        <v>4.57704162564311E-2</v>
      </c>
      <c r="T188" s="189">
        <v>0.16654740886313499</v>
      </c>
      <c r="U188" s="189">
        <v>0.29542101250743602</v>
      </c>
      <c r="V188" s="189">
        <v>0.360516869029752</v>
      </c>
      <c r="W188" s="189"/>
      <c r="X188" s="90"/>
      <c r="Y188" s="188"/>
      <c r="Z188" s="188"/>
      <c r="AA188" s="188"/>
      <c r="AB188" s="188"/>
      <c r="AC188" s="188"/>
      <c r="AD188" s="190"/>
      <c r="AE188" s="189"/>
    </row>
    <row r="189" spans="1:31" ht="21.25" customHeight="1" x14ac:dyDescent="0.15">
      <c r="A189" s="9" t="s">
        <v>495</v>
      </c>
      <c r="B189" s="186" t="s">
        <v>831</v>
      </c>
      <c r="C189" s="187">
        <v>24</v>
      </c>
      <c r="D189" s="186" t="s">
        <v>815</v>
      </c>
      <c r="E189" s="90">
        <v>66.650000000000006</v>
      </c>
      <c r="F189" s="188">
        <v>15.6686962623154</v>
      </c>
      <c r="G189" s="189">
        <v>0.23835227050463001</v>
      </c>
      <c r="H189" s="189">
        <v>0.33418622278327598</v>
      </c>
      <c r="I189" s="189">
        <v>0.57253849328790596</v>
      </c>
      <c r="J189" s="189">
        <v>2.24733434519877</v>
      </c>
      <c r="K189" s="189">
        <v>1.38681415763213E-2</v>
      </c>
      <c r="L189" s="189">
        <v>4.5386045211944198E-2</v>
      </c>
      <c r="M189" s="189">
        <v>6.5571264859653304E-3</v>
      </c>
      <c r="N189" s="189">
        <v>1.1063822233882499E-2</v>
      </c>
      <c r="O189" s="189">
        <v>0.51949964858923703</v>
      </c>
      <c r="P189" s="189">
        <v>0.60681238014696004</v>
      </c>
      <c r="Q189" s="189">
        <v>5.0774956414662398E-2</v>
      </c>
      <c r="R189" s="189">
        <v>0.38061079175922502</v>
      </c>
      <c r="S189" s="189">
        <v>3.8960657854595002E-2</v>
      </c>
      <c r="T189" s="189">
        <v>2.9918650556012598</v>
      </c>
      <c r="U189" s="189">
        <v>4.2480170075814199</v>
      </c>
      <c r="V189" s="189">
        <v>0.41324776142638198</v>
      </c>
      <c r="W189" s="189"/>
      <c r="X189" s="90"/>
      <c r="Y189" s="188"/>
      <c r="Z189" s="188"/>
      <c r="AA189" s="188"/>
      <c r="AB189" s="188"/>
      <c r="AC189" s="188"/>
      <c r="AD189" s="190"/>
      <c r="AE189" s="189"/>
    </row>
    <row r="190" spans="1:31" ht="21.25" customHeight="1" x14ac:dyDescent="0.15">
      <c r="A190" s="9" t="s">
        <v>365</v>
      </c>
      <c r="B190" s="186" t="s">
        <v>850</v>
      </c>
      <c r="C190" s="187">
        <v>31</v>
      </c>
      <c r="D190" s="186" t="s">
        <v>815</v>
      </c>
      <c r="E190" s="90">
        <v>81.02</v>
      </c>
      <c r="F190" s="188">
        <v>17.890633815674899</v>
      </c>
      <c r="G190" s="189">
        <v>0.21954783423042601</v>
      </c>
      <c r="H190" s="189">
        <v>0.35066653900236799</v>
      </c>
      <c r="I190" s="189">
        <v>0.570214373232794</v>
      </c>
      <c r="J190" s="189">
        <v>2.0298394317812698</v>
      </c>
      <c r="K190" s="189">
        <v>2.8497666797149299E-2</v>
      </c>
      <c r="L190" s="189">
        <v>0.104280966398617</v>
      </c>
      <c r="M190" s="189">
        <v>1.5973371982792399E-3</v>
      </c>
      <c r="N190" s="189">
        <v>2.1839992694859901E-2</v>
      </c>
      <c r="O190" s="189">
        <v>0.78355934109291703</v>
      </c>
      <c r="P190" s="189">
        <v>1.0034825805660501</v>
      </c>
      <c r="Q190" s="189">
        <v>4.7446802201277401E-2</v>
      </c>
      <c r="R190" s="189">
        <v>0.44191086874956798</v>
      </c>
      <c r="S190" s="189">
        <v>3.9125986262009797E-2</v>
      </c>
      <c r="T190" s="189">
        <v>7.9395421585462902</v>
      </c>
      <c r="U190" s="189">
        <v>7.0066413843038502</v>
      </c>
      <c r="V190" s="189">
        <v>0.53120866178204795</v>
      </c>
      <c r="W190" s="189"/>
      <c r="X190" s="90"/>
      <c r="Y190" s="188"/>
      <c r="Z190" s="188"/>
      <c r="AA190" s="188"/>
      <c r="AB190" s="188"/>
      <c r="AC190" s="188"/>
      <c r="AD190" s="190"/>
      <c r="AE190" s="189"/>
    </row>
    <row r="191" spans="1:31" ht="21.25" customHeight="1" x14ac:dyDescent="0.15">
      <c r="A191" s="9" t="s">
        <v>465</v>
      </c>
      <c r="B191" s="186" t="s">
        <v>851</v>
      </c>
      <c r="C191" s="187">
        <v>22</v>
      </c>
      <c r="D191" s="186" t="s">
        <v>866</v>
      </c>
      <c r="E191" s="90">
        <v>68</v>
      </c>
      <c r="F191" s="188">
        <v>13.420804933541101</v>
      </c>
      <c r="G191" s="189">
        <v>0.27432366721137602</v>
      </c>
      <c r="H191" s="189">
        <v>0.295264705096553</v>
      </c>
      <c r="I191" s="189">
        <v>0.56958837230792903</v>
      </c>
      <c r="J191" s="189">
        <v>1.9140965214094601</v>
      </c>
      <c r="K191" s="189">
        <v>1.5319965991137901E-2</v>
      </c>
      <c r="L191" s="189">
        <v>3.5336507657445497E-2</v>
      </c>
      <c r="M191" s="189">
        <v>0</v>
      </c>
      <c r="N191" s="189">
        <v>0</v>
      </c>
      <c r="O191" s="189">
        <v>0.528805001362461</v>
      </c>
      <c r="P191" s="189">
        <v>0.95372990988768203</v>
      </c>
      <c r="Q191" s="189">
        <v>2.0970712635669801E-2</v>
      </c>
      <c r="R191" s="189">
        <v>0.29822283437574498</v>
      </c>
      <c r="S191" s="189">
        <v>4.0141615665434699E-2</v>
      </c>
      <c r="T191" s="189">
        <v>0.49567162555551397</v>
      </c>
      <c r="U191" s="189">
        <v>0.693940275777719</v>
      </c>
      <c r="V191" s="189">
        <v>0.41666666666666702</v>
      </c>
      <c r="W191" s="189"/>
      <c r="X191" s="90"/>
      <c r="Y191" s="188"/>
      <c r="Z191" s="188"/>
      <c r="AA191" s="188"/>
      <c r="AB191" s="188"/>
      <c r="AC191" s="188"/>
      <c r="AD191" s="190"/>
      <c r="AE191" s="189"/>
    </row>
    <row r="192" spans="1:31" ht="21.25" customHeight="1" x14ac:dyDescent="0.15">
      <c r="A192" s="9" t="s">
        <v>337</v>
      </c>
      <c r="B192" s="186" t="s">
        <v>855</v>
      </c>
      <c r="C192" s="187">
        <v>29</v>
      </c>
      <c r="D192" s="186" t="s">
        <v>817</v>
      </c>
      <c r="E192" s="90">
        <v>81.692499999999995</v>
      </c>
      <c r="F192" s="188">
        <v>15.371398630415401</v>
      </c>
      <c r="G192" s="189">
        <v>0.22427241031839401</v>
      </c>
      <c r="H192" s="189">
        <v>0.34497795726124703</v>
      </c>
      <c r="I192" s="189">
        <v>0.56925036757964098</v>
      </c>
      <c r="J192" s="189">
        <v>2.16132556392103</v>
      </c>
      <c r="K192" s="189">
        <v>6.1088270867022502E-2</v>
      </c>
      <c r="L192" s="189">
        <v>0.16732477808075899</v>
      </c>
      <c r="M192" s="189">
        <v>1.8213120100528999E-5</v>
      </c>
      <c r="N192" s="189">
        <v>3.1089517550438602E-5</v>
      </c>
      <c r="O192" s="189">
        <v>0.38802588976115199</v>
      </c>
      <c r="P192" s="189">
        <v>0.83458444972746704</v>
      </c>
      <c r="Q192" s="189">
        <v>-1.33802343304548E-2</v>
      </c>
      <c r="R192" s="189">
        <v>0.20842002174619301</v>
      </c>
      <c r="S192" s="189">
        <v>3.4055243143094299E-2</v>
      </c>
      <c r="T192" s="189">
        <v>0.126695137346749</v>
      </c>
      <c r="U192" s="189">
        <v>0.239659544709759</v>
      </c>
      <c r="V192" s="189">
        <v>0.34582644511475802</v>
      </c>
      <c r="W192" s="189"/>
      <c r="X192" s="90"/>
      <c r="Y192" s="188"/>
      <c r="Z192" s="188"/>
      <c r="AA192" s="188"/>
      <c r="AB192" s="188"/>
      <c r="AC192" s="188"/>
      <c r="AD192" s="190"/>
      <c r="AE192" s="189"/>
    </row>
    <row r="193" spans="1:31" ht="21.25" customHeight="1" x14ac:dyDescent="0.15">
      <c r="A193" s="9" t="s">
        <v>240</v>
      </c>
      <c r="B193" s="186" t="s">
        <v>830</v>
      </c>
      <c r="C193" s="187">
        <v>30</v>
      </c>
      <c r="D193" s="186" t="s">
        <v>818</v>
      </c>
      <c r="E193" s="90">
        <v>81.537499999999994</v>
      </c>
      <c r="F193" s="188">
        <v>21.785682637398999</v>
      </c>
      <c r="G193" s="189">
        <v>0.16608308135679001</v>
      </c>
      <c r="H193" s="189">
        <v>0.40278946565177198</v>
      </c>
      <c r="I193" s="189">
        <v>0.56887254700856205</v>
      </c>
      <c r="J193" s="189">
        <v>2.3093326964469498</v>
      </c>
      <c r="K193" s="189">
        <v>3.5124378701117002E-2</v>
      </c>
      <c r="L193" s="189">
        <v>0.16826705370360601</v>
      </c>
      <c r="M193" s="189">
        <v>8.0882723152996498E-3</v>
      </c>
      <c r="N193" s="189">
        <v>2.4153130493067301E-2</v>
      </c>
      <c r="O193" s="189">
        <v>1.1584106050823499</v>
      </c>
      <c r="P193" s="189">
        <v>0.97818188353964797</v>
      </c>
      <c r="Q193" s="189">
        <v>3.0867954926332101E-3</v>
      </c>
      <c r="R193" s="189">
        <v>0.53857237231624999</v>
      </c>
      <c r="S193" s="189">
        <v>2.3516171847473399E-2</v>
      </c>
      <c r="T193" s="189">
        <v>0</v>
      </c>
      <c r="U193" s="189">
        <v>0</v>
      </c>
      <c r="V193" s="189">
        <v>0</v>
      </c>
      <c r="W193" s="189"/>
      <c r="X193" s="90"/>
      <c r="Y193" s="188"/>
      <c r="Z193" s="188"/>
      <c r="AA193" s="188"/>
      <c r="AB193" s="188"/>
      <c r="AC193" s="188"/>
      <c r="AD193" s="190"/>
      <c r="AE193" s="189"/>
    </row>
    <row r="194" spans="1:31" ht="21.25" customHeight="1" x14ac:dyDescent="0.15">
      <c r="A194" s="9" t="s">
        <v>267</v>
      </c>
      <c r="B194" s="186" t="s">
        <v>825</v>
      </c>
      <c r="C194" s="187">
        <v>30</v>
      </c>
      <c r="D194" s="186" t="s">
        <v>818</v>
      </c>
      <c r="E194" s="90">
        <v>80.155000000000001</v>
      </c>
      <c r="F194" s="188">
        <v>22.566269296368699</v>
      </c>
      <c r="G194" s="189">
        <v>0.115793625394502</v>
      </c>
      <c r="H194" s="189">
        <v>0.45163826173538102</v>
      </c>
      <c r="I194" s="189">
        <v>0.56743188712988302</v>
      </c>
      <c r="J194" s="189">
        <v>1.8717373149604899</v>
      </c>
      <c r="K194" s="189">
        <v>5.4579212373157696E-3</v>
      </c>
      <c r="L194" s="189">
        <v>4.9246778105932101E-2</v>
      </c>
      <c r="M194" s="189">
        <v>3.1258256050787102E-4</v>
      </c>
      <c r="N194" s="189">
        <v>6.4765771785192097E-3</v>
      </c>
      <c r="O194" s="189">
        <v>1.4433018795527299</v>
      </c>
      <c r="P194" s="189">
        <v>0.98731670093616797</v>
      </c>
      <c r="Q194" s="189">
        <v>7.9983311713344996E-2</v>
      </c>
      <c r="R194" s="189">
        <v>0.29910819543220102</v>
      </c>
      <c r="S194" s="189">
        <v>1.73008013725648E-2</v>
      </c>
      <c r="T194" s="189">
        <v>0</v>
      </c>
      <c r="U194" s="189">
        <v>0</v>
      </c>
      <c r="V194" s="189">
        <v>0</v>
      </c>
      <c r="W194" s="189"/>
      <c r="X194" s="90"/>
      <c r="Y194" s="188"/>
      <c r="Z194" s="188"/>
      <c r="AA194" s="188"/>
      <c r="AB194" s="188"/>
      <c r="AC194" s="188"/>
      <c r="AD194" s="190"/>
      <c r="AE194" s="189"/>
    </row>
    <row r="195" spans="1:31" ht="21.25" customHeight="1" x14ac:dyDescent="0.15">
      <c r="A195" s="9" t="s">
        <v>293</v>
      </c>
      <c r="B195" s="186" t="s">
        <v>858</v>
      </c>
      <c r="C195" s="187">
        <v>30</v>
      </c>
      <c r="D195" s="186" t="s">
        <v>865</v>
      </c>
      <c r="E195" s="90">
        <v>80.792500000000004</v>
      </c>
      <c r="F195" s="188">
        <v>16.712256189531299</v>
      </c>
      <c r="G195" s="189">
        <v>0.32050968977673</v>
      </c>
      <c r="H195" s="189">
        <v>0.24577701170645999</v>
      </c>
      <c r="I195" s="189">
        <v>0.56628670148319005</v>
      </c>
      <c r="J195" s="189">
        <v>2.7904547818860701</v>
      </c>
      <c r="K195" s="189">
        <v>8.1575680077698207E-2</v>
      </c>
      <c r="L195" s="189">
        <v>0.13675226750493299</v>
      </c>
      <c r="M195" s="189">
        <v>1.6978479476226799E-2</v>
      </c>
      <c r="N195" s="189">
        <v>2.6222190026978801E-2</v>
      </c>
      <c r="O195" s="189">
        <v>0.85259552115297799</v>
      </c>
      <c r="P195" s="189">
        <v>1.4897917003279</v>
      </c>
      <c r="Q195" s="189">
        <v>-0.113330914669521</v>
      </c>
      <c r="R195" s="189">
        <v>0.649948724226589</v>
      </c>
      <c r="S195" s="189">
        <v>3.7358464996310799E-2</v>
      </c>
      <c r="T195" s="189">
        <v>0.11657485657059299</v>
      </c>
      <c r="U195" s="189">
        <v>0.18511162481589899</v>
      </c>
      <c r="V195" s="189">
        <v>0.38641060757789902</v>
      </c>
      <c r="W195" s="189"/>
      <c r="X195" s="90"/>
      <c r="Y195" s="188"/>
      <c r="Z195" s="188"/>
      <c r="AA195" s="188"/>
      <c r="AB195" s="188"/>
      <c r="AC195" s="188"/>
      <c r="AD195" s="190"/>
      <c r="AE195" s="189"/>
    </row>
    <row r="196" spans="1:31" ht="21.25" customHeight="1" x14ac:dyDescent="0.15">
      <c r="A196" s="9" t="s">
        <v>244</v>
      </c>
      <c r="B196" s="186" t="s">
        <v>839</v>
      </c>
      <c r="C196" s="187">
        <v>37</v>
      </c>
      <c r="D196" s="186" t="s">
        <v>818</v>
      </c>
      <c r="E196" s="90">
        <v>79.155000000000001</v>
      </c>
      <c r="F196" s="188">
        <v>24.719250479314599</v>
      </c>
      <c r="G196" s="189">
        <v>0.11206751087049401</v>
      </c>
      <c r="H196" s="189">
        <v>0.449475358298496</v>
      </c>
      <c r="I196" s="189">
        <v>0.56154286916898999</v>
      </c>
      <c r="J196" s="189">
        <v>2.0903694463879301</v>
      </c>
      <c r="K196" s="189">
        <v>1.7429452533869801E-2</v>
      </c>
      <c r="L196" s="189">
        <v>0.110068493766664</v>
      </c>
      <c r="M196" s="189">
        <v>4.2994964210490601E-3</v>
      </c>
      <c r="N196" s="189">
        <v>6.0131725828624898E-3</v>
      </c>
      <c r="O196" s="189">
        <v>1.75388277357777</v>
      </c>
      <c r="P196" s="189">
        <v>1.7576096448565</v>
      </c>
      <c r="Q196" s="189">
        <v>6.0161803088017796E-3</v>
      </c>
      <c r="R196" s="189">
        <v>0.59269018406537299</v>
      </c>
      <c r="S196" s="189">
        <v>1.6613213054870998E-2</v>
      </c>
      <c r="T196" s="189">
        <v>0</v>
      </c>
      <c r="U196" s="189">
        <v>3.4169469447391098E-7</v>
      </c>
      <c r="V196" s="189">
        <v>0</v>
      </c>
      <c r="W196" s="189"/>
      <c r="X196" s="90"/>
      <c r="Y196" s="188"/>
      <c r="Z196" s="188"/>
      <c r="AA196" s="188"/>
      <c r="AB196" s="188"/>
      <c r="AC196" s="188"/>
      <c r="AD196" s="190"/>
      <c r="AE196" s="189"/>
    </row>
    <row r="197" spans="1:31" ht="21.25" customHeight="1" x14ac:dyDescent="0.15">
      <c r="A197" s="9" t="s">
        <v>506</v>
      </c>
      <c r="B197" s="186" t="s">
        <v>841</v>
      </c>
      <c r="C197" s="187">
        <v>23</v>
      </c>
      <c r="D197" s="186" t="s">
        <v>816</v>
      </c>
      <c r="E197" s="90">
        <v>64.63</v>
      </c>
      <c r="F197" s="188">
        <v>14.613187700935701</v>
      </c>
      <c r="G197" s="189">
        <v>0.303782927233608</v>
      </c>
      <c r="H197" s="189">
        <v>0.25684863768487398</v>
      </c>
      <c r="I197" s="189">
        <v>0.56063156491848198</v>
      </c>
      <c r="J197" s="189">
        <v>2.15684384913961</v>
      </c>
      <c r="K197" s="189">
        <v>9.9468903160862092E-3</v>
      </c>
      <c r="L197" s="189">
        <v>2.34364629145302E-2</v>
      </c>
      <c r="M197" s="189">
        <v>3.9830208640204502E-5</v>
      </c>
      <c r="N197" s="189">
        <v>6.7545086585814207E-5</v>
      </c>
      <c r="O197" s="189">
        <v>0.53994551063764795</v>
      </c>
      <c r="P197" s="189">
        <v>0.56021781126112402</v>
      </c>
      <c r="Q197" s="189">
        <v>5.0660940207038298E-2</v>
      </c>
      <c r="R197" s="189">
        <v>0.34783830161400497</v>
      </c>
      <c r="S197" s="189">
        <v>4.6205774796274801E-2</v>
      </c>
      <c r="T197" s="189">
        <v>3.3436586198909997E-2</v>
      </c>
      <c r="U197" s="189">
        <v>5.7025252771796903E-2</v>
      </c>
      <c r="V197" s="189">
        <v>0.369620898484468</v>
      </c>
      <c r="W197" s="189"/>
      <c r="X197" s="90"/>
      <c r="Y197" s="188"/>
      <c r="Z197" s="188"/>
      <c r="AA197" s="188"/>
      <c r="AB197" s="188"/>
      <c r="AC197" s="188"/>
      <c r="AD197" s="190"/>
      <c r="AE197" s="189"/>
    </row>
    <row r="198" spans="1:31" ht="21.25" customHeight="1" x14ac:dyDescent="0.15">
      <c r="A198" s="9" t="s">
        <v>291</v>
      </c>
      <c r="B198" s="186" t="s">
        <v>829</v>
      </c>
      <c r="C198" s="187">
        <v>20</v>
      </c>
      <c r="D198" s="186" t="s">
        <v>818</v>
      </c>
      <c r="E198" s="90">
        <v>80.680000000000007</v>
      </c>
      <c r="F198" s="188">
        <v>20.663250131208098</v>
      </c>
      <c r="G198" s="189">
        <v>0.113493208530485</v>
      </c>
      <c r="H198" s="189">
        <v>0.44368589171998701</v>
      </c>
      <c r="I198" s="189">
        <v>0.55717910025047201</v>
      </c>
      <c r="J198" s="189">
        <v>1.5774270527605601</v>
      </c>
      <c r="K198" s="189">
        <v>3.9712284542723797E-2</v>
      </c>
      <c r="L198" s="189">
        <v>0.23907258635255399</v>
      </c>
      <c r="M198" s="189">
        <v>7.7298471005826996E-5</v>
      </c>
      <c r="N198" s="189">
        <v>3.7699879434425202E-4</v>
      </c>
      <c r="O198" s="189">
        <v>0.88356154199823</v>
      </c>
      <c r="P198" s="189">
        <v>0.54621328446172801</v>
      </c>
      <c r="Q198" s="189">
        <v>2.88158458127417E-2</v>
      </c>
      <c r="R198" s="189">
        <v>0.39666247944277</v>
      </c>
      <c r="S198" s="189">
        <v>1.7123437769672199E-2</v>
      </c>
      <c r="T198" s="189">
        <v>0</v>
      </c>
      <c r="U198" s="189">
        <v>0</v>
      </c>
      <c r="V198" s="189">
        <v>0</v>
      </c>
      <c r="W198" s="189"/>
      <c r="X198" s="90"/>
      <c r="Y198" s="188"/>
      <c r="Z198" s="188"/>
      <c r="AA198" s="188"/>
      <c r="AB198" s="188"/>
      <c r="AC198" s="188"/>
      <c r="AD198" s="190"/>
      <c r="AE198" s="189"/>
    </row>
    <row r="199" spans="1:31" ht="21.25" customHeight="1" x14ac:dyDescent="0.15">
      <c r="A199" s="9" t="s">
        <v>477</v>
      </c>
      <c r="B199" s="186" t="s">
        <v>840</v>
      </c>
      <c r="C199" s="187">
        <v>25</v>
      </c>
      <c r="D199" s="186" t="s">
        <v>815</v>
      </c>
      <c r="E199" s="90">
        <v>67.599999999999994</v>
      </c>
      <c r="F199" s="188">
        <v>16.782174827908701</v>
      </c>
      <c r="G199" s="189">
        <v>0.29741910452068598</v>
      </c>
      <c r="H199" s="189">
        <v>0.255889256537702</v>
      </c>
      <c r="I199" s="189">
        <v>0.55330836105838799</v>
      </c>
      <c r="J199" s="189">
        <v>2.1323317427627502</v>
      </c>
      <c r="K199" s="189">
        <v>9.1040255608480503E-2</v>
      </c>
      <c r="L199" s="189">
        <v>0.181324724481841</v>
      </c>
      <c r="M199" s="189">
        <v>2.3115676603466398E-3</v>
      </c>
      <c r="N199" s="189">
        <v>1.40593414687619E-2</v>
      </c>
      <c r="O199" s="189">
        <v>0.58855269334204896</v>
      </c>
      <c r="P199" s="189">
        <v>1.48392150745032</v>
      </c>
      <c r="Q199" s="189">
        <v>-2.78672821222615E-2</v>
      </c>
      <c r="R199" s="189">
        <v>0.37932652805355499</v>
      </c>
      <c r="S199" s="189">
        <v>4.6178551003289797E-2</v>
      </c>
      <c r="T199" s="189">
        <v>6.41421361532307</v>
      </c>
      <c r="U199" s="189">
        <v>5.8993924988017596</v>
      </c>
      <c r="V199" s="189">
        <v>0.520904563283487</v>
      </c>
      <c r="W199" s="189"/>
      <c r="X199" s="90"/>
      <c r="Y199" s="188"/>
      <c r="Z199" s="188"/>
      <c r="AA199" s="188"/>
      <c r="AB199" s="188"/>
      <c r="AC199" s="188"/>
      <c r="AD199" s="190"/>
      <c r="AE199" s="189"/>
    </row>
    <row r="200" spans="1:31" ht="21.25" customHeight="1" x14ac:dyDescent="0.15">
      <c r="A200" s="9" t="s">
        <v>387</v>
      </c>
      <c r="B200" s="186" t="s">
        <v>828</v>
      </c>
      <c r="C200" s="187">
        <v>26</v>
      </c>
      <c r="D200" s="186" t="s">
        <v>867</v>
      </c>
      <c r="E200" s="90">
        <v>78.277500000000003</v>
      </c>
      <c r="F200" s="188">
        <v>15.4105303646322</v>
      </c>
      <c r="G200" s="189">
        <v>0.21596019094497501</v>
      </c>
      <c r="H200" s="189">
        <v>0.33567158096399402</v>
      </c>
      <c r="I200" s="189">
        <v>0.55163177190896895</v>
      </c>
      <c r="J200" s="189">
        <v>1.7418112342880501</v>
      </c>
      <c r="K200" s="189">
        <v>4.7309710928847601E-2</v>
      </c>
      <c r="L200" s="189">
        <v>0.13144058968576799</v>
      </c>
      <c r="M200" s="189">
        <v>1.4535195572881599E-4</v>
      </c>
      <c r="N200" s="189">
        <v>2.4585000064405597E-4</v>
      </c>
      <c r="O200" s="189">
        <v>0.59158473731309102</v>
      </c>
      <c r="P200" s="189">
        <v>1.5066791508680899</v>
      </c>
      <c r="Q200" s="189">
        <v>2.9934108410829101E-2</v>
      </c>
      <c r="R200" s="189">
        <v>0.40148028911556399</v>
      </c>
      <c r="S200" s="189">
        <v>3.3636602672645698E-2</v>
      </c>
      <c r="T200" s="189">
        <v>4.4633881095582204</v>
      </c>
      <c r="U200" s="189">
        <v>4.9548952668205803</v>
      </c>
      <c r="V200" s="189">
        <v>0.47390675468020699</v>
      </c>
      <c r="W200" s="189"/>
      <c r="X200" s="90"/>
      <c r="Y200" s="188"/>
      <c r="Z200" s="188"/>
      <c r="AA200" s="188"/>
      <c r="AB200" s="188"/>
      <c r="AC200" s="188"/>
      <c r="AD200" s="190"/>
      <c r="AE200" s="189"/>
    </row>
    <row r="201" spans="1:31" ht="21.25" customHeight="1" x14ac:dyDescent="0.15">
      <c r="A201" s="9" t="s">
        <v>402</v>
      </c>
      <c r="B201" s="186" t="s">
        <v>844</v>
      </c>
      <c r="C201" s="187">
        <v>28</v>
      </c>
      <c r="D201" s="186" t="s">
        <v>816</v>
      </c>
      <c r="E201" s="90">
        <v>80.787499999999994</v>
      </c>
      <c r="F201" s="188">
        <v>16.8166595445281</v>
      </c>
      <c r="G201" s="189">
        <v>0.23515331683936599</v>
      </c>
      <c r="H201" s="189">
        <v>0.31586437608458201</v>
      </c>
      <c r="I201" s="189">
        <v>0.55101769292394798</v>
      </c>
      <c r="J201" s="189">
        <v>1.98321022674724</v>
      </c>
      <c r="K201" s="189">
        <v>4.5057372584027297E-2</v>
      </c>
      <c r="L201" s="189">
        <v>7.9258514926393006E-2</v>
      </c>
      <c r="M201" s="189">
        <v>7.7307764023143398E-3</v>
      </c>
      <c r="N201" s="189">
        <v>1.4541777914529E-2</v>
      </c>
      <c r="O201" s="189">
        <v>0.42006489208459502</v>
      </c>
      <c r="P201" s="189">
        <v>1.11771371321042</v>
      </c>
      <c r="Q201" s="189">
        <v>-1.0620824943219099E-2</v>
      </c>
      <c r="R201" s="189">
        <v>0.45823132350718598</v>
      </c>
      <c r="S201" s="189">
        <v>3.3371203314362198E-2</v>
      </c>
      <c r="T201" s="189">
        <v>9.7376344129144699E-2</v>
      </c>
      <c r="U201" s="189">
        <v>0.135347321489554</v>
      </c>
      <c r="V201" s="189">
        <v>0.41842046390197801</v>
      </c>
      <c r="W201" s="189"/>
      <c r="X201" s="90"/>
      <c r="Y201" s="188"/>
      <c r="Z201" s="188"/>
      <c r="AA201" s="188"/>
      <c r="AB201" s="188"/>
      <c r="AC201" s="188"/>
      <c r="AD201" s="190"/>
      <c r="AE201" s="189"/>
    </row>
    <row r="202" spans="1:31" ht="21.25" customHeight="1" x14ac:dyDescent="0.15">
      <c r="A202" s="9" t="s">
        <v>362</v>
      </c>
      <c r="B202" s="186" t="s">
        <v>852</v>
      </c>
      <c r="C202" s="187">
        <v>24</v>
      </c>
      <c r="D202" s="186" t="s">
        <v>817</v>
      </c>
      <c r="E202" s="90">
        <v>75.857500000000002</v>
      </c>
      <c r="F202" s="188">
        <v>16.0057062782688</v>
      </c>
      <c r="G202" s="189">
        <v>0.31352756673906101</v>
      </c>
      <c r="H202" s="189">
        <v>0.231830649970724</v>
      </c>
      <c r="I202" s="189">
        <v>0.54535821670978502</v>
      </c>
      <c r="J202" s="189">
        <v>2.29352262808598</v>
      </c>
      <c r="K202" s="189">
        <v>9.2748268297196998E-2</v>
      </c>
      <c r="L202" s="189">
        <v>0.13836687078072901</v>
      </c>
      <c r="M202" s="189">
        <v>5.21488886445969E-4</v>
      </c>
      <c r="N202" s="189">
        <v>8.8659960078362897E-4</v>
      </c>
      <c r="O202" s="189">
        <v>0.53476970125255197</v>
      </c>
      <c r="P202" s="189">
        <v>0.67781384726255101</v>
      </c>
      <c r="Q202" s="189">
        <v>-8.32705295345013E-2</v>
      </c>
      <c r="R202" s="189">
        <v>0.262186885709557</v>
      </c>
      <c r="S202" s="189">
        <v>3.46712419027169E-2</v>
      </c>
      <c r="T202" s="189">
        <v>0.37307169295979797</v>
      </c>
      <c r="U202" s="189">
        <v>0.51874229418879803</v>
      </c>
      <c r="V202" s="189">
        <v>0.418329044325289</v>
      </c>
      <c r="W202" s="189"/>
      <c r="X202" s="90"/>
      <c r="Y202" s="188"/>
      <c r="Z202" s="188"/>
      <c r="AA202" s="188"/>
      <c r="AB202" s="188"/>
      <c r="AC202" s="188"/>
      <c r="AD202" s="190"/>
      <c r="AE202" s="189"/>
    </row>
    <row r="203" spans="1:31" ht="21.25" customHeight="1" x14ac:dyDescent="0.15">
      <c r="A203" s="9" t="s">
        <v>482</v>
      </c>
      <c r="B203" s="186" t="s">
        <v>855</v>
      </c>
      <c r="C203" s="187">
        <v>20</v>
      </c>
      <c r="D203" s="186" t="s">
        <v>815</v>
      </c>
      <c r="E203" s="90">
        <v>75</v>
      </c>
      <c r="F203" s="188">
        <v>14.045917753686799</v>
      </c>
      <c r="G203" s="189">
        <v>0.28095678091597298</v>
      </c>
      <c r="H203" s="189">
        <v>0.26400972724149202</v>
      </c>
      <c r="I203" s="189">
        <v>0.54496650815746495</v>
      </c>
      <c r="J203" s="189">
        <v>1.6712529332656301</v>
      </c>
      <c r="K203" s="189">
        <v>3.5687320576268201E-2</v>
      </c>
      <c r="L203" s="189">
        <v>0.11496199002068599</v>
      </c>
      <c r="M203" s="189">
        <v>5.8179239809682603E-5</v>
      </c>
      <c r="N203" s="189">
        <v>9.89074873644612E-5</v>
      </c>
      <c r="O203" s="189">
        <v>0.58772248680460204</v>
      </c>
      <c r="P203" s="189">
        <v>0.76851560301098298</v>
      </c>
      <c r="Q203" s="189">
        <v>3.2605184966505202E-3</v>
      </c>
      <c r="R203" s="189">
        <v>0.33134705300602801</v>
      </c>
      <c r="S203" s="189">
        <v>4.2662632792018498E-2</v>
      </c>
      <c r="T203" s="189">
        <v>4.4512226457525896</v>
      </c>
      <c r="U203" s="189">
        <v>5.5882212077235698</v>
      </c>
      <c r="V203" s="189">
        <v>0.44337342891871001</v>
      </c>
      <c r="W203" s="189"/>
      <c r="X203" s="90"/>
      <c r="Y203" s="188"/>
      <c r="Z203" s="188"/>
      <c r="AA203" s="188"/>
      <c r="AB203" s="188"/>
      <c r="AC203" s="188"/>
      <c r="AD203" s="190"/>
      <c r="AE203" s="189"/>
    </row>
    <row r="204" spans="1:31" ht="21.25" customHeight="1" x14ac:dyDescent="0.15">
      <c r="A204" s="9" t="s">
        <v>436</v>
      </c>
      <c r="B204" s="186" t="s">
        <v>841</v>
      </c>
      <c r="C204" s="187">
        <v>22</v>
      </c>
      <c r="D204" s="186" t="s">
        <v>817</v>
      </c>
      <c r="E204" s="90">
        <v>76.867500000000007</v>
      </c>
      <c r="F204" s="188">
        <v>15.099181923965901</v>
      </c>
      <c r="G204" s="189">
        <v>0.28229907235490398</v>
      </c>
      <c r="H204" s="189">
        <v>0.26102655703142702</v>
      </c>
      <c r="I204" s="189">
        <v>0.543325629386331</v>
      </c>
      <c r="J204" s="189">
        <v>1.9223345181710101</v>
      </c>
      <c r="K204" s="189">
        <v>2.1148468554406E-2</v>
      </c>
      <c r="L204" s="189">
        <v>4.0050044001610302E-2</v>
      </c>
      <c r="M204" s="189">
        <v>2.0645066648086101E-5</v>
      </c>
      <c r="N204" s="189">
        <v>3.5034166457430498E-5</v>
      </c>
      <c r="O204" s="189">
        <v>0.32249486438702202</v>
      </c>
      <c r="P204" s="189">
        <v>0.75277200362827401</v>
      </c>
      <c r="Q204" s="189">
        <v>8.2581575901837807E-3</v>
      </c>
      <c r="R204" s="189">
        <v>0.3085647387646</v>
      </c>
      <c r="S204" s="189">
        <v>4.2938052777394202E-2</v>
      </c>
      <c r="T204" s="189">
        <v>9.5966330673828204E-2</v>
      </c>
      <c r="U204" s="189">
        <v>0.30492759849145001</v>
      </c>
      <c r="V204" s="189">
        <v>0.23938085286959701</v>
      </c>
      <c r="W204" s="189"/>
      <c r="X204" s="90"/>
      <c r="Y204" s="188"/>
      <c r="Z204" s="188"/>
      <c r="AA204" s="188"/>
      <c r="AB204" s="188"/>
      <c r="AC204" s="188"/>
      <c r="AD204" s="190"/>
      <c r="AE204" s="189"/>
    </row>
    <row r="205" spans="1:31" ht="21.25" customHeight="1" x14ac:dyDescent="0.15">
      <c r="A205" s="9" t="s">
        <v>379</v>
      </c>
      <c r="B205" s="186" t="s">
        <v>856</v>
      </c>
      <c r="C205" s="187">
        <v>24</v>
      </c>
      <c r="D205" s="186" t="s">
        <v>866</v>
      </c>
      <c r="E205" s="90">
        <v>80.13</v>
      </c>
      <c r="F205" s="188">
        <v>15.378085962399</v>
      </c>
      <c r="G205" s="189">
        <v>0.23168401871236199</v>
      </c>
      <c r="H205" s="189">
        <v>0.31161924455101297</v>
      </c>
      <c r="I205" s="189">
        <v>0.54330326326337497</v>
      </c>
      <c r="J205" s="189">
        <v>1.9532816850258501</v>
      </c>
      <c r="K205" s="189">
        <v>1.8663381390635E-2</v>
      </c>
      <c r="L205" s="189">
        <v>6.3195923631835599E-2</v>
      </c>
      <c r="M205" s="189">
        <v>2.7814623771631202E-4</v>
      </c>
      <c r="N205" s="189">
        <v>3.5537367287623902E-4</v>
      </c>
      <c r="O205" s="189">
        <v>0.54539767961640195</v>
      </c>
      <c r="P205" s="189">
        <v>0.83260370347839296</v>
      </c>
      <c r="Q205" s="189">
        <v>-3.4016126969071102E-2</v>
      </c>
      <c r="R205" s="189">
        <v>0.41183831320676001</v>
      </c>
      <c r="S205" s="189">
        <v>3.3582488927094097E-2</v>
      </c>
      <c r="T205" s="189">
        <v>0.34630393187677599</v>
      </c>
      <c r="U205" s="189">
        <v>0.64462477492217296</v>
      </c>
      <c r="V205" s="189">
        <v>0.34947411403133199</v>
      </c>
      <c r="W205" s="189"/>
      <c r="X205" s="90"/>
      <c r="Y205" s="188"/>
      <c r="Z205" s="188"/>
      <c r="AA205" s="188"/>
      <c r="AB205" s="188"/>
      <c r="AC205" s="188"/>
      <c r="AD205" s="190"/>
      <c r="AE205" s="189"/>
    </row>
    <row r="206" spans="1:31" ht="21.25" customHeight="1" x14ac:dyDescent="0.15">
      <c r="A206" s="9" t="s">
        <v>361</v>
      </c>
      <c r="B206" s="186" t="s">
        <v>832</v>
      </c>
      <c r="C206" s="187">
        <v>22</v>
      </c>
      <c r="D206" s="186" t="s">
        <v>867</v>
      </c>
      <c r="E206" s="90">
        <v>78.382499999999993</v>
      </c>
      <c r="F206" s="188">
        <v>16.213510010821899</v>
      </c>
      <c r="G206" s="189">
        <v>0.20622540828029701</v>
      </c>
      <c r="H206" s="189">
        <v>0.33494589422173399</v>
      </c>
      <c r="I206" s="189">
        <v>0.54117130250203105</v>
      </c>
      <c r="J206" s="189">
        <v>2.2038712600078698</v>
      </c>
      <c r="K206" s="189">
        <v>2.0373920679896101E-2</v>
      </c>
      <c r="L206" s="189">
        <v>9.2885836818092302E-2</v>
      </c>
      <c r="M206" s="189">
        <v>7.2712380460203804E-3</v>
      </c>
      <c r="N206" s="189">
        <v>1.6517640441233099E-2</v>
      </c>
      <c r="O206" s="189">
        <v>0.50826558400488697</v>
      </c>
      <c r="P206" s="189">
        <v>0.69924302970894503</v>
      </c>
      <c r="Q206" s="189">
        <v>6.4245843761582405E-2</v>
      </c>
      <c r="R206" s="189">
        <v>0.46493354997191799</v>
      </c>
      <c r="S206" s="189">
        <v>3.5132917437817601E-2</v>
      </c>
      <c r="T206" s="189">
        <v>5.6031985830103697</v>
      </c>
      <c r="U206" s="189">
        <v>5.6656888504985297</v>
      </c>
      <c r="V206" s="189">
        <v>0.49722730980068502</v>
      </c>
      <c r="W206" s="189"/>
      <c r="X206" s="90"/>
      <c r="Y206" s="188"/>
      <c r="Z206" s="188"/>
      <c r="AA206" s="188"/>
      <c r="AB206" s="188"/>
      <c r="AC206" s="188"/>
      <c r="AD206" s="190"/>
      <c r="AE206" s="189"/>
    </row>
    <row r="207" spans="1:31" ht="21.25" customHeight="1" x14ac:dyDescent="0.15">
      <c r="A207" s="9" t="s">
        <v>400</v>
      </c>
      <c r="B207" s="186" t="s">
        <v>842</v>
      </c>
      <c r="C207" s="187">
        <v>29</v>
      </c>
      <c r="D207" s="186" t="s">
        <v>58</v>
      </c>
      <c r="E207" s="90">
        <v>79.942499999999995</v>
      </c>
      <c r="F207" s="188">
        <v>17.890243273023501</v>
      </c>
      <c r="G207" s="189">
        <v>0.209742179042848</v>
      </c>
      <c r="H207" s="189">
        <v>0.32979426782550703</v>
      </c>
      <c r="I207" s="189">
        <v>0.539536446868355</v>
      </c>
      <c r="J207" s="189">
        <v>1.43756804697172</v>
      </c>
      <c r="K207" s="189">
        <v>4.3767306338478397E-2</v>
      </c>
      <c r="L207" s="189">
        <v>9.8739695421968601E-2</v>
      </c>
      <c r="M207" s="189">
        <v>1.44738042444622E-2</v>
      </c>
      <c r="N207" s="189">
        <v>1.57571588148369E-2</v>
      </c>
      <c r="O207" s="189">
        <v>0.76053655948079402</v>
      </c>
      <c r="P207" s="189">
        <v>0.59373176216836598</v>
      </c>
      <c r="Q207" s="189">
        <v>-3.4898321945159301E-2</v>
      </c>
      <c r="R207" s="189">
        <v>0.35598177023280703</v>
      </c>
      <c r="S207" s="189">
        <v>2.8806549859040201E-2</v>
      </c>
      <c r="T207" s="189">
        <v>6.2276653631742303</v>
      </c>
      <c r="U207" s="189">
        <v>6.8546892465964904</v>
      </c>
      <c r="V207" s="189">
        <v>0.47603551110921699</v>
      </c>
      <c r="W207" s="189"/>
      <c r="X207" s="90"/>
      <c r="Y207" s="188"/>
      <c r="Z207" s="188"/>
      <c r="AA207" s="188"/>
      <c r="AB207" s="188"/>
      <c r="AC207" s="188"/>
      <c r="AD207" s="190"/>
      <c r="AE207" s="189"/>
    </row>
    <row r="208" spans="1:31" ht="21.25" customHeight="1" x14ac:dyDescent="0.15">
      <c r="A208" s="9" t="s">
        <v>468</v>
      </c>
      <c r="B208" s="186" t="s">
        <v>834</v>
      </c>
      <c r="C208" s="187">
        <v>19</v>
      </c>
      <c r="D208" s="186" t="s">
        <v>816</v>
      </c>
      <c r="E208" s="90">
        <v>77.465000000000003</v>
      </c>
      <c r="F208" s="188">
        <v>15.201005681121501</v>
      </c>
      <c r="G208" s="189">
        <v>0.20969132072881899</v>
      </c>
      <c r="H208" s="189">
        <v>0.32964312385523098</v>
      </c>
      <c r="I208" s="189">
        <v>0.53933444458405</v>
      </c>
      <c r="J208" s="189">
        <v>1.5888713063628499</v>
      </c>
      <c r="K208" s="189">
        <v>1.82567754343269E-2</v>
      </c>
      <c r="L208" s="189">
        <v>6.9714348173151294E-2</v>
      </c>
      <c r="M208" s="189">
        <v>1.50261942041195E-3</v>
      </c>
      <c r="N208" s="189">
        <v>2.5033571989709499E-3</v>
      </c>
      <c r="O208" s="189">
        <v>0.49871627867399099</v>
      </c>
      <c r="P208" s="189">
        <v>0.630717542584185</v>
      </c>
      <c r="Q208" s="189">
        <v>-6.6452819286610103E-3</v>
      </c>
      <c r="R208" s="189">
        <v>0.48580965198376902</v>
      </c>
      <c r="S208" s="189">
        <v>2.96619771724447E-2</v>
      </c>
      <c r="T208" s="189">
        <v>7.3739028072926802E-2</v>
      </c>
      <c r="U208" s="189">
        <v>0.17697366737502401</v>
      </c>
      <c r="V208" s="189">
        <v>0.29411764705882398</v>
      </c>
      <c r="W208" s="189"/>
      <c r="X208" s="90"/>
      <c r="Y208" s="188"/>
      <c r="Z208" s="188"/>
      <c r="AA208" s="188"/>
      <c r="AB208" s="188"/>
      <c r="AC208" s="188"/>
      <c r="AD208" s="190"/>
      <c r="AE208" s="189"/>
    </row>
    <row r="209" spans="1:31" ht="21.25" customHeight="1" x14ac:dyDescent="0.15">
      <c r="A209" s="9" t="s">
        <v>257</v>
      </c>
      <c r="B209" s="186" t="s">
        <v>832</v>
      </c>
      <c r="C209" s="187">
        <v>28</v>
      </c>
      <c r="D209" s="186" t="s">
        <v>818</v>
      </c>
      <c r="E209" s="90">
        <v>80.397499999999994</v>
      </c>
      <c r="F209" s="188">
        <v>23.698452752408699</v>
      </c>
      <c r="G209" s="189">
        <v>0.14703492466538601</v>
      </c>
      <c r="H209" s="189">
        <v>0.391886703773069</v>
      </c>
      <c r="I209" s="189">
        <v>0.53892162843845504</v>
      </c>
      <c r="J209" s="189">
        <v>2.31313555184951</v>
      </c>
      <c r="K209" s="189">
        <v>1.42181244702385E-2</v>
      </c>
      <c r="L209" s="189">
        <v>5.36913493859036E-2</v>
      </c>
      <c r="M209" s="189">
        <v>3.3736838140243898E-4</v>
      </c>
      <c r="N209" s="189">
        <v>7.6968447716684102E-3</v>
      </c>
      <c r="O209" s="189">
        <v>1.4154580532101499</v>
      </c>
      <c r="P209" s="189">
        <v>1.22800344443878</v>
      </c>
      <c r="Q209" s="189">
        <v>0.104600701771734</v>
      </c>
      <c r="R209" s="189">
        <v>0.468130362501405</v>
      </c>
      <c r="S209" s="189">
        <v>2.5049124217145599E-2</v>
      </c>
      <c r="T209" s="189">
        <v>0</v>
      </c>
      <c r="U209" s="189">
        <v>0</v>
      </c>
      <c r="V209" s="189">
        <v>0</v>
      </c>
      <c r="W209" s="189"/>
      <c r="X209" s="90"/>
      <c r="Y209" s="189"/>
      <c r="Z209" s="189"/>
      <c r="AA209" s="189"/>
      <c r="AB209" s="189"/>
      <c r="AC209" s="188"/>
      <c r="AD209" s="190"/>
      <c r="AE209" s="189"/>
    </row>
    <row r="210" spans="1:31" ht="21.25" customHeight="1" x14ac:dyDescent="0.15">
      <c r="A210" s="9" t="s">
        <v>229</v>
      </c>
      <c r="B210" s="186" t="s">
        <v>845</v>
      </c>
      <c r="C210" s="187">
        <v>27</v>
      </c>
      <c r="D210" s="186" t="s">
        <v>818</v>
      </c>
      <c r="E210" s="90">
        <v>80.907499999999999</v>
      </c>
      <c r="F210" s="188">
        <v>23.668466175428001</v>
      </c>
      <c r="G210" s="189">
        <v>0.105672268918114</v>
      </c>
      <c r="H210" s="189">
        <v>0.43296056370239</v>
      </c>
      <c r="I210" s="189">
        <v>0.53863283262050399</v>
      </c>
      <c r="J210" s="189">
        <v>1.953574842473</v>
      </c>
      <c r="K210" s="189">
        <v>8.9377841747879296E-3</v>
      </c>
      <c r="L210" s="189">
        <v>0.14589087718650501</v>
      </c>
      <c r="M210" s="189">
        <v>9.4867582151207594E-3</v>
      </c>
      <c r="N210" s="189">
        <v>1.62125607749216E-2</v>
      </c>
      <c r="O210" s="189">
        <v>2.0827366816227801</v>
      </c>
      <c r="P210" s="189">
        <v>0.72203707394706695</v>
      </c>
      <c r="Q210" s="189">
        <v>-4.1184478701808802E-2</v>
      </c>
      <c r="R210" s="189">
        <v>0.43763931748199802</v>
      </c>
      <c r="S210" s="189">
        <v>1.5352466494846799E-2</v>
      </c>
      <c r="T210" s="189">
        <v>0</v>
      </c>
      <c r="U210" s="189">
        <v>0</v>
      </c>
      <c r="V210" s="189">
        <v>0</v>
      </c>
      <c r="W210" s="189"/>
      <c r="X210" s="90"/>
      <c r="Y210" s="188"/>
      <c r="Z210" s="188"/>
      <c r="AA210" s="188"/>
      <c r="AB210" s="188"/>
      <c r="AC210" s="188"/>
      <c r="AD210" s="190"/>
      <c r="AE210" s="189"/>
    </row>
    <row r="211" spans="1:31" ht="21.25" customHeight="1" x14ac:dyDescent="0.15">
      <c r="A211" s="9" t="s">
        <v>490</v>
      </c>
      <c r="B211" s="186" t="s">
        <v>826</v>
      </c>
      <c r="C211" s="187">
        <v>29</v>
      </c>
      <c r="D211" s="186" t="s">
        <v>815</v>
      </c>
      <c r="E211" s="90">
        <v>80.400000000000006</v>
      </c>
      <c r="F211" s="188">
        <v>13.847202317791499</v>
      </c>
      <c r="G211" s="189">
        <v>0.14603631887427701</v>
      </c>
      <c r="H211" s="189">
        <v>0.38899735243267503</v>
      </c>
      <c r="I211" s="189">
        <v>0.53503367130695201</v>
      </c>
      <c r="J211" s="189">
        <v>1.6739010281346201</v>
      </c>
      <c r="K211" s="189">
        <v>2.50262010210517E-2</v>
      </c>
      <c r="L211" s="189">
        <v>6.7380655301179496E-2</v>
      </c>
      <c r="M211" s="189">
        <v>2.7844019374960999E-5</v>
      </c>
      <c r="N211" s="189">
        <v>4.8446992922499297E-5</v>
      </c>
      <c r="O211" s="189">
        <v>0.28149592072851298</v>
      </c>
      <c r="P211" s="189">
        <v>0.6299185597993</v>
      </c>
      <c r="Q211" s="189">
        <v>8.0661797468222093E-2</v>
      </c>
      <c r="R211" s="189">
        <v>0.70535076644484396</v>
      </c>
      <c r="S211" s="189">
        <v>2.33631932310444E-2</v>
      </c>
      <c r="T211" s="189">
        <v>2.93059840397631</v>
      </c>
      <c r="U211" s="189">
        <v>2.8680390093788599</v>
      </c>
      <c r="V211" s="189">
        <v>0.505394318538814</v>
      </c>
      <c r="W211" s="189"/>
      <c r="X211" s="90"/>
      <c r="Y211" s="188"/>
      <c r="Z211" s="188"/>
      <c r="AA211" s="188"/>
      <c r="AB211" s="188"/>
      <c r="AC211" s="188"/>
      <c r="AD211" s="190"/>
      <c r="AE211" s="189"/>
    </row>
    <row r="212" spans="1:31" ht="21.25" customHeight="1" x14ac:dyDescent="0.15">
      <c r="A212" s="9" t="s">
        <v>297</v>
      </c>
      <c r="B212" s="186" t="s">
        <v>835</v>
      </c>
      <c r="C212" s="187">
        <v>26</v>
      </c>
      <c r="D212" s="186" t="s">
        <v>818</v>
      </c>
      <c r="E212" s="90">
        <v>78.977500000000006</v>
      </c>
      <c r="F212" s="188">
        <v>22.4880497134729</v>
      </c>
      <c r="G212" s="189">
        <v>8.2389076267233893E-2</v>
      </c>
      <c r="H212" s="189">
        <v>0.45251838022440499</v>
      </c>
      <c r="I212" s="189">
        <v>0.53490745649163896</v>
      </c>
      <c r="J212" s="189">
        <v>1.7968461674543901</v>
      </c>
      <c r="K212" s="189">
        <v>2.03655679210182E-2</v>
      </c>
      <c r="L212" s="189">
        <v>9.3269221151000004E-2</v>
      </c>
      <c r="M212" s="189">
        <v>2.4753182498982401E-4</v>
      </c>
      <c r="N212" s="189">
        <v>1.2180421765169999E-3</v>
      </c>
      <c r="O212" s="189">
        <v>1.1584943849404401</v>
      </c>
      <c r="P212" s="189">
        <v>1.27605389238971</v>
      </c>
      <c r="Q212" s="189">
        <v>8.02015160477762E-2</v>
      </c>
      <c r="R212" s="189">
        <v>0.45410761545077899</v>
      </c>
      <c r="S212" s="189">
        <v>1.4069928871512699E-2</v>
      </c>
      <c r="T212" s="189">
        <v>0</v>
      </c>
      <c r="U212" s="189">
        <v>0</v>
      </c>
      <c r="V212" s="189">
        <v>0</v>
      </c>
      <c r="W212" s="189"/>
      <c r="X212" s="90"/>
      <c r="Y212" s="188"/>
      <c r="Z212" s="188"/>
      <c r="AA212" s="188"/>
      <c r="AB212" s="188"/>
      <c r="AC212" s="188"/>
      <c r="AD212" s="190"/>
      <c r="AE212" s="189"/>
    </row>
    <row r="213" spans="1:31" ht="21.25" customHeight="1" x14ac:dyDescent="0.15">
      <c r="A213" s="9" t="s">
        <v>371</v>
      </c>
      <c r="B213" s="186" t="s">
        <v>856</v>
      </c>
      <c r="C213" s="187">
        <v>22</v>
      </c>
      <c r="D213" s="186" t="s">
        <v>867</v>
      </c>
      <c r="E213" s="90">
        <v>78.605000000000004</v>
      </c>
      <c r="F213" s="188">
        <v>16.733920967588901</v>
      </c>
      <c r="G213" s="189">
        <v>0.28022749940230102</v>
      </c>
      <c r="H213" s="189">
        <v>0.25426256228526201</v>
      </c>
      <c r="I213" s="189">
        <v>0.53449006168756297</v>
      </c>
      <c r="J213" s="189">
        <v>2.0943429676506198</v>
      </c>
      <c r="K213" s="189">
        <v>2.7700198827884898E-2</v>
      </c>
      <c r="L213" s="189">
        <v>8.2994107174482995E-2</v>
      </c>
      <c r="M213" s="189">
        <v>7.8427155744458898E-4</v>
      </c>
      <c r="N213" s="189">
        <v>8.9634465945413202E-4</v>
      </c>
      <c r="O213" s="189">
        <v>0.63094845951438505</v>
      </c>
      <c r="P213" s="189">
        <v>1.20893950065119</v>
      </c>
      <c r="Q213" s="189">
        <v>-9.7369487586370408E-3</v>
      </c>
      <c r="R213" s="189">
        <v>0.44420350805970199</v>
      </c>
      <c r="S213" s="189">
        <v>4.0618843492302097E-2</v>
      </c>
      <c r="T213" s="189">
        <v>1.13924967715746E-2</v>
      </c>
      <c r="U213" s="189">
        <v>2.5608041492652701E-2</v>
      </c>
      <c r="V213" s="189">
        <v>0.30790083890722902</v>
      </c>
      <c r="W213" s="189"/>
      <c r="X213" s="90"/>
      <c r="Y213" s="188"/>
      <c r="Z213" s="188"/>
      <c r="AA213" s="188"/>
      <c r="AB213" s="188"/>
      <c r="AC213" s="188"/>
      <c r="AD213" s="190"/>
      <c r="AE213" s="189"/>
    </row>
    <row r="214" spans="1:31" ht="21.25" customHeight="1" x14ac:dyDescent="0.15">
      <c r="A214" s="9" t="s">
        <v>510</v>
      </c>
      <c r="B214" s="186" t="s">
        <v>854</v>
      </c>
      <c r="C214" s="187">
        <v>23</v>
      </c>
      <c r="D214" s="186" t="s">
        <v>815</v>
      </c>
      <c r="E214" s="90">
        <v>76.137500000000003</v>
      </c>
      <c r="F214" s="188">
        <v>15.554782247173099</v>
      </c>
      <c r="G214" s="189">
        <v>0.235226749964252</v>
      </c>
      <c r="H214" s="189">
        <v>0.29718110830014799</v>
      </c>
      <c r="I214" s="189">
        <v>0.53240785826439996</v>
      </c>
      <c r="J214" s="189">
        <v>1.5590554869223401</v>
      </c>
      <c r="K214" s="189">
        <v>2.5774283499831799E-2</v>
      </c>
      <c r="L214" s="189">
        <v>7.6030945221323296E-2</v>
      </c>
      <c r="M214" s="189">
        <v>1.3325171850993501E-4</v>
      </c>
      <c r="N214" s="189">
        <v>2.2481396535460301E-4</v>
      </c>
      <c r="O214" s="189">
        <v>0.486801803080744</v>
      </c>
      <c r="P214" s="189">
        <v>0.74504476902593297</v>
      </c>
      <c r="Q214" s="189">
        <v>-5.1213195779032203E-2</v>
      </c>
      <c r="R214" s="189">
        <v>0.321618550603058</v>
      </c>
      <c r="S214" s="189">
        <v>2.7263079685664601E-2</v>
      </c>
      <c r="T214" s="189">
        <v>3.2206499360607701</v>
      </c>
      <c r="U214" s="189">
        <v>4.4868077005127303</v>
      </c>
      <c r="V214" s="189">
        <v>0.41786151645882702</v>
      </c>
      <c r="W214" s="189"/>
      <c r="X214" s="90"/>
      <c r="Y214" s="188"/>
      <c r="Z214" s="188"/>
      <c r="AA214" s="188"/>
      <c r="AB214" s="188"/>
      <c r="AC214" s="188"/>
      <c r="AD214" s="190"/>
      <c r="AE214" s="189"/>
    </row>
    <row r="215" spans="1:31" ht="21.25" customHeight="1" x14ac:dyDescent="0.15">
      <c r="A215" s="9" t="s">
        <v>517</v>
      </c>
      <c r="B215" s="186" t="s">
        <v>835</v>
      </c>
      <c r="C215" s="187">
        <v>23</v>
      </c>
      <c r="D215" s="186" t="s">
        <v>816</v>
      </c>
      <c r="E215" s="90">
        <v>71.637500000000003</v>
      </c>
      <c r="F215" s="188">
        <v>14.280513207578499</v>
      </c>
      <c r="G215" s="189">
        <v>0.297212952919856</v>
      </c>
      <c r="H215" s="189">
        <v>0.23369145278616199</v>
      </c>
      <c r="I215" s="189">
        <v>0.53090440570601805</v>
      </c>
      <c r="J215" s="189">
        <v>1.8567119263648499</v>
      </c>
      <c r="K215" s="189">
        <v>1.5796502908833301E-2</v>
      </c>
      <c r="L215" s="189">
        <v>3.9104037844538302E-2</v>
      </c>
      <c r="M215" s="189">
        <v>3.4710837576716098E-5</v>
      </c>
      <c r="N215" s="189">
        <v>5.8967585867754497E-5</v>
      </c>
      <c r="O215" s="189">
        <v>0.31269823493147297</v>
      </c>
      <c r="P215" s="189">
        <v>1.2748289528575101</v>
      </c>
      <c r="Q215" s="189">
        <v>8.6844353084371204E-2</v>
      </c>
      <c r="R215" s="189">
        <v>0.49579155182357798</v>
      </c>
      <c r="S215" s="189">
        <v>5.07563052862837E-2</v>
      </c>
      <c r="T215" s="189">
        <v>5.5038822630419995E-4</v>
      </c>
      <c r="U215" s="189">
        <v>6.8494367688141699E-3</v>
      </c>
      <c r="V215" s="189">
        <v>7.4378546339580798E-2</v>
      </c>
      <c r="W215" s="189"/>
      <c r="X215" s="90"/>
      <c r="Y215" s="188"/>
      <c r="Z215" s="188"/>
      <c r="AA215" s="188"/>
      <c r="AB215" s="188"/>
      <c r="AC215" s="188"/>
      <c r="AD215" s="190"/>
      <c r="AE215" s="189"/>
    </row>
    <row r="216" spans="1:31" ht="21.25" customHeight="1" x14ac:dyDescent="0.15">
      <c r="A216" s="9" t="s">
        <v>474</v>
      </c>
      <c r="B216" s="186" t="s">
        <v>845</v>
      </c>
      <c r="C216" s="187">
        <v>22</v>
      </c>
      <c r="D216" s="186" t="s">
        <v>867</v>
      </c>
      <c r="E216" s="90">
        <v>74.144999999999996</v>
      </c>
      <c r="F216" s="188">
        <v>15.0506128312774</v>
      </c>
      <c r="G216" s="189">
        <v>0.22078912120452199</v>
      </c>
      <c r="H216" s="189">
        <v>0.30982573493332199</v>
      </c>
      <c r="I216" s="189">
        <v>0.53061485613784398</v>
      </c>
      <c r="J216" s="189">
        <v>1.5016594035511099</v>
      </c>
      <c r="K216" s="189">
        <v>2.4585220693265401E-2</v>
      </c>
      <c r="L216" s="189">
        <v>7.6560592445157893E-2</v>
      </c>
      <c r="M216" s="189">
        <v>1.3936839596334001E-5</v>
      </c>
      <c r="N216" s="189">
        <v>2.3429327631007301E-5</v>
      </c>
      <c r="O216" s="189">
        <v>0.46195848047367299</v>
      </c>
      <c r="P216" s="189">
        <v>0.57180159747507098</v>
      </c>
      <c r="Q216" s="189">
        <v>-7.2530035044556804E-3</v>
      </c>
      <c r="R216" s="189">
        <v>0.38719886251223001</v>
      </c>
      <c r="S216" s="189">
        <v>3.2077077746345599E-2</v>
      </c>
      <c r="T216" s="189">
        <v>0.766428014853617</v>
      </c>
      <c r="U216" s="189">
        <v>0.93848328349422305</v>
      </c>
      <c r="V216" s="189">
        <v>0.44954128440367003</v>
      </c>
      <c r="W216" s="189"/>
      <c r="X216" s="90"/>
      <c r="Y216" s="189"/>
      <c r="Z216" s="189"/>
      <c r="AA216" s="189"/>
      <c r="AB216" s="189"/>
      <c r="AC216" s="188"/>
      <c r="AD216" s="190"/>
      <c r="AE216" s="189"/>
    </row>
    <row r="217" spans="1:31" ht="21.25" customHeight="1" x14ac:dyDescent="0.15">
      <c r="A217" s="9" t="s">
        <v>355</v>
      </c>
      <c r="B217" s="186" t="s">
        <v>833</v>
      </c>
      <c r="C217" s="187">
        <v>29</v>
      </c>
      <c r="D217" s="186" t="s">
        <v>867</v>
      </c>
      <c r="E217" s="90">
        <v>77.447500000000005</v>
      </c>
      <c r="F217" s="188">
        <v>15.516700292514001</v>
      </c>
      <c r="G217" s="189">
        <v>0.24230348817076899</v>
      </c>
      <c r="H217" s="189">
        <v>0.288064591196311</v>
      </c>
      <c r="I217" s="189">
        <v>0.53036807936707997</v>
      </c>
      <c r="J217" s="189">
        <v>2.2055050187537502</v>
      </c>
      <c r="K217" s="189">
        <v>3.18783312047849E-2</v>
      </c>
      <c r="L217" s="189">
        <v>7.6086755236185993E-2</v>
      </c>
      <c r="M217" s="189">
        <v>7.12594100388404E-3</v>
      </c>
      <c r="N217" s="189">
        <v>1.10402367728804E-2</v>
      </c>
      <c r="O217" s="189">
        <v>0.75753258520737699</v>
      </c>
      <c r="P217" s="189">
        <v>0.95437186214781999</v>
      </c>
      <c r="Q217" s="189">
        <v>1.7019938808887702E-2</v>
      </c>
      <c r="R217" s="189">
        <v>0.76298279378482903</v>
      </c>
      <c r="S217" s="189">
        <v>3.9999248307626203E-2</v>
      </c>
      <c r="T217" s="189">
        <v>4.6377661850116603</v>
      </c>
      <c r="U217" s="189">
        <v>5.6217643900793099</v>
      </c>
      <c r="V217" s="189">
        <v>0.45204467700224499</v>
      </c>
      <c r="W217" s="189"/>
      <c r="X217" s="90"/>
      <c r="Y217" s="188"/>
      <c r="Z217" s="188"/>
      <c r="AA217" s="188"/>
      <c r="AB217" s="188"/>
      <c r="AC217" s="188"/>
      <c r="AD217" s="190"/>
      <c r="AE217" s="189"/>
    </row>
    <row r="218" spans="1:31" ht="21.25" customHeight="1" x14ac:dyDescent="0.15">
      <c r="A218" s="9" t="s">
        <v>253</v>
      </c>
      <c r="B218" s="186" t="s">
        <v>849</v>
      </c>
      <c r="C218" s="187">
        <v>39</v>
      </c>
      <c r="D218" s="186" t="s">
        <v>818</v>
      </c>
      <c r="E218" s="90">
        <v>82.03</v>
      </c>
      <c r="F218" s="188">
        <v>22.0162372145702</v>
      </c>
      <c r="G218" s="189">
        <v>0.123726799551934</v>
      </c>
      <c r="H218" s="189">
        <v>0.40645422963217798</v>
      </c>
      <c r="I218" s="189">
        <v>0.53018102918411203</v>
      </c>
      <c r="J218" s="189">
        <v>2.3177043916373199</v>
      </c>
      <c r="K218" s="189">
        <v>3.6189576617552302E-2</v>
      </c>
      <c r="L218" s="189">
        <v>0.191050867555073</v>
      </c>
      <c r="M218" s="189">
        <v>2.6924075390699799E-4</v>
      </c>
      <c r="N218" s="189">
        <v>2.76797472550301E-3</v>
      </c>
      <c r="O218" s="189">
        <v>1.2300366982109501</v>
      </c>
      <c r="P218" s="189">
        <v>0.67450521721763901</v>
      </c>
      <c r="Q218" s="189">
        <v>9.6895216772768494E-2</v>
      </c>
      <c r="R218" s="189">
        <v>0.41299798898404799</v>
      </c>
      <c r="S218" s="189">
        <v>2.1440070984593201E-2</v>
      </c>
      <c r="T218" s="189">
        <v>1.19784415736849E-3</v>
      </c>
      <c r="U218" s="189">
        <v>2.29377016763353E-3</v>
      </c>
      <c r="V218" s="189">
        <v>0.343063135235531</v>
      </c>
      <c r="W218" s="189"/>
      <c r="X218" s="90"/>
      <c r="Y218" s="188"/>
      <c r="Z218" s="188"/>
      <c r="AA218" s="188"/>
      <c r="AB218" s="188"/>
      <c r="AC218" s="188"/>
      <c r="AD218" s="190"/>
      <c r="AE218" s="189"/>
    </row>
    <row r="219" spans="1:31" ht="21.25" customHeight="1" x14ac:dyDescent="0.15">
      <c r="A219" s="9" t="s">
        <v>235</v>
      </c>
      <c r="B219" s="186" t="s">
        <v>841</v>
      </c>
      <c r="C219" s="187">
        <v>34</v>
      </c>
      <c r="D219" s="186" t="s">
        <v>818</v>
      </c>
      <c r="E219" s="90">
        <v>77.397499999999994</v>
      </c>
      <c r="F219" s="188">
        <v>22.8120472701487</v>
      </c>
      <c r="G219" s="189">
        <v>0.101632926140077</v>
      </c>
      <c r="H219" s="189">
        <v>0.423573745462763</v>
      </c>
      <c r="I219" s="189">
        <v>0.52520667160283996</v>
      </c>
      <c r="J219" s="189">
        <v>2.1302891425416899</v>
      </c>
      <c r="K219" s="189">
        <v>1.2026156021568399E-2</v>
      </c>
      <c r="L219" s="189">
        <v>0.12563057957000501</v>
      </c>
      <c r="M219" s="189">
        <v>2.2348634903218202E-3</v>
      </c>
      <c r="N219" s="189">
        <v>1.9742227501572802E-2</v>
      </c>
      <c r="O219" s="189">
        <v>2.24623044090646</v>
      </c>
      <c r="P219" s="189">
        <v>0.89142834554766603</v>
      </c>
      <c r="Q219" s="189">
        <v>1.7245529653099501E-2</v>
      </c>
      <c r="R219" s="189">
        <v>0.31014790965195299</v>
      </c>
      <c r="S219" s="189">
        <v>1.5458499066682599E-2</v>
      </c>
      <c r="T219" s="189">
        <v>7.2779902559018796E-4</v>
      </c>
      <c r="U219" s="189">
        <v>1.33733730789308E-3</v>
      </c>
      <c r="V219" s="189">
        <v>0.35242178145333902</v>
      </c>
      <c r="W219" s="189"/>
      <c r="X219" s="90"/>
      <c r="Y219" s="188"/>
      <c r="Z219" s="188"/>
      <c r="AA219" s="188"/>
      <c r="AB219" s="188"/>
      <c r="AC219" s="188"/>
      <c r="AD219" s="190"/>
      <c r="AE219" s="189"/>
    </row>
    <row r="220" spans="1:31" ht="21.25" customHeight="1" x14ac:dyDescent="0.15">
      <c r="A220" s="9" t="s">
        <v>280</v>
      </c>
      <c r="B220" s="186" t="s">
        <v>832</v>
      </c>
      <c r="C220" s="187">
        <v>28</v>
      </c>
      <c r="D220" s="186" t="s">
        <v>818</v>
      </c>
      <c r="E220" s="90">
        <v>72.915000000000006</v>
      </c>
      <c r="F220" s="188">
        <v>23.399770734461001</v>
      </c>
      <c r="G220" s="189">
        <v>0.14520745587637801</v>
      </c>
      <c r="H220" s="189">
        <v>0.37848725855332599</v>
      </c>
      <c r="I220" s="189">
        <v>0.52369471442970394</v>
      </c>
      <c r="J220" s="189">
        <v>2.4069651834918</v>
      </c>
      <c r="K220" s="189">
        <v>3.7146800827280897E-2</v>
      </c>
      <c r="L220" s="189">
        <v>0.131720857211825</v>
      </c>
      <c r="M220" s="189">
        <v>4.0218168829959898E-3</v>
      </c>
      <c r="N220" s="189">
        <v>1.20319744705109E-2</v>
      </c>
      <c r="O220" s="189">
        <v>1.3550940238701099</v>
      </c>
      <c r="P220" s="189">
        <v>1.4307753396901699</v>
      </c>
      <c r="Q220" s="189">
        <v>8.0304807211618506E-2</v>
      </c>
      <c r="R220" s="189">
        <v>0.66307222682222899</v>
      </c>
      <c r="S220" s="189">
        <v>2.4737793471725798E-2</v>
      </c>
      <c r="T220" s="189">
        <v>0</v>
      </c>
      <c r="U220" s="189">
        <v>0</v>
      </c>
      <c r="V220" s="189">
        <v>0</v>
      </c>
      <c r="W220" s="189"/>
      <c r="X220" s="90"/>
      <c r="Y220" s="188"/>
      <c r="Z220" s="188"/>
      <c r="AA220" s="188"/>
      <c r="AB220" s="188"/>
      <c r="AC220" s="188"/>
      <c r="AD220" s="190"/>
      <c r="AE220" s="189"/>
    </row>
    <row r="221" spans="1:31" ht="21.25" customHeight="1" x14ac:dyDescent="0.15">
      <c r="A221" s="9" t="s">
        <v>336</v>
      </c>
      <c r="B221" s="186" t="s">
        <v>845</v>
      </c>
      <c r="C221" s="187">
        <v>32</v>
      </c>
      <c r="D221" s="186" t="s">
        <v>867</v>
      </c>
      <c r="E221" s="90">
        <v>81.22</v>
      </c>
      <c r="F221" s="188">
        <v>16.6141993959899</v>
      </c>
      <c r="G221" s="189">
        <v>0.26578075478500701</v>
      </c>
      <c r="H221" s="189">
        <v>0.25748809202657202</v>
      </c>
      <c r="I221" s="189">
        <v>0.52326884681157904</v>
      </c>
      <c r="J221" s="189">
        <v>2.4248878862437899</v>
      </c>
      <c r="K221" s="189">
        <v>2.2238148822826799E-2</v>
      </c>
      <c r="L221" s="189">
        <v>3.08742407175394E-2</v>
      </c>
      <c r="M221" s="189">
        <v>2.4948349756102099E-2</v>
      </c>
      <c r="N221" s="189">
        <v>3.8709758401867703E-2</v>
      </c>
      <c r="O221" s="189">
        <v>0.63873519236347198</v>
      </c>
      <c r="P221" s="189">
        <v>1.4830291231899999</v>
      </c>
      <c r="Q221" s="189">
        <v>-1.7149790030235E-2</v>
      </c>
      <c r="R221" s="189">
        <v>0.72635555304496202</v>
      </c>
      <c r="S221" s="189">
        <v>3.8613632266889401E-2</v>
      </c>
      <c r="T221" s="189">
        <v>0.27933534692699102</v>
      </c>
      <c r="U221" s="189">
        <v>0.456987718158477</v>
      </c>
      <c r="V221" s="189">
        <v>0.37936520010352698</v>
      </c>
      <c r="W221" s="189"/>
      <c r="X221" s="90"/>
      <c r="Y221" s="188"/>
      <c r="Z221" s="188"/>
      <c r="AA221" s="188"/>
      <c r="AB221" s="188"/>
      <c r="AC221" s="188"/>
      <c r="AD221" s="190"/>
      <c r="AE221" s="189"/>
    </row>
    <row r="222" spans="1:31" ht="21.25" customHeight="1" x14ac:dyDescent="0.15">
      <c r="A222" s="9" t="s">
        <v>247</v>
      </c>
      <c r="B222" s="186" t="s">
        <v>840</v>
      </c>
      <c r="C222" s="187">
        <v>22</v>
      </c>
      <c r="D222" s="186" t="s">
        <v>818</v>
      </c>
      <c r="E222" s="90">
        <v>80.11</v>
      </c>
      <c r="F222" s="188">
        <v>23.5145568152398</v>
      </c>
      <c r="G222" s="189">
        <v>0.10925275678801399</v>
      </c>
      <c r="H222" s="189">
        <v>0.40828948510198698</v>
      </c>
      <c r="I222" s="189">
        <v>0.51754224189000098</v>
      </c>
      <c r="J222" s="189">
        <v>2.0041185980263898</v>
      </c>
      <c r="K222" s="189">
        <v>3.6936267844998399E-2</v>
      </c>
      <c r="L222" s="189">
        <v>0.21343574800871701</v>
      </c>
      <c r="M222" s="189">
        <v>3.4175764176265001E-4</v>
      </c>
      <c r="N222" s="189">
        <v>1.4449719861049199E-3</v>
      </c>
      <c r="O222" s="189">
        <v>1.80591640856427</v>
      </c>
      <c r="P222" s="189">
        <v>0.79650451939706501</v>
      </c>
      <c r="Q222" s="189">
        <v>2.06372633976932E-3</v>
      </c>
      <c r="R222" s="189">
        <v>0.31323419790637202</v>
      </c>
      <c r="S222" s="189">
        <v>1.6963046169196E-2</v>
      </c>
      <c r="T222" s="189">
        <v>6.1122789298495798E-3</v>
      </c>
      <c r="U222" s="189">
        <v>4.6651821654229301E-3</v>
      </c>
      <c r="V222" s="189">
        <v>0.56713532768220398</v>
      </c>
      <c r="W222" s="189"/>
      <c r="X222" s="90"/>
      <c r="Y222" s="188"/>
      <c r="Z222" s="188"/>
      <c r="AA222" s="188"/>
      <c r="AB222" s="188"/>
      <c r="AC222" s="188"/>
      <c r="AD222" s="190"/>
      <c r="AE222" s="189"/>
    </row>
    <row r="223" spans="1:31" ht="21.25" customHeight="1" x14ac:dyDescent="0.15">
      <c r="A223" s="9" t="s">
        <v>453</v>
      </c>
      <c r="B223" s="186" t="s">
        <v>830</v>
      </c>
      <c r="C223" s="187">
        <v>22</v>
      </c>
      <c r="D223" s="186" t="s">
        <v>817</v>
      </c>
      <c r="E223" s="90">
        <v>71.75</v>
      </c>
      <c r="F223" s="188">
        <v>14.064879839258101</v>
      </c>
      <c r="G223" s="189">
        <v>0.22194546097378601</v>
      </c>
      <c r="H223" s="189">
        <v>0.29531586484856498</v>
      </c>
      <c r="I223" s="189">
        <v>0.51726132582235096</v>
      </c>
      <c r="J223" s="189">
        <v>2.0789482121957401</v>
      </c>
      <c r="K223" s="189">
        <v>3.0873599186747199E-2</v>
      </c>
      <c r="L223" s="189">
        <v>0.102619747457023</v>
      </c>
      <c r="M223" s="189">
        <v>1.1688649731688701E-5</v>
      </c>
      <c r="N223" s="189">
        <v>1.9667052045057801E-5</v>
      </c>
      <c r="O223" s="189">
        <v>0.31527391529830001</v>
      </c>
      <c r="P223" s="189">
        <v>0.49686255640272797</v>
      </c>
      <c r="Q223" s="189">
        <v>3.9052097812397803E-2</v>
      </c>
      <c r="R223" s="189">
        <v>0.273218015327859</v>
      </c>
      <c r="S223" s="189">
        <v>3.1425883710658201E-2</v>
      </c>
      <c r="T223" s="189">
        <v>9.0597901498082004E-3</v>
      </c>
      <c r="U223" s="189">
        <v>3.7888194805536797E-2</v>
      </c>
      <c r="V223" s="189">
        <v>0.19297505864044001</v>
      </c>
      <c r="W223" s="189"/>
      <c r="X223" s="90"/>
      <c r="Y223" s="188"/>
      <c r="Z223" s="188"/>
      <c r="AA223" s="188"/>
      <c r="AB223" s="188"/>
      <c r="AC223" s="188"/>
      <c r="AD223" s="190"/>
      <c r="AE223" s="189"/>
    </row>
    <row r="224" spans="1:31" ht="21.25" customHeight="1" x14ac:dyDescent="0.15">
      <c r="A224" s="9" t="s">
        <v>282</v>
      </c>
      <c r="B224" s="186" t="s">
        <v>840</v>
      </c>
      <c r="C224" s="187">
        <v>27</v>
      </c>
      <c r="D224" s="186" t="s">
        <v>818</v>
      </c>
      <c r="E224" s="90">
        <v>72.302499999999995</v>
      </c>
      <c r="F224" s="188">
        <v>22.394059765812699</v>
      </c>
      <c r="G224" s="189">
        <v>0.13074114339251</v>
      </c>
      <c r="H224" s="189">
        <v>0.38633461751306603</v>
      </c>
      <c r="I224" s="189">
        <v>0.51707576090557605</v>
      </c>
      <c r="J224" s="189">
        <v>2.1927948866987501</v>
      </c>
      <c r="K224" s="189">
        <v>2.29967746389797E-2</v>
      </c>
      <c r="L224" s="189">
        <v>0.12843542783492001</v>
      </c>
      <c r="M224" s="189">
        <v>2.73846004431533E-4</v>
      </c>
      <c r="N224" s="189">
        <v>1.34876808190076E-3</v>
      </c>
      <c r="O224" s="189">
        <v>1.66464716005796</v>
      </c>
      <c r="P224" s="189">
        <v>0.97833947526265697</v>
      </c>
      <c r="Q224" s="189">
        <v>-8.6280209708153501E-3</v>
      </c>
      <c r="R224" s="189">
        <v>0.54094660509956405</v>
      </c>
      <c r="S224" s="189">
        <v>2.0299424168159101E-2</v>
      </c>
      <c r="T224" s="189">
        <v>0</v>
      </c>
      <c r="U224" s="189">
        <v>0</v>
      </c>
      <c r="V224" s="189">
        <v>0</v>
      </c>
      <c r="W224" s="189"/>
      <c r="X224" s="90"/>
      <c r="Y224" s="188"/>
      <c r="Z224" s="188"/>
      <c r="AA224" s="188"/>
      <c r="AB224" s="188"/>
      <c r="AC224" s="188"/>
      <c r="AD224" s="190"/>
      <c r="AE224" s="189"/>
    </row>
    <row r="225" spans="1:31" ht="21.25" customHeight="1" x14ac:dyDescent="0.15">
      <c r="A225" s="9" t="s">
        <v>415</v>
      </c>
      <c r="B225" s="186" t="s">
        <v>831</v>
      </c>
      <c r="C225" s="187">
        <v>33</v>
      </c>
      <c r="D225" s="186" t="s">
        <v>817</v>
      </c>
      <c r="E225" s="90">
        <v>77.814999999999998</v>
      </c>
      <c r="F225" s="188">
        <v>16.3786660286965</v>
      </c>
      <c r="G225" s="189">
        <v>0.201196206994917</v>
      </c>
      <c r="H225" s="189">
        <v>0.31427201717197201</v>
      </c>
      <c r="I225" s="189">
        <v>0.51546822416688898</v>
      </c>
      <c r="J225" s="189">
        <v>2.0301351293783401</v>
      </c>
      <c r="K225" s="189">
        <v>2.0419363691078302E-2</v>
      </c>
      <c r="L225" s="189">
        <v>6.1676524220296597E-2</v>
      </c>
      <c r="M225" s="189">
        <v>1.85741796107609E-2</v>
      </c>
      <c r="N225" s="189">
        <v>2.4233145092278498E-2</v>
      </c>
      <c r="O225" s="189">
        <v>0.41274857226376299</v>
      </c>
      <c r="P225" s="189">
        <v>0.79220504398810498</v>
      </c>
      <c r="Q225" s="189">
        <v>1.39815505520212E-2</v>
      </c>
      <c r="R225" s="189">
        <v>0.23450168737375299</v>
      </c>
      <c r="S225" s="189">
        <v>3.2887190735692899E-2</v>
      </c>
      <c r="T225" s="189">
        <v>9.0699607263397694E-2</v>
      </c>
      <c r="U225" s="189">
        <v>0.12163816872826801</v>
      </c>
      <c r="V225" s="189">
        <v>0.427147768878193</v>
      </c>
      <c r="W225" s="189"/>
      <c r="X225" s="90"/>
      <c r="Y225" s="188"/>
      <c r="Z225" s="188"/>
      <c r="AA225" s="188"/>
      <c r="AB225" s="188"/>
      <c r="AC225" s="188"/>
      <c r="AD225" s="190"/>
      <c r="AE225" s="189"/>
    </row>
    <row r="226" spans="1:31" ht="21.25" customHeight="1" x14ac:dyDescent="0.15">
      <c r="A226" s="9" t="s">
        <v>364</v>
      </c>
      <c r="B226" s="186" t="s">
        <v>839</v>
      </c>
      <c r="C226" s="187">
        <v>31</v>
      </c>
      <c r="D226" s="186" t="s">
        <v>867</v>
      </c>
      <c r="E226" s="90">
        <v>78.7</v>
      </c>
      <c r="F226" s="188">
        <v>15.8701999139815</v>
      </c>
      <c r="G226" s="189">
        <v>0.221947162270799</v>
      </c>
      <c r="H226" s="189">
        <v>0.29341990370195897</v>
      </c>
      <c r="I226" s="189">
        <v>0.51536706597275805</v>
      </c>
      <c r="J226" s="189">
        <v>2.27045470460701</v>
      </c>
      <c r="K226" s="189">
        <v>6.0822747694428803E-2</v>
      </c>
      <c r="L226" s="189">
        <v>0.115655523659579</v>
      </c>
      <c r="M226" s="189">
        <v>1.33044166083105E-5</v>
      </c>
      <c r="N226" s="189">
        <v>2.2731270604419399E-5</v>
      </c>
      <c r="O226" s="189">
        <v>0.55040931031782103</v>
      </c>
      <c r="P226" s="189">
        <v>1.42594519829189</v>
      </c>
      <c r="Q226" s="189">
        <v>2.2669472623359801E-2</v>
      </c>
      <c r="R226" s="189">
        <v>0.25306475525681499</v>
      </c>
      <c r="S226" s="189">
        <v>3.2902091472254001E-2</v>
      </c>
      <c r="T226" s="189">
        <v>0.117724729157496</v>
      </c>
      <c r="U226" s="189">
        <v>0.19100487958527701</v>
      </c>
      <c r="V226" s="189">
        <v>0.38131985343712699</v>
      </c>
      <c r="W226" s="189"/>
      <c r="X226" s="90"/>
      <c r="Y226" s="188"/>
      <c r="Z226" s="188"/>
      <c r="AA226" s="188"/>
      <c r="AB226" s="188"/>
      <c r="AC226" s="188"/>
      <c r="AD226" s="190"/>
      <c r="AE226" s="189"/>
    </row>
    <row r="227" spans="1:31" ht="21.25" customHeight="1" x14ac:dyDescent="0.15">
      <c r="A227" s="9" t="s">
        <v>457</v>
      </c>
      <c r="B227" s="186" t="s">
        <v>848</v>
      </c>
      <c r="C227" s="187">
        <v>31</v>
      </c>
      <c r="D227" s="186" t="s">
        <v>816</v>
      </c>
      <c r="E227" s="90">
        <v>80.117500000000007</v>
      </c>
      <c r="F227" s="188">
        <v>16.078215872559198</v>
      </c>
      <c r="G227" s="189">
        <v>0.27473570510649797</v>
      </c>
      <c r="H227" s="189">
        <v>0.24028199803443401</v>
      </c>
      <c r="I227" s="189">
        <v>0.51501770314093198</v>
      </c>
      <c r="J227" s="189">
        <v>1.82564100390016</v>
      </c>
      <c r="K227" s="189">
        <v>4.9188051344592101E-2</v>
      </c>
      <c r="L227" s="189">
        <v>7.3793690520832303E-2</v>
      </c>
      <c r="M227" s="189">
        <v>5.56389556687731E-3</v>
      </c>
      <c r="N227" s="189">
        <v>1.02035931870142E-2</v>
      </c>
      <c r="O227" s="189">
        <v>0.29455019571323698</v>
      </c>
      <c r="P227" s="189">
        <v>0.33964821552492402</v>
      </c>
      <c r="Q227" s="189">
        <v>-5.49277093948322E-2</v>
      </c>
      <c r="R227" s="189">
        <v>0.24956190409969001</v>
      </c>
      <c r="S227" s="189">
        <v>3.3076556125612E-2</v>
      </c>
      <c r="T227" s="189">
        <v>0.136733670622432</v>
      </c>
      <c r="U227" s="189">
        <v>0.16707149490683601</v>
      </c>
      <c r="V227" s="189">
        <v>0.45007026257840099</v>
      </c>
      <c r="W227" s="189"/>
      <c r="X227" s="90"/>
      <c r="Y227" s="188"/>
      <c r="Z227" s="188"/>
      <c r="AA227" s="188"/>
      <c r="AB227" s="188"/>
      <c r="AC227" s="188"/>
      <c r="AD227" s="190"/>
      <c r="AE227" s="189"/>
    </row>
    <row r="228" spans="1:31" ht="21.25" customHeight="1" x14ac:dyDescent="0.15">
      <c r="A228" s="9" t="s">
        <v>433</v>
      </c>
      <c r="B228" s="186" t="s">
        <v>847</v>
      </c>
      <c r="C228" s="187">
        <v>24</v>
      </c>
      <c r="D228" s="186" t="s">
        <v>867</v>
      </c>
      <c r="E228" s="90">
        <v>77.637500000000003</v>
      </c>
      <c r="F228" s="188">
        <v>16.886741470253099</v>
      </c>
      <c r="G228" s="189">
        <v>0.18133402566524101</v>
      </c>
      <c r="H228" s="189">
        <v>0.33265172859696301</v>
      </c>
      <c r="I228" s="189">
        <v>0.51398575426220405</v>
      </c>
      <c r="J228" s="189">
        <v>1.6111444516322599</v>
      </c>
      <c r="K228" s="189">
        <v>4.5195043996474997E-2</v>
      </c>
      <c r="L228" s="189">
        <v>0.148180283488732</v>
      </c>
      <c r="M228" s="189">
        <v>8.2010597700010398E-4</v>
      </c>
      <c r="N228" s="189">
        <v>1.3794962937528699E-3</v>
      </c>
      <c r="O228" s="189">
        <v>0.55016310455127604</v>
      </c>
      <c r="P228" s="189">
        <v>0.45536112700258002</v>
      </c>
      <c r="Q228" s="189">
        <v>-0.13284320501205399</v>
      </c>
      <c r="R228" s="189">
        <v>0.281903052022551</v>
      </c>
      <c r="S228" s="189">
        <v>2.3434747292558102E-2</v>
      </c>
      <c r="T228" s="189">
        <v>1.38719142180511</v>
      </c>
      <c r="U228" s="189">
        <v>1.6904471878367</v>
      </c>
      <c r="V228" s="189">
        <v>0.45073239510943103</v>
      </c>
      <c r="W228" s="189"/>
      <c r="X228" s="90"/>
      <c r="Y228" s="188"/>
      <c r="Z228" s="188"/>
      <c r="AA228" s="188"/>
      <c r="AB228" s="188"/>
      <c r="AC228" s="188"/>
      <c r="AD228" s="190"/>
      <c r="AE228" s="189"/>
    </row>
    <row r="229" spans="1:31" ht="21.25" customHeight="1" x14ac:dyDescent="0.15">
      <c r="A229" s="9" t="s">
        <v>493</v>
      </c>
      <c r="B229" s="186" t="s">
        <v>858</v>
      </c>
      <c r="C229" s="187">
        <v>20</v>
      </c>
      <c r="D229" s="186" t="s">
        <v>816</v>
      </c>
      <c r="E229" s="90">
        <v>72</v>
      </c>
      <c r="F229" s="188">
        <v>16</v>
      </c>
      <c r="G229" s="189">
        <v>0.23574531991969</v>
      </c>
      <c r="H229" s="189">
        <v>0.274657909575523</v>
      </c>
      <c r="I229" s="189">
        <v>0.510403229495213</v>
      </c>
      <c r="J229" s="189">
        <v>1.8762956865493801</v>
      </c>
      <c r="K229" s="189">
        <v>5.4869301271672902E-2</v>
      </c>
      <c r="L229" s="189">
        <v>0.118795438139549</v>
      </c>
      <c r="M229" s="189">
        <v>0</v>
      </c>
      <c r="N229" s="189">
        <v>0</v>
      </c>
      <c r="O229" s="189">
        <v>0.43414634146341502</v>
      </c>
      <c r="P229" s="189">
        <v>1.1830924032672601</v>
      </c>
      <c r="Q229" s="189">
        <v>-8.4095323580518799E-2</v>
      </c>
      <c r="R229" s="189">
        <v>0.40406689838350401</v>
      </c>
      <c r="S229" s="189">
        <v>2.7478368246522999E-2</v>
      </c>
      <c r="T229" s="189">
        <v>0</v>
      </c>
      <c r="U229" s="189">
        <v>0</v>
      </c>
      <c r="V229" s="189">
        <v>0</v>
      </c>
      <c r="W229" s="189"/>
      <c r="X229" s="90"/>
      <c r="Y229" s="189"/>
      <c r="Z229" s="189"/>
      <c r="AA229" s="189"/>
      <c r="AB229" s="189"/>
      <c r="AC229" s="188"/>
      <c r="AD229" s="190"/>
      <c r="AE229" s="189"/>
    </row>
    <row r="230" spans="1:31" ht="21.25" customHeight="1" x14ac:dyDescent="0.15">
      <c r="A230" s="9" t="s">
        <v>434</v>
      </c>
      <c r="B230" s="186" t="s">
        <v>835</v>
      </c>
      <c r="C230" s="187">
        <v>27</v>
      </c>
      <c r="D230" s="186" t="s">
        <v>817</v>
      </c>
      <c r="E230" s="90">
        <v>76.864999999999995</v>
      </c>
      <c r="F230" s="188">
        <v>12.371670890021701</v>
      </c>
      <c r="G230" s="189">
        <v>0.23379115878859699</v>
      </c>
      <c r="H230" s="189">
        <v>0.27408590533467098</v>
      </c>
      <c r="I230" s="189">
        <v>0.50787706412326805</v>
      </c>
      <c r="J230" s="189">
        <v>2.08851564198635</v>
      </c>
      <c r="K230" s="189">
        <v>3.3654532352287901E-2</v>
      </c>
      <c r="L230" s="189">
        <v>9.5505891916491795E-2</v>
      </c>
      <c r="M230" s="189">
        <v>3.15445148751226E-5</v>
      </c>
      <c r="N230" s="189">
        <v>5.3362689711479601E-5</v>
      </c>
      <c r="O230" s="189">
        <v>0.26760856827111301</v>
      </c>
      <c r="P230" s="189">
        <v>0.60846633779812997</v>
      </c>
      <c r="Q230" s="189">
        <v>-2.0487214931469599E-2</v>
      </c>
      <c r="R230" s="189">
        <v>0.26020670708403099</v>
      </c>
      <c r="S230" s="189">
        <v>3.9925498912921999E-2</v>
      </c>
      <c r="T230" s="189">
        <v>5.8964127170229703E-2</v>
      </c>
      <c r="U230" s="189">
        <v>7.9737542566384198E-2</v>
      </c>
      <c r="V230" s="189">
        <v>0.425114760926808</v>
      </c>
      <c r="W230" s="189"/>
      <c r="X230" s="90"/>
      <c r="Y230" s="188"/>
      <c r="Z230" s="188"/>
      <c r="AA230" s="188"/>
      <c r="AB230" s="188"/>
      <c r="AC230" s="188"/>
      <c r="AD230" s="190"/>
      <c r="AE230" s="189"/>
    </row>
    <row r="231" spans="1:31" ht="21.25" customHeight="1" x14ac:dyDescent="0.15">
      <c r="A231" s="9" t="s">
        <v>660</v>
      </c>
      <c r="B231" s="186" t="s">
        <v>828</v>
      </c>
      <c r="C231" s="187">
        <v>20</v>
      </c>
      <c r="D231" s="186" t="s">
        <v>815</v>
      </c>
      <c r="E231" s="90">
        <v>61.695</v>
      </c>
      <c r="F231" s="188">
        <v>14.1465655406636</v>
      </c>
      <c r="G231" s="189">
        <v>0.19487286154154901</v>
      </c>
      <c r="H231" s="189">
        <v>0.31095949010259</v>
      </c>
      <c r="I231" s="189">
        <v>0.50583235164413898</v>
      </c>
      <c r="J231" s="189">
        <v>1.45120354471031</v>
      </c>
      <c r="K231" s="189">
        <v>1.8265111043364101E-2</v>
      </c>
      <c r="L231" s="189">
        <v>5.6078007299705301E-2</v>
      </c>
      <c r="M231" s="189">
        <v>1.24413421546379E-4</v>
      </c>
      <c r="N231" s="189">
        <v>2.0726654815614499E-4</v>
      </c>
      <c r="O231" s="189">
        <v>0.46424785918400502</v>
      </c>
      <c r="P231" s="189">
        <v>0.75613269189083399</v>
      </c>
      <c r="Q231" s="189">
        <v>3.3402330889643797E-2</v>
      </c>
      <c r="R231" s="189">
        <v>0.30405443463156201</v>
      </c>
      <c r="S231" s="189">
        <v>3.03521727160572E-2</v>
      </c>
      <c r="T231" s="189">
        <v>3.55208174047924</v>
      </c>
      <c r="U231" s="189">
        <v>4.5761053053020904</v>
      </c>
      <c r="V231" s="189">
        <v>0.43700787401574798</v>
      </c>
      <c r="W231" s="189"/>
      <c r="X231" s="90"/>
      <c r="Y231" s="188"/>
      <c r="Z231" s="188"/>
      <c r="AA231" s="188"/>
      <c r="AB231" s="188"/>
      <c r="AC231" s="188"/>
      <c r="AD231" s="190"/>
      <c r="AE231" s="189"/>
    </row>
    <row r="232" spans="1:31" ht="21.25" customHeight="1" x14ac:dyDescent="0.15">
      <c r="A232" s="9" t="s">
        <v>469</v>
      </c>
      <c r="B232" s="186" t="s">
        <v>856</v>
      </c>
      <c r="C232" s="187">
        <v>31</v>
      </c>
      <c r="D232" s="186" t="s">
        <v>815</v>
      </c>
      <c r="E232" s="90">
        <v>68.022499999999994</v>
      </c>
      <c r="F232" s="188">
        <v>17.710429290092101</v>
      </c>
      <c r="G232" s="189">
        <v>0.15690554997013301</v>
      </c>
      <c r="H232" s="189">
        <v>0.34847474244655002</v>
      </c>
      <c r="I232" s="189">
        <v>0.50538029241668303</v>
      </c>
      <c r="J232" s="189">
        <v>2.4426581638874998</v>
      </c>
      <c r="K232" s="189">
        <v>3.1686181562773301E-2</v>
      </c>
      <c r="L232" s="189">
        <v>7.4584522409483503E-2</v>
      </c>
      <c r="M232" s="189">
        <v>2.2230492655117098E-3</v>
      </c>
      <c r="N232" s="189">
        <v>2.78388436428572E-2</v>
      </c>
      <c r="O232" s="189">
        <v>0.56343941588748403</v>
      </c>
      <c r="P232" s="189">
        <v>0.77458037726443196</v>
      </c>
      <c r="Q232" s="189">
        <v>-2.67888094428799E-2</v>
      </c>
      <c r="R232" s="189">
        <v>0.43363509039984299</v>
      </c>
      <c r="S232" s="189">
        <v>2.2743385252711201E-2</v>
      </c>
      <c r="T232" s="189">
        <v>9.1646757985276093</v>
      </c>
      <c r="U232" s="189">
        <v>7.8314010811243797</v>
      </c>
      <c r="V232" s="189">
        <v>0.53922301384148996</v>
      </c>
      <c r="W232" s="189"/>
      <c r="X232" s="90"/>
      <c r="Y232" s="188"/>
      <c r="Z232" s="188"/>
      <c r="AA232" s="188"/>
      <c r="AB232" s="188"/>
      <c r="AC232" s="188"/>
      <c r="AD232" s="190"/>
      <c r="AE232" s="189"/>
    </row>
    <row r="233" spans="1:31" ht="21.25" customHeight="1" x14ac:dyDescent="0.15">
      <c r="A233" s="9" t="s">
        <v>417</v>
      </c>
      <c r="B233" s="186" t="s">
        <v>840</v>
      </c>
      <c r="C233" s="187">
        <v>36</v>
      </c>
      <c r="D233" s="186" t="s">
        <v>866</v>
      </c>
      <c r="E233" s="90">
        <v>79.465000000000003</v>
      </c>
      <c r="F233" s="188">
        <v>14.938148139419599</v>
      </c>
      <c r="G233" s="189">
        <v>0.200782986038125</v>
      </c>
      <c r="H233" s="189">
        <v>0.302255717425366</v>
      </c>
      <c r="I233" s="189">
        <v>0.503038703463491</v>
      </c>
      <c r="J233" s="189">
        <v>1.9118582485100499</v>
      </c>
      <c r="K233" s="189">
        <v>5.80907468750173E-2</v>
      </c>
      <c r="L233" s="189">
        <v>0.156974597146636</v>
      </c>
      <c r="M233" s="189">
        <v>5.66154028017758E-6</v>
      </c>
      <c r="N233" s="189">
        <v>9.7681824813636908E-6</v>
      </c>
      <c r="O233" s="189">
        <v>0.33407649365783698</v>
      </c>
      <c r="P233" s="189">
        <v>1.34493127017728</v>
      </c>
      <c r="Q233" s="189">
        <v>-7.8784137064606009E-3</v>
      </c>
      <c r="R233" s="189">
        <v>0.51971189016702402</v>
      </c>
      <c r="S233" s="189">
        <v>3.1174417582544699E-2</v>
      </c>
      <c r="T233" s="189">
        <v>0.100899530004755</v>
      </c>
      <c r="U233" s="189">
        <v>0.22351110383706199</v>
      </c>
      <c r="V233" s="189">
        <v>0.31102411412923597</v>
      </c>
      <c r="W233" s="189"/>
      <c r="X233" s="90"/>
      <c r="Y233" s="188"/>
      <c r="Z233" s="188"/>
      <c r="AA233" s="188"/>
      <c r="AB233" s="188"/>
      <c r="AC233" s="188"/>
      <c r="AD233" s="190"/>
      <c r="AE233" s="189"/>
    </row>
    <row r="234" spans="1:31" ht="21.25" customHeight="1" x14ac:dyDescent="0.15">
      <c r="A234" s="9" t="s">
        <v>500</v>
      </c>
      <c r="B234" s="186" t="s">
        <v>852</v>
      </c>
      <c r="C234" s="187">
        <v>23</v>
      </c>
      <c r="D234" s="186" t="s">
        <v>817</v>
      </c>
      <c r="E234" s="90">
        <v>67.732500000000002</v>
      </c>
      <c r="F234" s="188">
        <v>14.759752232643599</v>
      </c>
      <c r="G234" s="189">
        <v>0.23695633134548799</v>
      </c>
      <c r="H234" s="189">
        <v>0.26264790928804099</v>
      </c>
      <c r="I234" s="189">
        <v>0.49960424063352898</v>
      </c>
      <c r="J234" s="189">
        <v>1.9187306343096699</v>
      </c>
      <c r="K234" s="189">
        <v>2.43412156533554E-2</v>
      </c>
      <c r="L234" s="189">
        <v>5.62320139011111E-2</v>
      </c>
      <c r="M234" s="189">
        <v>1.8041867036268199E-3</v>
      </c>
      <c r="N234" s="189">
        <v>3.0521451084880502E-3</v>
      </c>
      <c r="O234" s="189">
        <v>0.51470577719214305</v>
      </c>
      <c r="P234" s="189">
        <v>0.91231789875967395</v>
      </c>
      <c r="Q234" s="189">
        <v>-0.109091087403903</v>
      </c>
      <c r="R234" s="189">
        <v>0.268909327193182</v>
      </c>
      <c r="S234" s="189">
        <v>2.6203661674500601E-2</v>
      </c>
      <c r="T234" s="189">
        <v>2.3581378302420498E-2</v>
      </c>
      <c r="U234" s="189">
        <v>0.200397330999876</v>
      </c>
      <c r="V234" s="189">
        <v>0.10528401728841801</v>
      </c>
      <c r="W234" s="189"/>
      <c r="X234" s="90"/>
      <c r="Y234" s="188"/>
      <c r="Z234" s="188"/>
      <c r="AA234" s="188"/>
      <c r="AB234" s="188"/>
      <c r="AC234" s="188"/>
      <c r="AD234" s="190"/>
      <c r="AE234" s="189"/>
    </row>
    <row r="235" spans="1:31" ht="21.25" customHeight="1" x14ac:dyDescent="0.15">
      <c r="A235" s="9" t="s">
        <v>479</v>
      </c>
      <c r="B235" s="186" t="s">
        <v>849</v>
      </c>
      <c r="C235" s="187">
        <v>24</v>
      </c>
      <c r="D235" s="186" t="s">
        <v>815</v>
      </c>
      <c r="E235" s="90">
        <v>79.897499999999994</v>
      </c>
      <c r="F235" s="188">
        <v>15.2328253859641</v>
      </c>
      <c r="G235" s="189">
        <v>0.212691670281973</v>
      </c>
      <c r="H235" s="189">
        <v>0.286781328732435</v>
      </c>
      <c r="I235" s="189">
        <v>0.499472999014408</v>
      </c>
      <c r="J235" s="189">
        <v>1.8225272739234599</v>
      </c>
      <c r="K235" s="189">
        <v>2.7928455832983399E-2</v>
      </c>
      <c r="L235" s="189">
        <v>8.9571767958291998E-2</v>
      </c>
      <c r="M235" s="189">
        <v>2.1174512640369202E-3</v>
      </c>
      <c r="N235" s="189">
        <v>5.1992971540211303E-3</v>
      </c>
      <c r="O235" s="189">
        <v>0.41619309874510602</v>
      </c>
      <c r="P235" s="189">
        <v>1.03114742000295</v>
      </c>
      <c r="Q235" s="189">
        <v>6.7849925443271994E-2</v>
      </c>
      <c r="R235" s="189">
        <v>0.53111784853013799</v>
      </c>
      <c r="S235" s="189">
        <v>3.68564007570817E-2</v>
      </c>
      <c r="T235" s="189">
        <v>4.6932001077719701</v>
      </c>
      <c r="U235" s="189">
        <v>4.4331449472060802</v>
      </c>
      <c r="V235" s="189">
        <v>0.51424749771125799</v>
      </c>
      <c r="W235" s="189"/>
      <c r="X235" s="90"/>
      <c r="Y235" s="188"/>
      <c r="Z235" s="188"/>
      <c r="AA235" s="188"/>
      <c r="AB235" s="188"/>
      <c r="AC235" s="188"/>
      <c r="AD235" s="190"/>
      <c r="AE235" s="189"/>
    </row>
    <row r="236" spans="1:31" ht="21.25" customHeight="1" x14ac:dyDescent="0.15">
      <c r="A236" s="9" t="s">
        <v>334</v>
      </c>
      <c r="B236" s="186" t="s">
        <v>858</v>
      </c>
      <c r="C236" s="187">
        <v>20</v>
      </c>
      <c r="D236" s="186" t="s">
        <v>818</v>
      </c>
      <c r="E236" s="90">
        <v>74.144999999999996</v>
      </c>
      <c r="F236" s="188">
        <v>20.0660360824665</v>
      </c>
      <c r="G236" s="189">
        <v>7.5629647954412002E-2</v>
      </c>
      <c r="H236" s="189">
        <v>0.42332654686356802</v>
      </c>
      <c r="I236" s="189">
        <v>0.49895619481797998</v>
      </c>
      <c r="J236" s="189">
        <v>1.5127515290420801</v>
      </c>
      <c r="K236" s="189">
        <v>7.6059242611727501E-3</v>
      </c>
      <c r="L236" s="189">
        <v>0.16332612988706599</v>
      </c>
      <c r="M236" s="189">
        <v>3.6741504639924301E-4</v>
      </c>
      <c r="N236" s="189">
        <v>8.4163300307014896E-3</v>
      </c>
      <c r="O236" s="189">
        <v>1.2328265387877</v>
      </c>
      <c r="P236" s="189">
        <v>1.42599019546646</v>
      </c>
      <c r="Q236" s="189">
        <v>-0.105510096085123</v>
      </c>
      <c r="R236" s="189">
        <v>0.44204516407008698</v>
      </c>
      <c r="S236" s="189">
        <v>8.8153576815615704E-3</v>
      </c>
      <c r="T236" s="189">
        <v>0</v>
      </c>
      <c r="U236" s="189">
        <v>0</v>
      </c>
      <c r="V236" s="189">
        <v>0</v>
      </c>
      <c r="W236" s="189"/>
      <c r="X236" s="90"/>
      <c r="Y236" s="188"/>
      <c r="Z236" s="188"/>
      <c r="AA236" s="188"/>
      <c r="AB236" s="188"/>
      <c r="AC236" s="188"/>
      <c r="AD236" s="190"/>
      <c r="AE236" s="189"/>
    </row>
    <row r="237" spans="1:31" ht="21.25" customHeight="1" x14ac:dyDescent="0.15">
      <c r="A237" s="9" t="s">
        <v>616</v>
      </c>
      <c r="B237" s="186" t="s">
        <v>854</v>
      </c>
      <c r="C237" s="187">
        <v>23</v>
      </c>
      <c r="D237" s="186" t="s">
        <v>815</v>
      </c>
      <c r="E237" s="90">
        <v>63.33</v>
      </c>
      <c r="F237" s="188">
        <v>15.649299484078799</v>
      </c>
      <c r="G237" s="189">
        <v>0.18640000733314699</v>
      </c>
      <c r="H237" s="189">
        <v>0.31221063999036403</v>
      </c>
      <c r="I237" s="189">
        <v>0.49861064732351101</v>
      </c>
      <c r="J237" s="189">
        <v>1.63636593101284</v>
      </c>
      <c r="K237" s="189">
        <v>3.8161787964410901E-2</v>
      </c>
      <c r="L237" s="189">
        <v>0.10582695876795301</v>
      </c>
      <c r="M237" s="189">
        <v>1.7998675600018499E-3</v>
      </c>
      <c r="N237" s="189">
        <v>1.46422234649958E-2</v>
      </c>
      <c r="O237" s="189">
        <v>0.53915765633891799</v>
      </c>
      <c r="P237" s="189">
        <v>0.86779498362256802</v>
      </c>
      <c r="Q237" s="189">
        <v>-3.7188095726082303E-2</v>
      </c>
      <c r="R237" s="189">
        <v>0.58602207975662601</v>
      </c>
      <c r="S237" s="189">
        <v>2.1603998074642299E-2</v>
      </c>
      <c r="T237" s="189">
        <v>1.84789104580046</v>
      </c>
      <c r="U237" s="189">
        <v>3.30552394631404</v>
      </c>
      <c r="V237" s="189">
        <v>0.358576021653216</v>
      </c>
      <c r="W237" s="189"/>
      <c r="X237" s="90"/>
      <c r="Y237" s="188"/>
      <c r="Z237" s="188"/>
      <c r="AA237" s="188"/>
      <c r="AB237" s="188"/>
      <c r="AC237" s="188"/>
      <c r="AD237" s="190"/>
      <c r="AE237" s="189"/>
    </row>
    <row r="238" spans="1:31" ht="21.25" customHeight="1" x14ac:dyDescent="0.15">
      <c r="A238" s="9" t="s">
        <v>384</v>
      </c>
      <c r="B238" s="186" t="s">
        <v>855</v>
      </c>
      <c r="C238" s="187">
        <v>25</v>
      </c>
      <c r="D238" s="186" t="s">
        <v>866</v>
      </c>
      <c r="E238" s="90">
        <v>78.265000000000001</v>
      </c>
      <c r="F238" s="188">
        <v>15.2073301751469</v>
      </c>
      <c r="G238" s="189">
        <v>0.22600167311813901</v>
      </c>
      <c r="H238" s="189">
        <v>0.271659415581046</v>
      </c>
      <c r="I238" s="189">
        <v>0.49766108869918502</v>
      </c>
      <c r="J238" s="189">
        <v>1.89837640963022</v>
      </c>
      <c r="K238" s="189">
        <v>2.6416492245567299E-2</v>
      </c>
      <c r="L238" s="189">
        <v>0.103045159149905</v>
      </c>
      <c r="M238" s="189">
        <v>5.5194489190801095E-4</v>
      </c>
      <c r="N238" s="189">
        <v>9.3382554521577303E-4</v>
      </c>
      <c r="O238" s="189">
        <v>0.83938398815126802</v>
      </c>
      <c r="P238" s="189">
        <v>2.1654397796981799</v>
      </c>
      <c r="Q238" s="189">
        <v>-1.4679393695927599E-2</v>
      </c>
      <c r="R238" s="189">
        <v>0.29479613410139399</v>
      </c>
      <c r="S238" s="189">
        <v>3.4317827671525698E-2</v>
      </c>
      <c r="T238" s="189">
        <v>8.2401302798156398E-2</v>
      </c>
      <c r="U238" s="189">
        <v>0.26344254772599501</v>
      </c>
      <c r="V238" s="189">
        <v>0.23826158155847299</v>
      </c>
      <c r="W238" s="189"/>
      <c r="X238" s="90"/>
      <c r="Y238" s="188"/>
      <c r="Z238" s="188"/>
      <c r="AA238" s="188"/>
      <c r="AB238" s="188"/>
      <c r="AC238" s="188"/>
      <c r="AD238" s="190"/>
      <c r="AE238" s="189"/>
    </row>
    <row r="239" spans="1:31" ht="21.25" customHeight="1" x14ac:dyDescent="0.15">
      <c r="A239" s="9" t="s">
        <v>460</v>
      </c>
      <c r="B239" s="186" t="s">
        <v>833</v>
      </c>
      <c r="C239" s="187">
        <v>22</v>
      </c>
      <c r="D239" s="186" t="s">
        <v>815</v>
      </c>
      <c r="E239" s="90">
        <v>73.842500000000001</v>
      </c>
      <c r="F239" s="188">
        <v>16.822153385644501</v>
      </c>
      <c r="G239" s="189">
        <v>0.23855394669243801</v>
      </c>
      <c r="H239" s="189">
        <v>0.25531184627509002</v>
      </c>
      <c r="I239" s="189">
        <v>0.49386579296752797</v>
      </c>
      <c r="J239" s="189">
        <v>2.0359353784579199</v>
      </c>
      <c r="K239" s="189">
        <v>3.1012650753238301E-2</v>
      </c>
      <c r="L239" s="189">
        <v>8.7513997214873296E-2</v>
      </c>
      <c r="M239" s="189">
        <v>4.9782539704805397E-4</v>
      </c>
      <c r="N239" s="189">
        <v>8.4428236366095402E-4</v>
      </c>
      <c r="O239" s="189">
        <v>0.467580012816804</v>
      </c>
      <c r="P239" s="189">
        <v>0.50584858224701501</v>
      </c>
      <c r="Q239" s="189">
        <v>6.69727186064122E-3</v>
      </c>
      <c r="R239" s="189">
        <v>0.474763790124829</v>
      </c>
      <c r="S239" s="189">
        <v>3.9380277273557501E-2</v>
      </c>
      <c r="T239" s="189">
        <v>4.1460343264008701</v>
      </c>
      <c r="U239" s="189">
        <v>5.0894906234561299</v>
      </c>
      <c r="V239" s="189">
        <v>0.44892243255377301</v>
      </c>
      <c r="W239" s="189"/>
      <c r="X239" s="90"/>
      <c r="Y239" s="188"/>
      <c r="Z239" s="188"/>
      <c r="AA239" s="188"/>
      <c r="AB239" s="188"/>
      <c r="AC239" s="188"/>
      <c r="AD239" s="190"/>
      <c r="AE239" s="189"/>
    </row>
    <row r="240" spans="1:31" ht="21.25" customHeight="1" x14ac:dyDescent="0.15">
      <c r="A240" s="9" t="s">
        <v>535</v>
      </c>
      <c r="B240" s="186" t="s">
        <v>855</v>
      </c>
      <c r="C240" s="187">
        <v>29</v>
      </c>
      <c r="D240" s="186" t="s">
        <v>816</v>
      </c>
      <c r="E240" s="90">
        <v>71.435000000000002</v>
      </c>
      <c r="F240" s="188">
        <v>14.5269907121278</v>
      </c>
      <c r="G240" s="189">
        <v>0.18215069924761301</v>
      </c>
      <c r="H240" s="189">
        <v>0.31025446226183301</v>
      </c>
      <c r="I240" s="189">
        <v>0.49240516150944602</v>
      </c>
      <c r="J240" s="189">
        <v>1.7830516620715899</v>
      </c>
      <c r="K240" s="189">
        <v>5.6437177732675502E-2</v>
      </c>
      <c r="L240" s="189">
        <v>0.136303367175966</v>
      </c>
      <c r="M240" s="189">
        <v>0</v>
      </c>
      <c r="N240" s="189">
        <v>0</v>
      </c>
      <c r="O240" s="189">
        <v>0.32789914707597201</v>
      </c>
      <c r="P240" s="189">
        <v>0.46595283790285602</v>
      </c>
      <c r="Q240" s="189">
        <v>-2.4142703102010901E-2</v>
      </c>
      <c r="R240" s="189">
        <v>0.28233099585001598</v>
      </c>
      <c r="S240" s="189">
        <v>2.76591594247175E-2</v>
      </c>
      <c r="T240" s="189">
        <v>4.4241421999767598E-2</v>
      </c>
      <c r="U240" s="189">
        <v>9.93587790368895E-2</v>
      </c>
      <c r="V240" s="189">
        <v>0.30808746561903499</v>
      </c>
      <c r="W240" s="189"/>
      <c r="X240" s="90"/>
      <c r="Y240" s="188"/>
      <c r="Z240" s="188"/>
      <c r="AA240" s="188"/>
      <c r="AB240" s="188"/>
      <c r="AC240" s="188"/>
      <c r="AD240" s="190"/>
      <c r="AE240" s="189"/>
    </row>
    <row r="241" spans="1:31" ht="21.25" customHeight="1" x14ac:dyDescent="0.15">
      <c r="A241" s="9" t="s">
        <v>524</v>
      </c>
      <c r="B241" s="186" t="s">
        <v>848</v>
      </c>
      <c r="C241" s="187">
        <v>22</v>
      </c>
      <c r="D241" s="186" t="s">
        <v>816</v>
      </c>
      <c r="E241" s="90">
        <v>66.257499999999993</v>
      </c>
      <c r="F241" s="188">
        <v>15.8951356207134</v>
      </c>
      <c r="G241" s="189">
        <v>0.237315825921706</v>
      </c>
      <c r="H241" s="189">
        <v>0.25062245626144097</v>
      </c>
      <c r="I241" s="189">
        <v>0.487938282183147</v>
      </c>
      <c r="J241" s="189">
        <v>2.0811538330615802</v>
      </c>
      <c r="K241" s="189">
        <v>0.107418275950595</v>
      </c>
      <c r="L241" s="189">
        <v>0.20711880154764101</v>
      </c>
      <c r="M241" s="189">
        <v>1.1445830539829199E-3</v>
      </c>
      <c r="N241" s="189">
        <v>1.9405645753811701E-3</v>
      </c>
      <c r="O241" s="189">
        <v>0.41882574110792198</v>
      </c>
      <c r="P241" s="189">
        <v>2.1605824892117802</v>
      </c>
      <c r="Q241" s="189">
        <v>7.3149286159777893E-2</v>
      </c>
      <c r="R241" s="189">
        <v>0.63100966785953405</v>
      </c>
      <c r="S241" s="189">
        <v>2.85714236981046E-2</v>
      </c>
      <c r="T241" s="189">
        <v>0.83475220199091005</v>
      </c>
      <c r="U241" s="189">
        <v>0.94834555857877101</v>
      </c>
      <c r="V241" s="189">
        <v>0.468147187692174</v>
      </c>
      <c r="W241" s="189"/>
      <c r="X241" s="90"/>
      <c r="Y241" s="189"/>
      <c r="Z241" s="189"/>
      <c r="AA241" s="189"/>
      <c r="AB241" s="189"/>
      <c r="AC241" s="188"/>
      <c r="AD241" s="190"/>
      <c r="AE241" s="189"/>
    </row>
    <row r="242" spans="1:31" ht="21.25" customHeight="1" x14ac:dyDescent="0.15">
      <c r="A242" s="9" t="s">
        <v>448</v>
      </c>
      <c r="B242" s="186" t="s">
        <v>849</v>
      </c>
      <c r="C242" s="187">
        <v>27</v>
      </c>
      <c r="D242" s="186" t="s">
        <v>817</v>
      </c>
      <c r="E242" s="90">
        <v>77.16</v>
      </c>
      <c r="F242" s="188">
        <v>15.1235895865437</v>
      </c>
      <c r="G242" s="189">
        <v>0.15970198650488601</v>
      </c>
      <c r="H242" s="189">
        <v>0.32771409333378199</v>
      </c>
      <c r="I242" s="189">
        <v>0.48741607983866803</v>
      </c>
      <c r="J242" s="189">
        <v>1.7976558980081501</v>
      </c>
      <c r="K242" s="189">
        <v>2.0855755584512001E-2</v>
      </c>
      <c r="L242" s="189">
        <v>8.0916802910826494E-2</v>
      </c>
      <c r="M242" s="189">
        <v>9.1009509771069405E-3</v>
      </c>
      <c r="N242" s="189">
        <v>1.21232947021136E-2</v>
      </c>
      <c r="O242" s="189">
        <v>0.46112201922270601</v>
      </c>
      <c r="P242" s="189">
        <v>0.60345035518008205</v>
      </c>
      <c r="Q242" s="189">
        <v>3.8259818647908401E-3</v>
      </c>
      <c r="R242" s="189">
        <v>0.23808421398113799</v>
      </c>
      <c r="S242" s="189">
        <v>2.7674052343106801E-2</v>
      </c>
      <c r="T242" s="189">
        <v>2.2697565130913402</v>
      </c>
      <c r="U242" s="189">
        <v>2.9090787017097002</v>
      </c>
      <c r="V242" s="189">
        <v>0.43827548453451698</v>
      </c>
      <c r="W242" s="189"/>
      <c r="X242" s="90"/>
      <c r="Y242" s="188"/>
      <c r="Z242" s="188"/>
      <c r="AA242" s="188"/>
      <c r="AB242" s="188"/>
      <c r="AC242" s="188"/>
      <c r="AD242" s="190"/>
      <c r="AE242" s="189"/>
    </row>
    <row r="243" spans="1:31" ht="21.25" customHeight="1" x14ac:dyDescent="0.15">
      <c r="A243" s="9" t="s">
        <v>547</v>
      </c>
      <c r="B243" s="186" t="s">
        <v>826</v>
      </c>
      <c r="C243" s="187">
        <v>22</v>
      </c>
      <c r="D243" s="186" t="s">
        <v>816</v>
      </c>
      <c r="E243" s="90">
        <v>69.89</v>
      </c>
      <c r="F243" s="188">
        <v>12.989120797451699</v>
      </c>
      <c r="G243" s="189">
        <v>0.23535886340946799</v>
      </c>
      <c r="H243" s="189">
        <v>0.25103641684379502</v>
      </c>
      <c r="I243" s="189">
        <v>0.48639528025326301</v>
      </c>
      <c r="J243" s="189">
        <v>1.8653318412445301</v>
      </c>
      <c r="K243" s="189">
        <v>2.1723612373003701E-2</v>
      </c>
      <c r="L243" s="189">
        <v>5.7088968363096203E-2</v>
      </c>
      <c r="M243" s="189">
        <v>1.4444505628057199E-4</v>
      </c>
      <c r="N243" s="189">
        <v>2.4434999223632299E-4</v>
      </c>
      <c r="O243" s="189">
        <v>0.482096052711593</v>
      </c>
      <c r="P243" s="189">
        <v>0.90946703192267597</v>
      </c>
      <c r="Q243" s="189">
        <v>6.9404218795450098E-2</v>
      </c>
      <c r="R243" s="189">
        <v>0.202962728187466</v>
      </c>
      <c r="S243" s="189">
        <v>3.7653199196346902E-2</v>
      </c>
      <c r="T243" s="189">
        <v>6.91413496574243E-2</v>
      </c>
      <c r="U243" s="189">
        <v>0.148975729307985</v>
      </c>
      <c r="V243" s="189">
        <v>0.31699191088282103</v>
      </c>
      <c r="W243" s="189"/>
      <c r="X243" s="90"/>
      <c r="Y243" s="188"/>
      <c r="Z243" s="188"/>
      <c r="AA243" s="188"/>
      <c r="AB243" s="188"/>
      <c r="AC243" s="188"/>
      <c r="AD243" s="190"/>
      <c r="AE243" s="189"/>
    </row>
    <row r="244" spans="1:31" ht="21.25" customHeight="1" x14ac:dyDescent="0.15">
      <c r="A244" s="9" t="s">
        <v>283</v>
      </c>
      <c r="B244" s="186" t="s">
        <v>844</v>
      </c>
      <c r="C244" s="187">
        <v>26</v>
      </c>
      <c r="D244" s="186" t="s">
        <v>818</v>
      </c>
      <c r="E244" s="90">
        <v>73.855000000000004</v>
      </c>
      <c r="F244" s="188">
        <v>20.334200633978099</v>
      </c>
      <c r="G244" s="189">
        <v>0.14176114186885599</v>
      </c>
      <c r="H244" s="189">
        <v>0.34284294700201301</v>
      </c>
      <c r="I244" s="189">
        <v>0.48460408887086898</v>
      </c>
      <c r="J244" s="189">
        <v>2.2549021218365999</v>
      </c>
      <c r="K244" s="189">
        <v>5.2809773965213101E-2</v>
      </c>
      <c r="L244" s="189">
        <v>0.12549567682947499</v>
      </c>
      <c r="M244" s="189">
        <v>8.7872785425852098E-5</v>
      </c>
      <c r="N244" s="189">
        <v>4.3237698045985599E-4</v>
      </c>
      <c r="O244" s="189">
        <v>1.6511008393358999</v>
      </c>
      <c r="P244" s="189">
        <v>0.94454371805602899</v>
      </c>
      <c r="Q244" s="189">
        <v>-3.3434842942044497E-2</v>
      </c>
      <c r="R244" s="189">
        <v>0.56598535477346501</v>
      </c>
      <c r="S244" s="189">
        <v>2.0117683011944599E-2</v>
      </c>
      <c r="T244" s="189">
        <v>0</v>
      </c>
      <c r="U244" s="189">
        <v>0</v>
      </c>
      <c r="V244" s="189">
        <v>0</v>
      </c>
      <c r="W244" s="189"/>
      <c r="X244" s="90"/>
      <c r="Y244" s="188"/>
      <c r="Z244" s="188"/>
      <c r="AA244" s="188"/>
      <c r="AB244" s="188"/>
      <c r="AC244" s="188"/>
      <c r="AD244" s="190"/>
      <c r="AE244" s="189"/>
    </row>
    <row r="245" spans="1:31" ht="21.25" customHeight="1" x14ac:dyDescent="0.15">
      <c r="A245" s="9" t="s">
        <v>315</v>
      </c>
      <c r="B245" s="186" t="s">
        <v>849</v>
      </c>
      <c r="C245" s="187">
        <v>31</v>
      </c>
      <c r="D245" s="186" t="s">
        <v>818</v>
      </c>
      <c r="E245" s="90">
        <v>80.89</v>
      </c>
      <c r="F245" s="188">
        <v>17.029828132498501</v>
      </c>
      <c r="G245" s="189">
        <v>0.10878255116628301</v>
      </c>
      <c r="H245" s="189">
        <v>0.37412814133399103</v>
      </c>
      <c r="I245" s="189">
        <v>0.48291069250027402</v>
      </c>
      <c r="J245" s="189">
        <v>1.5000797021403101</v>
      </c>
      <c r="K245" s="189">
        <v>2.7860119081539399E-2</v>
      </c>
      <c r="L245" s="189">
        <v>0.20354575381692699</v>
      </c>
      <c r="M245" s="189">
        <v>2.7110545521743701E-3</v>
      </c>
      <c r="N245" s="189">
        <v>3.2470900647249899E-3</v>
      </c>
      <c r="O245" s="189">
        <v>0.95771468707223995</v>
      </c>
      <c r="P245" s="189">
        <v>0.60647292413523701</v>
      </c>
      <c r="Q245" s="189">
        <v>-3.0603555507519001E-3</v>
      </c>
      <c r="R245" s="189">
        <v>0.251657418929631</v>
      </c>
      <c r="S245" s="189">
        <v>1.8850448143300402E-2</v>
      </c>
      <c r="T245" s="189">
        <v>0</v>
      </c>
      <c r="U245" s="189">
        <v>0</v>
      </c>
      <c r="V245" s="189">
        <v>0</v>
      </c>
      <c r="W245" s="189"/>
      <c r="X245" s="90"/>
      <c r="Y245" s="188"/>
      <c r="Z245" s="188"/>
      <c r="AA245" s="188"/>
      <c r="AB245" s="188"/>
      <c r="AC245" s="188"/>
      <c r="AD245" s="190"/>
      <c r="AE245" s="189"/>
    </row>
    <row r="246" spans="1:31" ht="21.25" customHeight="1" x14ac:dyDescent="0.15">
      <c r="A246" s="9" t="s">
        <v>488</v>
      </c>
      <c r="B246" s="186" t="s">
        <v>839</v>
      </c>
      <c r="C246" s="187">
        <v>20</v>
      </c>
      <c r="D246" s="186" t="s">
        <v>817</v>
      </c>
      <c r="E246" s="90">
        <v>75</v>
      </c>
      <c r="F246" s="188">
        <v>15</v>
      </c>
      <c r="G246" s="189">
        <v>0.17912950114912299</v>
      </c>
      <c r="H246" s="189">
        <v>0.30350455748826699</v>
      </c>
      <c r="I246" s="189">
        <v>0.48263405863739001</v>
      </c>
      <c r="J246" s="189">
        <v>1.6102013383277101</v>
      </c>
      <c r="K246" s="189">
        <v>3.9968286817460501E-2</v>
      </c>
      <c r="L246" s="189">
        <v>0.10768776979642</v>
      </c>
      <c r="M246" s="189">
        <v>0</v>
      </c>
      <c r="N246" s="189">
        <v>0</v>
      </c>
      <c r="O246" s="189">
        <v>0.42682926829268297</v>
      </c>
      <c r="P246" s="189">
        <v>1.1830924032672601</v>
      </c>
      <c r="Q246" s="189">
        <v>9.0205600653880409E-3</v>
      </c>
      <c r="R246" s="189">
        <v>0.40406689838350401</v>
      </c>
      <c r="S246" s="189">
        <v>2.65546771217408E-2</v>
      </c>
      <c r="T246" s="189">
        <v>0</v>
      </c>
      <c r="U246" s="189">
        <v>0</v>
      </c>
      <c r="V246" s="189">
        <v>0</v>
      </c>
      <c r="W246" s="189"/>
      <c r="X246" s="90"/>
      <c r="Y246" s="189"/>
      <c r="Z246" s="189"/>
      <c r="AA246" s="189"/>
      <c r="AB246" s="189"/>
      <c r="AC246" s="188"/>
      <c r="AD246" s="190"/>
      <c r="AE246" s="189"/>
    </row>
    <row r="247" spans="1:31" ht="21.25" customHeight="1" x14ac:dyDescent="0.15">
      <c r="A247" s="9" t="s">
        <v>464</v>
      </c>
      <c r="B247" s="186" t="s">
        <v>824</v>
      </c>
      <c r="C247" s="187">
        <v>34</v>
      </c>
      <c r="D247" s="186" t="s">
        <v>865</v>
      </c>
      <c r="E247" s="90">
        <v>76.88</v>
      </c>
      <c r="F247" s="188">
        <v>15.941269520968801</v>
      </c>
      <c r="G247" s="189">
        <v>0.23593847210227301</v>
      </c>
      <c r="H247" s="189">
        <v>0.24453784670535</v>
      </c>
      <c r="I247" s="189">
        <v>0.48047631880762298</v>
      </c>
      <c r="J247" s="189">
        <v>1.66907050784238</v>
      </c>
      <c r="K247" s="189">
        <v>3.0287505485942799E-2</v>
      </c>
      <c r="L247" s="189">
        <v>6.4441902892770603E-2</v>
      </c>
      <c r="M247" s="189">
        <v>7.2871432566046102E-3</v>
      </c>
      <c r="N247" s="189">
        <v>2.5944231498060102E-2</v>
      </c>
      <c r="O247" s="189">
        <v>0.83626144948009495</v>
      </c>
      <c r="P247" s="189">
        <v>1.0012682626865199</v>
      </c>
      <c r="Q247" s="189">
        <v>1.0299408001068299E-2</v>
      </c>
      <c r="R247" s="189">
        <v>0.316446082852267</v>
      </c>
      <c r="S247" s="189">
        <v>3.80982019454486E-2</v>
      </c>
      <c r="T247" s="189">
        <v>6.1310054150836804</v>
      </c>
      <c r="U247" s="189">
        <v>5.4365282798304699</v>
      </c>
      <c r="V247" s="189">
        <v>0.530018375289391</v>
      </c>
      <c r="W247" s="189"/>
      <c r="X247" s="90"/>
      <c r="Y247" s="188"/>
      <c r="Z247" s="188"/>
      <c r="AA247" s="188"/>
      <c r="AB247" s="188"/>
      <c r="AC247" s="188"/>
      <c r="AD247" s="190"/>
      <c r="AE247" s="189"/>
    </row>
    <row r="248" spans="1:31" ht="21.25" customHeight="1" x14ac:dyDescent="0.15">
      <c r="A248" s="9" t="s">
        <v>411</v>
      </c>
      <c r="B248" s="186" t="s">
        <v>851</v>
      </c>
      <c r="C248" s="187">
        <v>27</v>
      </c>
      <c r="D248" s="186" t="s">
        <v>866</v>
      </c>
      <c r="E248" s="90">
        <v>79.465000000000003</v>
      </c>
      <c r="F248" s="188">
        <v>15.9187168299727</v>
      </c>
      <c r="G248" s="189">
        <v>0.24970284874926801</v>
      </c>
      <c r="H248" s="189">
        <v>0.22941400373761101</v>
      </c>
      <c r="I248" s="189">
        <v>0.47911685248687902</v>
      </c>
      <c r="J248" s="189">
        <v>1.9162382319622</v>
      </c>
      <c r="K248" s="189">
        <v>4.6228603966916297E-2</v>
      </c>
      <c r="L248" s="189">
        <v>7.3731541659403793E-2</v>
      </c>
      <c r="M248" s="189">
        <v>3.5587124982833802E-3</v>
      </c>
      <c r="N248" s="189">
        <v>1.06759743798288E-2</v>
      </c>
      <c r="O248" s="189">
        <v>0.65971272346768906</v>
      </c>
      <c r="P248" s="189">
        <v>2.0387985510417099</v>
      </c>
      <c r="Q248" s="189">
        <v>-2.09459433877609E-3</v>
      </c>
      <c r="R248" s="189">
        <v>0.47369735471329999</v>
      </c>
      <c r="S248" s="189">
        <v>3.6538866248583102E-2</v>
      </c>
      <c r="T248" s="189">
        <v>0.34516321127659599</v>
      </c>
      <c r="U248" s="189">
        <v>0.64514409962587005</v>
      </c>
      <c r="V248" s="189">
        <v>0.34854151582709098</v>
      </c>
      <c r="W248" s="189"/>
      <c r="X248" s="90"/>
      <c r="Y248" s="188"/>
      <c r="Z248" s="188"/>
      <c r="AA248" s="188"/>
      <c r="AB248" s="188"/>
      <c r="AC248" s="188"/>
      <c r="AD248" s="190"/>
      <c r="AE248" s="189"/>
    </row>
    <row r="249" spans="1:31" ht="21.25" customHeight="1" x14ac:dyDescent="0.15">
      <c r="A249" s="9" t="s">
        <v>526</v>
      </c>
      <c r="B249" s="186" t="s">
        <v>831</v>
      </c>
      <c r="C249" s="187">
        <v>23</v>
      </c>
      <c r="D249" s="186" t="s">
        <v>817</v>
      </c>
      <c r="E249" s="90">
        <v>74.402500000000003</v>
      </c>
      <c r="F249" s="188">
        <v>14.2027660857726</v>
      </c>
      <c r="G249" s="189">
        <v>0.24224944478041599</v>
      </c>
      <c r="H249" s="189">
        <v>0.23566881492702799</v>
      </c>
      <c r="I249" s="189">
        <v>0.477918259707444</v>
      </c>
      <c r="J249" s="189">
        <v>1.56943086995631</v>
      </c>
      <c r="K249" s="189">
        <v>1.84668390352986E-2</v>
      </c>
      <c r="L249" s="189">
        <v>4.5087024232619698E-2</v>
      </c>
      <c r="M249" s="189">
        <v>4.2859129025363897E-5</v>
      </c>
      <c r="N249" s="189">
        <v>7.2689898872614506E-5</v>
      </c>
      <c r="O249" s="189">
        <v>0.33258106299338502</v>
      </c>
      <c r="P249" s="189">
        <v>0.51332980608772805</v>
      </c>
      <c r="Q249" s="189">
        <v>4.76364574324026E-2</v>
      </c>
      <c r="R249" s="189">
        <v>0.28508830803980301</v>
      </c>
      <c r="S249" s="189">
        <v>3.9597683351508303E-2</v>
      </c>
      <c r="T249" s="189">
        <v>0.102780984314678</v>
      </c>
      <c r="U249" s="189">
        <v>0.19494071829141099</v>
      </c>
      <c r="V249" s="189">
        <v>0.34522503201812499</v>
      </c>
      <c r="W249" s="189"/>
      <c r="X249" s="90"/>
      <c r="Y249" s="188"/>
      <c r="Z249" s="188"/>
      <c r="AA249" s="188"/>
      <c r="AB249" s="188"/>
      <c r="AC249" s="188"/>
      <c r="AD249" s="190"/>
      <c r="AE249" s="189"/>
    </row>
    <row r="250" spans="1:31" ht="21.25" customHeight="1" x14ac:dyDescent="0.15">
      <c r="A250" s="9" t="s">
        <v>516</v>
      </c>
      <c r="B250" s="186" t="s">
        <v>845</v>
      </c>
      <c r="C250" s="187">
        <v>29</v>
      </c>
      <c r="D250" s="186" t="s">
        <v>817</v>
      </c>
      <c r="E250" s="90">
        <v>74.047499999999999</v>
      </c>
      <c r="F250" s="188">
        <v>13.8291653734943</v>
      </c>
      <c r="G250" s="189">
        <v>0.22124488846806301</v>
      </c>
      <c r="H250" s="189">
        <v>0.251764594259418</v>
      </c>
      <c r="I250" s="189">
        <v>0.473009482727481</v>
      </c>
      <c r="J250" s="189">
        <v>1.57414789929245</v>
      </c>
      <c r="K250" s="189">
        <v>2.2913665264014602E-2</v>
      </c>
      <c r="L250" s="189">
        <v>6.1047011825566599E-2</v>
      </c>
      <c r="M250" s="189">
        <v>4.37831877336228E-5</v>
      </c>
      <c r="N250" s="189">
        <v>7.4278824202425096E-5</v>
      </c>
      <c r="O250" s="189">
        <v>0.398249733787156</v>
      </c>
      <c r="P250" s="189">
        <v>0.85563742877358295</v>
      </c>
      <c r="Q250" s="189">
        <v>1.8949619069171E-2</v>
      </c>
      <c r="R250" s="189">
        <v>0.36391373051472697</v>
      </c>
      <c r="S250" s="189">
        <v>3.2143293336439401E-2</v>
      </c>
      <c r="T250" s="189">
        <v>6.8131944635069996E-2</v>
      </c>
      <c r="U250" s="189">
        <v>8.7212559937119002E-2</v>
      </c>
      <c r="V250" s="189">
        <v>0.43858612715462297</v>
      </c>
      <c r="W250" s="189"/>
      <c r="X250" s="90"/>
      <c r="Y250" s="188"/>
      <c r="Z250" s="188"/>
      <c r="AA250" s="188"/>
      <c r="AB250" s="188"/>
      <c r="AC250" s="188"/>
      <c r="AD250" s="190"/>
      <c r="AE250" s="189"/>
    </row>
    <row r="251" spans="1:31" ht="21.25" customHeight="1" x14ac:dyDescent="0.15">
      <c r="A251" s="9" t="s">
        <v>305</v>
      </c>
      <c r="B251" s="186" t="s">
        <v>828</v>
      </c>
      <c r="C251" s="187">
        <v>30</v>
      </c>
      <c r="D251" s="186" t="s">
        <v>818</v>
      </c>
      <c r="E251" s="90">
        <v>79.057500000000005</v>
      </c>
      <c r="F251" s="188">
        <v>23.2622512794598</v>
      </c>
      <c r="G251" s="189">
        <v>8.0799479460685594E-2</v>
      </c>
      <c r="H251" s="189">
        <v>0.38937932475327602</v>
      </c>
      <c r="I251" s="189">
        <v>0.47017880421396202</v>
      </c>
      <c r="J251" s="189">
        <v>1.6262773493576601</v>
      </c>
      <c r="K251" s="189">
        <v>1.2858617243102E-2</v>
      </c>
      <c r="L251" s="189">
        <v>0.112436457962286</v>
      </c>
      <c r="M251" s="189">
        <v>3.2782170442119499E-4</v>
      </c>
      <c r="N251" s="189">
        <v>3.32912632552866E-3</v>
      </c>
      <c r="O251" s="189">
        <v>1.40991795841596</v>
      </c>
      <c r="P251" s="189">
        <v>0.87628735013825099</v>
      </c>
      <c r="Q251" s="189">
        <v>5.5267323775242898E-2</v>
      </c>
      <c r="R251" s="189">
        <v>0.67617793219365196</v>
      </c>
      <c r="S251" s="189">
        <v>1.2584819335838399E-2</v>
      </c>
      <c r="T251" s="189">
        <v>0</v>
      </c>
      <c r="U251" s="189">
        <v>0</v>
      </c>
      <c r="V251" s="189">
        <v>0</v>
      </c>
      <c r="W251" s="189"/>
      <c r="X251" s="90"/>
      <c r="Y251" s="188"/>
      <c r="Z251" s="188"/>
      <c r="AA251" s="188"/>
      <c r="AB251" s="188"/>
      <c r="AC251" s="188"/>
      <c r="AD251" s="190"/>
      <c r="AE251" s="189"/>
    </row>
    <row r="252" spans="1:31" ht="21.25" customHeight="1" x14ac:dyDescent="0.15">
      <c r="A252" s="9" t="s">
        <v>589</v>
      </c>
      <c r="B252" s="186" t="s">
        <v>840</v>
      </c>
      <c r="C252" s="187">
        <v>22</v>
      </c>
      <c r="D252" s="186" t="s">
        <v>815</v>
      </c>
      <c r="E252" s="90">
        <v>71.13</v>
      </c>
      <c r="F252" s="188">
        <v>15.617464266201701</v>
      </c>
      <c r="G252" s="189">
        <v>0.209611939094688</v>
      </c>
      <c r="H252" s="189">
        <v>0.26018809358122302</v>
      </c>
      <c r="I252" s="189">
        <v>0.46980003267591097</v>
      </c>
      <c r="J252" s="189">
        <v>1.54420215272786</v>
      </c>
      <c r="K252" s="189">
        <v>4.0434417962982701E-2</v>
      </c>
      <c r="L252" s="189">
        <v>8.6974931763588295E-2</v>
      </c>
      <c r="M252" s="189">
        <v>1.6861236892150699E-2</v>
      </c>
      <c r="N252" s="189">
        <v>2.0036961318742798E-2</v>
      </c>
      <c r="O252" s="189">
        <v>0.56314257495965203</v>
      </c>
      <c r="P252" s="189">
        <v>1.6674395551649399</v>
      </c>
      <c r="Q252" s="189">
        <v>1.2313434824726299E-2</v>
      </c>
      <c r="R252" s="189">
        <v>0.76878583260011002</v>
      </c>
      <c r="S252" s="189">
        <v>3.25452382622895E-2</v>
      </c>
      <c r="T252" s="189">
        <v>2.8491555492769298</v>
      </c>
      <c r="U252" s="189">
        <v>3.7564054281408201</v>
      </c>
      <c r="V252" s="189">
        <v>0.43132681070044698</v>
      </c>
      <c r="W252" s="189"/>
      <c r="X252" s="90"/>
      <c r="Y252" s="188"/>
      <c r="Z252" s="188"/>
      <c r="AA252" s="188"/>
      <c r="AB252" s="188"/>
      <c r="AC252" s="188"/>
      <c r="AD252" s="190"/>
      <c r="AE252" s="189"/>
    </row>
    <row r="253" spans="1:31" ht="21.25" customHeight="1" x14ac:dyDescent="0.15">
      <c r="A253" s="9" t="s">
        <v>568</v>
      </c>
      <c r="B253" s="186" t="s">
        <v>841</v>
      </c>
      <c r="C253" s="187">
        <v>29</v>
      </c>
      <c r="D253" s="186" t="s">
        <v>816</v>
      </c>
      <c r="E253" s="90">
        <v>74.564999999999998</v>
      </c>
      <c r="F253" s="188">
        <v>13.4907216431418</v>
      </c>
      <c r="G253" s="189">
        <v>0.24716911992649401</v>
      </c>
      <c r="H253" s="189">
        <v>0.222052525767061</v>
      </c>
      <c r="I253" s="189">
        <v>0.46922164569355501</v>
      </c>
      <c r="J253" s="189">
        <v>1.68538180006289</v>
      </c>
      <c r="K253" s="189">
        <v>3.1646468545948998E-2</v>
      </c>
      <c r="L253" s="189">
        <v>6.19527613889784E-2</v>
      </c>
      <c r="M253" s="189">
        <v>3.9397529998441397E-5</v>
      </c>
      <c r="N253" s="189">
        <v>1.26213378276664E-4</v>
      </c>
      <c r="O253" s="189">
        <v>0.26059347925959098</v>
      </c>
      <c r="P253" s="189">
        <v>0.51308394550667102</v>
      </c>
      <c r="Q253" s="189">
        <v>-3.2647003536130398E-2</v>
      </c>
      <c r="R253" s="189">
        <v>0.14121783803177199</v>
      </c>
      <c r="S253" s="189">
        <v>3.7594741731929497E-2</v>
      </c>
      <c r="T253" s="189">
        <v>3.1181232589156198E-3</v>
      </c>
      <c r="U253" s="189">
        <v>4.1574543684348202E-2</v>
      </c>
      <c r="V253" s="189">
        <v>6.97681179526385E-2</v>
      </c>
      <c r="W253" s="189"/>
      <c r="X253" s="90"/>
      <c r="Y253" s="188"/>
      <c r="Z253" s="188"/>
      <c r="AA253" s="188"/>
      <c r="AB253" s="188"/>
      <c r="AC253" s="188"/>
      <c r="AD253" s="190"/>
      <c r="AE253" s="189"/>
    </row>
    <row r="254" spans="1:31" ht="21.25" customHeight="1" x14ac:dyDescent="0.15">
      <c r="A254" s="9" t="s">
        <v>502</v>
      </c>
      <c r="B254" s="186" t="s">
        <v>835</v>
      </c>
      <c r="C254" s="187">
        <v>29</v>
      </c>
      <c r="D254" s="186" t="s">
        <v>816</v>
      </c>
      <c r="E254" s="90">
        <v>77.672499999999999</v>
      </c>
      <c r="F254" s="188">
        <v>14.2847206261425</v>
      </c>
      <c r="G254" s="189">
        <v>0.207069818408957</v>
      </c>
      <c r="H254" s="189">
        <v>0.25891296616645598</v>
      </c>
      <c r="I254" s="189">
        <v>0.46598278457541298</v>
      </c>
      <c r="J254" s="189">
        <v>1.6881861352940599</v>
      </c>
      <c r="K254" s="189">
        <v>6.9843259901227698E-3</v>
      </c>
      <c r="L254" s="189">
        <v>1.1717106875112199E-2</v>
      </c>
      <c r="M254" s="189">
        <v>1.00448161039205E-2</v>
      </c>
      <c r="N254" s="189">
        <v>1.14755773504224E-2</v>
      </c>
      <c r="O254" s="189">
        <v>0.58678154746035505</v>
      </c>
      <c r="P254" s="189">
        <v>1.2461736191764901</v>
      </c>
      <c r="Q254" s="189">
        <v>3.6247679300715603E-2</v>
      </c>
      <c r="R254" s="189">
        <v>0.32444804561002399</v>
      </c>
      <c r="S254" s="189">
        <v>3.5362183294798802E-2</v>
      </c>
      <c r="T254" s="189">
        <v>9.6729345020194299E-2</v>
      </c>
      <c r="U254" s="189">
        <v>0.23531687678233401</v>
      </c>
      <c r="V254" s="189">
        <v>0.29131289160615798</v>
      </c>
      <c r="W254" s="189"/>
      <c r="X254" s="90"/>
      <c r="Y254" s="189"/>
      <c r="Z254" s="189"/>
      <c r="AA254" s="189"/>
      <c r="AB254" s="189"/>
      <c r="AC254" s="188"/>
      <c r="AD254" s="190"/>
      <c r="AE254" s="189"/>
    </row>
    <row r="255" spans="1:31" ht="21.25" customHeight="1" x14ac:dyDescent="0.15">
      <c r="A255" s="9" t="s">
        <v>528</v>
      </c>
      <c r="B255" s="186" t="s">
        <v>826</v>
      </c>
      <c r="C255" s="187">
        <v>28</v>
      </c>
      <c r="D255" s="186" t="s">
        <v>816</v>
      </c>
      <c r="E255" s="90">
        <v>69.89</v>
      </c>
      <c r="F255" s="188">
        <v>13.6068579773954</v>
      </c>
      <c r="G255" s="189">
        <v>0.25059871613194101</v>
      </c>
      <c r="H255" s="189">
        <v>0.21459803573093</v>
      </c>
      <c r="I255" s="189">
        <v>0.46519675186287102</v>
      </c>
      <c r="J255" s="189">
        <v>2.2916134364947198</v>
      </c>
      <c r="K255" s="189">
        <v>8.7625327312378706E-3</v>
      </c>
      <c r="L255" s="189">
        <v>1.5139775592146E-2</v>
      </c>
      <c r="M255" s="189">
        <v>1.9867129940397102E-3</v>
      </c>
      <c r="N255" s="189">
        <v>3.3556668458716498E-3</v>
      </c>
      <c r="O255" s="189">
        <v>0.39815690514489499</v>
      </c>
      <c r="P255" s="189">
        <v>2.14739740200609</v>
      </c>
      <c r="Q255" s="189">
        <v>7.6430780210988203E-2</v>
      </c>
      <c r="R255" s="189">
        <v>0.49983380268441102</v>
      </c>
      <c r="S255" s="189">
        <v>4.00913024484175E-2</v>
      </c>
      <c r="T255" s="189">
        <v>0.12451733520189</v>
      </c>
      <c r="U255" s="189">
        <v>8.7221726124606394E-2</v>
      </c>
      <c r="V255" s="189">
        <v>0.58806974217141395</v>
      </c>
      <c r="W255" s="189"/>
      <c r="X255" s="90"/>
      <c r="Y255" s="188"/>
      <c r="Z255" s="188"/>
      <c r="AA255" s="188"/>
      <c r="AB255" s="188"/>
      <c r="AC255" s="188"/>
      <c r="AD255" s="190"/>
      <c r="AE255" s="189"/>
    </row>
    <row r="256" spans="1:31" ht="21.25" customHeight="1" x14ac:dyDescent="0.15">
      <c r="A256" s="9" t="s">
        <v>608</v>
      </c>
      <c r="B256" s="186" t="s">
        <v>852</v>
      </c>
      <c r="C256" s="187">
        <v>21</v>
      </c>
      <c r="D256" s="186" t="s">
        <v>815</v>
      </c>
      <c r="E256" s="90">
        <v>70.517499999999998</v>
      </c>
      <c r="F256" s="188">
        <v>13.9842743888701</v>
      </c>
      <c r="G256" s="189">
        <v>0.18473092865377</v>
      </c>
      <c r="H256" s="189">
        <v>0.279881010734087</v>
      </c>
      <c r="I256" s="189">
        <v>0.464611939387857</v>
      </c>
      <c r="J256" s="189">
        <v>1.53071766383442</v>
      </c>
      <c r="K256" s="189">
        <v>3.3160459793689798E-2</v>
      </c>
      <c r="L256" s="189">
        <v>9.8915352984987007E-2</v>
      </c>
      <c r="M256" s="189">
        <v>0</v>
      </c>
      <c r="N256" s="189">
        <v>0</v>
      </c>
      <c r="O256" s="189">
        <v>0.39873371825686199</v>
      </c>
      <c r="P256" s="189">
        <v>0.418994997903674</v>
      </c>
      <c r="Q256" s="189">
        <v>-8.5609996737008906E-2</v>
      </c>
      <c r="R256" s="189">
        <v>0.255488946712702</v>
      </c>
      <c r="S256" s="189">
        <v>2.0428349509690601E-2</v>
      </c>
      <c r="T256" s="189">
        <v>0.26311641831907601</v>
      </c>
      <c r="U256" s="189">
        <v>0.55813980432851595</v>
      </c>
      <c r="V256" s="189">
        <v>0.32038286111346997</v>
      </c>
      <c r="W256" s="189"/>
      <c r="X256" s="90"/>
      <c r="Y256" s="188"/>
      <c r="Z256" s="188"/>
      <c r="AA256" s="188"/>
      <c r="AB256" s="188"/>
      <c r="AC256" s="188"/>
      <c r="AD256" s="190"/>
      <c r="AE256" s="189"/>
    </row>
    <row r="257" spans="1:31" ht="21.25" customHeight="1" x14ac:dyDescent="0.15">
      <c r="A257" s="9" t="s">
        <v>529</v>
      </c>
      <c r="B257" s="186" t="s">
        <v>842</v>
      </c>
      <c r="C257" s="187">
        <v>25</v>
      </c>
      <c r="D257" s="186" t="s">
        <v>815</v>
      </c>
      <c r="E257" s="90">
        <v>77.012500000000003</v>
      </c>
      <c r="F257" s="188">
        <v>15.3127882784525</v>
      </c>
      <c r="G257" s="189">
        <v>0.18696686164035001</v>
      </c>
      <c r="H257" s="189">
        <v>0.2773052279257</v>
      </c>
      <c r="I257" s="189">
        <v>0.46427208956604998</v>
      </c>
      <c r="J257" s="189">
        <v>1.47290929960913</v>
      </c>
      <c r="K257" s="189">
        <v>2.8203281165718498E-3</v>
      </c>
      <c r="L257" s="189">
        <v>9.3894593675389101E-3</v>
      </c>
      <c r="M257" s="189">
        <v>1.9814647211083701E-3</v>
      </c>
      <c r="N257" s="189">
        <v>1.8039664338635401E-2</v>
      </c>
      <c r="O257" s="189">
        <v>0.92421806884025604</v>
      </c>
      <c r="P257" s="189">
        <v>1.6802839564076599</v>
      </c>
      <c r="Q257" s="189">
        <v>-3.6207493096745001E-2</v>
      </c>
      <c r="R257" s="189">
        <v>0.61177784396578905</v>
      </c>
      <c r="S257" s="189">
        <v>2.56785270678948E-2</v>
      </c>
      <c r="T257" s="189">
        <v>1.8109523968648</v>
      </c>
      <c r="U257" s="189">
        <v>1.84435026682756</v>
      </c>
      <c r="V257" s="189">
        <v>0.49543158624120198</v>
      </c>
      <c r="W257" s="189"/>
      <c r="X257" s="90"/>
      <c r="Y257" s="188"/>
      <c r="Z257" s="188"/>
      <c r="AA257" s="188"/>
      <c r="AB257" s="188"/>
      <c r="AC257" s="188"/>
      <c r="AD257" s="190"/>
      <c r="AE257" s="189"/>
    </row>
    <row r="258" spans="1:31" ht="21.25" customHeight="1" x14ac:dyDescent="0.15">
      <c r="A258" s="9" t="s">
        <v>523</v>
      </c>
      <c r="B258" s="186" t="s">
        <v>839</v>
      </c>
      <c r="C258" s="187">
        <v>26</v>
      </c>
      <c r="D258" s="186" t="s">
        <v>816</v>
      </c>
      <c r="E258" s="90">
        <v>70.547499999999999</v>
      </c>
      <c r="F258" s="188">
        <v>15.4189461740625</v>
      </c>
      <c r="G258" s="189">
        <v>0.21695844813736501</v>
      </c>
      <c r="H258" s="189">
        <v>0.246360422684504</v>
      </c>
      <c r="I258" s="189">
        <v>0.46331887082186901</v>
      </c>
      <c r="J258" s="189">
        <v>1.96644817743506</v>
      </c>
      <c r="K258" s="189">
        <v>9.02333785411572E-4</v>
      </c>
      <c r="L258" s="189">
        <v>2.0869243648122498E-3</v>
      </c>
      <c r="M258" s="189">
        <v>1.4251010548577E-2</v>
      </c>
      <c r="N258" s="189">
        <v>2.8271345460968701E-2</v>
      </c>
      <c r="O258" s="189">
        <v>0.69245928240209498</v>
      </c>
      <c r="P258" s="189">
        <v>0.85696949875797002</v>
      </c>
      <c r="Q258" s="189">
        <v>2.5662722567977398E-3</v>
      </c>
      <c r="R258" s="189">
        <v>0.31706003060453303</v>
      </c>
      <c r="S258" s="189">
        <v>3.2162550010818698E-2</v>
      </c>
      <c r="T258" s="189">
        <v>0.32421934986621498</v>
      </c>
      <c r="U258" s="189">
        <v>0.38614358183025299</v>
      </c>
      <c r="V258" s="189">
        <v>0.456413666028327</v>
      </c>
      <c r="W258" s="189"/>
      <c r="X258" s="90"/>
      <c r="Y258" s="188"/>
      <c r="Z258" s="188"/>
      <c r="AA258" s="188"/>
      <c r="AB258" s="188"/>
      <c r="AC258" s="188"/>
      <c r="AD258" s="190"/>
      <c r="AE258" s="189"/>
    </row>
    <row r="259" spans="1:31" ht="21.25" customHeight="1" x14ac:dyDescent="0.15">
      <c r="A259" s="9" t="s">
        <v>628</v>
      </c>
      <c r="B259" s="186" t="s">
        <v>830</v>
      </c>
      <c r="C259" s="187">
        <v>23</v>
      </c>
      <c r="D259" s="186" t="s">
        <v>815</v>
      </c>
      <c r="E259" s="90">
        <v>67.14</v>
      </c>
      <c r="F259" s="188">
        <v>13.0759227716082</v>
      </c>
      <c r="G259" s="189">
        <v>0.16178122226646799</v>
      </c>
      <c r="H259" s="189">
        <v>0.30097011767604098</v>
      </c>
      <c r="I259" s="189">
        <v>0.462751339942509</v>
      </c>
      <c r="J259" s="189">
        <v>1.60992828055739</v>
      </c>
      <c r="K259" s="189">
        <v>1.8481994451472802E-2</v>
      </c>
      <c r="L259" s="189">
        <v>5.3832400617256901E-2</v>
      </c>
      <c r="M259" s="189">
        <v>3.9024047808476302E-6</v>
      </c>
      <c r="N259" s="189">
        <v>6.5040878239147698E-6</v>
      </c>
      <c r="O259" s="189">
        <v>0.46816661441311702</v>
      </c>
      <c r="P259" s="189">
        <v>0.65602276150432204</v>
      </c>
      <c r="Q259" s="189">
        <v>1.52499724460032E-2</v>
      </c>
      <c r="R259" s="189">
        <v>0.24737633218945099</v>
      </c>
      <c r="S259" s="189">
        <v>2.2907059487531699E-2</v>
      </c>
      <c r="T259" s="189">
        <v>0.195907814659639</v>
      </c>
      <c r="U259" s="189">
        <v>0.36001168519367899</v>
      </c>
      <c r="V259" s="189">
        <v>0.35240320713939799</v>
      </c>
      <c r="W259" s="189"/>
      <c r="X259" s="90"/>
      <c r="Y259" s="188"/>
      <c r="Z259" s="188"/>
      <c r="AA259" s="188"/>
      <c r="AB259" s="188"/>
      <c r="AC259" s="188"/>
      <c r="AD259" s="190"/>
      <c r="AE259" s="189"/>
    </row>
    <row r="260" spans="1:31" ht="21.25" customHeight="1" x14ac:dyDescent="0.15">
      <c r="A260" s="9" t="s">
        <v>491</v>
      </c>
      <c r="B260" s="186" t="s">
        <v>841</v>
      </c>
      <c r="C260" s="187">
        <v>27</v>
      </c>
      <c r="D260" s="186" t="s">
        <v>867</v>
      </c>
      <c r="E260" s="90">
        <v>77.162499999999994</v>
      </c>
      <c r="F260" s="188">
        <v>14.653999081503001</v>
      </c>
      <c r="G260" s="189">
        <v>0.17554273643075599</v>
      </c>
      <c r="H260" s="189">
        <v>0.286765056877129</v>
      </c>
      <c r="I260" s="189">
        <v>0.46230779330788502</v>
      </c>
      <c r="J260" s="189">
        <v>1.51024198741053</v>
      </c>
      <c r="K260" s="189">
        <v>1.5453296647553299E-2</v>
      </c>
      <c r="L260" s="189">
        <v>5.1793243169675401E-2</v>
      </c>
      <c r="M260" s="189">
        <v>6.9090308950307804E-3</v>
      </c>
      <c r="N260" s="189">
        <v>1.3142273757961899E-2</v>
      </c>
      <c r="O260" s="189">
        <v>0.51282828494487898</v>
      </c>
      <c r="P260" s="189">
        <v>1.0933029465740001</v>
      </c>
      <c r="Q260" s="189">
        <v>3.4396467287130403E-2</v>
      </c>
      <c r="R260" s="189">
        <v>0.415049521260412</v>
      </c>
      <c r="S260" s="189">
        <v>2.6700276478684198E-2</v>
      </c>
      <c r="T260" s="189">
        <v>5.0070511366723398</v>
      </c>
      <c r="U260" s="189">
        <v>5.4792436965335698</v>
      </c>
      <c r="V260" s="189">
        <v>0.477485252542872</v>
      </c>
      <c r="W260" s="189"/>
      <c r="X260" s="90"/>
      <c r="Y260" s="188"/>
      <c r="Z260" s="188"/>
      <c r="AA260" s="188"/>
      <c r="AB260" s="188"/>
      <c r="AC260" s="188"/>
      <c r="AD260" s="190"/>
      <c r="AE260" s="189"/>
    </row>
    <row r="261" spans="1:31" ht="21.25" customHeight="1" x14ac:dyDescent="0.15">
      <c r="A261" s="9" t="s">
        <v>407</v>
      </c>
      <c r="B261" s="186" t="s">
        <v>859</v>
      </c>
      <c r="C261" s="187">
        <v>25</v>
      </c>
      <c r="D261" s="186" t="s">
        <v>866</v>
      </c>
      <c r="E261" s="90">
        <v>76.767499999999998</v>
      </c>
      <c r="F261" s="188">
        <v>16.111314858347502</v>
      </c>
      <c r="G261" s="189">
        <v>0.205714525840619</v>
      </c>
      <c r="H261" s="189">
        <v>0.25584594066384397</v>
      </c>
      <c r="I261" s="189">
        <v>0.46156046650446297</v>
      </c>
      <c r="J261" s="189">
        <v>2.16281237211706</v>
      </c>
      <c r="K261" s="189">
        <v>5.0795957412942301E-2</v>
      </c>
      <c r="L261" s="189">
        <v>0.13655113142469599</v>
      </c>
      <c r="M261" s="189">
        <v>3.3339856524677502E-3</v>
      </c>
      <c r="N261" s="189">
        <v>3.7944964156265402E-3</v>
      </c>
      <c r="O261" s="189">
        <v>0.64889544998854398</v>
      </c>
      <c r="P261" s="189">
        <v>1.11398796381895</v>
      </c>
      <c r="Q261" s="189">
        <v>-0.126408032213773</v>
      </c>
      <c r="R261" s="189">
        <v>0.33649889366665497</v>
      </c>
      <c r="S261" s="189">
        <v>2.19723942025273E-2</v>
      </c>
      <c r="T261" s="189">
        <v>0.300765958602003</v>
      </c>
      <c r="U261" s="189">
        <v>0.51155455686509799</v>
      </c>
      <c r="V261" s="189">
        <v>0.37025527839716899</v>
      </c>
      <c r="W261" s="189"/>
      <c r="X261" s="90"/>
      <c r="Y261" s="188"/>
      <c r="Z261" s="188"/>
      <c r="AA261" s="188"/>
      <c r="AB261" s="188"/>
      <c r="AC261" s="188"/>
      <c r="AD261" s="190"/>
      <c r="AE261" s="189"/>
    </row>
    <row r="262" spans="1:31" ht="21.25" customHeight="1" x14ac:dyDescent="0.15">
      <c r="A262" s="9" t="s">
        <v>311</v>
      </c>
      <c r="B262" s="186" t="s">
        <v>834</v>
      </c>
      <c r="C262" s="187">
        <v>21</v>
      </c>
      <c r="D262" s="186" t="s">
        <v>818</v>
      </c>
      <c r="E262" s="90">
        <v>80.152500000000003</v>
      </c>
      <c r="F262" s="188">
        <v>22.6385861874166</v>
      </c>
      <c r="G262" s="189">
        <v>8.2961005964804699E-2</v>
      </c>
      <c r="H262" s="189">
        <v>0.37754996477321001</v>
      </c>
      <c r="I262" s="189">
        <v>0.460510970738015</v>
      </c>
      <c r="J262" s="189">
        <v>1.5069308002024999</v>
      </c>
      <c r="K262" s="189">
        <v>2.6630967409513101E-3</v>
      </c>
      <c r="L262" s="189">
        <v>8.3115070646864894E-2</v>
      </c>
      <c r="M262" s="189">
        <v>5.0607273298224E-4</v>
      </c>
      <c r="N262" s="189">
        <v>1.29946039893382E-2</v>
      </c>
      <c r="O262" s="189">
        <v>1.42717344416966</v>
      </c>
      <c r="P262" s="189">
        <v>0.68739416312056101</v>
      </c>
      <c r="Q262" s="189">
        <v>1.6209094258464801E-3</v>
      </c>
      <c r="R262" s="189">
        <v>0.32945741863542899</v>
      </c>
      <c r="S262" s="189">
        <v>1.17352852592E-2</v>
      </c>
      <c r="T262" s="189">
        <v>0</v>
      </c>
      <c r="U262" s="189">
        <v>0</v>
      </c>
      <c r="V262" s="189">
        <v>0</v>
      </c>
      <c r="W262" s="189"/>
      <c r="X262" s="90"/>
      <c r="Y262" s="188"/>
      <c r="Z262" s="188"/>
      <c r="AA262" s="188"/>
      <c r="AB262" s="188"/>
      <c r="AC262" s="188"/>
      <c r="AD262" s="190"/>
      <c r="AE262" s="189"/>
    </row>
    <row r="263" spans="1:31" ht="21.25" customHeight="1" x14ac:dyDescent="0.15">
      <c r="A263" s="9" t="s">
        <v>393</v>
      </c>
      <c r="B263" s="186" t="s">
        <v>845</v>
      </c>
      <c r="C263" s="187">
        <v>35</v>
      </c>
      <c r="D263" s="186" t="s">
        <v>865</v>
      </c>
      <c r="E263" s="90">
        <v>82.03</v>
      </c>
      <c r="F263" s="188">
        <v>18.364558707445202</v>
      </c>
      <c r="G263" s="189">
        <v>0.15662896682691099</v>
      </c>
      <c r="H263" s="189">
        <v>0.30251892232136701</v>
      </c>
      <c r="I263" s="189">
        <v>0.45914788914827798</v>
      </c>
      <c r="J263" s="189">
        <v>2.5347633199636199</v>
      </c>
      <c r="K263" s="189">
        <v>2.17884880553115E-2</v>
      </c>
      <c r="L263" s="189">
        <v>5.8518334636252702E-2</v>
      </c>
      <c r="M263" s="189">
        <v>8.8873955339084602E-3</v>
      </c>
      <c r="N263" s="189">
        <v>2.507905204524E-2</v>
      </c>
      <c r="O263" s="189">
        <v>0.41685305937524902</v>
      </c>
      <c r="P263" s="189">
        <v>0.92553857662291605</v>
      </c>
      <c r="Q263" s="189">
        <v>-1.7762574379726299E-2</v>
      </c>
      <c r="R263" s="189">
        <v>0.381569303708853</v>
      </c>
      <c r="S263" s="189">
        <v>2.2755648099086302E-2</v>
      </c>
      <c r="T263" s="189">
        <v>8.9077590365358095</v>
      </c>
      <c r="U263" s="189">
        <v>8.7173700754081604</v>
      </c>
      <c r="V263" s="189">
        <v>0.505401065714708</v>
      </c>
      <c r="W263" s="189"/>
      <c r="X263" s="90"/>
      <c r="Y263" s="188"/>
      <c r="Z263" s="188"/>
      <c r="AA263" s="188"/>
      <c r="AB263" s="188"/>
      <c r="AC263" s="188"/>
      <c r="AD263" s="190"/>
      <c r="AE263" s="189"/>
    </row>
    <row r="264" spans="1:31" ht="21.25" customHeight="1" x14ac:dyDescent="0.15">
      <c r="A264" s="9" t="s">
        <v>442</v>
      </c>
      <c r="B264" s="186" t="s">
        <v>832</v>
      </c>
      <c r="C264" s="187">
        <v>31</v>
      </c>
      <c r="D264" s="186" t="s">
        <v>865</v>
      </c>
      <c r="E264" s="90">
        <v>79.887500000000003</v>
      </c>
      <c r="F264" s="188">
        <v>14.8915787678441</v>
      </c>
      <c r="G264" s="189">
        <v>0.16471510535898501</v>
      </c>
      <c r="H264" s="189">
        <v>0.29365788197071901</v>
      </c>
      <c r="I264" s="189">
        <v>0.458372987329704</v>
      </c>
      <c r="J264" s="189">
        <v>2.2844418277252201</v>
      </c>
      <c r="K264" s="189">
        <v>4.2957730647534199E-2</v>
      </c>
      <c r="L264" s="189">
        <v>9.9754304929123003E-2</v>
      </c>
      <c r="M264" s="189">
        <v>1.8013874495034001E-4</v>
      </c>
      <c r="N264" s="189">
        <v>3.1238405571821598E-4</v>
      </c>
      <c r="O264" s="189">
        <v>0.36268250434414301</v>
      </c>
      <c r="P264" s="189">
        <v>1.02683459711495</v>
      </c>
      <c r="Q264" s="189">
        <v>8.0974390288896594E-2</v>
      </c>
      <c r="R264" s="189">
        <v>0.349763560377578</v>
      </c>
      <c r="S264" s="189">
        <v>2.80611503965272E-2</v>
      </c>
      <c r="T264" s="189">
        <v>0.78915150851952698</v>
      </c>
      <c r="U264" s="189">
        <v>0.81716204046451402</v>
      </c>
      <c r="V264" s="189">
        <v>0.49128111321643803</v>
      </c>
      <c r="W264" s="189"/>
      <c r="X264" s="90"/>
      <c r="Y264" s="188"/>
      <c r="Z264" s="188"/>
      <c r="AA264" s="188"/>
      <c r="AB264" s="188"/>
      <c r="AC264" s="188"/>
      <c r="AD264" s="190"/>
      <c r="AE264" s="189"/>
    </row>
    <row r="265" spans="1:31" ht="21.25" customHeight="1" x14ac:dyDescent="0.15">
      <c r="A265" s="9" t="s">
        <v>522</v>
      </c>
      <c r="B265" s="186" t="s">
        <v>829</v>
      </c>
      <c r="C265" s="187">
        <v>33</v>
      </c>
      <c r="D265" s="186" t="s">
        <v>816</v>
      </c>
      <c r="E265" s="90">
        <v>75.040000000000006</v>
      </c>
      <c r="F265" s="188">
        <v>15.747910134953001</v>
      </c>
      <c r="G265" s="189">
        <v>0.162243569765398</v>
      </c>
      <c r="H265" s="189">
        <v>0.29479394419583199</v>
      </c>
      <c r="I265" s="189">
        <v>0.45703751396122999</v>
      </c>
      <c r="J265" s="189">
        <v>1.5973652297385199</v>
      </c>
      <c r="K265" s="189">
        <v>1.7008681903675899E-2</v>
      </c>
      <c r="L265" s="189">
        <v>6.5347572851501001E-2</v>
      </c>
      <c r="M265" s="189">
        <v>1.5238949037935799E-3</v>
      </c>
      <c r="N265" s="189">
        <v>5.0712223605936697E-3</v>
      </c>
      <c r="O265" s="189">
        <v>0.69245186829797301</v>
      </c>
      <c r="P265" s="189">
        <v>1.2367217412594</v>
      </c>
      <c r="Q265" s="189">
        <v>5.6202385835698303E-2</v>
      </c>
      <c r="R265" s="189">
        <v>0.31967081766797401</v>
      </c>
      <c r="S265" s="189">
        <v>2.44787129236992E-2</v>
      </c>
      <c r="T265" s="189">
        <v>3.2138730464207801E-2</v>
      </c>
      <c r="U265" s="189">
        <v>0.200158508214032</v>
      </c>
      <c r="V265" s="189">
        <v>0.13835175418819301</v>
      </c>
      <c r="W265" s="189"/>
      <c r="X265" s="90"/>
      <c r="Y265" s="189"/>
      <c r="Z265" s="189"/>
      <c r="AA265" s="189"/>
      <c r="AB265" s="189"/>
      <c r="AC265" s="188"/>
      <c r="AD265" s="190"/>
      <c r="AE265" s="189"/>
    </row>
    <row r="266" spans="1:31" ht="21.25" customHeight="1" x14ac:dyDescent="0.15">
      <c r="A266" s="9" t="s">
        <v>603</v>
      </c>
      <c r="B266" s="186" t="s">
        <v>856</v>
      </c>
      <c r="C266" s="187">
        <v>23</v>
      </c>
      <c r="D266" s="186" t="s">
        <v>817</v>
      </c>
      <c r="E266" s="90">
        <v>64.617500000000007</v>
      </c>
      <c r="F266" s="188">
        <v>14.024352068116</v>
      </c>
      <c r="G266" s="189">
        <v>0.19988001861851101</v>
      </c>
      <c r="H266" s="189">
        <v>0.25540368126123397</v>
      </c>
      <c r="I266" s="189">
        <v>0.45528369987974499</v>
      </c>
      <c r="J266" s="189">
        <v>1.49573708581681</v>
      </c>
      <c r="K266" s="189">
        <v>3.2828877850704298E-2</v>
      </c>
      <c r="L266" s="189">
        <v>6.7108330788706497E-2</v>
      </c>
      <c r="M266" s="189">
        <v>6.9173724133789996E-5</v>
      </c>
      <c r="N266" s="189">
        <v>1.1665999016728099E-4</v>
      </c>
      <c r="O266" s="189">
        <v>0.43695142547480498</v>
      </c>
      <c r="P266" s="189">
        <v>0.76858940619565197</v>
      </c>
      <c r="Q266" s="189">
        <v>-2.7607433149231801E-2</v>
      </c>
      <c r="R266" s="189">
        <v>0.25323175116136498</v>
      </c>
      <c r="S266" s="189">
        <v>2.8972514156606999E-2</v>
      </c>
      <c r="T266" s="189">
        <v>7.9175796163297493E-2</v>
      </c>
      <c r="U266" s="189">
        <v>5.5034130578216899E-2</v>
      </c>
      <c r="V266" s="189">
        <v>0.58993994025336505</v>
      </c>
      <c r="W266" s="189"/>
      <c r="X266" s="90"/>
      <c r="Y266" s="188"/>
      <c r="Z266" s="188"/>
      <c r="AA266" s="188"/>
      <c r="AB266" s="188"/>
      <c r="AC266" s="188"/>
      <c r="AD266" s="190"/>
      <c r="AE266" s="189"/>
    </row>
    <row r="267" spans="1:31" ht="21.25" customHeight="1" x14ac:dyDescent="0.15">
      <c r="A267" s="9" t="s">
        <v>483</v>
      </c>
      <c r="B267" s="186" t="s">
        <v>844</v>
      </c>
      <c r="C267" s="187">
        <v>23</v>
      </c>
      <c r="D267" s="186" t="s">
        <v>815</v>
      </c>
      <c r="E267" s="90">
        <v>79.174999999999997</v>
      </c>
      <c r="F267" s="188">
        <v>16.3700698458297</v>
      </c>
      <c r="G267" s="189">
        <v>0.22801764512452999</v>
      </c>
      <c r="H267" s="189">
        <v>0.22526763910132799</v>
      </c>
      <c r="I267" s="189">
        <v>0.45328528422585801</v>
      </c>
      <c r="J267" s="189">
        <v>1.81865037461281</v>
      </c>
      <c r="K267" s="189">
        <v>2.5860601724674599E-2</v>
      </c>
      <c r="L267" s="189">
        <v>7.1459959470803497E-2</v>
      </c>
      <c r="M267" s="189">
        <v>1.5398261084219199E-2</v>
      </c>
      <c r="N267" s="189">
        <v>3.06400554010847E-2</v>
      </c>
      <c r="O267" s="189">
        <v>0.52046763343390401</v>
      </c>
      <c r="P267" s="189">
        <v>0.63696914437113294</v>
      </c>
      <c r="Q267" s="189">
        <v>-4.1700835930987397E-2</v>
      </c>
      <c r="R267" s="189">
        <v>0.41646715942331702</v>
      </c>
      <c r="S267" s="189">
        <v>3.2358562052138398E-2</v>
      </c>
      <c r="T267" s="189">
        <v>4.6411656400220904</v>
      </c>
      <c r="U267" s="189">
        <v>6.1129860063709502</v>
      </c>
      <c r="V267" s="189">
        <v>0.43156966654629098</v>
      </c>
      <c r="W267" s="189"/>
      <c r="X267" s="90"/>
      <c r="Y267" s="188"/>
      <c r="Z267" s="188"/>
      <c r="AA267" s="188"/>
      <c r="AB267" s="188"/>
      <c r="AC267" s="188"/>
      <c r="AD267" s="190"/>
      <c r="AE267" s="189"/>
    </row>
    <row r="268" spans="1:31" ht="21.25" customHeight="1" x14ac:dyDescent="0.15">
      <c r="A268" s="9" t="s">
        <v>410</v>
      </c>
      <c r="B268" s="186" t="s">
        <v>834</v>
      </c>
      <c r="C268" s="187">
        <v>23</v>
      </c>
      <c r="D268" s="186" t="s">
        <v>818</v>
      </c>
      <c r="E268" s="90">
        <v>69.732500000000002</v>
      </c>
      <c r="F268" s="188">
        <v>19.515039798718298</v>
      </c>
      <c r="G268" s="189">
        <v>0.15214337601522601</v>
      </c>
      <c r="H268" s="189">
        <v>0.30038194481754299</v>
      </c>
      <c r="I268" s="189">
        <v>0.45252532083276897</v>
      </c>
      <c r="J268" s="189">
        <v>1.27217792741837</v>
      </c>
      <c r="K268" s="189">
        <v>1.9404908748227898E-2</v>
      </c>
      <c r="L268" s="189">
        <v>7.4127386164178105E-2</v>
      </c>
      <c r="M268" s="189">
        <v>2.8401293683199E-3</v>
      </c>
      <c r="N268" s="189">
        <v>3.8529912868365802E-3</v>
      </c>
      <c r="O268" s="189">
        <v>1.3276778150327599</v>
      </c>
      <c r="P268" s="189">
        <v>1.30264577556399</v>
      </c>
      <c r="Q268" s="189">
        <v>-1.46131203721222E-2</v>
      </c>
      <c r="R268" s="189">
        <v>0.66828081810748796</v>
      </c>
      <c r="S268" s="189">
        <v>2.1521507569397798E-2</v>
      </c>
      <c r="T268" s="189">
        <v>0</v>
      </c>
      <c r="U268" s="189">
        <v>0</v>
      </c>
      <c r="V268" s="189">
        <v>0</v>
      </c>
      <c r="W268" s="189"/>
      <c r="X268" s="90"/>
      <c r="Y268" s="188"/>
      <c r="Z268" s="188"/>
      <c r="AA268" s="188"/>
      <c r="AB268" s="188"/>
      <c r="AC268" s="188"/>
      <c r="AD268" s="190"/>
      <c r="AE268" s="189"/>
    </row>
    <row r="269" spans="1:31" ht="21.25" customHeight="1" x14ac:dyDescent="0.15">
      <c r="A269" s="9" t="s">
        <v>515</v>
      </c>
      <c r="B269" s="186" t="s">
        <v>829</v>
      </c>
      <c r="C269" s="187">
        <v>31</v>
      </c>
      <c r="D269" s="186" t="s">
        <v>866</v>
      </c>
      <c r="E269" s="90">
        <v>73.302499999999995</v>
      </c>
      <c r="F269" s="188">
        <v>14.483167423396999</v>
      </c>
      <c r="G269" s="189">
        <v>0.16713891544447801</v>
      </c>
      <c r="H269" s="189">
        <v>0.28489718188253299</v>
      </c>
      <c r="I269" s="189">
        <v>0.452036097327011</v>
      </c>
      <c r="J269" s="189">
        <v>1.70366361431544</v>
      </c>
      <c r="K269" s="189">
        <v>3.47526535517114E-2</v>
      </c>
      <c r="L269" s="189">
        <v>9.6119812155147005E-2</v>
      </c>
      <c r="M269" s="189">
        <v>9.4030075391386797E-5</v>
      </c>
      <c r="N269" s="189">
        <v>1.6284860104281599E-4</v>
      </c>
      <c r="O269" s="189">
        <v>0.377141959608705</v>
      </c>
      <c r="P269" s="189">
        <v>1.6373153487919501</v>
      </c>
      <c r="Q269" s="189">
        <v>9.9744593020116207E-2</v>
      </c>
      <c r="R269" s="189">
        <v>0.45689720547932</v>
      </c>
      <c r="S269" s="189">
        <v>2.52173046701317E-2</v>
      </c>
      <c r="T269" s="189">
        <v>0.73189079671559898</v>
      </c>
      <c r="U269" s="189">
        <v>0.89856391858115603</v>
      </c>
      <c r="V269" s="189">
        <v>0.44888753416398303</v>
      </c>
      <c r="W269" s="189"/>
      <c r="X269" s="90"/>
      <c r="Y269" s="188"/>
      <c r="Z269" s="188"/>
      <c r="AA269" s="188"/>
      <c r="AB269" s="188"/>
      <c r="AC269" s="188"/>
      <c r="AD269" s="190"/>
      <c r="AE269" s="189"/>
    </row>
    <row r="270" spans="1:31" ht="21.25" customHeight="1" x14ac:dyDescent="0.15">
      <c r="A270" s="9" t="s">
        <v>429</v>
      </c>
      <c r="B270" s="186" t="s">
        <v>838</v>
      </c>
      <c r="C270" s="187">
        <v>31</v>
      </c>
      <c r="D270" s="186" t="s">
        <v>866</v>
      </c>
      <c r="E270" s="90">
        <v>79.892499999999998</v>
      </c>
      <c r="F270" s="188">
        <v>14.9112795157056</v>
      </c>
      <c r="G270" s="189">
        <v>0.23824822247254801</v>
      </c>
      <c r="H270" s="189">
        <v>0.21339891452322199</v>
      </c>
      <c r="I270" s="189">
        <v>0.45164713699577003</v>
      </c>
      <c r="J270" s="189">
        <v>2.1032776199092398</v>
      </c>
      <c r="K270" s="189">
        <v>3.54059473215644E-2</v>
      </c>
      <c r="L270" s="189">
        <v>6.0533330459230497E-2</v>
      </c>
      <c r="M270" s="189">
        <v>8.4092847051876198E-5</v>
      </c>
      <c r="N270" s="189">
        <v>1.4175267404373799E-4</v>
      </c>
      <c r="O270" s="189">
        <v>0.48293163912144899</v>
      </c>
      <c r="P270" s="189">
        <v>1.5567115362131501</v>
      </c>
      <c r="Q270" s="189">
        <v>6.12841242687873E-2</v>
      </c>
      <c r="R270" s="189">
        <v>0.36017257346780801</v>
      </c>
      <c r="S270" s="189">
        <v>3.9603181938796701E-2</v>
      </c>
      <c r="T270" s="189">
        <v>0.320701577861841</v>
      </c>
      <c r="U270" s="189">
        <v>0.29378908817988902</v>
      </c>
      <c r="V270" s="189">
        <v>0.52189820868664205</v>
      </c>
      <c r="W270" s="189"/>
      <c r="X270" s="90"/>
      <c r="Y270" s="188"/>
      <c r="Z270" s="188"/>
      <c r="AA270" s="188"/>
      <c r="AB270" s="188"/>
      <c r="AC270" s="188"/>
      <c r="AD270" s="190"/>
      <c r="AE270" s="189"/>
    </row>
    <row r="271" spans="1:31" ht="21.25" customHeight="1" x14ac:dyDescent="0.15">
      <c r="A271" s="9" t="s">
        <v>369</v>
      </c>
      <c r="B271" s="186" t="s">
        <v>858</v>
      </c>
      <c r="C271" s="187">
        <v>20</v>
      </c>
      <c r="D271" s="186" t="s">
        <v>818</v>
      </c>
      <c r="E271" s="90">
        <v>67.290000000000006</v>
      </c>
      <c r="F271" s="188">
        <v>21.1846076974402</v>
      </c>
      <c r="G271" s="189">
        <v>9.1620286547243399E-2</v>
      </c>
      <c r="H271" s="189">
        <v>0.35999717068912601</v>
      </c>
      <c r="I271" s="189">
        <v>0.45161745723636898</v>
      </c>
      <c r="J271" s="189">
        <v>1.60274988128374</v>
      </c>
      <c r="K271" s="189">
        <v>1.27030566735571E-2</v>
      </c>
      <c r="L271" s="189">
        <v>0.14149707291066499</v>
      </c>
      <c r="M271" s="189">
        <v>4.1207318705993302E-4</v>
      </c>
      <c r="N271" s="189">
        <v>2.0077337775466198E-3</v>
      </c>
      <c r="O271" s="189">
        <v>1.5837608339956699</v>
      </c>
      <c r="P271" s="189">
        <v>0.96501963731853202</v>
      </c>
      <c r="Q271" s="189">
        <v>-9.5514376516528193E-2</v>
      </c>
      <c r="R271" s="189">
        <v>0.38819812774165202</v>
      </c>
      <c r="S271" s="189">
        <v>1.06792193094428E-2</v>
      </c>
      <c r="T271" s="189">
        <v>0</v>
      </c>
      <c r="U271" s="189">
        <v>0</v>
      </c>
      <c r="V271" s="189">
        <v>0</v>
      </c>
      <c r="W271" s="189"/>
      <c r="X271" s="90"/>
      <c r="Y271" s="188"/>
      <c r="Z271" s="188"/>
      <c r="AA271" s="188"/>
      <c r="AB271" s="188"/>
      <c r="AC271" s="188"/>
      <c r="AD271" s="190"/>
      <c r="AE271" s="189"/>
    </row>
    <row r="272" spans="1:31" ht="21.25" customHeight="1" x14ac:dyDescent="0.15">
      <c r="A272" s="9" t="s">
        <v>657</v>
      </c>
      <c r="B272" s="186" t="s">
        <v>849</v>
      </c>
      <c r="C272" s="187">
        <v>19</v>
      </c>
      <c r="D272" s="186" t="s">
        <v>816</v>
      </c>
      <c r="E272" s="90">
        <v>60</v>
      </c>
      <c r="F272" s="188">
        <v>14</v>
      </c>
      <c r="G272" s="189">
        <v>0.178542893770162</v>
      </c>
      <c r="H272" s="189">
        <v>0.27282404629808499</v>
      </c>
      <c r="I272" s="189">
        <v>0.45136694006824701</v>
      </c>
      <c r="J272" s="189">
        <v>1.6074442836466001</v>
      </c>
      <c r="K272" s="189">
        <v>3.7649805076247898E-2</v>
      </c>
      <c r="L272" s="189">
        <v>9.5180922368762397E-2</v>
      </c>
      <c r="M272" s="189">
        <v>0</v>
      </c>
      <c r="N272" s="189">
        <v>0</v>
      </c>
      <c r="O272" s="189">
        <v>0.41951219512195098</v>
      </c>
      <c r="P272" s="189">
        <v>1.1830924032672601</v>
      </c>
      <c r="Q272" s="189">
        <v>5.7705903031431603E-2</v>
      </c>
      <c r="R272" s="189">
        <v>0.40406689838350401</v>
      </c>
      <c r="S272" s="189">
        <v>3.0938910002437901E-2</v>
      </c>
      <c r="T272" s="189">
        <v>0</v>
      </c>
      <c r="U272" s="189">
        <v>0</v>
      </c>
      <c r="V272" s="189">
        <v>0</v>
      </c>
      <c r="W272" s="189"/>
      <c r="X272" s="90"/>
      <c r="Y272" s="189"/>
      <c r="Z272" s="189"/>
      <c r="AA272" s="189"/>
      <c r="AB272" s="189"/>
      <c r="AC272" s="188"/>
      <c r="AD272" s="190"/>
      <c r="AE272" s="189"/>
    </row>
    <row r="273" spans="1:31" ht="21.25" customHeight="1" x14ac:dyDescent="0.15">
      <c r="A273" s="9" t="s">
        <v>466</v>
      </c>
      <c r="B273" s="186" t="s">
        <v>852</v>
      </c>
      <c r="C273" s="187">
        <v>23</v>
      </c>
      <c r="D273" s="186" t="s">
        <v>816</v>
      </c>
      <c r="E273" s="90">
        <v>79.125</v>
      </c>
      <c r="F273" s="188">
        <v>13.8449896019333</v>
      </c>
      <c r="G273" s="189">
        <v>0.219277320481158</v>
      </c>
      <c r="H273" s="189">
        <v>0.23170487981700399</v>
      </c>
      <c r="I273" s="189">
        <v>0.45098220029816199</v>
      </c>
      <c r="J273" s="189">
        <v>1.8711000496285499</v>
      </c>
      <c r="K273" s="189">
        <v>5.9896251937190802E-2</v>
      </c>
      <c r="L273" s="189">
        <v>9.4921955815933906E-2</v>
      </c>
      <c r="M273" s="189">
        <v>6.5870049245488293E-5</v>
      </c>
      <c r="N273" s="189">
        <v>1.1157577763217601E-4</v>
      </c>
      <c r="O273" s="189">
        <v>0.63686153111375399</v>
      </c>
      <c r="P273" s="189">
        <v>1.12045291040783</v>
      </c>
      <c r="Q273" s="189">
        <v>-7.7381918041689604E-2</v>
      </c>
      <c r="R273" s="189">
        <v>0.57751016844168901</v>
      </c>
      <c r="S273" s="189">
        <v>2.42486397647746E-2</v>
      </c>
      <c r="T273" s="189">
        <v>3.7998376249522199</v>
      </c>
      <c r="U273" s="189">
        <v>5.21277363711856</v>
      </c>
      <c r="V273" s="189">
        <v>0.42161339421613397</v>
      </c>
      <c r="W273" s="189"/>
      <c r="X273" s="90"/>
      <c r="Y273" s="188"/>
      <c r="Z273" s="188"/>
      <c r="AA273" s="188"/>
      <c r="AB273" s="188"/>
      <c r="AC273" s="188"/>
      <c r="AD273" s="190"/>
      <c r="AE273" s="189"/>
    </row>
    <row r="274" spans="1:31" ht="21.25" customHeight="1" x14ac:dyDescent="0.15">
      <c r="A274" s="9" t="s">
        <v>348</v>
      </c>
      <c r="B274" s="186" t="s">
        <v>854</v>
      </c>
      <c r="C274" s="187">
        <v>19</v>
      </c>
      <c r="D274" s="186" t="s">
        <v>818</v>
      </c>
      <c r="E274" s="90">
        <v>72</v>
      </c>
      <c r="F274" s="188">
        <v>18</v>
      </c>
      <c r="G274" s="189">
        <v>0.11237183135468599</v>
      </c>
      <c r="H274" s="189">
        <v>0.33750613069560498</v>
      </c>
      <c r="I274" s="189">
        <v>0.44987796205029101</v>
      </c>
      <c r="J274" s="189">
        <v>1.9070799348721601</v>
      </c>
      <c r="K274" s="189">
        <v>2.3625800280317001E-2</v>
      </c>
      <c r="L274" s="189">
        <v>9.4585331161579994E-2</v>
      </c>
      <c r="M274" s="189">
        <v>0</v>
      </c>
      <c r="N274" s="189">
        <v>0</v>
      </c>
      <c r="O274" s="189">
        <v>1.19756097560976</v>
      </c>
      <c r="P274" s="189">
        <v>1.2325365853658501</v>
      </c>
      <c r="Q274" s="189">
        <v>-5.6685865758720901E-2</v>
      </c>
      <c r="R274" s="189">
        <v>0.41</v>
      </c>
      <c r="S274" s="189">
        <v>1.30240382656839E-2</v>
      </c>
      <c r="T274" s="189">
        <v>0</v>
      </c>
      <c r="U274" s="189">
        <v>0</v>
      </c>
      <c r="V274" s="189">
        <v>0</v>
      </c>
      <c r="W274" s="189"/>
      <c r="X274" s="90"/>
      <c r="Y274" s="189"/>
      <c r="Z274" s="189"/>
      <c r="AA274" s="189"/>
      <c r="AB274" s="189"/>
      <c r="AC274" s="188"/>
      <c r="AD274" s="190"/>
      <c r="AE274" s="189"/>
    </row>
    <row r="275" spans="1:31" ht="21.25" customHeight="1" x14ac:dyDescent="0.15">
      <c r="A275" s="9" t="s">
        <v>632</v>
      </c>
      <c r="B275" s="186" t="s">
        <v>828</v>
      </c>
      <c r="C275" s="187">
        <v>26</v>
      </c>
      <c r="D275" s="186" t="s">
        <v>817</v>
      </c>
      <c r="E275" s="90">
        <v>55.884999999999998</v>
      </c>
      <c r="F275" s="188">
        <v>13.2423263850715</v>
      </c>
      <c r="G275" s="189">
        <v>0.22850733167232101</v>
      </c>
      <c r="H275" s="189">
        <v>0.22096235217612101</v>
      </c>
      <c r="I275" s="189">
        <v>0.44946968384844199</v>
      </c>
      <c r="J275" s="189">
        <v>1.7102780278651399</v>
      </c>
      <c r="K275" s="189">
        <v>4.68211605375638E-2</v>
      </c>
      <c r="L275" s="189">
        <v>7.0652609908263303E-2</v>
      </c>
      <c r="M275" s="189">
        <v>0</v>
      </c>
      <c r="N275" s="189">
        <v>0</v>
      </c>
      <c r="O275" s="189">
        <v>0.57855239507038803</v>
      </c>
      <c r="P275" s="189">
        <v>1.74289316356199</v>
      </c>
      <c r="Q275" s="189">
        <v>3.2604516499506998E-2</v>
      </c>
      <c r="R275" s="189">
        <v>0.29891812351065</v>
      </c>
      <c r="S275" s="189">
        <v>3.55908664907909E-2</v>
      </c>
      <c r="T275" s="189">
        <v>0.188074511931139</v>
      </c>
      <c r="U275" s="189">
        <v>0.43884052783932498</v>
      </c>
      <c r="V275" s="189">
        <v>0.3</v>
      </c>
      <c r="W275" s="189"/>
      <c r="X275" s="90"/>
      <c r="Y275" s="188"/>
      <c r="Z275" s="188"/>
      <c r="AA275" s="188"/>
      <c r="AB275" s="188"/>
      <c r="AC275" s="188"/>
      <c r="AD275" s="190"/>
      <c r="AE275" s="189"/>
    </row>
    <row r="276" spans="1:31" ht="21.25" customHeight="1" x14ac:dyDescent="0.15">
      <c r="A276" s="9" t="s">
        <v>281</v>
      </c>
      <c r="B276" s="186" t="s">
        <v>856</v>
      </c>
      <c r="C276" s="187">
        <v>28</v>
      </c>
      <c r="D276" s="186" t="s">
        <v>818</v>
      </c>
      <c r="E276" s="90">
        <v>81.515000000000001</v>
      </c>
      <c r="F276" s="188">
        <v>23.503379322770801</v>
      </c>
      <c r="G276" s="189">
        <v>0.105784161764733</v>
      </c>
      <c r="H276" s="189">
        <v>0.34284890143195001</v>
      </c>
      <c r="I276" s="189">
        <v>0.448633063196683</v>
      </c>
      <c r="J276" s="189">
        <v>1.7169940624897799</v>
      </c>
      <c r="K276" s="189">
        <v>1.7205564867739699E-3</v>
      </c>
      <c r="L276" s="189">
        <v>4.0576119825181702E-2</v>
      </c>
      <c r="M276" s="189">
        <v>1.01930753676913E-2</v>
      </c>
      <c r="N276" s="189">
        <v>3.0641117461327399E-2</v>
      </c>
      <c r="O276" s="189">
        <v>1.86750030122278</v>
      </c>
      <c r="P276" s="189">
        <v>1.05104665266193</v>
      </c>
      <c r="Q276" s="189">
        <v>-4.90990489145555E-2</v>
      </c>
      <c r="R276" s="189">
        <v>0.54799017012087403</v>
      </c>
      <c r="S276" s="189">
        <v>1.53333642124731E-2</v>
      </c>
      <c r="T276" s="189">
        <v>0</v>
      </c>
      <c r="U276" s="189">
        <v>0</v>
      </c>
      <c r="V276" s="189">
        <v>0</v>
      </c>
      <c r="W276" s="189"/>
      <c r="X276" s="90"/>
      <c r="Y276" s="188"/>
      <c r="Z276" s="188"/>
      <c r="AA276" s="188"/>
      <c r="AB276" s="188"/>
      <c r="AC276" s="188"/>
      <c r="AD276" s="190"/>
      <c r="AE276" s="189"/>
    </row>
    <row r="277" spans="1:31" ht="21.25" customHeight="1" x14ac:dyDescent="0.15">
      <c r="A277" s="9" t="s">
        <v>487</v>
      </c>
      <c r="B277" s="186" t="s">
        <v>828</v>
      </c>
      <c r="C277" s="187">
        <v>26</v>
      </c>
      <c r="D277" s="186" t="s">
        <v>867</v>
      </c>
      <c r="E277" s="90">
        <v>79.417500000000004</v>
      </c>
      <c r="F277" s="188">
        <v>13.565607806467799</v>
      </c>
      <c r="G277" s="189">
        <v>0.20594553644623001</v>
      </c>
      <c r="H277" s="189">
        <v>0.24059948231268499</v>
      </c>
      <c r="I277" s="189">
        <v>0.446545018758915</v>
      </c>
      <c r="J277" s="189">
        <v>1.5874838795570101</v>
      </c>
      <c r="K277" s="189">
        <v>8.4513109993562697E-3</v>
      </c>
      <c r="L277" s="189">
        <v>1.2761874573034701E-2</v>
      </c>
      <c r="M277" s="189">
        <v>1.0087265739375201E-3</v>
      </c>
      <c r="N277" s="189">
        <v>4.23519602160192E-3</v>
      </c>
      <c r="O277" s="189">
        <v>0.56635306769679605</v>
      </c>
      <c r="P277" s="189">
        <v>2.0563155366087602</v>
      </c>
      <c r="Q277" s="189">
        <v>4.2127497280799397E-2</v>
      </c>
      <c r="R277" s="189">
        <v>0.75719886992343999</v>
      </c>
      <c r="S277" s="189">
        <v>3.2076783000306398E-2</v>
      </c>
      <c r="T277" s="189">
        <v>1.2073061293164</v>
      </c>
      <c r="U277" s="189">
        <v>1.79266833654397</v>
      </c>
      <c r="V277" s="189">
        <v>0.40243880174831698</v>
      </c>
      <c r="W277" s="189"/>
      <c r="X277" s="90"/>
      <c r="Y277" s="189"/>
      <c r="Z277" s="189"/>
      <c r="AA277" s="189"/>
      <c r="AB277" s="189"/>
      <c r="AC277" s="188"/>
      <c r="AD277" s="190"/>
      <c r="AE277" s="189"/>
    </row>
    <row r="278" spans="1:31" ht="21.25" customHeight="1" x14ac:dyDescent="0.15">
      <c r="A278" s="9" t="s">
        <v>422</v>
      </c>
      <c r="B278" s="186" t="s">
        <v>832</v>
      </c>
      <c r="C278" s="187">
        <v>24</v>
      </c>
      <c r="D278" s="186" t="s">
        <v>818</v>
      </c>
      <c r="E278" s="90">
        <v>65.737499999999997</v>
      </c>
      <c r="F278" s="188">
        <v>18.998436482787699</v>
      </c>
      <c r="G278" s="189">
        <v>0.10509490352070799</v>
      </c>
      <c r="H278" s="189">
        <v>0.33892537083649299</v>
      </c>
      <c r="I278" s="189">
        <v>0.44402027435720098</v>
      </c>
      <c r="J278" s="189">
        <v>1.4367664492604999</v>
      </c>
      <c r="K278" s="189">
        <v>2.34692058948264E-2</v>
      </c>
      <c r="L278" s="189">
        <v>0.18634281918776399</v>
      </c>
      <c r="M278" s="189">
        <v>5.5291892429707197E-5</v>
      </c>
      <c r="N278" s="189">
        <v>2.71239392392574E-4</v>
      </c>
      <c r="O278" s="189">
        <v>1.2117176276655599</v>
      </c>
      <c r="P278" s="189">
        <v>0.77405870924660602</v>
      </c>
      <c r="Q278" s="189">
        <v>-0.100392912750567</v>
      </c>
      <c r="R278" s="189">
        <v>0.24167639331108201</v>
      </c>
      <c r="S278" s="189">
        <v>1.7904149635674198E-2</v>
      </c>
      <c r="T278" s="189">
        <v>0</v>
      </c>
      <c r="U278" s="189">
        <v>0</v>
      </c>
      <c r="V278" s="189">
        <v>0</v>
      </c>
      <c r="W278" s="189"/>
      <c r="X278" s="90"/>
      <c r="Y278" s="188"/>
      <c r="Z278" s="188"/>
      <c r="AA278" s="188"/>
      <c r="AB278" s="188"/>
      <c r="AC278" s="188"/>
      <c r="AD278" s="190"/>
      <c r="AE278" s="189"/>
    </row>
    <row r="279" spans="1:31" ht="21.25" customHeight="1" x14ac:dyDescent="0.15">
      <c r="A279" s="9" t="s">
        <v>273</v>
      </c>
      <c r="B279" s="186" t="s">
        <v>859</v>
      </c>
      <c r="C279" s="187">
        <v>28</v>
      </c>
      <c r="D279" s="186" t="s">
        <v>818</v>
      </c>
      <c r="E279" s="90">
        <v>72.944999999999993</v>
      </c>
      <c r="F279" s="188">
        <v>22.127590238671999</v>
      </c>
      <c r="G279" s="189">
        <v>0.16185642318465199</v>
      </c>
      <c r="H279" s="189">
        <v>0.28167982933184998</v>
      </c>
      <c r="I279" s="189">
        <v>0.44353625251650203</v>
      </c>
      <c r="J279" s="189">
        <v>2.1934563166125001</v>
      </c>
      <c r="K279" s="189">
        <v>3.0071924619872899E-2</v>
      </c>
      <c r="L279" s="189">
        <v>0.16270489755243001</v>
      </c>
      <c r="M279" s="189">
        <v>4.1607578153194898E-4</v>
      </c>
      <c r="N279" s="189">
        <v>8.5055296866835706E-3</v>
      </c>
      <c r="O279" s="189">
        <v>2.1418473629915198</v>
      </c>
      <c r="P279" s="189">
        <v>0.882916650478346</v>
      </c>
      <c r="Q279" s="189">
        <v>-5.4137581892942099E-2</v>
      </c>
      <c r="R279" s="189">
        <v>0.61760171750849002</v>
      </c>
      <c r="S279" s="189">
        <v>1.7287904779167699E-2</v>
      </c>
      <c r="T279" s="189">
        <v>0</v>
      </c>
      <c r="U279" s="189">
        <v>0</v>
      </c>
      <c r="V279" s="189">
        <v>0</v>
      </c>
      <c r="W279" s="189"/>
      <c r="X279" s="90"/>
      <c r="Y279" s="188"/>
      <c r="Z279" s="188"/>
      <c r="AA279" s="188"/>
      <c r="AB279" s="188"/>
      <c r="AC279" s="188"/>
      <c r="AD279" s="190"/>
      <c r="AE279" s="189"/>
    </row>
    <row r="280" spans="1:31" ht="21.25" customHeight="1" x14ac:dyDescent="0.15">
      <c r="A280" s="9" t="s">
        <v>742</v>
      </c>
      <c r="B280" s="186" t="s">
        <v>841</v>
      </c>
      <c r="C280" s="187">
        <v>22</v>
      </c>
      <c r="D280" s="186" t="s">
        <v>815</v>
      </c>
      <c r="E280" s="90">
        <v>54.225000000000001</v>
      </c>
      <c r="F280" s="188">
        <v>13.1980303452677</v>
      </c>
      <c r="G280" s="189">
        <v>0.15290256140768399</v>
      </c>
      <c r="H280" s="189">
        <v>0.28942864258954198</v>
      </c>
      <c r="I280" s="189">
        <v>0.44233120399722597</v>
      </c>
      <c r="J280" s="189">
        <v>1.43479921882342</v>
      </c>
      <c r="K280" s="189">
        <v>7.6568548424194799E-3</v>
      </c>
      <c r="L280" s="189">
        <v>1.6395875342653899E-2</v>
      </c>
      <c r="M280" s="189">
        <v>4.38188132429441E-4</v>
      </c>
      <c r="N280" s="189">
        <v>7.2837803884040801E-4</v>
      </c>
      <c r="O280" s="189">
        <v>0.39212967194195703</v>
      </c>
      <c r="P280" s="189">
        <v>1.1364690652648399</v>
      </c>
      <c r="Q280" s="189">
        <v>1.4584166117912301E-2</v>
      </c>
      <c r="R280" s="189">
        <v>0.28674847631175898</v>
      </c>
      <c r="S280" s="189">
        <v>2.32566766753949E-2</v>
      </c>
      <c r="T280" s="189">
        <v>0.28528571402902297</v>
      </c>
      <c r="U280" s="189">
        <v>0.28528571402902397</v>
      </c>
      <c r="V280" s="189">
        <v>0.5</v>
      </c>
      <c r="W280" s="189"/>
      <c r="X280" s="90"/>
      <c r="Y280" s="188"/>
      <c r="Z280" s="188"/>
      <c r="AA280" s="188"/>
      <c r="AB280" s="188"/>
      <c r="AC280" s="188"/>
      <c r="AD280" s="190"/>
      <c r="AE280" s="189"/>
    </row>
    <row r="281" spans="1:31" ht="21.25" customHeight="1" x14ac:dyDescent="0.15">
      <c r="A281" s="9" t="s">
        <v>645</v>
      </c>
      <c r="B281" s="186" t="s">
        <v>842</v>
      </c>
      <c r="C281" s="187">
        <v>24</v>
      </c>
      <c r="D281" s="186" t="s">
        <v>816</v>
      </c>
      <c r="E281" s="90">
        <v>63.342500000000001</v>
      </c>
      <c r="F281" s="188">
        <v>13.251773360177699</v>
      </c>
      <c r="G281" s="189">
        <v>0.20295137651114101</v>
      </c>
      <c r="H281" s="189">
        <v>0.23901851794020201</v>
      </c>
      <c r="I281" s="189">
        <v>0.44196989445134299</v>
      </c>
      <c r="J281" s="189">
        <v>1.48010463560256</v>
      </c>
      <c r="K281" s="189">
        <v>5.0863080687311699E-2</v>
      </c>
      <c r="L281" s="189">
        <v>0.104841726320475</v>
      </c>
      <c r="M281" s="189">
        <v>0</v>
      </c>
      <c r="N281" s="189">
        <v>0</v>
      </c>
      <c r="O281" s="189">
        <v>0.47712547536012601</v>
      </c>
      <c r="P281" s="189">
        <v>0.592328728935963</v>
      </c>
      <c r="Q281" s="189">
        <v>-3.8275867048316502E-2</v>
      </c>
      <c r="R281" s="189">
        <v>0.26247732454926598</v>
      </c>
      <c r="S281" s="189">
        <v>2.7873882940992401E-2</v>
      </c>
      <c r="T281" s="189">
        <v>2.20603119766195E-2</v>
      </c>
      <c r="U281" s="189">
        <v>2.9747742481717802E-2</v>
      </c>
      <c r="V281" s="189">
        <v>0.42580853898615101</v>
      </c>
      <c r="W281" s="189"/>
      <c r="X281" s="90"/>
      <c r="Y281" s="188"/>
      <c r="Z281" s="188"/>
      <c r="AA281" s="188"/>
      <c r="AB281" s="188"/>
      <c r="AC281" s="188"/>
      <c r="AD281" s="190"/>
      <c r="AE281" s="189"/>
    </row>
    <row r="282" spans="1:31" ht="21.25" customHeight="1" x14ac:dyDescent="0.15">
      <c r="A282" s="9" t="s">
        <v>326</v>
      </c>
      <c r="B282" s="186" t="s">
        <v>831</v>
      </c>
      <c r="C282" s="187">
        <v>24</v>
      </c>
      <c r="D282" s="186" t="s">
        <v>818</v>
      </c>
      <c r="E282" s="90">
        <v>81.262500000000003</v>
      </c>
      <c r="F282" s="188">
        <v>22.380740809745799</v>
      </c>
      <c r="G282" s="189">
        <v>0.108479977138772</v>
      </c>
      <c r="H282" s="189">
        <v>0.333109533977687</v>
      </c>
      <c r="I282" s="189">
        <v>0.441589511116459</v>
      </c>
      <c r="J282" s="189">
        <v>1.4094301985200299</v>
      </c>
      <c r="K282" s="189">
        <v>8.4629828734181806E-3</v>
      </c>
      <c r="L282" s="189">
        <v>4.35601579679755E-2</v>
      </c>
      <c r="M282" s="189">
        <v>4.1043781567390899E-4</v>
      </c>
      <c r="N282" s="189">
        <v>1.06922170086202E-2</v>
      </c>
      <c r="O282" s="189">
        <v>1.4727968215510201</v>
      </c>
      <c r="P282" s="189">
        <v>1.7878680780795499</v>
      </c>
      <c r="Q282" s="189">
        <v>2.2625770260280498E-2</v>
      </c>
      <c r="R282" s="189">
        <v>0.46757732303543897</v>
      </c>
      <c r="S282" s="189">
        <v>1.7731953064386199E-2</v>
      </c>
      <c r="T282" s="189">
        <v>0</v>
      </c>
      <c r="U282" s="189">
        <v>0</v>
      </c>
      <c r="V282" s="189">
        <v>0</v>
      </c>
      <c r="W282" s="189"/>
      <c r="X282" s="90"/>
      <c r="Y282" s="188"/>
      <c r="Z282" s="188"/>
      <c r="AA282" s="188"/>
      <c r="AB282" s="188"/>
      <c r="AC282" s="188"/>
      <c r="AD282" s="190"/>
      <c r="AE282" s="189"/>
    </row>
    <row r="283" spans="1:31" ht="21.25" customHeight="1" x14ac:dyDescent="0.15">
      <c r="A283" s="9" t="s">
        <v>298</v>
      </c>
      <c r="B283" s="186" t="s">
        <v>851</v>
      </c>
      <c r="C283" s="187">
        <v>25</v>
      </c>
      <c r="D283" s="186" t="s">
        <v>818</v>
      </c>
      <c r="E283" s="90">
        <v>77.790000000000006</v>
      </c>
      <c r="F283" s="188">
        <v>20.141990842714701</v>
      </c>
      <c r="G283" s="189">
        <v>9.5424373618973907E-2</v>
      </c>
      <c r="H283" s="189">
        <v>0.34571561653222599</v>
      </c>
      <c r="I283" s="189">
        <v>0.44113999015119998</v>
      </c>
      <c r="J283" s="189">
        <v>1.6003425809545899</v>
      </c>
      <c r="K283" s="189">
        <v>1.89540423468515E-2</v>
      </c>
      <c r="L283" s="189">
        <v>0.13804790665039801</v>
      </c>
      <c r="M283" s="189">
        <v>2.5207923837488802E-4</v>
      </c>
      <c r="N283" s="189">
        <v>2.8570836527208399E-3</v>
      </c>
      <c r="O283" s="189">
        <v>1.87183855630662</v>
      </c>
      <c r="P283" s="189">
        <v>0.79742616443096603</v>
      </c>
      <c r="Q283" s="189">
        <v>-6.9931540570867898E-3</v>
      </c>
      <c r="R283" s="189">
        <v>0.65335910284088805</v>
      </c>
      <c r="S283" s="189">
        <v>1.3963390654063299E-2</v>
      </c>
      <c r="T283" s="189">
        <v>0</v>
      </c>
      <c r="U283" s="189">
        <v>0</v>
      </c>
      <c r="V283" s="189">
        <v>0</v>
      </c>
      <c r="W283" s="189"/>
      <c r="X283" s="90"/>
      <c r="Y283" s="188"/>
      <c r="Z283" s="188"/>
      <c r="AA283" s="188"/>
      <c r="AB283" s="188"/>
      <c r="AC283" s="188"/>
      <c r="AD283" s="190"/>
      <c r="AE283" s="189"/>
    </row>
    <row r="284" spans="1:31" ht="21.25" customHeight="1" x14ac:dyDescent="0.15">
      <c r="A284" s="9" t="s">
        <v>587</v>
      </c>
      <c r="B284" s="186" t="s">
        <v>855</v>
      </c>
      <c r="C284" s="187">
        <v>32</v>
      </c>
      <c r="D284" s="186" t="s">
        <v>815</v>
      </c>
      <c r="E284" s="90">
        <v>72.467500000000001</v>
      </c>
      <c r="F284" s="188">
        <v>14.990888976236199</v>
      </c>
      <c r="G284" s="189">
        <v>0.19459394106432801</v>
      </c>
      <c r="H284" s="189">
        <v>0.24506220046072499</v>
      </c>
      <c r="I284" s="189">
        <v>0.439656141525053</v>
      </c>
      <c r="J284" s="189">
        <v>1.8324775676106699</v>
      </c>
      <c r="K284" s="189">
        <v>6.18243734462426E-2</v>
      </c>
      <c r="L284" s="189">
        <v>0.10313433791958999</v>
      </c>
      <c r="M284" s="189">
        <v>9.2296525954428907E-5</v>
      </c>
      <c r="N284" s="189">
        <v>1.57775479151492E-4</v>
      </c>
      <c r="O284" s="189">
        <v>0.38431412794244901</v>
      </c>
      <c r="P284" s="189">
        <v>0.76408108208097403</v>
      </c>
      <c r="Q284" s="189">
        <v>-2.2431127425886099E-2</v>
      </c>
      <c r="R284" s="189">
        <v>0.33203550077884503</v>
      </c>
      <c r="S284" s="189">
        <v>2.9548636712427301E-2</v>
      </c>
      <c r="T284" s="189">
        <v>1.0930342092360801</v>
      </c>
      <c r="U284" s="189">
        <v>1.0392893734812501</v>
      </c>
      <c r="V284" s="189">
        <v>0.512602410860723</v>
      </c>
      <c r="W284" s="189"/>
      <c r="X284" s="90"/>
      <c r="Y284" s="188"/>
      <c r="Z284" s="188"/>
      <c r="AA284" s="188"/>
      <c r="AB284" s="188"/>
      <c r="AC284" s="188"/>
      <c r="AD284" s="190"/>
      <c r="AE284" s="189"/>
    </row>
    <row r="285" spans="1:31" ht="21.25" customHeight="1" x14ac:dyDescent="0.15">
      <c r="A285" s="9" t="s">
        <v>343</v>
      </c>
      <c r="B285" s="186" t="s">
        <v>833</v>
      </c>
      <c r="C285" s="187">
        <v>34</v>
      </c>
      <c r="D285" s="186" t="s">
        <v>818</v>
      </c>
      <c r="E285" s="90">
        <v>68.202500000000001</v>
      </c>
      <c r="F285" s="188">
        <v>21.845176869972398</v>
      </c>
      <c r="G285" s="189">
        <v>0.107794339789718</v>
      </c>
      <c r="H285" s="189">
        <v>0.33149358557306302</v>
      </c>
      <c r="I285" s="189">
        <v>0.439287925362781</v>
      </c>
      <c r="J285" s="189">
        <v>1.68055561318266</v>
      </c>
      <c r="K285" s="189">
        <v>7.8670146508771303E-3</v>
      </c>
      <c r="L285" s="189">
        <v>0.11302289967090499</v>
      </c>
      <c r="M285" s="189">
        <v>4.3906135217446898E-4</v>
      </c>
      <c r="N285" s="189">
        <v>6.0637495112925701E-3</v>
      </c>
      <c r="O285" s="189">
        <v>1.8641384302774899</v>
      </c>
      <c r="P285" s="189">
        <v>1.01143716825736</v>
      </c>
      <c r="Q285" s="189">
        <v>3.4262630088556199E-2</v>
      </c>
      <c r="R285" s="189">
        <v>0.24698898837307601</v>
      </c>
      <c r="S285" s="189">
        <v>1.7794595513073198E-2</v>
      </c>
      <c r="T285" s="189">
        <v>0</v>
      </c>
      <c r="U285" s="189">
        <v>0</v>
      </c>
      <c r="V285" s="189">
        <v>0</v>
      </c>
      <c r="W285" s="189"/>
      <c r="X285" s="90"/>
      <c r="Y285" s="188"/>
      <c r="Z285" s="188"/>
      <c r="AA285" s="188"/>
      <c r="AB285" s="188"/>
      <c r="AC285" s="188"/>
      <c r="AD285" s="190"/>
      <c r="AE285" s="189"/>
    </row>
    <row r="286" spans="1:31" ht="21.25" customHeight="1" x14ac:dyDescent="0.15">
      <c r="A286" s="9" t="s">
        <v>538</v>
      </c>
      <c r="B286" s="186" t="s">
        <v>824</v>
      </c>
      <c r="C286" s="187">
        <v>33</v>
      </c>
      <c r="D286" s="186" t="s">
        <v>816</v>
      </c>
      <c r="E286" s="90">
        <v>71.605000000000004</v>
      </c>
      <c r="F286" s="188">
        <v>13.6707234687014</v>
      </c>
      <c r="G286" s="189">
        <v>0.242551113304075</v>
      </c>
      <c r="H286" s="189">
        <v>0.19603238787350999</v>
      </c>
      <c r="I286" s="189">
        <v>0.43858350117758499</v>
      </c>
      <c r="J286" s="189">
        <v>2.28262709389691</v>
      </c>
      <c r="K286" s="189">
        <v>1.1713684140358701E-2</v>
      </c>
      <c r="L286" s="189">
        <v>3.2278177112909701E-2</v>
      </c>
      <c r="M286" s="189">
        <v>2.7478908486251899E-3</v>
      </c>
      <c r="N286" s="189">
        <v>5.9429535805308499E-3</v>
      </c>
      <c r="O286" s="189">
        <v>0.32749613515355402</v>
      </c>
      <c r="P286" s="189">
        <v>2.42390946919557</v>
      </c>
      <c r="Q286" s="189">
        <v>6.3760141361114797E-2</v>
      </c>
      <c r="R286" s="189">
        <v>0.73428483757304097</v>
      </c>
      <c r="S286" s="189">
        <v>3.9165979225068502E-2</v>
      </c>
      <c r="T286" s="189">
        <v>0.31211659117797302</v>
      </c>
      <c r="U286" s="189">
        <v>0.39689840175775198</v>
      </c>
      <c r="V286" s="189">
        <v>0.440211553052824</v>
      </c>
      <c r="W286" s="189"/>
      <c r="X286" s="90"/>
      <c r="Y286" s="188"/>
      <c r="Z286" s="188"/>
      <c r="AA286" s="188"/>
      <c r="AB286" s="188"/>
      <c r="AC286" s="188"/>
      <c r="AD286" s="190"/>
      <c r="AE286" s="189"/>
    </row>
    <row r="287" spans="1:31" ht="21.25" customHeight="1" x14ac:dyDescent="0.15">
      <c r="A287" s="9" t="s">
        <v>508</v>
      </c>
      <c r="B287" s="186" t="s">
        <v>855</v>
      </c>
      <c r="C287" s="187">
        <v>32</v>
      </c>
      <c r="D287" s="186" t="s">
        <v>815</v>
      </c>
      <c r="E287" s="90">
        <v>80.737499999999997</v>
      </c>
      <c r="F287" s="188">
        <v>16.804361037432599</v>
      </c>
      <c r="G287" s="189">
        <v>0.14108853853100201</v>
      </c>
      <c r="H287" s="189">
        <v>0.29738991520792002</v>
      </c>
      <c r="I287" s="189">
        <v>0.43847845373892202</v>
      </c>
      <c r="J287" s="189">
        <v>1.75089577018009</v>
      </c>
      <c r="K287" s="189">
        <v>6.2528870154464899E-3</v>
      </c>
      <c r="L287" s="189">
        <v>1.6744238735690999E-2</v>
      </c>
      <c r="M287" s="189">
        <v>1.1843193162631299E-2</v>
      </c>
      <c r="N287" s="189">
        <v>2.55753518115856E-2</v>
      </c>
      <c r="O287" s="189">
        <v>0.62834488488339602</v>
      </c>
      <c r="P287" s="189">
        <v>1.59315651043255</v>
      </c>
      <c r="Q287" s="189">
        <v>-1.4230080473051099E-2</v>
      </c>
      <c r="R287" s="189">
        <v>0.62473319728261301</v>
      </c>
      <c r="S287" s="189">
        <v>2.14239659597712E-2</v>
      </c>
      <c r="T287" s="189">
        <v>6.1456193348511103</v>
      </c>
      <c r="U287" s="189">
        <v>6.4340187158718498</v>
      </c>
      <c r="V287" s="189">
        <v>0.48853705568244998</v>
      </c>
      <c r="W287" s="189"/>
      <c r="X287" s="90"/>
      <c r="Y287" s="188"/>
      <c r="Z287" s="188"/>
      <c r="AA287" s="188"/>
      <c r="AB287" s="188"/>
      <c r="AC287" s="188"/>
      <c r="AD287" s="190"/>
      <c r="AE287" s="189"/>
    </row>
    <row r="288" spans="1:31" ht="21.25" customHeight="1" x14ac:dyDescent="0.15">
      <c r="A288" s="9" t="s">
        <v>596</v>
      </c>
      <c r="B288" s="186" t="s">
        <v>835</v>
      </c>
      <c r="C288" s="187">
        <v>28</v>
      </c>
      <c r="D288" s="186" t="s">
        <v>865</v>
      </c>
      <c r="E288" s="90">
        <v>73.045000000000002</v>
      </c>
      <c r="F288" s="188">
        <v>14.760235639764799</v>
      </c>
      <c r="G288" s="189">
        <v>0.21753340672997801</v>
      </c>
      <c r="H288" s="189">
        <v>0.219882393871903</v>
      </c>
      <c r="I288" s="189">
        <v>0.43741580060188101</v>
      </c>
      <c r="J288" s="189">
        <v>1.37004219330772</v>
      </c>
      <c r="K288" s="189">
        <v>1.1608816201503299E-2</v>
      </c>
      <c r="L288" s="189">
        <v>1.8420871771204501E-2</v>
      </c>
      <c r="M288" s="189">
        <v>7.4445515410532003E-3</v>
      </c>
      <c r="N288" s="189">
        <v>9.5708646547658406E-3</v>
      </c>
      <c r="O288" s="189">
        <v>0.60139598103152603</v>
      </c>
      <c r="P288" s="189">
        <v>3.3771957906413799</v>
      </c>
      <c r="Q288" s="189">
        <v>6.9657595003380104E-2</v>
      </c>
      <c r="R288" s="189">
        <v>0.69938623422458301</v>
      </c>
      <c r="S288" s="189">
        <v>3.7149094255422198E-2</v>
      </c>
      <c r="T288" s="189">
        <v>0.62427776967508397</v>
      </c>
      <c r="U288" s="189">
        <v>0.61584493798152096</v>
      </c>
      <c r="V288" s="189">
        <v>0.50339999890393805</v>
      </c>
      <c r="W288" s="189"/>
      <c r="X288" s="90"/>
      <c r="Y288" s="188"/>
      <c r="Z288" s="188"/>
      <c r="AA288" s="188"/>
      <c r="AB288" s="188"/>
      <c r="AC288" s="188"/>
      <c r="AD288" s="190"/>
      <c r="AE288" s="189"/>
    </row>
    <row r="289" spans="1:31" ht="21.25" customHeight="1" x14ac:dyDescent="0.15">
      <c r="A289" s="9" t="s">
        <v>380</v>
      </c>
      <c r="B289" s="186" t="s">
        <v>842</v>
      </c>
      <c r="C289" s="187">
        <v>32</v>
      </c>
      <c r="D289" s="186" t="s">
        <v>818</v>
      </c>
      <c r="E289" s="90">
        <v>77.015000000000001</v>
      </c>
      <c r="F289" s="188">
        <v>18.127559491307402</v>
      </c>
      <c r="G289" s="189">
        <v>7.0364021538156504E-2</v>
      </c>
      <c r="H289" s="189">
        <v>0.36605454642102098</v>
      </c>
      <c r="I289" s="189">
        <v>0.43641856795917799</v>
      </c>
      <c r="J289" s="189">
        <v>1.3702394784769001</v>
      </c>
      <c r="K289" s="189">
        <v>2.81296984704529E-3</v>
      </c>
      <c r="L289" s="189">
        <v>0.14584453255548299</v>
      </c>
      <c r="M289" s="189">
        <v>1.1466361183686401E-4</v>
      </c>
      <c r="N289" s="189">
        <v>5.8615165079116004E-4</v>
      </c>
      <c r="O289" s="189">
        <v>0.988790656120766</v>
      </c>
      <c r="P289" s="189">
        <v>0.932160643625489</v>
      </c>
      <c r="Q289" s="189">
        <v>1.0820567740586999E-2</v>
      </c>
      <c r="R289" s="189">
        <v>0.39260232126647598</v>
      </c>
      <c r="S289" s="189">
        <v>9.6639822470205097E-3</v>
      </c>
      <c r="T289" s="189">
        <v>0</v>
      </c>
      <c r="U289" s="189">
        <v>0</v>
      </c>
      <c r="V289" s="189">
        <v>0</v>
      </c>
      <c r="W289" s="189"/>
      <c r="X289" s="90"/>
      <c r="Y289" s="188"/>
      <c r="Z289" s="188"/>
      <c r="AA289" s="188"/>
      <c r="AB289" s="188"/>
      <c r="AC289" s="188"/>
      <c r="AD289" s="190"/>
      <c r="AE289" s="189"/>
    </row>
    <row r="290" spans="1:31" ht="21.25" customHeight="1" x14ac:dyDescent="0.15">
      <c r="A290" s="9" t="s">
        <v>552</v>
      </c>
      <c r="B290" s="186" t="s">
        <v>858</v>
      </c>
      <c r="C290" s="187">
        <v>31</v>
      </c>
      <c r="D290" s="186" t="s">
        <v>865</v>
      </c>
      <c r="E290" s="90">
        <v>80.697500000000005</v>
      </c>
      <c r="F290" s="188">
        <v>14.6755476813389</v>
      </c>
      <c r="G290" s="189">
        <v>0.14322849338572999</v>
      </c>
      <c r="H290" s="189">
        <v>0.29051255175359703</v>
      </c>
      <c r="I290" s="189">
        <v>0.43374104513932699</v>
      </c>
      <c r="J290" s="189">
        <v>1.53932424635701</v>
      </c>
      <c r="K290" s="189">
        <v>1.9963334951553901E-2</v>
      </c>
      <c r="L290" s="189">
        <v>8.6086751030015896E-2</v>
      </c>
      <c r="M290" s="189">
        <v>2.0130254910151E-3</v>
      </c>
      <c r="N290" s="189">
        <v>2.6686251174964501E-3</v>
      </c>
      <c r="O290" s="189">
        <v>0.28243797968652001</v>
      </c>
      <c r="P290" s="189">
        <v>0.67193162747006996</v>
      </c>
      <c r="Q290" s="189">
        <v>-9.8351870354632095E-2</v>
      </c>
      <c r="R290" s="189">
        <v>0.70286370481691496</v>
      </c>
      <c r="S290" s="189">
        <v>1.6694648640272099E-2</v>
      </c>
      <c r="T290" s="189">
        <v>3.05689662111071</v>
      </c>
      <c r="U290" s="189">
        <v>3.7559580290665902</v>
      </c>
      <c r="V290" s="189">
        <v>0.44869541155280002</v>
      </c>
      <c r="W290" s="189"/>
      <c r="X290" s="90"/>
      <c r="Y290" s="188"/>
      <c r="Z290" s="188"/>
      <c r="AA290" s="188"/>
      <c r="AB290" s="188"/>
      <c r="AC290" s="188"/>
      <c r="AD290" s="190"/>
      <c r="AE290" s="189"/>
    </row>
    <row r="291" spans="1:31" ht="21.25" customHeight="1" x14ac:dyDescent="0.15">
      <c r="A291" s="9" t="s">
        <v>569</v>
      </c>
      <c r="B291" s="186" t="s">
        <v>839</v>
      </c>
      <c r="C291" s="187">
        <v>32</v>
      </c>
      <c r="D291" s="186" t="s">
        <v>815</v>
      </c>
      <c r="E291" s="90">
        <v>77.959999999999994</v>
      </c>
      <c r="F291" s="188">
        <v>14.1683545168409</v>
      </c>
      <c r="G291" s="189">
        <v>0.159487016433594</v>
      </c>
      <c r="H291" s="189">
        <v>0.264483470547347</v>
      </c>
      <c r="I291" s="189">
        <v>0.42397048698094097</v>
      </c>
      <c r="J291" s="189">
        <v>1.91626825161612</v>
      </c>
      <c r="K291" s="189">
        <v>2.28812082685865E-2</v>
      </c>
      <c r="L291" s="189">
        <v>8.5028929867059996E-2</v>
      </c>
      <c r="M291" s="189">
        <v>7.0614496198754498E-4</v>
      </c>
      <c r="N291" s="189">
        <v>2.32533689667542E-3</v>
      </c>
      <c r="O291" s="189">
        <v>0.24590430710633501</v>
      </c>
      <c r="P291" s="189">
        <v>0.59973252018209</v>
      </c>
      <c r="Q291" s="189">
        <v>-4.3554662979017403E-2</v>
      </c>
      <c r="R291" s="189">
        <v>0.23594652576108899</v>
      </c>
      <c r="S291" s="189">
        <v>2.3642818180899E-2</v>
      </c>
      <c r="T291" s="189">
        <v>4.9682107505214699</v>
      </c>
      <c r="U291" s="189">
        <v>4.7134652010990603</v>
      </c>
      <c r="V291" s="189">
        <v>0.51315606671279701</v>
      </c>
      <c r="W291" s="189"/>
      <c r="X291" s="90"/>
      <c r="Y291" s="188"/>
      <c r="Z291" s="188"/>
      <c r="AA291" s="188"/>
      <c r="AB291" s="188"/>
      <c r="AC291" s="188"/>
      <c r="AD291" s="190"/>
      <c r="AE291" s="189"/>
    </row>
    <row r="292" spans="1:31" ht="21.25" customHeight="1" x14ac:dyDescent="0.15">
      <c r="A292" s="9" t="s">
        <v>492</v>
      </c>
      <c r="B292" s="186" t="s">
        <v>827</v>
      </c>
      <c r="C292" s="187">
        <v>29</v>
      </c>
      <c r="D292" s="186" t="s">
        <v>865</v>
      </c>
      <c r="E292" s="90">
        <v>81.555000000000007</v>
      </c>
      <c r="F292" s="188">
        <v>15.914891211111501</v>
      </c>
      <c r="G292" s="189">
        <v>0.20743420940902699</v>
      </c>
      <c r="H292" s="189">
        <v>0.21590453603488199</v>
      </c>
      <c r="I292" s="189">
        <v>0.42333874544390898</v>
      </c>
      <c r="J292" s="189">
        <v>1.7267265122800699</v>
      </c>
      <c r="K292" s="189">
        <v>5.1981263011481302E-2</v>
      </c>
      <c r="L292" s="189">
        <v>8.1148450734531793E-2</v>
      </c>
      <c r="M292" s="189">
        <v>1.61842548967077E-3</v>
      </c>
      <c r="N292" s="189">
        <v>3.07137795906185E-3</v>
      </c>
      <c r="O292" s="189">
        <v>0.52520985098529005</v>
      </c>
      <c r="P292" s="189">
        <v>1.2284589088825</v>
      </c>
      <c r="Q292" s="189">
        <v>6.4255632611923E-3</v>
      </c>
      <c r="R292" s="189">
        <v>0.37627461896914999</v>
      </c>
      <c r="S292" s="189">
        <v>3.2683670488649799E-2</v>
      </c>
      <c r="T292" s="189">
        <v>5.8156065962132502</v>
      </c>
      <c r="U292" s="189">
        <v>5.1179302459008102</v>
      </c>
      <c r="V292" s="189">
        <v>0.53190533678110097</v>
      </c>
      <c r="W292" s="189"/>
      <c r="X292" s="90"/>
      <c r="Y292" s="188"/>
      <c r="Z292" s="188"/>
      <c r="AA292" s="188"/>
      <c r="AB292" s="188"/>
      <c r="AC292" s="188"/>
      <c r="AD292" s="190"/>
      <c r="AE292" s="189"/>
    </row>
    <row r="293" spans="1:31" ht="21.25" customHeight="1" x14ac:dyDescent="0.15">
      <c r="A293" s="9" t="s">
        <v>532</v>
      </c>
      <c r="B293" s="186" t="s">
        <v>834</v>
      </c>
      <c r="C293" s="187">
        <v>32</v>
      </c>
      <c r="D293" s="186" t="s">
        <v>816</v>
      </c>
      <c r="E293" s="90">
        <v>75.072500000000005</v>
      </c>
      <c r="F293" s="188">
        <v>13.647313524440699</v>
      </c>
      <c r="G293" s="189">
        <v>0.205750327274421</v>
      </c>
      <c r="H293" s="189">
        <v>0.21718171988825499</v>
      </c>
      <c r="I293" s="189">
        <v>0.42293204716267602</v>
      </c>
      <c r="J293" s="189">
        <v>2.0790334086184301</v>
      </c>
      <c r="K293" s="189">
        <v>3.8833282824836203E-2</v>
      </c>
      <c r="L293" s="189">
        <v>9.4588258016964896E-2</v>
      </c>
      <c r="M293" s="189">
        <v>9.7317787990046102E-5</v>
      </c>
      <c r="N293" s="189">
        <v>1.6494787260891501E-4</v>
      </c>
      <c r="O293" s="189">
        <v>0.31645780486130398</v>
      </c>
      <c r="P293" s="189">
        <v>1.60739423138333</v>
      </c>
      <c r="Q293" s="189">
        <v>5.47369245392915E-3</v>
      </c>
      <c r="R293" s="189">
        <v>0.513672511939958</v>
      </c>
      <c r="S293" s="189">
        <v>2.9104502225580899E-2</v>
      </c>
      <c r="T293" s="189">
        <v>0.12815688318401999</v>
      </c>
      <c r="U293" s="189">
        <v>0.27371474729762602</v>
      </c>
      <c r="V293" s="189">
        <v>0.31890005032309199</v>
      </c>
      <c r="W293" s="189"/>
      <c r="X293" s="90"/>
      <c r="Y293" s="189"/>
      <c r="Z293" s="189"/>
      <c r="AA293" s="189"/>
      <c r="AB293" s="189"/>
      <c r="AC293" s="188"/>
      <c r="AD293" s="190"/>
      <c r="AE293" s="189"/>
    </row>
    <row r="294" spans="1:31" ht="21.25" customHeight="1" x14ac:dyDescent="0.15">
      <c r="A294" s="9" t="s">
        <v>541</v>
      </c>
      <c r="B294" s="186" t="s">
        <v>825</v>
      </c>
      <c r="C294" s="187">
        <v>27</v>
      </c>
      <c r="D294" s="186" t="s">
        <v>815</v>
      </c>
      <c r="E294" s="90">
        <v>81.237499999999997</v>
      </c>
      <c r="F294" s="188">
        <v>13.0156902063109</v>
      </c>
      <c r="G294" s="189">
        <v>0.19730339564683599</v>
      </c>
      <c r="H294" s="189">
        <v>0.225435720442904</v>
      </c>
      <c r="I294" s="189">
        <v>0.42273911608974002</v>
      </c>
      <c r="J294" s="189">
        <v>1.7483539907835599</v>
      </c>
      <c r="K294" s="189">
        <v>1.7089523516394999E-2</v>
      </c>
      <c r="L294" s="189">
        <v>4.0690209390987303E-2</v>
      </c>
      <c r="M294" s="189">
        <v>5.9532457501662096E-4</v>
      </c>
      <c r="N294" s="189">
        <v>1.00946338720542E-3</v>
      </c>
      <c r="O294" s="189">
        <v>0.51199603079356104</v>
      </c>
      <c r="P294" s="189">
        <v>1.85793500298987</v>
      </c>
      <c r="Q294" s="189">
        <v>2.9452637607203701E-2</v>
      </c>
      <c r="R294" s="189">
        <v>0.47045869809955398</v>
      </c>
      <c r="S294" s="189">
        <v>2.9479229504982302E-2</v>
      </c>
      <c r="T294" s="189">
        <v>4.4821431019501796</v>
      </c>
      <c r="U294" s="189">
        <v>3.9429783412103201</v>
      </c>
      <c r="V294" s="189">
        <v>0.53199744741825405</v>
      </c>
      <c r="W294" s="189"/>
      <c r="X294" s="90"/>
      <c r="Y294" s="188"/>
      <c r="Z294" s="188"/>
      <c r="AA294" s="188"/>
      <c r="AB294" s="188"/>
      <c r="AC294" s="188"/>
      <c r="AD294" s="190"/>
      <c r="AE294" s="189"/>
    </row>
    <row r="295" spans="1:31" ht="21.25" customHeight="1" x14ac:dyDescent="0.15">
      <c r="A295" s="9" t="s">
        <v>553</v>
      </c>
      <c r="B295" s="186" t="s">
        <v>832</v>
      </c>
      <c r="C295" s="187">
        <v>26</v>
      </c>
      <c r="D295" s="186" t="s">
        <v>815</v>
      </c>
      <c r="E295" s="90">
        <v>81.63</v>
      </c>
      <c r="F295" s="188">
        <v>15.913239998809701</v>
      </c>
      <c r="G295" s="189">
        <v>0.170264533952109</v>
      </c>
      <c r="H295" s="189">
        <v>0.25069843395505897</v>
      </c>
      <c r="I295" s="189">
        <v>0.42096296790716797</v>
      </c>
      <c r="J295" s="189">
        <v>1.49754488046717</v>
      </c>
      <c r="K295" s="189">
        <v>1.3204163743314099E-2</v>
      </c>
      <c r="L295" s="189">
        <v>2.4510548850231899E-2</v>
      </c>
      <c r="M295" s="189">
        <v>4.7399089522512797E-3</v>
      </c>
      <c r="N295" s="189">
        <v>1.31798989004822E-2</v>
      </c>
      <c r="O295" s="189">
        <v>0.66281644893208003</v>
      </c>
      <c r="P295" s="189">
        <v>1.36618759193941</v>
      </c>
      <c r="Q295" s="189">
        <v>6.1886776886675099E-2</v>
      </c>
      <c r="R295" s="189">
        <v>0.32037114059602601</v>
      </c>
      <c r="S295" s="189">
        <v>2.9006560655210199E-2</v>
      </c>
      <c r="T295" s="189">
        <v>1.77962366160705</v>
      </c>
      <c r="U295" s="189">
        <v>2.0396446392227299</v>
      </c>
      <c r="V295" s="189">
        <v>0.46595932032855902</v>
      </c>
      <c r="W295" s="189"/>
      <c r="X295" s="90"/>
      <c r="Y295" s="188"/>
      <c r="Z295" s="188"/>
      <c r="AA295" s="188"/>
      <c r="AB295" s="188"/>
      <c r="AC295" s="188"/>
      <c r="AD295" s="190"/>
      <c r="AE295" s="189"/>
    </row>
    <row r="296" spans="1:31" ht="21.25" customHeight="1" x14ac:dyDescent="0.15">
      <c r="A296" s="9" t="s">
        <v>565</v>
      </c>
      <c r="B296" s="186" t="s">
        <v>838</v>
      </c>
      <c r="C296" s="187">
        <v>31</v>
      </c>
      <c r="D296" s="186" t="s">
        <v>865</v>
      </c>
      <c r="E296" s="90">
        <v>79.932500000000005</v>
      </c>
      <c r="F296" s="188">
        <v>14.771627202099699</v>
      </c>
      <c r="G296" s="189">
        <v>0.14752191196887299</v>
      </c>
      <c r="H296" s="189">
        <v>0.27301832530728398</v>
      </c>
      <c r="I296" s="189">
        <v>0.42054023727615703</v>
      </c>
      <c r="J296" s="189">
        <v>1.3213961105193599</v>
      </c>
      <c r="K296" s="189">
        <v>2.7470738257308301E-2</v>
      </c>
      <c r="L296" s="189">
        <v>6.5251839961744704E-2</v>
      </c>
      <c r="M296" s="189">
        <v>1.07338851233909E-2</v>
      </c>
      <c r="N296" s="189">
        <v>1.47513157604555E-2</v>
      </c>
      <c r="O296" s="189">
        <v>0.57611847034504404</v>
      </c>
      <c r="P296" s="189">
        <v>1.24704779846793</v>
      </c>
      <c r="Q296" s="189">
        <v>4.4876378601158798E-2</v>
      </c>
      <c r="R296" s="189">
        <v>0.45265070606612101</v>
      </c>
      <c r="S296" s="189">
        <v>2.45220596360823E-2</v>
      </c>
      <c r="T296" s="189">
        <v>1.96821565971367</v>
      </c>
      <c r="U296" s="189">
        <v>3.0768619684370702</v>
      </c>
      <c r="V296" s="189">
        <v>0.39012594151799301</v>
      </c>
      <c r="W296" s="189"/>
      <c r="X296" s="90"/>
      <c r="Y296" s="188"/>
      <c r="Z296" s="188"/>
      <c r="AA296" s="188"/>
      <c r="AB296" s="188"/>
      <c r="AC296" s="188"/>
      <c r="AD296" s="190"/>
      <c r="AE296" s="189"/>
    </row>
    <row r="297" spans="1:31" ht="21.25" customHeight="1" x14ac:dyDescent="0.15">
      <c r="A297" s="9" t="s">
        <v>463</v>
      </c>
      <c r="B297" s="186" t="s">
        <v>836</v>
      </c>
      <c r="C297" s="187">
        <v>34</v>
      </c>
      <c r="D297" s="186" t="s">
        <v>816</v>
      </c>
      <c r="E297" s="90">
        <v>81.252499999999998</v>
      </c>
      <c r="F297" s="188">
        <v>14.432751726882</v>
      </c>
      <c r="G297" s="189">
        <v>0.224490328049538</v>
      </c>
      <c r="H297" s="189">
        <v>0.19580279699619599</v>
      </c>
      <c r="I297" s="189">
        <v>0.42029312504573402</v>
      </c>
      <c r="J297" s="189">
        <v>2.0208770791683</v>
      </c>
      <c r="K297" s="189">
        <v>4.3386529002308202E-2</v>
      </c>
      <c r="L297" s="189">
        <v>6.8943940169340703E-2</v>
      </c>
      <c r="M297" s="189">
        <v>5.1371870536727699E-5</v>
      </c>
      <c r="N297" s="189">
        <v>8.6292198117707102E-5</v>
      </c>
      <c r="O297" s="189">
        <v>0.58929053066166004</v>
      </c>
      <c r="P297" s="189">
        <v>1.6761968159632199</v>
      </c>
      <c r="Q297" s="189">
        <v>5.3812633834795703E-2</v>
      </c>
      <c r="R297" s="189">
        <v>0.54070266792258703</v>
      </c>
      <c r="S297" s="189">
        <v>3.5280661604715699E-2</v>
      </c>
      <c r="T297" s="189">
        <v>0.31582376671479501</v>
      </c>
      <c r="U297" s="189">
        <v>0.33645017711712499</v>
      </c>
      <c r="V297" s="189">
        <v>0.48418884381525701</v>
      </c>
      <c r="W297" s="189"/>
      <c r="X297" s="90"/>
      <c r="Y297" s="188"/>
      <c r="Z297" s="188"/>
      <c r="AA297" s="188"/>
      <c r="AB297" s="188"/>
      <c r="AC297" s="188"/>
      <c r="AD297" s="190"/>
      <c r="AE297" s="189"/>
    </row>
    <row r="298" spans="1:31" ht="21.25" customHeight="1" x14ac:dyDescent="0.15">
      <c r="A298" s="9" t="s">
        <v>308</v>
      </c>
      <c r="B298" s="186" t="s">
        <v>849</v>
      </c>
      <c r="C298" s="187">
        <v>30</v>
      </c>
      <c r="D298" s="186" t="s">
        <v>818</v>
      </c>
      <c r="E298" s="90">
        <v>80.727500000000006</v>
      </c>
      <c r="F298" s="188">
        <v>21.61316025208</v>
      </c>
      <c r="G298" s="189">
        <v>7.3856152866680402E-2</v>
      </c>
      <c r="H298" s="189">
        <v>0.34643693379755702</v>
      </c>
      <c r="I298" s="189">
        <v>0.42029308666423698</v>
      </c>
      <c r="J298" s="189">
        <v>1.8371802378439299</v>
      </c>
      <c r="K298" s="189">
        <v>1.4393616334711799E-3</v>
      </c>
      <c r="L298" s="189">
        <v>9.1223484849516003E-3</v>
      </c>
      <c r="M298" s="189">
        <v>9.7316959149639799E-3</v>
      </c>
      <c r="N298" s="189">
        <v>1.72404886081662E-2</v>
      </c>
      <c r="O298" s="189">
        <v>1.50538911575624</v>
      </c>
      <c r="P298" s="189">
        <v>0.72735865159416702</v>
      </c>
      <c r="Q298" s="189">
        <v>0.102682281256413</v>
      </c>
      <c r="R298" s="189">
        <v>0.17916894794501001</v>
      </c>
      <c r="S298" s="189">
        <v>1.27982067413449E-2</v>
      </c>
      <c r="T298" s="189">
        <v>0</v>
      </c>
      <c r="U298" s="189">
        <v>0</v>
      </c>
      <c r="V298" s="189">
        <v>0</v>
      </c>
      <c r="W298" s="189"/>
      <c r="X298" s="90"/>
      <c r="Y298" s="188"/>
      <c r="Z298" s="188"/>
      <c r="AA298" s="188"/>
      <c r="AB298" s="188"/>
      <c r="AC298" s="188"/>
      <c r="AD298" s="190"/>
      <c r="AE298" s="189"/>
    </row>
    <row r="299" spans="1:31" ht="21.25" customHeight="1" x14ac:dyDescent="0.15">
      <c r="A299" s="9" t="s">
        <v>549</v>
      </c>
      <c r="B299" s="186" t="s">
        <v>842</v>
      </c>
      <c r="C299" s="187">
        <v>30</v>
      </c>
      <c r="D299" s="186" t="s">
        <v>865</v>
      </c>
      <c r="E299" s="90">
        <v>80.497500000000002</v>
      </c>
      <c r="F299" s="188">
        <v>15.583692300026801</v>
      </c>
      <c r="G299" s="189">
        <v>0.13971565855024301</v>
      </c>
      <c r="H299" s="189">
        <v>0.27918941989874202</v>
      </c>
      <c r="I299" s="189">
        <v>0.418905078448985</v>
      </c>
      <c r="J299" s="189">
        <v>1.4283779371549199</v>
      </c>
      <c r="K299" s="189">
        <v>1.38680585313843E-2</v>
      </c>
      <c r="L299" s="189">
        <v>4.3409731228974097E-2</v>
      </c>
      <c r="M299" s="189">
        <v>1.17227578232441E-2</v>
      </c>
      <c r="N299" s="189">
        <v>2.6865845104543599E-2</v>
      </c>
      <c r="O299" s="189">
        <v>0.57863843180142804</v>
      </c>
      <c r="P299" s="189">
        <v>0.50269149419048997</v>
      </c>
      <c r="Q299" s="189">
        <v>-3.6462380190269102E-2</v>
      </c>
      <c r="R299" s="189">
        <v>0.29008553609224302</v>
      </c>
      <c r="S299" s="189">
        <v>1.9188920905098401E-2</v>
      </c>
      <c r="T299" s="189">
        <v>6.1163315789103603</v>
      </c>
      <c r="U299" s="189">
        <v>5.62997447685827</v>
      </c>
      <c r="V299" s="189">
        <v>0.520702555328585</v>
      </c>
      <c r="W299" s="189"/>
      <c r="X299" s="90"/>
      <c r="Y299" s="188"/>
      <c r="Z299" s="188"/>
      <c r="AA299" s="188"/>
      <c r="AB299" s="188"/>
      <c r="AC299" s="188"/>
      <c r="AD299" s="190"/>
      <c r="AE299" s="189"/>
    </row>
    <row r="300" spans="1:31" ht="21.25" customHeight="1" x14ac:dyDescent="0.15">
      <c r="A300" s="9" t="s">
        <v>320</v>
      </c>
      <c r="B300" s="186" t="s">
        <v>854</v>
      </c>
      <c r="C300" s="187">
        <v>22</v>
      </c>
      <c r="D300" s="186" t="s">
        <v>818</v>
      </c>
      <c r="E300" s="90">
        <v>72.662499999999994</v>
      </c>
      <c r="F300" s="188">
        <v>22.236525189141702</v>
      </c>
      <c r="G300" s="189">
        <v>0.103109328047501</v>
      </c>
      <c r="H300" s="189">
        <v>0.31557473795971303</v>
      </c>
      <c r="I300" s="189">
        <v>0.41868406600721397</v>
      </c>
      <c r="J300" s="189">
        <v>1.4915916058710901</v>
      </c>
      <c r="K300" s="189">
        <v>1.10571047193858E-3</v>
      </c>
      <c r="L300" s="189">
        <v>7.0334512772905E-3</v>
      </c>
      <c r="M300" s="189">
        <v>5.1188522485097097E-4</v>
      </c>
      <c r="N300" s="189">
        <v>2.1791382636620199E-3</v>
      </c>
      <c r="O300" s="189">
        <v>2.34781578096085</v>
      </c>
      <c r="P300" s="189">
        <v>1.61397672536845</v>
      </c>
      <c r="Q300" s="189">
        <v>-7.7211667942923307E-2</v>
      </c>
      <c r="R300" s="189">
        <v>0.72137266006881196</v>
      </c>
      <c r="S300" s="189">
        <v>1.1950502344319099E-2</v>
      </c>
      <c r="T300" s="189">
        <v>0</v>
      </c>
      <c r="U300" s="189">
        <v>0</v>
      </c>
      <c r="V300" s="189">
        <v>0</v>
      </c>
      <c r="W300" s="189"/>
      <c r="X300" s="90"/>
      <c r="Y300" s="188"/>
      <c r="Z300" s="188"/>
      <c r="AA300" s="188"/>
      <c r="AB300" s="188"/>
      <c r="AC300" s="188"/>
      <c r="AD300" s="190"/>
      <c r="AE300" s="189"/>
    </row>
    <row r="301" spans="1:31" ht="21.25" customHeight="1" x14ac:dyDescent="0.15">
      <c r="A301" s="9" t="s">
        <v>310</v>
      </c>
      <c r="B301" s="186" t="s">
        <v>824</v>
      </c>
      <c r="C301" s="187">
        <v>34</v>
      </c>
      <c r="D301" s="186" t="s">
        <v>818</v>
      </c>
      <c r="E301" s="90">
        <v>80.347499999999997</v>
      </c>
      <c r="F301" s="188">
        <v>21.462720012458</v>
      </c>
      <c r="G301" s="189">
        <v>0.101184962581135</v>
      </c>
      <c r="H301" s="189">
        <v>0.31714042222804401</v>
      </c>
      <c r="I301" s="189">
        <v>0.41832538480917902</v>
      </c>
      <c r="J301" s="189">
        <v>1.9642281481447399</v>
      </c>
      <c r="K301" s="189">
        <v>8.1315530410796706E-3</v>
      </c>
      <c r="L301" s="189">
        <v>3.5623855399883102E-2</v>
      </c>
      <c r="M301" s="189">
        <v>5.4251932696699401E-3</v>
      </c>
      <c r="N301" s="189">
        <v>1.1493251115374199E-2</v>
      </c>
      <c r="O301" s="189">
        <v>1.3527337523326199</v>
      </c>
      <c r="P301" s="189">
        <v>1.53159589768912</v>
      </c>
      <c r="Q301" s="189">
        <v>0.14197352756289899</v>
      </c>
      <c r="R301" s="189">
        <v>0.51604452807222301</v>
      </c>
      <c r="S301" s="189">
        <v>1.6338857770460201E-2</v>
      </c>
      <c r="T301" s="189">
        <v>0</v>
      </c>
      <c r="U301" s="189">
        <v>0</v>
      </c>
      <c r="V301" s="189">
        <v>0</v>
      </c>
      <c r="W301" s="189"/>
      <c r="X301" s="90"/>
      <c r="Y301" s="188"/>
      <c r="Z301" s="188"/>
      <c r="AA301" s="188"/>
      <c r="AB301" s="188"/>
      <c r="AC301" s="188"/>
      <c r="AD301" s="190"/>
      <c r="AE301" s="189"/>
    </row>
    <row r="302" spans="1:31" ht="21.25" customHeight="1" x14ac:dyDescent="0.15">
      <c r="A302" s="9" t="s">
        <v>356</v>
      </c>
      <c r="B302" s="186" t="s">
        <v>852</v>
      </c>
      <c r="C302" s="187">
        <v>30</v>
      </c>
      <c r="D302" s="186" t="s">
        <v>818</v>
      </c>
      <c r="E302" s="90">
        <v>79.03</v>
      </c>
      <c r="F302" s="188">
        <v>20.942894200668501</v>
      </c>
      <c r="G302" s="189">
        <v>0.102293545426168</v>
      </c>
      <c r="H302" s="189">
        <v>0.31396510569535402</v>
      </c>
      <c r="I302" s="189">
        <v>0.41625865112152199</v>
      </c>
      <c r="J302" s="189">
        <v>1.3920883513522699</v>
      </c>
      <c r="K302" s="189">
        <v>1.1283843667739501E-2</v>
      </c>
      <c r="L302" s="189">
        <v>5.1490386636981203E-2</v>
      </c>
      <c r="M302" s="189">
        <v>2.7289663870214199E-3</v>
      </c>
      <c r="N302" s="189">
        <v>9.6912763996761693E-3</v>
      </c>
      <c r="O302" s="189">
        <v>1.3469059835500701</v>
      </c>
      <c r="P302" s="189">
        <v>0.774604638111276</v>
      </c>
      <c r="Q302" s="189">
        <v>-9.0784945447416193E-2</v>
      </c>
      <c r="R302" s="189">
        <v>0.60290779671713401</v>
      </c>
      <c r="S302" s="189">
        <v>1.1312065141337301E-2</v>
      </c>
      <c r="T302" s="189">
        <v>0</v>
      </c>
      <c r="U302" s="189">
        <v>0</v>
      </c>
      <c r="V302" s="189">
        <v>0</v>
      </c>
      <c r="W302" s="189"/>
      <c r="X302" s="90"/>
      <c r="Y302" s="188"/>
      <c r="Z302" s="188"/>
      <c r="AA302" s="188"/>
      <c r="AB302" s="188"/>
      <c r="AC302" s="188"/>
      <c r="AD302" s="190"/>
      <c r="AE302" s="189"/>
    </row>
    <row r="303" spans="1:31" ht="21.25" customHeight="1" x14ac:dyDescent="0.15">
      <c r="A303" s="9" t="s">
        <v>344</v>
      </c>
      <c r="B303" s="186" t="s">
        <v>858</v>
      </c>
      <c r="C303" s="187">
        <v>32</v>
      </c>
      <c r="D303" s="186" t="s">
        <v>818</v>
      </c>
      <c r="E303" s="90">
        <v>81.252499999999998</v>
      </c>
      <c r="F303" s="188">
        <v>21.9859543660843</v>
      </c>
      <c r="G303" s="189">
        <v>6.9107530872333706E-2</v>
      </c>
      <c r="H303" s="189">
        <v>0.34380530132294301</v>
      </c>
      <c r="I303" s="189">
        <v>0.41291283219527702</v>
      </c>
      <c r="J303" s="189">
        <v>1.2316339664940801</v>
      </c>
      <c r="K303" s="189">
        <v>2.3023633850528E-2</v>
      </c>
      <c r="L303" s="189">
        <v>0.118092855359391</v>
      </c>
      <c r="M303" s="189">
        <v>2.9233858769939903E-4</v>
      </c>
      <c r="N303" s="189">
        <v>6.28884609122503E-3</v>
      </c>
      <c r="O303" s="189">
        <v>1.4002835769617801</v>
      </c>
      <c r="P303" s="189">
        <v>0.57660918273753003</v>
      </c>
      <c r="Q303" s="189">
        <v>-0.12242919783143701</v>
      </c>
      <c r="R303" s="189">
        <v>0.27557744009589102</v>
      </c>
      <c r="S303" s="189">
        <v>8.0551426537962701E-3</v>
      </c>
      <c r="T303" s="189">
        <v>0</v>
      </c>
      <c r="U303" s="189">
        <v>0</v>
      </c>
      <c r="V303" s="189">
        <v>0</v>
      </c>
      <c r="W303" s="189"/>
      <c r="X303" s="90"/>
      <c r="Y303" s="188"/>
      <c r="Z303" s="188"/>
      <c r="AA303" s="188"/>
      <c r="AB303" s="188"/>
      <c r="AC303" s="188"/>
      <c r="AD303" s="190"/>
      <c r="AE303" s="189"/>
    </row>
    <row r="304" spans="1:31" ht="21.25" customHeight="1" x14ac:dyDescent="0.15">
      <c r="A304" s="9" t="s">
        <v>551</v>
      </c>
      <c r="B304" s="186" t="s">
        <v>836</v>
      </c>
      <c r="C304" s="187">
        <v>31</v>
      </c>
      <c r="D304" s="186" t="s">
        <v>815</v>
      </c>
      <c r="E304" s="90">
        <v>79.88</v>
      </c>
      <c r="F304" s="188">
        <v>15.722813395387201</v>
      </c>
      <c r="G304" s="189">
        <v>0.139595589362246</v>
      </c>
      <c r="H304" s="189">
        <v>0.26909035092629902</v>
      </c>
      <c r="I304" s="189">
        <v>0.40868594028854499</v>
      </c>
      <c r="J304" s="189">
        <v>1.33207269326944</v>
      </c>
      <c r="K304" s="189">
        <v>2.6175924459870398E-2</v>
      </c>
      <c r="L304" s="189">
        <v>5.1976033561030498E-2</v>
      </c>
      <c r="M304" s="189">
        <v>1.6105564643811899E-2</v>
      </c>
      <c r="N304" s="189">
        <v>5.6310852919327602E-2</v>
      </c>
      <c r="O304" s="189">
        <v>0.88977041047112304</v>
      </c>
      <c r="P304" s="189">
        <v>2.1032364679611502</v>
      </c>
      <c r="Q304" s="189">
        <v>1.4450374344531501E-2</v>
      </c>
      <c r="R304" s="189">
        <v>0.251491270330435</v>
      </c>
      <c r="S304" s="189">
        <v>2.1938694609210298E-2</v>
      </c>
      <c r="T304" s="189">
        <v>8.4414876023482002</v>
      </c>
      <c r="U304" s="189">
        <v>6.6266319776201499</v>
      </c>
      <c r="V304" s="189">
        <v>0.56022170235298396</v>
      </c>
      <c r="W304" s="189"/>
      <c r="X304" s="90"/>
      <c r="Y304" s="188"/>
      <c r="Z304" s="188"/>
      <c r="AA304" s="188"/>
      <c r="AB304" s="188"/>
      <c r="AC304" s="188"/>
      <c r="AD304" s="190"/>
      <c r="AE304" s="189"/>
    </row>
    <row r="305" spans="1:31" ht="21.25" customHeight="1" x14ac:dyDescent="0.15">
      <c r="A305" s="9" t="s">
        <v>567</v>
      </c>
      <c r="B305" s="186" t="s">
        <v>851</v>
      </c>
      <c r="C305" s="187">
        <v>32</v>
      </c>
      <c r="D305" s="186" t="s">
        <v>815</v>
      </c>
      <c r="E305" s="90">
        <v>77.915000000000006</v>
      </c>
      <c r="F305" s="188">
        <v>15.517239328308699</v>
      </c>
      <c r="G305" s="189">
        <v>0.20762457806555901</v>
      </c>
      <c r="H305" s="189">
        <v>0.19981799789874499</v>
      </c>
      <c r="I305" s="189">
        <v>0.407442575964304</v>
      </c>
      <c r="J305" s="189">
        <v>1.8254779535882499</v>
      </c>
      <c r="K305" s="189">
        <v>7.01659550721709E-3</v>
      </c>
      <c r="L305" s="189">
        <v>1.66019674179466E-2</v>
      </c>
      <c r="M305" s="189">
        <v>1.18394173461682E-2</v>
      </c>
      <c r="N305" s="189">
        <v>1.3433358483433499E-2</v>
      </c>
      <c r="O305" s="189">
        <v>0.58116139914665899</v>
      </c>
      <c r="P305" s="189">
        <v>1.5999265604036199</v>
      </c>
      <c r="Q305" s="189">
        <v>1.6738989234983698E-2</v>
      </c>
      <c r="R305" s="189">
        <v>0.49227255581812801</v>
      </c>
      <c r="S305" s="189">
        <v>3.0381578447563399E-2</v>
      </c>
      <c r="T305" s="189">
        <v>6.8990288909658002</v>
      </c>
      <c r="U305" s="189">
        <v>7.0482571005729202</v>
      </c>
      <c r="V305" s="189">
        <v>0.494650277849839</v>
      </c>
      <c r="W305" s="189"/>
      <c r="X305" s="90"/>
      <c r="Y305" s="188"/>
      <c r="Z305" s="188"/>
      <c r="AA305" s="188"/>
      <c r="AB305" s="188"/>
      <c r="AC305" s="188"/>
      <c r="AD305" s="190"/>
      <c r="AE305" s="189"/>
    </row>
    <row r="306" spans="1:31" ht="21.25" customHeight="1" x14ac:dyDescent="0.15">
      <c r="A306" s="9" t="s">
        <v>339</v>
      </c>
      <c r="B306" s="186" t="s">
        <v>856</v>
      </c>
      <c r="C306" s="187">
        <v>23</v>
      </c>
      <c r="D306" s="186" t="s">
        <v>818</v>
      </c>
      <c r="E306" s="90">
        <v>72.98</v>
      </c>
      <c r="F306" s="188">
        <v>22.623683920650201</v>
      </c>
      <c r="G306" s="189">
        <v>0.100258782856777</v>
      </c>
      <c r="H306" s="189">
        <v>0.30676101171242598</v>
      </c>
      <c r="I306" s="189">
        <v>0.40701979456920301</v>
      </c>
      <c r="J306" s="189">
        <v>1.4935567707762201</v>
      </c>
      <c r="K306" s="189">
        <v>6.5816708580990896E-3</v>
      </c>
      <c r="L306" s="189">
        <v>9.0426723291693198E-2</v>
      </c>
      <c r="M306" s="189">
        <v>5.4632664326004904E-4</v>
      </c>
      <c r="N306" s="189">
        <v>2.5109718857740299E-2</v>
      </c>
      <c r="O306" s="189">
        <v>1.97612543996788</v>
      </c>
      <c r="P306" s="189">
        <v>1.0371716547403</v>
      </c>
      <c r="Q306" s="189">
        <v>-4.5205490030738302E-2</v>
      </c>
      <c r="R306" s="189">
        <v>0.48346730936316201</v>
      </c>
      <c r="S306" s="189">
        <v>1.45324631532386E-2</v>
      </c>
      <c r="T306" s="189">
        <v>0</v>
      </c>
      <c r="U306" s="189">
        <v>0</v>
      </c>
      <c r="V306" s="189">
        <v>0</v>
      </c>
      <c r="W306" s="189"/>
      <c r="X306" s="90"/>
      <c r="Y306" s="188"/>
      <c r="Z306" s="188"/>
      <c r="AA306" s="188"/>
      <c r="AB306" s="188"/>
      <c r="AC306" s="188"/>
      <c r="AD306" s="190"/>
      <c r="AE306" s="189"/>
    </row>
    <row r="307" spans="1:31" ht="21.25" customHeight="1" x14ac:dyDescent="0.15">
      <c r="A307" s="9" t="s">
        <v>626</v>
      </c>
      <c r="B307" s="186" t="s">
        <v>851</v>
      </c>
      <c r="C307" s="187">
        <v>24</v>
      </c>
      <c r="D307" s="186" t="s">
        <v>815</v>
      </c>
      <c r="E307" s="90">
        <v>71.132499999999993</v>
      </c>
      <c r="F307" s="188">
        <v>15.473124964981899</v>
      </c>
      <c r="G307" s="189">
        <v>0.16959503690564801</v>
      </c>
      <c r="H307" s="189">
        <v>0.23644898177917101</v>
      </c>
      <c r="I307" s="189">
        <v>0.40604401868481899</v>
      </c>
      <c r="J307" s="189">
        <v>1.7174619630633099</v>
      </c>
      <c r="K307" s="189">
        <v>2.2816750908812501E-2</v>
      </c>
      <c r="L307" s="189">
        <v>5.6569100565995102E-2</v>
      </c>
      <c r="M307" s="189">
        <v>1.054876061731E-3</v>
      </c>
      <c r="N307" s="189">
        <v>4.4139960222993298E-3</v>
      </c>
      <c r="O307" s="189">
        <v>0.43363962520452798</v>
      </c>
      <c r="P307" s="189">
        <v>0.84661401425909399</v>
      </c>
      <c r="Q307" s="189">
        <v>-2.8312951943576599E-3</v>
      </c>
      <c r="R307" s="189">
        <v>0.41470259577860802</v>
      </c>
      <c r="S307" s="189">
        <v>2.48167387795457E-2</v>
      </c>
      <c r="T307" s="189">
        <v>6.2217420839248101</v>
      </c>
      <c r="U307" s="189">
        <v>6.2144960989807503</v>
      </c>
      <c r="V307" s="189">
        <v>0.50029132543288002</v>
      </c>
      <c r="W307" s="189"/>
      <c r="X307" s="90"/>
      <c r="Y307" s="188"/>
      <c r="Z307" s="188"/>
      <c r="AA307" s="188"/>
      <c r="AB307" s="188"/>
      <c r="AC307" s="188"/>
      <c r="AD307" s="190"/>
      <c r="AE307" s="189"/>
    </row>
    <row r="308" spans="1:31" ht="21.25" customHeight="1" x14ac:dyDescent="0.15">
      <c r="A308" s="9" t="s">
        <v>444</v>
      </c>
      <c r="B308" s="186" t="s">
        <v>859</v>
      </c>
      <c r="C308" s="187">
        <v>23</v>
      </c>
      <c r="D308" s="186" t="s">
        <v>818</v>
      </c>
      <c r="E308" s="90">
        <v>65.790000000000006</v>
      </c>
      <c r="F308" s="188">
        <v>19.895240378052598</v>
      </c>
      <c r="G308" s="189">
        <v>0.10395645030687201</v>
      </c>
      <c r="H308" s="189">
        <v>0.30201976473435099</v>
      </c>
      <c r="I308" s="189">
        <v>0.405976215041223</v>
      </c>
      <c r="J308" s="189">
        <v>1.1576865239431899</v>
      </c>
      <c r="K308" s="189">
        <v>7.4874274841367106E-2</v>
      </c>
      <c r="L308" s="189">
        <v>0.22768844634463101</v>
      </c>
      <c r="M308" s="189">
        <v>2.7908193034857903E-4</v>
      </c>
      <c r="N308" s="189">
        <v>1.3729357939903199E-3</v>
      </c>
      <c r="O308" s="189">
        <v>1.3346214143639299</v>
      </c>
      <c r="P308" s="189">
        <v>0.83142621162118402</v>
      </c>
      <c r="Q308" s="189">
        <v>-0.13965874969902101</v>
      </c>
      <c r="R308" s="189">
        <v>0.382212545033778</v>
      </c>
      <c r="S308" s="189">
        <v>1.1103601443330899E-2</v>
      </c>
      <c r="T308" s="189">
        <v>0</v>
      </c>
      <c r="U308" s="189">
        <v>0</v>
      </c>
      <c r="V308" s="189">
        <v>0</v>
      </c>
      <c r="W308" s="189"/>
      <c r="X308" s="90"/>
      <c r="Y308" s="188"/>
      <c r="Z308" s="188"/>
      <c r="AA308" s="188"/>
      <c r="AB308" s="188"/>
      <c r="AC308" s="188"/>
      <c r="AD308" s="190"/>
      <c r="AE308" s="189"/>
    </row>
    <row r="309" spans="1:31" ht="21.25" customHeight="1" x14ac:dyDescent="0.15">
      <c r="A309" s="9" t="s">
        <v>667</v>
      </c>
      <c r="B309" s="186" t="s">
        <v>844</v>
      </c>
      <c r="C309" s="187">
        <v>28</v>
      </c>
      <c r="D309" s="186" t="s">
        <v>816</v>
      </c>
      <c r="E309" s="90">
        <v>72.097499999999997</v>
      </c>
      <c r="F309" s="188">
        <v>12.788692690227499</v>
      </c>
      <c r="G309" s="189">
        <v>0.18804201606950299</v>
      </c>
      <c r="H309" s="189">
        <v>0.215323959807878</v>
      </c>
      <c r="I309" s="189">
        <v>0.40336597587738099</v>
      </c>
      <c r="J309" s="189">
        <v>1.1678533994559199</v>
      </c>
      <c r="K309" s="189">
        <v>3.80324390796353E-2</v>
      </c>
      <c r="L309" s="189">
        <v>7.7383060048812E-2</v>
      </c>
      <c r="M309" s="189">
        <v>2.7908030497880701E-5</v>
      </c>
      <c r="N309" s="189">
        <v>4.7347440041958701E-5</v>
      </c>
      <c r="O309" s="189">
        <v>0.31457801010092201</v>
      </c>
      <c r="P309" s="189">
        <v>0.60388363467286998</v>
      </c>
      <c r="Q309" s="189">
        <v>-1.12800148940434E-2</v>
      </c>
      <c r="R309" s="189">
        <v>0.237575946914798</v>
      </c>
      <c r="S309" s="189">
        <v>2.6685519193354799E-2</v>
      </c>
      <c r="T309" s="189">
        <v>0</v>
      </c>
      <c r="U309" s="189">
        <v>5.3158458890131804E-3</v>
      </c>
      <c r="V309" s="189">
        <v>0</v>
      </c>
      <c r="W309" s="189"/>
      <c r="X309" s="90"/>
      <c r="Y309" s="188"/>
      <c r="Z309" s="188"/>
      <c r="AA309" s="188"/>
      <c r="AB309" s="188"/>
      <c r="AC309" s="188"/>
      <c r="AD309" s="190"/>
      <c r="AE309" s="189"/>
    </row>
    <row r="310" spans="1:31" ht="21.25" customHeight="1" x14ac:dyDescent="0.15">
      <c r="A310" s="9" t="s">
        <v>357</v>
      </c>
      <c r="B310" s="186" t="s">
        <v>850</v>
      </c>
      <c r="C310" s="187">
        <v>21</v>
      </c>
      <c r="D310" s="186" t="s">
        <v>818</v>
      </c>
      <c r="E310" s="90">
        <v>69.224999999999994</v>
      </c>
      <c r="F310" s="188">
        <v>18.7807766049694</v>
      </c>
      <c r="G310" s="189">
        <v>8.8193570543394204E-2</v>
      </c>
      <c r="H310" s="189">
        <v>0.31121702030979598</v>
      </c>
      <c r="I310" s="189">
        <v>0.39941059085318997</v>
      </c>
      <c r="J310" s="189">
        <v>1.83261853106087</v>
      </c>
      <c r="K310" s="189">
        <v>1.0785829144839E-2</v>
      </c>
      <c r="L310" s="189">
        <v>0.15947515794921599</v>
      </c>
      <c r="M310" s="189">
        <v>4.0146691444567002E-4</v>
      </c>
      <c r="N310" s="189">
        <v>1.9634013555648502E-3</v>
      </c>
      <c r="O310" s="189">
        <v>1.56146945169176</v>
      </c>
      <c r="P310" s="189">
        <v>1.18004639792328</v>
      </c>
      <c r="Q310" s="189">
        <v>9.9691583671289493E-3</v>
      </c>
      <c r="R310" s="189">
        <v>0.57515268241968698</v>
      </c>
      <c r="S310" s="189">
        <v>1.57171235215047E-2</v>
      </c>
      <c r="T310" s="189">
        <v>0</v>
      </c>
      <c r="U310" s="189">
        <v>0</v>
      </c>
      <c r="V310" s="189">
        <v>0</v>
      </c>
      <c r="W310" s="189"/>
      <c r="X310" s="90"/>
      <c r="Y310" s="188"/>
      <c r="Z310" s="188"/>
      <c r="AA310" s="188"/>
      <c r="AB310" s="188"/>
      <c r="AC310" s="188"/>
      <c r="AD310" s="190"/>
      <c r="AE310" s="189"/>
    </row>
    <row r="311" spans="1:31" ht="21.25" customHeight="1" x14ac:dyDescent="0.15">
      <c r="A311" s="9" t="s">
        <v>284</v>
      </c>
      <c r="B311" s="186" t="s">
        <v>824</v>
      </c>
      <c r="C311" s="187">
        <v>29</v>
      </c>
      <c r="D311" s="186" t="s">
        <v>818</v>
      </c>
      <c r="E311" s="90">
        <v>80.752499999999998</v>
      </c>
      <c r="F311" s="188">
        <v>20.6573875240551</v>
      </c>
      <c r="G311" s="189">
        <v>0.108134461614374</v>
      </c>
      <c r="H311" s="189">
        <v>0.29095764783012701</v>
      </c>
      <c r="I311" s="189">
        <v>0.39909210944450102</v>
      </c>
      <c r="J311" s="189">
        <v>2.0740158826497002</v>
      </c>
      <c r="K311" s="189">
        <v>5.3972137018151803E-3</v>
      </c>
      <c r="L311" s="189">
        <v>4.1725601492910602E-2</v>
      </c>
      <c r="M311" s="189">
        <v>1.38319658861428E-2</v>
      </c>
      <c r="N311" s="189">
        <v>1.6677368874005699E-2</v>
      </c>
      <c r="O311" s="189">
        <v>1.86268295148013</v>
      </c>
      <c r="P311" s="189">
        <v>1.7853050958299601</v>
      </c>
      <c r="Q311" s="189">
        <v>7.9458043878150503E-2</v>
      </c>
      <c r="R311" s="189">
        <v>0.65514902811318598</v>
      </c>
      <c r="S311" s="189">
        <v>1.7461029221470001E-2</v>
      </c>
      <c r="T311" s="189">
        <v>0</v>
      </c>
      <c r="U311" s="189">
        <v>0</v>
      </c>
      <c r="V311" s="189">
        <v>0</v>
      </c>
      <c r="W311" s="189"/>
      <c r="X311" s="90"/>
      <c r="Y311" s="188"/>
      <c r="Z311" s="188"/>
      <c r="AA311" s="188"/>
      <c r="AB311" s="188"/>
      <c r="AC311" s="188"/>
      <c r="AD311" s="190"/>
      <c r="AE311" s="189"/>
    </row>
    <row r="312" spans="1:31" ht="21.25" customHeight="1" x14ac:dyDescent="0.15">
      <c r="A312" s="9" t="s">
        <v>620</v>
      </c>
      <c r="B312" s="186" t="s">
        <v>844</v>
      </c>
      <c r="C312" s="187">
        <v>23</v>
      </c>
      <c r="D312" s="186" t="s">
        <v>815</v>
      </c>
      <c r="E312" s="90">
        <v>73.12</v>
      </c>
      <c r="F312" s="188">
        <v>14.501291792403901</v>
      </c>
      <c r="G312" s="189">
        <v>0.11148246217760401</v>
      </c>
      <c r="H312" s="189">
        <v>0.28656922141497398</v>
      </c>
      <c r="I312" s="189">
        <v>0.39805168359257798</v>
      </c>
      <c r="J312" s="189">
        <v>1.57147279867649</v>
      </c>
      <c r="K312" s="189">
        <v>2.7780513508313199E-3</v>
      </c>
      <c r="L312" s="189">
        <v>6.99174433248171E-3</v>
      </c>
      <c r="M312" s="189">
        <v>2.8852012788728198E-3</v>
      </c>
      <c r="N312" s="189">
        <v>1.7019576274315398E-2</v>
      </c>
      <c r="O312" s="189">
        <v>0.60780311187256097</v>
      </c>
      <c r="P312" s="189">
        <v>0.63213331338831702</v>
      </c>
      <c r="Q312" s="189">
        <v>-1.41449385730765E-2</v>
      </c>
      <c r="R312" s="189">
        <v>0.20473875314366899</v>
      </c>
      <c r="S312" s="189">
        <v>1.5820758819472099E-2</v>
      </c>
      <c r="T312" s="189">
        <v>0.62118602047590998</v>
      </c>
      <c r="U312" s="189">
        <v>0.98516719563331401</v>
      </c>
      <c r="V312" s="189">
        <v>0.38670574705885402</v>
      </c>
      <c r="W312" s="189"/>
      <c r="X312" s="90"/>
      <c r="Y312" s="188"/>
      <c r="Z312" s="188"/>
      <c r="AA312" s="188"/>
      <c r="AB312" s="188"/>
      <c r="AC312" s="188"/>
      <c r="AD312" s="190"/>
      <c r="AE312" s="189"/>
    </row>
    <row r="313" spans="1:31" ht="21.25" customHeight="1" x14ac:dyDescent="0.15">
      <c r="A313" s="9" t="s">
        <v>313</v>
      </c>
      <c r="B313" s="186" t="s">
        <v>838</v>
      </c>
      <c r="C313" s="187">
        <v>29</v>
      </c>
      <c r="D313" s="186" t="s">
        <v>818</v>
      </c>
      <c r="E313" s="90">
        <v>81.53</v>
      </c>
      <c r="F313" s="188">
        <v>20.943641776303501</v>
      </c>
      <c r="G313" s="189">
        <v>7.4294177674559203E-2</v>
      </c>
      <c r="H313" s="189">
        <v>0.32272752451724601</v>
      </c>
      <c r="I313" s="189">
        <v>0.39702170219180499</v>
      </c>
      <c r="J313" s="189">
        <v>1.70591590468237</v>
      </c>
      <c r="K313" s="189">
        <v>1.1723741863514501E-2</v>
      </c>
      <c r="L313" s="189">
        <v>8.4376715476600903E-2</v>
      </c>
      <c r="M313" s="189">
        <v>3.9990816308432402E-4</v>
      </c>
      <c r="N313" s="189">
        <v>4.9651860425280999E-3</v>
      </c>
      <c r="O313" s="189">
        <v>1.5006188425087199</v>
      </c>
      <c r="P313" s="189">
        <v>2.2774908578667801</v>
      </c>
      <c r="Q313" s="189">
        <v>9.6970090912091508E-3</v>
      </c>
      <c r="R313" s="189">
        <v>0.62226064935198599</v>
      </c>
      <c r="S313" s="189">
        <v>1.2349665424168601E-2</v>
      </c>
      <c r="T313" s="189">
        <v>0</v>
      </c>
      <c r="U313" s="189">
        <v>0</v>
      </c>
      <c r="V313" s="189">
        <v>0</v>
      </c>
      <c r="W313" s="189"/>
      <c r="X313" s="90"/>
      <c r="Y313" s="188"/>
      <c r="Z313" s="188"/>
      <c r="AA313" s="188"/>
      <c r="AB313" s="188"/>
      <c r="AC313" s="188"/>
      <c r="AD313" s="190"/>
      <c r="AE313" s="189"/>
    </row>
    <row r="314" spans="1:31" ht="21.25" customHeight="1" x14ac:dyDescent="0.15">
      <c r="A314" s="9" t="s">
        <v>421</v>
      </c>
      <c r="B314" s="186" t="s">
        <v>856</v>
      </c>
      <c r="C314" s="187">
        <v>22</v>
      </c>
      <c r="D314" s="186" t="s">
        <v>818</v>
      </c>
      <c r="E314" s="90">
        <v>63.234999999999999</v>
      </c>
      <c r="F314" s="188">
        <v>20.868463182383199</v>
      </c>
      <c r="G314" s="189">
        <v>7.7132799102749103E-2</v>
      </c>
      <c r="H314" s="189">
        <v>0.31851880712215502</v>
      </c>
      <c r="I314" s="189">
        <v>0.39565160622490397</v>
      </c>
      <c r="J314" s="189">
        <v>1.72211388916427</v>
      </c>
      <c r="K314" s="189">
        <v>1.7449615158569999E-2</v>
      </c>
      <c r="L314" s="189">
        <v>0.134879002454487</v>
      </c>
      <c r="M314" s="189">
        <v>3.5347715103433401E-4</v>
      </c>
      <c r="N314" s="189">
        <v>8.2033772104729303E-3</v>
      </c>
      <c r="O314" s="189">
        <v>1.3660098352237899</v>
      </c>
      <c r="P314" s="189">
        <v>0.98895410358836999</v>
      </c>
      <c r="Q314" s="189">
        <v>-3.09355109211659E-2</v>
      </c>
      <c r="R314" s="189">
        <v>0.32319180313816898</v>
      </c>
      <c r="S314" s="189">
        <v>1.1180362746554999E-2</v>
      </c>
      <c r="T314" s="189">
        <v>0</v>
      </c>
      <c r="U314" s="189">
        <v>0</v>
      </c>
      <c r="V314" s="189">
        <v>0</v>
      </c>
      <c r="W314" s="189"/>
      <c r="X314" s="90"/>
      <c r="Y314" s="188"/>
      <c r="Z314" s="188"/>
      <c r="AA314" s="188"/>
      <c r="AB314" s="188"/>
      <c r="AC314" s="188"/>
      <c r="AD314" s="190"/>
      <c r="AE314" s="189"/>
    </row>
    <row r="315" spans="1:31" ht="21.25" customHeight="1" x14ac:dyDescent="0.15">
      <c r="A315" s="9" t="s">
        <v>564</v>
      </c>
      <c r="B315" s="186" t="s">
        <v>838</v>
      </c>
      <c r="C315" s="187">
        <v>31</v>
      </c>
      <c r="D315" s="186" t="s">
        <v>815</v>
      </c>
      <c r="E315" s="90">
        <v>81.552499999999995</v>
      </c>
      <c r="F315" s="188">
        <v>16.330781760182902</v>
      </c>
      <c r="G315" s="189">
        <v>0.153944263197758</v>
      </c>
      <c r="H315" s="189">
        <v>0.24122495436493999</v>
      </c>
      <c r="I315" s="189">
        <v>0.39516921756269802</v>
      </c>
      <c r="J315" s="189">
        <v>1.51613909144523</v>
      </c>
      <c r="K315" s="189">
        <v>2.95977637602402E-3</v>
      </c>
      <c r="L315" s="189">
        <v>1.5033238879109101E-2</v>
      </c>
      <c r="M315" s="189">
        <v>1.5741871559368101E-2</v>
      </c>
      <c r="N315" s="189">
        <v>2.9826725990212299E-2</v>
      </c>
      <c r="O315" s="189">
        <v>0.73583434737214604</v>
      </c>
      <c r="P315" s="189">
        <v>2.0746283265233498</v>
      </c>
      <c r="Q315" s="189">
        <v>4.2127186396257101E-2</v>
      </c>
      <c r="R315" s="189">
        <v>0.623883274635191</v>
      </c>
      <c r="S315" s="189">
        <v>2.5589624974252601E-2</v>
      </c>
      <c r="T315" s="189">
        <v>8.3307537651542294</v>
      </c>
      <c r="U315" s="189">
        <v>8.1925793300344996</v>
      </c>
      <c r="V315" s="189">
        <v>0.50418119135902295</v>
      </c>
      <c r="W315" s="189"/>
      <c r="X315" s="90"/>
      <c r="Y315" s="188"/>
      <c r="Z315" s="188"/>
      <c r="AA315" s="188"/>
      <c r="AB315" s="188"/>
      <c r="AC315" s="188"/>
      <c r="AD315" s="190"/>
      <c r="AE315" s="189"/>
    </row>
    <row r="316" spans="1:31" ht="21.25" customHeight="1" x14ac:dyDescent="0.15">
      <c r="A316" s="9" t="s">
        <v>584</v>
      </c>
      <c r="B316" s="186" t="s">
        <v>839</v>
      </c>
      <c r="C316" s="187">
        <v>25</v>
      </c>
      <c r="D316" s="186" t="s">
        <v>817</v>
      </c>
      <c r="E316" s="90">
        <v>69.58</v>
      </c>
      <c r="F316" s="188">
        <v>12.743270244101</v>
      </c>
      <c r="G316" s="189">
        <v>0.124241682843046</v>
      </c>
      <c r="H316" s="189">
        <v>0.26460564234074702</v>
      </c>
      <c r="I316" s="189">
        <v>0.388847325183793</v>
      </c>
      <c r="J316" s="189">
        <v>1.6672889885114499</v>
      </c>
      <c r="K316" s="189">
        <v>7.1981028568295202E-3</v>
      </c>
      <c r="L316" s="189">
        <v>2.80825540499758E-2</v>
      </c>
      <c r="M316" s="189">
        <v>0</v>
      </c>
      <c r="N316" s="189">
        <v>0</v>
      </c>
      <c r="O316" s="189">
        <v>0.654282499931227</v>
      </c>
      <c r="P316" s="189">
        <v>0.96156454698610105</v>
      </c>
      <c r="Q316" s="189">
        <v>1.8280781537095898E-2</v>
      </c>
      <c r="R316" s="189">
        <v>0.24647766768381699</v>
      </c>
      <c r="S316" s="189">
        <v>1.84179476400834E-2</v>
      </c>
      <c r="T316" s="189">
        <v>2.0587046820431401E-2</v>
      </c>
      <c r="U316" s="189">
        <v>6.2572374575577502E-2</v>
      </c>
      <c r="V316" s="189">
        <v>0.24756120803672901</v>
      </c>
      <c r="W316" s="189"/>
      <c r="X316" s="90"/>
      <c r="Y316" s="188"/>
      <c r="Z316" s="188"/>
      <c r="AA316" s="188"/>
      <c r="AB316" s="188"/>
      <c r="AC316" s="188"/>
      <c r="AD316" s="190"/>
      <c r="AE316" s="189"/>
    </row>
    <row r="317" spans="1:31" ht="21.25" customHeight="1" x14ac:dyDescent="0.15">
      <c r="A317" s="9" t="s">
        <v>373</v>
      </c>
      <c r="B317" s="186" t="s">
        <v>849</v>
      </c>
      <c r="C317" s="187">
        <v>33</v>
      </c>
      <c r="D317" s="186" t="s">
        <v>818</v>
      </c>
      <c r="E317" s="90">
        <v>79.23</v>
      </c>
      <c r="F317" s="188">
        <v>20.163893093577801</v>
      </c>
      <c r="G317" s="189">
        <v>9.4077567986577196E-2</v>
      </c>
      <c r="H317" s="189">
        <v>0.29443073488982702</v>
      </c>
      <c r="I317" s="189">
        <v>0.38850830287640398</v>
      </c>
      <c r="J317" s="189">
        <v>1.7022172065069601</v>
      </c>
      <c r="K317" s="189">
        <v>4.7658080297442399E-3</v>
      </c>
      <c r="L317" s="189">
        <v>3.2719237325721101E-2</v>
      </c>
      <c r="M317" s="189">
        <v>2.1001769881411099E-4</v>
      </c>
      <c r="N317" s="189">
        <v>1.0515866902212701E-3</v>
      </c>
      <c r="O317" s="189">
        <v>1.0856897932588001</v>
      </c>
      <c r="P317" s="189">
        <v>1.54559268661483</v>
      </c>
      <c r="Q317" s="189">
        <v>7.6404063126107105E-2</v>
      </c>
      <c r="R317" s="189">
        <v>0.41702656333387</v>
      </c>
      <c r="S317" s="189">
        <v>1.63022865134685E-2</v>
      </c>
      <c r="T317" s="189">
        <v>0</v>
      </c>
      <c r="U317" s="189">
        <v>0</v>
      </c>
      <c r="V317" s="189">
        <v>0</v>
      </c>
      <c r="W317" s="189"/>
      <c r="X317" s="90"/>
      <c r="Y317" s="188"/>
      <c r="Z317" s="188"/>
      <c r="AA317" s="188"/>
      <c r="AB317" s="188"/>
      <c r="AC317" s="188"/>
      <c r="AD317" s="190"/>
      <c r="AE317" s="189"/>
    </row>
    <row r="318" spans="1:31" ht="21.25" customHeight="1" x14ac:dyDescent="0.15">
      <c r="A318" s="9" t="s">
        <v>558</v>
      </c>
      <c r="B318" s="186" t="s">
        <v>848</v>
      </c>
      <c r="C318" s="187">
        <v>27</v>
      </c>
      <c r="D318" s="186" t="s">
        <v>817</v>
      </c>
      <c r="E318" s="90">
        <v>75.38</v>
      </c>
      <c r="F318" s="188">
        <v>15.3148326965165</v>
      </c>
      <c r="G318" s="189">
        <v>0.123746466500022</v>
      </c>
      <c r="H318" s="189">
        <v>0.26451875568535999</v>
      </c>
      <c r="I318" s="189">
        <v>0.38826522218538201</v>
      </c>
      <c r="J318" s="189">
        <v>1.5482732153967</v>
      </c>
      <c r="K318" s="189">
        <v>6.0920832883163698E-3</v>
      </c>
      <c r="L318" s="189">
        <v>1.5695643487689599E-2</v>
      </c>
      <c r="M318" s="189">
        <v>1.36016129208835E-2</v>
      </c>
      <c r="N318" s="189">
        <v>2.7639371903010398E-2</v>
      </c>
      <c r="O318" s="189">
        <v>0.60018958117946797</v>
      </c>
      <c r="P318" s="189">
        <v>1.37476253532763</v>
      </c>
      <c r="Q318" s="189">
        <v>-1.5926547814554302E-2</v>
      </c>
      <c r="R318" s="189">
        <v>0.48722249248880201</v>
      </c>
      <c r="S318" s="189">
        <v>1.48983436388347E-2</v>
      </c>
      <c r="T318" s="189">
        <v>0.27142017532495399</v>
      </c>
      <c r="U318" s="189">
        <v>0.49697576986938802</v>
      </c>
      <c r="V318" s="189">
        <v>0.35322957782697101</v>
      </c>
      <c r="W318" s="189"/>
      <c r="X318" s="90"/>
      <c r="Y318" s="188"/>
      <c r="Z318" s="188"/>
      <c r="AA318" s="188"/>
      <c r="AB318" s="188"/>
      <c r="AC318" s="188"/>
      <c r="AD318" s="190"/>
      <c r="AE318" s="189"/>
    </row>
    <row r="319" spans="1:31" ht="21.25" customHeight="1" x14ac:dyDescent="0.15">
      <c r="A319" s="9" t="s">
        <v>424</v>
      </c>
      <c r="B319" s="186" t="s">
        <v>848</v>
      </c>
      <c r="C319" s="187">
        <v>23</v>
      </c>
      <c r="D319" s="186" t="s">
        <v>818</v>
      </c>
      <c r="E319" s="90">
        <v>72</v>
      </c>
      <c r="F319" s="188">
        <v>19.005345352780299</v>
      </c>
      <c r="G319" s="189">
        <v>6.2033847376196702E-2</v>
      </c>
      <c r="H319" s="189">
        <v>0.32527420997922701</v>
      </c>
      <c r="I319" s="189">
        <v>0.38730805735542401</v>
      </c>
      <c r="J319" s="189">
        <v>1.28435154014507</v>
      </c>
      <c r="K319" s="189">
        <v>1.44326425274391E-2</v>
      </c>
      <c r="L319" s="189">
        <v>0.12752412842558999</v>
      </c>
      <c r="M319" s="189">
        <v>2.8824369247536799E-4</v>
      </c>
      <c r="N319" s="189">
        <v>1.37690320452854E-3</v>
      </c>
      <c r="O319" s="189">
        <v>1.3072558006217101</v>
      </c>
      <c r="P319" s="189">
        <v>1.19644359521431</v>
      </c>
      <c r="Q319" s="189">
        <v>7.0726476734639804E-2</v>
      </c>
      <c r="R319" s="189">
        <v>0.28281949497897901</v>
      </c>
      <c r="S319" s="189">
        <v>7.4685088115177501E-3</v>
      </c>
      <c r="T319" s="189">
        <v>0</v>
      </c>
      <c r="U319" s="189">
        <v>0</v>
      </c>
      <c r="V319" s="189">
        <v>0</v>
      </c>
      <c r="W319" s="189"/>
      <c r="X319" s="90"/>
      <c r="Y319" s="188"/>
      <c r="Z319" s="188"/>
      <c r="AA319" s="188"/>
      <c r="AB319" s="188"/>
      <c r="AC319" s="188"/>
      <c r="AD319" s="190"/>
      <c r="AE319" s="189"/>
    </row>
    <row r="320" spans="1:31" ht="21.25" customHeight="1" x14ac:dyDescent="0.15">
      <c r="A320" s="9" t="s">
        <v>723</v>
      </c>
      <c r="B320" s="186" t="s">
        <v>830</v>
      </c>
      <c r="C320" s="187">
        <v>23</v>
      </c>
      <c r="D320" s="186" t="s">
        <v>815</v>
      </c>
      <c r="E320" s="90">
        <v>66.397499999999994</v>
      </c>
      <c r="F320" s="188">
        <v>13.459441198979601</v>
      </c>
      <c r="G320" s="189">
        <v>0.169572277287974</v>
      </c>
      <c r="H320" s="189">
        <v>0.21770069520357499</v>
      </c>
      <c r="I320" s="189">
        <v>0.38727297249154902</v>
      </c>
      <c r="J320" s="189">
        <v>1.1803878587852299</v>
      </c>
      <c r="K320" s="189">
        <v>6.6991370274432699E-3</v>
      </c>
      <c r="L320" s="189">
        <v>1.8414517550207898E-2</v>
      </c>
      <c r="M320" s="189">
        <v>4.15914560637869E-4</v>
      </c>
      <c r="N320" s="189">
        <v>7.0226664747206501E-4</v>
      </c>
      <c r="O320" s="189">
        <v>0.38804455140801097</v>
      </c>
      <c r="P320" s="189">
        <v>1.4243679142612899</v>
      </c>
      <c r="Q320" s="189">
        <v>3.4343065972533499E-3</v>
      </c>
      <c r="R320" s="189">
        <v>0.30827947799101202</v>
      </c>
      <c r="S320" s="189">
        <v>2.4010216938983701E-2</v>
      </c>
      <c r="T320" s="189">
        <v>2.0360856287567999</v>
      </c>
      <c r="U320" s="189">
        <v>2.6872585247849101</v>
      </c>
      <c r="V320" s="189">
        <v>0.431068658681177</v>
      </c>
      <c r="W320" s="189"/>
      <c r="X320" s="90"/>
      <c r="Y320" s="188"/>
      <c r="Z320" s="188"/>
      <c r="AA320" s="188"/>
      <c r="AB320" s="188"/>
      <c r="AC320" s="188"/>
      <c r="AD320" s="190"/>
      <c r="AE320" s="189"/>
    </row>
    <row r="321" spans="1:31" ht="21.25" customHeight="1" x14ac:dyDescent="0.15">
      <c r="A321" s="9" t="s">
        <v>539</v>
      </c>
      <c r="B321" s="186" t="s">
        <v>856</v>
      </c>
      <c r="C321" s="187">
        <v>30</v>
      </c>
      <c r="D321" s="186" t="s">
        <v>865</v>
      </c>
      <c r="E321" s="90">
        <v>79.98</v>
      </c>
      <c r="F321" s="188">
        <v>13.9705251039804</v>
      </c>
      <c r="G321" s="189">
        <v>0.13688116083086899</v>
      </c>
      <c r="H321" s="189">
        <v>0.24853007577775801</v>
      </c>
      <c r="I321" s="189">
        <v>0.38541123660862697</v>
      </c>
      <c r="J321" s="189">
        <v>1.64944332209412</v>
      </c>
      <c r="K321" s="189">
        <v>8.8628057716067903E-3</v>
      </c>
      <c r="L321" s="189">
        <v>1.9357726797492501E-2</v>
      </c>
      <c r="M321" s="189">
        <v>2.3757355884849E-2</v>
      </c>
      <c r="N321" s="189">
        <v>6.9268224696460198E-2</v>
      </c>
      <c r="O321" s="189">
        <v>0.61659737932604397</v>
      </c>
      <c r="P321" s="189">
        <v>1.6618304327855999</v>
      </c>
      <c r="Q321" s="189">
        <v>-6.0156760004905399E-2</v>
      </c>
      <c r="R321" s="189">
        <v>0.48589640077087398</v>
      </c>
      <c r="S321" s="189">
        <v>1.9840859518400498E-2</v>
      </c>
      <c r="T321" s="189">
        <v>5.1268177872196397</v>
      </c>
      <c r="U321" s="189">
        <v>5.3898080226348002</v>
      </c>
      <c r="V321" s="189">
        <v>0.48749645370244499</v>
      </c>
      <c r="W321" s="189"/>
      <c r="X321" s="90"/>
      <c r="Y321" s="188"/>
      <c r="Z321" s="188"/>
      <c r="AA321" s="188"/>
      <c r="AB321" s="188"/>
      <c r="AC321" s="188"/>
      <c r="AD321" s="190"/>
      <c r="AE321" s="189"/>
    </row>
    <row r="322" spans="1:31" ht="21.25" customHeight="1" x14ac:dyDescent="0.15">
      <c r="A322" s="9" t="s">
        <v>665</v>
      </c>
      <c r="B322" s="186" t="s">
        <v>854</v>
      </c>
      <c r="C322" s="187">
        <v>21</v>
      </c>
      <c r="D322" s="186" t="s">
        <v>817</v>
      </c>
      <c r="E322" s="90">
        <v>60.92</v>
      </c>
      <c r="F322" s="188">
        <v>11.7440206758841</v>
      </c>
      <c r="G322" s="189">
        <v>0.16540035986218399</v>
      </c>
      <c r="H322" s="189">
        <v>0.21615472489196999</v>
      </c>
      <c r="I322" s="189">
        <v>0.38155508475415401</v>
      </c>
      <c r="J322" s="189">
        <v>1.39732820203462</v>
      </c>
      <c r="K322" s="189">
        <v>8.4538537758380404E-3</v>
      </c>
      <c r="L322" s="189">
        <v>1.9418252376169402E-2</v>
      </c>
      <c r="M322" s="189">
        <v>0</v>
      </c>
      <c r="N322" s="189">
        <v>0</v>
      </c>
      <c r="O322" s="189">
        <v>0.69255925370862903</v>
      </c>
      <c r="P322" s="189">
        <v>0.818877172886468</v>
      </c>
      <c r="Q322" s="189">
        <v>-4.2101825951636501E-2</v>
      </c>
      <c r="R322" s="189">
        <v>0.22655579685733701</v>
      </c>
      <c r="S322" s="189">
        <v>1.91701122072452E-2</v>
      </c>
      <c r="T322" s="189">
        <v>8.4117184227225694E-2</v>
      </c>
      <c r="U322" s="189">
        <v>0.21029296056806401</v>
      </c>
      <c r="V322" s="189">
        <v>0.28571428571428598</v>
      </c>
      <c r="W322" s="189"/>
      <c r="X322" s="90"/>
      <c r="Y322" s="188"/>
      <c r="Z322" s="188"/>
      <c r="AA322" s="188"/>
      <c r="AB322" s="188"/>
      <c r="AC322" s="188"/>
      <c r="AD322" s="190"/>
      <c r="AE322" s="189"/>
    </row>
    <row r="323" spans="1:31" ht="21.25" customHeight="1" x14ac:dyDescent="0.15">
      <c r="A323" s="9" t="s">
        <v>573</v>
      </c>
      <c r="B323" s="186" t="s">
        <v>851</v>
      </c>
      <c r="C323" s="187">
        <v>30</v>
      </c>
      <c r="D323" s="186" t="s">
        <v>865</v>
      </c>
      <c r="E323" s="90">
        <v>82.03</v>
      </c>
      <c r="F323" s="188">
        <v>14.723478475944701</v>
      </c>
      <c r="G323" s="189">
        <v>0.11338829669060101</v>
      </c>
      <c r="H323" s="189">
        <v>0.26795337170482503</v>
      </c>
      <c r="I323" s="189">
        <v>0.38134166839542599</v>
      </c>
      <c r="J323" s="189">
        <v>1.19293693493346</v>
      </c>
      <c r="K323" s="189">
        <v>1.1092218786542299E-2</v>
      </c>
      <c r="L323" s="189">
        <v>4.40447338590974E-2</v>
      </c>
      <c r="M323" s="189">
        <v>1.5568677011516799E-2</v>
      </c>
      <c r="N323" s="189">
        <v>3.2967376464041701E-2</v>
      </c>
      <c r="O323" s="189">
        <v>0.74852659034126001</v>
      </c>
      <c r="P323" s="189">
        <v>0.82068424160264397</v>
      </c>
      <c r="Q323" s="189">
        <v>1.8388912541671999E-3</v>
      </c>
      <c r="R323" s="189">
        <v>0.31327132545448699</v>
      </c>
      <c r="S323" s="189">
        <v>1.6592040610208199E-2</v>
      </c>
      <c r="T323" s="189">
        <v>3.2298394634191401</v>
      </c>
      <c r="U323" s="189">
        <v>3.84133583057648</v>
      </c>
      <c r="V323" s="189">
        <v>0.45676133445054201</v>
      </c>
      <c r="W323" s="189"/>
      <c r="X323" s="90"/>
      <c r="Y323" s="189"/>
      <c r="Z323" s="189"/>
      <c r="AA323" s="189"/>
      <c r="AB323" s="189"/>
      <c r="AC323" s="188"/>
      <c r="AD323" s="190"/>
      <c r="AE323" s="189"/>
    </row>
    <row r="324" spans="1:31" ht="21.25" customHeight="1" x14ac:dyDescent="0.15">
      <c r="A324" s="9" t="s">
        <v>548</v>
      </c>
      <c r="B324" s="186" t="s">
        <v>852</v>
      </c>
      <c r="C324" s="187">
        <v>21</v>
      </c>
      <c r="D324" s="186" t="s">
        <v>815</v>
      </c>
      <c r="E324" s="90">
        <v>78.367500000000007</v>
      </c>
      <c r="F324" s="188">
        <v>14.97142430337</v>
      </c>
      <c r="G324" s="189">
        <v>0.152155949924101</v>
      </c>
      <c r="H324" s="189">
        <v>0.22652475119749199</v>
      </c>
      <c r="I324" s="189">
        <v>0.37868070112159302</v>
      </c>
      <c r="J324" s="189">
        <v>1.85415946614919</v>
      </c>
      <c r="K324" s="189">
        <v>1.5030451065467999E-2</v>
      </c>
      <c r="L324" s="189">
        <v>2.7679071962390299E-2</v>
      </c>
      <c r="M324" s="189">
        <v>2.6671473954926598E-3</v>
      </c>
      <c r="N324" s="189">
        <v>1.4444812539145299E-2</v>
      </c>
      <c r="O324" s="189">
        <v>0.80390351777087798</v>
      </c>
      <c r="P324" s="189">
        <v>1.38809934656445</v>
      </c>
      <c r="Q324" s="189">
        <v>-0.11170310380027899</v>
      </c>
      <c r="R324" s="189">
        <v>0.48664920107580401</v>
      </c>
      <c r="S324" s="189">
        <v>1.6826066688887899E-2</v>
      </c>
      <c r="T324" s="189">
        <v>5.3321659810825599</v>
      </c>
      <c r="U324" s="189">
        <v>6.3195120040538599</v>
      </c>
      <c r="V324" s="189">
        <v>0.45763073678182598</v>
      </c>
      <c r="W324" s="189"/>
      <c r="X324" s="90"/>
      <c r="Y324" s="188"/>
      <c r="Z324" s="188"/>
      <c r="AA324" s="188"/>
      <c r="AB324" s="188"/>
      <c r="AC324" s="188"/>
      <c r="AD324" s="190"/>
      <c r="AE324" s="189"/>
    </row>
    <row r="325" spans="1:31" ht="21.25" customHeight="1" x14ac:dyDescent="0.15">
      <c r="A325" s="9" t="s">
        <v>599</v>
      </c>
      <c r="B325" s="186" t="s">
        <v>833</v>
      </c>
      <c r="C325" s="187">
        <v>33</v>
      </c>
      <c r="D325" s="186" t="s">
        <v>816</v>
      </c>
      <c r="E325" s="90">
        <v>79.745000000000005</v>
      </c>
      <c r="F325" s="188">
        <v>15.471921025176901</v>
      </c>
      <c r="G325" s="189">
        <v>0.146489960908286</v>
      </c>
      <c r="H325" s="189">
        <v>0.232175757283098</v>
      </c>
      <c r="I325" s="189">
        <v>0.378665718191384</v>
      </c>
      <c r="J325" s="189">
        <v>1.4612756410805801</v>
      </c>
      <c r="K325" s="189">
        <v>1.9870693155530899E-2</v>
      </c>
      <c r="L325" s="189">
        <v>7.6105075574533901E-2</v>
      </c>
      <c r="M325" s="189">
        <v>2.2261473606093201E-3</v>
      </c>
      <c r="N325" s="189">
        <v>2.7704132757731801E-3</v>
      </c>
      <c r="O325" s="189">
        <v>0.36010473913317298</v>
      </c>
      <c r="P325" s="189">
        <v>0.53892312654415198</v>
      </c>
      <c r="Q325" s="189">
        <v>-3.3485581558506802E-3</v>
      </c>
      <c r="R325" s="189">
        <v>0.21190123322919399</v>
      </c>
      <c r="S325" s="189">
        <v>2.41824348678603E-2</v>
      </c>
      <c r="T325" s="189">
        <v>0.185303559473562</v>
      </c>
      <c r="U325" s="189">
        <v>0.37387433078639498</v>
      </c>
      <c r="V325" s="189">
        <v>0.33138570515979399</v>
      </c>
      <c r="W325" s="189"/>
      <c r="X325" s="90"/>
      <c r="Y325" s="188"/>
      <c r="Z325" s="188"/>
      <c r="AA325" s="188"/>
      <c r="AB325" s="188"/>
      <c r="AC325" s="188"/>
      <c r="AD325" s="190"/>
      <c r="AE325" s="189"/>
    </row>
    <row r="326" spans="1:31" ht="21.25" customHeight="1" x14ac:dyDescent="0.15">
      <c r="A326" s="9" t="s">
        <v>467</v>
      </c>
      <c r="B326" s="186" t="s">
        <v>850</v>
      </c>
      <c r="C326" s="187">
        <v>28</v>
      </c>
      <c r="D326" s="186" t="s">
        <v>866</v>
      </c>
      <c r="E326" s="90">
        <v>79.967500000000001</v>
      </c>
      <c r="F326" s="188">
        <v>14.264014803440899</v>
      </c>
      <c r="G326" s="189">
        <v>0.17580456434865199</v>
      </c>
      <c r="H326" s="189">
        <v>0.202741933284947</v>
      </c>
      <c r="I326" s="189">
        <v>0.37854649763359899</v>
      </c>
      <c r="J326" s="189">
        <v>2.2448940158486499</v>
      </c>
      <c r="K326" s="189">
        <v>8.2183991946281499E-3</v>
      </c>
      <c r="L326" s="189">
        <v>1.3873197656856601E-2</v>
      </c>
      <c r="M326" s="189">
        <v>1.3885846179917E-2</v>
      </c>
      <c r="N326" s="189">
        <v>2.31132597891055E-2</v>
      </c>
      <c r="O326" s="189">
        <v>0.41451368064208</v>
      </c>
      <c r="P326" s="189">
        <v>1.2175913065847901</v>
      </c>
      <c r="Q326" s="189">
        <v>8.9160323460771296E-2</v>
      </c>
      <c r="R326" s="189">
        <v>0.41886182493794899</v>
      </c>
      <c r="S326" s="189">
        <v>3.13304250693935E-2</v>
      </c>
      <c r="T326" s="189">
        <v>8.6955672671872306E-2</v>
      </c>
      <c r="U326" s="189">
        <v>9.3814366118142603E-2</v>
      </c>
      <c r="V326" s="189">
        <v>0.48102923058439601</v>
      </c>
      <c r="W326" s="189"/>
      <c r="X326" s="90"/>
      <c r="Y326" s="188"/>
      <c r="Z326" s="188"/>
      <c r="AA326" s="188"/>
      <c r="AB326" s="188"/>
      <c r="AC326" s="188"/>
      <c r="AD326" s="190"/>
      <c r="AE326" s="189"/>
    </row>
    <row r="327" spans="1:31" ht="21.25" customHeight="1" x14ac:dyDescent="0.15">
      <c r="A327" s="9" t="s">
        <v>680</v>
      </c>
      <c r="B327" s="186" t="s">
        <v>847</v>
      </c>
      <c r="C327" s="187">
        <v>22</v>
      </c>
      <c r="D327" s="186" t="s">
        <v>816</v>
      </c>
      <c r="E327" s="90">
        <v>67.099999999999994</v>
      </c>
      <c r="F327" s="188">
        <v>14.0137716181209</v>
      </c>
      <c r="G327" s="189">
        <v>0.14875337122407301</v>
      </c>
      <c r="H327" s="189">
        <v>0.228565085748971</v>
      </c>
      <c r="I327" s="189">
        <v>0.377318456973044</v>
      </c>
      <c r="J327" s="189">
        <v>1.4011290566262899</v>
      </c>
      <c r="K327" s="189">
        <v>2.819496871047E-2</v>
      </c>
      <c r="L327" s="189">
        <v>6.0127765189088599E-2</v>
      </c>
      <c r="M327" s="189">
        <v>8.3078020228688205E-4</v>
      </c>
      <c r="N327" s="189">
        <v>1.3899372613694299E-3</v>
      </c>
      <c r="O327" s="189">
        <v>0.41281975201802401</v>
      </c>
      <c r="P327" s="189">
        <v>0.52959749742041795</v>
      </c>
      <c r="Q327" s="189">
        <v>-0.117645786625904</v>
      </c>
      <c r="R327" s="189">
        <v>0.24713322204615101</v>
      </c>
      <c r="S327" s="189">
        <v>1.9224178423015301E-2</v>
      </c>
      <c r="T327" s="189">
        <v>1.19834500473189</v>
      </c>
      <c r="U327" s="189">
        <v>1.6759633386206101</v>
      </c>
      <c r="V327" s="189">
        <v>0.416915953886209</v>
      </c>
      <c r="W327" s="189"/>
      <c r="X327" s="90"/>
      <c r="Y327" s="188"/>
      <c r="Z327" s="188"/>
      <c r="AA327" s="188"/>
      <c r="AB327" s="188"/>
      <c r="AC327" s="188"/>
      <c r="AD327" s="190"/>
      <c r="AE327" s="189"/>
    </row>
    <row r="328" spans="1:31" ht="21.25" customHeight="1" x14ac:dyDescent="0.15">
      <c r="A328" s="9" t="s">
        <v>653</v>
      </c>
      <c r="B328" s="186" t="s">
        <v>834</v>
      </c>
      <c r="C328" s="187">
        <v>24</v>
      </c>
      <c r="D328" s="186" t="s">
        <v>815</v>
      </c>
      <c r="E328" s="90">
        <v>77.314999999999998</v>
      </c>
      <c r="F328" s="188">
        <v>14.4970871314751</v>
      </c>
      <c r="G328" s="189">
        <v>0.159783468243546</v>
      </c>
      <c r="H328" s="189">
        <v>0.21247052279057599</v>
      </c>
      <c r="I328" s="189">
        <v>0.37225399103412199</v>
      </c>
      <c r="J328" s="189">
        <v>1.38373978350705</v>
      </c>
      <c r="K328" s="189">
        <v>4.5438455808821804E-3</v>
      </c>
      <c r="L328" s="189">
        <v>1.32061430315073E-2</v>
      </c>
      <c r="M328" s="189">
        <v>7.4063827713841401E-3</v>
      </c>
      <c r="N328" s="189">
        <v>2.2320813943435599E-2</v>
      </c>
      <c r="O328" s="189">
        <v>0.43118512736152198</v>
      </c>
      <c r="P328" s="189">
        <v>0.850617206834268</v>
      </c>
      <c r="Q328" s="189">
        <v>9.2104222391900997E-2</v>
      </c>
      <c r="R328" s="189">
        <v>0.23675845971304199</v>
      </c>
      <c r="S328" s="189">
        <v>2.2602240145663501E-2</v>
      </c>
      <c r="T328" s="189">
        <v>4.4949300998658401</v>
      </c>
      <c r="U328" s="189">
        <v>4.6385781720359196</v>
      </c>
      <c r="V328" s="189">
        <v>0.49213620506525402</v>
      </c>
      <c r="W328" s="189"/>
      <c r="X328" s="90"/>
      <c r="Y328" s="188"/>
      <c r="Z328" s="188"/>
      <c r="AA328" s="188"/>
      <c r="AB328" s="188"/>
      <c r="AC328" s="188"/>
      <c r="AD328" s="190"/>
      <c r="AE328" s="189"/>
    </row>
    <row r="329" spans="1:31" ht="21.25" customHeight="1" x14ac:dyDescent="0.15">
      <c r="A329" s="9" t="s">
        <v>279</v>
      </c>
      <c r="B329" s="186" t="s">
        <v>848</v>
      </c>
      <c r="C329" s="187">
        <v>31</v>
      </c>
      <c r="D329" s="186" t="s">
        <v>818</v>
      </c>
      <c r="E329" s="90">
        <v>81.417500000000004</v>
      </c>
      <c r="F329" s="188">
        <v>24.062437516717299</v>
      </c>
      <c r="G329" s="189">
        <v>8.6279354168371597E-2</v>
      </c>
      <c r="H329" s="189">
        <v>0.284636909639081</v>
      </c>
      <c r="I329" s="189">
        <v>0.37091626380745302</v>
      </c>
      <c r="J329" s="189">
        <v>1.81818406072653</v>
      </c>
      <c r="K329" s="189">
        <v>1.38891447903773E-3</v>
      </c>
      <c r="L329" s="189">
        <v>2.13103383237143E-2</v>
      </c>
      <c r="M329" s="189">
        <v>6.3473955677928696E-3</v>
      </c>
      <c r="N329" s="189">
        <v>1.7449702513420599E-2</v>
      </c>
      <c r="O329" s="189">
        <v>2.35898390379998</v>
      </c>
      <c r="P329" s="189">
        <v>1.3651575035915</v>
      </c>
      <c r="Q329" s="189">
        <v>-7.6591814036843703E-2</v>
      </c>
      <c r="R329" s="189">
        <v>0.35321153774708097</v>
      </c>
      <c r="S329" s="189">
        <v>1.0387524619435399E-2</v>
      </c>
      <c r="T329" s="189">
        <v>0</v>
      </c>
      <c r="U329" s="189">
        <v>0</v>
      </c>
      <c r="V329" s="189">
        <v>0</v>
      </c>
      <c r="W329" s="189"/>
      <c r="X329" s="90"/>
      <c r="Y329" s="188"/>
      <c r="Z329" s="188"/>
      <c r="AA329" s="188"/>
      <c r="AB329" s="188"/>
      <c r="AC329" s="188"/>
      <c r="AD329" s="190"/>
      <c r="AE329" s="189"/>
    </row>
    <row r="330" spans="1:31" ht="21.25" customHeight="1" x14ac:dyDescent="0.15">
      <c r="A330" s="9" t="s">
        <v>409</v>
      </c>
      <c r="B330" s="186" t="s">
        <v>826</v>
      </c>
      <c r="C330" s="187">
        <v>25</v>
      </c>
      <c r="D330" s="186" t="s">
        <v>818</v>
      </c>
      <c r="E330" s="90">
        <v>73.075000000000003</v>
      </c>
      <c r="F330" s="188">
        <v>18.081334626240601</v>
      </c>
      <c r="G330" s="189">
        <v>7.12871722638172E-2</v>
      </c>
      <c r="H330" s="189">
        <v>0.29950980571159402</v>
      </c>
      <c r="I330" s="189">
        <v>0.370796977975411</v>
      </c>
      <c r="J330" s="189">
        <v>1.1909848164347401</v>
      </c>
      <c r="K330" s="189">
        <v>7.9490182724695699E-3</v>
      </c>
      <c r="L330" s="189">
        <v>9.73657693307316E-2</v>
      </c>
      <c r="M330" s="189">
        <v>2.2265260946816301E-3</v>
      </c>
      <c r="N330" s="189">
        <v>8.6187962945869102E-3</v>
      </c>
      <c r="O330" s="189">
        <v>1.6211277452541699</v>
      </c>
      <c r="P330" s="189">
        <v>1.5042290147426101</v>
      </c>
      <c r="Q330" s="189">
        <v>9.1994547296471996E-2</v>
      </c>
      <c r="R330" s="189">
        <v>0.36064553738409699</v>
      </c>
      <c r="S330" s="189">
        <v>1.1404669696776899E-2</v>
      </c>
      <c r="T330" s="189">
        <v>0</v>
      </c>
      <c r="U330" s="189">
        <v>0</v>
      </c>
      <c r="V330" s="189">
        <v>0</v>
      </c>
      <c r="W330" s="189"/>
      <c r="X330" s="90"/>
      <c r="Y330" s="188"/>
      <c r="Z330" s="188"/>
      <c r="AA330" s="188"/>
      <c r="AB330" s="188"/>
      <c r="AC330" s="188"/>
      <c r="AD330" s="190"/>
      <c r="AE330" s="189"/>
    </row>
    <row r="331" spans="1:31" ht="21.25" customHeight="1" x14ac:dyDescent="0.15">
      <c r="A331" s="9" t="s">
        <v>561</v>
      </c>
      <c r="B331" s="186" t="s">
        <v>825</v>
      </c>
      <c r="C331" s="187">
        <v>28</v>
      </c>
      <c r="D331" s="186" t="s">
        <v>817</v>
      </c>
      <c r="E331" s="90">
        <v>77.492500000000007</v>
      </c>
      <c r="F331" s="188">
        <v>14.549249338797701</v>
      </c>
      <c r="G331" s="189">
        <v>0.15712890964137299</v>
      </c>
      <c r="H331" s="189">
        <v>0.212375557940576</v>
      </c>
      <c r="I331" s="189">
        <v>0.36950446758194899</v>
      </c>
      <c r="J331" s="189">
        <v>1.4787055538862599</v>
      </c>
      <c r="K331" s="189">
        <v>8.3266853833485104E-4</v>
      </c>
      <c r="L331" s="189">
        <v>1.9392448641174401E-3</v>
      </c>
      <c r="M331" s="189">
        <v>2.9295982445366499E-2</v>
      </c>
      <c r="N331" s="189">
        <v>4.1326722450404203E-2</v>
      </c>
      <c r="O331" s="189">
        <v>0.634760024098876</v>
      </c>
      <c r="P331" s="189">
        <v>1.17070549578621</v>
      </c>
      <c r="Q331" s="189">
        <v>3.9708106275602402E-2</v>
      </c>
      <c r="R331" s="189">
        <v>0.49047721411411199</v>
      </c>
      <c r="S331" s="189">
        <v>2.3476733251346599E-2</v>
      </c>
      <c r="T331" s="189">
        <v>0.21957067416717799</v>
      </c>
      <c r="U331" s="189">
        <v>0.56102227208675204</v>
      </c>
      <c r="V331" s="189">
        <v>0.281287033428753</v>
      </c>
      <c r="W331" s="189"/>
      <c r="X331" s="90"/>
      <c r="Y331" s="188"/>
      <c r="Z331" s="188"/>
      <c r="AA331" s="188"/>
      <c r="AB331" s="188"/>
      <c r="AC331" s="188"/>
      <c r="AD331" s="190"/>
      <c r="AE331" s="189"/>
    </row>
    <row r="332" spans="1:31" ht="21.25" customHeight="1" x14ac:dyDescent="0.15">
      <c r="A332" s="9" t="s">
        <v>611</v>
      </c>
      <c r="B332" s="186" t="s">
        <v>837</v>
      </c>
      <c r="C332" s="187">
        <v>35</v>
      </c>
      <c r="D332" s="186" t="s">
        <v>817</v>
      </c>
      <c r="E332" s="90">
        <v>74.89</v>
      </c>
      <c r="F332" s="188">
        <v>12.398037118493599</v>
      </c>
      <c r="G332" s="189">
        <v>0.14612786902633099</v>
      </c>
      <c r="H332" s="189">
        <v>0.22289136485356301</v>
      </c>
      <c r="I332" s="189">
        <v>0.36901923387989399</v>
      </c>
      <c r="J332" s="189">
        <v>1.3582977881390299</v>
      </c>
      <c r="K332" s="189">
        <v>1.2317628738063E-2</v>
      </c>
      <c r="L332" s="189">
        <v>3.6885927906852203E-2</v>
      </c>
      <c r="M332" s="189">
        <v>2.4963415164916701E-5</v>
      </c>
      <c r="N332" s="189">
        <v>4.32505210809605E-5</v>
      </c>
      <c r="O332" s="189">
        <v>0.41017769121226999</v>
      </c>
      <c r="P332" s="189">
        <v>0.67791416705437602</v>
      </c>
      <c r="Q332" s="189">
        <v>4.6762106945844498E-2</v>
      </c>
      <c r="R332" s="189">
        <v>0.22773906994329099</v>
      </c>
      <c r="S332" s="189">
        <v>2.33685808617583E-2</v>
      </c>
      <c r="T332" s="189">
        <v>1.1598495104474801E-2</v>
      </c>
      <c r="U332" s="189">
        <v>6.0545421516686702E-2</v>
      </c>
      <c r="V332" s="189">
        <v>0.160768858244559</v>
      </c>
      <c r="W332" s="189"/>
      <c r="X332" s="90"/>
      <c r="Y332" s="188"/>
      <c r="Z332" s="188"/>
      <c r="AA332" s="188"/>
      <c r="AB332" s="188"/>
      <c r="AC332" s="188"/>
      <c r="AD332" s="190"/>
      <c r="AE332" s="189"/>
    </row>
    <row r="333" spans="1:31" ht="21.25" customHeight="1" x14ac:dyDescent="0.15">
      <c r="A333" s="9" t="s">
        <v>604</v>
      </c>
      <c r="B333" s="186" t="s">
        <v>859</v>
      </c>
      <c r="C333" s="187">
        <v>29</v>
      </c>
      <c r="D333" s="186" t="s">
        <v>815</v>
      </c>
      <c r="E333" s="90">
        <v>81.297499999999999</v>
      </c>
      <c r="F333" s="188">
        <v>16.951350720755801</v>
      </c>
      <c r="G333" s="189">
        <v>0.12058993896841699</v>
      </c>
      <c r="H333" s="189">
        <v>0.24649258967584101</v>
      </c>
      <c r="I333" s="189">
        <v>0.367082528644258</v>
      </c>
      <c r="J333" s="189">
        <v>1.1287637844237699</v>
      </c>
      <c r="K333" s="189">
        <v>2.70871385408907E-2</v>
      </c>
      <c r="L333" s="189">
        <v>6.4597416900191801E-2</v>
      </c>
      <c r="M333" s="189">
        <v>6.4268883068761898E-3</v>
      </c>
      <c r="N333" s="189">
        <v>9.6897248544344696E-3</v>
      </c>
      <c r="O333" s="189">
        <v>0.80845091320911999</v>
      </c>
      <c r="P333" s="189">
        <v>0.59136958684720198</v>
      </c>
      <c r="Q333" s="189">
        <v>-2.65816187141435E-3</v>
      </c>
      <c r="R333" s="189">
        <v>0.27525546434034698</v>
      </c>
      <c r="S333" s="189">
        <v>1.2880226445096199E-2</v>
      </c>
      <c r="T333" s="189">
        <v>6.6173097885931202</v>
      </c>
      <c r="U333" s="189">
        <v>7.7074746992421801</v>
      </c>
      <c r="V333" s="189">
        <v>0.46194829627018702</v>
      </c>
      <c r="W333" s="189"/>
      <c r="X333" s="90"/>
      <c r="Y333" s="188"/>
      <c r="Z333" s="188"/>
      <c r="AA333" s="188"/>
      <c r="AB333" s="188"/>
      <c r="AC333" s="188"/>
      <c r="AD333" s="190"/>
      <c r="AE333" s="189"/>
    </row>
    <row r="334" spans="1:31" ht="21.25" customHeight="1" x14ac:dyDescent="0.15">
      <c r="A334" s="9" t="s">
        <v>720</v>
      </c>
      <c r="B334" s="186" t="s">
        <v>844</v>
      </c>
      <c r="C334" s="187">
        <v>22</v>
      </c>
      <c r="D334" s="186" t="s">
        <v>815</v>
      </c>
      <c r="E334" s="90">
        <v>69.165000000000006</v>
      </c>
      <c r="F334" s="188">
        <v>10.9797880835443</v>
      </c>
      <c r="G334" s="189">
        <v>0.14819009551027801</v>
      </c>
      <c r="H334" s="189">
        <v>0.217907125452172</v>
      </c>
      <c r="I334" s="189">
        <v>0.36609722096245001</v>
      </c>
      <c r="J334" s="189">
        <v>1.0235603334130901</v>
      </c>
      <c r="K334" s="189">
        <v>6.6292639219954798E-3</v>
      </c>
      <c r="L334" s="189">
        <v>2.58110158088884E-2</v>
      </c>
      <c r="M334" s="189">
        <v>1.03078087663135E-4</v>
      </c>
      <c r="N334" s="189">
        <v>1.7292428266263801E-4</v>
      </c>
      <c r="O334" s="189">
        <v>0.55071740292818805</v>
      </c>
      <c r="P334" s="189">
        <v>0.82953422121424003</v>
      </c>
      <c r="Q334" s="189">
        <v>-2.7547815039316699E-2</v>
      </c>
      <c r="R334" s="189">
        <v>0.19696924772001601</v>
      </c>
      <c r="S334" s="189">
        <v>2.1030032120815799E-2</v>
      </c>
      <c r="T334" s="189">
        <v>1.9370242242053799</v>
      </c>
      <c r="U334" s="189">
        <v>3.3160423047187599</v>
      </c>
      <c r="V334" s="189">
        <v>0.36874161283506501</v>
      </c>
      <c r="W334" s="189"/>
      <c r="X334" s="90"/>
      <c r="Y334" s="188"/>
      <c r="Z334" s="188"/>
      <c r="AA334" s="188"/>
      <c r="AB334" s="188"/>
      <c r="AC334" s="188"/>
      <c r="AD334" s="190"/>
      <c r="AE334" s="189"/>
    </row>
    <row r="335" spans="1:31" ht="21.25" customHeight="1" x14ac:dyDescent="0.15">
      <c r="A335" s="9" t="s">
        <v>640</v>
      </c>
      <c r="B335" s="186" t="s">
        <v>842</v>
      </c>
      <c r="C335" s="187">
        <v>24</v>
      </c>
      <c r="D335" s="186" t="s">
        <v>815</v>
      </c>
      <c r="E335" s="90">
        <v>79.9375</v>
      </c>
      <c r="F335" s="188">
        <v>13.910039642747799</v>
      </c>
      <c r="G335" s="189">
        <v>0.16101465190254699</v>
      </c>
      <c r="H335" s="189">
        <v>0.204829066085955</v>
      </c>
      <c r="I335" s="189">
        <v>0.36584371798850202</v>
      </c>
      <c r="J335" s="189">
        <v>1.2100758344475899</v>
      </c>
      <c r="K335" s="189">
        <v>4.9202710641113499E-2</v>
      </c>
      <c r="L335" s="189">
        <v>0.108227315687007</v>
      </c>
      <c r="M335" s="189">
        <v>1.6228550147177499E-3</v>
      </c>
      <c r="N335" s="189">
        <v>2.7468218617145699E-3</v>
      </c>
      <c r="O335" s="189">
        <v>0.46247511014069898</v>
      </c>
      <c r="P335" s="189">
        <v>1.41856773213178</v>
      </c>
      <c r="Q335" s="189">
        <v>-5.5057323370004102E-2</v>
      </c>
      <c r="R335" s="189">
        <v>0.35861395853199901</v>
      </c>
      <c r="S335" s="189">
        <v>2.2114181416600799E-2</v>
      </c>
      <c r="T335" s="189">
        <v>3.6529283630285598</v>
      </c>
      <c r="U335" s="189">
        <v>4.1884811593005304</v>
      </c>
      <c r="V335" s="189">
        <v>0.46585098669142799</v>
      </c>
      <c r="W335" s="189"/>
      <c r="X335" s="90"/>
      <c r="Y335" s="189"/>
      <c r="Z335" s="189"/>
      <c r="AA335" s="189"/>
      <c r="AB335" s="189"/>
      <c r="AC335" s="188"/>
      <c r="AD335" s="190"/>
      <c r="AE335" s="189"/>
    </row>
    <row r="336" spans="1:31" ht="21.25" customHeight="1" x14ac:dyDescent="0.15">
      <c r="A336" s="9" t="s">
        <v>592</v>
      </c>
      <c r="B336" s="186" t="s">
        <v>847</v>
      </c>
      <c r="C336" s="187">
        <v>29</v>
      </c>
      <c r="D336" s="186" t="s">
        <v>815</v>
      </c>
      <c r="E336" s="90">
        <v>79.48</v>
      </c>
      <c r="F336" s="188">
        <v>15.8388584557292</v>
      </c>
      <c r="G336" s="189">
        <v>0.17222899889037899</v>
      </c>
      <c r="H336" s="189">
        <v>0.192941482435323</v>
      </c>
      <c r="I336" s="189">
        <v>0.36517048132570201</v>
      </c>
      <c r="J336" s="189">
        <v>1.4248175722479399</v>
      </c>
      <c r="K336" s="189">
        <v>5.81615354071768E-3</v>
      </c>
      <c r="L336" s="189">
        <v>8.39722872012744E-3</v>
      </c>
      <c r="M336" s="189">
        <v>1.1123961779675299E-3</v>
      </c>
      <c r="N336" s="189">
        <v>1.7508479284019E-2</v>
      </c>
      <c r="O336" s="189">
        <v>0.88635523487672097</v>
      </c>
      <c r="P336" s="189">
        <v>1.5422552442512101</v>
      </c>
      <c r="Q336" s="189">
        <v>-7.7336072001398803E-2</v>
      </c>
      <c r="R336" s="189">
        <v>0.38318321634857899</v>
      </c>
      <c r="S336" s="189">
        <v>2.2258056923621101E-2</v>
      </c>
      <c r="T336" s="189">
        <v>6.2062814933184098</v>
      </c>
      <c r="U336" s="189">
        <v>6.7248035211547998</v>
      </c>
      <c r="V336" s="189">
        <v>0.47995055993924601</v>
      </c>
      <c r="W336" s="189"/>
      <c r="X336" s="90"/>
      <c r="Y336" s="188"/>
      <c r="Z336" s="188"/>
      <c r="AA336" s="188"/>
      <c r="AB336" s="188"/>
      <c r="AC336" s="188"/>
      <c r="AD336" s="190"/>
      <c r="AE336" s="189"/>
    </row>
    <row r="337" spans="1:31" ht="21.25" customHeight="1" x14ac:dyDescent="0.15">
      <c r="A337" s="9" t="s">
        <v>537</v>
      </c>
      <c r="B337" s="186" t="s">
        <v>829</v>
      </c>
      <c r="C337" s="187">
        <v>33</v>
      </c>
      <c r="D337" s="186" t="s">
        <v>865</v>
      </c>
      <c r="E337" s="90">
        <v>80.290000000000006</v>
      </c>
      <c r="F337" s="188">
        <v>15.624098173768701</v>
      </c>
      <c r="G337" s="189">
        <v>0.145765263139569</v>
      </c>
      <c r="H337" s="189">
        <v>0.21839229203784999</v>
      </c>
      <c r="I337" s="189">
        <v>0.36415755517741899</v>
      </c>
      <c r="J337" s="189">
        <v>1.81856475937057</v>
      </c>
      <c r="K337" s="189">
        <v>1.45636240454081E-2</v>
      </c>
      <c r="L337" s="189">
        <v>4.1611255350750401E-2</v>
      </c>
      <c r="M337" s="189">
        <v>1.32923387211401E-2</v>
      </c>
      <c r="N337" s="189">
        <v>2.414609569498E-2</v>
      </c>
      <c r="O337" s="189">
        <v>0.61185824935525002</v>
      </c>
      <c r="P337" s="189">
        <v>1.0905952781205599</v>
      </c>
      <c r="Q337" s="189">
        <v>4.9606962113804998E-2</v>
      </c>
      <c r="R337" s="189">
        <v>0.57794069569006801</v>
      </c>
      <c r="S337" s="189">
        <v>2.1992526642507101E-2</v>
      </c>
      <c r="T337" s="189">
        <v>6.0270644086933496</v>
      </c>
      <c r="U337" s="189">
        <v>5.05249027415989</v>
      </c>
      <c r="V337" s="189">
        <v>0.54398074482369396</v>
      </c>
      <c r="W337" s="189"/>
      <c r="X337" s="90"/>
      <c r="Y337" s="188"/>
      <c r="Z337" s="188"/>
      <c r="AA337" s="188"/>
      <c r="AB337" s="188"/>
      <c r="AC337" s="188"/>
      <c r="AD337" s="190"/>
      <c r="AE337" s="189"/>
    </row>
    <row r="338" spans="1:31" ht="21.25" customHeight="1" x14ac:dyDescent="0.15">
      <c r="A338" s="9" t="s">
        <v>721</v>
      </c>
      <c r="B338" s="186" t="s">
        <v>859</v>
      </c>
      <c r="C338" s="187">
        <v>22</v>
      </c>
      <c r="D338" s="186" t="s">
        <v>815</v>
      </c>
      <c r="E338" s="90">
        <v>59.204999999999998</v>
      </c>
      <c r="F338" s="188">
        <v>12.984869071227299</v>
      </c>
      <c r="G338" s="189">
        <v>0.15047243386425699</v>
      </c>
      <c r="H338" s="189">
        <v>0.21306721927167099</v>
      </c>
      <c r="I338" s="189">
        <v>0.36353965313592801</v>
      </c>
      <c r="J338" s="189">
        <v>1.4769951202893901</v>
      </c>
      <c r="K338" s="189">
        <v>5.7991005126826103E-2</v>
      </c>
      <c r="L338" s="189">
        <v>0.117436997261016</v>
      </c>
      <c r="M338" s="189">
        <v>2.40601334467466E-5</v>
      </c>
      <c r="N338" s="189">
        <v>4.0436343385441898E-5</v>
      </c>
      <c r="O338" s="189">
        <v>0.55642960448131695</v>
      </c>
      <c r="P338" s="189">
        <v>0.69667987803180698</v>
      </c>
      <c r="Q338" s="189">
        <v>-0.11886420357086599</v>
      </c>
      <c r="R338" s="189">
        <v>0.37644077296488399</v>
      </c>
      <c r="S338" s="189">
        <v>1.6071979457788699E-2</v>
      </c>
      <c r="T338" s="189">
        <v>1.93674686573854</v>
      </c>
      <c r="U338" s="189">
        <v>2.18728113674671</v>
      </c>
      <c r="V338" s="189">
        <v>0.46962505215081002</v>
      </c>
      <c r="W338" s="189"/>
      <c r="X338" s="90"/>
      <c r="Y338" s="188"/>
      <c r="Z338" s="188"/>
      <c r="AA338" s="188"/>
      <c r="AB338" s="188"/>
      <c r="AC338" s="188"/>
      <c r="AD338" s="190"/>
      <c r="AE338" s="189"/>
    </row>
    <row r="339" spans="1:31" ht="21.25" customHeight="1" x14ac:dyDescent="0.15">
      <c r="A339" s="9" t="s">
        <v>571</v>
      </c>
      <c r="B339" s="186" t="s">
        <v>854</v>
      </c>
      <c r="C339" s="187">
        <v>32</v>
      </c>
      <c r="D339" s="186" t="s">
        <v>817</v>
      </c>
      <c r="E339" s="90">
        <v>72.355000000000004</v>
      </c>
      <c r="F339" s="188">
        <v>13.184649709239499</v>
      </c>
      <c r="G339" s="189">
        <v>0.17619102181507099</v>
      </c>
      <c r="H339" s="189">
        <v>0.187339662580219</v>
      </c>
      <c r="I339" s="189">
        <v>0.36353068439529002</v>
      </c>
      <c r="J339" s="189">
        <v>1.92976984821203</v>
      </c>
      <c r="K339" s="189">
        <v>2.3612788229183598E-2</v>
      </c>
      <c r="L339" s="189">
        <v>6.39951731482203E-2</v>
      </c>
      <c r="M339" s="189">
        <v>2.4043266729608601E-5</v>
      </c>
      <c r="N339" s="189">
        <v>4.0815668661739803E-5</v>
      </c>
      <c r="O339" s="189">
        <v>0.42329917824465502</v>
      </c>
      <c r="P339" s="189">
        <v>0.79971103696597101</v>
      </c>
      <c r="Q339" s="189">
        <v>-4.6046248093742401E-2</v>
      </c>
      <c r="R339" s="189">
        <v>0.66818711423288601</v>
      </c>
      <c r="S339" s="189">
        <v>2.0420763660480599E-2</v>
      </c>
      <c r="T339" s="189">
        <v>0.17055619581444101</v>
      </c>
      <c r="U339" s="189">
        <v>0.26807470194336303</v>
      </c>
      <c r="V339" s="189">
        <v>0.38883762335551703</v>
      </c>
      <c r="W339" s="189"/>
      <c r="X339" s="90"/>
      <c r="Y339" s="188"/>
      <c r="Z339" s="188"/>
      <c r="AA339" s="188"/>
      <c r="AB339" s="188"/>
      <c r="AC339" s="188"/>
      <c r="AD339" s="190"/>
      <c r="AE339" s="189"/>
    </row>
    <row r="340" spans="1:31" ht="21.25" customHeight="1" x14ac:dyDescent="0.15">
      <c r="A340" s="9" t="s">
        <v>586</v>
      </c>
      <c r="B340" s="186" t="s">
        <v>849</v>
      </c>
      <c r="C340" s="187">
        <v>32</v>
      </c>
      <c r="D340" s="186" t="s">
        <v>816</v>
      </c>
      <c r="E340" s="90">
        <v>79.73</v>
      </c>
      <c r="F340" s="188">
        <v>14.6335691611988</v>
      </c>
      <c r="G340" s="189">
        <v>0.147068003212668</v>
      </c>
      <c r="H340" s="189">
        <v>0.21617988277734199</v>
      </c>
      <c r="I340" s="189">
        <v>0.36324788599001001</v>
      </c>
      <c r="J340" s="189">
        <v>1.7642405887410899</v>
      </c>
      <c r="K340" s="189">
        <v>6.9915540100858801E-4</v>
      </c>
      <c r="L340" s="189">
        <v>1.65165091311767E-3</v>
      </c>
      <c r="M340" s="189">
        <v>6.3596008108664096E-3</v>
      </c>
      <c r="N340" s="189">
        <v>7.3943769182078104E-3</v>
      </c>
      <c r="O340" s="189">
        <v>0.42428556581506299</v>
      </c>
      <c r="P340" s="189">
        <v>0.86823386557131599</v>
      </c>
      <c r="Q340" s="189">
        <v>7.1556768878404398E-2</v>
      </c>
      <c r="R340" s="189">
        <v>0.50908052782403301</v>
      </c>
      <c r="S340" s="189">
        <v>2.5484765142724498E-2</v>
      </c>
      <c r="T340" s="189">
        <v>0.522001540952855</v>
      </c>
      <c r="U340" s="189">
        <v>0.57592275782755298</v>
      </c>
      <c r="V340" s="189">
        <v>0.47544401880229997</v>
      </c>
      <c r="W340" s="189"/>
      <c r="X340" s="90"/>
      <c r="Y340" s="188"/>
      <c r="Z340" s="188"/>
      <c r="AA340" s="188"/>
      <c r="AB340" s="188"/>
      <c r="AC340" s="188"/>
      <c r="AD340" s="190"/>
      <c r="AE340" s="189"/>
    </row>
    <row r="341" spans="1:31" ht="21.25" customHeight="1" x14ac:dyDescent="0.15">
      <c r="A341" s="9" t="s">
        <v>605</v>
      </c>
      <c r="B341" s="186" t="s">
        <v>838</v>
      </c>
      <c r="C341" s="187">
        <v>28</v>
      </c>
      <c r="D341" s="186" t="s">
        <v>867</v>
      </c>
      <c r="E341" s="90">
        <v>74.992500000000007</v>
      </c>
      <c r="F341" s="188">
        <v>14.8337494953287</v>
      </c>
      <c r="G341" s="189">
        <v>0.12983533569455699</v>
      </c>
      <c r="H341" s="189">
        <v>0.233137868229713</v>
      </c>
      <c r="I341" s="189">
        <v>0.36297320392427002</v>
      </c>
      <c r="J341" s="189">
        <v>1.3951497703890501</v>
      </c>
      <c r="K341" s="189">
        <v>4.1184632596549201E-3</v>
      </c>
      <c r="L341" s="189">
        <v>6.0215185716700897E-3</v>
      </c>
      <c r="M341" s="189">
        <v>8.8742523929714896E-3</v>
      </c>
      <c r="N341" s="189">
        <v>1.0782922047123999E-2</v>
      </c>
      <c r="O341" s="189">
        <v>0.46822681615664602</v>
      </c>
      <c r="P341" s="189">
        <v>1.1636462938625201</v>
      </c>
      <c r="Q341" s="189">
        <v>3.4819217142082998E-2</v>
      </c>
      <c r="R341" s="189">
        <v>0.29841620718529999</v>
      </c>
      <c r="S341" s="189">
        <v>2.1582080941606002E-2</v>
      </c>
      <c r="T341" s="189">
        <v>8.5421701169385397E-2</v>
      </c>
      <c r="U341" s="189">
        <v>0.12542191000602099</v>
      </c>
      <c r="V341" s="189">
        <v>0.40514246883355098</v>
      </c>
      <c r="W341" s="189"/>
      <c r="X341" s="90"/>
      <c r="Y341" s="188"/>
      <c r="Z341" s="188"/>
      <c r="AA341" s="188"/>
      <c r="AB341" s="188"/>
      <c r="AC341" s="188"/>
      <c r="AD341" s="190"/>
      <c r="AE341" s="189"/>
    </row>
    <row r="342" spans="1:31" ht="21.25" customHeight="1" x14ac:dyDescent="0.15">
      <c r="A342" s="9" t="s">
        <v>321</v>
      </c>
      <c r="B342" s="186" t="s">
        <v>852</v>
      </c>
      <c r="C342" s="187">
        <v>27</v>
      </c>
      <c r="D342" s="186" t="s">
        <v>818</v>
      </c>
      <c r="E342" s="90">
        <v>81.73</v>
      </c>
      <c r="F342" s="188">
        <v>22.209307084103799</v>
      </c>
      <c r="G342" s="189">
        <v>7.4560066919330897E-2</v>
      </c>
      <c r="H342" s="189">
        <v>0.286639129237093</v>
      </c>
      <c r="I342" s="189">
        <v>0.36119919615642399</v>
      </c>
      <c r="J342" s="189">
        <v>1.4119847506127099</v>
      </c>
      <c r="K342" s="189">
        <v>4.5635874591481301E-3</v>
      </c>
      <c r="L342" s="189">
        <v>7.19365261720048E-2</v>
      </c>
      <c r="M342" s="189">
        <v>3.6358037981362002E-4</v>
      </c>
      <c r="N342" s="189">
        <v>1.2478144280584099E-2</v>
      </c>
      <c r="O342" s="189">
        <v>1.9019763717367399</v>
      </c>
      <c r="P342" s="189">
        <v>0.98947563545810602</v>
      </c>
      <c r="Q342" s="189">
        <v>-0.103746521753287</v>
      </c>
      <c r="R342" s="189">
        <v>0.33349923903399997</v>
      </c>
      <c r="S342" s="189">
        <v>8.2451764714978597E-3</v>
      </c>
      <c r="T342" s="189">
        <v>0</v>
      </c>
      <c r="U342" s="189">
        <v>0</v>
      </c>
      <c r="V342" s="189">
        <v>0</v>
      </c>
      <c r="W342" s="189"/>
      <c r="X342" s="90"/>
      <c r="Y342" s="188"/>
      <c r="Z342" s="188"/>
      <c r="AA342" s="188"/>
      <c r="AB342" s="188"/>
      <c r="AC342" s="188"/>
      <c r="AD342" s="190"/>
      <c r="AE342" s="189"/>
    </row>
    <row r="343" spans="1:31" ht="21.25" customHeight="1" x14ac:dyDescent="0.15">
      <c r="A343" s="9" t="s">
        <v>689</v>
      </c>
      <c r="B343" s="186" t="s">
        <v>826</v>
      </c>
      <c r="C343" s="187">
        <v>32</v>
      </c>
      <c r="D343" s="186" t="s">
        <v>815</v>
      </c>
      <c r="E343" s="90">
        <v>73.867500000000007</v>
      </c>
      <c r="F343" s="188">
        <v>13.9248461685564</v>
      </c>
      <c r="G343" s="189">
        <v>0.169963611459229</v>
      </c>
      <c r="H343" s="189">
        <v>0.18977032045280601</v>
      </c>
      <c r="I343" s="189">
        <v>0.35973393191203501</v>
      </c>
      <c r="J343" s="189">
        <v>1.4529470105237601</v>
      </c>
      <c r="K343" s="189">
        <v>5.7804927451383104E-3</v>
      </c>
      <c r="L343" s="189">
        <v>1.4119788547410099E-2</v>
      </c>
      <c r="M343" s="189">
        <v>1.10474035382414E-2</v>
      </c>
      <c r="N343" s="189">
        <v>1.9302446413652499E-2</v>
      </c>
      <c r="O343" s="189">
        <v>0.296653653317906</v>
      </c>
      <c r="P343" s="189">
        <v>0.95158898980279005</v>
      </c>
      <c r="Q343" s="189">
        <v>7.8721747347649501E-2</v>
      </c>
      <c r="R343" s="189">
        <v>0.24253820832846301</v>
      </c>
      <c r="S343" s="189">
        <v>2.7191131133527599E-2</v>
      </c>
      <c r="T343" s="189">
        <v>1.3485258879375299</v>
      </c>
      <c r="U343" s="189">
        <v>1.4590135553356101</v>
      </c>
      <c r="V343" s="189">
        <v>0.48032304271578202</v>
      </c>
      <c r="W343" s="189"/>
      <c r="X343" s="90"/>
      <c r="Y343" s="188"/>
      <c r="Z343" s="188"/>
      <c r="AA343" s="188"/>
      <c r="AB343" s="188"/>
      <c r="AC343" s="188"/>
      <c r="AD343" s="190"/>
      <c r="AE343" s="189"/>
    </row>
    <row r="344" spans="1:31" ht="21.25" customHeight="1" x14ac:dyDescent="0.15">
      <c r="A344" s="9" t="s">
        <v>351</v>
      </c>
      <c r="B344" s="186" t="s">
        <v>839</v>
      </c>
      <c r="C344" s="187">
        <v>28</v>
      </c>
      <c r="D344" s="186" t="s">
        <v>818</v>
      </c>
      <c r="E344" s="90">
        <v>79.105000000000004</v>
      </c>
      <c r="F344" s="188">
        <v>21.893020517922</v>
      </c>
      <c r="G344" s="189">
        <v>4.20836943551346E-2</v>
      </c>
      <c r="H344" s="189">
        <v>0.31751801148596198</v>
      </c>
      <c r="I344" s="189">
        <v>0.35960170584109702</v>
      </c>
      <c r="J344" s="189">
        <v>1.3490568997761101</v>
      </c>
      <c r="K344" s="189">
        <v>9.9248666590085908E-4</v>
      </c>
      <c r="L344" s="189">
        <v>6.5020451797484797E-3</v>
      </c>
      <c r="M344" s="189">
        <v>4.7584484108471799E-4</v>
      </c>
      <c r="N344" s="189">
        <v>2.0862953937561702E-3</v>
      </c>
      <c r="O344" s="189">
        <v>1.88975672972084</v>
      </c>
      <c r="P344" s="189">
        <v>1.50116120405832</v>
      </c>
      <c r="Q344" s="189">
        <v>2.7214689685903001E-2</v>
      </c>
      <c r="R344" s="189">
        <v>0.60749861177009201</v>
      </c>
      <c r="S344" s="189">
        <v>6.2386089869155897E-3</v>
      </c>
      <c r="T344" s="189">
        <v>0</v>
      </c>
      <c r="U344" s="189">
        <v>0</v>
      </c>
      <c r="V344" s="189">
        <v>0</v>
      </c>
      <c r="W344" s="189"/>
      <c r="X344" s="90"/>
      <c r="Y344" s="188"/>
      <c r="Z344" s="188"/>
      <c r="AA344" s="188"/>
      <c r="AB344" s="188"/>
      <c r="AC344" s="188"/>
      <c r="AD344" s="190"/>
      <c r="AE344" s="189"/>
    </row>
    <row r="345" spans="1:31" ht="21.25" customHeight="1" x14ac:dyDescent="0.15">
      <c r="A345" s="9" t="s">
        <v>621</v>
      </c>
      <c r="B345" s="186" t="s">
        <v>848</v>
      </c>
      <c r="C345" s="187">
        <v>24</v>
      </c>
      <c r="D345" s="186" t="s">
        <v>866</v>
      </c>
      <c r="E345" s="90">
        <v>73.282499999999999</v>
      </c>
      <c r="F345" s="188">
        <v>13.8899632674241</v>
      </c>
      <c r="G345" s="189">
        <v>0.152328671656245</v>
      </c>
      <c r="H345" s="189">
        <v>0.206069520423806</v>
      </c>
      <c r="I345" s="189">
        <v>0.35839819208005103</v>
      </c>
      <c r="J345" s="189">
        <v>1.3798460879979499</v>
      </c>
      <c r="K345" s="189">
        <v>3.35585150980564E-3</v>
      </c>
      <c r="L345" s="189">
        <v>1.3179799224422599E-2</v>
      </c>
      <c r="M345" s="189">
        <v>1.27505470280004E-2</v>
      </c>
      <c r="N345" s="189">
        <v>1.5374920082245299E-2</v>
      </c>
      <c r="O345" s="189">
        <v>0.43050644551015699</v>
      </c>
      <c r="P345" s="189">
        <v>0.71419751978947599</v>
      </c>
      <c r="Q345" s="189">
        <v>-0.10828399401955</v>
      </c>
      <c r="R345" s="189">
        <v>0.40257251350100898</v>
      </c>
      <c r="S345" s="189">
        <v>1.83394723143998E-2</v>
      </c>
      <c r="T345" s="189">
        <v>0.10676139331401301</v>
      </c>
      <c r="U345" s="189">
        <v>0.223710716881931</v>
      </c>
      <c r="V345" s="189">
        <v>0.32305719611470901</v>
      </c>
      <c r="W345" s="189"/>
      <c r="X345" s="90"/>
      <c r="Y345" s="188"/>
      <c r="Z345" s="188"/>
      <c r="AA345" s="188"/>
      <c r="AB345" s="188"/>
      <c r="AC345" s="188"/>
      <c r="AD345" s="190"/>
      <c r="AE345" s="189"/>
    </row>
    <row r="346" spans="1:31" ht="21.25" customHeight="1" x14ac:dyDescent="0.15">
      <c r="A346" s="9" t="s">
        <v>655</v>
      </c>
      <c r="B346" s="186" t="s">
        <v>840</v>
      </c>
      <c r="C346" s="187">
        <v>28</v>
      </c>
      <c r="D346" s="186" t="s">
        <v>815</v>
      </c>
      <c r="E346" s="90">
        <v>75.77</v>
      </c>
      <c r="F346" s="188">
        <v>13.4449361832101</v>
      </c>
      <c r="G346" s="189">
        <v>0.187272517216684</v>
      </c>
      <c r="H346" s="189">
        <v>0.16947899079886</v>
      </c>
      <c r="I346" s="189">
        <v>0.35675150801554401</v>
      </c>
      <c r="J346" s="189">
        <v>1.49823657957101</v>
      </c>
      <c r="K346" s="189">
        <v>1.46021114774285E-2</v>
      </c>
      <c r="L346" s="189">
        <v>2.7532327147897301E-2</v>
      </c>
      <c r="M346" s="189">
        <v>2.9336758254932599E-3</v>
      </c>
      <c r="N346" s="189">
        <v>4.9681551286998903E-3</v>
      </c>
      <c r="O346" s="189">
        <v>0.48161290609649599</v>
      </c>
      <c r="P346" s="189">
        <v>0.78633155767916196</v>
      </c>
      <c r="Q346" s="189">
        <v>2.9030060949282899E-2</v>
      </c>
      <c r="R346" s="189">
        <v>0.26189019293617999</v>
      </c>
      <c r="S346" s="189">
        <v>2.9076724919006099E-2</v>
      </c>
      <c r="T346" s="189">
        <v>0.82574144691728701</v>
      </c>
      <c r="U346" s="189">
        <v>0.86549770271312398</v>
      </c>
      <c r="V346" s="189">
        <v>0.488246412163376</v>
      </c>
      <c r="W346" s="189"/>
      <c r="X346" s="90"/>
      <c r="Y346" s="188"/>
      <c r="Z346" s="188"/>
      <c r="AA346" s="188"/>
      <c r="AB346" s="188"/>
      <c r="AC346" s="188"/>
      <c r="AD346" s="190"/>
      <c r="AE346" s="189"/>
    </row>
    <row r="347" spans="1:31" ht="21.25" customHeight="1" x14ac:dyDescent="0.15">
      <c r="A347" s="9" t="s">
        <v>473</v>
      </c>
      <c r="B347" s="186" t="s">
        <v>850</v>
      </c>
      <c r="C347" s="187">
        <v>23</v>
      </c>
      <c r="D347" s="186" t="s">
        <v>818</v>
      </c>
      <c r="E347" s="90">
        <v>69.602500000000006</v>
      </c>
      <c r="F347" s="188">
        <v>17.627791751980801</v>
      </c>
      <c r="G347" s="189">
        <v>4.5973298375391998E-2</v>
      </c>
      <c r="H347" s="189">
        <v>0.30999749614880201</v>
      </c>
      <c r="I347" s="189">
        <v>0.355970794524194</v>
      </c>
      <c r="J347" s="189">
        <v>1.3138214146724001</v>
      </c>
      <c r="K347" s="189">
        <v>1.15060879740322E-2</v>
      </c>
      <c r="L347" s="189">
        <v>7.8944539395000193E-2</v>
      </c>
      <c r="M347" s="189">
        <v>5.7414457130502505E-4</v>
      </c>
      <c r="N347" s="189">
        <v>2.7499442775343898E-3</v>
      </c>
      <c r="O347" s="189">
        <v>1.14182830845556</v>
      </c>
      <c r="P347" s="189">
        <v>1.2350842848422301</v>
      </c>
      <c r="Q347" s="189">
        <v>2.9958071589362801E-2</v>
      </c>
      <c r="R347" s="189">
        <v>0.26983359813978303</v>
      </c>
      <c r="S347" s="189">
        <v>8.1929782954132495E-3</v>
      </c>
      <c r="T347" s="189">
        <v>0</v>
      </c>
      <c r="U347" s="189">
        <v>0</v>
      </c>
      <c r="V347" s="189">
        <v>0</v>
      </c>
      <c r="W347" s="189"/>
      <c r="X347" s="90"/>
      <c r="Y347" s="188"/>
      <c r="Z347" s="188"/>
      <c r="AA347" s="188"/>
      <c r="AB347" s="188"/>
      <c r="AC347" s="188"/>
      <c r="AD347" s="190"/>
      <c r="AE347" s="189"/>
    </row>
    <row r="348" spans="1:31" ht="21.25" customHeight="1" x14ac:dyDescent="0.15">
      <c r="A348" s="9" t="s">
        <v>757</v>
      </c>
      <c r="B348" s="186" t="s">
        <v>850</v>
      </c>
      <c r="C348" s="187">
        <v>23</v>
      </c>
      <c r="D348" s="186" t="s">
        <v>815</v>
      </c>
      <c r="E348" s="90">
        <v>56.3</v>
      </c>
      <c r="F348" s="188">
        <v>13.0775754791325</v>
      </c>
      <c r="G348" s="189">
        <v>0.136293302834915</v>
      </c>
      <c r="H348" s="189">
        <v>0.21816342906333899</v>
      </c>
      <c r="I348" s="189">
        <v>0.354456731898254</v>
      </c>
      <c r="J348" s="189">
        <v>1.31993690234591</v>
      </c>
      <c r="K348" s="189">
        <v>3.9087400762691203E-3</v>
      </c>
      <c r="L348" s="189">
        <v>8.9482343287965692E-3</v>
      </c>
      <c r="M348" s="189">
        <v>0</v>
      </c>
      <c r="N348" s="189">
        <v>0</v>
      </c>
      <c r="O348" s="189">
        <v>0.54659346063245595</v>
      </c>
      <c r="P348" s="189">
        <v>0.84113886285050399</v>
      </c>
      <c r="Q348" s="189">
        <v>3.2152168807242199E-2</v>
      </c>
      <c r="R348" s="189">
        <v>0.40292804100208301</v>
      </c>
      <c r="S348" s="189">
        <v>2.4289057157020299E-2</v>
      </c>
      <c r="T348" s="189">
        <v>1.50854227572501</v>
      </c>
      <c r="U348" s="189">
        <v>1.6591984664114401</v>
      </c>
      <c r="V348" s="189">
        <v>0.47622024607594199</v>
      </c>
      <c r="W348" s="189"/>
      <c r="X348" s="90"/>
      <c r="Y348" s="188"/>
      <c r="Z348" s="188"/>
      <c r="AA348" s="188"/>
      <c r="AB348" s="188"/>
      <c r="AC348" s="188"/>
      <c r="AD348" s="190"/>
      <c r="AE348" s="189"/>
    </row>
    <row r="349" spans="1:31" ht="21.25" customHeight="1" x14ac:dyDescent="0.15">
      <c r="A349" s="9" t="s">
        <v>593</v>
      </c>
      <c r="B349" s="186" t="s">
        <v>845</v>
      </c>
      <c r="C349" s="187">
        <v>24</v>
      </c>
      <c r="D349" s="186" t="s">
        <v>867</v>
      </c>
      <c r="E349" s="90">
        <v>74.144999999999996</v>
      </c>
      <c r="F349" s="188">
        <v>12.579818955219499</v>
      </c>
      <c r="G349" s="189">
        <v>0.12917447653946301</v>
      </c>
      <c r="H349" s="189">
        <v>0.22523608154498501</v>
      </c>
      <c r="I349" s="189">
        <v>0.35441055808444799</v>
      </c>
      <c r="J349" s="189">
        <v>1.7923422932350901</v>
      </c>
      <c r="K349" s="189">
        <v>3.2308752040419099E-3</v>
      </c>
      <c r="L349" s="189">
        <v>7.4211844119882403E-3</v>
      </c>
      <c r="M349" s="189">
        <v>5.9525804527014599E-5</v>
      </c>
      <c r="N349" s="189">
        <v>1.00168057345409E-4</v>
      </c>
      <c r="O349" s="189">
        <v>0.36901195243823998</v>
      </c>
      <c r="P349" s="189">
        <v>3.13416654464522</v>
      </c>
      <c r="Q349" s="189">
        <v>-1.18257861923735E-2</v>
      </c>
      <c r="R349" s="189">
        <v>0.80842688446172195</v>
      </c>
      <c r="S349" s="189">
        <v>1.87669560175549E-2</v>
      </c>
      <c r="T349" s="189">
        <v>0.36106951689073002</v>
      </c>
      <c r="U349" s="189">
        <v>0.439562890127845</v>
      </c>
      <c r="V349" s="189">
        <v>0.45098039215686297</v>
      </c>
      <c r="W349" s="189"/>
      <c r="X349" s="90"/>
      <c r="Y349" s="188"/>
      <c r="Z349" s="188"/>
      <c r="AA349" s="188"/>
      <c r="AB349" s="188"/>
      <c r="AC349" s="188"/>
      <c r="AD349" s="190"/>
      <c r="AE349" s="189"/>
    </row>
    <row r="350" spans="1:31" ht="21.25" customHeight="1" x14ac:dyDescent="0.15">
      <c r="A350" s="9" t="s">
        <v>669</v>
      </c>
      <c r="B350" s="186" t="s">
        <v>849</v>
      </c>
      <c r="C350" s="187">
        <v>24</v>
      </c>
      <c r="D350" s="186" t="s">
        <v>815</v>
      </c>
      <c r="E350" s="90">
        <v>70.16</v>
      </c>
      <c r="F350" s="188">
        <v>12.7434690642738</v>
      </c>
      <c r="G350" s="189">
        <v>0.117441642754382</v>
      </c>
      <c r="H350" s="189">
        <v>0.23535225222268</v>
      </c>
      <c r="I350" s="189">
        <v>0.35279389497706198</v>
      </c>
      <c r="J350" s="189">
        <v>1.5869048735162301</v>
      </c>
      <c r="K350" s="189">
        <v>3.2777701812784901E-2</v>
      </c>
      <c r="L350" s="189">
        <v>0.10604614217007501</v>
      </c>
      <c r="M350" s="189">
        <v>1.3346972187971301E-3</v>
      </c>
      <c r="N350" s="189">
        <v>2.23564476452392E-3</v>
      </c>
      <c r="O350" s="189">
        <v>0.47877220876751098</v>
      </c>
      <c r="P350" s="189">
        <v>0.66089317023310901</v>
      </c>
      <c r="Q350" s="189">
        <v>7.4823215715259406E-2</v>
      </c>
      <c r="R350" s="189">
        <v>0.41796658948336801</v>
      </c>
      <c r="S350" s="189">
        <v>2.0350943904794701E-2</v>
      </c>
      <c r="T350" s="189">
        <v>4.8619426923375499</v>
      </c>
      <c r="U350" s="189">
        <v>3.9658727020359801</v>
      </c>
      <c r="V350" s="189">
        <v>0.550752646621535</v>
      </c>
      <c r="W350" s="189"/>
      <c r="X350" s="90"/>
      <c r="Y350" s="188"/>
      <c r="Z350" s="188"/>
      <c r="AA350" s="188"/>
      <c r="AB350" s="188"/>
      <c r="AC350" s="188"/>
      <c r="AD350" s="190"/>
      <c r="AE350" s="189"/>
    </row>
    <row r="351" spans="1:31" ht="21.25" customHeight="1" x14ac:dyDescent="0.15">
      <c r="A351" s="9" t="s">
        <v>676</v>
      </c>
      <c r="B351" s="186" t="s">
        <v>836</v>
      </c>
      <c r="C351" s="187">
        <v>26</v>
      </c>
      <c r="D351" s="186" t="s">
        <v>817</v>
      </c>
      <c r="E351" s="90">
        <v>60</v>
      </c>
      <c r="F351" s="188">
        <v>14</v>
      </c>
      <c r="G351" s="189">
        <v>0.19563885320846799</v>
      </c>
      <c r="H351" s="189">
        <v>0.15693432370351501</v>
      </c>
      <c r="I351" s="189">
        <v>0.35257317691198298</v>
      </c>
      <c r="J351" s="189">
        <v>1.68779529300663</v>
      </c>
      <c r="K351" s="189">
        <v>3.0886998221793999E-2</v>
      </c>
      <c r="L351" s="189">
        <v>5.56634171062566E-2</v>
      </c>
      <c r="M351" s="189">
        <v>0</v>
      </c>
      <c r="N351" s="189">
        <v>0</v>
      </c>
      <c r="O351" s="189">
        <v>0.41951219512195098</v>
      </c>
      <c r="P351" s="189">
        <v>1.1830924032672601</v>
      </c>
      <c r="Q351" s="189">
        <v>2.81968812112556E-2</v>
      </c>
      <c r="R351" s="189">
        <v>0.40406689838350401</v>
      </c>
      <c r="S351" s="189">
        <v>3.0746394451610901E-2</v>
      </c>
      <c r="T351" s="189">
        <v>0</v>
      </c>
      <c r="U351" s="189">
        <v>0</v>
      </c>
      <c r="V351" s="189">
        <v>0</v>
      </c>
      <c r="W351" s="189"/>
      <c r="X351" s="90"/>
      <c r="Y351" s="189"/>
      <c r="Z351" s="189"/>
      <c r="AA351" s="189"/>
      <c r="AB351" s="189"/>
      <c r="AC351" s="188"/>
      <c r="AD351" s="190"/>
      <c r="AE351" s="189"/>
    </row>
    <row r="352" spans="1:31" ht="21.25" customHeight="1" x14ac:dyDescent="0.15">
      <c r="A352" s="9" t="s">
        <v>659</v>
      </c>
      <c r="B352" s="186" t="s">
        <v>829</v>
      </c>
      <c r="C352" s="187">
        <v>33</v>
      </c>
      <c r="D352" s="186" t="s">
        <v>816</v>
      </c>
      <c r="E352" s="90">
        <v>79.3</v>
      </c>
      <c r="F352" s="188">
        <v>12.717663200383701</v>
      </c>
      <c r="G352" s="189">
        <v>0.144434176703644</v>
      </c>
      <c r="H352" s="189">
        <v>0.20721564106068399</v>
      </c>
      <c r="I352" s="189">
        <v>0.35164981776432802</v>
      </c>
      <c r="J352" s="189">
        <v>1.2225640390989001</v>
      </c>
      <c r="K352" s="189">
        <v>2.3687420101967502E-3</v>
      </c>
      <c r="L352" s="189">
        <v>7.6459901497263703E-3</v>
      </c>
      <c r="M352" s="189">
        <v>1.0608436779131699E-3</v>
      </c>
      <c r="N352" s="189">
        <v>1.8322688845830101E-3</v>
      </c>
      <c r="O352" s="189">
        <v>0.36937889040071697</v>
      </c>
      <c r="P352" s="189">
        <v>0.74085456683320505</v>
      </c>
      <c r="Q352" s="189">
        <v>1.11718040504705E-2</v>
      </c>
      <c r="R352" s="189">
        <v>0.297490265235202</v>
      </c>
      <c r="S352" s="189">
        <v>2.17916972180267E-2</v>
      </c>
      <c r="T352" s="189">
        <v>0.12527464835560301</v>
      </c>
      <c r="U352" s="189">
        <v>0.24108650314757399</v>
      </c>
      <c r="V352" s="189">
        <v>0.34194304674936898</v>
      </c>
      <c r="W352" s="189"/>
      <c r="X352" s="90"/>
      <c r="Y352" s="188"/>
      <c r="Z352" s="188"/>
      <c r="AA352" s="188"/>
      <c r="AB352" s="188"/>
      <c r="AC352" s="188"/>
      <c r="AD352" s="190"/>
      <c r="AE352" s="189"/>
    </row>
    <row r="353" spans="1:31" ht="21.25" customHeight="1" x14ac:dyDescent="0.15">
      <c r="A353" s="9" t="s">
        <v>341</v>
      </c>
      <c r="B353" s="186" t="s">
        <v>833</v>
      </c>
      <c r="C353" s="187">
        <v>31</v>
      </c>
      <c r="D353" s="186" t="s">
        <v>818</v>
      </c>
      <c r="E353" s="90">
        <v>74.555000000000007</v>
      </c>
      <c r="F353" s="188">
        <v>22.5354675386987</v>
      </c>
      <c r="G353" s="189">
        <v>7.7887848698508899E-2</v>
      </c>
      <c r="H353" s="189">
        <v>0.27337751569060798</v>
      </c>
      <c r="I353" s="189">
        <v>0.35126536438911699</v>
      </c>
      <c r="J353" s="189">
        <v>1.70485491808187</v>
      </c>
      <c r="K353" s="189">
        <v>1.8550040223280801E-3</v>
      </c>
      <c r="L353" s="189">
        <v>1.51412825701211E-2</v>
      </c>
      <c r="M353" s="189">
        <v>3.3070217044374499E-4</v>
      </c>
      <c r="N353" s="189">
        <v>9.60970938563919E-3</v>
      </c>
      <c r="O353" s="189">
        <v>2.05672823794982</v>
      </c>
      <c r="P353" s="189">
        <v>0.60450451460272603</v>
      </c>
      <c r="Q353" s="189">
        <v>3.01252843718917E-2</v>
      </c>
      <c r="R353" s="189">
        <v>0.36198058946051198</v>
      </c>
      <c r="S353" s="189">
        <v>1.2857658070703401E-2</v>
      </c>
      <c r="T353" s="189">
        <v>0</v>
      </c>
      <c r="U353" s="189">
        <v>0</v>
      </c>
      <c r="V353" s="189">
        <v>0</v>
      </c>
      <c r="W353" s="189"/>
      <c r="X353" s="90"/>
      <c r="Y353" s="188"/>
      <c r="Z353" s="188"/>
      <c r="AA353" s="188"/>
      <c r="AB353" s="188"/>
      <c r="AC353" s="188"/>
      <c r="AD353" s="190"/>
      <c r="AE353" s="189"/>
    </row>
    <row r="354" spans="1:31" ht="21.25" customHeight="1" x14ac:dyDescent="0.15">
      <c r="A354" s="9" t="s">
        <v>684</v>
      </c>
      <c r="B354" s="186" t="s">
        <v>858</v>
      </c>
      <c r="C354" s="187">
        <v>28</v>
      </c>
      <c r="D354" s="186" t="s">
        <v>865</v>
      </c>
      <c r="E354" s="90">
        <v>69.52</v>
      </c>
      <c r="F354" s="188">
        <v>12.477499161583999</v>
      </c>
      <c r="G354" s="189">
        <v>0.18901823881377999</v>
      </c>
      <c r="H354" s="189">
        <v>0.16098096704392101</v>
      </c>
      <c r="I354" s="189">
        <v>0.349999205857701</v>
      </c>
      <c r="J354" s="189">
        <v>1.32160762361899</v>
      </c>
      <c r="K354" s="189">
        <v>2.72269539798277E-2</v>
      </c>
      <c r="L354" s="189">
        <v>6.4344674312083794E-2</v>
      </c>
      <c r="M354" s="189">
        <v>2.1624068873521201E-4</v>
      </c>
      <c r="N354" s="189">
        <v>3.6557856694783398E-4</v>
      </c>
      <c r="O354" s="189">
        <v>0.44180138137736102</v>
      </c>
      <c r="P354" s="189">
        <v>1.1784855038570901</v>
      </c>
      <c r="Q354" s="189">
        <v>-4.58057400598888E-2</v>
      </c>
      <c r="R354" s="189">
        <v>0.35336915120673601</v>
      </c>
      <c r="S354" s="189">
        <v>2.2031880731306401E-2</v>
      </c>
      <c r="T354" s="189">
        <v>0.81392601230843398</v>
      </c>
      <c r="U354" s="189">
        <v>0.76622287757781404</v>
      </c>
      <c r="V354" s="189">
        <v>0.51509450629492703</v>
      </c>
      <c r="W354" s="189"/>
      <c r="X354" s="90"/>
      <c r="Y354" s="188"/>
      <c r="Z354" s="188"/>
      <c r="AA354" s="188"/>
      <c r="AB354" s="188"/>
      <c r="AC354" s="188"/>
      <c r="AD354" s="190"/>
      <c r="AE354" s="189"/>
    </row>
    <row r="355" spans="1:31" ht="21.25" customHeight="1" x14ac:dyDescent="0.15">
      <c r="A355" s="9" t="s">
        <v>687</v>
      </c>
      <c r="B355" s="186" t="s">
        <v>839</v>
      </c>
      <c r="C355" s="187">
        <v>25</v>
      </c>
      <c r="D355" s="186" t="s">
        <v>815</v>
      </c>
      <c r="E355" s="90">
        <v>70.677499999999995</v>
      </c>
      <c r="F355" s="188">
        <v>12.156528630640199</v>
      </c>
      <c r="G355" s="189">
        <v>0.139931842435989</v>
      </c>
      <c r="H355" s="189">
        <v>0.20913380467437501</v>
      </c>
      <c r="I355" s="189">
        <v>0.34906564711036397</v>
      </c>
      <c r="J355" s="189">
        <v>1.5564840258558901</v>
      </c>
      <c r="K355" s="189">
        <v>1.9787126090116802E-2</v>
      </c>
      <c r="L355" s="189">
        <v>3.8392421260704697E-2</v>
      </c>
      <c r="M355" s="189">
        <v>4.1648900292230701E-4</v>
      </c>
      <c r="N355" s="189">
        <v>7.0429189516558305E-4</v>
      </c>
      <c r="O355" s="189">
        <v>0.44350829055164598</v>
      </c>
      <c r="P355" s="189">
        <v>0.84605755489488699</v>
      </c>
      <c r="Q355" s="189">
        <v>9.3343145184892305E-3</v>
      </c>
      <c r="R355" s="189">
        <v>0.31077605756256999</v>
      </c>
      <c r="S355" s="189">
        <v>2.0743902434276301E-2</v>
      </c>
      <c r="T355" s="189">
        <v>2.7902888487674198</v>
      </c>
      <c r="U355" s="189">
        <v>3.0414642236266798</v>
      </c>
      <c r="V355" s="189">
        <v>0.47846484824192398</v>
      </c>
      <c r="W355" s="189"/>
      <c r="X355" s="90"/>
      <c r="Y355" s="188"/>
      <c r="Z355" s="188"/>
      <c r="AA355" s="188"/>
      <c r="AB355" s="188"/>
      <c r="AC355" s="188"/>
      <c r="AD355" s="190"/>
      <c r="AE355" s="189"/>
    </row>
    <row r="356" spans="1:31" ht="21.25" customHeight="1" x14ac:dyDescent="0.15">
      <c r="A356" s="9" t="s">
        <v>416</v>
      </c>
      <c r="B356" s="186" t="s">
        <v>828</v>
      </c>
      <c r="C356" s="187">
        <v>29</v>
      </c>
      <c r="D356" s="186" t="s">
        <v>818</v>
      </c>
      <c r="E356" s="90">
        <v>79.987499999999997</v>
      </c>
      <c r="F356" s="188">
        <v>19.8479312055502</v>
      </c>
      <c r="G356" s="189">
        <v>0.127649917586318</v>
      </c>
      <c r="H356" s="189">
        <v>0.22114514908638899</v>
      </c>
      <c r="I356" s="189">
        <v>0.34879506667270699</v>
      </c>
      <c r="J356" s="189">
        <v>1.51406016151555</v>
      </c>
      <c r="K356" s="189">
        <v>4.8391697365882802E-4</v>
      </c>
      <c r="L356" s="189">
        <v>4.07201688192189E-3</v>
      </c>
      <c r="M356" s="189">
        <v>2.3846605332874301E-4</v>
      </c>
      <c r="N356" s="189">
        <v>5.5798393563379397E-3</v>
      </c>
      <c r="O356" s="189">
        <v>1.1025575130843199</v>
      </c>
      <c r="P356" s="189">
        <v>2.2639758927283902</v>
      </c>
      <c r="Q356" s="189">
        <v>-2.4180892641835399E-4</v>
      </c>
      <c r="R356" s="189">
        <v>1.02523047808264</v>
      </c>
      <c r="S356" s="189">
        <v>1.9881949262310801E-2</v>
      </c>
      <c r="T356" s="189">
        <v>0</v>
      </c>
      <c r="U356" s="189">
        <v>0</v>
      </c>
      <c r="V356" s="189">
        <v>0</v>
      </c>
      <c r="W356" s="189"/>
      <c r="X356" s="90"/>
      <c r="Y356" s="188"/>
      <c r="Z356" s="188"/>
      <c r="AA356" s="188"/>
      <c r="AB356" s="188"/>
      <c r="AC356" s="188"/>
      <c r="AD356" s="190"/>
      <c r="AE356" s="189"/>
    </row>
    <row r="357" spans="1:31" ht="21.25" customHeight="1" x14ac:dyDescent="0.15">
      <c r="A357" s="9" t="s">
        <v>607</v>
      </c>
      <c r="B357" s="186" t="s">
        <v>847</v>
      </c>
      <c r="C357" s="187">
        <v>29</v>
      </c>
      <c r="D357" s="186" t="s">
        <v>817</v>
      </c>
      <c r="E357" s="90">
        <v>73.47</v>
      </c>
      <c r="F357" s="188">
        <v>13.2891349980268</v>
      </c>
      <c r="G357" s="189">
        <v>0.14804867721055601</v>
      </c>
      <c r="H357" s="189">
        <v>0.19806446796131499</v>
      </c>
      <c r="I357" s="189">
        <v>0.34611314517187097</v>
      </c>
      <c r="J357" s="189">
        <v>1.7381406133402899</v>
      </c>
      <c r="K357" s="189">
        <v>5.5245830278325397E-3</v>
      </c>
      <c r="L357" s="189">
        <v>1.1091734977498199E-2</v>
      </c>
      <c r="M357" s="189">
        <v>6.2939122776797104E-3</v>
      </c>
      <c r="N357" s="189">
        <v>7.0464220133684297E-3</v>
      </c>
      <c r="O357" s="189">
        <v>0.29265807520024301</v>
      </c>
      <c r="P357" s="189">
        <v>0.63901023180120198</v>
      </c>
      <c r="Q357" s="189">
        <v>6.6017392606159297E-2</v>
      </c>
      <c r="R357" s="189">
        <v>0.15458467106148399</v>
      </c>
      <c r="S357" s="189">
        <v>1.9133107119299601E-2</v>
      </c>
      <c r="T357" s="189">
        <v>5.6716162326737901E-2</v>
      </c>
      <c r="U357" s="189">
        <v>0.23385075793311999</v>
      </c>
      <c r="V357" s="189">
        <v>0.195191394381769</v>
      </c>
      <c r="W357" s="189"/>
      <c r="X357" s="90"/>
      <c r="Y357" s="188"/>
      <c r="Z357" s="188"/>
      <c r="AA357" s="188"/>
      <c r="AB357" s="188"/>
      <c r="AC357" s="188"/>
      <c r="AD357" s="190"/>
      <c r="AE357" s="189"/>
    </row>
    <row r="358" spans="1:31" ht="21.25" customHeight="1" x14ac:dyDescent="0.15">
      <c r="A358" s="9" t="s">
        <v>588</v>
      </c>
      <c r="B358" s="186" t="s">
        <v>825</v>
      </c>
      <c r="C358" s="187">
        <v>28</v>
      </c>
      <c r="D358" s="186" t="s">
        <v>816</v>
      </c>
      <c r="E358" s="90">
        <v>75.284999999999997</v>
      </c>
      <c r="F358" s="188">
        <v>13.2840350767106</v>
      </c>
      <c r="G358" s="189">
        <v>0.12988303115684499</v>
      </c>
      <c r="H358" s="189">
        <v>0.215291393894154</v>
      </c>
      <c r="I358" s="189">
        <v>0.34517442505099899</v>
      </c>
      <c r="J358" s="189">
        <v>2.09468942865381</v>
      </c>
      <c r="K358" s="189">
        <v>1.23472103987425E-3</v>
      </c>
      <c r="L358" s="189">
        <v>2.0813207822508199E-3</v>
      </c>
      <c r="M358" s="189">
        <v>9.0840342214555201E-3</v>
      </c>
      <c r="N358" s="189">
        <v>1.0501838153875599E-2</v>
      </c>
      <c r="O358" s="189">
        <v>0.43385601913507299</v>
      </c>
      <c r="P358" s="189">
        <v>1.3962123578375401</v>
      </c>
      <c r="Q358" s="189">
        <v>1.8149450995762099E-2</v>
      </c>
      <c r="R358" s="189">
        <v>0.65322128504963795</v>
      </c>
      <c r="S358" s="189">
        <v>1.9405908710911701E-2</v>
      </c>
      <c r="T358" s="189">
        <v>0.115241647019035</v>
      </c>
      <c r="U358" s="189">
        <v>0.34797427907816297</v>
      </c>
      <c r="V358" s="189">
        <v>0.24878602078732001</v>
      </c>
      <c r="W358" s="189"/>
      <c r="X358" s="90"/>
      <c r="Y358" s="188"/>
      <c r="Z358" s="188"/>
      <c r="AA358" s="188"/>
      <c r="AB358" s="188"/>
      <c r="AC358" s="188"/>
      <c r="AD358" s="190"/>
      <c r="AE358" s="189"/>
    </row>
    <row r="359" spans="1:31" ht="21.25" customHeight="1" x14ac:dyDescent="0.15">
      <c r="A359" s="9" t="s">
        <v>618</v>
      </c>
      <c r="B359" s="186" t="s">
        <v>848</v>
      </c>
      <c r="C359" s="187">
        <v>21</v>
      </c>
      <c r="D359" s="186" t="s">
        <v>818</v>
      </c>
      <c r="E359" s="90">
        <v>58.375</v>
      </c>
      <c r="F359" s="188">
        <v>11.931934497784701</v>
      </c>
      <c r="G359" s="189">
        <v>0.16581328498740999</v>
      </c>
      <c r="H359" s="189">
        <v>0.17932757090061099</v>
      </c>
      <c r="I359" s="189">
        <v>0.34514085588802101</v>
      </c>
      <c r="J359" s="189">
        <v>1.3890959675021699</v>
      </c>
      <c r="K359" s="189">
        <v>8.5415020553710301E-3</v>
      </c>
      <c r="L359" s="189">
        <v>1.9794625545693199E-2</v>
      </c>
      <c r="M359" s="189">
        <v>2.9069885871530898E-5</v>
      </c>
      <c r="N359" s="189">
        <v>4.93545622757123E-5</v>
      </c>
      <c r="O359" s="189">
        <v>0.46429475578525098</v>
      </c>
      <c r="P359" s="189">
        <v>0.74381984008869895</v>
      </c>
      <c r="Q359" s="189">
        <v>-4.46867994238783E-2</v>
      </c>
      <c r="R359" s="189">
        <v>0.293017818159032</v>
      </c>
      <c r="S359" s="189">
        <v>1.9962940110504201E-2</v>
      </c>
      <c r="T359" s="189">
        <v>3.9722799446649901E-2</v>
      </c>
      <c r="U359" s="189">
        <v>3.9722799446649998E-2</v>
      </c>
      <c r="V359" s="189">
        <v>0.5</v>
      </c>
      <c r="W359" s="189"/>
      <c r="X359" s="90"/>
      <c r="Y359" s="188"/>
      <c r="Z359" s="188"/>
      <c r="AA359" s="188"/>
      <c r="AB359" s="188"/>
      <c r="AC359" s="188"/>
      <c r="AD359" s="190"/>
      <c r="AE359" s="189"/>
    </row>
    <row r="360" spans="1:31" ht="21.25" customHeight="1" x14ac:dyDescent="0.15">
      <c r="A360" s="9" t="s">
        <v>530</v>
      </c>
      <c r="B360" s="186" t="s">
        <v>838</v>
      </c>
      <c r="C360" s="187">
        <v>30</v>
      </c>
      <c r="D360" s="186" t="s">
        <v>58</v>
      </c>
      <c r="E360" s="90">
        <v>78.567499999999995</v>
      </c>
      <c r="F360" s="188">
        <v>15.2108714010888</v>
      </c>
      <c r="G360" s="189">
        <v>0.13612482290914901</v>
      </c>
      <c r="H360" s="189">
        <v>0.208794408320291</v>
      </c>
      <c r="I360" s="189">
        <v>0.34491923122944002</v>
      </c>
      <c r="J360" s="189">
        <v>1.6820546390223601</v>
      </c>
      <c r="K360" s="189">
        <v>3.0048194079248199E-2</v>
      </c>
      <c r="L360" s="189">
        <v>5.7122581213303401E-2</v>
      </c>
      <c r="M360" s="189">
        <v>2.6967475012953401E-3</v>
      </c>
      <c r="N360" s="189">
        <v>1.0040872215885999E-2</v>
      </c>
      <c r="O360" s="189">
        <v>0.70961227107392</v>
      </c>
      <c r="P360" s="189">
        <v>0.59077529544017304</v>
      </c>
      <c r="Q360" s="189">
        <v>3.7988038906421197E-2</v>
      </c>
      <c r="R360" s="189">
        <v>0.18889373864405601</v>
      </c>
      <c r="S360" s="189">
        <v>2.2627560752016398E-2</v>
      </c>
      <c r="T360" s="189">
        <v>0.12585928195273</v>
      </c>
      <c r="U360" s="189">
        <v>0.17117431880337899</v>
      </c>
      <c r="V360" s="189">
        <v>0.42372068894680998</v>
      </c>
      <c r="W360" s="189"/>
      <c r="X360" s="90"/>
      <c r="Y360" s="188"/>
      <c r="Z360" s="188"/>
      <c r="AA360" s="188"/>
      <c r="AB360" s="188"/>
      <c r="AC360" s="188"/>
      <c r="AD360" s="190"/>
      <c r="AE360" s="189"/>
    </row>
    <row r="361" spans="1:31" ht="21.25" customHeight="1" x14ac:dyDescent="0.15">
      <c r="A361" s="9" t="s">
        <v>647</v>
      </c>
      <c r="B361" s="186" t="s">
        <v>835</v>
      </c>
      <c r="C361" s="187">
        <v>28</v>
      </c>
      <c r="D361" s="186" t="s">
        <v>815</v>
      </c>
      <c r="E361" s="90">
        <v>78.954999999999998</v>
      </c>
      <c r="F361" s="188">
        <v>14.5022853004947</v>
      </c>
      <c r="G361" s="189">
        <v>0.16319992464188099</v>
      </c>
      <c r="H361" s="189">
        <v>0.18165018197661401</v>
      </c>
      <c r="I361" s="189">
        <v>0.34485010661849502</v>
      </c>
      <c r="J361" s="189">
        <v>1.5108830175414301</v>
      </c>
      <c r="K361" s="189">
        <v>1.6313220224110601E-2</v>
      </c>
      <c r="L361" s="189">
        <v>4.5347463349846302E-2</v>
      </c>
      <c r="M361" s="189">
        <v>9.2925708718215594E-3</v>
      </c>
      <c r="N361" s="189">
        <v>1.0140592129836701E-2</v>
      </c>
      <c r="O361" s="189">
        <v>0.39124234096891602</v>
      </c>
      <c r="P361" s="189">
        <v>0.73209166473923404</v>
      </c>
      <c r="Q361" s="189">
        <v>7.1105676151020994E-2</v>
      </c>
      <c r="R361" s="189">
        <v>0.223157388120858</v>
      </c>
      <c r="S361" s="189">
        <v>2.7870337131825601E-2</v>
      </c>
      <c r="T361" s="189">
        <v>3.0701973731734098</v>
      </c>
      <c r="U361" s="189">
        <v>3.26091698798554</v>
      </c>
      <c r="V361" s="189">
        <v>0.48493791109017198</v>
      </c>
      <c r="W361" s="189"/>
      <c r="X361" s="90"/>
      <c r="Y361" s="188"/>
      <c r="Z361" s="188"/>
      <c r="AA361" s="188"/>
      <c r="AB361" s="188"/>
      <c r="AC361" s="188"/>
      <c r="AD361" s="190"/>
      <c r="AE361" s="189"/>
    </row>
    <row r="362" spans="1:31" ht="21.25" customHeight="1" x14ac:dyDescent="0.15">
      <c r="A362" s="9" t="s">
        <v>594</v>
      </c>
      <c r="B362" s="186" t="s">
        <v>847</v>
      </c>
      <c r="C362" s="187">
        <v>36</v>
      </c>
      <c r="D362" s="186" t="s">
        <v>816</v>
      </c>
      <c r="E362" s="90">
        <v>75.784999999999997</v>
      </c>
      <c r="F362" s="188">
        <v>16.212445587932098</v>
      </c>
      <c r="G362" s="189">
        <v>0.1413000664463</v>
      </c>
      <c r="H362" s="189">
        <v>0.20280229111421899</v>
      </c>
      <c r="I362" s="189">
        <v>0.34410235756051899</v>
      </c>
      <c r="J362" s="189">
        <v>1.6950273917403</v>
      </c>
      <c r="K362" s="189">
        <v>3.7752284614101399E-2</v>
      </c>
      <c r="L362" s="189">
        <v>8.4543998124044797E-2</v>
      </c>
      <c r="M362" s="189">
        <v>1.17269067874452E-2</v>
      </c>
      <c r="N362" s="189">
        <v>1.4370176322937101E-2</v>
      </c>
      <c r="O362" s="189">
        <v>0.54554808846450098</v>
      </c>
      <c r="P362" s="189">
        <v>2.3469135749115</v>
      </c>
      <c r="Q362" s="189">
        <v>-8.5441676290009996E-2</v>
      </c>
      <c r="R362" s="189">
        <v>0.77583311574073099</v>
      </c>
      <c r="S362" s="189">
        <v>1.8260948751580301E-2</v>
      </c>
      <c r="T362" s="189">
        <v>2.45683655212025</v>
      </c>
      <c r="U362" s="189">
        <v>2.0927592816029699</v>
      </c>
      <c r="V362" s="189">
        <v>0.540012045445731</v>
      </c>
      <c r="W362" s="189"/>
      <c r="X362" s="90"/>
      <c r="Y362" s="188"/>
      <c r="Z362" s="188"/>
      <c r="AA362" s="188"/>
      <c r="AB362" s="188"/>
      <c r="AC362" s="188"/>
      <c r="AD362" s="190"/>
      <c r="AE362" s="189"/>
    </row>
    <row r="363" spans="1:31" ht="21.25" customHeight="1" x14ac:dyDescent="0.15">
      <c r="A363" s="9" t="s">
        <v>646</v>
      </c>
      <c r="B363" s="186" t="s">
        <v>856</v>
      </c>
      <c r="C363" s="187">
        <v>25</v>
      </c>
      <c r="D363" s="186" t="s">
        <v>816</v>
      </c>
      <c r="E363" s="90">
        <v>75.647499999999994</v>
      </c>
      <c r="F363" s="188">
        <v>14.0755368639855</v>
      </c>
      <c r="G363" s="189">
        <v>0.12301072163632699</v>
      </c>
      <c r="H363" s="189">
        <v>0.22004083182492501</v>
      </c>
      <c r="I363" s="189">
        <v>0.34305155346125199</v>
      </c>
      <c r="J363" s="189">
        <v>1.2849344514330201</v>
      </c>
      <c r="K363" s="189">
        <v>4.1649028492041296E-3</v>
      </c>
      <c r="L363" s="189">
        <v>9.8699307967283802E-3</v>
      </c>
      <c r="M363" s="189">
        <v>6.0484576690649E-3</v>
      </c>
      <c r="N363" s="189">
        <v>2.6235430546160801E-2</v>
      </c>
      <c r="O363" s="189">
        <v>0.61831333966356805</v>
      </c>
      <c r="P363" s="189">
        <v>0.93031956233040403</v>
      </c>
      <c r="Q363" s="189">
        <v>-2.0232151935764799E-2</v>
      </c>
      <c r="R363" s="189">
        <v>0.15336587462830201</v>
      </c>
      <c r="S363" s="189">
        <v>1.7830345917792801E-2</v>
      </c>
      <c r="T363" s="189">
        <v>2.6045289223389601</v>
      </c>
      <c r="U363" s="189">
        <v>4.0619293662732296</v>
      </c>
      <c r="V363" s="189">
        <v>0.39069155008261103</v>
      </c>
      <c r="W363" s="189"/>
      <c r="X363" s="90"/>
      <c r="Y363" s="188"/>
      <c r="Z363" s="188"/>
      <c r="AA363" s="188"/>
      <c r="AB363" s="188"/>
      <c r="AC363" s="188"/>
      <c r="AD363" s="190"/>
      <c r="AE363" s="189"/>
    </row>
    <row r="364" spans="1:31" ht="21.25" customHeight="1" x14ac:dyDescent="0.15">
      <c r="A364" s="9" t="s">
        <v>736</v>
      </c>
      <c r="B364" s="186" t="s">
        <v>832</v>
      </c>
      <c r="C364" s="187">
        <v>25</v>
      </c>
      <c r="D364" s="186" t="s">
        <v>815</v>
      </c>
      <c r="E364" s="90">
        <v>71.567499999999995</v>
      </c>
      <c r="F364" s="188">
        <v>11.096462740070701</v>
      </c>
      <c r="G364" s="189">
        <v>0.153016409163204</v>
      </c>
      <c r="H364" s="189">
        <v>0.189874053604565</v>
      </c>
      <c r="I364" s="189">
        <v>0.34289046276776902</v>
      </c>
      <c r="J364" s="189">
        <v>1.0871310637619001</v>
      </c>
      <c r="K364" s="189">
        <v>8.8808168133087397E-4</v>
      </c>
      <c r="L364" s="189">
        <v>2.3038819462692099E-3</v>
      </c>
      <c r="M364" s="189">
        <v>5.7275047498119502E-4</v>
      </c>
      <c r="N364" s="189">
        <v>9.7062863212014504E-4</v>
      </c>
      <c r="O364" s="189">
        <v>0.33436523158882703</v>
      </c>
      <c r="P364" s="189">
        <v>1.24421960341774</v>
      </c>
      <c r="Q364" s="189">
        <v>4.2329299984178302E-2</v>
      </c>
      <c r="R364" s="189">
        <v>0.19344850811547901</v>
      </c>
      <c r="S364" s="189">
        <v>2.6068140267446301E-2</v>
      </c>
      <c r="T364" s="189">
        <v>1.27757408773043</v>
      </c>
      <c r="U364" s="189">
        <v>2.3648914140850699</v>
      </c>
      <c r="V364" s="189">
        <v>0.35074432059649002</v>
      </c>
      <c r="W364" s="189"/>
      <c r="X364" s="90"/>
      <c r="Y364" s="188"/>
      <c r="Z364" s="188"/>
      <c r="AA364" s="188"/>
      <c r="AB364" s="188"/>
      <c r="AC364" s="188"/>
      <c r="AD364" s="190"/>
      <c r="AE364" s="189"/>
    </row>
    <row r="365" spans="1:31" ht="21.25" customHeight="1" x14ac:dyDescent="0.15">
      <c r="A365" s="9" t="s">
        <v>389</v>
      </c>
      <c r="B365" s="186" t="s">
        <v>838</v>
      </c>
      <c r="C365" s="187">
        <v>31</v>
      </c>
      <c r="D365" s="186" t="s">
        <v>818</v>
      </c>
      <c r="E365" s="90">
        <v>80.467500000000001</v>
      </c>
      <c r="F365" s="188">
        <v>21.962455028688101</v>
      </c>
      <c r="G365" s="189">
        <v>4.5548633538342501E-2</v>
      </c>
      <c r="H365" s="189">
        <v>0.29694120775180999</v>
      </c>
      <c r="I365" s="189">
        <v>0.34248984129015297</v>
      </c>
      <c r="J365" s="189">
        <v>1.1500352208311799</v>
      </c>
      <c r="K365" s="189">
        <v>4.1768325294275899E-4</v>
      </c>
      <c r="L365" s="189">
        <v>4.1979447321057704E-3</v>
      </c>
      <c r="M365" s="189">
        <v>5.2487830517827299E-3</v>
      </c>
      <c r="N365" s="189">
        <v>1.54903458655247E-2</v>
      </c>
      <c r="O365" s="189">
        <v>1.6878832863950901</v>
      </c>
      <c r="P365" s="189">
        <v>1.81728970432226</v>
      </c>
      <c r="Q365" s="189">
        <v>2.64351485820093E-2</v>
      </c>
      <c r="R365" s="189">
        <v>0.53253634416803997</v>
      </c>
      <c r="S365" s="189">
        <v>7.5713925684813997E-3</v>
      </c>
      <c r="T365" s="189">
        <v>0</v>
      </c>
      <c r="U365" s="189">
        <v>0</v>
      </c>
      <c r="V365" s="189">
        <v>0</v>
      </c>
      <c r="W365" s="189"/>
      <c r="X365" s="90"/>
      <c r="Y365" s="188"/>
      <c r="Z365" s="188"/>
      <c r="AA365" s="188"/>
      <c r="AB365" s="188"/>
      <c r="AC365" s="188"/>
      <c r="AD365" s="190"/>
      <c r="AE365" s="189"/>
    </row>
    <row r="366" spans="1:31" ht="21.25" customHeight="1" x14ac:dyDescent="0.15">
      <c r="A366" s="9" t="s">
        <v>699</v>
      </c>
      <c r="B366" s="186" t="s">
        <v>837</v>
      </c>
      <c r="C366" s="187">
        <v>22</v>
      </c>
      <c r="D366" s="186" t="s">
        <v>815</v>
      </c>
      <c r="E366" s="90">
        <v>72</v>
      </c>
      <c r="F366" s="188">
        <v>14</v>
      </c>
      <c r="G366" s="189">
        <v>0.128473680964306</v>
      </c>
      <c r="H366" s="189">
        <v>0.213367528187342</v>
      </c>
      <c r="I366" s="189">
        <v>0.34184120915164801</v>
      </c>
      <c r="J366" s="189">
        <v>1.3721189834590699</v>
      </c>
      <c r="K366" s="189">
        <v>1.9306548634691698E-2</v>
      </c>
      <c r="L366" s="189">
        <v>5.13706300021224E-2</v>
      </c>
      <c r="M366" s="189">
        <v>0</v>
      </c>
      <c r="N366" s="189">
        <v>0</v>
      </c>
      <c r="O366" s="189">
        <v>0.41951219512195098</v>
      </c>
      <c r="P366" s="189">
        <v>1.1830924032672601</v>
      </c>
      <c r="Q366" s="189">
        <v>5.5548620858808899E-2</v>
      </c>
      <c r="R366" s="189">
        <v>0.40406689838350401</v>
      </c>
      <c r="S366" s="189">
        <v>2.0545345814090701E-2</v>
      </c>
      <c r="T366" s="189">
        <v>1.2195121951219501</v>
      </c>
      <c r="U366" s="189">
        <v>1.82926829268293</v>
      </c>
      <c r="V366" s="189">
        <v>0.4</v>
      </c>
      <c r="W366" s="189"/>
      <c r="X366" s="90"/>
      <c r="Y366" s="189"/>
      <c r="Z366" s="189"/>
      <c r="AA366" s="189"/>
      <c r="AB366" s="189"/>
      <c r="AC366" s="188"/>
      <c r="AD366" s="190"/>
      <c r="AE366" s="189"/>
    </row>
    <row r="367" spans="1:31" ht="21.25" customHeight="1" x14ac:dyDescent="0.15">
      <c r="A367" s="9" t="s">
        <v>426</v>
      </c>
      <c r="B367" s="186" t="s">
        <v>825</v>
      </c>
      <c r="C367" s="187">
        <v>26</v>
      </c>
      <c r="D367" s="186" t="s">
        <v>818</v>
      </c>
      <c r="E367" s="90">
        <v>75.622500000000002</v>
      </c>
      <c r="F367" s="188">
        <v>19.058959640253399</v>
      </c>
      <c r="G367" s="189">
        <v>6.04029335558319E-2</v>
      </c>
      <c r="H367" s="189">
        <v>0.27846259076009999</v>
      </c>
      <c r="I367" s="189">
        <v>0.33886552431593198</v>
      </c>
      <c r="J367" s="189">
        <v>1.2277784906092399</v>
      </c>
      <c r="K367" s="189">
        <v>3.4329700680377001E-3</v>
      </c>
      <c r="L367" s="189">
        <v>4.1306563811149E-2</v>
      </c>
      <c r="M367" s="189">
        <v>4.9128992138492496E-4</v>
      </c>
      <c r="N367" s="189">
        <v>6.0128819738387001E-3</v>
      </c>
      <c r="O367" s="189">
        <v>1.5535094153283</v>
      </c>
      <c r="P367" s="189">
        <v>1.1989355652740801</v>
      </c>
      <c r="Q367" s="189">
        <v>2.1035677773013E-2</v>
      </c>
      <c r="R367" s="189">
        <v>0.25584960800151801</v>
      </c>
      <c r="S367" s="189">
        <v>9.0248418443533308E-3</v>
      </c>
      <c r="T367" s="189">
        <v>0</v>
      </c>
      <c r="U367" s="189">
        <v>0</v>
      </c>
      <c r="V367" s="189">
        <v>0</v>
      </c>
      <c r="W367" s="189"/>
      <c r="X367" s="90"/>
      <c r="Y367" s="188"/>
      <c r="Z367" s="188"/>
      <c r="AA367" s="188"/>
      <c r="AB367" s="188"/>
      <c r="AC367" s="188"/>
      <c r="AD367" s="190"/>
      <c r="AE367" s="189"/>
    </row>
    <row r="368" spans="1:31" ht="21.25" customHeight="1" x14ac:dyDescent="0.15">
      <c r="A368" s="9" t="s">
        <v>654</v>
      </c>
      <c r="B368" s="186" t="s">
        <v>847</v>
      </c>
      <c r="C368" s="187">
        <v>28</v>
      </c>
      <c r="D368" s="186" t="s">
        <v>815</v>
      </c>
      <c r="E368" s="90">
        <v>79.007499999999993</v>
      </c>
      <c r="F368" s="188">
        <v>12.477816941071501</v>
      </c>
      <c r="G368" s="189">
        <v>0.15303541515760199</v>
      </c>
      <c r="H368" s="189">
        <v>0.184316467221249</v>
      </c>
      <c r="I368" s="189">
        <v>0.337351882378851</v>
      </c>
      <c r="J368" s="189">
        <v>1.66564201347651</v>
      </c>
      <c r="K368" s="189">
        <v>5.7281900783115302E-3</v>
      </c>
      <c r="L368" s="189">
        <v>1.6456018730260799E-2</v>
      </c>
      <c r="M368" s="189">
        <v>1.58006122957938E-3</v>
      </c>
      <c r="N368" s="189">
        <v>2.6889149577976599E-3</v>
      </c>
      <c r="O368" s="189">
        <v>0.29511491438173898</v>
      </c>
      <c r="P368" s="189">
        <v>1.1768586135557</v>
      </c>
      <c r="Q368" s="189">
        <v>-7.2939727464152199E-2</v>
      </c>
      <c r="R368" s="189">
        <v>0.37759459857916899</v>
      </c>
      <c r="S368" s="189">
        <v>1.9777569421256001E-2</v>
      </c>
      <c r="T368" s="189">
        <v>0.93826738499836804</v>
      </c>
      <c r="U368" s="189">
        <v>1.27464337859495</v>
      </c>
      <c r="V368" s="189">
        <v>0.42399693672003902</v>
      </c>
      <c r="W368" s="189"/>
      <c r="X368" s="90"/>
      <c r="Y368" s="188"/>
      <c r="Z368" s="188"/>
      <c r="AA368" s="188"/>
      <c r="AB368" s="188"/>
      <c r="AC368" s="188"/>
      <c r="AD368" s="190"/>
      <c r="AE368" s="189"/>
    </row>
    <row r="369" spans="1:31" ht="21.25" customHeight="1" x14ac:dyDescent="0.15">
      <c r="A369" s="9" t="s">
        <v>507</v>
      </c>
      <c r="B369" s="186" t="s">
        <v>824</v>
      </c>
      <c r="C369" s="187">
        <v>24</v>
      </c>
      <c r="D369" s="186" t="s">
        <v>818</v>
      </c>
      <c r="E369" s="90">
        <v>62.137500000000003</v>
      </c>
      <c r="F369" s="188">
        <v>19.7640101797219</v>
      </c>
      <c r="G369" s="189">
        <v>5.67195054181397E-2</v>
      </c>
      <c r="H369" s="189">
        <v>0.27911611391992103</v>
      </c>
      <c r="I369" s="189">
        <v>0.335835619338061</v>
      </c>
      <c r="J369" s="189">
        <v>1.22622318520641</v>
      </c>
      <c r="K369" s="189">
        <v>1.2820689564658999E-3</v>
      </c>
      <c r="L369" s="189">
        <v>1.18737356791909E-2</v>
      </c>
      <c r="M369" s="189">
        <v>8.0859948056245801E-4</v>
      </c>
      <c r="N369" s="189">
        <v>3.93305041739761E-3</v>
      </c>
      <c r="O369" s="189">
        <v>1.6364147136694001</v>
      </c>
      <c r="P369" s="189">
        <v>2.2535693843633302</v>
      </c>
      <c r="Q369" s="189">
        <v>-9.9830881625191506E-2</v>
      </c>
      <c r="R369" s="189">
        <v>0.36863470083905397</v>
      </c>
      <c r="S369" s="189">
        <v>9.1587910712991102E-3</v>
      </c>
      <c r="T369" s="189">
        <v>0</v>
      </c>
      <c r="U369" s="189">
        <v>0</v>
      </c>
      <c r="V369" s="189">
        <v>0</v>
      </c>
      <c r="W369" s="189"/>
      <c r="X369" s="90"/>
      <c r="Y369" s="188"/>
      <c r="Z369" s="188"/>
      <c r="AA369" s="188"/>
      <c r="AB369" s="188"/>
      <c r="AC369" s="188"/>
      <c r="AD369" s="190"/>
      <c r="AE369" s="189"/>
    </row>
    <row r="370" spans="1:31" ht="21.25" customHeight="1" x14ac:dyDescent="0.15">
      <c r="A370" s="9" t="s">
        <v>661</v>
      </c>
      <c r="B370" s="186" t="s">
        <v>849</v>
      </c>
      <c r="C370" s="187">
        <v>29</v>
      </c>
      <c r="D370" s="186" t="s">
        <v>816</v>
      </c>
      <c r="E370" s="90">
        <v>68.922499999999999</v>
      </c>
      <c r="F370" s="188">
        <v>12.279223848952901</v>
      </c>
      <c r="G370" s="189">
        <v>0.19238325800237799</v>
      </c>
      <c r="H370" s="189">
        <v>0.143403261363932</v>
      </c>
      <c r="I370" s="189">
        <v>0.33578651936630999</v>
      </c>
      <c r="J370" s="189">
        <v>1.8202119031020001</v>
      </c>
      <c r="K370" s="189">
        <v>4.4005923895117099E-4</v>
      </c>
      <c r="L370" s="189">
        <v>1.0113885944134701E-3</v>
      </c>
      <c r="M370" s="189">
        <v>3.2136788647955499E-4</v>
      </c>
      <c r="N370" s="189">
        <v>5.4110347355148104E-4</v>
      </c>
      <c r="O370" s="189">
        <v>0.43277214235175099</v>
      </c>
      <c r="P370" s="189">
        <v>2.2381849300304801</v>
      </c>
      <c r="Q370" s="189">
        <v>5.4755131627737201E-2</v>
      </c>
      <c r="R370" s="189">
        <v>0.41775379494082099</v>
      </c>
      <c r="S370" s="189">
        <v>3.3337245631145297E-2</v>
      </c>
      <c r="T370" s="189">
        <v>0.101278126035481</v>
      </c>
      <c r="U370" s="189">
        <v>0.188997987264622</v>
      </c>
      <c r="V370" s="189">
        <v>0.34890272190868898</v>
      </c>
      <c r="W370" s="189"/>
      <c r="X370" s="90"/>
      <c r="Y370" s="188"/>
      <c r="Z370" s="188"/>
      <c r="AA370" s="188"/>
      <c r="AB370" s="188"/>
      <c r="AC370" s="188"/>
      <c r="AD370" s="190"/>
      <c r="AE370" s="189"/>
    </row>
    <row r="371" spans="1:31" ht="21.25" customHeight="1" x14ac:dyDescent="0.15">
      <c r="A371" s="9" t="s">
        <v>668</v>
      </c>
      <c r="B371" s="186" t="s">
        <v>844</v>
      </c>
      <c r="C371" s="187">
        <v>34</v>
      </c>
      <c r="D371" s="186" t="s">
        <v>815</v>
      </c>
      <c r="E371" s="90">
        <v>74.697500000000005</v>
      </c>
      <c r="F371" s="188">
        <v>14.984419908246901</v>
      </c>
      <c r="G371" s="189">
        <v>0.168339298723374</v>
      </c>
      <c r="H371" s="189">
        <v>0.16707329336396801</v>
      </c>
      <c r="I371" s="189">
        <v>0.33541259208734198</v>
      </c>
      <c r="J371" s="189">
        <v>1.0883422634811399</v>
      </c>
      <c r="K371" s="189">
        <v>7.9279452958765605E-4</v>
      </c>
      <c r="L371" s="189">
        <v>2.0541052437541801E-3</v>
      </c>
      <c r="M371" s="189">
        <v>3.62887663648988E-3</v>
      </c>
      <c r="N371" s="189">
        <v>8.8757476426574305E-3</v>
      </c>
      <c r="O371" s="189">
        <v>1.0210382838500001</v>
      </c>
      <c r="P371" s="189">
        <v>1.82865243934932</v>
      </c>
      <c r="Q371" s="189">
        <v>-3.2035967866044901E-2</v>
      </c>
      <c r="R371" s="189">
        <v>0.58417219266569198</v>
      </c>
      <c r="S371" s="189">
        <v>2.3889456627704399E-2</v>
      </c>
      <c r="T371" s="189">
        <v>7.84650472742074</v>
      </c>
      <c r="U371" s="189">
        <v>7.7415600353324798</v>
      </c>
      <c r="V371" s="189">
        <v>0.50336618732618499</v>
      </c>
      <c r="W371" s="189"/>
      <c r="X371" s="90"/>
      <c r="Y371" s="188"/>
      <c r="Z371" s="188"/>
      <c r="AA371" s="188"/>
      <c r="AB371" s="188"/>
      <c r="AC371" s="188"/>
      <c r="AD371" s="190"/>
      <c r="AE371" s="189"/>
    </row>
    <row r="372" spans="1:31" ht="21.25" customHeight="1" x14ac:dyDescent="0.15">
      <c r="A372" s="9" t="s">
        <v>598</v>
      </c>
      <c r="B372" s="186" t="s">
        <v>850</v>
      </c>
      <c r="C372" s="187">
        <v>23</v>
      </c>
      <c r="D372" s="186" t="s">
        <v>817</v>
      </c>
      <c r="E372" s="90">
        <v>72.752499999999998</v>
      </c>
      <c r="F372" s="188">
        <v>11.4975744491935</v>
      </c>
      <c r="G372" s="189">
        <v>0.14624488471219199</v>
      </c>
      <c r="H372" s="189">
        <v>0.189036550173107</v>
      </c>
      <c r="I372" s="189">
        <v>0.33528143488529899</v>
      </c>
      <c r="J372" s="189">
        <v>1.87064508709051</v>
      </c>
      <c r="K372" s="189">
        <v>5.1388086281296201E-2</v>
      </c>
      <c r="L372" s="189">
        <v>7.9831791939276003E-2</v>
      </c>
      <c r="M372" s="189">
        <v>0</v>
      </c>
      <c r="N372" s="189">
        <v>0</v>
      </c>
      <c r="O372" s="189">
        <v>0.28269768391597999</v>
      </c>
      <c r="P372" s="189">
        <v>0.84416228543730498</v>
      </c>
      <c r="Q372" s="189">
        <v>2.93307069332076E-2</v>
      </c>
      <c r="R372" s="189">
        <v>0.277357429916957</v>
      </c>
      <c r="S372" s="189">
        <v>2.6062545186088901E-2</v>
      </c>
      <c r="T372" s="189">
        <v>0</v>
      </c>
      <c r="U372" s="189">
        <v>1.21673967189214E-2</v>
      </c>
      <c r="V372" s="189">
        <v>0</v>
      </c>
      <c r="W372" s="189"/>
      <c r="X372" s="90"/>
      <c r="Y372" s="188"/>
      <c r="Z372" s="188"/>
      <c r="AA372" s="188"/>
      <c r="AB372" s="188"/>
      <c r="AC372" s="188"/>
      <c r="AD372" s="190"/>
      <c r="AE372" s="189"/>
    </row>
    <row r="373" spans="1:31" ht="21.25" customHeight="1" x14ac:dyDescent="0.15">
      <c r="A373" s="9" t="s">
        <v>451</v>
      </c>
      <c r="B373" s="186" t="s">
        <v>851</v>
      </c>
      <c r="C373" s="187">
        <v>27</v>
      </c>
      <c r="D373" s="186" t="s">
        <v>818</v>
      </c>
      <c r="E373" s="90">
        <v>78.212500000000006</v>
      </c>
      <c r="F373" s="188">
        <v>22.031770898711301</v>
      </c>
      <c r="G373" s="189">
        <v>5.4813158920830898E-2</v>
      </c>
      <c r="H373" s="189">
        <v>0.28011212895309601</v>
      </c>
      <c r="I373" s="189">
        <v>0.334925287873927</v>
      </c>
      <c r="J373" s="189">
        <v>0.99875362568029602</v>
      </c>
      <c r="K373" s="189">
        <v>4.6195896401053302E-4</v>
      </c>
      <c r="L373" s="189">
        <v>4.4009489477873096E-3</v>
      </c>
      <c r="M373" s="189">
        <v>4.0491139895271297E-4</v>
      </c>
      <c r="N373" s="189">
        <v>1.01301685174289E-2</v>
      </c>
      <c r="O373" s="189">
        <v>1.36703895842745</v>
      </c>
      <c r="P373" s="189">
        <v>0.74695653766344094</v>
      </c>
      <c r="Q373" s="189">
        <v>3.0197341678704901E-3</v>
      </c>
      <c r="R373" s="189">
        <v>0.40141690753807102</v>
      </c>
      <c r="S373" s="189">
        <v>8.0207762646778407E-3</v>
      </c>
      <c r="T373" s="189">
        <v>0</v>
      </c>
      <c r="U373" s="189">
        <v>0</v>
      </c>
      <c r="V373" s="189">
        <v>0</v>
      </c>
      <c r="W373" s="189"/>
      <c r="X373" s="90"/>
      <c r="Y373" s="188"/>
      <c r="Z373" s="188"/>
      <c r="AA373" s="188"/>
      <c r="AB373" s="188"/>
      <c r="AC373" s="188"/>
      <c r="AD373" s="190"/>
      <c r="AE373" s="189"/>
    </row>
    <row r="374" spans="1:31" ht="21.25" customHeight="1" x14ac:dyDescent="0.15">
      <c r="A374" s="9" t="s">
        <v>392</v>
      </c>
      <c r="B374" s="186" t="s">
        <v>826</v>
      </c>
      <c r="C374" s="187">
        <v>30</v>
      </c>
      <c r="D374" s="186" t="s">
        <v>818</v>
      </c>
      <c r="E374" s="90">
        <v>78.907499999999999</v>
      </c>
      <c r="F374" s="188">
        <v>20.459257128445799</v>
      </c>
      <c r="G374" s="189">
        <v>6.5382851774113293E-2</v>
      </c>
      <c r="H374" s="189">
        <v>0.26803535116706001</v>
      </c>
      <c r="I374" s="189">
        <v>0.33341820294117303</v>
      </c>
      <c r="J374" s="189">
        <v>1.08957049951109</v>
      </c>
      <c r="K374" s="189">
        <v>3.6926808674593902E-3</v>
      </c>
      <c r="L374" s="189">
        <v>1.1823816770617199E-2</v>
      </c>
      <c r="M374" s="189">
        <v>3.2953998602543101E-4</v>
      </c>
      <c r="N374" s="189">
        <v>6.9381445924883199E-3</v>
      </c>
      <c r="O374" s="189">
        <v>1.84673433141223</v>
      </c>
      <c r="P374" s="189">
        <v>2.4777083200961298</v>
      </c>
      <c r="Q374" s="189">
        <v>8.24402936972988E-2</v>
      </c>
      <c r="R374" s="189">
        <v>0.61299493748068001</v>
      </c>
      <c r="S374" s="189">
        <v>1.0460084256919799E-2</v>
      </c>
      <c r="T374" s="189">
        <v>0</v>
      </c>
      <c r="U374" s="189">
        <v>0</v>
      </c>
      <c r="V374" s="189">
        <v>0</v>
      </c>
      <c r="W374" s="189"/>
      <c r="X374" s="90"/>
      <c r="Y374" s="188"/>
      <c r="Z374" s="188"/>
      <c r="AA374" s="188"/>
      <c r="AB374" s="188"/>
      <c r="AC374" s="188"/>
      <c r="AD374" s="190"/>
      <c r="AE374" s="189"/>
    </row>
    <row r="375" spans="1:31" ht="21.25" customHeight="1" x14ac:dyDescent="0.15">
      <c r="A375" s="9" t="s">
        <v>472</v>
      </c>
      <c r="B375" s="186" t="s">
        <v>844</v>
      </c>
      <c r="C375" s="187">
        <v>24</v>
      </c>
      <c r="D375" s="186" t="s">
        <v>818</v>
      </c>
      <c r="E375" s="90">
        <v>74.932500000000005</v>
      </c>
      <c r="F375" s="188">
        <v>18.0999414194841</v>
      </c>
      <c r="G375" s="189">
        <v>7.0668329743508299E-2</v>
      </c>
      <c r="H375" s="189">
        <v>0.26010882304166499</v>
      </c>
      <c r="I375" s="189">
        <v>0.330777152785173</v>
      </c>
      <c r="J375" s="189">
        <v>1.05224486369522</v>
      </c>
      <c r="K375" s="189">
        <v>8.7947417816276795E-4</v>
      </c>
      <c r="L375" s="189">
        <v>4.0912445859243703E-2</v>
      </c>
      <c r="M375" s="189">
        <v>1.48251961569995E-4</v>
      </c>
      <c r="N375" s="189">
        <v>7.2713539538921698E-4</v>
      </c>
      <c r="O375" s="189">
        <v>1.2994018338153801</v>
      </c>
      <c r="P375" s="189">
        <v>1.23112157199382</v>
      </c>
      <c r="Q375" s="189">
        <v>-3.2569305088684601E-2</v>
      </c>
      <c r="R375" s="189">
        <v>0.36034042882140399</v>
      </c>
      <c r="S375" s="189">
        <v>1.00287218205302E-2</v>
      </c>
      <c r="T375" s="189">
        <v>0</v>
      </c>
      <c r="U375" s="189">
        <v>0</v>
      </c>
      <c r="V375" s="189">
        <v>0</v>
      </c>
      <c r="W375" s="189"/>
      <c r="X375" s="90"/>
      <c r="Y375" s="188"/>
      <c r="Z375" s="188"/>
      <c r="AA375" s="188"/>
      <c r="AB375" s="188"/>
      <c r="AC375" s="188"/>
      <c r="AD375" s="190"/>
      <c r="AE375" s="189"/>
    </row>
    <row r="376" spans="1:31" ht="21.25" customHeight="1" x14ac:dyDescent="0.15">
      <c r="A376" s="9" t="s">
        <v>391</v>
      </c>
      <c r="B376" s="186" t="s">
        <v>827</v>
      </c>
      <c r="C376" s="187">
        <v>35</v>
      </c>
      <c r="D376" s="186" t="s">
        <v>818</v>
      </c>
      <c r="E376" s="90">
        <v>77.997500000000002</v>
      </c>
      <c r="F376" s="188">
        <v>21.314017239637199</v>
      </c>
      <c r="G376" s="189">
        <v>3.5128145902577901E-2</v>
      </c>
      <c r="H376" s="189">
        <v>0.294234524318565</v>
      </c>
      <c r="I376" s="189">
        <v>0.32936267022114302</v>
      </c>
      <c r="J376" s="189">
        <v>1.12270410772967</v>
      </c>
      <c r="K376" s="189">
        <v>1.2857526266574399E-3</v>
      </c>
      <c r="L376" s="189">
        <v>3.05951716683289E-2</v>
      </c>
      <c r="M376" s="189">
        <v>2.5854595181957102E-4</v>
      </c>
      <c r="N376" s="189">
        <v>1.3164189982428601E-3</v>
      </c>
      <c r="O376" s="189">
        <v>1.9146222970221201</v>
      </c>
      <c r="P376" s="189">
        <v>0.79211370669529901</v>
      </c>
      <c r="Q376" s="189">
        <v>4.8839315596343198E-2</v>
      </c>
      <c r="R376" s="189">
        <v>0.320837793103039</v>
      </c>
      <c r="S376" s="189">
        <v>5.5348476455644204E-3</v>
      </c>
      <c r="T376" s="189">
        <v>0</v>
      </c>
      <c r="U376" s="189">
        <v>1.9459081865108099E-3</v>
      </c>
      <c r="V376" s="189">
        <v>0</v>
      </c>
      <c r="W376" s="189"/>
      <c r="X376" s="90"/>
      <c r="Y376" s="188"/>
      <c r="Z376" s="188"/>
      <c r="AA376" s="188"/>
      <c r="AB376" s="188"/>
      <c r="AC376" s="188"/>
      <c r="AD376" s="190"/>
      <c r="AE376" s="189"/>
    </row>
    <row r="377" spans="1:31" ht="21.25" customHeight="1" x14ac:dyDescent="0.15">
      <c r="A377" s="9" t="s">
        <v>712</v>
      </c>
      <c r="B377" s="186" t="s">
        <v>847</v>
      </c>
      <c r="C377" s="187">
        <v>30</v>
      </c>
      <c r="D377" s="186" t="s">
        <v>815</v>
      </c>
      <c r="E377" s="90">
        <v>66.907499999999999</v>
      </c>
      <c r="F377" s="188">
        <v>12.113192340059999</v>
      </c>
      <c r="G377" s="189">
        <v>0.15090008844116701</v>
      </c>
      <c r="H377" s="189">
        <v>0.17766646187878901</v>
      </c>
      <c r="I377" s="189">
        <v>0.32856655031995602</v>
      </c>
      <c r="J377" s="189">
        <v>1.51030817284204</v>
      </c>
      <c r="K377" s="189">
        <v>1.0503353656017801E-2</v>
      </c>
      <c r="L377" s="189">
        <v>3.3152374584975101E-2</v>
      </c>
      <c r="M377" s="189">
        <v>1.7794446795058798E-5</v>
      </c>
      <c r="N377" s="189">
        <v>3.0317245682078398E-5</v>
      </c>
      <c r="O377" s="189">
        <v>0.51585386428046598</v>
      </c>
      <c r="P377" s="189">
        <v>0.54728446460358204</v>
      </c>
      <c r="Q377" s="189">
        <v>-8.5974839593977295E-2</v>
      </c>
      <c r="R377" s="189">
        <v>0.24309465143796799</v>
      </c>
      <c r="S377" s="189">
        <v>1.95016099492092E-2</v>
      </c>
      <c r="T377" s="189">
        <v>1.68601925012276</v>
      </c>
      <c r="U377" s="189">
        <v>1.7380217218821099</v>
      </c>
      <c r="V377" s="189">
        <v>0.49240627197739101</v>
      </c>
      <c r="W377" s="189"/>
      <c r="X377" s="90"/>
      <c r="Y377" s="188"/>
      <c r="Z377" s="188"/>
      <c r="AA377" s="188"/>
      <c r="AB377" s="188"/>
      <c r="AC377" s="188"/>
      <c r="AD377" s="190"/>
      <c r="AE377" s="189"/>
    </row>
    <row r="378" spans="1:31" ht="21.25" customHeight="1" x14ac:dyDescent="0.15">
      <c r="A378" s="9" t="s">
        <v>627</v>
      </c>
      <c r="B378" s="186" t="s">
        <v>827</v>
      </c>
      <c r="C378" s="187">
        <v>27</v>
      </c>
      <c r="D378" s="186" t="s">
        <v>815</v>
      </c>
      <c r="E378" s="90">
        <v>75.202500000000001</v>
      </c>
      <c r="F378" s="188">
        <v>13.1794684523064</v>
      </c>
      <c r="G378" s="189">
        <v>0.13206619799522001</v>
      </c>
      <c r="H378" s="189">
        <v>0.19625232388018601</v>
      </c>
      <c r="I378" s="189">
        <v>0.328318521875406</v>
      </c>
      <c r="J378" s="189">
        <v>2.0199023206655098</v>
      </c>
      <c r="K378" s="189">
        <v>5.1684393847201502E-3</v>
      </c>
      <c r="L378" s="189">
        <v>1.11245210351741E-2</v>
      </c>
      <c r="M378" s="189">
        <v>5.3289334386964398E-5</v>
      </c>
      <c r="N378" s="189">
        <v>9.1123935864944407E-5</v>
      </c>
      <c r="O378" s="189">
        <v>0.42869132842673302</v>
      </c>
      <c r="P378" s="189">
        <v>1.8316835952525901</v>
      </c>
      <c r="Q378" s="189">
        <v>2.64938912254324E-2</v>
      </c>
      <c r="R378" s="189">
        <v>0.75714840929971305</v>
      </c>
      <c r="S378" s="189">
        <v>2.0808564364874299E-2</v>
      </c>
      <c r="T378" s="189">
        <v>0.10108192584562301</v>
      </c>
      <c r="U378" s="189">
        <v>0.13896040342372601</v>
      </c>
      <c r="V378" s="189">
        <v>0.42110042071871301</v>
      </c>
      <c r="W378" s="189"/>
      <c r="X378" s="90"/>
      <c r="Y378" s="188"/>
      <c r="Z378" s="188"/>
      <c r="AA378" s="188"/>
      <c r="AB378" s="188"/>
      <c r="AC378" s="188"/>
      <c r="AD378" s="190"/>
      <c r="AE378" s="189"/>
    </row>
    <row r="379" spans="1:31" ht="21.25" customHeight="1" x14ac:dyDescent="0.15">
      <c r="A379" s="9" t="s">
        <v>691</v>
      </c>
      <c r="B379" s="186" t="s">
        <v>854</v>
      </c>
      <c r="C379" s="187">
        <v>28</v>
      </c>
      <c r="D379" s="186" t="s">
        <v>815</v>
      </c>
      <c r="E379" s="90">
        <v>77.180000000000007</v>
      </c>
      <c r="F379" s="188">
        <v>14.6079653733048</v>
      </c>
      <c r="G379" s="189">
        <v>8.9600937818167498E-2</v>
      </c>
      <c r="H379" s="189">
        <v>0.23855639155436201</v>
      </c>
      <c r="I379" s="189">
        <v>0.32815732937253</v>
      </c>
      <c r="J379" s="189">
        <v>1.06573949998456</v>
      </c>
      <c r="K379" s="189">
        <v>3.14241561176387E-3</v>
      </c>
      <c r="L379" s="189">
        <v>6.1898456094595699E-3</v>
      </c>
      <c r="M379" s="189">
        <v>6.6923375362616102E-3</v>
      </c>
      <c r="N379" s="189">
        <v>1.6887630476933702E-2</v>
      </c>
      <c r="O379" s="189">
        <v>0.70084197401952297</v>
      </c>
      <c r="P379" s="189">
        <v>0.94868331741697398</v>
      </c>
      <c r="Q379" s="189">
        <v>-6.2641407004271996E-2</v>
      </c>
      <c r="R379" s="189">
        <v>0.35187839797996701</v>
      </c>
      <c r="S379" s="189">
        <v>1.0384862725086401E-2</v>
      </c>
      <c r="T379" s="189">
        <v>6.4479674035344603</v>
      </c>
      <c r="U379" s="189">
        <v>6.0676280937305096</v>
      </c>
      <c r="V379" s="189">
        <v>0.51519461498604102</v>
      </c>
      <c r="W379" s="189"/>
      <c r="X379" s="90"/>
      <c r="Y379" s="188"/>
      <c r="Z379" s="188"/>
      <c r="AA379" s="188"/>
      <c r="AB379" s="188"/>
      <c r="AC379" s="188"/>
      <c r="AD379" s="190"/>
      <c r="AE379" s="189"/>
    </row>
    <row r="380" spans="1:31" ht="21.25" customHeight="1" x14ac:dyDescent="0.15">
      <c r="A380" s="9" t="s">
        <v>642</v>
      </c>
      <c r="B380" s="186" t="s">
        <v>849</v>
      </c>
      <c r="C380" s="187">
        <v>35</v>
      </c>
      <c r="D380" s="186" t="s">
        <v>815</v>
      </c>
      <c r="E380" s="90">
        <v>81.137500000000003</v>
      </c>
      <c r="F380" s="188">
        <v>15.167390971493401</v>
      </c>
      <c r="G380" s="189">
        <v>0.13148921914487899</v>
      </c>
      <c r="H380" s="189">
        <v>0.19642158754916</v>
      </c>
      <c r="I380" s="189">
        <v>0.32791080669403899</v>
      </c>
      <c r="J380" s="189">
        <v>1.52054952615656</v>
      </c>
      <c r="K380" s="189">
        <v>6.0778290850651802E-4</v>
      </c>
      <c r="L380" s="189">
        <v>1.40986205221301E-3</v>
      </c>
      <c r="M380" s="189">
        <v>5.3676629914419403E-3</v>
      </c>
      <c r="N380" s="189">
        <v>1.53590501649635E-2</v>
      </c>
      <c r="O380" s="189">
        <v>0.48913516086018699</v>
      </c>
      <c r="P380" s="189">
        <v>1.7503370436550201</v>
      </c>
      <c r="Q380" s="189">
        <v>6.99315915860554E-2</v>
      </c>
      <c r="R380" s="189">
        <v>0.40137398684924502</v>
      </c>
      <c r="S380" s="189">
        <v>2.27851864138102E-2</v>
      </c>
      <c r="T380" s="189">
        <v>9.5058713196148208</v>
      </c>
      <c r="U380" s="189">
        <v>7.1565923095268298</v>
      </c>
      <c r="V380" s="189">
        <v>0.57049614818001004</v>
      </c>
      <c r="W380" s="189"/>
      <c r="X380" s="90"/>
      <c r="Y380" s="188"/>
      <c r="Z380" s="188"/>
      <c r="AA380" s="188"/>
      <c r="AB380" s="188"/>
      <c r="AC380" s="188"/>
      <c r="AD380" s="190"/>
      <c r="AE380" s="189"/>
    </row>
    <row r="381" spans="1:31" ht="21.25" customHeight="1" x14ac:dyDescent="0.15">
      <c r="A381" s="9" t="s">
        <v>688</v>
      </c>
      <c r="B381" s="186" t="s">
        <v>852</v>
      </c>
      <c r="C381" s="187">
        <v>31</v>
      </c>
      <c r="D381" s="186" t="s">
        <v>817</v>
      </c>
      <c r="E381" s="90">
        <v>65.927499999999995</v>
      </c>
      <c r="F381" s="188">
        <v>13.6498163305888</v>
      </c>
      <c r="G381" s="189">
        <v>0.14475017975436899</v>
      </c>
      <c r="H381" s="189">
        <v>0.18278649034556699</v>
      </c>
      <c r="I381" s="189">
        <v>0.32753667009993598</v>
      </c>
      <c r="J381" s="189">
        <v>1.2431385695499899</v>
      </c>
      <c r="K381" s="189">
        <v>2.5092216269671699E-3</v>
      </c>
      <c r="L381" s="189">
        <v>6.58750118166252E-3</v>
      </c>
      <c r="M381" s="189">
        <v>2.09384285446223E-3</v>
      </c>
      <c r="N381" s="189">
        <v>3.5909230506602401E-3</v>
      </c>
      <c r="O381" s="189">
        <v>0.60151004472399605</v>
      </c>
      <c r="P381" s="189">
        <v>1.44651239291206</v>
      </c>
      <c r="Q381" s="189">
        <v>-8.7678236619539995E-2</v>
      </c>
      <c r="R381" s="189">
        <v>0.28094265189169998</v>
      </c>
      <c r="S381" s="189">
        <v>1.6007104414848299E-2</v>
      </c>
      <c r="T381" s="189">
        <v>2.33147520998163</v>
      </c>
      <c r="U381" s="189">
        <v>2.43874209616544</v>
      </c>
      <c r="V381" s="189">
        <v>0.488756603808638</v>
      </c>
      <c r="W381" s="189"/>
      <c r="X381" s="90"/>
      <c r="Y381" s="188"/>
      <c r="Z381" s="188"/>
      <c r="AA381" s="188"/>
      <c r="AB381" s="188"/>
      <c r="AC381" s="188"/>
      <c r="AD381" s="190"/>
      <c r="AE381" s="189"/>
    </row>
    <row r="382" spans="1:31" ht="21.25" customHeight="1" x14ac:dyDescent="0.15">
      <c r="A382" s="9" t="s">
        <v>638</v>
      </c>
      <c r="B382" s="186" t="s">
        <v>856</v>
      </c>
      <c r="C382" s="187">
        <v>25</v>
      </c>
      <c r="D382" s="186" t="s">
        <v>815</v>
      </c>
      <c r="E382" s="90">
        <v>74.655000000000001</v>
      </c>
      <c r="F382" s="188">
        <v>13.154931575484101</v>
      </c>
      <c r="G382" s="189">
        <v>0.13651106883106501</v>
      </c>
      <c r="H382" s="189">
        <v>0.188974475820614</v>
      </c>
      <c r="I382" s="189">
        <v>0.325485544651679</v>
      </c>
      <c r="J382" s="189">
        <v>1.3078878765959301</v>
      </c>
      <c r="K382" s="189">
        <v>3.46434266836282E-3</v>
      </c>
      <c r="L382" s="189">
        <v>5.4183978938180796E-3</v>
      </c>
      <c r="M382" s="189">
        <v>3.2245599316972698E-2</v>
      </c>
      <c r="N382" s="189">
        <v>4.5900619587017799E-2</v>
      </c>
      <c r="O382" s="189">
        <v>1.01758962553621</v>
      </c>
      <c r="P382" s="189">
        <v>0.84901293640122999</v>
      </c>
      <c r="Q382" s="189">
        <v>-3.6168478660010002E-2</v>
      </c>
      <c r="R382" s="189">
        <v>0.16315100295434601</v>
      </c>
      <c r="S382" s="189">
        <v>1.9787214858080399E-2</v>
      </c>
      <c r="T382" s="189">
        <v>4.9343830196073002</v>
      </c>
      <c r="U382" s="189">
        <v>5.4223377104641699</v>
      </c>
      <c r="V382" s="189">
        <v>0.476442606517328</v>
      </c>
      <c r="W382" s="189"/>
      <c r="X382" s="90"/>
      <c r="Y382" s="188"/>
      <c r="Z382" s="188"/>
      <c r="AA382" s="188"/>
      <c r="AB382" s="188"/>
      <c r="AC382" s="188"/>
      <c r="AD382" s="190"/>
      <c r="AE382" s="189"/>
    </row>
    <row r="383" spans="1:31" ht="21.25" customHeight="1" x14ac:dyDescent="0.15">
      <c r="A383" s="9" t="s">
        <v>734</v>
      </c>
      <c r="B383" s="186" t="s">
        <v>851</v>
      </c>
      <c r="C383" s="187">
        <v>24</v>
      </c>
      <c r="D383" s="186" t="s">
        <v>815</v>
      </c>
      <c r="E383" s="90">
        <v>72.167500000000004</v>
      </c>
      <c r="F383" s="188">
        <v>12.3868273335311</v>
      </c>
      <c r="G383" s="189">
        <v>0.127131480766283</v>
      </c>
      <c r="H383" s="189">
        <v>0.198035785287622</v>
      </c>
      <c r="I383" s="189">
        <v>0.325167266053905</v>
      </c>
      <c r="J383" s="189">
        <v>0.92469021831921205</v>
      </c>
      <c r="K383" s="189">
        <v>8.7897655303443103E-4</v>
      </c>
      <c r="L383" s="189">
        <v>2.4278393719491102E-3</v>
      </c>
      <c r="M383" s="189">
        <v>1.3750971793967299E-3</v>
      </c>
      <c r="N383" s="189">
        <v>2.31865714829978E-3</v>
      </c>
      <c r="O383" s="189">
        <v>0.58536845622318401</v>
      </c>
      <c r="P383" s="189">
        <v>2.89808420712379</v>
      </c>
      <c r="Q383" s="189">
        <v>1.20213299356497E-3</v>
      </c>
      <c r="R383" s="189">
        <v>0.59953998071981196</v>
      </c>
      <c r="S383" s="189">
        <v>1.86030723917287E-2</v>
      </c>
      <c r="T383" s="189">
        <v>4.1534677952541399</v>
      </c>
      <c r="U383" s="189">
        <v>5.2576930730305804</v>
      </c>
      <c r="V383" s="189">
        <v>0.44133426825708399</v>
      </c>
      <c r="W383" s="189"/>
      <c r="X383" s="90"/>
      <c r="Y383" s="188"/>
      <c r="Z383" s="188"/>
      <c r="AA383" s="188"/>
      <c r="AB383" s="188"/>
      <c r="AC383" s="188"/>
      <c r="AD383" s="190"/>
      <c r="AE383" s="189"/>
    </row>
    <row r="384" spans="1:31" ht="21.25" customHeight="1" x14ac:dyDescent="0.15">
      <c r="A384" s="9" t="s">
        <v>340</v>
      </c>
      <c r="B384" s="186" t="s">
        <v>837</v>
      </c>
      <c r="C384" s="187">
        <v>30</v>
      </c>
      <c r="D384" s="186" t="s">
        <v>818</v>
      </c>
      <c r="E384" s="90">
        <v>81.430000000000007</v>
      </c>
      <c r="F384" s="188">
        <v>21.511232863109999</v>
      </c>
      <c r="G384" s="189">
        <v>7.4277805661549803E-2</v>
      </c>
      <c r="H384" s="189">
        <v>0.25084007355016202</v>
      </c>
      <c r="I384" s="189">
        <v>0.32511787921171198</v>
      </c>
      <c r="J384" s="189">
        <v>1.48218413442745</v>
      </c>
      <c r="K384" s="189">
        <v>4.4915277274277398E-4</v>
      </c>
      <c r="L384" s="189">
        <v>5.0141559220440498E-3</v>
      </c>
      <c r="M384" s="189">
        <v>2.5505615516498198E-3</v>
      </c>
      <c r="N384" s="189">
        <v>2.20791556505841E-2</v>
      </c>
      <c r="O384" s="189">
        <v>2.00580857320073</v>
      </c>
      <c r="P384" s="189">
        <v>1.09869165555904</v>
      </c>
      <c r="Q384" s="189">
        <v>6.5123053746997103E-2</v>
      </c>
      <c r="R384" s="189">
        <v>0.21469572237029699</v>
      </c>
      <c r="S384" s="189">
        <v>1.18784111436206E-2</v>
      </c>
      <c r="T384" s="189">
        <v>0</v>
      </c>
      <c r="U384" s="189">
        <v>1.8766026586578899E-3</v>
      </c>
      <c r="V384" s="189">
        <v>0</v>
      </c>
      <c r="W384" s="189"/>
      <c r="X384" s="90"/>
      <c r="Y384" s="188"/>
      <c r="Z384" s="188"/>
      <c r="AA384" s="188"/>
      <c r="AB384" s="188"/>
      <c r="AC384" s="188"/>
      <c r="AD384" s="190"/>
      <c r="AE384" s="189"/>
    </row>
    <row r="385" spans="1:31" ht="21.25" customHeight="1" x14ac:dyDescent="0.15">
      <c r="A385" s="9" t="s">
        <v>301</v>
      </c>
      <c r="B385" s="186" t="s">
        <v>831</v>
      </c>
      <c r="C385" s="187">
        <v>30</v>
      </c>
      <c r="D385" s="186" t="s">
        <v>818</v>
      </c>
      <c r="E385" s="90">
        <v>79.622500000000002</v>
      </c>
      <c r="F385" s="188">
        <v>20.287082762215601</v>
      </c>
      <c r="G385" s="189">
        <v>7.0768533460339206E-2</v>
      </c>
      <c r="H385" s="189">
        <v>0.253669811221584</v>
      </c>
      <c r="I385" s="189">
        <v>0.32443834468192301</v>
      </c>
      <c r="J385" s="189">
        <v>1.8588796216654899</v>
      </c>
      <c r="K385" s="189">
        <v>3.7881620553047099E-3</v>
      </c>
      <c r="L385" s="189">
        <v>1.3888083431376E-2</v>
      </c>
      <c r="M385" s="189">
        <v>3.9508413431829799E-4</v>
      </c>
      <c r="N385" s="189">
        <v>1.4250111598545501E-2</v>
      </c>
      <c r="O385" s="189">
        <v>2.3098570989445202</v>
      </c>
      <c r="P385" s="189">
        <v>2.3266095042766302</v>
      </c>
      <c r="Q385" s="189">
        <v>2.5441035127281301E-2</v>
      </c>
      <c r="R385" s="189">
        <v>0.74966392691281103</v>
      </c>
      <c r="S385" s="189">
        <v>1.15677044451153E-2</v>
      </c>
      <c r="T385" s="189">
        <v>0</v>
      </c>
      <c r="U385" s="189">
        <v>1.90056897372131E-3</v>
      </c>
      <c r="V385" s="189">
        <v>0</v>
      </c>
      <c r="W385" s="189"/>
      <c r="X385" s="90"/>
      <c r="Y385" s="188"/>
      <c r="Z385" s="188"/>
      <c r="AA385" s="188"/>
      <c r="AB385" s="188"/>
      <c r="AC385" s="188"/>
      <c r="AD385" s="190"/>
      <c r="AE385" s="189"/>
    </row>
    <row r="386" spans="1:31" ht="21.25" customHeight="1" x14ac:dyDescent="0.15">
      <c r="A386" s="9" t="s">
        <v>412</v>
      </c>
      <c r="B386" s="186" t="s">
        <v>830</v>
      </c>
      <c r="C386" s="187">
        <v>27</v>
      </c>
      <c r="D386" s="186" t="s">
        <v>818</v>
      </c>
      <c r="E386" s="90">
        <v>74.569999999999993</v>
      </c>
      <c r="F386" s="188">
        <v>20.503930821353201</v>
      </c>
      <c r="G386" s="189">
        <v>5.62781347040427E-2</v>
      </c>
      <c r="H386" s="189">
        <v>0.26741163962034198</v>
      </c>
      <c r="I386" s="189">
        <v>0.323689774324385</v>
      </c>
      <c r="J386" s="189">
        <v>1.2014850983563901</v>
      </c>
      <c r="K386" s="189">
        <v>1.7132313323655001E-3</v>
      </c>
      <c r="L386" s="189">
        <v>1.0680599498077301E-2</v>
      </c>
      <c r="M386" s="189">
        <v>6.6127490454087803E-3</v>
      </c>
      <c r="N386" s="189">
        <v>1.0250892698571599E-2</v>
      </c>
      <c r="O386" s="189">
        <v>1.9105767457768901</v>
      </c>
      <c r="P386" s="189">
        <v>1.116133649155</v>
      </c>
      <c r="Q386" s="189">
        <v>2.37333977179251E-3</v>
      </c>
      <c r="R386" s="189">
        <v>0.61831459458992499</v>
      </c>
      <c r="S386" s="189">
        <v>7.9685797983987203E-3</v>
      </c>
      <c r="T386" s="189">
        <v>0</v>
      </c>
      <c r="U386" s="189">
        <v>2.2653760047939599E-3</v>
      </c>
      <c r="V386" s="189">
        <v>0</v>
      </c>
      <c r="W386" s="189"/>
      <c r="X386" s="90"/>
      <c r="Y386" s="188"/>
      <c r="Z386" s="188"/>
      <c r="AA386" s="188"/>
      <c r="AB386" s="188"/>
      <c r="AC386" s="188"/>
      <c r="AD386" s="190"/>
      <c r="AE386" s="189"/>
    </row>
    <row r="387" spans="1:31" ht="21.25" customHeight="1" x14ac:dyDescent="0.15">
      <c r="A387" s="9" t="s">
        <v>624</v>
      </c>
      <c r="B387" s="186" t="s">
        <v>834</v>
      </c>
      <c r="C387" s="187">
        <v>27</v>
      </c>
      <c r="D387" s="186" t="s">
        <v>816</v>
      </c>
      <c r="E387" s="90">
        <v>74.617500000000007</v>
      </c>
      <c r="F387" s="188">
        <v>15.043414606390799</v>
      </c>
      <c r="G387" s="189">
        <v>0.12675561370173599</v>
      </c>
      <c r="H387" s="189">
        <v>0.19679509867159001</v>
      </c>
      <c r="I387" s="189">
        <v>0.323550712373326</v>
      </c>
      <c r="J387" s="189">
        <v>1.4717634639098101</v>
      </c>
      <c r="K387" s="189">
        <v>4.2465813992091303E-3</v>
      </c>
      <c r="L387" s="189">
        <v>1.50991072612887E-2</v>
      </c>
      <c r="M387" s="189">
        <v>1.5269467540813899E-3</v>
      </c>
      <c r="N387" s="189">
        <v>1.22966205780743E-2</v>
      </c>
      <c r="O387" s="189">
        <v>0.79376123343131499</v>
      </c>
      <c r="P387" s="189">
        <v>1.7533971225404601</v>
      </c>
      <c r="Q387" s="189">
        <v>-6.26935006642566E-3</v>
      </c>
      <c r="R387" s="189">
        <v>0.67279556222598702</v>
      </c>
      <c r="S387" s="189">
        <v>1.7930270585507301E-2</v>
      </c>
      <c r="T387" s="189">
        <v>0.18655832603053299</v>
      </c>
      <c r="U387" s="189">
        <v>0.50867443212157104</v>
      </c>
      <c r="V387" s="189">
        <v>0.26833937820536002</v>
      </c>
      <c r="W387" s="189"/>
      <c r="X387" s="90"/>
      <c r="Y387" s="188"/>
      <c r="Z387" s="188"/>
      <c r="AA387" s="188"/>
      <c r="AB387" s="188"/>
      <c r="AC387" s="188"/>
      <c r="AD387" s="190"/>
      <c r="AE387" s="189"/>
    </row>
    <row r="388" spans="1:31" ht="21.25" customHeight="1" x14ac:dyDescent="0.15">
      <c r="A388" s="9" t="s">
        <v>449</v>
      </c>
      <c r="B388" s="186" t="s">
        <v>826</v>
      </c>
      <c r="C388" s="187">
        <v>33</v>
      </c>
      <c r="D388" s="186" t="s">
        <v>818</v>
      </c>
      <c r="E388" s="90">
        <v>77.525000000000006</v>
      </c>
      <c r="F388" s="188">
        <v>17.442476463919999</v>
      </c>
      <c r="G388" s="189">
        <v>6.0111708204660198E-2</v>
      </c>
      <c r="H388" s="189">
        <v>0.26157286336331198</v>
      </c>
      <c r="I388" s="189">
        <v>0.32168457156797198</v>
      </c>
      <c r="J388" s="189">
        <v>1.4314569684285601</v>
      </c>
      <c r="K388" s="189">
        <v>1.22930749715913E-2</v>
      </c>
      <c r="L388" s="189">
        <v>9.5301902549511597E-2</v>
      </c>
      <c r="M388" s="189">
        <v>1.72723828451741E-4</v>
      </c>
      <c r="N388" s="189">
        <v>2.79416463511641E-3</v>
      </c>
      <c r="O388" s="189">
        <v>0.92600830112162302</v>
      </c>
      <c r="P388" s="189">
        <v>1.21207623527266</v>
      </c>
      <c r="Q388" s="189">
        <v>-1.7721751966910601E-3</v>
      </c>
      <c r="R388" s="189">
        <v>0.538067916432869</v>
      </c>
      <c r="S388" s="189">
        <v>9.6167957742257695E-3</v>
      </c>
      <c r="T388" s="189">
        <v>0</v>
      </c>
      <c r="U388" s="189">
        <v>0</v>
      </c>
      <c r="V388" s="189">
        <v>0</v>
      </c>
      <c r="W388" s="189"/>
      <c r="X388" s="90"/>
      <c r="Y388" s="188"/>
      <c r="Z388" s="188"/>
      <c r="AA388" s="188"/>
      <c r="AB388" s="188"/>
      <c r="AC388" s="188"/>
      <c r="AD388" s="190"/>
      <c r="AE388" s="189"/>
    </row>
    <row r="389" spans="1:31" ht="21.25" customHeight="1" x14ac:dyDescent="0.15">
      <c r="A389" s="9" t="s">
        <v>579</v>
      </c>
      <c r="B389" s="186" t="s">
        <v>827</v>
      </c>
      <c r="C389" s="187">
        <v>35</v>
      </c>
      <c r="D389" s="186" t="s">
        <v>817</v>
      </c>
      <c r="E389" s="90">
        <v>76.662499999999994</v>
      </c>
      <c r="F389" s="188">
        <v>12.1906674122343</v>
      </c>
      <c r="G389" s="189">
        <v>0.146319233123995</v>
      </c>
      <c r="H389" s="189">
        <v>0.17445581254680101</v>
      </c>
      <c r="I389" s="189">
        <v>0.32077504567079601</v>
      </c>
      <c r="J389" s="189">
        <v>1.8109898571512</v>
      </c>
      <c r="K389" s="189">
        <v>1.29802438961986E-2</v>
      </c>
      <c r="L389" s="189">
        <v>3.4362032266861998E-2</v>
      </c>
      <c r="M389" s="189">
        <v>3.4716077122695201E-3</v>
      </c>
      <c r="N389" s="189">
        <v>3.9700108554171099E-3</v>
      </c>
      <c r="O389" s="189">
        <v>0.51382973172128199</v>
      </c>
      <c r="P389" s="189">
        <v>0.60179058131222796</v>
      </c>
      <c r="Q389" s="189">
        <v>-4.9275858281071699E-2</v>
      </c>
      <c r="R389" s="189">
        <v>0.26786523135518903</v>
      </c>
      <c r="S389" s="189">
        <v>2.3054295697903699E-2</v>
      </c>
      <c r="T389" s="189">
        <v>0.10078520445932899</v>
      </c>
      <c r="U389" s="189">
        <v>0.14909544325020199</v>
      </c>
      <c r="V389" s="189">
        <v>0.40333337288482002</v>
      </c>
      <c r="W389" s="189"/>
      <c r="X389" s="90"/>
      <c r="Y389" s="188"/>
      <c r="Z389" s="188"/>
      <c r="AA389" s="188"/>
      <c r="AB389" s="188"/>
      <c r="AC389" s="188"/>
      <c r="AD389" s="190"/>
      <c r="AE389" s="189"/>
    </row>
    <row r="390" spans="1:31" ht="21.25" customHeight="1" x14ac:dyDescent="0.15">
      <c r="A390" s="9" t="s">
        <v>759</v>
      </c>
      <c r="B390" s="186" t="s">
        <v>844</v>
      </c>
      <c r="C390" s="187">
        <v>20</v>
      </c>
      <c r="D390" s="186" t="s">
        <v>816</v>
      </c>
      <c r="E390" s="90">
        <v>56.715000000000003</v>
      </c>
      <c r="F390" s="188">
        <v>11.7477363213312</v>
      </c>
      <c r="G390" s="189">
        <v>0.131848896034299</v>
      </c>
      <c r="H390" s="189">
        <v>0.187346227568712</v>
      </c>
      <c r="I390" s="189">
        <v>0.319195123603011</v>
      </c>
      <c r="J390" s="189">
        <v>1.3697289455698201</v>
      </c>
      <c r="K390" s="189">
        <v>4.5054063373298602E-3</v>
      </c>
      <c r="L390" s="189">
        <v>1.39105629424752E-2</v>
      </c>
      <c r="M390" s="189">
        <v>0</v>
      </c>
      <c r="N390" s="189">
        <v>0</v>
      </c>
      <c r="O390" s="189">
        <v>0.33802115517060999</v>
      </c>
      <c r="P390" s="189">
        <v>1.8324257743310199</v>
      </c>
      <c r="Q390" s="189">
        <v>-2.2356813324198699E-2</v>
      </c>
      <c r="R390" s="189">
        <v>0.30305767148035601</v>
      </c>
      <c r="S390" s="189">
        <v>1.8711011077681E-2</v>
      </c>
      <c r="T390" s="189">
        <v>0</v>
      </c>
      <c r="U390" s="189">
        <v>9.2157178437585502E-2</v>
      </c>
      <c r="V390" s="189">
        <v>0</v>
      </c>
      <c r="W390" s="189"/>
      <c r="X390" s="90"/>
      <c r="Y390" s="188"/>
      <c r="Z390" s="188"/>
      <c r="AA390" s="188"/>
      <c r="AB390" s="188"/>
      <c r="AC390" s="188"/>
      <c r="AD390" s="190"/>
      <c r="AE390" s="189"/>
    </row>
    <row r="391" spans="1:31" ht="21.25" customHeight="1" x14ac:dyDescent="0.15">
      <c r="A391" s="9" t="s">
        <v>643</v>
      </c>
      <c r="B391" s="186" t="s">
        <v>836</v>
      </c>
      <c r="C391" s="187">
        <v>28</v>
      </c>
      <c r="D391" s="186" t="s">
        <v>816</v>
      </c>
      <c r="E391" s="90">
        <v>79.385000000000005</v>
      </c>
      <c r="F391" s="188">
        <v>13.517954426513301</v>
      </c>
      <c r="G391" s="189">
        <v>0.13764286765859801</v>
      </c>
      <c r="H391" s="189">
        <v>0.18134930227455201</v>
      </c>
      <c r="I391" s="189">
        <v>0.31899216993314999</v>
      </c>
      <c r="J391" s="189">
        <v>1.63495830612912</v>
      </c>
      <c r="K391" s="189">
        <v>1.51232613290562E-2</v>
      </c>
      <c r="L391" s="189">
        <v>4.6507610643018497E-2</v>
      </c>
      <c r="M391" s="189">
        <v>2.8804215678113699E-5</v>
      </c>
      <c r="N391" s="189">
        <v>4.5183787676901098E-5</v>
      </c>
      <c r="O391" s="189">
        <v>0.23150888057640701</v>
      </c>
      <c r="P391" s="189">
        <v>0.52790031236326596</v>
      </c>
      <c r="Q391" s="189">
        <v>4.31055862740388E-2</v>
      </c>
      <c r="R391" s="189">
        <v>0.32566055858824899</v>
      </c>
      <c r="S391" s="189">
        <v>2.1631806939558101E-2</v>
      </c>
      <c r="T391" s="189">
        <v>0.331564899114212</v>
      </c>
      <c r="U391" s="189">
        <v>0.37334379477011997</v>
      </c>
      <c r="V391" s="189">
        <v>0.47036573955011901</v>
      </c>
      <c r="W391" s="189"/>
      <c r="X391" s="90"/>
      <c r="Y391" s="188"/>
      <c r="Z391" s="188"/>
      <c r="AA391" s="188"/>
      <c r="AB391" s="188"/>
      <c r="AC391" s="188"/>
      <c r="AD391" s="190"/>
      <c r="AE391" s="189"/>
    </row>
    <row r="392" spans="1:31" ht="21.25" customHeight="1" x14ac:dyDescent="0.15">
      <c r="A392" s="9" t="s">
        <v>399</v>
      </c>
      <c r="B392" s="186" t="s">
        <v>848</v>
      </c>
      <c r="C392" s="187">
        <v>33</v>
      </c>
      <c r="D392" s="186" t="s">
        <v>818</v>
      </c>
      <c r="E392" s="90">
        <v>76.73</v>
      </c>
      <c r="F392" s="188">
        <v>19.389802292106999</v>
      </c>
      <c r="G392" s="189">
        <v>5.6531950708314002E-2</v>
      </c>
      <c r="H392" s="189">
        <v>0.262343596506945</v>
      </c>
      <c r="I392" s="189">
        <v>0.31887554721525901</v>
      </c>
      <c r="J392" s="189">
        <v>1.61289514899377</v>
      </c>
      <c r="K392" s="189">
        <v>0</v>
      </c>
      <c r="L392" s="189">
        <v>0</v>
      </c>
      <c r="M392" s="189">
        <v>5.9715674246503298E-4</v>
      </c>
      <c r="N392" s="189">
        <v>2.7379815689094499E-3</v>
      </c>
      <c r="O392" s="189">
        <v>1.5200804761434601</v>
      </c>
      <c r="P392" s="189">
        <v>0.94373285558063302</v>
      </c>
      <c r="Q392" s="189">
        <v>-7.5887566725098193E-2</v>
      </c>
      <c r="R392" s="189">
        <v>0.54335120847961604</v>
      </c>
      <c r="S392" s="189">
        <v>6.80611295051382E-3</v>
      </c>
      <c r="T392" s="189">
        <v>0</v>
      </c>
      <c r="U392" s="189">
        <v>0</v>
      </c>
      <c r="V392" s="189">
        <v>0</v>
      </c>
      <c r="W392" s="189"/>
      <c r="X392" s="90"/>
      <c r="Y392" s="188"/>
      <c r="Z392" s="188"/>
      <c r="AA392" s="188"/>
      <c r="AB392" s="188"/>
      <c r="AC392" s="188"/>
      <c r="AD392" s="190"/>
      <c r="AE392" s="189"/>
    </row>
    <row r="393" spans="1:31" ht="21.25" customHeight="1" x14ac:dyDescent="0.15">
      <c r="A393" s="9" t="s">
        <v>447</v>
      </c>
      <c r="B393" s="186" t="s">
        <v>842</v>
      </c>
      <c r="C393" s="187">
        <v>21</v>
      </c>
      <c r="D393" s="186" t="s">
        <v>818</v>
      </c>
      <c r="E393" s="90">
        <v>75</v>
      </c>
      <c r="F393" s="188">
        <v>20.108933054684499</v>
      </c>
      <c r="G393" s="189">
        <v>0.105577647144406</v>
      </c>
      <c r="H393" s="189">
        <v>0.212439738569842</v>
      </c>
      <c r="I393" s="189">
        <v>0.31801738571424798</v>
      </c>
      <c r="J393" s="189">
        <v>1.20970302009675</v>
      </c>
      <c r="K393" s="189">
        <v>2.05798913055788E-4</v>
      </c>
      <c r="L393" s="189">
        <v>1.3277019727274499E-3</v>
      </c>
      <c r="M393" s="189">
        <v>7.7641258823189199E-4</v>
      </c>
      <c r="N393" s="189">
        <v>3.87147561803721E-3</v>
      </c>
      <c r="O393" s="189">
        <v>1.52804166118065</v>
      </c>
      <c r="P393" s="189">
        <v>1.3444093255272</v>
      </c>
      <c r="Q393" s="189">
        <v>-2.87203147693957E-2</v>
      </c>
      <c r="R393" s="189">
        <v>0.540127676090977</v>
      </c>
      <c r="S393" s="189">
        <v>1.4500315436525401E-2</v>
      </c>
      <c r="T393" s="189">
        <v>0</v>
      </c>
      <c r="U393" s="189">
        <v>0</v>
      </c>
      <c r="V393" s="189">
        <v>0</v>
      </c>
      <c r="W393" s="189"/>
      <c r="X393" s="90"/>
      <c r="Y393" s="188"/>
      <c r="Z393" s="188"/>
      <c r="AA393" s="188"/>
      <c r="AB393" s="188"/>
      <c r="AC393" s="188"/>
      <c r="AD393" s="190"/>
      <c r="AE393" s="189"/>
    </row>
    <row r="394" spans="1:31" ht="21.25" customHeight="1" x14ac:dyDescent="0.15">
      <c r="A394" s="9" t="s">
        <v>634</v>
      </c>
      <c r="B394" s="186" t="s">
        <v>839</v>
      </c>
      <c r="C394" s="187">
        <v>27</v>
      </c>
      <c r="D394" s="186" t="s">
        <v>816</v>
      </c>
      <c r="E394" s="90">
        <v>77.424999999999997</v>
      </c>
      <c r="F394" s="188">
        <v>12.984038200669101</v>
      </c>
      <c r="G394" s="189">
        <v>0.11522657981694399</v>
      </c>
      <c r="H394" s="189">
        <v>0.201369002268417</v>
      </c>
      <c r="I394" s="189">
        <v>0.31659558208536098</v>
      </c>
      <c r="J394" s="189">
        <v>1.5990739247502701</v>
      </c>
      <c r="K394" s="189">
        <v>1.26160094654965E-2</v>
      </c>
      <c r="L394" s="189">
        <v>2.4923920695667401E-2</v>
      </c>
      <c r="M394" s="189">
        <v>7.5023751416727997E-5</v>
      </c>
      <c r="N394" s="189">
        <v>1.2846751608383301E-4</v>
      </c>
      <c r="O394" s="189">
        <v>0.45310980921287197</v>
      </c>
      <c r="P394" s="189">
        <v>0.83018049183167697</v>
      </c>
      <c r="Q394" s="189">
        <v>-9.7359186466729093E-3</v>
      </c>
      <c r="R394" s="189">
        <v>0.216914060690966</v>
      </c>
      <c r="S394" s="189">
        <v>1.7081522603773699E-2</v>
      </c>
      <c r="T394" s="189">
        <v>0.28996777085624398</v>
      </c>
      <c r="U394" s="189">
        <v>0.50612090691301603</v>
      </c>
      <c r="V394" s="189">
        <v>0.36424054122810801</v>
      </c>
      <c r="W394" s="189"/>
      <c r="X394" s="90"/>
      <c r="Y394" s="188"/>
      <c r="Z394" s="188"/>
      <c r="AA394" s="188"/>
      <c r="AB394" s="188"/>
      <c r="AC394" s="188"/>
      <c r="AD394" s="190"/>
      <c r="AE394" s="189"/>
    </row>
    <row r="395" spans="1:31" ht="21.25" customHeight="1" x14ac:dyDescent="0.15">
      <c r="A395" s="9" t="s">
        <v>352</v>
      </c>
      <c r="B395" s="186" t="s">
        <v>836</v>
      </c>
      <c r="C395" s="187">
        <v>29</v>
      </c>
      <c r="D395" s="186" t="s">
        <v>818</v>
      </c>
      <c r="E395" s="90">
        <v>75.17</v>
      </c>
      <c r="F395" s="188">
        <v>21.632098789902798</v>
      </c>
      <c r="G395" s="189">
        <v>6.8658148398136207E-2</v>
      </c>
      <c r="H395" s="189">
        <v>0.246450853183799</v>
      </c>
      <c r="I395" s="189">
        <v>0.315109001581935</v>
      </c>
      <c r="J395" s="189">
        <v>1.5346087774556001</v>
      </c>
      <c r="K395" s="189">
        <v>1.7449579658966902E-2</v>
      </c>
      <c r="L395" s="189">
        <v>6.4961214783321994E-2</v>
      </c>
      <c r="M395" s="189">
        <v>4.78336427602111E-4</v>
      </c>
      <c r="N395" s="189">
        <v>4.82162613760848E-3</v>
      </c>
      <c r="O395" s="189">
        <v>2.1314342571624998</v>
      </c>
      <c r="P395" s="189">
        <v>1.56731839095218</v>
      </c>
      <c r="Q395" s="189">
        <v>2.8285444553830499E-2</v>
      </c>
      <c r="R395" s="189">
        <v>0.23205024910348901</v>
      </c>
      <c r="S395" s="189">
        <v>1.0790241704785E-2</v>
      </c>
      <c r="T395" s="189">
        <v>0</v>
      </c>
      <c r="U395" s="189">
        <v>0</v>
      </c>
      <c r="V395" s="189">
        <v>0</v>
      </c>
      <c r="W395" s="189"/>
      <c r="X395" s="90"/>
      <c r="Y395" s="188"/>
      <c r="Z395" s="188"/>
      <c r="AA395" s="188"/>
      <c r="AB395" s="188"/>
      <c r="AC395" s="188"/>
      <c r="AD395" s="190"/>
      <c r="AE395" s="189"/>
    </row>
    <row r="396" spans="1:31" ht="21.25" customHeight="1" x14ac:dyDescent="0.15">
      <c r="A396" s="9" t="s">
        <v>664</v>
      </c>
      <c r="B396" s="186" t="s">
        <v>833</v>
      </c>
      <c r="C396" s="187">
        <v>33</v>
      </c>
      <c r="D396" s="186" t="s">
        <v>866</v>
      </c>
      <c r="E396" s="90">
        <v>74.099999999999994</v>
      </c>
      <c r="F396" s="188">
        <v>14.0367789246464</v>
      </c>
      <c r="G396" s="189">
        <v>0.134572802943242</v>
      </c>
      <c r="H396" s="189">
        <v>0.17905087574279299</v>
      </c>
      <c r="I396" s="189">
        <v>0.31362367868603502</v>
      </c>
      <c r="J396" s="189">
        <v>1.0626361624640099</v>
      </c>
      <c r="K396" s="189">
        <v>4.81146896028026E-3</v>
      </c>
      <c r="L396" s="189">
        <v>1.16236219312001E-2</v>
      </c>
      <c r="M396" s="189">
        <v>1.85044376938517E-3</v>
      </c>
      <c r="N396" s="189">
        <v>1.0350251633161001E-2</v>
      </c>
      <c r="O396" s="189">
        <v>0.64543588271571195</v>
      </c>
      <c r="P396" s="189">
        <v>2.90753396317576</v>
      </c>
      <c r="Q396" s="189">
        <v>6.5372811202457403E-3</v>
      </c>
      <c r="R396" s="189">
        <v>0.87145091754001902</v>
      </c>
      <c r="S396" s="189">
        <v>2.2215160834111999E-2</v>
      </c>
      <c r="T396" s="189">
        <v>0.138619062331681</v>
      </c>
      <c r="U396" s="189">
        <v>0.14276403328165499</v>
      </c>
      <c r="V396" s="189">
        <v>0.49263464825252001</v>
      </c>
      <c r="W396" s="189"/>
      <c r="X396" s="90"/>
      <c r="Y396" s="188"/>
      <c r="Z396" s="188"/>
      <c r="AA396" s="188"/>
      <c r="AB396" s="188"/>
      <c r="AC396" s="188"/>
      <c r="AD396" s="190"/>
      <c r="AE396" s="189"/>
    </row>
    <row r="397" spans="1:31" ht="21.25" customHeight="1" x14ac:dyDescent="0.15">
      <c r="A397" s="9" t="s">
        <v>456</v>
      </c>
      <c r="B397" s="186" t="s">
        <v>827</v>
      </c>
      <c r="C397" s="187">
        <v>24</v>
      </c>
      <c r="D397" s="186" t="s">
        <v>818</v>
      </c>
      <c r="E397" s="90">
        <v>77.775000000000006</v>
      </c>
      <c r="F397" s="188">
        <v>19.303113971518101</v>
      </c>
      <c r="G397" s="189">
        <v>6.6575595703464593E-2</v>
      </c>
      <c r="H397" s="189">
        <v>0.24660593696043501</v>
      </c>
      <c r="I397" s="189">
        <v>0.31318153266389998</v>
      </c>
      <c r="J397" s="189">
        <v>0.97854453279311004</v>
      </c>
      <c r="K397" s="189">
        <v>8.2417463713300599E-3</v>
      </c>
      <c r="L397" s="189">
        <v>3.9075108633607199E-2</v>
      </c>
      <c r="M397" s="189">
        <v>3.3037137345474698E-4</v>
      </c>
      <c r="N397" s="189">
        <v>1.2085401626279101E-2</v>
      </c>
      <c r="O397" s="189">
        <v>1.4325029241675</v>
      </c>
      <c r="P397" s="189">
        <v>1.18790663251594</v>
      </c>
      <c r="Q397" s="189">
        <v>-2.05574609091107E-2</v>
      </c>
      <c r="R397" s="189">
        <v>0.41996569300956998</v>
      </c>
      <c r="S397" s="189">
        <v>1.0489758843330499E-2</v>
      </c>
      <c r="T397" s="189">
        <v>0</v>
      </c>
      <c r="U397" s="189">
        <v>0</v>
      </c>
      <c r="V397" s="189">
        <v>0</v>
      </c>
      <c r="W397" s="189"/>
      <c r="X397" s="90"/>
      <c r="Y397" s="188"/>
      <c r="Z397" s="188"/>
      <c r="AA397" s="188"/>
      <c r="AB397" s="188"/>
      <c r="AC397" s="188"/>
      <c r="AD397" s="190"/>
      <c r="AE397" s="189"/>
    </row>
    <row r="398" spans="1:31" ht="21.25" customHeight="1" x14ac:dyDescent="0.15">
      <c r="A398" s="9" t="s">
        <v>732</v>
      </c>
      <c r="B398" s="186" t="s">
        <v>851</v>
      </c>
      <c r="C398" s="187">
        <v>28</v>
      </c>
      <c r="D398" s="186" t="s">
        <v>816</v>
      </c>
      <c r="E398" s="90">
        <v>64.472499999999997</v>
      </c>
      <c r="F398" s="188">
        <v>11.069091162618101</v>
      </c>
      <c r="G398" s="189">
        <v>0.20437769060906</v>
      </c>
      <c r="H398" s="189">
        <v>0.10632765867395499</v>
      </c>
      <c r="I398" s="189">
        <v>0.31070534928301502</v>
      </c>
      <c r="J398" s="189">
        <v>1.4070776566801599</v>
      </c>
      <c r="K398" s="189">
        <v>3.5251849675765499E-3</v>
      </c>
      <c r="L398" s="189">
        <v>7.6404175261837303E-3</v>
      </c>
      <c r="M398" s="189">
        <v>2.1488819150029602E-3</v>
      </c>
      <c r="N398" s="189">
        <v>2.4289354848730398E-3</v>
      </c>
      <c r="O398" s="189">
        <v>0.32548253371795999</v>
      </c>
      <c r="P398" s="189">
        <v>0.97440253171104596</v>
      </c>
      <c r="Q398" s="189">
        <v>-6.9231385680567402E-3</v>
      </c>
      <c r="R398" s="189">
        <v>0.39763835021171601</v>
      </c>
      <c r="S398" s="189">
        <v>2.99064633774252E-2</v>
      </c>
      <c r="T398" s="189">
        <v>4.16863963948296E-2</v>
      </c>
      <c r="U398" s="189">
        <v>0.133834550894886</v>
      </c>
      <c r="V398" s="189">
        <v>0.23750097659866101</v>
      </c>
      <c r="W398" s="189"/>
      <c r="X398" s="90"/>
      <c r="Y398" s="188"/>
      <c r="Z398" s="188"/>
      <c r="AA398" s="188"/>
      <c r="AB398" s="188"/>
      <c r="AC398" s="188"/>
      <c r="AD398" s="190"/>
      <c r="AE398" s="189"/>
    </row>
    <row r="399" spans="1:31" ht="21.25" customHeight="1" x14ac:dyDescent="0.15">
      <c r="A399" s="9" t="s">
        <v>459</v>
      </c>
      <c r="B399" s="186" t="s">
        <v>827</v>
      </c>
      <c r="C399" s="187">
        <v>28</v>
      </c>
      <c r="D399" s="186" t="s">
        <v>818</v>
      </c>
      <c r="E399" s="90">
        <v>78.655000000000001</v>
      </c>
      <c r="F399" s="188">
        <v>17.213277473168901</v>
      </c>
      <c r="G399" s="189">
        <v>5.9685291097416403E-2</v>
      </c>
      <c r="H399" s="189">
        <v>0.250946080839622</v>
      </c>
      <c r="I399" s="189">
        <v>0.31063137193703799</v>
      </c>
      <c r="J399" s="189">
        <v>1.1323320199757101</v>
      </c>
      <c r="K399" s="189">
        <v>8.6164798759558806E-3</v>
      </c>
      <c r="L399" s="189">
        <v>6.0092631934125701E-2</v>
      </c>
      <c r="M399" s="189">
        <v>2.7536642713148202E-4</v>
      </c>
      <c r="N399" s="189">
        <v>1.3708249902045801E-3</v>
      </c>
      <c r="O399" s="189">
        <v>1.20626819307259</v>
      </c>
      <c r="P399" s="189">
        <v>1.0193477196940099</v>
      </c>
      <c r="Q399" s="189">
        <v>1.7395787203857201E-2</v>
      </c>
      <c r="R399" s="189">
        <v>0.282443423515717</v>
      </c>
      <c r="S399" s="189">
        <v>9.4041112736644398E-3</v>
      </c>
      <c r="T399" s="189">
        <v>0</v>
      </c>
      <c r="U399" s="189">
        <v>0</v>
      </c>
      <c r="V399" s="189">
        <v>0</v>
      </c>
      <c r="W399" s="189"/>
      <c r="X399" s="90"/>
      <c r="Y399" s="188"/>
      <c r="Z399" s="188"/>
      <c r="AA399" s="188"/>
      <c r="AB399" s="188"/>
      <c r="AC399" s="188"/>
      <c r="AD399" s="190"/>
      <c r="AE399" s="189"/>
    </row>
    <row r="400" spans="1:31" ht="21.25" customHeight="1" x14ac:dyDescent="0.15">
      <c r="A400" s="9" t="s">
        <v>382</v>
      </c>
      <c r="B400" s="186" t="s">
        <v>829</v>
      </c>
      <c r="C400" s="187">
        <v>29</v>
      </c>
      <c r="D400" s="186" t="s">
        <v>818</v>
      </c>
      <c r="E400" s="90">
        <v>78.7</v>
      </c>
      <c r="F400" s="188">
        <v>21.194745214688101</v>
      </c>
      <c r="G400" s="189">
        <v>6.2314336842250503E-2</v>
      </c>
      <c r="H400" s="189">
        <v>0.24765283153589901</v>
      </c>
      <c r="I400" s="189">
        <v>0.30996716837815003</v>
      </c>
      <c r="J400" s="189">
        <v>1.6512323849100901</v>
      </c>
      <c r="K400" s="189">
        <v>1.1679346262671701E-3</v>
      </c>
      <c r="L400" s="189">
        <v>5.0356823201899601E-3</v>
      </c>
      <c r="M400" s="189">
        <v>3.45545658815965E-4</v>
      </c>
      <c r="N400" s="189">
        <v>8.05936984290395E-3</v>
      </c>
      <c r="O400" s="189">
        <v>1.5722855220010501</v>
      </c>
      <c r="P400" s="189">
        <v>0.58146127362298194</v>
      </c>
      <c r="Q400" s="189">
        <v>7.3334510637381098E-3</v>
      </c>
      <c r="R400" s="189">
        <v>0.387527677453118</v>
      </c>
      <c r="S400" s="189">
        <v>9.4017578927646402E-3</v>
      </c>
      <c r="T400" s="189">
        <v>0</v>
      </c>
      <c r="U400" s="189">
        <v>0</v>
      </c>
      <c r="V400" s="189">
        <v>0</v>
      </c>
      <c r="W400" s="189"/>
      <c r="X400" s="90"/>
      <c r="Y400" s="188"/>
      <c r="Z400" s="188"/>
      <c r="AA400" s="188"/>
      <c r="AB400" s="188"/>
      <c r="AC400" s="188"/>
      <c r="AD400" s="190"/>
      <c r="AE400" s="189"/>
    </row>
    <row r="401" spans="1:31" ht="21.25" customHeight="1" x14ac:dyDescent="0.15">
      <c r="A401" s="9" t="s">
        <v>578</v>
      </c>
      <c r="B401" s="186" t="s">
        <v>848</v>
      </c>
      <c r="C401" s="187">
        <v>26</v>
      </c>
      <c r="D401" s="186" t="s">
        <v>818</v>
      </c>
      <c r="E401" s="90">
        <v>66.91</v>
      </c>
      <c r="F401" s="188">
        <v>16.206656884939001</v>
      </c>
      <c r="G401" s="189">
        <v>2.37286291678463E-2</v>
      </c>
      <c r="H401" s="189">
        <v>0.28562525599303601</v>
      </c>
      <c r="I401" s="189">
        <v>0.30935388516088203</v>
      </c>
      <c r="J401" s="189">
        <v>0.82179150939074896</v>
      </c>
      <c r="K401" s="189">
        <v>4.2123911387492701E-3</v>
      </c>
      <c r="L401" s="189">
        <v>9.5810855518534299E-2</v>
      </c>
      <c r="M401" s="189">
        <v>4.6216531778624397E-6</v>
      </c>
      <c r="N401" s="189">
        <v>2.23600084949919E-5</v>
      </c>
      <c r="O401" s="189">
        <v>1.1193114297700399</v>
      </c>
      <c r="P401" s="189">
        <v>0.87423676433947395</v>
      </c>
      <c r="Q401" s="189">
        <v>-4.1548495695186503E-2</v>
      </c>
      <c r="R401" s="189">
        <v>0.348784573487947</v>
      </c>
      <c r="S401" s="189">
        <v>2.8567867949666802E-3</v>
      </c>
      <c r="T401" s="189">
        <v>0</v>
      </c>
      <c r="U401" s="189">
        <v>0</v>
      </c>
      <c r="V401" s="189">
        <v>0</v>
      </c>
      <c r="W401" s="189"/>
      <c r="X401" s="90"/>
      <c r="Y401" s="188"/>
      <c r="Z401" s="188"/>
      <c r="AA401" s="188"/>
      <c r="AB401" s="188"/>
      <c r="AC401" s="188"/>
      <c r="AD401" s="190"/>
      <c r="AE401" s="189"/>
    </row>
    <row r="402" spans="1:31" ht="21.25" customHeight="1" x14ac:dyDescent="0.15">
      <c r="A402" s="9" t="s">
        <v>677</v>
      </c>
      <c r="B402" s="186" t="s">
        <v>850</v>
      </c>
      <c r="C402" s="187">
        <v>27</v>
      </c>
      <c r="D402" s="186" t="s">
        <v>816</v>
      </c>
      <c r="E402" s="90">
        <v>76.3125</v>
      </c>
      <c r="F402" s="188">
        <v>12.7032986637335</v>
      </c>
      <c r="G402" s="189">
        <v>0.14364634938137899</v>
      </c>
      <c r="H402" s="189">
        <v>0.16364461256759999</v>
      </c>
      <c r="I402" s="189">
        <v>0.30729096194897898</v>
      </c>
      <c r="J402" s="189">
        <v>1.2589768087748601</v>
      </c>
      <c r="K402" s="189">
        <v>1.7259646393781899E-2</v>
      </c>
      <c r="L402" s="189">
        <v>3.50879114695224E-2</v>
      </c>
      <c r="M402" s="189">
        <v>1.15709578885505E-5</v>
      </c>
      <c r="N402" s="189">
        <v>2.65181535097165E-5</v>
      </c>
      <c r="O402" s="189">
        <v>0.54942781450532896</v>
      </c>
      <c r="P402" s="189">
        <v>3.42268224077098</v>
      </c>
      <c r="Q402" s="189">
        <v>1.0069352472161199E-2</v>
      </c>
      <c r="R402" s="189">
        <v>0.93326077378938099</v>
      </c>
      <c r="S402" s="189">
        <v>2.55994558642966E-2</v>
      </c>
      <c r="T402" s="189">
        <v>0.33134311665625399</v>
      </c>
      <c r="U402" s="189">
        <v>0.48203984018439899</v>
      </c>
      <c r="V402" s="189">
        <v>0.40736422354269503</v>
      </c>
      <c r="W402" s="189"/>
      <c r="X402" s="90"/>
      <c r="Y402" s="188"/>
      <c r="Z402" s="188"/>
      <c r="AA402" s="188"/>
      <c r="AB402" s="188"/>
      <c r="AC402" s="188"/>
      <c r="AD402" s="190"/>
      <c r="AE402" s="189"/>
    </row>
    <row r="403" spans="1:31" ht="21.25" customHeight="1" x14ac:dyDescent="0.15">
      <c r="A403" s="9" t="s">
        <v>413</v>
      </c>
      <c r="B403" s="186" t="s">
        <v>850</v>
      </c>
      <c r="C403" s="187">
        <v>28</v>
      </c>
      <c r="D403" s="186" t="s">
        <v>818</v>
      </c>
      <c r="E403" s="90">
        <v>79.567499999999995</v>
      </c>
      <c r="F403" s="188">
        <v>20.516300031769799</v>
      </c>
      <c r="G403" s="189">
        <v>7.0361422782214106E-2</v>
      </c>
      <c r="H403" s="189">
        <v>0.23668813526232699</v>
      </c>
      <c r="I403" s="189">
        <v>0.30704955804454098</v>
      </c>
      <c r="J403" s="189">
        <v>1.3537558469500901</v>
      </c>
      <c r="K403" s="189">
        <v>5.5379366431409398E-4</v>
      </c>
      <c r="L403" s="189">
        <v>3.5678262505980602E-3</v>
      </c>
      <c r="M403" s="189">
        <v>3.2256375495916399E-3</v>
      </c>
      <c r="N403" s="189">
        <v>1.4321432566645E-2</v>
      </c>
      <c r="O403" s="189">
        <v>1.54307287034977</v>
      </c>
      <c r="P403" s="189">
        <v>0.93836538768647404</v>
      </c>
      <c r="Q403" s="189">
        <v>2.83285510921873E-2</v>
      </c>
      <c r="R403" s="189">
        <v>0.47079423900276202</v>
      </c>
      <c r="S403" s="189">
        <v>1.2539226682887801E-2</v>
      </c>
      <c r="T403" s="189">
        <v>0</v>
      </c>
      <c r="U403" s="189">
        <v>0</v>
      </c>
      <c r="V403" s="189">
        <v>0</v>
      </c>
      <c r="W403" s="189"/>
      <c r="X403" s="90"/>
      <c r="Y403" s="188"/>
      <c r="Z403" s="188"/>
      <c r="AA403" s="188"/>
      <c r="AB403" s="188"/>
      <c r="AC403" s="188"/>
      <c r="AD403" s="190"/>
      <c r="AE403" s="189"/>
    </row>
    <row r="404" spans="1:31" ht="21.25" customHeight="1" x14ac:dyDescent="0.15">
      <c r="A404" s="9" t="s">
        <v>423</v>
      </c>
      <c r="B404" s="186" t="s">
        <v>836</v>
      </c>
      <c r="C404" s="187">
        <v>30</v>
      </c>
      <c r="D404" s="186" t="s">
        <v>818</v>
      </c>
      <c r="E404" s="90">
        <v>74.482500000000002</v>
      </c>
      <c r="F404" s="188">
        <v>20.394251483605998</v>
      </c>
      <c r="G404" s="189">
        <v>4.9710864792174798E-2</v>
      </c>
      <c r="H404" s="189">
        <v>0.25513836132926798</v>
      </c>
      <c r="I404" s="189">
        <v>0.304849226121443</v>
      </c>
      <c r="J404" s="189">
        <v>1.2945898275455701</v>
      </c>
      <c r="K404" s="189">
        <v>2.4338779625058201E-4</v>
      </c>
      <c r="L404" s="189">
        <v>1.6082759043161399E-3</v>
      </c>
      <c r="M404" s="189">
        <v>4.2357923818659902E-4</v>
      </c>
      <c r="N404" s="189">
        <v>1.80238206524721E-2</v>
      </c>
      <c r="O404" s="189">
        <v>1.84178603070082</v>
      </c>
      <c r="P404" s="189">
        <v>1.18411585563608</v>
      </c>
      <c r="Q404" s="189">
        <v>2.6149885067072599E-2</v>
      </c>
      <c r="R404" s="189">
        <v>0.48568818943168202</v>
      </c>
      <c r="S404" s="189">
        <v>7.8125067304613705E-3</v>
      </c>
      <c r="T404" s="189">
        <v>0</v>
      </c>
      <c r="U404" s="189">
        <v>0</v>
      </c>
      <c r="V404" s="189">
        <v>0</v>
      </c>
      <c r="W404" s="189"/>
      <c r="X404" s="90"/>
      <c r="Y404" s="188"/>
      <c r="Z404" s="188"/>
      <c r="AA404" s="188"/>
      <c r="AB404" s="188"/>
      <c r="AC404" s="188"/>
      <c r="AD404" s="190"/>
      <c r="AE404" s="189"/>
    </row>
    <row r="405" spans="1:31" ht="21.25" customHeight="1" x14ac:dyDescent="0.15">
      <c r="A405" s="9" t="s">
        <v>486</v>
      </c>
      <c r="B405" s="186" t="s">
        <v>827</v>
      </c>
      <c r="C405" s="187">
        <v>26</v>
      </c>
      <c r="D405" s="186" t="s">
        <v>818</v>
      </c>
      <c r="E405" s="90">
        <v>78.055000000000007</v>
      </c>
      <c r="F405" s="188">
        <v>16.088421848688</v>
      </c>
      <c r="G405" s="189">
        <v>5.0553410709644697E-2</v>
      </c>
      <c r="H405" s="189">
        <v>0.25391340242951099</v>
      </c>
      <c r="I405" s="189">
        <v>0.30446681313915602</v>
      </c>
      <c r="J405" s="189">
        <v>0.97780221219705099</v>
      </c>
      <c r="K405" s="189">
        <v>1.73916473534161E-4</v>
      </c>
      <c r="L405" s="189">
        <v>1.1055156036854201E-3</v>
      </c>
      <c r="M405" s="189">
        <v>2.4913137489657498E-4</v>
      </c>
      <c r="N405" s="189">
        <v>1.2239932345133599E-3</v>
      </c>
      <c r="O405" s="189">
        <v>1.3112257976552</v>
      </c>
      <c r="P405" s="189">
        <v>1.12049810766335</v>
      </c>
      <c r="Q405" s="189">
        <v>1.7017417753480601E-2</v>
      </c>
      <c r="R405" s="189">
        <v>0.25566257972968298</v>
      </c>
      <c r="S405" s="189">
        <v>7.9652773880386999E-3</v>
      </c>
      <c r="T405" s="189">
        <v>0</v>
      </c>
      <c r="U405" s="189">
        <v>0</v>
      </c>
      <c r="V405" s="189">
        <v>0</v>
      </c>
      <c r="W405" s="189"/>
      <c r="X405" s="90"/>
      <c r="Y405" s="188"/>
      <c r="Z405" s="188"/>
      <c r="AA405" s="188"/>
      <c r="AB405" s="188"/>
      <c r="AC405" s="188"/>
      <c r="AD405" s="190"/>
      <c r="AE405" s="189"/>
    </row>
    <row r="406" spans="1:31" ht="21.25" customHeight="1" x14ac:dyDescent="0.15">
      <c r="A406" s="9" t="s">
        <v>714</v>
      </c>
      <c r="B406" s="186" t="s">
        <v>847</v>
      </c>
      <c r="C406" s="187">
        <v>26</v>
      </c>
      <c r="D406" s="186" t="s">
        <v>817</v>
      </c>
      <c r="E406" s="90">
        <v>67.6875</v>
      </c>
      <c r="F406" s="188">
        <v>13.306279113213799</v>
      </c>
      <c r="G406" s="189">
        <v>0.120579316598989</v>
      </c>
      <c r="H406" s="189">
        <v>0.183115060285024</v>
      </c>
      <c r="I406" s="189">
        <v>0.30369437688401302</v>
      </c>
      <c r="J406" s="189">
        <v>1.12218420373143</v>
      </c>
      <c r="K406" s="189">
        <v>6.6840291634868E-4</v>
      </c>
      <c r="L406" s="189">
        <v>1.55131878563896E-3</v>
      </c>
      <c r="M406" s="189">
        <v>2.62885476531179E-3</v>
      </c>
      <c r="N406" s="189">
        <v>4.4699250996276798E-3</v>
      </c>
      <c r="O406" s="189">
        <v>0.39734190167362599</v>
      </c>
      <c r="P406" s="189">
        <v>0.94149184181614798</v>
      </c>
      <c r="Q406" s="189">
        <v>-6.2568293190057994E-2</v>
      </c>
      <c r="R406" s="189">
        <v>0.196034952977268</v>
      </c>
      <c r="S406" s="189">
        <v>1.55830975617518E-2</v>
      </c>
      <c r="T406" s="189">
        <v>0</v>
      </c>
      <c r="U406" s="189">
        <v>3.7948942674989002E-2</v>
      </c>
      <c r="V406" s="189">
        <v>0</v>
      </c>
      <c r="W406" s="189"/>
      <c r="X406" s="90"/>
      <c r="Y406" s="188"/>
      <c r="Z406" s="188"/>
      <c r="AA406" s="188"/>
      <c r="AB406" s="188"/>
      <c r="AC406" s="188"/>
      <c r="AD406" s="190"/>
      <c r="AE406" s="189"/>
    </row>
    <row r="407" spans="1:31" ht="21.25" customHeight="1" x14ac:dyDescent="0.15">
      <c r="A407" s="9" t="s">
        <v>403</v>
      </c>
      <c r="B407" s="186" t="s">
        <v>831</v>
      </c>
      <c r="C407" s="187">
        <v>22</v>
      </c>
      <c r="D407" s="186" t="s">
        <v>818</v>
      </c>
      <c r="E407" s="90">
        <v>77.992500000000007</v>
      </c>
      <c r="F407" s="188">
        <v>18.865323542578299</v>
      </c>
      <c r="G407" s="189">
        <v>7.55167421287853E-2</v>
      </c>
      <c r="H407" s="189">
        <v>0.22773204515350601</v>
      </c>
      <c r="I407" s="189">
        <v>0.30324878728229099</v>
      </c>
      <c r="J407" s="189">
        <v>1.2901157309773299</v>
      </c>
      <c r="K407" s="189">
        <v>9.7459326802327702E-5</v>
      </c>
      <c r="L407" s="189">
        <v>7.7116044537107803E-4</v>
      </c>
      <c r="M407" s="189">
        <v>6.3984908695994304E-3</v>
      </c>
      <c r="N407" s="189">
        <v>7.7676914070309603E-3</v>
      </c>
      <c r="O407" s="189">
        <v>1.82369764251274</v>
      </c>
      <c r="P407" s="189">
        <v>2.0599851160393801</v>
      </c>
      <c r="Q407" s="189">
        <v>2.9631981807999402E-2</v>
      </c>
      <c r="R407" s="189">
        <v>0.29139516948051197</v>
      </c>
      <c r="S407" s="189">
        <v>1.2343838580367699E-2</v>
      </c>
      <c r="T407" s="189">
        <v>0</v>
      </c>
      <c r="U407" s="189">
        <v>0</v>
      </c>
      <c r="V407" s="189">
        <v>0</v>
      </c>
      <c r="W407" s="189"/>
      <c r="X407" s="90"/>
      <c r="Y407" s="188"/>
      <c r="Z407" s="188"/>
      <c r="AA407" s="188"/>
      <c r="AB407" s="188"/>
      <c r="AC407" s="188"/>
      <c r="AD407" s="190"/>
      <c r="AE407" s="189"/>
    </row>
    <row r="408" spans="1:31" ht="21.25" customHeight="1" x14ac:dyDescent="0.15">
      <c r="A408" s="9" t="s">
        <v>323</v>
      </c>
      <c r="B408" s="186" t="s">
        <v>844</v>
      </c>
      <c r="C408" s="187">
        <v>29</v>
      </c>
      <c r="D408" s="186" t="s">
        <v>818</v>
      </c>
      <c r="E408" s="90">
        <v>80.352500000000006</v>
      </c>
      <c r="F408" s="188">
        <v>20.549948042159201</v>
      </c>
      <c r="G408" s="189">
        <v>7.03814421425836E-2</v>
      </c>
      <c r="H408" s="189">
        <v>0.232849497342204</v>
      </c>
      <c r="I408" s="189">
        <v>0.30323093948478802</v>
      </c>
      <c r="J408" s="189">
        <v>1.6874960725432699</v>
      </c>
      <c r="K408" s="189">
        <v>1.7977273371608699E-4</v>
      </c>
      <c r="L408" s="189">
        <v>2.2683543179581999E-3</v>
      </c>
      <c r="M408" s="189">
        <v>3.6154400554244399E-3</v>
      </c>
      <c r="N408" s="189">
        <v>1.8119238197337101E-2</v>
      </c>
      <c r="O408" s="189">
        <v>2.1669037348225899</v>
      </c>
      <c r="P408" s="189">
        <v>1.68439100811695</v>
      </c>
      <c r="Q408" s="189">
        <v>1.80557799633124E-2</v>
      </c>
      <c r="R408" s="189">
        <v>0.390453453659109</v>
      </c>
      <c r="S408" s="189">
        <v>9.9880088738131308E-3</v>
      </c>
      <c r="T408" s="189">
        <v>0</v>
      </c>
      <c r="U408" s="189">
        <v>0</v>
      </c>
      <c r="V408" s="189">
        <v>0</v>
      </c>
      <c r="W408" s="189"/>
      <c r="X408" s="90"/>
      <c r="Y408" s="188"/>
      <c r="Z408" s="188"/>
      <c r="AA408" s="188"/>
      <c r="AB408" s="188"/>
      <c r="AC408" s="188"/>
      <c r="AD408" s="190"/>
      <c r="AE408" s="189"/>
    </row>
    <row r="409" spans="1:31" ht="21.25" customHeight="1" x14ac:dyDescent="0.15">
      <c r="A409" s="9" t="s">
        <v>545</v>
      </c>
      <c r="B409" s="186" t="s">
        <v>854</v>
      </c>
      <c r="C409" s="187">
        <v>22</v>
      </c>
      <c r="D409" s="186" t="s">
        <v>818</v>
      </c>
      <c r="E409" s="90">
        <v>66.282499999999999</v>
      </c>
      <c r="F409" s="188">
        <v>17.980594841082201</v>
      </c>
      <c r="G409" s="189">
        <v>0.10270905287409</v>
      </c>
      <c r="H409" s="189">
        <v>0.20030638129088399</v>
      </c>
      <c r="I409" s="189">
        <v>0.30301543416497401</v>
      </c>
      <c r="J409" s="189">
        <v>1.17839239701962</v>
      </c>
      <c r="K409" s="189">
        <v>7.53474917446846E-3</v>
      </c>
      <c r="L409" s="189">
        <v>1.7089164377039601E-2</v>
      </c>
      <c r="M409" s="189">
        <v>4.2337077979352098E-3</v>
      </c>
      <c r="N409" s="189">
        <v>5.7809446855194898E-3</v>
      </c>
      <c r="O409" s="189">
        <v>1.30189711122295</v>
      </c>
      <c r="P409" s="189">
        <v>1.35055054973396</v>
      </c>
      <c r="Q409" s="189">
        <v>-5.5823494465237898E-2</v>
      </c>
      <c r="R409" s="189">
        <v>0.44108097463958201</v>
      </c>
      <c r="S409" s="189">
        <v>1.19041099423046E-2</v>
      </c>
      <c r="T409" s="189">
        <v>0</v>
      </c>
      <c r="U409" s="189">
        <v>0</v>
      </c>
      <c r="V409" s="189">
        <v>0</v>
      </c>
      <c r="W409" s="189"/>
      <c r="X409" s="90"/>
      <c r="Y409" s="188"/>
      <c r="Z409" s="188"/>
      <c r="AA409" s="188"/>
      <c r="AB409" s="188"/>
      <c r="AC409" s="188"/>
      <c r="AD409" s="190"/>
      <c r="AE409" s="189"/>
    </row>
    <row r="410" spans="1:31" ht="21.25" customHeight="1" x14ac:dyDescent="0.15">
      <c r="A410" s="9" t="s">
        <v>445</v>
      </c>
      <c r="B410" s="186" t="s">
        <v>829</v>
      </c>
      <c r="C410" s="187">
        <v>20</v>
      </c>
      <c r="D410" s="186" t="s">
        <v>818</v>
      </c>
      <c r="E410" s="90">
        <v>76.275000000000006</v>
      </c>
      <c r="F410" s="188">
        <v>18.587845484889399</v>
      </c>
      <c r="G410" s="189">
        <v>5.4268916604036502E-2</v>
      </c>
      <c r="H410" s="189">
        <v>0.247594653154249</v>
      </c>
      <c r="I410" s="189">
        <v>0.30186356975828599</v>
      </c>
      <c r="J410" s="189">
        <v>1.1168313058571799</v>
      </c>
      <c r="K410" s="189">
        <v>2.2760500993981498E-3</v>
      </c>
      <c r="L410" s="189">
        <v>2.7665846904684599E-2</v>
      </c>
      <c r="M410" s="189">
        <v>4.8250623142595799E-4</v>
      </c>
      <c r="N410" s="189">
        <v>2.3326462365439501E-3</v>
      </c>
      <c r="O410" s="189">
        <v>1.60576594729491</v>
      </c>
      <c r="P410" s="189">
        <v>0.74254807322787597</v>
      </c>
      <c r="Q410" s="189">
        <v>3.8146102977186597E-2</v>
      </c>
      <c r="R410" s="189">
        <v>0.49141521916797498</v>
      </c>
      <c r="S410" s="189">
        <v>8.1878944857492805E-3</v>
      </c>
      <c r="T410" s="189">
        <v>0</v>
      </c>
      <c r="U410" s="189">
        <v>0</v>
      </c>
      <c r="V410" s="189">
        <v>0</v>
      </c>
      <c r="W410" s="189"/>
      <c r="X410" s="90"/>
      <c r="Y410" s="188"/>
      <c r="Z410" s="188"/>
      <c r="AA410" s="188"/>
      <c r="AB410" s="188"/>
      <c r="AC410" s="188"/>
      <c r="AD410" s="190"/>
      <c r="AE410" s="189"/>
    </row>
    <row r="411" spans="1:31" ht="21.25" customHeight="1" x14ac:dyDescent="0.15">
      <c r="A411" s="9" t="s">
        <v>525</v>
      </c>
      <c r="B411" s="186" t="s">
        <v>851</v>
      </c>
      <c r="C411" s="187">
        <v>24</v>
      </c>
      <c r="D411" s="186" t="s">
        <v>818</v>
      </c>
      <c r="E411" s="90">
        <v>74.974999999999994</v>
      </c>
      <c r="F411" s="188">
        <v>15.798398522542</v>
      </c>
      <c r="G411" s="189">
        <v>6.4469445951392201E-2</v>
      </c>
      <c r="H411" s="189">
        <v>0.23583561290968499</v>
      </c>
      <c r="I411" s="189">
        <v>0.300305058861077</v>
      </c>
      <c r="J411" s="189">
        <v>1.13615167326459</v>
      </c>
      <c r="K411" s="189">
        <v>4.4485983194385103E-4</v>
      </c>
      <c r="L411" s="189">
        <v>2.8234547674402199E-3</v>
      </c>
      <c r="M411" s="189">
        <v>1.5939475805981201E-4</v>
      </c>
      <c r="N411" s="189">
        <v>7.8191242166683801E-4</v>
      </c>
      <c r="O411" s="189">
        <v>1.0242738218023499</v>
      </c>
      <c r="P411" s="189">
        <v>1.5186434591345701</v>
      </c>
      <c r="Q411" s="189">
        <v>1.6236440188720499E-2</v>
      </c>
      <c r="R411" s="189">
        <v>0.66559319213442902</v>
      </c>
      <c r="S411" s="189">
        <v>9.4337748829751E-3</v>
      </c>
      <c r="T411" s="189">
        <v>0</v>
      </c>
      <c r="U411" s="189">
        <v>0</v>
      </c>
      <c r="V411" s="189">
        <v>0</v>
      </c>
      <c r="W411" s="189"/>
      <c r="X411" s="90"/>
      <c r="Y411" s="188"/>
      <c r="Z411" s="188"/>
      <c r="AA411" s="188"/>
      <c r="AB411" s="188"/>
      <c r="AC411" s="188"/>
      <c r="AD411" s="190"/>
      <c r="AE411" s="189"/>
    </row>
    <row r="412" spans="1:31" ht="21.25" customHeight="1" x14ac:dyDescent="0.15">
      <c r="A412" s="9" t="s">
        <v>725</v>
      </c>
      <c r="B412" s="186" t="s">
        <v>837</v>
      </c>
      <c r="C412" s="187">
        <v>26</v>
      </c>
      <c r="D412" s="186" t="s">
        <v>815</v>
      </c>
      <c r="E412" s="90">
        <v>77.405000000000001</v>
      </c>
      <c r="F412" s="188">
        <v>12.673337037680399</v>
      </c>
      <c r="G412" s="189">
        <v>0.115990986442373</v>
      </c>
      <c r="H412" s="189">
        <v>0.180779108849628</v>
      </c>
      <c r="I412" s="189">
        <v>0.29677009529200099</v>
      </c>
      <c r="J412" s="189">
        <v>1.0798208910001501</v>
      </c>
      <c r="K412" s="189">
        <v>5.4216226625705905E-4</v>
      </c>
      <c r="L412" s="189">
        <v>2.4755873078241798E-3</v>
      </c>
      <c r="M412" s="189">
        <v>1.6569913672397601E-2</v>
      </c>
      <c r="N412" s="189">
        <v>2.8022766437962799E-2</v>
      </c>
      <c r="O412" s="189">
        <v>0.38999168666735601</v>
      </c>
      <c r="P412" s="189">
        <v>0.81897975538184298</v>
      </c>
      <c r="Q412" s="189">
        <v>4.8072847765552602E-2</v>
      </c>
      <c r="R412" s="189">
        <v>0.30464660398125498</v>
      </c>
      <c r="S412" s="189">
        <v>1.8549129361663998E-2</v>
      </c>
      <c r="T412" s="189">
        <v>1.8213487309001899</v>
      </c>
      <c r="U412" s="189">
        <v>2.0399797161761901</v>
      </c>
      <c r="V412" s="189">
        <v>0.47168966739393398</v>
      </c>
      <c r="W412" s="189"/>
      <c r="X412" s="90"/>
      <c r="Y412" s="188"/>
      <c r="Z412" s="188"/>
      <c r="AA412" s="188"/>
      <c r="AB412" s="188"/>
      <c r="AC412" s="188"/>
      <c r="AD412" s="190"/>
      <c r="AE412" s="189"/>
    </row>
    <row r="413" spans="1:31" ht="21.25" customHeight="1" x14ac:dyDescent="0.15">
      <c r="A413" s="9" t="s">
        <v>375</v>
      </c>
      <c r="B413" s="186" t="s">
        <v>826</v>
      </c>
      <c r="C413" s="187">
        <v>34</v>
      </c>
      <c r="D413" s="186" t="s">
        <v>818</v>
      </c>
      <c r="E413" s="90">
        <v>78.45</v>
      </c>
      <c r="F413" s="188">
        <v>21.466034450351302</v>
      </c>
      <c r="G413" s="189">
        <v>4.1976129535219703E-2</v>
      </c>
      <c r="H413" s="189">
        <v>0.25415934252563599</v>
      </c>
      <c r="I413" s="189">
        <v>0.296135472060856</v>
      </c>
      <c r="J413" s="189">
        <v>0.97304488425126801</v>
      </c>
      <c r="K413" s="189">
        <v>2.04895599503216E-4</v>
      </c>
      <c r="L413" s="189">
        <v>1.9523207283123399E-3</v>
      </c>
      <c r="M413" s="189">
        <v>2.8714518299657199E-4</v>
      </c>
      <c r="N413" s="189">
        <v>1.38202518477252E-3</v>
      </c>
      <c r="O413" s="189">
        <v>2.4662489688740501</v>
      </c>
      <c r="P413" s="189">
        <v>0.82265541218011995</v>
      </c>
      <c r="Q413" s="189">
        <v>1.6932972285757401E-2</v>
      </c>
      <c r="R413" s="189">
        <v>0.38405967507706401</v>
      </c>
      <c r="S413" s="189">
        <v>6.71542827826941E-3</v>
      </c>
      <c r="T413" s="189">
        <v>0</v>
      </c>
      <c r="U413" s="189">
        <v>0</v>
      </c>
      <c r="V413" s="189">
        <v>0</v>
      </c>
      <c r="W413" s="189"/>
      <c r="X413" s="90"/>
      <c r="Y413" s="188"/>
      <c r="Z413" s="188"/>
      <c r="AA413" s="188"/>
      <c r="AB413" s="188"/>
      <c r="AC413" s="188"/>
      <c r="AD413" s="190"/>
      <c r="AE413" s="189"/>
    </row>
    <row r="414" spans="1:31" ht="21.25" customHeight="1" x14ac:dyDescent="0.15">
      <c r="A414" s="9" t="s">
        <v>441</v>
      </c>
      <c r="B414" s="186" t="s">
        <v>842</v>
      </c>
      <c r="C414" s="187">
        <v>36</v>
      </c>
      <c r="D414" s="186" t="s">
        <v>818</v>
      </c>
      <c r="E414" s="90">
        <v>76.144999999999996</v>
      </c>
      <c r="F414" s="188">
        <v>18.630384158496501</v>
      </c>
      <c r="G414" s="189">
        <v>4.35524271114337E-2</v>
      </c>
      <c r="H414" s="189">
        <v>0.251346784156599</v>
      </c>
      <c r="I414" s="189">
        <v>0.29489921126803298</v>
      </c>
      <c r="J414" s="189">
        <v>1.2111801211187601</v>
      </c>
      <c r="K414" s="189">
        <v>1.55113022541567E-3</v>
      </c>
      <c r="L414" s="189">
        <v>1.0202481095651699E-2</v>
      </c>
      <c r="M414" s="189">
        <v>1.9265377602589501E-4</v>
      </c>
      <c r="N414" s="189">
        <v>6.5221116222691899E-3</v>
      </c>
      <c r="O414" s="189">
        <v>1.6817900093776501</v>
      </c>
      <c r="P414" s="189">
        <v>2.0279097699073998</v>
      </c>
      <c r="Q414" s="189">
        <v>-3.0703284697476799E-2</v>
      </c>
      <c r="R414" s="189">
        <v>0.45501015714880499</v>
      </c>
      <c r="S414" s="189">
        <v>5.9816064121820103E-3</v>
      </c>
      <c r="T414" s="189">
        <v>0</v>
      </c>
      <c r="U414" s="189">
        <v>0</v>
      </c>
      <c r="V414" s="189">
        <v>0</v>
      </c>
      <c r="W414" s="189"/>
      <c r="X414" s="90"/>
      <c r="Y414" s="188"/>
      <c r="Z414" s="188"/>
      <c r="AA414" s="188"/>
      <c r="AB414" s="188"/>
      <c r="AC414" s="188"/>
      <c r="AD414" s="190"/>
      <c r="AE414" s="189"/>
    </row>
    <row r="415" spans="1:31" ht="21.25" customHeight="1" x14ac:dyDescent="0.15">
      <c r="A415" s="9" t="s">
        <v>744</v>
      </c>
      <c r="B415" s="186" t="s">
        <v>854</v>
      </c>
      <c r="C415" s="187">
        <v>28</v>
      </c>
      <c r="D415" s="186" t="s">
        <v>815</v>
      </c>
      <c r="E415" s="90">
        <v>67.724999999999994</v>
      </c>
      <c r="F415" s="188">
        <v>13.457284149324201</v>
      </c>
      <c r="G415" s="189">
        <v>0.119154381470482</v>
      </c>
      <c r="H415" s="189">
        <v>0.174695589839687</v>
      </c>
      <c r="I415" s="189">
        <v>0.29384997131016899</v>
      </c>
      <c r="J415" s="189">
        <v>1.0552780702490701</v>
      </c>
      <c r="K415" s="189">
        <v>6.1888466982641596E-3</v>
      </c>
      <c r="L415" s="189">
        <v>1.7843728357505799E-2</v>
      </c>
      <c r="M415" s="189">
        <v>6.9477815980412798E-3</v>
      </c>
      <c r="N415" s="189">
        <v>8.6814790230320994E-3</v>
      </c>
      <c r="O415" s="189">
        <v>0.70752051293121598</v>
      </c>
      <c r="P415" s="189">
        <v>0.63790921637384401</v>
      </c>
      <c r="Q415" s="189">
        <v>-6.9788108345182398E-2</v>
      </c>
      <c r="R415" s="189">
        <v>0.20513325537595201</v>
      </c>
      <c r="S415" s="189">
        <v>1.38101444560175E-2</v>
      </c>
      <c r="T415" s="189">
        <v>6.0485241019260103</v>
      </c>
      <c r="U415" s="189">
        <v>4.9926639322122597</v>
      </c>
      <c r="V415" s="189">
        <v>0.54781460864759901</v>
      </c>
      <c r="W415" s="189"/>
      <c r="X415" s="90"/>
      <c r="Y415" s="188"/>
      <c r="Z415" s="188"/>
      <c r="AA415" s="188"/>
      <c r="AB415" s="188"/>
      <c r="AC415" s="188"/>
      <c r="AD415" s="190"/>
      <c r="AE415" s="189"/>
    </row>
    <row r="416" spans="1:31" ht="21.25" customHeight="1" x14ac:dyDescent="0.15">
      <c r="A416" s="9" t="s">
        <v>637</v>
      </c>
      <c r="B416" s="186" t="s">
        <v>826</v>
      </c>
      <c r="C416" s="187">
        <v>25</v>
      </c>
      <c r="D416" s="186" t="s">
        <v>818</v>
      </c>
      <c r="E416" s="90">
        <v>58.85</v>
      </c>
      <c r="F416" s="188">
        <v>14.889833443933901</v>
      </c>
      <c r="G416" s="189">
        <v>5.1178306763149203E-2</v>
      </c>
      <c r="H416" s="189">
        <v>0.24161495917652001</v>
      </c>
      <c r="I416" s="189">
        <v>0.29279326593966898</v>
      </c>
      <c r="J416" s="189">
        <v>0.87669779286025395</v>
      </c>
      <c r="K416" s="189">
        <v>1.5402684130739999E-3</v>
      </c>
      <c r="L416" s="189">
        <v>3.6330109365119899E-2</v>
      </c>
      <c r="M416" s="189">
        <v>6.8712491528780801E-5</v>
      </c>
      <c r="N416" s="189">
        <v>3.3722151097627102E-4</v>
      </c>
      <c r="O416" s="189">
        <v>1.02958525211832</v>
      </c>
      <c r="P416" s="189">
        <v>1.3025811650867201</v>
      </c>
      <c r="Q416" s="189">
        <v>8.2659365431655002E-2</v>
      </c>
      <c r="R416" s="189">
        <v>0.41504893643277102</v>
      </c>
      <c r="S416" s="189">
        <v>8.1876116801772696E-3</v>
      </c>
      <c r="T416" s="189">
        <v>0</v>
      </c>
      <c r="U416" s="189">
        <v>0</v>
      </c>
      <c r="V416" s="189">
        <v>0</v>
      </c>
      <c r="W416" s="189"/>
      <c r="X416" s="90"/>
      <c r="Y416" s="188"/>
      <c r="Z416" s="188"/>
      <c r="AA416" s="188"/>
      <c r="AB416" s="188"/>
      <c r="AC416" s="188"/>
      <c r="AD416" s="190"/>
      <c r="AE416" s="189"/>
    </row>
    <row r="417" spans="1:31" ht="21.25" customHeight="1" x14ac:dyDescent="0.15">
      <c r="A417" s="9" t="s">
        <v>717</v>
      </c>
      <c r="B417" s="186" t="s">
        <v>839</v>
      </c>
      <c r="C417" s="187">
        <v>26</v>
      </c>
      <c r="D417" s="186" t="s">
        <v>815</v>
      </c>
      <c r="E417" s="90">
        <v>77.142499999999998</v>
      </c>
      <c r="F417" s="188">
        <v>11.767580575259901</v>
      </c>
      <c r="G417" s="189">
        <v>0.115341675647416</v>
      </c>
      <c r="H417" s="189">
        <v>0.177306174795127</v>
      </c>
      <c r="I417" s="189">
        <v>0.29264785044254299</v>
      </c>
      <c r="J417" s="189">
        <v>1.2087808573021801</v>
      </c>
      <c r="K417" s="189">
        <v>8.8057105644146004E-4</v>
      </c>
      <c r="L417" s="189">
        <v>2.0458807417150001E-3</v>
      </c>
      <c r="M417" s="189">
        <v>1.16439512348559E-2</v>
      </c>
      <c r="N417" s="189">
        <v>2.68586903004829E-2</v>
      </c>
      <c r="O417" s="189">
        <v>0.45632401709877002</v>
      </c>
      <c r="P417" s="189">
        <v>1.12797899165138</v>
      </c>
      <c r="Q417" s="189">
        <v>2.81439512683327E-2</v>
      </c>
      <c r="R417" s="189">
        <v>0.430275069389289</v>
      </c>
      <c r="S417" s="189">
        <v>1.70985847437151E-2</v>
      </c>
      <c r="T417" s="189">
        <v>3.4251036830564301</v>
      </c>
      <c r="U417" s="189">
        <v>3.4437831879737102</v>
      </c>
      <c r="V417" s="189">
        <v>0.49864028151373002</v>
      </c>
      <c r="W417" s="189"/>
      <c r="X417" s="90"/>
      <c r="Y417" s="188"/>
      <c r="Z417" s="188"/>
      <c r="AA417" s="188"/>
      <c r="AB417" s="188"/>
      <c r="AC417" s="188"/>
      <c r="AD417" s="190"/>
      <c r="AE417" s="189"/>
    </row>
    <row r="418" spans="1:31" ht="21.25" customHeight="1" x14ac:dyDescent="0.15">
      <c r="A418" s="9" t="s">
        <v>679</v>
      </c>
      <c r="B418" s="186" t="s">
        <v>855</v>
      </c>
      <c r="C418" s="187">
        <v>32</v>
      </c>
      <c r="D418" s="186" t="s">
        <v>816</v>
      </c>
      <c r="E418" s="90">
        <v>73.989999999999995</v>
      </c>
      <c r="F418" s="188">
        <v>14.0428909123642</v>
      </c>
      <c r="G418" s="189">
        <v>0.12856493177999501</v>
      </c>
      <c r="H418" s="189">
        <v>0.16389881387371</v>
      </c>
      <c r="I418" s="189">
        <v>0.29246374565370498</v>
      </c>
      <c r="J418" s="189">
        <v>1.1653875849375499</v>
      </c>
      <c r="K418" s="189">
        <v>1.1566653263174499E-3</v>
      </c>
      <c r="L418" s="189">
        <v>2.1733688458266801E-3</v>
      </c>
      <c r="M418" s="189">
        <v>7.72457958226337E-3</v>
      </c>
      <c r="N418" s="189">
        <v>1.6428329020029601E-2</v>
      </c>
      <c r="O418" s="189">
        <v>0.85492522540560101</v>
      </c>
      <c r="P418" s="189">
        <v>2.0368245352157999</v>
      </c>
      <c r="Q418" s="189">
        <v>-1.8457300311187301E-2</v>
      </c>
      <c r="R418" s="189">
        <v>0.51933188508967598</v>
      </c>
      <c r="S418" s="189">
        <v>1.9522285443970899E-2</v>
      </c>
      <c r="T418" s="189">
        <v>9.4202215101851797E-2</v>
      </c>
      <c r="U418" s="189">
        <v>0.29202665705164299</v>
      </c>
      <c r="V418" s="189">
        <v>0.243902571489824</v>
      </c>
      <c r="W418" s="189"/>
      <c r="X418" s="90"/>
      <c r="Y418" s="188"/>
      <c r="Z418" s="188"/>
      <c r="AA418" s="188"/>
      <c r="AB418" s="188"/>
      <c r="AC418" s="188"/>
      <c r="AD418" s="190"/>
      <c r="AE418" s="189"/>
    </row>
    <row r="419" spans="1:31" ht="21.25" customHeight="1" x14ac:dyDescent="0.15">
      <c r="A419" s="9" t="s">
        <v>663</v>
      </c>
      <c r="B419" s="186" t="s">
        <v>848</v>
      </c>
      <c r="C419" s="187">
        <v>28</v>
      </c>
      <c r="D419" s="186" t="s">
        <v>817</v>
      </c>
      <c r="E419" s="90">
        <v>77.932500000000005</v>
      </c>
      <c r="F419" s="188">
        <v>12.574532046367199</v>
      </c>
      <c r="G419" s="189">
        <v>0.103553496049427</v>
      </c>
      <c r="H419" s="189">
        <v>0.188538670985127</v>
      </c>
      <c r="I419" s="189">
        <v>0.29209216703455398</v>
      </c>
      <c r="J419" s="189">
        <v>1.3110876643135101</v>
      </c>
      <c r="K419" s="189">
        <v>6.7610025117763404E-3</v>
      </c>
      <c r="L419" s="189">
        <v>1.8804067669513098E-2</v>
      </c>
      <c r="M419" s="189">
        <v>5.2619749487981303E-3</v>
      </c>
      <c r="N419" s="189">
        <v>8.8730050459040893E-3</v>
      </c>
      <c r="O419" s="189">
        <v>0.34244669945421502</v>
      </c>
      <c r="P419" s="189">
        <v>1.0131278000840001</v>
      </c>
      <c r="Q419" s="189">
        <v>-6.1986506395788503E-2</v>
      </c>
      <c r="R419" s="189">
        <v>0.24020724270482399</v>
      </c>
      <c r="S419" s="189">
        <v>1.24672292695064E-2</v>
      </c>
      <c r="T419" s="189">
        <v>0.181149618426592</v>
      </c>
      <c r="U419" s="189">
        <v>0.30340256909121999</v>
      </c>
      <c r="V419" s="189">
        <v>0.373849552417783</v>
      </c>
      <c r="W419" s="189"/>
      <c r="X419" s="90"/>
      <c r="Y419" s="188"/>
      <c r="Z419" s="188"/>
      <c r="AA419" s="188"/>
      <c r="AB419" s="188"/>
      <c r="AC419" s="188"/>
      <c r="AD419" s="190"/>
      <c r="AE419" s="189"/>
    </row>
    <row r="420" spans="1:31" ht="21.25" customHeight="1" x14ac:dyDescent="0.15">
      <c r="A420" s="9" t="s">
        <v>560</v>
      </c>
      <c r="B420" s="186" t="s">
        <v>845</v>
      </c>
      <c r="C420" s="187">
        <v>27</v>
      </c>
      <c r="D420" s="186" t="s">
        <v>818</v>
      </c>
      <c r="E420" s="90">
        <v>57.96</v>
      </c>
      <c r="F420" s="188">
        <v>18.414959383493901</v>
      </c>
      <c r="G420" s="189">
        <v>8.7934797301139095E-2</v>
      </c>
      <c r="H420" s="189">
        <v>0.203539723018725</v>
      </c>
      <c r="I420" s="189">
        <v>0.29147452031986398</v>
      </c>
      <c r="J420" s="189">
        <v>1.6113844219708799</v>
      </c>
      <c r="K420" s="189">
        <v>6.6620693546020297E-3</v>
      </c>
      <c r="L420" s="189">
        <v>4.0797435783833297E-2</v>
      </c>
      <c r="M420" s="189">
        <v>1.8624400873228799E-4</v>
      </c>
      <c r="N420" s="189">
        <v>9.2072332181552901E-4</v>
      </c>
      <c r="O420" s="189">
        <v>1.3514595680117001</v>
      </c>
      <c r="P420" s="189">
        <v>0.76561273994339996</v>
      </c>
      <c r="Q420" s="189">
        <v>5.3402205465508997E-3</v>
      </c>
      <c r="R420" s="189">
        <v>0.36537748979808399</v>
      </c>
      <c r="S420" s="189">
        <v>1.27754996000229E-2</v>
      </c>
      <c r="T420" s="189">
        <v>0</v>
      </c>
      <c r="U420" s="189">
        <v>0</v>
      </c>
      <c r="V420" s="189">
        <v>0</v>
      </c>
      <c r="W420" s="189"/>
      <c r="X420" s="90"/>
      <c r="Y420" s="188"/>
      <c r="Z420" s="188"/>
      <c r="AA420" s="188"/>
      <c r="AB420" s="188"/>
      <c r="AC420" s="188"/>
      <c r="AD420" s="190"/>
      <c r="AE420" s="189"/>
    </row>
    <row r="421" spans="1:31" ht="21.25" customHeight="1" x14ac:dyDescent="0.15">
      <c r="A421" s="9" t="s">
        <v>386</v>
      </c>
      <c r="B421" s="186" t="s">
        <v>849</v>
      </c>
      <c r="C421" s="187">
        <v>29</v>
      </c>
      <c r="D421" s="186" t="s">
        <v>818</v>
      </c>
      <c r="E421" s="90">
        <v>75.502499999999998</v>
      </c>
      <c r="F421" s="188">
        <v>18.948044441525699</v>
      </c>
      <c r="G421" s="189">
        <v>8.3682254264744294E-2</v>
      </c>
      <c r="H421" s="189">
        <v>0.206468651553532</v>
      </c>
      <c r="I421" s="189">
        <v>0.29015090581827602</v>
      </c>
      <c r="J421" s="189">
        <v>1.6951600368911499</v>
      </c>
      <c r="K421" s="189">
        <v>1.2002135612063001E-3</v>
      </c>
      <c r="L421" s="189">
        <v>1.5655794609917201E-2</v>
      </c>
      <c r="M421" s="189">
        <v>1.3789699467766999E-2</v>
      </c>
      <c r="N421" s="189">
        <v>2.23872244258215E-2</v>
      </c>
      <c r="O421" s="189">
        <v>1.6250741484633799</v>
      </c>
      <c r="P421" s="189">
        <v>1.4601882035098801</v>
      </c>
      <c r="Q421" s="189">
        <v>1.1625624269343E-2</v>
      </c>
      <c r="R421" s="189">
        <v>0.58496641973395502</v>
      </c>
      <c r="S421" s="189">
        <v>1.45009284818186E-2</v>
      </c>
      <c r="T421" s="189">
        <v>0</v>
      </c>
      <c r="U421" s="189">
        <v>0</v>
      </c>
      <c r="V421" s="189">
        <v>0</v>
      </c>
      <c r="W421" s="189"/>
      <c r="X421" s="90"/>
      <c r="Y421" s="188"/>
      <c r="Z421" s="188"/>
      <c r="AA421" s="188"/>
      <c r="AB421" s="188"/>
      <c r="AC421" s="188"/>
      <c r="AD421" s="190"/>
      <c r="AE421" s="189"/>
    </row>
    <row r="422" spans="1:31" ht="21.25" customHeight="1" x14ac:dyDescent="0.15">
      <c r="A422" s="9" t="s">
        <v>737</v>
      </c>
      <c r="B422" s="186" t="s">
        <v>841</v>
      </c>
      <c r="C422" s="187">
        <v>26</v>
      </c>
      <c r="D422" s="186" t="s">
        <v>815</v>
      </c>
      <c r="E422" s="90">
        <v>72.905000000000001</v>
      </c>
      <c r="F422" s="188">
        <v>12.4523708187329</v>
      </c>
      <c r="G422" s="189">
        <v>0.123324340199871</v>
      </c>
      <c r="H422" s="189">
        <v>0.164719861304051</v>
      </c>
      <c r="I422" s="189">
        <v>0.28804420150392201</v>
      </c>
      <c r="J422" s="189">
        <v>1.0188008750651101</v>
      </c>
      <c r="K422" s="189">
        <v>1.1883259168948301E-3</v>
      </c>
      <c r="L422" s="189">
        <v>2.4211764870595001E-3</v>
      </c>
      <c r="M422" s="189">
        <v>9.6983066543725408E-3</v>
      </c>
      <c r="N422" s="189">
        <v>1.66312283634007E-2</v>
      </c>
      <c r="O422" s="189">
        <v>0.63553822883960398</v>
      </c>
      <c r="P422" s="189">
        <v>1.2728745889356601</v>
      </c>
      <c r="Q422" s="189">
        <v>5.7509939456672297E-3</v>
      </c>
      <c r="R422" s="189">
        <v>0.49836215196661698</v>
      </c>
      <c r="S422" s="189">
        <v>1.8757791104542398E-2</v>
      </c>
      <c r="T422" s="189">
        <v>2.3348633426769401</v>
      </c>
      <c r="U422" s="189">
        <v>2.5670656403232401</v>
      </c>
      <c r="V422" s="189">
        <v>0.47631521198577498</v>
      </c>
      <c r="W422" s="189"/>
      <c r="X422" s="90"/>
      <c r="Y422" s="188"/>
      <c r="Z422" s="188"/>
      <c r="AA422" s="188"/>
      <c r="AB422" s="188"/>
      <c r="AC422" s="188"/>
      <c r="AD422" s="190"/>
      <c r="AE422" s="189"/>
    </row>
    <row r="423" spans="1:31" ht="21.25" customHeight="1" x14ac:dyDescent="0.15">
      <c r="A423" s="9" t="s">
        <v>745</v>
      </c>
      <c r="B423" s="186" t="s">
        <v>854</v>
      </c>
      <c r="C423" s="187">
        <v>25</v>
      </c>
      <c r="D423" s="186" t="s">
        <v>816</v>
      </c>
      <c r="E423" s="90">
        <v>62.962499999999999</v>
      </c>
      <c r="F423" s="188">
        <v>12.329533596757701</v>
      </c>
      <c r="G423" s="189">
        <v>0.12949385147898501</v>
      </c>
      <c r="H423" s="189">
        <v>0.158140834061059</v>
      </c>
      <c r="I423" s="189">
        <v>0.28763468554004401</v>
      </c>
      <c r="J423" s="189">
        <v>0.81051106392011896</v>
      </c>
      <c r="K423" s="189">
        <v>6.8300582115762799E-3</v>
      </c>
      <c r="L423" s="189">
        <v>1.0672190484680801E-2</v>
      </c>
      <c r="M423" s="189">
        <v>9.2876923688995604E-3</v>
      </c>
      <c r="N423" s="189">
        <v>2.3042884437422102E-2</v>
      </c>
      <c r="O423" s="189">
        <v>0.96389276304487403</v>
      </c>
      <c r="P423" s="189">
        <v>1.23015896000504</v>
      </c>
      <c r="Q423" s="189">
        <v>-4.7320185596459501E-2</v>
      </c>
      <c r="R423" s="189">
        <v>0.22683327084196001</v>
      </c>
      <c r="S423" s="189">
        <v>1.50085021886827E-2</v>
      </c>
      <c r="T423" s="189">
        <v>0.121161782664056</v>
      </c>
      <c r="U423" s="189">
        <v>0.60813579996782996</v>
      </c>
      <c r="V423" s="189">
        <v>0.166134902335488</v>
      </c>
      <c r="W423" s="189"/>
      <c r="X423" s="90"/>
      <c r="Y423" s="188"/>
      <c r="Z423" s="188"/>
      <c r="AA423" s="188"/>
      <c r="AB423" s="188"/>
      <c r="AC423" s="188"/>
      <c r="AD423" s="190"/>
      <c r="AE423" s="189"/>
    </row>
    <row r="424" spans="1:31" ht="21.25" customHeight="1" x14ac:dyDescent="0.15">
      <c r="A424" s="9" t="s">
        <v>612</v>
      </c>
      <c r="B424" s="186" t="s">
        <v>850</v>
      </c>
      <c r="C424" s="187">
        <v>22</v>
      </c>
      <c r="D424" s="186" t="s">
        <v>817</v>
      </c>
      <c r="E424" s="90">
        <v>80.614999999999995</v>
      </c>
      <c r="F424" s="188">
        <v>12.3957657527663</v>
      </c>
      <c r="G424" s="189">
        <v>0.14890212145182</v>
      </c>
      <c r="H424" s="189">
        <v>0.137402452866761</v>
      </c>
      <c r="I424" s="189">
        <v>0.28630457431858097</v>
      </c>
      <c r="J424" s="189">
        <v>1.62565514976943</v>
      </c>
      <c r="K424" s="189">
        <v>2.8625337183411301E-3</v>
      </c>
      <c r="L424" s="189">
        <v>1.36949837147668E-2</v>
      </c>
      <c r="M424" s="189">
        <v>4.8090824141869097E-3</v>
      </c>
      <c r="N424" s="189">
        <v>8.2205415799446197E-3</v>
      </c>
      <c r="O424" s="189">
        <v>0.36116706529843201</v>
      </c>
      <c r="P424" s="189">
        <v>1.2454886359911299</v>
      </c>
      <c r="Q424" s="189">
        <v>-9.42060832428882E-4</v>
      </c>
      <c r="R424" s="189">
        <v>0.495137708953099</v>
      </c>
      <c r="S424" s="189">
        <v>2.6536095783998601E-2</v>
      </c>
      <c r="T424" s="189">
        <v>8.1033209067392406E-2</v>
      </c>
      <c r="U424" s="189">
        <v>6.9457036343479397E-2</v>
      </c>
      <c r="V424" s="189">
        <v>0.53846153846153799</v>
      </c>
      <c r="W424" s="189"/>
      <c r="X424" s="90"/>
      <c r="Y424" s="188"/>
      <c r="Z424" s="188"/>
      <c r="AA424" s="188"/>
      <c r="AB424" s="188"/>
      <c r="AC424" s="188"/>
      <c r="AD424" s="190"/>
      <c r="AE424" s="189"/>
    </row>
    <row r="425" spans="1:31" ht="21.25" customHeight="1" x14ac:dyDescent="0.15">
      <c r="A425" s="9" t="s">
        <v>454</v>
      </c>
      <c r="B425" s="186" t="s">
        <v>825</v>
      </c>
      <c r="C425" s="187">
        <v>32</v>
      </c>
      <c r="D425" s="186" t="s">
        <v>818</v>
      </c>
      <c r="E425" s="90">
        <v>71.902500000000003</v>
      </c>
      <c r="F425" s="188">
        <v>18.6244521953179</v>
      </c>
      <c r="G425" s="189">
        <v>8.0455988771949705E-2</v>
      </c>
      <c r="H425" s="189">
        <v>0.20513440722109699</v>
      </c>
      <c r="I425" s="189">
        <v>0.28559039599304697</v>
      </c>
      <c r="J425" s="189">
        <v>1.5411826785570899</v>
      </c>
      <c r="K425" s="189">
        <v>2.2205889464513599E-4</v>
      </c>
      <c r="L425" s="189">
        <v>1.42828169358292E-3</v>
      </c>
      <c r="M425" s="189">
        <v>4.3570889166056102E-4</v>
      </c>
      <c r="N425" s="189">
        <v>7.9941370876431897E-3</v>
      </c>
      <c r="O425" s="189">
        <v>1.50793166291738</v>
      </c>
      <c r="P425" s="189">
        <v>2.50624844324948</v>
      </c>
      <c r="Q425" s="189">
        <v>4.3535409479127103E-2</v>
      </c>
      <c r="R425" s="189">
        <v>0.945953376780582</v>
      </c>
      <c r="S425" s="189">
        <v>1.2020981951592799E-2</v>
      </c>
      <c r="T425" s="189">
        <v>0</v>
      </c>
      <c r="U425" s="189">
        <v>1.08810598682763E-2</v>
      </c>
      <c r="V425" s="189">
        <v>0</v>
      </c>
      <c r="W425" s="189"/>
      <c r="X425" s="90"/>
      <c r="Y425" s="188"/>
      <c r="Z425" s="188"/>
      <c r="AA425" s="188"/>
      <c r="AB425" s="188"/>
      <c r="AC425" s="188"/>
      <c r="AD425" s="190"/>
      <c r="AE425" s="189"/>
    </row>
    <row r="426" spans="1:31" ht="21.25" customHeight="1" x14ac:dyDescent="0.15">
      <c r="A426" s="9" t="s">
        <v>690</v>
      </c>
      <c r="B426" s="186" t="s">
        <v>836</v>
      </c>
      <c r="C426" s="187">
        <v>23</v>
      </c>
      <c r="D426" s="186" t="s">
        <v>817</v>
      </c>
      <c r="E426" s="90">
        <v>73.1875</v>
      </c>
      <c r="F426" s="188">
        <v>12.787452293363</v>
      </c>
      <c r="G426" s="189">
        <v>0.162537048247513</v>
      </c>
      <c r="H426" s="189">
        <v>0.122993465654646</v>
      </c>
      <c r="I426" s="189">
        <v>0.285530513902159</v>
      </c>
      <c r="J426" s="189">
        <v>0.99269220174891104</v>
      </c>
      <c r="K426" s="189">
        <v>7.6643933911281601E-4</v>
      </c>
      <c r="L426" s="189">
        <v>1.79724831662126E-3</v>
      </c>
      <c r="M426" s="189">
        <v>5.1360359699648701E-2</v>
      </c>
      <c r="N426" s="189">
        <v>7.4847599608625304E-2</v>
      </c>
      <c r="O426" s="189">
        <v>0.57458388447564801</v>
      </c>
      <c r="P426" s="189">
        <v>0.38216606351995203</v>
      </c>
      <c r="Q426" s="189">
        <v>-6.4724324849543E-4</v>
      </c>
      <c r="R426" s="189">
        <v>0.197429607710329</v>
      </c>
      <c r="S426" s="189">
        <v>2.5544149929632901E-2</v>
      </c>
      <c r="T426" s="189">
        <v>4.8723391548301999E-2</v>
      </c>
      <c r="U426" s="189">
        <v>0.176660962101064</v>
      </c>
      <c r="V426" s="189">
        <v>0.21617912139589701</v>
      </c>
      <c r="W426" s="189"/>
      <c r="X426" s="90"/>
      <c r="Y426" s="188"/>
      <c r="Z426" s="188"/>
      <c r="AA426" s="188"/>
      <c r="AB426" s="188"/>
      <c r="AC426" s="188"/>
      <c r="AD426" s="190"/>
      <c r="AE426" s="189"/>
    </row>
    <row r="427" spans="1:31" ht="21.25" customHeight="1" x14ac:dyDescent="0.15">
      <c r="A427" s="9" t="s">
        <v>437</v>
      </c>
      <c r="B427" s="186" t="s">
        <v>859</v>
      </c>
      <c r="C427" s="187">
        <v>30</v>
      </c>
      <c r="D427" s="186" t="s">
        <v>818</v>
      </c>
      <c r="E427" s="90">
        <v>80.822500000000005</v>
      </c>
      <c r="F427" s="188">
        <v>20.963692799753101</v>
      </c>
      <c r="G427" s="189">
        <v>4.6564232466117503E-2</v>
      </c>
      <c r="H427" s="189">
        <v>0.238580980787716</v>
      </c>
      <c r="I427" s="189">
        <v>0.28514521325383402</v>
      </c>
      <c r="J427" s="189">
        <v>1.24388177766526</v>
      </c>
      <c r="K427" s="189">
        <v>2.7433833875526402E-4</v>
      </c>
      <c r="L427" s="189">
        <v>1.8342731239564E-3</v>
      </c>
      <c r="M427" s="189">
        <v>3.0957380755538102E-4</v>
      </c>
      <c r="N427" s="189">
        <v>1.2145257897675401E-2</v>
      </c>
      <c r="O427" s="189">
        <v>1.4958074910655601</v>
      </c>
      <c r="P427" s="189">
        <v>1.42076220947374</v>
      </c>
      <c r="Q427" s="189">
        <v>7.0468487708267399E-2</v>
      </c>
      <c r="R427" s="189">
        <v>0.233215775434926</v>
      </c>
      <c r="S427" s="189">
        <v>4.97353148642668E-3</v>
      </c>
      <c r="T427" s="189">
        <v>0</v>
      </c>
      <c r="U427" s="189">
        <v>0</v>
      </c>
      <c r="V427" s="189">
        <v>0</v>
      </c>
      <c r="W427" s="189"/>
      <c r="X427" s="90"/>
      <c r="Y427" s="188"/>
      <c r="Z427" s="188"/>
      <c r="AA427" s="188"/>
      <c r="AB427" s="188"/>
      <c r="AC427" s="188"/>
      <c r="AD427" s="190"/>
      <c r="AE427" s="189"/>
    </row>
    <row r="428" spans="1:31" ht="21.25" customHeight="1" x14ac:dyDescent="0.15">
      <c r="A428" s="9" t="s">
        <v>443</v>
      </c>
      <c r="B428" s="186" t="s">
        <v>847</v>
      </c>
      <c r="C428" s="187">
        <v>23</v>
      </c>
      <c r="D428" s="186" t="s">
        <v>818</v>
      </c>
      <c r="E428" s="90">
        <v>74.477500000000006</v>
      </c>
      <c r="F428" s="188">
        <v>21.721877226742901</v>
      </c>
      <c r="G428" s="189">
        <v>4.9269223908488001E-2</v>
      </c>
      <c r="H428" s="189">
        <v>0.23558024067903099</v>
      </c>
      <c r="I428" s="189">
        <v>0.28484946458751897</v>
      </c>
      <c r="J428" s="189">
        <v>1.0676962014626401</v>
      </c>
      <c r="K428" s="189">
        <v>2.9351566327623698E-3</v>
      </c>
      <c r="L428" s="189">
        <v>3.5724590357944598E-2</v>
      </c>
      <c r="M428" s="189">
        <v>7.17177068063768E-4</v>
      </c>
      <c r="N428" s="189">
        <v>3.0061099874162298E-3</v>
      </c>
      <c r="O428" s="189">
        <v>1.9236289015505199</v>
      </c>
      <c r="P428" s="189">
        <v>0.92364480558744799</v>
      </c>
      <c r="Q428" s="189">
        <v>-6.04661700787383E-2</v>
      </c>
      <c r="R428" s="189">
        <v>0.45998774839652001</v>
      </c>
      <c r="S428" s="189">
        <v>6.3673202387697202E-3</v>
      </c>
      <c r="T428" s="189">
        <v>0</v>
      </c>
      <c r="U428" s="189">
        <v>0</v>
      </c>
      <c r="V428" s="189">
        <v>0</v>
      </c>
      <c r="W428" s="189"/>
      <c r="X428" s="90"/>
      <c r="Y428" s="188"/>
      <c r="Z428" s="188"/>
      <c r="AA428" s="188"/>
      <c r="AB428" s="188"/>
      <c r="AC428" s="188"/>
      <c r="AD428" s="190"/>
      <c r="AE428" s="189"/>
    </row>
    <row r="429" spans="1:31" ht="21.25" customHeight="1" x14ac:dyDescent="0.15">
      <c r="A429" s="9" t="s">
        <v>372</v>
      </c>
      <c r="B429" s="186" t="s">
        <v>855</v>
      </c>
      <c r="C429" s="187">
        <v>31</v>
      </c>
      <c r="D429" s="186" t="s">
        <v>818</v>
      </c>
      <c r="E429" s="90">
        <v>81.852500000000006</v>
      </c>
      <c r="F429" s="188">
        <v>21.626043998118</v>
      </c>
      <c r="G429" s="189">
        <v>6.9251146596382498E-2</v>
      </c>
      <c r="H429" s="189">
        <v>0.214951376421082</v>
      </c>
      <c r="I429" s="189">
        <v>0.28420252301746501</v>
      </c>
      <c r="J429" s="189">
        <v>1.4809349500015301</v>
      </c>
      <c r="K429" s="189">
        <v>1.96107753696366E-4</v>
      </c>
      <c r="L429" s="189">
        <v>1.5855184931278801E-3</v>
      </c>
      <c r="M429" s="189">
        <v>3.45057453001721E-4</v>
      </c>
      <c r="N429" s="189">
        <v>7.2302191331056996E-3</v>
      </c>
      <c r="O429" s="189">
        <v>1.82282080950343</v>
      </c>
      <c r="P429" s="189">
        <v>1.8799805720137699</v>
      </c>
      <c r="Q429" s="189">
        <v>-7.36736423933298E-3</v>
      </c>
      <c r="R429" s="189">
        <v>0.55784658462867698</v>
      </c>
      <c r="S429" s="189">
        <v>1.0515625314454701E-2</v>
      </c>
      <c r="T429" s="189">
        <v>7.1588694929405307E-15</v>
      </c>
      <c r="U429" s="189">
        <v>3.1393645417243099E-7</v>
      </c>
      <c r="V429" s="189">
        <v>2.28035617862995E-8</v>
      </c>
      <c r="W429" s="189"/>
      <c r="X429" s="90"/>
      <c r="Y429" s="189"/>
      <c r="Z429" s="189"/>
      <c r="AA429" s="189"/>
      <c r="AB429" s="189"/>
      <c r="AC429" s="188"/>
      <c r="AD429" s="190"/>
      <c r="AE429" s="189"/>
    </row>
    <row r="430" spans="1:31" ht="21.25" customHeight="1" x14ac:dyDescent="0.15">
      <c r="A430" s="9" t="s">
        <v>455</v>
      </c>
      <c r="B430" s="186" t="s">
        <v>840</v>
      </c>
      <c r="C430" s="187">
        <v>28</v>
      </c>
      <c r="D430" s="186" t="s">
        <v>818</v>
      </c>
      <c r="E430" s="90">
        <v>75.635000000000005</v>
      </c>
      <c r="F430" s="188">
        <v>20.752939636100901</v>
      </c>
      <c r="G430" s="189">
        <v>6.5774957445303803E-2</v>
      </c>
      <c r="H430" s="189">
        <v>0.21703999597318499</v>
      </c>
      <c r="I430" s="189">
        <v>0.282814953418489</v>
      </c>
      <c r="J430" s="189">
        <v>1.1308166944501501</v>
      </c>
      <c r="K430" s="189">
        <v>4.6169908226964502E-4</v>
      </c>
      <c r="L430" s="189">
        <v>2.98073570340313E-3</v>
      </c>
      <c r="M430" s="189">
        <v>4.3035229347576501E-4</v>
      </c>
      <c r="N430" s="189">
        <v>1.8594037902685699E-3</v>
      </c>
      <c r="O430" s="189">
        <v>1.6817659571969501</v>
      </c>
      <c r="P430" s="189">
        <v>1.8972946527474099</v>
      </c>
      <c r="Q430" s="189">
        <v>-2.0837627759211601E-3</v>
      </c>
      <c r="R430" s="189">
        <v>0.59272424339412699</v>
      </c>
      <c r="S430" s="189">
        <v>1.02124987297711E-2</v>
      </c>
      <c r="T430" s="189">
        <v>0</v>
      </c>
      <c r="U430" s="189">
        <v>0</v>
      </c>
      <c r="V430" s="189">
        <v>0</v>
      </c>
      <c r="W430" s="189"/>
      <c r="X430" s="90"/>
      <c r="Y430" s="188"/>
      <c r="Z430" s="188"/>
      <c r="AA430" s="188"/>
      <c r="AB430" s="188"/>
      <c r="AC430" s="188"/>
      <c r="AD430" s="190"/>
      <c r="AE430" s="189"/>
    </row>
    <row r="431" spans="1:31" ht="21.25" customHeight="1" x14ac:dyDescent="0.15">
      <c r="A431" s="9" t="s">
        <v>562</v>
      </c>
      <c r="B431" s="186" t="s">
        <v>828</v>
      </c>
      <c r="C431" s="187">
        <v>23</v>
      </c>
      <c r="D431" s="186" t="s">
        <v>818</v>
      </c>
      <c r="E431" s="90">
        <v>65.015000000000001</v>
      </c>
      <c r="F431" s="188">
        <v>16.672321668021201</v>
      </c>
      <c r="G431" s="189">
        <v>7.3505398828312696E-2</v>
      </c>
      <c r="H431" s="189">
        <v>0.209111775167862</v>
      </c>
      <c r="I431" s="189">
        <v>0.28261717399617498</v>
      </c>
      <c r="J431" s="189">
        <v>1.0714724280391801</v>
      </c>
      <c r="K431" s="189">
        <v>1.0110456794907199E-2</v>
      </c>
      <c r="L431" s="189">
        <v>3.9221236957800797E-2</v>
      </c>
      <c r="M431" s="189">
        <v>1.61211442185945E-4</v>
      </c>
      <c r="N431" s="189">
        <v>7.9514058582596896E-4</v>
      </c>
      <c r="O431" s="189">
        <v>1.4134097676936299</v>
      </c>
      <c r="P431" s="189">
        <v>1.1119728692255899</v>
      </c>
      <c r="Q431" s="189">
        <v>1.08717698910083E-2</v>
      </c>
      <c r="R431" s="189">
        <v>0.420168243480602</v>
      </c>
      <c r="S431" s="189">
        <v>1.1448739158191799E-2</v>
      </c>
      <c r="T431" s="189">
        <v>0</v>
      </c>
      <c r="U431" s="189">
        <v>0</v>
      </c>
      <c r="V431" s="189">
        <v>0</v>
      </c>
      <c r="W431" s="189"/>
      <c r="X431" s="90"/>
      <c r="Y431" s="188"/>
      <c r="Z431" s="188"/>
      <c r="AA431" s="188"/>
      <c r="AB431" s="188"/>
      <c r="AC431" s="188"/>
      <c r="AD431" s="190"/>
      <c r="AE431" s="189"/>
    </row>
    <row r="432" spans="1:31" ht="21.25" customHeight="1" x14ac:dyDescent="0.15">
      <c r="A432" s="9" t="s">
        <v>713</v>
      </c>
      <c r="B432" s="186" t="s">
        <v>835</v>
      </c>
      <c r="C432" s="187">
        <v>29</v>
      </c>
      <c r="D432" s="186" t="s">
        <v>817</v>
      </c>
      <c r="E432" s="90">
        <v>65.569999999999993</v>
      </c>
      <c r="F432" s="188">
        <v>11.259202026124401</v>
      </c>
      <c r="G432" s="189">
        <v>0.11449933147737899</v>
      </c>
      <c r="H432" s="189">
        <v>0.16745331572900099</v>
      </c>
      <c r="I432" s="189">
        <v>0.28195264720638002</v>
      </c>
      <c r="J432" s="189">
        <v>1.4168248022363501</v>
      </c>
      <c r="K432" s="189">
        <v>1.3755797224818901E-3</v>
      </c>
      <c r="L432" s="189">
        <v>3.0957134815358801E-3</v>
      </c>
      <c r="M432" s="189">
        <v>1.1492953759510299E-3</v>
      </c>
      <c r="N432" s="189">
        <v>1.9732254829536401E-3</v>
      </c>
      <c r="O432" s="189">
        <v>0.35468804611553501</v>
      </c>
      <c r="P432" s="189">
        <v>2.8388859091852798</v>
      </c>
      <c r="Q432" s="189">
        <v>3.9558184214443001E-2</v>
      </c>
      <c r="R432" s="189">
        <v>0.484671654949551</v>
      </c>
      <c r="S432" s="189">
        <v>1.9553532127209599E-2</v>
      </c>
      <c r="T432" s="189">
        <v>0.21617620248132699</v>
      </c>
      <c r="U432" s="189">
        <v>0.18373855045742299</v>
      </c>
      <c r="V432" s="189">
        <v>0.54055570816722598</v>
      </c>
      <c r="W432" s="189"/>
      <c r="X432" s="90"/>
      <c r="Y432" s="188"/>
      <c r="Z432" s="188"/>
      <c r="AA432" s="188"/>
      <c r="AB432" s="188"/>
      <c r="AC432" s="188"/>
      <c r="AD432" s="190"/>
      <c r="AE432" s="189"/>
    </row>
    <row r="433" spans="1:31" ht="21.25" customHeight="1" x14ac:dyDescent="0.15">
      <c r="A433" s="9" t="s">
        <v>739</v>
      </c>
      <c r="B433" s="186" t="s">
        <v>836</v>
      </c>
      <c r="C433" s="187">
        <v>29</v>
      </c>
      <c r="D433" s="186" t="s">
        <v>817</v>
      </c>
      <c r="E433" s="90">
        <v>63.825000000000003</v>
      </c>
      <c r="F433" s="188">
        <v>11.3208899608083</v>
      </c>
      <c r="G433" s="189">
        <v>0.113414416688533</v>
      </c>
      <c r="H433" s="189">
        <v>0.16828382347780901</v>
      </c>
      <c r="I433" s="189">
        <v>0.28169824016634198</v>
      </c>
      <c r="J433" s="189">
        <v>0.96173799872018295</v>
      </c>
      <c r="K433" s="189">
        <v>1.50844663055826E-3</v>
      </c>
      <c r="L433" s="189">
        <v>4.24228581045695E-3</v>
      </c>
      <c r="M433" s="189">
        <v>4.1009371106291899E-4</v>
      </c>
      <c r="N433" s="189">
        <v>7.0406631908323102E-4</v>
      </c>
      <c r="O433" s="189">
        <v>0.54707105825840396</v>
      </c>
      <c r="P433" s="189">
        <v>0.927746402046978</v>
      </c>
      <c r="Q433" s="189">
        <v>2.3150143868947402E-2</v>
      </c>
      <c r="R433" s="189">
        <v>0.217584539969258</v>
      </c>
      <c r="S433" s="189">
        <v>1.7824089309546501E-2</v>
      </c>
      <c r="T433" s="189">
        <v>2.7422987678202702E-2</v>
      </c>
      <c r="U433" s="189">
        <v>4.2530934684465997E-2</v>
      </c>
      <c r="V433" s="189">
        <v>0.39201501148186002</v>
      </c>
      <c r="W433" s="189"/>
      <c r="X433" s="90"/>
      <c r="Y433" s="188"/>
      <c r="Z433" s="188"/>
      <c r="AA433" s="188"/>
      <c r="AB433" s="188"/>
      <c r="AC433" s="188"/>
      <c r="AD433" s="190"/>
      <c r="AE433" s="189"/>
    </row>
    <row r="434" spans="1:31" ht="21.25" customHeight="1" x14ac:dyDescent="0.15">
      <c r="A434" s="9" t="s">
        <v>430</v>
      </c>
      <c r="B434" s="186" t="s">
        <v>854</v>
      </c>
      <c r="C434" s="187">
        <v>33</v>
      </c>
      <c r="D434" s="186" t="s">
        <v>818</v>
      </c>
      <c r="E434" s="90">
        <v>73.375</v>
      </c>
      <c r="F434" s="188">
        <v>20.027419225819401</v>
      </c>
      <c r="G434" s="189">
        <v>5.2919378384697E-2</v>
      </c>
      <c r="H434" s="189">
        <v>0.227861598549286</v>
      </c>
      <c r="I434" s="189">
        <v>0.28078097693398302</v>
      </c>
      <c r="J434" s="189">
        <v>0.901881130169773</v>
      </c>
      <c r="K434" s="189">
        <v>2.54675416888026E-4</v>
      </c>
      <c r="L434" s="189">
        <v>1.7254292866106401E-3</v>
      </c>
      <c r="M434" s="189">
        <v>3.7765933399467097E-4</v>
      </c>
      <c r="N434" s="189">
        <v>7.6977722048224796E-3</v>
      </c>
      <c r="O434" s="189">
        <v>2.4030248882721499</v>
      </c>
      <c r="P434" s="189">
        <v>1.2286492551377199</v>
      </c>
      <c r="Q434" s="189">
        <v>-7.3142098237007402E-2</v>
      </c>
      <c r="R434" s="189">
        <v>0.40214989433117898</v>
      </c>
      <c r="S434" s="189">
        <v>6.1334233034171896E-3</v>
      </c>
      <c r="T434" s="189">
        <v>0</v>
      </c>
      <c r="U434" s="189">
        <v>0</v>
      </c>
      <c r="V434" s="189">
        <v>0</v>
      </c>
      <c r="W434" s="189"/>
      <c r="X434" s="90"/>
      <c r="Y434" s="188"/>
      <c r="Z434" s="188"/>
      <c r="AA434" s="188"/>
      <c r="AB434" s="188"/>
      <c r="AC434" s="188"/>
      <c r="AD434" s="190"/>
      <c r="AE434" s="189"/>
    </row>
    <row r="435" spans="1:31" ht="21.25" customHeight="1" x14ac:dyDescent="0.15">
      <c r="A435" s="9" t="s">
        <v>700</v>
      </c>
      <c r="B435" s="186" t="s">
        <v>827</v>
      </c>
      <c r="C435" s="187">
        <v>32</v>
      </c>
      <c r="D435" s="186" t="s">
        <v>816</v>
      </c>
      <c r="E435" s="90">
        <v>76.492500000000007</v>
      </c>
      <c r="F435" s="188">
        <v>12.3018340395413</v>
      </c>
      <c r="G435" s="189">
        <v>0.10234470781846899</v>
      </c>
      <c r="H435" s="189">
        <v>0.17704364435901301</v>
      </c>
      <c r="I435" s="189">
        <v>0.27938835217748198</v>
      </c>
      <c r="J435" s="189">
        <v>1.21593001008651</v>
      </c>
      <c r="K435" s="189">
        <v>1.3813468753287499E-3</v>
      </c>
      <c r="L435" s="189">
        <v>4.1944565931819602E-3</v>
      </c>
      <c r="M435" s="189">
        <v>1.84905955608277E-3</v>
      </c>
      <c r="N435" s="189">
        <v>2.3145403044359698E-3</v>
      </c>
      <c r="O435" s="189">
        <v>0.54729318456605403</v>
      </c>
      <c r="P435" s="189">
        <v>0.57848072843776299</v>
      </c>
      <c r="Q435" s="189">
        <v>1.5022120058816099E-2</v>
      </c>
      <c r="R435" s="189">
        <v>0.20647493658834301</v>
      </c>
      <c r="S435" s="189">
        <v>1.6125598164959301E-2</v>
      </c>
      <c r="T435" s="189">
        <v>0.119677033229436</v>
      </c>
      <c r="U435" s="189">
        <v>0.14996194919573599</v>
      </c>
      <c r="V435" s="189">
        <v>0.443841732946193</v>
      </c>
      <c r="W435" s="189"/>
      <c r="X435" s="90"/>
      <c r="Y435" s="188"/>
      <c r="Z435" s="188"/>
      <c r="AA435" s="188"/>
      <c r="AB435" s="188"/>
      <c r="AC435" s="188"/>
      <c r="AD435" s="190"/>
      <c r="AE435" s="189"/>
    </row>
    <row r="436" spans="1:31" ht="21.25" customHeight="1" x14ac:dyDescent="0.15">
      <c r="A436" s="9" t="s">
        <v>719</v>
      </c>
      <c r="B436" s="186" t="s">
        <v>835</v>
      </c>
      <c r="C436" s="187">
        <v>30</v>
      </c>
      <c r="D436" s="186" t="s">
        <v>815</v>
      </c>
      <c r="E436" s="90">
        <v>75.232500000000002</v>
      </c>
      <c r="F436" s="188">
        <v>13.0321374382942</v>
      </c>
      <c r="G436" s="189">
        <v>7.1438522213576397E-2</v>
      </c>
      <c r="H436" s="189">
        <v>0.20511238028113701</v>
      </c>
      <c r="I436" s="189">
        <v>0.27655090249471298</v>
      </c>
      <c r="J436" s="189">
        <v>1.2109325123236301</v>
      </c>
      <c r="K436" s="189">
        <v>1.17435696940919E-3</v>
      </c>
      <c r="L436" s="189">
        <v>2.9073129114916799E-3</v>
      </c>
      <c r="M436" s="189">
        <v>1.3661682581857E-2</v>
      </c>
      <c r="N436" s="189">
        <v>3.28670865874112E-2</v>
      </c>
      <c r="O436" s="189">
        <v>0.59699648767887104</v>
      </c>
      <c r="P436" s="189">
        <v>1.2473824269906599</v>
      </c>
      <c r="Q436" s="189">
        <v>5.8392077881327699E-2</v>
      </c>
      <c r="R436" s="189">
        <v>0.28300625443225302</v>
      </c>
      <c r="S436" s="189">
        <v>1.21998567257968E-2</v>
      </c>
      <c r="T436" s="189">
        <v>5.1572283990822303</v>
      </c>
      <c r="U436" s="189">
        <v>4.6161106211022798</v>
      </c>
      <c r="V436" s="189">
        <v>0.52768336271065597</v>
      </c>
      <c r="W436" s="189"/>
      <c r="X436" s="90"/>
      <c r="Y436" s="188"/>
      <c r="Z436" s="188"/>
      <c r="AA436" s="188"/>
      <c r="AB436" s="188"/>
      <c r="AC436" s="188"/>
      <c r="AD436" s="190"/>
      <c r="AE436" s="189"/>
    </row>
    <row r="437" spans="1:31" ht="21.25" customHeight="1" x14ac:dyDescent="0.15">
      <c r="A437" s="9" t="s">
        <v>777</v>
      </c>
      <c r="B437" s="186" t="s">
        <v>836</v>
      </c>
      <c r="C437" s="187">
        <v>25</v>
      </c>
      <c r="D437" s="186" t="s">
        <v>815</v>
      </c>
      <c r="E437" s="90">
        <v>64.655000000000001</v>
      </c>
      <c r="F437" s="188">
        <v>11.0508942738201</v>
      </c>
      <c r="G437" s="189">
        <v>0.120470015313906</v>
      </c>
      <c r="H437" s="189">
        <v>0.15516354485415099</v>
      </c>
      <c r="I437" s="189">
        <v>0.27563356016805701</v>
      </c>
      <c r="J437" s="189">
        <v>0.984364521926688</v>
      </c>
      <c r="K437" s="189">
        <v>9.63280512722936E-4</v>
      </c>
      <c r="L437" s="189">
        <v>2.2290766062846301E-3</v>
      </c>
      <c r="M437" s="189">
        <v>4.0720883022494998E-4</v>
      </c>
      <c r="N437" s="189">
        <v>6.9033571642477002E-4</v>
      </c>
      <c r="O437" s="189">
        <v>0.31437688730142899</v>
      </c>
      <c r="P437" s="189">
        <v>1.8513156276610601</v>
      </c>
      <c r="Q437" s="189">
        <v>3.1475759536210103E-2</v>
      </c>
      <c r="R437" s="189">
        <v>0.32083583829076601</v>
      </c>
      <c r="S437" s="189">
        <v>1.89329396982615E-2</v>
      </c>
      <c r="T437" s="189">
        <v>3.5892845172949501</v>
      </c>
      <c r="U437" s="189">
        <v>4.8540800138655502</v>
      </c>
      <c r="V437" s="189">
        <v>0.42510121457489902</v>
      </c>
      <c r="W437" s="189"/>
      <c r="X437" s="90"/>
      <c r="Y437" s="188"/>
      <c r="Z437" s="188"/>
      <c r="AA437" s="188"/>
      <c r="AB437" s="188"/>
      <c r="AC437" s="188"/>
      <c r="AD437" s="190"/>
      <c r="AE437" s="189"/>
    </row>
    <row r="438" spans="1:31" ht="21.25" customHeight="1" x14ac:dyDescent="0.15">
      <c r="A438" s="9" t="s">
        <v>750</v>
      </c>
      <c r="B438" s="186" t="s">
        <v>858</v>
      </c>
      <c r="C438" s="187">
        <v>24</v>
      </c>
      <c r="D438" s="186" t="s">
        <v>815</v>
      </c>
      <c r="E438" s="90">
        <v>72.552499999999995</v>
      </c>
      <c r="F438" s="188">
        <v>13.480944571495501</v>
      </c>
      <c r="G438" s="189">
        <v>0.118576303785506</v>
      </c>
      <c r="H438" s="189">
        <v>0.15699201934010401</v>
      </c>
      <c r="I438" s="189">
        <v>0.27556832312561003</v>
      </c>
      <c r="J438" s="189">
        <v>0.92022965009851598</v>
      </c>
      <c r="K438" s="189">
        <v>2.9519907339488499E-3</v>
      </c>
      <c r="L438" s="189">
        <v>6.8361300382571502E-3</v>
      </c>
      <c r="M438" s="189">
        <v>1.9296577495256199E-2</v>
      </c>
      <c r="N438" s="189">
        <v>2.0959186723631701E-2</v>
      </c>
      <c r="O438" s="189">
        <v>0.60628529236163897</v>
      </c>
      <c r="P438" s="189">
        <v>0.83093004725904995</v>
      </c>
      <c r="Q438" s="189">
        <v>-8.2835126183253296E-2</v>
      </c>
      <c r="R438" s="189">
        <v>0.13114696624692901</v>
      </c>
      <c r="S438" s="189">
        <v>1.38212005304695E-2</v>
      </c>
      <c r="T438" s="189">
        <v>3.8611161872554298</v>
      </c>
      <c r="U438" s="189">
        <v>4.64673008684401</v>
      </c>
      <c r="V438" s="189">
        <v>0.45383003675206102</v>
      </c>
      <c r="W438" s="189"/>
      <c r="X438" s="90"/>
      <c r="Y438" s="188"/>
      <c r="Z438" s="188"/>
      <c r="AA438" s="188"/>
      <c r="AB438" s="188"/>
      <c r="AC438" s="188"/>
      <c r="AD438" s="190"/>
      <c r="AE438" s="189"/>
    </row>
    <row r="439" spans="1:31" ht="21.25" customHeight="1" x14ac:dyDescent="0.15">
      <c r="A439" s="9" t="s">
        <v>485</v>
      </c>
      <c r="B439" s="186" t="s">
        <v>855</v>
      </c>
      <c r="C439" s="187">
        <v>27</v>
      </c>
      <c r="D439" s="186" t="s">
        <v>818</v>
      </c>
      <c r="E439" s="90">
        <v>77.430000000000007</v>
      </c>
      <c r="F439" s="188">
        <v>17.679212607033499</v>
      </c>
      <c r="G439" s="189">
        <v>4.2262524176984E-2</v>
      </c>
      <c r="H439" s="189">
        <v>0.23273032712509401</v>
      </c>
      <c r="I439" s="189">
        <v>0.27499285130207801</v>
      </c>
      <c r="J439" s="189">
        <v>1.13917809205478</v>
      </c>
      <c r="K439" s="189">
        <v>2.0268108735320799E-4</v>
      </c>
      <c r="L439" s="189">
        <v>1.30857849992671E-3</v>
      </c>
      <c r="M439" s="189">
        <v>4.0409619323170099E-4</v>
      </c>
      <c r="N439" s="189">
        <v>1.7763858764283499E-3</v>
      </c>
      <c r="O439" s="189">
        <v>1.35903062520545</v>
      </c>
      <c r="P439" s="189">
        <v>2.2200037704492699</v>
      </c>
      <c r="Q439" s="189">
        <v>-2.33928115531148E-2</v>
      </c>
      <c r="R439" s="189">
        <v>0.62455044446649499</v>
      </c>
      <c r="S439" s="189">
        <v>6.4174658605791503E-3</v>
      </c>
      <c r="T439" s="189">
        <v>0</v>
      </c>
      <c r="U439" s="189">
        <v>0</v>
      </c>
      <c r="V439" s="189">
        <v>0</v>
      </c>
      <c r="W439" s="189"/>
      <c r="X439" s="90"/>
      <c r="Y439" s="188"/>
      <c r="Z439" s="188"/>
      <c r="AA439" s="188"/>
      <c r="AB439" s="188"/>
      <c r="AC439" s="188"/>
      <c r="AD439" s="190"/>
      <c r="AE439" s="189"/>
    </row>
    <row r="440" spans="1:31" ht="21.25" customHeight="1" x14ac:dyDescent="0.15">
      <c r="A440" s="9" t="s">
        <v>674</v>
      </c>
      <c r="B440" s="186" t="s">
        <v>830</v>
      </c>
      <c r="C440" s="187">
        <v>30</v>
      </c>
      <c r="D440" s="186" t="s">
        <v>865</v>
      </c>
      <c r="E440" s="90">
        <v>81.552499999999995</v>
      </c>
      <c r="F440" s="188">
        <v>13.9944978537822</v>
      </c>
      <c r="G440" s="189">
        <v>0.105897983246483</v>
      </c>
      <c r="H440" s="189">
        <v>0.168162078294953</v>
      </c>
      <c r="I440" s="189">
        <v>0.27406006154143597</v>
      </c>
      <c r="J440" s="189">
        <v>1.1237029552062701</v>
      </c>
      <c r="K440" s="189">
        <v>6.9715858822727702E-3</v>
      </c>
      <c r="L440" s="189">
        <v>1.9576130705503399E-2</v>
      </c>
      <c r="M440" s="189">
        <v>1.50745337587065E-2</v>
      </c>
      <c r="N440" s="189">
        <v>2.0582760519696899E-2</v>
      </c>
      <c r="O440" s="189">
        <v>0.66133160419844605</v>
      </c>
      <c r="P440" s="189">
        <v>1.55130663811199</v>
      </c>
      <c r="Q440" s="189">
        <v>1.1412126786019701E-2</v>
      </c>
      <c r="R440" s="189">
        <v>0.33405573793748999</v>
      </c>
      <c r="S440" s="189">
        <v>1.49943940826538E-2</v>
      </c>
      <c r="T440" s="189">
        <v>6.6881084094575698</v>
      </c>
      <c r="U440" s="189">
        <v>5.7935138301001503</v>
      </c>
      <c r="V440" s="189">
        <v>0.53583647070018703</v>
      </c>
      <c r="W440" s="189"/>
      <c r="X440" s="90"/>
      <c r="Y440" s="188"/>
      <c r="Z440" s="188"/>
      <c r="AA440" s="188"/>
      <c r="AB440" s="188"/>
      <c r="AC440" s="188"/>
      <c r="AD440" s="190"/>
      <c r="AE440" s="189"/>
    </row>
    <row r="441" spans="1:31" ht="21.25" customHeight="1" x14ac:dyDescent="0.15">
      <c r="A441" s="9" t="s">
        <v>686</v>
      </c>
      <c r="B441" s="186" t="s">
        <v>831</v>
      </c>
      <c r="C441" s="187">
        <v>31</v>
      </c>
      <c r="D441" s="186" t="s">
        <v>816</v>
      </c>
      <c r="E441" s="90">
        <v>80.137500000000003</v>
      </c>
      <c r="F441" s="188">
        <v>12.453006001601301</v>
      </c>
      <c r="G441" s="189">
        <v>0.12710709097685699</v>
      </c>
      <c r="H441" s="189">
        <v>0.14670714731017101</v>
      </c>
      <c r="I441" s="189">
        <v>0.273814238287028</v>
      </c>
      <c r="J441" s="189">
        <v>1.3914660612610099</v>
      </c>
      <c r="K441" s="189">
        <v>2.3618625464406698E-3</v>
      </c>
      <c r="L441" s="189">
        <v>5.5114683267033504E-3</v>
      </c>
      <c r="M441" s="189">
        <v>6.9928195478699299E-3</v>
      </c>
      <c r="N441" s="189">
        <v>7.8710939744825893E-3</v>
      </c>
      <c r="O441" s="189">
        <v>0.39808775436487898</v>
      </c>
      <c r="P441" s="189">
        <v>1.0810502156019599</v>
      </c>
      <c r="Q441" s="189">
        <v>2.7855894246141499E-2</v>
      </c>
      <c r="R441" s="189">
        <v>0.24412081355325699</v>
      </c>
      <c r="S441" s="189">
        <v>2.0776709497911001E-2</v>
      </c>
      <c r="T441" s="189">
        <v>0.105652118396834</v>
      </c>
      <c r="U441" s="189">
        <v>0.23890969596474901</v>
      </c>
      <c r="V441" s="189">
        <v>0.30662747290378001</v>
      </c>
      <c r="W441" s="189"/>
      <c r="X441" s="90"/>
      <c r="Y441" s="188"/>
      <c r="Z441" s="188"/>
      <c r="AA441" s="188"/>
      <c r="AB441" s="188"/>
      <c r="AC441" s="188"/>
      <c r="AD441" s="190"/>
      <c r="AE441" s="189"/>
    </row>
    <row r="442" spans="1:31" ht="21.25" customHeight="1" x14ac:dyDescent="0.15">
      <c r="A442" s="9" t="s">
        <v>388</v>
      </c>
      <c r="B442" s="186" t="s">
        <v>836</v>
      </c>
      <c r="C442" s="187">
        <v>24</v>
      </c>
      <c r="D442" s="186" t="s">
        <v>818</v>
      </c>
      <c r="E442" s="90">
        <v>80.727500000000006</v>
      </c>
      <c r="F442" s="188">
        <v>20.0120240859065</v>
      </c>
      <c r="G442" s="189">
        <v>6.1175159043330797E-2</v>
      </c>
      <c r="H442" s="189">
        <v>0.210517940463749</v>
      </c>
      <c r="I442" s="189">
        <v>0.27169309950707998</v>
      </c>
      <c r="J442" s="189">
        <v>1.37754667423469</v>
      </c>
      <c r="K442" s="189">
        <v>3.1097291169031001E-4</v>
      </c>
      <c r="L442" s="189">
        <v>1.98272593823909E-3</v>
      </c>
      <c r="M442" s="189">
        <v>3.5164751400560399E-4</v>
      </c>
      <c r="N442" s="189">
        <v>1.5004889777338801E-3</v>
      </c>
      <c r="O442" s="189">
        <v>1.90362128990146</v>
      </c>
      <c r="P442" s="189">
        <v>1.9416128452132799</v>
      </c>
      <c r="Q442" s="189">
        <v>3.35946253612706E-2</v>
      </c>
      <c r="R442" s="189">
        <v>0.43343496161839901</v>
      </c>
      <c r="S442" s="189">
        <v>9.6142230428125607E-3</v>
      </c>
      <c r="T442" s="189">
        <v>0</v>
      </c>
      <c r="U442" s="189">
        <v>0</v>
      </c>
      <c r="V442" s="189">
        <v>0</v>
      </c>
      <c r="W442" s="189"/>
      <c r="X442" s="90"/>
      <c r="Y442" s="188"/>
      <c r="Z442" s="188"/>
      <c r="AA442" s="188"/>
      <c r="AB442" s="188"/>
      <c r="AC442" s="188"/>
      <c r="AD442" s="190"/>
      <c r="AE442" s="189"/>
    </row>
    <row r="443" spans="1:31" ht="21.25" customHeight="1" x14ac:dyDescent="0.15">
      <c r="A443" s="9" t="s">
        <v>724</v>
      </c>
      <c r="B443" s="186" t="s">
        <v>845</v>
      </c>
      <c r="C443" s="187">
        <v>21</v>
      </c>
      <c r="D443" s="186" t="s">
        <v>817</v>
      </c>
      <c r="E443" s="90">
        <v>62.11</v>
      </c>
      <c r="F443" s="188">
        <v>11.4696262009113</v>
      </c>
      <c r="G443" s="189">
        <v>0.104670113633754</v>
      </c>
      <c r="H443" s="189">
        <v>0.167012084348409</v>
      </c>
      <c r="I443" s="189">
        <v>0.27168219798216298</v>
      </c>
      <c r="J443" s="189">
        <v>1.47076972930771</v>
      </c>
      <c r="K443" s="189">
        <v>2.5266709834552401E-2</v>
      </c>
      <c r="L443" s="189">
        <v>4.3035057703447101E-2</v>
      </c>
      <c r="M443" s="189">
        <v>1.8491845645541901E-3</v>
      </c>
      <c r="N443" s="189">
        <v>3.0789871505984101E-3</v>
      </c>
      <c r="O443" s="189">
        <v>0.28777805056806</v>
      </c>
      <c r="P443" s="189">
        <v>0.71564061303350901</v>
      </c>
      <c r="Q443" s="189">
        <v>-5.6249525530436599E-2</v>
      </c>
      <c r="R443" s="189">
        <v>0.28692502083326998</v>
      </c>
      <c r="S443" s="189">
        <v>1.5206869588645301E-2</v>
      </c>
      <c r="T443" s="189">
        <v>0.129158770771932</v>
      </c>
      <c r="U443" s="189">
        <v>0.37553455930276802</v>
      </c>
      <c r="V443" s="189">
        <v>0.255915351115925</v>
      </c>
      <c r="W443" s="189"/>
      <c r="X443" s="90"/>
      <c r="Y443" s="188"/>
      <c r="Z443" s="188"/>
      <c r="AA443" s="188"/>
      <c r="AB443" s="188"/>
      <c r="AC443" s="188"/>
      <c r="AD443" s="190"/>
      <c r="AE443" s="189"/>
    </row>
    <row r="444" spans="1:31" ht="21.25" customHeight="1" x14ac:dyDescent="0.15">
      <c r="A444" s="9" t="s">
        <v>374</v>
      </c>
      <c r="B444" s="186" t="s">
        <v>859</v>
      </c>
      <c r="C444" s="187">
        <v>25</v>
      </c>
      <c r="D444" s="186" t="s">
        <v>818</v>
      </c>
      <c r="E444" s="90">
        <v>78.045000000000002</v>
      </c>
      <c r="F444" s="188">
        <v>22.4702170433685</v>
      </c>
      <c r="G444" s="189">
        <v>5.3307504198535E-2</v>
      </c>
      <c r="H444" s="189">
        <v>0.21823512449784199</v>
      </c>
      <c r="I444" s="189">
        <v>0.27154262869637702</v>
      </c>
      <c r="J444" s="189">
        <v>1.3934426481254401</v>
      </c>
      <c r="K444" s="189">
        <v>1.4364741125993501E-3</v>
      </c>
      <c r="L444" s="189">
        <v>1.2169702036902E-2</v>
      </c>
      <c r="M444" s="189">
        <v>3.3542488800003702E-4</v>
      </c>
      <c r="N444" s="189">
        <v>1.43540120776956E-3</v>
      </c>
      <c r="O444" s="189">
        <v>2.2008408912094102</v>
      </c>
      <c r="P444" s="189">
        <v>1.5611290068262</v>
      </c>
      <c r="Q444" s="189">
        <v>-0.154807159257459</v>
      </c>
      <c r="R444" s="189">
        <v>0.40622229123946602</v>
      </c>
      <c r="S444" s="189">
        <v>5.6937811825236396E-3</v>
      </c>
      <c r="T444" s="189">
        <v>0</v>
      </c>
      <c r="U444" s="189">
        <v>1.9259705231101799E-3</v>
      </c>
      <c r="V444" s="189">
        <v>0</v>
      </c>
      <c r="W444" s="189"/>
      <c r="X444" s="90"/>
      <c r="Y444" s="188"/>
      <c r="Z444" s="188"/>
      <c r="AA444" s="188"/>
      <c r="AB444" s="188"/>
      <c r="AC444" s="188"/>
      <c r="AD444" s="190"/>
      <c r="AE444" s="189"/>
    </row>
    <row r="445" spans="1:31" ht="21.25" customHeight="1" x14ac:dyDescent="0.15">
      <c r="A445" s="9" t="s">
        <v>478</v>
      </c>
      <c r="B445" s="186" t="s">
        <v>847</v>
      </c>
      <c r="C445" s="187">
        <v>34</v>
      </c>
      <c r="D445" s="186" t="s">
        <v>818</v>
      </c>
      <c r="E445" s="90">
        <v>78.02</v>
      </c>
      <c r="F445" s="188">
        <v>20.523287286737698</v>
      </c>
      <c r="G445" s="189">
        <v>2.6456682453448701E-2</v>
      </c>
      <c r="H445" s="189">
        <v>0.242764231896031</v>
      </c>
      <c r="I445" s="189">
        <v>0.26922091434947998</v>
      </c>
      <c r="J445" s="189">
        <v>0.70945380415428705</v>
      </c>
      <c r="K445" s="189">
        <v>2.0250997130305101E-4</v>
      </c>
      <c r="L445" s="189">
        <v>1.9638204061219202E-3</v>
      </c>
      <c r="M445" s="189">
        <v>2.5969093956172202E-4</v>
      </c>
      <c r="N445" s="189">
        <v>7.8980247664686004E-3</v>
      </c>
      <c r="O445" s="189">
        <v>1.84056313836957</v>
      </c>
      <c r="P445" s="189">
        <v>0.74634851846514805</v>
      </c>
      <c r="Q445" s="189">
        <v>7.2014701621517602E-2</v>
      </c>
      <c r="R445" s="189">
        <v>0.37875851139828598</v>
      </c>
      <c r="S445" s="189">
        <v>3.4191358473484299E-3</v>
      </c>
      <c r="T445" s="189">
        <v>0</v>
      </c>
      <c r="U445" s="189">
        <v>0</v>
      </c>
      <c r="V445" s="189">
        <v>0</v>
      </c>
      <c r="W445" s="189"/>
      <c r="X445" s="90"/>
      <c r="Y445" s="188"/>
      <c r="Z445" s="188"/>
      <c r="AA445" s="188"/>
      <c r="AB445" s="188"/>
      <c r="AC445" s="188"/>
      <c r="AD445" s="190"/>
      <c r="AE445" s="189"/>
    </row>
    <row r="446" spans="1:31" ht="21.25" customHeight="1" x14ac:dyDescent="0.15">
      <c r="A446" s="9" t="s">
        <v>471</v>
      </c>
      <c r="B446" s="186" t="s">
        <v>838</v>
      </c>
      <c r="C446" s="187">
        <v>25</v>
      </c>
      <c r="D446" s="186" t="s">
        <v>818</v>
      </c>
      <c r="E446" s="90">
        <v>72.007499999999993</v>
      </c>
      <c r="F446" s="188">
        <v>19.431215078085899</v>
      </c>
      <c r="G446" s="189">
        <v>3.5448625634316999E-2</v>
      </c>
      <c r="H446" s="189">
        <v>0.23339198294189001</v>
      </c>
      <c r="I446" s="189">
        <v>0.26884060857620701</v>
      </c>
      <c r="J446" s="189">
        <v>1.2213234961933701</v>
      </c>
      <c r="K446" s="189">
        <v>1.50095977578266E-4</v>
      </c>
      <c r="L446" s="189">
        <v>1.39254525864395E-3</v>
      </c>
      <c r="M446" s="189">
        <v>4.7535032271879302E-4</v>
      </c>
      <c r="N446" s="189">
        <v>6.3674566219359104E-3</v>
      </c>
      <c r="O446" s="189">
        <v>1.7500361835079401</v>
      </c>
      <c r="P446" s="189">
        <v>1.24405444405238</v>
      </c>
      <c r="Q446" s="189">
        <v>4.8341589353053299E-2</v>
      </c>
      <c r="R446" s="189">
        <v>0.50210216733505098</v>
      </c>
      <c r="S446" s="189">
        <v>5.8925030201973797E-3</v>
      </c>
      <c r="T446" s="189">
        <v>0</v>
      </c>
      <c r="U446" s="189">
        <v>0</v>
      </c>
      <c r="V446" s="189">
        <v>0</v>
      </c>
      <c r="W446" s="189"/>
      <c r="X446" s="90"/>
      <c r="Y446" s="188"/>
      <c r="Z446" s="188"/>
      <c r="AA446" s="188"/>
      <c r="AB446" s="188"/>
      <c r="AC446" s="188"/>
      <c r="AD446" s="190"/>
      <c r="AE446" s="189"/>
    </row>
    <row r="447" spans="1:31" ht="21.25" customHeight="1" x14ac:dyDescent="0.15">
      <c r="A447" s="9" t="s">
        <v>696</v>
      </c>
      <c r="B447" s="186" t="s">
        <v>833</v>
      </c>
      <c r="C447" s="187">
        <v>31</v>
      </c>
      <c r="D447" s="186" t="s">
        <v>815</v>
      </c>
      <c r="E447" s="90">
        <v>78.767499999999998</v>
      </c>
      <c r="F447" s="188">
        <v>13.136485581686101</v>
      </c>
      <c r="G447" s="189">
        <v>0.10478327187153499</v>
      </c>
      <c r="H447" s="189">
        <v>0.162992647352319</v>
      </c>
      <c r="I447" s="189">
        <v>0.26777591922385402</v>
      </c>
      <c r="J447" s="189">
        <v>1.35844666029789</v>
      </c>
      <c r="K447" s="189">
        <v>1.04667552325512E-2</v>
      </c>
      <c r="L447" s="189">
        <v>2.7033536836378099E-2</v>
      </c>
      <c r="M447" s="189">
        <v>6.7201902352765604E-3</v>
      </c>
      <c r="N447" s="189">
        <v>1.4354066597598299E-2</v>
      </c>
      <c r="O447" s="189">
        <v>0.61578824428462797</v>
      </c>
      <c r="P447" s="189">
        <v>0.59238816741836797</v>
      </c>
      <c r="Q447" s="189">
        <v>-1.97435301323544E-2</v>
      </c>
      <c r="R447" s="189">
        <v>0.167826147038631</v>
      </c>
      <c r="S447" s="189">
        <v>1.7297531049660898E-2</v>
      </c>
      <c r="T447" s="189">
        <v>4.2267394342145899</v>
      </c>
      <c r="U447" s="189">
        <v>4.28182311085276</v>
      </c>
      <c r="V447" s="189">
        <v>0.49676304450097197</v>
      </c>
      <c r="W447" s="189"/>
      <c r="X447" s="90"/>
      <c r="Y447" s="188"/>
      <c r="Z447" s="188"/>
      <c r="AA447" s="188"/>
      <c r="AB447" s="188"/>
      <c r="AC447" s="188"/>
      <c r="AD447" s="190"/>
      <c r="AE447" s="189"/>
    </row>
    <row r="448" spans="1:31" ht="21.25" customHeight="1" x14ac:dyDescent="0.15">
      <c r="A448" s="9" t="s">
        <v>639</v>
      </c>
      <c r="B448" s="186" t="s">
        <v>854</v>
      </c>
      <c r="C448" s="187">
        <v>30</v>
      </c>
      <c r="D448" s="186" t="s">
        <v>817</v>
      </c>
      <c r="E448" s="90">
        <v>78.232500000000002</v>
      </c>
      <c r="F448" s="188">
        <v>12.4850969146562</v>
      </c>
      <c r="G448" s="189">
        <v>0.140997128459216</v>
      </c>
      <c r="H448" s="189">
        <v>0.12669980127114</v>
      </c>
      <c r="I448" s="189">
        <v>0.26769692973035603</v>
      </c>
      <c r="J448" s="189">
        <v>1.51864027349075</v>
      </c>
      <c r="K448" s="189">
        <v>2.04014723593984E-2</v>
      </c>
      <c r="L448" s="189">
        <v>4.1804628645292302E-2</v>
      </c>
      <c r="M448" s="189">
        <v>4.8220275082917801E-4</v>
      </c>
      <c r="N448" s="189">
        <v>5.8135979587788599E-4</v>
      </c>
      <c r="O448" s="189">
        <v>0.43110311563684001</v>
      </c>
      <c r="P448" s="189">
        <v>1.65798328471001</v>
      </c>
      <c r="Q448" s="189">
        <v>-7.5375819926251197E-2</v>
      </c>
      <c r="R448" s="189">
        <v>0.63178334897638</v>
      </c>
      <c r="S448" s="189">
        <v>1.63417466305073E-2</v>
      </c>
      <c r="T448" s="189">
        <v>0.16693778782941601</v>
      </c>
      <c r="U448" s="189">
        <v>0.19250428634300401</v>
      </c>
      <c r="V448" s="189">
        <v>0.46443585719277403</v>
      </c>
      <c r="W448" s="189"/>
      <c r="X448" s="90"/>
      <c r="Y448" s="188"/>
      <c r="Z448" s="188"/>
      <c r="AA448" s="188"/>
      <c r="AB448" s="188"/>
      <c r="AC448" s="188"/>
      <c r="AD448" s="190"/>
      <c r="AE448" s="189"/>
    </row>
    <row r="449" spans="1:31" ht="21.25" customHeight="1" x14ac:dyDescent="0.15">
      <c r="A449" s="9" t="s">
        <v>420</v>
      </c>
      <c r="B449" s="186" t="s">
        <v>839</v>
      </c>
      <c r="C449" s="187">
        <v>29</v>
      </c>
      <c r="D449" s="186" t="s">
        <v>818</v>
      </c>
      <c r="E449" s="90">
        <v>78.650000000000006</v>
      </c>
      <c r="F449" s="188">
        <v>18.519787512074</v>
      </c>
      <c r="G449" s="189">
        <v>6.5148823363189404E-2</v>
      </c>
      <c r="H449" s="189">
        <v>0.201879082414369</v>
      </c>
      <c r="I449" s="189">
        <v>0.26702790577755797</v>
      </c>
      <c r="J449" s="189">
        <v>1.2730796863637901</v>
      </c>
      <c r="K449" s="189">
        <v>7.9753845409769405E-5</v>
      </c>
      <c r="L449" s="189">
        <v>5.1395301417810904E-4</v>
      </c>
      <c r="M449" s="189">
        <v>3.38960784262581E-4</v>
      </c>
      <c r="N449" s="189">
        <v>7.8207360960766605E-3</v>
      </c>
      <c r="O449" s="189">
        <v>1.87064123354945</v>
      </c>
      <c r="P449" s="189">
        <v>1.1074638785887501</v>
      </c>
      <c r="Q449" s="189">
        <v>6.1782552581804099E-3</v>
      </c>
      <c r="R449" s="189">
        <v>0.38214361765566601</v>
      </c>
      <c r="S449" s="189">
        <v>9.65785065091322E-3</v>
      </c>
      <c r="T449" s="189">
        <v>0</v>
      </c>
      <c r="U449" s="189">
        <v>0</v>
      </c>
      <c r="V449" s="189">
        <v>0</v>
      </c>
      <c r="W449" s="189"/>
      <c r="X449" s="90"/>
      <c r="Y449" s="188"/>
      <c r="Z449" s="188"/>
      <c r="AA449" s="188"/>
      <c r="AB449" s="188"/>
      <c r="AC449" s="188"/>
      <c r="AD449" s="190"/>
      <c r="AE449" s="189"/>
    </row>
    <row r="450" spans="1:31" ht="21.25" customHeight="1" x14ac:dyDescent="0.15">
      <c r="A450" s="9" t="s">
        <v>718</v>
      </c>
      <c r="B450" s="186" t="s">
        <v>826</v>
      </c>
      <c r="C450" s="187">
        <v>25</v>
      </c>
      <c r="D450" s="186" t="s">
        <v>817</v>
      </c>
      <c r="E450" s="90">
        <v>69.06</v>
      </c>
      <c r="F450" s="188">
        <v>11.260090060684</v>
      </c>
      <c r="G450" s="189">
        <v>0.105589569132559</v>
      </c>
      <c r="H450" s="189">
        <v>0.16084442645899899</v>
      </c>
      <c r="I450" s="189">
        <v>0.266433995591558</v>
      </c>
      <c r="J450" s="189">
        <v>0.98114778944779701</v>
      </c>
      <c r="K450" s="189">
        <v>1.00468673080282E-3</v>
      </c>
      <c r="L450" s="189">
        <v>1.9112005621651699E-3</v>
      </c>
      <c r="M450" s="189">
        <v>1.7074397920982701E-3</v>
      </c>
      <c r="N450" s="189">
        <v>2.8910706797107802E-3</v>
      </c>
      <c r="O450" s="189">
        <v>0.66533060077829098</v>
      </c>
      <c r="P450" s="189">
        <v>1.0958349282715101</v>
      </c>
      <c r="Q450" s="189">
        <v>7.6028423580047397E-2</v>
      </c>
      <c r="R450" s="189">
        <v>0.349056521939619</v>
      </c>
      <c r="S450" s="189">
        <v>1.6892438304682698E-2</v>
      </c>
      <c r="T450" s="189">
        <v>1.7856690569565801</v>
      </c>
      <c r="U450" s="189">
        <v>2.1820074656824602</v>
      </c>
      <c r="V450" s="189">
        <v>0.45005409255713902</v>
      </c>
      <c r="W450" s="189"/>
      <c r="X450" s="90"/>
      <c r="Y450" s="188"/>
      <c r="Z450" s="188"/>
      <c r="AA450" s="188"/>
      <c r="AB450" s="188"/>
      <c r="AC450" s="188"/>
      <c r="AD450" s="190"/>
      <c r="AE450" s="189"/>
    </row>
    <row r="451" spans="1:31" ht="21.25" customHeight="1" x14ac:dyDescent="0.15">
      <c r="A451" s="9" t="s">
        <v>729</v>
      </c>
      <c r="B451" s="186" t="s">
        <v>824</v>
      </c>
      <c r="C451" s="187">
        <v>23</v>
      </c>
      <c r="D451" s="186" t="s">
        <v>817</v>
      </c>
      <c r="E451" s="90">
        <v>64.635000000000005</v>
      </c>
      <c r="F451" s="188">
        <v>12.1064269137834</v>
      </c>
      <c r="G451" s="189">
        <v>0.118132442274515</v>
      </c>
      <c r="H451" s="189">
        <v>0.14743523394598801</v>
      </c>
      <c r="I451" s="189">
        <v>0.26556767622050298</v>
      </c>
      <c r="J451" s="189">
        <v>1.2859015314656399</v>
      </c>
      <c r="K451" s="189">
        <v>4.9361941265941098E-3</v>
      </c>
      <c r="L451" s="189">
        <v>1.00008811981654E-2</v>
      </c>
      <c r="M451" s="189">
        <v>0</v>
      </c>
      <c r="N451" s="189">
        <v>0</v>
      </c>
      <c r="O451" s="189">
        <v>0.35773119422770999</v>
      </c>
      <c r="P451" s="189">
        <v>2.0284343244662</v>
      </c>
      <c r="Q451" s="189">
        <v>4.66453775447623E-2</v>
      </c>
      <c r="R451" s="189">
        <v>0.32688937606477703</v>
      </c>
      <c r="S451" s="189">
        <v>1.9075454723350999E-2</v>
      </c>
      <c r="T451" s="189">
        <v>0.15152975658102899</v>
      </c>
      <c r="U451" s="189">
        <v>0.21064531247259499</v>
      </c>
      <c r="V451" s="189">
        <v>0.41838814851884099</v>
      </c>
      <c r="W451" s="189"/>
      <c r="X451" s="90"/>
      <c r="Y451" s="188"/>
      <c r="Z451" s="188"/>
      <c r="AA451" s="188"/>
      <c r="AB451" s="188"/>
      <c r="AC451" s="188"/>
      <c r="AD451" s="190"/>
      <c r="AE451" s="189"/>
    </row>
    <row r="452" spans="1:31" ht="21.25" customHeight="1" x14ac:dyDescent="0.15">
      <c r="A452" s="9" t="s">
        <v>746</v>
      </c>
      <c r="B452" s="186" t="s">
        <v>848</v>
      </c>
      <c r="C452" s="187">
        <v>30</v>
      </c>
      <c r="D452" s="186" t="s">
        <v>815</v>
      </c>
      <c r="E452" s="90">
        <v>75.715000000000003</v>
      </c>
      <c r="F452" s="188">
        <v>12.446691736631401</v>
      </c>
      <c r="G452" s="189">
        <v>8.1810440249227095E-2</v>
      </c>
      <c r="H452" s="189">
        <v>0.18368688927600599</v>
      </c>
      <c r="I452" s="189">
        <v>0.26549732952523297</v>
      </c>
      <c r="J452" s="189">
        <v>0.92207102077442704</v>
      </c>
      <c r="K452" s="189">
        <v>1.18943200590061E-2</v>
      </c>
      <c r="L452" s="189">
        <v>2.6338363694305599E-2</v>
      </c>
      <c r="M452" s="189">
        <v>6.7246443624954001E-3</v>
      </c>
      <c r="N452" s="189">
        <v>1.96612593928297E-2</v>
      </c>
      <c r="O452" s="189">
        <v>0.58534079138772099</v>
      </c>
      <c r="P452" s="189">
        <v>1.15408231622496</v>
      </c>
      <c r="Q452" s="189">
        <v>-6.18476195268578E-2</v>
      </c>
      <c r="R452" s="189">
        <v>0.36354297639223099</v>
      </c>
      <c r="S452" s="189">
        <v>9.8494937799061804E-3</v>
      </c>
      <c r="T452" s="189">
        <v>2.5734623247605901</v>
      </c>
      <c r="U452" s="189">
        <v>3.5395631261317102</v>
      </c>
      <c r="V452" s="189">
        <v>0.42098014239167703</v>
      </c>
      <c r="W452" s="189"/>
      <c r="X452" s="90"/>
      <c r="Y452" s="188"/>
      <c r="Z452" s="188"/>
      <c r="AA452" s="188"/>
      <c r="AB452" s="188"/>
      <c r="AC452" s="188"/>
      <c r="AD452" s="190"/>
      <c r="AE452" s="189"/>
    </row>
    <row r="453" spans="1:31" ht="21.25" customHeight="1" x14ac:dyDescent="0.15">
      <c r="A453" s="9" t="s">
        <v>452</v>
      </c>
      <c r="B453" s="186" t="s">
        <v>830</v>
      </c>
      <c r="C453" s="187">
        <v>26</v>
      </c>
      <c r="D453" s="186" t="s">
        <v>818</v>
      </c>
      <c r="E453" s="90">
        <v>75.402500000000003</v>
      </c>
      <c r="F453" s="188">
        <v>18.353776439912899</v>
      </c>
      <c r="G453" s="189">
        <v>4.9710913335276899E-2</v>
      </c>
      <c r="H453" s="189">
        <v>0.21516217087425801</v>
      </c>
      <c r="I453" s="189">
        <v>0.26487308420953498</v>
      </c>
      <c r="J453" s="189">
        <v>1.3200070380665301</v>
      </c>
      <c r="K453" s="189">
        <v>2.5495821835003001E-4</v>
      </c>
      <c r="L453" s="189">
        <v>2.1582821890090901E-3</v>
      </c>
      <c r="M453" s="189">
        <v>3.0718694424845301E-4</v>
      </c>
      <c r="N453" s="189">
        <v>1.5169775994898101E-3</v>
      </c>
      <c r="O453" s="189">
        <v>1.6497351924020001</v>
      </c>
      <c r="P453" s="189">
        <v>1.144943145599</v>
      </c>
      <c r="Q453" s="189">
        <v>2.9883698360437399E-2</v>
      </c>
      <c r="R453" s="189">
        <v>0.47622314066009003</v>
      </c>
      <c r="S453" s="189">
        <v>7.0387084050776401E-3</v>
      </c>
      <c r="T453" s="189">
        <v>0</v>
      </c>
      <c r="U453" s="189">
        <v>0</v>
      </c>
      <c r="V453" s="189">
        <v>0</v>
      </c>
      <c r="W453" s="189"/>
      <c r="X453" s="90"/>
      <c r="Y453" s="188"/>
      <c r="Z453" s="188"/>
      <c r="AA453" s="188"/>
      <c r="AB453" s="188"/>
      <c r="AC453" s="188"/>
      <c r="AD453" s="190"/>
      <c r="AE453" s="189"/>
    </row>
    <row r="454" spans="1:31" ht="21.25" customHeight="1" x14ac:dyDescent="0.15">
      <c r="A454" s="9" t="s">
        <v>489</v>
      </c>
      <c r="B454" s="186" t="s">
        <v>848</v>
      </c>
      <c r="C454" s="187">
        <v>33</v>
      </c>
      <c r="D454" s="186" t="s">
        <v>818</v>
      </c>
      <c r="E454" s="90">
        <v>80.78</v>
      </c>
      <c r="F454" s="188">
        <v>20.5916946877764</v>
      </c>
      <c r="G454" s="189">
        <v>3.2536144632291403E-2</v>
      </c>
      <c r="H454" s="189">
        <v>0.232126089266181</v>
      </c>
      <c r="I454" s="189">
        <v>0.26466223389847199</v>
      </c>
      <c r="J454" s="189">
        <v>0.89848428828803195</v>
      </c>
      <c r="K454" s="189">
        <v>9.6171260471520801E-5</v>
      </c>
      <c r="L454" s="189">
        <v>2.0515809611422499E-3</v>
      </c>
      <c r="M454" s="189">
        <v>6.5299084162489E-3</v>
      </c>
      <c r="N454" s="189">
        <v>1.6133354306184199E-2</v>
      </c>
      <c r="O454" s="189">
        <v>1.4490490159482601</v>
      </c>
      <c r="P454" s="189">
        <v>0.72261494427249895</v>
      </c>
      <c r="Q454" s="189">
        <v>-5.96085527143305E-2</v>
      </c>
      <c r="R454" s="189">
        <v>0.27633467352382002</v>
      </c>
      <c r="S454" s="189">
        <v>3.9171596339247104E-3</v>
      </c>
      <c r="T454" s="189">
        <v>0</v>
      </c>
      <c r="U454" s="189">
        <v>0</v>
      </c>
      <c r="V454" s="189">
        <v>0</v>
      </c>
      <c r="W454" s="189"/>
      <c r="X454" s="90"/>
      <c r="Y454" s="188"/>
      <c r="Z454" s="188"/>
      <c r="AA454" s="188"/>
      <c r="AB454" s="188"/>
      <c r="AC454" s="188"/>
      <c r="AD454" s="190"/>
      <c r="AE454" s="189"/>
    </row>
    <row r="455" spans="1:31" ht="21.25" customHeight="1" x14ac:dyDescent="0.15">
      <c r="A455" s="9" t="s">
        <v>715</v>
      </c>
      <c r="B455" s="186" t="s">
        <v>855</v>
      </c>
      <c r="C455" s="187">
        <v>23</v>
      </c>
      <c r="D455" s="186" t="s">
        <v>816</v>
      </c>
      <c r="E455" s="90">
        <v>76.58</v>
      </c>
      <c r="F455" s="188">
        <v>11.3612049259015</v>
      </c>
      <c r="G455" s="189">
        <v>0.134809456729097</v>
      </c>
      <c r="H455" s="189">
        <v>0.12904397125560499</v>
      </c>
      <c r="I455" s="189">
        <v>0.26385342798470202</v>
      </c>
      <c r="J455" s="189">
        <v>1.31369894533378</v>
      </c>
      <c r="K455" s="189">
        <v>9.2031520313216896E-4</v>
      </c>
      <c r="L455" s="189">
        <v>2.14295314095372E-3</v>
      </c>
      <c r="M455" s="189">
        <v>2.2501512539619801E-3</v>
      </c>
      <c r="N455" s="189">
        <v>3.8384750957281902E-3</v>
      </c>
      <c r="O455" s="189">
        <v>0.37389713863127799</v>
      </c>
      <c r="P455" s="189">
        <v>2.4623256570758199</v>
      </c>
      <c r="Q455" s="189">
        <v>-1.43204790229683E-2</v>
      </c>
      <c r="R455" s="189">
        <v>0.32220126335001498</v>
      </c>
      <c r="S455" s="189">
        <v>2.0470502013066001E-2</v>
      </c>
      <c r="T455" s="189">
        <v>0.51110899191542503</v>
      </c>
      <c r="U455" s="189">
        <v>0.57343935678316105</v>
      </c>
      <c r="V455" s="189">
        <v>0.47126436781609199</v>
      </c>
      <c r="W455" s="189"/>
      <c r="X455" s="90"/>
      <c r="Y455" s="188"/>
      <c r="Z455" s="188"/>
      <c r="AA455" s="188"/>
      <c r="AB455" s="188"/>
      <c r="AC455" s="188"/>
      <c r="AD455" s="190"/>
      <c r="AE455" s="189"/>
    </row>
    <row r="456" spans="1:31" ht="21.25" customHeight="1" x14ac:dyDescent="0.15">
      <c r="A456" s="9" t="s">
        <v>585</v>
      </c>
      <c r="B456" s="186" t="s">
        <v>837</v>
      </c>
      <c r="C456" s="187">
        <v>24</v>
      </c>
      <c r="D456" s="186" t="s">
        <v>818</v>
      </c>
      <c r="E456" s="90">
        <v>69.222499999999997</v>
      </c>
      <c r="F456" s="188">
        <v>14.975747437196899</v>
      </c>
      <c r="G456" s="189">
        <v>5.3486754244285402E-2</v>
      </c>
      <c r="H456" s="189">
        <v>0.209827616673503</v>
      </c>
      <c r="I456" s="189">
        <v>0.26331437091778798</v>
      </c>
      <c r="J456" s="189">
        <v>1.2458924570146499</v>
      </c>
      <c r="K456" s="189">
        <v>2.2603680369793502E-3</v>
      </c>
      <c r="L456" s="189">
        <v>1.06555423963523E-2</v>
      </c>
      <c r="M456" s="189">
        <v>6.31496948092672E-6</v>
      </c>
      <c r="N456" s="189">
        <v>3.0905756961216401E-5</v>
      </c>
      <c r="O456" s="189">
        <v>0.92816374791390199</v>
      </c>
      <c r="P456" s="189">
        <v>0.95255225657934595</v>
      </c>
      <c r="Q456" s="189">
        <v>6.19187611082068E-2</v>
      </c>
      <c r="R456" s="189">
        <v>0.28848288587194298</v>
      </c>
      <c r="S456" s="189">
        <v>8.5535329428868493E-3</v>
      </c>
      <c r="T456" s="189">
        <v>0</v>
      </c>
      <c r="U456" s="189">
        <v>0</v>
      </c>
      <c r="V456" s="189">
        <v>0</v>
      </c>
      <c r="W456" s="189"/>
      <c r="X456" s="90"/>
      <c r="Y456" s="188"/>
      <c r="Z456" s="188"/>
      <c r="AA456" s="188"/>
      <c r="AB456" s="188"/>
      <c r="AC456" s="188"/>
      <c r="AD456" s="190"/>
      <c r="AE456" s="189"/>
    </row>
    <row r="457" spans="1:31" ht="21.25" customHeight="1" x14ac:dyDescent="0.15">
      <c r="A457" s="9" t="s">
        <v>550</v>
      </c>
      <c r="B457" s="186" t="s">
        <v>851</v>
      </c>
      <c r="C457" s="187">
        <v>25</v>
      </c>
      <c r="D457" s="186" t="s">
        <v>818</v>
      </c>
      <c r="E457" s="90">
        <v>71.694999999999993</v>
      </c>
      <c r="F457" s="188">
        <v>17.4938172103403</v>
      </c>
      <c r="G457" s="189">
        <v>3.8172080336589698E-2</v>
      </c>
      <c r="H457" s="189">
        <v>0.223494460599824</v>
      </c>
      <c r="I457" s="189">
        <v>0.261666540936414</v>
      </c>
      <c r="J457" s="189">
        <v>1.02426691457423</v>
      </c>
      <c r="K457" s="189">
        <v>1.9285224182749999E-3</v>
      </c>
      <c r="L457" s="189">
        <v>2.7224445173769599E-2</v>
      </c>
      <c r="M457" s="189">
        <v>2.6787769130071499E-4</v>
      </c>
      <c r="N457" s="189">
        <v>1.31279850800604E-3</v>
      </c>
      <c r="O457" s="189">
        <v>1.3002620280572299</v>
      </c>
      <c r="P457" s="189">
        <v>1.01444916548182</v>
      </c>
      <c r="Q457" s="189">
        <v>2.5948543857940501E-2</v>
      </c>
      <c r="R457" s="189">
        <v>0.39833974488500301</v>
      </c>
      <c r="S457" s="189">
        <v>5.5856973391974901E-3</v>
      </c>
      <c r="T457" s="189">
        <v>0</v>
      </c>
      <c r="U457" s="189">
        <v>0</v>
      </c>
      <c r="V457" s="189">
        <v>0</v>
      </c>
      <c r="W457" s="189"/>
      <c r="X457" s="90"/>
      <c r="Y457" s="188"/>
      <c r="Z457" s="188"/>
      <c r="AA457" s="188"/>
      <c r="AB457" s="188"/>
      <c r="AC457" s="188"/>
      <c r="AD457" s="190"/>
      <c r="AE457" s="189"/>
    </row>
    <row r="458" spans="1:31" ht="21.25" customHeight="1" x14ac:dyDescent="0.15">
      <c r="A458" s="9" t="s">
        <v>521</v>
      </c>
      <c r="B458" s="186" t="s">
        <v>849</v>
      </c>
      <c r="C458" s="187">
        <v>28</v>
      </c>
      <c r="D458" s="186" t="s">
        <v>818</v>
      </c>
      <c r="E458" s="90">
        <v>73.105000000000004</v>
      </c>
      <c r="F458" s="188">
        <v>17.170871451415898</v>
      </c>
      <c r="G458" s="189">
        <v>8.5486212882281906E-2</v>
      </c>
      <c r="H458" s="189">
        <v>0.17421995743513199</v>
      </c>
      <c r="I458" s="189">
        <v>0.259706170317414</v>
      </c>
      <c r="J458" s="189">
        <v>1.3412071617252801</v>
      </c>
      <c r="K458" s="189">
        <v>3.1463973968847098E-4</v>
      </c>
      <c r="L458" s="189">
        <v>2.0094206265957402E-3</v>
      </c>
      <c r="M458" s="189">
        <v>5.7477697240828499E-3</v>
      </c>
      <c r="N458" s="189">
        <v>1.3104451196828E-2</v>
      </c>
      <c r="O458" s="189">
        <v>1.15704685227774</v>
      </c>
      <c r="P458" s="189">
        <v>1.1078940844001</v>
      </c>
      <c r="Q458" s="189">
        <v>1.9145503572970901E-2</v>
      </c>
      <c r="R458" s="189">
        <v>0.447011259601168</v>
      </c>
      <c r="S458" s="189">
        <v>1.48135285082748E-2</v>
      </c>
      <c r="T458" s="189">
        <v>0</v>
      </c>
      <c r="U458" s="189">
        <v>0</v>
      </c>
      <c r="V458" s="189">
        <v>0</v>
      </c>
      <c r="W458" s="189"/>
      <c r="X458" s="90"/>
      <c r="Y458" s="188"/>
      <c r="Z458" s="188"/>
      <c r="AA458" s="188"/>
      <c r="AB458" s="188"/>
      <c r="AC458" s="188"/>
      <c r="AD458" s="190"/>
      <c r="AE458" s="189"/>
    </row>
    <row r="459" spans="1:31" ht="21.25" customHeight="1" x14ac:dyDescent="0.15">
      <c r="A459" s="9" t="s">
        <v>496</v>
      </c>
      <c r="B459" s="186" t="s">
        <v>825</v>
      </c>
      <c r="C459" s="187">
        <v>25</v>
      </c>
      <c r="D459" s="186" t="s">
        <v>818</v>
      </c>
      <c r="E459" s="90">
        <v>76.965000000000003</v>
      </c>
      <c r="F459" s="188">
        <v>16.687507264226401</v>
      </c>
      <c r="G459" s="189">
        <v>3.5951776190542802E-2</v>
      </c>
      <c r="H459" s="189">
        <v>0.221821333391575</v>
      </c>
      <c r="I459" s="189">
        <v>0.25777310958211802</v>
      </c>
      <c r="J459" s="189">
        <v>1.0944951977409301</v>
      </c>
      <c r="K459" s="189">
        <v>4.6301610147386898E-4</v>
      </c>
      <c r="L459" s="189">
        <v>8.0517508659396896E-3</v>
      </c>
      <c r="M459" s="189">
        <v>1.6041824851195701E-4</v>
      </c>
      <c r="N459" s="189">
        <v>3.70855963566277E-3</v>
      </c>
      <c r="O459" s="189">
        <v>1.3992936542947201</v>
      </c>
      <c r="P459" s="189">
        <v>0.82844445451695503</v>
      </c>
      <c r="Q459" s="189">
        <v>3.0537640935331101E-4</v>
      </c>
      <c r="R459" s="189">
        <v>0.43700330848617402</v>
      </c>
      <c r="S459" s="189">
        <v>5.3715784158617202E-3</v>
      </c>
      <c r="T459" s="189">
        <v>0</v>
      </c>
      <c r="U459" s="189">
        <v>0</v>
      </c>
      <c r="V459" s="189">
        <v>0</v>
      </c>
      <c r="W459" s="189"/>
      <c r="X459" s="90"/>
      <c r="Y459" s="188"/>
      <c r="Z459" s="188"/>
      <c r="AA459" s="188"/>
      <c r="AB459" s="188"/>
      <c r="AC459" s="188"/>
      <c r="AD459" s="190"/>
      <c r="AE459" s="189"/>
    </row>
    <row r="460" spans="1:31" ht="21.25" customHeight="1" x14ac:dyDescent="0.15">
      <c r="A460" s="9" t="s">
        <v>475</v>
      </c>
      <c r="B460" s="186" t="s">
        <v>827</v>
      </c>
      <c r="C460" s="187">
        <v>27</v>
      </c>
      <c r="D460" s="186" t="s">
        <v>818</v>
      </c>
      <c r="E460" s="90">
        <v>75.372500000000002</v>
      </c>
      <c r="F460" s="188">
        <v>20.800590530898798</v>
      </c>
      <c r="G460" s="189">
        <v>3.7581728475904401E-2</v>
      </c>
      <c r="H460" s="189">
        <v>0.218388186055756</v>
      </c>
      <c r="I460" s="189">
        <v>0.25596991453166001</v>
      </c>
      <c r="J460" s="189">
        <v>1.1302199491496101</v>
      </c>
      <c r="K460" s="189">
        <v>2.6447594787639501E-4</v>
      </c>
      <c r="L460" s="189">
        <v>1.7097154576851601E-3</v>
      </c>
      <c r="M460" s="189">
        <v>3.7490715677163599E-4</v>
      </c>
      <c r="N460" s="189">
        <v>5.1496735252571499E-3</v>
      </c>
      <c r="O460" s="189">
        <v>1.6677315961043699</v>
      </c>
      <c r="P460" s="189">
        <v>2.70239199585034</v>
      </c>
      <c r="Q460" s="189">
        <v>7.3521159398059104E-3</v>
      </c>
      <c r="R460" s="189">
        <v>0.69950684609081604</v>
      </c>
      <c r="S460" s="189">
        <v>5.9214380954799003E-3</v>
      </c>
      <c r="T460" s="189">
        <v>0</v>
      </c>
      <c r="U460" s="189">
        <v>0</v>
      </c>
      <c r="V460" s="189">
        <v>0</v>
      </c>
      <c r="W460" s="189"/>
      <c r="X460" s="90"/>
      <c r="Y460" s="188"/>
      <c r="Z460" s="188"/>
      <c r="AA460" s="188"/>
      <c r="AB460" s="188"/>
      <c r="AC460" s="188"/>
      <c r="AD460" s="190"/>
      <c r="AE460" s="189"/>
    </row>
    <row r="461" spans="1:31" ht="21.25" customHeight="1" x14ac:dyDescent="0.15">
      <c r="A461" s="9" t="s">
        <v>666</v>
      </c>
      <c r="B461" s="186" t="s">
        <v>839</v>
      </c>
      <c r="C461" s="187">
        <v>35</v>
      </c>
      <c r="D461" s="186" t="s">
        <v>815</v>
      </c>
      <c r="E461" s="90">
        <v>81.305000000000007</v>
      </c>
      <c r="F461" s="188">
        <v>14.757865903903999</v>
      </c>
      <c r="G461" s="189">
        <v>0.10920548015185</v>
      </c>
      <c r="H461" s="189">
        <v>0.14635608417875501</v>
      </c>
      <c r="I461" s="189">
        <v>0.25556156433060501</v>
      </c>
      <c r="J461" s="189">
        <v>1.5998049694991601</v>
      </c>
      <c r="K461" s="189">
        <v>9.8747744935394205E-3</v>
      </c>
      <c r="L461" s="189">
        <v>1.67156853854179E-2</v>
      </c>
      <c r="M461" s="189">
        <v>9.4253833826285806E-3</v>
      </c>
      <c r="N461" s="189">
        <v>1.6336432691193802E-2</v>
      </c>
      <c r="O461" s="189">
        <v>0.62111999155502895</v>
      </c>
      <c r="P461" s="189">
        <v>0.84297805506722301</v>
      </c>
      <c r="Q461" s="189">
        <v>-6.4372239013912296E-3</v>
      </c>
      <c r="R461" s="189">
        <v>0.44755334235830502</v>
      </c>
      <c r="S461" s="189">
        <v>1.61889373149256E-2</v>
      </c>
      <c r="T461" s="189">
        <v>5.7753226961969801</v>
      </c>
      <c r="U461" s="189">
        <v>5.3086337372852004</v>
      </c>
      <c r="V461" s="189">
        <v>0.521052453684409</v>
      </c>
      <c r="W461" s="189"/>
      <c r="X461" s="90"/>
      <c r="Y461" s="188"/>
      <c r="Z461" s="188"/>
      <c r="AA461" s="188"/>
      <c r="AB461" s="188"/>
      <c r="AC461" s="188"/>
      <c r="AD461" s="190"/>
      <c r="AE461" s="189"/>
    </row>
    <row r="462" spans="1:31" ht="21.25" customHeight="1" x14ac:dyDescent="0.15">
      <c r="A462" s="9" t="s">
        <v>703</v>
      </c>
      <c r="B462" s="186" t="s">
        <v>849</v>
      </c>
      <c r="C462" s="187">
        <v>32</v>
      </c>
      <c r="D462" s="186" t="s">
        <v>817</v>
      </c>
      <c r="E462" s="90">
        <v>80.157499999999999</v>
      </c>
      <c r="F462" s="188">
        <v>12.704051841083199</v>
      </c>
      <c r="G462" s="189">
        <v>8.5672444194041297E-2</v>
      </c>
      <c r="H462" s="189">
        <v>0.16949975148003801</v>
      </c>
      <c r="I462" s="189">
        <v>0.25517219567407901</v>
      </c>
      <c r="J462" s="189">
        <v>1.00388786149466</v>
      </c>
      <c r="K462" s="189">
        <v>6.7981709862665295E-4</v>
      </c>
      <c r="L462" s="189">
        <v>1.62013968066264E-3</v>
      </c>
      <c r="M462" s="189">
        <v>1.0132259168250501E-3</v>
      </c>
      <c r="N462" s="189">
        <v>1.1522677451005801E-2</v>
      </c>
      <c r="O462" s="189">
        <v>0.38451103755034999</v>
      </c>
      <c r="P462" s="189">
        <v>1.1238254251547499</v>
      </c>
      <c r="Q462" s="189">
        <v>7.3395915694890096E-2</v>
      </c>
      <c r="R462" s="189">
        <v>0.19297813920462001</v>
      </c>
      <c r="S462" s="189">
        <v>1.48457997102951E-2</v>
      </c>
      <c r="T462" s="189">
        <v>0.101682590201016</v>
      </c>
      <c r="U462" s="189">
        <v>0.14217085599262999</v>
      </c>
      <c r="V462" s="189">
        <v>0.416982379327413</v>
      </c>
      <c r="W462" s="189"/>
      <c r="X462" s="90"/>
      <c r="Y462" s="188"/>
      <c r="Z462" s="188"/>
      <c r="AA462" s="188"/>
      <c r="AB462" s="188"/>
      <c r="AC462" s="188"/>
      <c r="AD462" s="190"/>
      <c r="AE462" s="189"/>
    </row>
    <row r="463" spans="1:31" ht="21.25" customHeight="1" x14ac:dyDescent="0.15">
      <c r="A463" s="9" t="s">
        <v>743</v>
      </c>
      <c r="B463" s="186" t="s">
        <v>826</v>
      </c>
      <c r="C463" s="187">
        <v>29</v>
      </c>
      <c r="D463" s="186" t="s">
        <v>815</v>
      </c>
      <c r="E463" s="90">
        <v>81.319999999999993</v>
      </c>
      <c r="F463" s="188">
        <v>13.413522192339901</v>
      </c>
      <c r="G463" s="189">
        <v>9.1169827955890501E-2</v>
      </c>
      <c r="H463" s="189">
        <v>0.16374107939944199</v>
      </c>
      <c r="I463" s="189">
        <v>0.25491090735533301</v>
      </c>
      <c r="J463" s="189">
        <v>1.05842896275507</v>
      </c>
      <c r="K463" s="189">
        <v>7.7089917421520196E-4</v>
      </c>
      <c r="L463" s="189">
        <v>1.8429292535242501E-3</v>
      </c>
      <c r="M463" s="189">
        <v>4.4267182917488296E-3</v>
      </c>
      <c r="N463" s="189">
        <v>1.53358645739483E-2</v>
      </c>
      <c r="O463" s="189">
        <v>0.37723180448640498</v>
      </c>
      <c r="P463" s="189">
        <v>1.03074195170894</v>
      </c>
      <c r="Q463" s="189">
        <v>4.2736479200892102E-2</v>
      </c>
      <c r="R463" s="189">
        <v>0.21358935573423399</v>
      </c>
      <c r="S463" s="189">
        <v>1.45855381989482E-2</v>
      </c>
      <c r="T463" s="189">
        <v>6.1743378369274904</v>
      </c>
      <c r="U463" s="189">
        <v>5.7839369604569404</v>
      </c>
      <c r="V463" s="189">
        <v>0.51632346149780495</v>
      </c>
      <c r="W463" s="189"/>
      <c r="X463" s="90"/>
      <c r="Y463" s="188"/>
      <c r="Z463" s="188"/>
      <c r="AA463" s="188"/>
      <c r="AB463" s="188"/>
      <c r="AC463" s="188"/>
      <c r="AD463" s="190"/>
      <c r="AE463" s="189"/>
    </row>
    <row r="464" spans="1:31" ht="21.25" customHeight="1" x14ac:dyDescent="0.15">
      <c r="A464" s="9" t="s">
        <v>591</v>
      </c>
      <c r="B464" s="186" t="s">
        <v>852</v>
      </c>
      <c r="C464" s="187">
        <v>20</v>
      </c>
      <c r="D464" s="186" t="s">
        <v>818</v>
      </c>
      <c r="E464" s="90">
        <v>65.844999999999999</v>
      </c>
      <c r="F464" s="188">
        <v>16.657134836348199</v>
      </c>
      <c r="G464" s="189">
        <v>3.8689885896142598E-2</v>
      </c>
      <c r="H464" s="189">
        <v>0.215827045412017</v>
      </c>
      <c r="I464" s="189">
        <v>0.25451693130816</v>
      </c>
      <c r="J464" s="189">
        <v>1.06148169982375</v>
      </c>
      <c r="K464" s="189">
        <v>8.0657303828351906E-5</v>
      </c>
      <c r="L464" s="189">
        <v>4.9752639120082703E-4</v>
      </c>
      <c r="M464" s="189">
        <v>1.27956928461203E-4</v>
      </c>
      <c r="N464" s="189">
        <v>6.1004611432810096E-4</v>
      </c>
      <c r="O464" s="189">
        <v>1.2790925706875</v>
      </c>
      <c r="P464" s="189">
        <v>1.0183057382492999</v>
      </c>
      <c r="Q464" s="189">
        <v>-9.8263922230608897E-2</v>
      </c>
      <c r="R464" s="189">
        <v>0.48442682384197</v>
      </c>
      <c r="S464" s="189">
        <v>4.2784958498086403E-3</v>
      </c>
      <c r="T464" s="189">
        <v>0</v>
      </c>
      <c r="U464" s="189">
        <v>0</v>
      </c>
      <c r="V464" s="189">
        <v>0</v>
      </c>
      <c r="W464" s="189"/>
      <c r="X464" s="90"/>
      <c r="Y464" s="188"/>
      <c r="Z464" s="188"/>
      <c r="AA464" s="188"/>
      <c r="AB464" s="188"/>
      <c r="AC464" s="188"/>
      <c r="AD464" s="190"/>
      <c r="AE464" s="189"/>
    </row>
    <row r="465" spans="1:31" ht="21.25" customHeight="1" x14ac:dyDescent="0.15">
      <c r="A465" s="9" t="s">
        <v>693</v>
      </c>
      <c r="B465" s="186" t="s">
        <v>858</v>
      </c>
      <c r="C465" s="187">
        <v>25</v>
      </c>
      <c r="D465" s="186" t="s">
        <v>817</v>
      </c>
      <c r="E465" s="90">
        <v>71.094999999999999</v>
      </c>
      <c r="F465" s="188">
        <v>11.5884562272366</v>
      </c>
      <c r="G465" s="189">
        <v>0.133173267032582</v>
      </c>
      <c r="H465" s="189">
        <v>0.121214961660985</v>
      </c>
      <c r="I465" s="189">
        <v>0.25438822869356698</v>
      </c>
      <c r="J465" s="189">
        <v>1.18111987958413</v>
      </c>
      <c r="K465" s="189">
        <v>1.5180323839221199E-3</v>
      </c>
      <c r="L465" s="189">
        <v>3.53018254023061E-3</v>
      </c>
      <c r="M465" s="189">
        <v>2.3271527996205701E-2</v>
      </c>
      <c r="N465" s="189">
        <v>2.60398882066422E-2</v>
      </c>
      <c r="O465" s="189">
        <v>0.72225900731989101</v>
      </c>
      <c r="P465" s="189">
        <v>1.03095202908317</v>
      </c>
      <c r="Q465" s="189">
        <v>-9.97435463362049E-2</v>
      </c>
      <c r="R465" s="189">
        <v>0.23720501123535401</v>
      </c>
      <c r="S465" s="189">
        <v>1.55226159881369E-2</v>
      </c>
      <c r="T465" s="189">
        <v>0.182349048776145</v>
      </c>
      <c r="U465" s="189">
        <v>0.29198503937825099</v>
      </c>
      <c r="V465" s="189">
        <v>0.38443167659666599</v>
      </c>
      <c r="W465" s="189"/>
      <c r="X465" s="90"/>
      <c r="Y465" s="188"/>
      <c r="Z465" s="188"/>
      <c r="AA465" s="188"/>
      <c r="AB465" s="188"/>
      <c r="AC465" s="188"/>
      <c r="AD465" s="190"/>
      <c r="AE465" s="189"/>
    </row>
    <row r="466" spans="1:31" ht="21.25" customHeight="1" x14ac:dyDescent="0.15">
      <c r="A466" s="9" t="s">
        <v>697</v>
      </c>
      <c r="B466" s="186" t="s">
        <v>830</v>
      </c>
      <c r="C466" s="187">
        <v>29</v>
      </c>
      <c r="D466" s="186" t="s">
        <v>817</v>
      </c>
      <c r="E466" s="90">
        <v>69.924999999999997</v>
      </c>
      <c r="F466" s="188">
        <v>12.1916847964303</v>
      </c>
      <c r="G466" s="189">
        <v>0.130086169038126</v>
      </c>
      <c r="H466" s="189">
        <v>0.124021653945366</v>
      </c>
      <c r="I466" s="189">
        <v>0.25410782298349199</v>
      </c>
      <c r="J466" s="189">
        <v>1.2456171975258301</v>
      </c>
      <c r="K466" s="189">
        <v>9.0524333215989195E-4</v>
      </c>
      <c r="L466" s="189">
        <v>2.3529507467830802E-3</v>
      </c>
      <c r="M466" s="189">
        <v>4.5148575749532297E-3</v>
      </c>
      <c r="N466" s="189">
        <v>1.0329880689406899E-2</v>
      </c>
      <c r="O466" s="189">
        <v>0.70535469748727797</v>
      </c>
      <c r="P466" s="189">
        <v>1.95997599562257</v>
      </c>
      <c r="Q466" s="189">
        <v>2.15967222341924E-2</v>
      </c>
      <c r="R466" s="189">
        <v>0.80831454829650495</v>
      </c>
      <c r="S466" s="189">
        <v>1.8419267520140999E-2</v>
      </c>
      <c r="T466" s="189">
        <v>4.7547536318477697</v>
      </c>
      <c r="U466" s="189">
        <v>3.94929121949622</v>
      </c>
      <c r="V466" s="189">
        <v>0.54626943140275597</v>
      </c>
      <c r="W466" s="189"/>
      <c r="X466" s="90"/>
      <c r="Y466" s="188"/>
      <c r="Z466" s="188"/>
      <c r="AA466" s="188"/>
      <c r="AB466" s="188"/>
      <c r="AC466" s="188"/>
      <c r="AD466" s="190"/>
      <c r="AE466" s="189"/>
    </row>
    <row r="467" spans="1:31" ht="21.25" customHeight="1" x14ac:dyDescent="0.15">
      <c r="A467" s="9" t="s">
        <v>481</v>
      </c>
      <c r="B467" s="186" t="s">
        <v>847</v>
      </c>
      <c r="C467" s="187">
        <v>20</v>
      </c>
      <c r="D467" s="186" t="s">
        <v>818</v>
      </c>
      <c r="E467" s="90">
        <v>79.540000000000006</v>
      </c>
      <c r="F467" s="188">
        <v>18.694854585782601</v>
      </c>
      <c r="G467" s="189">
        <v>6.6937407761260698E-2</v>
      </c>
      <c r="H467" s="189">
        <v>0.18708491020698501</v>
      </c>
      <c r="I467" s="189">
        <v>0.25402231796824598</v>
      </c>
      <c r="J467" s="189">
        <v>1.2080454908275999</v>
      </c>
      <c r="K467" s="189">
        <v>4.7959725244070698E-3</v>
      </c>
      <c r="L467" s="189">
        <v>0.10620664808701601</v>
      </c>
      <c r="M467" s="189">
        <v>1.2347669077809501E-4</v>
      </c>
      <c r="N467" s="189">
        <v>6.1193165271076404E-4</v>
      </c>
      <c r="O467" s="189">
        <v>1.13466001428987</v>
      </c>
      <c r="P467" s="189">
        <v>0.62993036119544799</v>
      </c>
      <c r="Q467" s="189">
        <v>-0.12900631949031099</v>
      </c>
      <c r="R467" s="189">
        <v>0.32540031091851801</v>
      </c>
      <c r="S467" s="189">
        <v>8.6506723134242396E-3</v>
      </c>
      <c r="T467" s="189">
        <v>0</v>
      </c>
      <c r="U467" s="189">
        <v>0</v>
      </c>
      <c r="V467" s="189">
        <v>0</v>
      </c>
      <c r="W467" s="189"/>
      <c r="X467" s="90"/>
      <c r="Y467" s="188"/>
      <c r="Z467" s="188"/>
      <c r="AA467" s="188"/>
      <c r="AB467" s="188"/>
      <c r="AC467" s="188"/>
      <c r="AD467" s="190"/>
      <c r="AE467" s="189"/>
    </row>
    <row r="468" spans="1:31" ht="21.25" customHeight="1" x14ac:dyDescent="0.15">
      <c r="A468" s="9" t="s">
        <v>698</v>
      </c>
      <c r="B468" s="186" t="s">
        <v>859</v>
      </c>
      <c r="C468" s="187">
        <v>26</v>
      </c>
      <c r="D468" s="186" t="s">
        <v>817</v>
      </c>
      <c r="E468" s="90">
        <v>70.112499999999997</v>
      </c>
      <c r="F468" s="188">
        <v>10.595618333213601</v>
      </c>
      <c r="G468" s="189">
        <v>0.142733753071634</v>
      </c>
      <c r="H468" s="189">
        <v>0.110957554860006</v>
      </c>
      <c r="I468" s="189">
        <v>0.25369130793164002</v>
      </c>
      <c r="J468" s="189">
        <v>1.62490981858575</v>
      </c>
      <c r="K468" s="189">
        <v>1.83787309673665E-3</v>
      </c>
      <c r="L468" s="189">
        <v>2.9209513217027601E-3</v>
      </c>
      <c r="M468" s="189">
        <v>9.2346853599982296E-4</v>
      </c>
      <c r="N468" s="189">
        <v>1.0529590043522399E-3</v>
      </c>
      <c r="O468" s="189">
        <v>0.33120721599256098</v>
      </c>
      <c r="P468" s="189">
        <v>2.2197192254602598</v>
      </c>
      <c r="Q468" s="189">
        <v>1.8438871805520101E-2</v>
      </c>
      <c r="R468" s="189">
        <v>0.29926208870469301</v>
      </c>
      <c r="S468" s="189">
        <v>1.5245409995626499E-2</v>
      </c>
      <c r="T468" s="189">
        <v>6.67365128307148E-2</v>
      </c>
      <c r="U468" s="189">
        <v>0.14360104378859501</v>
      </c>
      <c r="V468" s="189">
        <v>0.31728291372853301</v>
      </c>
      <c r="W468" s="189"/>
      <c r="X468" s="90"/>
      <c r="Y468" s="188"/>
      <c r="Z468" s="188"/>
      <c r="AA468" s="188"/>
      <c r="AB468" s="188"/>
      <c r="AC468" s="188"/>
      <c r="AD468" s="190"/>
      <c r="AE468" s="189"/>
    </row>
    <row r="469" spans="1:31" ht="21.25" customHeight="1" x14ac:dyDescent="0.15">
      <c r="A469" s="9" t="s">
        <v>701</v>
      </c>
      <c r="B469" s="186" t="s">
        <v>831</v>
      </c>
      <c r="C469" s="187">
        <v>22</v>
      </c>
      <c r="D469" s="186" t="s">
        <v>816</v>
      </c>
      <c r="E469" s="90">
        <v>80.265000000000001</v>
      </c>
      <c r="F469" s="188">
        <v>11.0500073304884</v>
      </c>
      <c r="G469" s="189">
        <v>0.140853709704306</v>
      </c>
      <c r="H469" s="189">
        <v>0.111383505883961</v>
      </c>
      <c r="I469" s="189">
        <v>0.25223721558826701</v>
      </c>
      <c r="J469" s="189">
        <v>1.3963058649056499</v>
      </c>
      <c r="K469" s="189">
        <v>4.1675141648384499E-3</v>
      </c>
      <c r="L469" s="189">
        <v>9.2270816369685905E-3</v>
      </c>
      <c r="M469" s="189">
        <v>3.6180544655679801E-6</v>
      </c>
      <c r="N469" s="189">
        <v>6.2183393191092904E-6</v>
      </c>
      <c r="O469" s="189">
        <v>0.34610029245041302</v>
      </c>
      <c r="P469" s="189">
        <v>2.7263280321024901</v>
      </c>
      <c r="Q469" s="189">
        <v>3.67944177882761E-2</v>
      </c>
      <c r="R469" s="189">
        <v>0.49268765238293699</v>
      </c>
      <c r="S469" s="189">
        <v>2.3023708478721299E-2</v>
      </c>
      <c r="T469" s="189">
        <v>2.4744527428399402E-2</v>
      </c>
      <c r="U469" s="189">
        <v>0.102148017733492</v>
      </c>
      <c r="V469" s="189">
        <v>0.195003791568921</v>
      </c>
      <c r="W469" s="189"/>
      <c r="X469" s="90"/>
      <c r="Y469" s="188"/>
      <c r="Z469" s="188"/>
      <c r="AA469" s="188"/>
      <c r="AB469" s="188"/>
      <c r="AC469" s="188"/>
      <c r="AD469" s="190"/>
      <c r="AE469" s="189"/>
    </row>
    <row r="470" spans="1:31" ht="21.25" customHeight="1" x14ac:dyDescent="0.15">
      <c r="A470" s="9" t="s">
        <v>480</v>
      </c>
      <c r="B470" s="186" t="s">
        <v>840</v>
      </c>
      <c r="C470" s="187">
        <v>33</v>
      </c>
      <c r="D470" s="186" t="s">
        <v>818</v>
      </c>
      <c r="E470" s="90">
        <v>80.032499999999999</v>
      </c>
      <c r="F470" s="188">
        <v>19.2553396794824</v>
      </c>
      <c r="G470" s="189">
        <v>3.86066643079006E-2</v>
      </c>
      <c r="H470" s="189">
        <v>0.21320869499227399</v>
      </c>
      <c r="I470" s="189">
        <v>0.25181535930017501</v>
      </c>
      <c r="J470" s="189">
        <v>0.996573149513167</v>
      </c>
      <c r="K470" s="189">
        <v>2.6392248876614701E-4</v>
      </c>
      <c r="L470" s="189">
        <v>1.86018230020213E-3</v>
      </c>
      <c r="M470" s="189">
        <v>2.7262987319453998E-4</v>
      </c>
      <c r="N470" s="189">
        <v>4.0829199141930997E-3</v>
      </c>
      <c r="O470" s="189">
        <v>1.55007721268662</v>
      </c>
      <c r="P470" s="189">
        <v>1.10288275792228</v>
      </c>
      <c r="Q470" s="189">
        <v>-3.0697864898931199E-2</v>
      </c>
      <c r="R470" s="189">
        <v>0.24529389117645101</v>
      </c>
      <c r="S470" s="189">
        <v>5.99423436393703E-3</v>
      </c>
      <c r="T470" s="189">
        <v>0</v>
      </c>
      <c r="U470" s="189">
        <v>0</v>
      </c>
      <c r="V470" s="189">
        <v>0</v>
      </c>
      <c r="W470" s="189"/>
      <c r="X470" s="90"/>
      <c r="Y470" s="188"/>
      <c r="Z470" s="188"/>
      <c r="AA470" s="188"/>
      <c r="AB470" s="188"/>
      <c r="AC470" s="188"/>
      <c r="AD470" s="190"/>
      <c r="AE470" s="189"/>
    </row>
    <row r="471" spans="1:31" ht="21.25" customHeight="1" x14ac:dyDescent="0.15">
      <c r="A471" s="9" t="s">
        <v>556</v>
      </c>
      <c r="B471" s="186" t="s">
        <v>836</v>
      </c>
      <c r="C471" s="187">
        <v>31</v>
      </c>
      <c r="D471" s="186" t="s">
        <v>818</v>
      </c>
      <c r="E471" s="90">
        <v>67.202500000000001</v>
      </c>
      <c r="F471" s="188">
        <v>15.514212965913799</v>
      </c>
      <c r="G471" s="189">
        <v>5.0010386793202001E-2</v>
      </c>
      <c r="H471" s="189">
        <v>0.20094459215050101</v>
      </c>
      <c r="I471" s="189">
        <v>0.250954978943703</v>
      </c>
      <c r="J471" s="189">
        <v>1.6108415292441101</v>
      </c>
      <c r="K471" s="189">
        <v>2.0483715520463498E-3</v>
      </c>
      <c r="L471" s="189">
        <v>5.4763360692349099E-2</v>
      </c>
      <c r="M471" s="189">
        <v>9.8982493848813295E-4</v>
      </c>
      <c r="N471" s="189">
        <v>1.1835997790884099E-3</v>
      </c>
      <c r="O471" s="189">
        <v>0.94877696772054898</v>
      </c>
      <c r="P471" s="189">
        <v>0.97753276580891002</v>
      </c>
      <c r="Q471" s="189">
        <v>5.2008907342520703E-3</v>
      </c>
      <c r="R471" s="189">
        <v>0.43135826745301997</v>
      </c>
      <c r="S471" s="189">
        <v>7.8595792901267302E-3</v>
      </c>
      <c r="T471" s="189">
        <v>0</v>
      </c>
      <c r="U471" s="189">
        <v>0</v>
      </c>
      <c r="V471" s="189">
        <v>0</v>
      </c>
      <c r="W471" s="189"/>
      <c r="X471" s="90"/>
      <c r="Y471" s="188"/>
      <c r="Z471" s="188"/>
      <c r="AA471" s="188"/>
      <c r="AB471" s="188"/>
      <c r="AC471" s="188"/>
      <c r="AD471" s="190"/>
      <c r="AE471" s="189"/>
    </row>
    <row r="472" spans="1:31" ht="21.25" customHeight="1" x14ac:dyDescent="0.15">
      <c r="A472" s="9" t="s">
        <v>738</v>
      </c>
      <c r="B472" s="186" t="s">
        <v>859</v>
      </c>
      <c r="C472" s="187">
        <v>29</v>
      </c>
      <c r="D472" s="186" t="s">
        <v>815</v>
      </c>
      <c r="E472" s="90">
        <v>76.757499999999993</v>
      </c>
      <c r="F472" s="188">
        <v>12.7847497152593</v>
      </c>
      <c r="G472" s="189">
        <v>0.111065893343086</v>
      </c>
      <c r="H472" s="189">
        <v>0.13976097279259</v>
      </c>
      <c r="I472" s="189">
        <v>0.25082686613567601</v>
      </c>
      <c r="J472" s="189">
        <v>1.16808552010911</v>
      </c>
      <c r="K472" s="189">
        <v>2.0924985346721199E-3</v>
      </c>
      <c r="L472" s="189">
        <v>4.7667666822733702E-3</v>
      </c>
      <c r="M472" s="189">
        <v>9.2216865782600507E-3</v>
      </c>
      <c r="N472" s="189">
        <v>1.0120493570775E-2</v>
      </c>
      <c r="O472" s="189">
        <v>0.52716392327142403</v>
      </c>
      <c r="P472" s="189">
        <v>1.08344162938309</v>
      </c>
      <c r="Q472" s="189">
        <v>-0.12182698544074699</v>
      </c>
      <c r="R472" s="189">
        <v>0.24584908278300199</v>
      </c>
      <c r="S472" s="189">
        <v>1.1862961942127799E-2</v>
      </c>
      <c r="T472" s="189">
        <v>6.1677264197609398</v>
      </c>
      <c r="U472" s="189">
        <v>4.6959268210011498</v>
      </c>
      <c r="V472" s="189">
        <v>0.56773962525043498</v>
      </c>
      <c r="W472" s="189"/>
      <c r="X472" s="90"/>
      <c r="Y472" s="188"/>
      <c r="Z472" s="188"/>
      <c r="AA472" s="188"/>
      <c r="AB472" s="188"/>
      <c r="AC472" s="188"/>
      <c r="AD472" s="190"/>
      <c r="AE472" s="189"/>
    </row>
    <row r="473" spans="1:31" ht="21.25" customHeight="1" x14ac:dyDescent="0.15">
      <c r="A473" s="9" t="s">
        <v>769</v>
      </c>
      <c r="B473" s="186" t="s">
        <v>830</v>
      </c>
      <c r="C473" s="187">
        <v>29</v>
      </c>
      <c r="D473" s="186" t="s">
        <v>815</v>
      </c>
      <c r="E473" s="90">
        <v>62.454999999999998</v>
      </c>
      <c r="F473" s="188">
        <v>12.1755226675134</v>
      </c>
      <c r="G473" s="189">
        <v>0.121257541642282</v>
      </c>
      <c r="H473" s="189">
        <v>0.12941310234846101</v>
      </c>
      <c r="I473" s="189">
        <v>0.25067064399074301</v>
      </c>
      <c r="J473" s="189">
        <v>1.25766831171065</v>
      </c>
      <c r="K473" s="189">
        <v>3.5590698593360101E-3</v>
      </c>
      <c r="L473" s="189">
        <v>1.1178569977212199E-2</v>
      </c>
      <c r="M473" s="189">
        <v>1.57891910373823E-2</v>
      </c>
      <c r="N473" s="189">
        <v>1.7331019965800699E-2</v>
      </c>
      <c r="O473" s="189">
        <v>0.45421871875834802</v>
      </c>
      <c r="P473" s="189">
        <v>0.79193810163551004</v>
      </c>
      <c r="Q473" s="189">
        <v>3.8226481589768199E-2</v>
      </c>
      <c r="R473" s="189">
        <v>0.30019726533644298</v>
      </c>
      <c r="S473" s="189">
        <v>1.7169197270228101E-2</v>
      </c>
      <c r="T473" s="189">
        <v>2.9470349490787302</v>
      </c>
      <c r="U473" s="189">
        <v>2.65907985759367</v>
      </c>
      <c r="V473" s="189">
        <v>0.52568223283104498</v>
      </c>
      <c r="W473" s="189"/>
      <c r="X473" s="90"/>
      <c r="Y473" s="188"/>
      <c r="Z473" s="188"/>
      <c r="AA473" s="188"/>
      <c r="AB473" s="188"/>
      <c r="AC473" s="188"/>
      <c r="AD473" s="190"/>
      <c r="AE473" s="189"/>
    </row>
    <row r="474" spans="1:31" ht="21.25" customHeight="1" x14ac:dyDescent="0.15">
      <c r="A474" s="9" t="s">
        <v>439</v>
      </c>
      <c r="B474" s="186" t="s">
        <v>835</v>
      </c>
      <c r="C474" s="187">
        <v>34</v>
      </c>
      <c r="D474" s="186" t="s">
        <v>818</v>
      </c>
      <c r="E474" s="90">
        <v>80.592500000000001</v>
      </c>
      <c r="F474" s="188">
        <v>19.444353964108</v>
      </c>
      <c r="G474" s="189">
        <v>3.0415311572697699E-2</v>
      </c>
      <c r="H474" s="189">
        <v>0.219396936294878</v>
      </c>
      <c r="I474" s="189">
        <v>0.249812247867576</v>
      </c>
      <c r="J474" s="189">
        <v>1.1831061585835101</v>
      </c>
      <c r="K474" s="189">
        <v>2.6972422952182802E-4</v>
      </c>
      <c r="L474" s="189">
        <v>2.50619820844013E-3</v>
      </c>
      <c r="M474" s="189">
        <v>7.7924330299174501E-3</v>
      </c>
      <c r="N474" s="189">
        <v>1.2881855384759E-2</v>
      </c>
      <c r="O474" s="189">
        <v>1.74716040448309</v>
      </c>
      <c r="P474" s="189">
        <v>1.37558426912996</v>
      </c>
      <c r="Q474" s="189">
        <v>-2.95099949908091E-3</v>
      </c>
      <c r="R474" s="189">
        <v>0.74059727719085899</v>
      </c>
      <c r="S474" s="189">
        <v>5.1941506061398404E-3</v>
      </c>
      <c r="T474" s="189">
        <v>0</v>
      </c>
      <c r="U474" s="189">
        <v>0</v>
      </c>
      <c r="V474" s="189">
        <v>0</v>
      </c>
      <c r="W474" s="189"/>
      <c r="X474" s="90"/>
      <c r="Y474" s="188"/>
      <c r="Z474" s="188"/>
      <c r="AA474" s="188"/>
      <c r="AB474" s="188"/>
      <c r="AC474" s="188"/>
      <c r="AD474" s="190"/>
      <c r="AE474" s="189"/>
    </row>
    <row r="475" spans="1:31" ht="21.25" customHeight="1" x14ac:dyDescent="0.15">
      <c r="A475" s="9" t="s">
        <v>501</v>
      </c>
      <c r="B475" s="186" t="s">
        <v>832</v>
      </c>
      <c r="C475" s="187">
        <v>33</v>
      </c>
      <c r="D475" s="186" t="s">
        <v>818</v>
      </c>
      <c r="E475" s="90">
        <v>78.702500000000001</v>
      </c>
      <c r="F475" s="188">
        <v>18.367598648103201</v>
      </c>
      <c r="G475" s="189">
        <v>3.8744616007762002E-2</v>
      </c>
      <c r="H475" s="189">
        <v>0.210767885107536</v>
      </c>
      <c r="I475" s="189">
        <v>0.24951250111529799</v>
      </c>
      <c r="J475" s="189">
        <v>1.0538633245564999</v>
      </c>
      <c r="K475" s="189">
        <v>2.3210609248402501E-4</v>
      </c>
      <c r="L475" s="189">
        <v>1.62449713211271E-3</v>
      </c>
      <c r="M475" s="189">
        <v>2.6003328967362098E-4</v>
      </c>
      <c r="N475" s="189">
        <v>5.8538378619422899E-3</v>
      </c>
      <c r="O475" s="189">
        <v>1.3608513321022799</v>
      </c>
      <c r="P475" s="189">
        <v>1.7393202124962299</v>
      </c>
      <c r="Q475" s="189">
        <v>1.7269173707655E-3</v>
      </c>
      <c r="R475" s="189">
        <v>0.52495771541466396</v>
      </c>
      <c r="S475" s="189">
        <v>6.6005998325410903E-3</v>
      </c>
      <c r="T475" s="189">
        <v>0</v>
      </c>
      <c r="U475" s="189">
        <v>0</v>
      </c>
      <c r="V475" s="189">
        <v>0</v>
      </c>
      <c r="W475" s="189"/>
      <c r="X475" s="90"/>
      <c r="Y475" s="188"/>
      <c r="Z475" s="188"/>
      <c r="AA475" s="188"/>
      <c r="AB475" s="188"/>
      <c r="AC475" s="188"/>
      <c r="AD475" s="190"/>
      <c r="AE475" s="189"/>
    </row>
    <row r="476" spans="1:31" ht="21.25" customHeight="1" x14ac:dyDescent="0.15">
      <c r="A476" s="9" t="s">
        <v>461</v>
      </c>
      <c r="B476" s="186" t="s">
        <v>850</v>
      </c>
      <c r="C476" s="187">
        <v>25</v>
      </c>
      <c r="D476" s="186" t="s">
        <v>818</v>
      </c>
      <c r="E476" s="90">
        <v>77.422499999999999</v>
      </c>
      <c r="F476" s="188">
        <v>20.5479144384649</v>
      </c>
      <c r="G476" s="189">
        <v>4.39269804641386E-2</v>
      </c>
      <c r="H476" s="189">
        <v>0.20459439115278399</v>
      </c>
      <c r="I476" s="189">
        <v>0.248521371616923</v>
      </c>
      <c r="J476" s="189">
        <v>1.1931942274644101</v>
      </c>
      <c r="K476" s="189">
        <v>4.0676993731855499E-4</v>
      </c>
      <c r="L476" s="189">
        <v>1.1224608132792599E-3</v>
      </c>
      <c r="M476" s="189">
        <v>3.81724137245241E-4</v>
      </c>
      <c r="N476" s="189">
        <v>5.1486496994462196E-3</v>
      </c>
      <c r="O476" s="189">
        <v>1.68849840104382</v>
      </c>
      <c r="P476" s="189">
        <v>1.7270840162504599</v>
      </c>
      <c r="Q476" s="189">
        <v>3.9997291112276699E-2</v>
      </c>
      <c r="R476" s="189">
        <v>0.31438798373746202</v>
      </c>
      <c r="S476" s="189">
        <v>7.8283005623622694E-3</v>
      </c>
      <c r="T476" s="189">
        <v>0</v>
      </c>
      <c r="U476" s="189">
        <v>0</v>
      </c>
      <c r="V476" s="189">
        <v>0</v>
      </c>
      <c r="W476" s="189"/>
      <c r="X476" s="90"/>
      <c r="Y476" s="188"/>
      <c r="Z476" s="188"/>
      <c r="AA476" s="188"/>
      <c r="AB476" s="188"/>
      <c r="AC476" s="188"/>
      <c r="AD476" s="190"/>
      <c r="AE476" s="189"/>
    </row>
    <row r="477" spans="1:31" ht="21.25" customHeight="1" x14ac:dyDescent="0.15">
      <c r="A477" s="9" t="s">
        <v>499</v>
      </c>
      <c r="B477" s="186" t="s">
        <v>835</v>
      </c>
      <c r="C477" s="187">
        <v>30</v>
      </c>
      <c r="D477" s="186" t="s">
        <v>818</v>
      </c>
      <c r="E477" s="90">
        <v>72.224999999999994</v>
      </c>
      <c r="F477" s="188">
        <v>19.374827858825402</v>
      </c>
      <c r="G477" s="189">
        <v>7.4675754253057697E-2</v>
      </c>
      <c r="H477" s="189">
        <v>0.17346131204816201</v>
      </c>
      <c r="I477" s="189">
        <v>0.24813706630122001</v>
      </c>
      <c r="J477" s="189">
        <v>1.16174818431433</v>
      </c>
      <c r="K477" s="189">
        <v>3.3010943595980398E-3</v>
      </c>
      <c r="L477" s="189">
        <v>1.2915581946050501E-2</v>
      </c>
      <c r="M477" s="189">
        <v>2.85226489131546E-3</v>
      </c>
      <c r="N477" s="189">
        <v>6.9561589967341202E-3</v>
      </c>
      <c r="O477" s="189">
        <v>1.61159280951065</v>
      </c>
      <c r="P477" s="189">
        <v>1.7548758500477399</v>
      </c>
      <c r="Q477" s="189">
        <v>6.0364510620142697E-2</v>
      </c>
      <c r="R477" s="189">
        <v>0.63368322434291602</v>
      </c>
      <c r="S477" s="189">
        <v>1.2752692448682599E-2</v>
      </c>
      <c r="T477" s="189">
        <v>0</v>
      </c>
      <c r="U477" s="189">
        <v>0</v>
      </c>
      <c r="V477" s="189">
        <v>0</v>
      </c>
      <c r="W477" s="189"/>
      <c r="X477" s="90"/>
      <c r="Y477" s="188"/>
      <c r="Z477" s="188"/>
      <c r="AA477" s="188"/>
      <c r="AB477" s="188"/>
      <c r="AC477" s="188"/>
      <c r="AD477" s="190"/>
      <c r="AE477" s="189"/>
    </row>
    <row r="478" spans="1:31" ht="21.25" customHeight="1" x14ac:dyDescent="0.15">
      <c r="A478" s="9" t="s">
        <v>641</v>
      </c>
      <c r="B478" s="186" t="s">
        <v>841</v>
      </c>
      <c r="C478" s="187">
        <v>23</v>
      </c>
      <c r="D478" s="186" t="s">
        <v>818</v>
      </c>
      <c r="E478" s="90">
        <v>58.79</v>
      </c>
      <c r="F478" s="188">
        <v>15.152866451049301</v>
      </c>
      <c r="G478" s="189">
        <v>3.8394486908824001E-2</v>
      </c>
      <c r="H478" s="189">
        <v>0.20921142588900801</v>
      </c>
      <c r="I478" s="189">
        <v>0.24760591279783201</v>
      </c>
      <c r="J478" s="189">
        <v>1.0848479865312799</v>
      </c>
      <c r="K478" s="189">
        <v>6.5382446589981103E-4</v>
      </c>
      <c r="L478" s="189">
        <v>6.0083484599529396E-3</v>
      </c>
      <c r="M478" s="189">
        <v>2.0602585350023799E-4</v>
      </c>
      <c r="N478" s="189">
        <v>9.9434187532666395E-4</v>
      </c>
      <c r="O478" s="189">
        <v>1.1251794998829101</v>
      </c>
      <c r="P478" s="189">
        <v>1.4434842438530899</v>
      </c>
      <c r="Q478" s="189">
        <v>3.6838891408780897E-2</v>
      </c>
      <c r="R478" s="189">
        <v>0.30834884514956201</v>
      </c>
      <c r="S478" s="189">
        <v>5.8398509477901204E-3</v>
      </c>
      <c r="T478" s="189">
        <v>0</v>
      </c>
      <c r="U478" s="189">
        <v>0</v>
      </c>
      <c r="V478" s="189">
        <v>0</v>
      </c>
      <c r="W478" s="189"/>
      <c r="X478" s="90"/>
      <c r="Y478" s="188"/>
      <c r="Z478" s="188"/>
      <c r="AA478" s="188"/>
      <c r="AB478" s="188"/>
      <c r="AC478" s="188"/>
      <c r="AD478" s="190"/>
      <c r="AE478" s="189"/>
    </row>
    <row r="479" spans="1:31" ht="21.25" customHeight="1" x14ac:dyDescent="0.15">
      <c r="A479" s="9" t="s">
        <v>749</v>
      </c>
      <c r="B479" s="186" t="s">
        <v>854</v>
      </c>
      <c r="C479" s="187">
        <v>26</v>
      </c>
      <c r="D479" s="186" t="s">
        <v>816</v>
      </c>
      <c r="E479" s="90">
        <v>72.59</v>
      </c>
      <c r="F479" s="188">
        <v>9.9334001981197293</v>
      </c>
      <c r="G479" s="189">
        <v>9.3970097780928394E-2</v>
      </c>
      <c r="H479" s="189">
        <v>0.150875253643527</v>
      </c>
      <c r="I479" s="189">
        <v>0.24484535142445499</v>
      </c>
      <c r="J479" s="189">
        <v>1.00796489537439</v>
      </c>
      <c r="K479" s="189">
        <v>4.8574659019086998E-4</v>
      </c>
      <c r="L479" s="189">
        <v>1.35334426804922E-3</v>
      </c>
      <c r="M479" s="189">
        <v>5.3350273088919502E-4</v>
      </c>
      <c r="N479" s="189">
        <v>9.0739348937267502E-4</v>
      </c>
      <c r="O479" s="189">
        <v>0.51441972287743798</v>
      </c>
      <c r="P479" s="189">
        <v>3.94507068764567</v>
      </c>
      <c r="Q479" s="189">
        <v>-5.31770906678945E-2</v>
      </c>
      <c r="R479" s="189">
        <v>0.92310953535707996</v>
      </c>
      <c r="S479" s="189">
        <v>1.0891253925246499E-2</v>
      </c>
      <c r="T479" s="189">
        <v>0.13122231465603601</v>
      </c>
      <c r="U479" s="189">
        <v>0.16708520462311599</v>
      </c>
      <c r="V479" s="189">
        <v>0.43988939659693999</v>
      </c>
      <c r="W479" s="189"/>
      <c r="X479" s="90"/>
      <c r="Y479" s="188"/>
      <c r="Z479" s="188"/>
      <c r="AA479" s="188"/>
      <c r="AB479" s="188"/>
      <c r="AC479" s="188"/>
      <c r="AD479" s="190"/>
      <c r="AE479" s="189"/>
    </row>
    <row r="480" spans="1:31" ht="21.25" customHeight="1" x14ac:dyDescent="0.15">
      <c r="A480" s="9" t="s">
        <v>740</v>
      </c>
      <c r="B480" s="186" t="s">
        <v>859</v>
      </c>
      <c r="C480" s="187">
        <v>26</v>
      </c>
      <c r="D480" s="186" t="s">
        <v>815</v>
      </c>
      <c r="E480" s="90">
        <v>74.13</v>
      </c>
      <c r="F480" s="188">
        <v>12.7538652974937</v>
      </c>
      <c r="G480" s="189">
        <v>0.128379620681005</v>
      </c>
      <c r="H480" s="189">
        <v>0.116444941487308</v>
      </c>
      <c r="I480" s="189">
        <v>0.244824562168313</v>
      </c>
      <c r="J480" s="189">
        <v>1.18349716122927</v>
      </c>
      <c r="K480" s="189">
        <v>1.43942956545381E-2</v>
      </c>
      <c r="L480" s="189">
        <v>3.6083004123410797E-2</v>
      </c>
      <c r="M480" s="189">
        <v>7.5923114676962496E-4</v>
      </c>
      <c r="N480" s="189">
        <v>1.29337920649287E-3</v>
      </c>
      <c r="O480" s="189">
        <v>0.588727185470033</v>
      </c>
      <c r="P480" s="189">
        <v>1.73425379354687</v>
      </c>
      <c r="Q480" s="189">
        <v>-0.14324185842318399</v>
      </c>
      <c r="R480" s="189">
        <v>0.80313937481302</v>
      </c>
      <c r="S480" s="189">
        <v>1.3712243321890799E-2</v>
      </c>
      <c r="T480" s="189">
        <v>1.84995960403433</v>
      </c>
      <c r="U480" s="189">
        <v>2.3205436891273301</v>
      </c>
      <c r="V480" s="189">
        <v>0.44358185906907099</v>
      </c>
      <c r="W480" s="189"/>
      <c r="X480" s="90"/>
      <c r="Y480" s="188"/>
      <c r="Z480" s="188"/>
      <c r="AA480" s="188"/>
      <c r="AB480" s="188"/>
      <c r="AC480" s="188"/>
      <c r="AD480" s="190"/>
      <c r="AE480" s="189"/>
    </row>
    <row r="481" spans="1:31" ht="21.25" customHeight="1" x14ac:dyDescent="0.15">
      <c r="A481" s="9" t="s">
        <v>678</v>
      </c>
      <c r="B481" s="186" t="s">
        <v>834</v>
      </c>
      <c r="C481" s="187">
        <v>26</v>
      </c>
      <c r="D481" s="186" t="s">
        <v>816</v>
      </c>
      <c r="E481" s="90">
        <v>77.952500000000001</v>
      </c>
      <c r="F481" s="188">
        <v>13.461050047982701</v>
      </c>
      <c r="G481" s="189">
        <v>8.2322334118578006E-2</v>
      </c>
      <c r="H481" s="189">
        <v>0.16194588601670301</v>
      </c>
      <c r="I481" s="189">
        <v>0.24426822013528099</v>
      </c>
      <c r="J481" s="189">
        <v>1.15072963687247</v>
      </c>
      <c r="K481" s="189">
        <v>4.8661610050655798E-4</v>
      </c>
      <c r="L481" s="189">
        <v>1.1380532864825399E-3</v>
      </c>
      <c r="M481" s="189">
        <v>1.5575358427119101E-3</v>
      </c>
      <c r="N481" s="189">
        <v>1.25435764308739E-2</v>
      </c>
      <c r="O481" s="189">
        <v>0.99023956384906597</v>
      </c>
      <c r="P481" s="189">
        <v>2.53064766908046</v>
      </c>
      <c r="Q481" s="189">
        <v>-3.6577905212993998E-2</v>
      </c>
      <c r="R481" s="189">
        <v>0.34201396027351399</v>
      </c>
      <c r="S481" s="189">
        <v>1.1644941654812301E-2</v>
      </c>
      <c r="T481" s="189">
        <v>0.27720168927815902</v>
      </c>
      <c r="U481" s="189">
        <v>0.31611487130270699</v>
      </c>
      <c r="V481" s="189">
        <v>0.46720706566284598</v>
      </c>
      <c r="W481" s="189"/>
      <c r="X481" s="90"/>
      <c r="Y481" s="188"/>
      <c r="Z481" s="188"/>
      <c r="AA481" s="188"/>
      <c r="AB481" s="188"/>
      <c r="AC481" s="188"/>
      <c r="AD481" s="190"/>
      <c r="AE481" s="189"/>
    </row>
    <row r="482" spans="1:31" ht="21.25" customHeight="1" x14ac:dyDescent="0.15">
      <c r="A482" s="9" t="s">
        <v>706</v>
      </c>
      <c r="B482" s="186" t="s">
        <v>836</v>
      </c>
      <c r="C482" s="187">
        <v>33</v>
      </c>
      <c r="D482" s="186" t="s">
        <v>815</v>
      </c>
      <c r="E482" s="90">
        <v>78.962500000000006</v>
      </c>
      <c r="F482" s="188">
        <v>13.559205672104699</v>
      </c>
      <c r="G482" s="189">
        <v>9.6870713211236303E-2</v>
      </c>
      <c r="H482" s="189">
        <v>0.14662229678154001</v>
      </c>
      <c r="I482" s="189">
        <v>0.24349300999277601</v>
      </c>
      <c r="J482" s="189">
        <v>1.15673918651228</v>
      </c>
      <c r="K482" s="189">
        <v>1.79902333000642E-3</v>
      </c>
      <c r="L482" s="189">
        <v>5.8327731674820598E-3</v>
      </c>
      <c r="M482" s="189">
        <v>9.4370840034045094E-3</v>
      </c>
      <c r="N482" s="189">
        <v>1.46947907283492E-2</v>
      </c>
      <c r="O482" s="189">
        <v>0.85673248296313298</v>
      </c>
      <c r="P482" s="189">
        <v>1.8170687634656699</v>
      </c>
      <c r="Q482" s="189">
        <v>5.5175660443602201E-3</v>
      </c>
      <c r="R482" s="189">
        <v>0.43720509522189599</v>
      </c>
      <c r="S482" s="189">
        <v>1.5224098436253899E-2</v>
      </c>
      <c r="T482" s="189">
        <v>5.3086477771596199</v>
      </c>
      <c r="U482" s="189">
        <v>4.5416732360978704</v>
      </c>
      <c r="V482" s="189">
        <v>0.53893144903752299</v>
      </c>
      <c r="W482" s="189"/>
      <c r="X482" s="90"/>
      <c r="Y482" s="188"/>
      <c r="Z482" s="188"/>
      <c r="AA482" s="188"/>
      <c r="AB482" s="188"/>
      <c r="AC482" s="188"/>
      <c r="AD482" s="190"/>
      <c r="AE482" s="189"/>
    </row>
    <row r="483" spans="1:31" ht="21.25" customHeight="1" x14ac:dyDescent="0.15">
      <c r="A483" s="9" t="s">
        <v>544</v>
      </c>
      <c r="B483" s="186" t="s">
        <v>834</v>
      </c>
      <c r="C483" s="187">
        <v>25</v>
      </c>
      <c r="D483" s="186" t="s">
        <v>818</v>
      </c>
      <c r="E483" s="90">
        <v>75.385000000000005</v>
      </c>
      <c r="F483" s="188">
        <v>17.753820765656201</v>
      </c>
      <c r="G483" s="189">
        <v>4.4825772479185899E-2</v>
      </c>
      <c r="H483" s="189">
        <v>0.198286921680244</v>
      </c>
      <c r="I483" s="189">
        <v>0.24311269415942999</v>
      </c>
      <c r="J483" s="189">
        <v>1.1023266992316401</v>
      </c>
      <c r="K483" s="189">
        <v>3.0877306393688002E-4</v>
      </c>
      <c r="L483" s="189">
        <v>3.8503837053662998E-3</v>
      </c>
      <c r="M483" s="189">
        <v>1.7092277806619101E-4</v>
      </c>
      <c r="N483" s="189">
        <v>3.9976792483465001E-3</v>
      </c>
      <c r="O483" s="189">
        <v>1.24781588329328</v>
      </c>
      <c r="P483" s="189">
        <v>1.19421391175771</v>
      </c>
      <c r="Q483" s="189">
        <v>-1.7073979505278301E-2</v>
      </c>
      <c r="R483" s="189">
        <v>0.33503634850624398</v>
      </c>
      <c r="S483" s="189">
        <v>6.3408491843795897E-3</v>
      </c>
      <c r="T483" s="189">
        <v>0</v>
      </c>
      <c r="U483" s="189">
        <v>0</v>
      </c>
      <c r="V483" s="189">
        <v>0</v>
      </c>
      <c r="W483" s="189"/>
      <c r="X483" s="90"/>
      <c r="Y483" s="188"/>
      <c r="Z483" s="188"/>
      <c r="AA483" s="188"/>
      <c r="AB483" s="188"/>
      <c r="AC483" s="188"/>
      <c r="AD483" s="190"/>
      <c r="AE483" s="189"/>
    </row>
    <row r="484" spans="1:31" ht="21.25" customHeight="1" x14ac:dyDescent="0.15">
      <c r="A484" s="9" t="s">
        <v>570</v>
      </c>
      <c r="B484" s="186" t="s">
        <v>852</v>
      </c>
      <c r="C484" s="187">
        <v>24</v>
      </c>
      <c r="D484" s="186" t="s">
        <v>818</v>
      </c>
      <c r="E484" s="90">
        <v>72.877499999999998</v>
      </c>
      <c r="F484" s="188">
        <v>16.766978495266098</v>
      </c>
      <c r="G484" s="189">
        <v>5.6625141291787903E-2</v>
      </c>
      <c r="H484" s="189">
        <v>0.186297790827509</v>
      </c>
      <c r="I484" s="189">
        <v>0.242922932119297</v>
      </c>
      <c r="J484" s="189">
        <v>0.89053911753751802</v>
      </c>
      <c r="K484" s="189">
        <v>3.3097931249409301E-4</v>
      </c>
      <c r="L484" s="189">
        <v>2.7946496483650298E-3</v>
      </c>
      <c r="M484" s="189">
        <v>2.6573272269326197E-4</v>
      </c>
      <c r="N484" s="189">
        <v>1.30890688094389E-3</v>
      </c>
      <c r="O484" s="189">
        <v>1.3887159947891701</v>
      </c>
      <c r="P484" s="189">
        <v>0.82219836308836503</v>
      </c>
      <c r="Q484" s="189">
        <v>-4.83102331584426E-2</v>
      </c>
      <c r="R484" s="189">
        <v>0.41056438958208402</v>
      </c>
      <c r="S484" s="189">
        <v>6.2618543942487299E-3</v>
      </c>
      <c r="T484" s="189">
        <v>0</v>
      </c>
      <c r="U484" s="189">
        <v>0</v>
      </c>
      <c r="V484" s="189">
        <v>0</v>
      </c>
      <c r="W484" s="189"/>
      <c r="X484" s="90"/>
      <c r="Y484" s="188"/>
      <c r="Z484" s="188"/>
      <c r="AA484" s="188"/>
      <c r="AB484" s="188"/>
      <c r="AC484" s="188"/>
      <c r="AD484" s="190"/>
      <c r="AE484" s="189"/>
    </row>
    <row r="485" spans="1:31" ht="21.25" customHeight="1" x14ac:dyDescent="0.15">
      <c r="A485" s="9" t="s">
        <v>748</v>
      </c>
      <c r="B485" s="186" t="s">
        <v>826</v>
      </c>
      <c r="C485" s="187">
        <v>25</v>
      </c>
      <c r="D485" s="186" t="s">
        <v>815</v>
      </c>
      <c r="E485" s="90">
        <v>75.772499999999994</v>
      </c>
      <c r="F485" s="188">
        <v>11.1279539946757</v>
      </c>
      <c r="G485" s="189">
        <v>0.111635477746187</v>
      </c>
      <c r="H485" s="189">
        <v>0.13074718621505399</v>
      </c>
      <c r="I485" s="189">
        <v>0.242382663961241</v>
      </c>
      <c r="J485" s="189">
        <v>1.07189443600305</v>
      </c>
      <c r="K485" s="189">
        <v>8.5839016002115095E-4</v>
      </c>
      <c r="L485" s="189">
        <v>2.2334058301400101E-3</v>
      </c>
      <c r="M485" s="189">
        <v>1.8758204179178801E-2</v>
      </c>
      <c r="N485" s="189">
        <v>2.4109642947363799E-2</v>
      </c>
      <c r="O485" s="189">
        <v>0.530606927771893</v>
      </c>
      <c r="P485" s="189">
        <v>1.5725267350748999</v>
      </c>
      <c r="Q485" s="189">
        <v>-6.6923421146237701E-3</v>
      </c>
      <c r="R485" s="189">
        <v>0.35613158281804702</v>
      </c>
      <c r="S485" s="189">
        <v>1.7859675306315399E-2</v>
      </c>
      <c r="T485" s="189">
        <v>2.46476908327943</v>
      </c>
      <c r="U485" s="189">
        <v>2.9280855015464899</v>
      </c>
      <c r="V485" s="189">
        <v>0.45704349051328802</v>
      </c>
      <c r="W485" s="189"/>
      <c r="X485" s="90"/>
      <c r="Y485" s="188"/>
      <c r="Z485" s="188"/>
      <c r="AA485" s="188"/>
      <c r="AB485" s="188"/>
      <c r="AC485" s="188"/>
      <c r="AD485" s="190"/>
      <c r="AE485" s="189"/>
    </row>
    <row r="486" spans="1:31" ht="21.25" customHeight="1" x14ac:dyDescent="0.15">
      <c r="A486" s="9" t="s">
        <v>731</v>
      </c>
      <c r="B486" s="186" t="s">
        <v>829</v>
      </c>
      <c r="C486" s="187">
        <v>29</v>
      </c>
      <c r="D486" s="186" t="s">
        <v>815</v>
      </c>
      <c r="E486" s="90">
        <v>74.34</v>
      </c>
      <c r="F486" s="188">
        <v>11.836570074933199</v>
      </c>
      <c r="G486" s="189">
        <v>8.6196449307439402E-2</v>
      </c>
      <c r="H486" s="189">
        <v>0.15606856584058301</v>
      </c>
      <c r="I486" s="189">
        <v>0.24226501514802201</v>
      </c>
      <c r="J486" s="189">
        <v>1.06821477770492</v>
      </c>
      <c r="K486" s="189">
        <v>8.6089407940432097E-4</v>
      </c>
      <c r="L486" s="189">
        <v>2.0523527490202199E-3</v>
      </c>
      <c r="M486" s="189">
        <v>7.5337766580588703E-3</v>
      </c>
      <c r="N486" s="189">
        <v>1.10518950499136E-2</v>
      </c>
      <c r="O486" s="189">
        <v>0.83335407284646101</v>
      </c>
      <c r="P486" s="189">
        <v>2.3057952896074898</v>
      </c>
      <c r="Q486" s="189">
        <v>2.9753451437727299E-2</v>
      </c>
      <c r="R486" s="189">
        <v>0.36710476935581099</v>
      </c>
      <c r="S486" s="189">
        <v>1.3005003160926501E-2</v>
      </c>
      <c r="T486" s="189">
        <v>2.3885405553662502</v>
      </c>
      <c r="U486" s="189">
        <v>2.4400355689295998</v>
      </c>
      <c r="V486" s="189">
        <v>0.49466768129591598</v>
      </c>
      <c r="W486" s="189"/>
      <c r="X486" s="90"/>
      <c r="Y486" s="188"/>
      <c r="Z486" s="188"/>
      <c r="AA486" s="188"/>
      <c r="AB486" s="188"/>
      <c r="AC486" s="188"/>
      <c r="AD486" s="190"/>
      <c r="AE486" s="189"/>
    </row>
    <row r="487" spans="1:31" ht="21.25" customHeight="1" x14ac:dyDescent="0.15">
      <c r="A487" s="9" t="s">
        <v>772</v>
      </c>
      <c r="B487" s="186" t="s">
        <v>859</v>
      </c>
      <c r="C487" s="187">
        <v>24</v>
      </c>
      <c r="D487" s="186" t="s">
        <v>815</v>
      </c>
      <c r="E487" s="90">
        <v>70.930000000000007</v>
      </c>
      <c r="F487" s="188">
        <v>10.3674199992924</v>
      </c>
      <c r="G487" s="189">
        <v>8.1935878743873605E-2</v>
      </c>
      <c r="H487" s="189">
        <v>0.160171041595497</v>
      </c>
      <c r="I487" s="189">
        <v>0.24210692033937101</v>
      </c>
      <c r="J487" s="189">
        <v>1.0178121846349499</v>
      </c>
      <c r="K487" s="189">
        <v>1.01660165565626E-3</v>
      </c>
      <c r="L487" s="189">
        <v>2.3170911334778701E-3</v>
      </c>
      <c r="M487" s="189">
        <v>6.1659637897183803E-4</v>
      </c>
      <c r="N487" s="189">
        <v>5.5973592168039798E-3</v>
      </c>
      <c r="O487" s="189">
        <v>0.35358199171851001</v>
      </c>
      <c r="P487" s="189">
        <v>1.3190991534179299</v>
      </c>
      <c r="Q487" s="189">
        <v>4.1584792849742903E-2</v>
      </c>
      <c r="R487" s="189">
        <v>0.40306770170838602</v>
      </c>
      <c r="S487" s="189">
        <v>8.7515814439166201E-3</v>
      </c>
      <c r="T487" s="189">
        <v>1.68884088862356</v>
      </c>
      <c r="U487" s="189">
        <v>1.87343723786885</v>
      </c>
      <c r="V487" s="189">
        <v>0.47409012678256901</v>
      </c>
      <c r="W487" s="189"/>
      <c r="X487" s="90"/>
      <c r="Y487" s="188"/>
      <c r="Z487" s="188"/>
      <c r="AA487" s="188"/>
      <c r="AB487" s="188"/>
      <c r="AC487" s="188"/>
      <c r="AD487" s="190"/>
      <c r="AE487" s="189"/>
    </row>
    <row r="488" spans="1:31" ht="21.25" customHeight="1" x14ac:dyDescent="0.15">
      <c r="A488" s="9" t="s">
        <v>709</v>
      </c>
      <c r="B488" s="186" t="s">
        <v>841</v>
      </c>
      <c r="C488" s="187">
        <v>27</v>
      </c>
      <c r="D488" s="186" t="s">
        <v>817</v>
      </c>
      <c r="E488" s="90">
        <v>79.897499999999994</v>
      </c>
      <c r="F488" s="188">
        <v>10.888875141399801</v>
      </c>
      <c r="G488" s="189">
        <v>9.6972991260754496E-2</v>
      </c>
      <c r="H488" s="189">
        <v>0.144154521619447</v>
      </c>
      <c r="I488" s="189">
        <v>0.24112751288020201</v>
      </c>
      <c r="J488" s="189">
        <v>0.94026429277632195</v>
      </c>
      <c r="K488" s="189">
        <v>8.2756138881998498E-4</v>
      </c>
      <c r="L488" s="189">
        <v>1.69475355144755E-3</v>
      </c>
      <c r="M488" s="189">
        <v>7.9248456494121992E-3</v>
      </c>
      <c r="N488" s="189">
        <v>1.39999514360138E-2</v>
      </c>
      <c r="O488" s="189">
        <v>0.47941025393375097</v>
      </c>
      <c r="P488" s="189">
        <v>3.1422194477977601</v>
      </c>
      <c r="Q488" s="189">
        <v>1.0339604002659399E-2</v>
      </c>
      <c r="R488" s="189">
        <v>0.59560029203235498</v>
      </c>
      <c r="S488" s="189">
        <v>1.47497169650679E-2</v>
      </c>
      <c r="T488" s="189">
        <v>0.194354348731585</v>
      </c>
      <c r="U488" s="189">
        <v>0.33219634466259501</v>
      </c>
      <c r="V488" s="189">
        <v>0.36910852301563601</v>
      </c>
      <c r="W488" s="189"/>
      <c r="X488" s="90"/>
      <c r="Y488" s="188"/>
      <c r="Z488" s="188"/>
      <c r="AA488" s="188"/>
      <c r="AB488" s="188"/>
      <c r="AC488" s="188"/>
      <c r="AD488" s="190"/>
      <c r="AE488" s="189"/>
    </row>
    <row r="489" spans="1:31" ht="21.25" customHeight="1" x14ac:dyDescent="0.15">
      <c r="A489" s="9" t="s">
        <v>651</v>
      </c>
      <c r="B489" s="186" t="s">
        <v>847</v>
      </c>
      <c r="C489" s="187">
        <v>22</v>
      </c>
      <c r="D489" s="186" t="s">
        <v>818</v>
      </c>
      <c r="E489" s="90">
        <v>61.28</v>
      </c>
      <c r="F489" s="188">
        <v>16.024051929516801</v>
      </c>
      <c r="G489" s="189">
        <v>2.48661017085141E-2</v>
      </c>
      <c r="H489" s="189">
        <v>0.21554642061144799</v>
      </c>
      <c r="I489" s="189">
        <v>0.24041252231996199</v>
      </c>
      <c r="J489" s="189">
        <v>0.81135779282701603</v>
      </c>
      <c r="K489" s="189">
        <v>3.9777463785769699E-4</v>
      </c>
      <c r="L489" s="189">
        <v>2.3663606768103301E-3</v>
      </c>
      <c r="M489" s="189">
        <v>2.2895352278107199E-4</v>
      </c>
      <c r="N489" s="189">
        <v>1.0527314982046001E-3</v>
      </c>
      <c r="O489" s="189">
        <v>1.19105148330817</v>
      </c>
      <c r="P489" s="189">
        <v>0.997307640870013</v>
      </c>
      <c r="Q489" s="189">
        <v>-7.6462103585654806E-2</v>
      </c>
      <c r="R489" s="189">
        <v>0.48305715886869599</v>
      </c>
      <c r="S489" s="189">
        <v>3.2135767545681099E-3</v>
      </c>
      <c r="T489" s="189">
        <v>0</v>
      </c>
      <c r="U489" s="189">
        <v>0</v>
      </c>
      <c r="V489" s="189">
        <v>0</v>
      </c>
      <c r="W489" s="189"/>
      <c r="X489" s="90"/>
      <c r="Y489" s="188"/>
      <c r="Z489" s="188"/>
      <c r="AA489" s="188"/>
      <c r="AB489" s="188"/>
      <c r="AC489" s="188"/>
      <c r="AD489" s="190"/>
      <c r="AE489" s="189"/>
    </row>
    <row r="490" spans="1:31" ht="21.25" customHeight="1" x14ac:dyDescent="0.15">
      <c r="A490" s="9" t="s">
        <v>704</v>
      </c>
      <c r="B490" s="186" t="s">
        <v>824</v>
      </c>
      <c r="C490" s="187">
        <v>39</v>
      </c>
      <c r="D490" s="186" t="s">
        <v>817</v>
      </c>
      <c r="E490" s="90">
        <v>76.922499999999999</v>
      </c>
      <c r="F490" s="188">
        <v>11.244901856215</v>
      </c>
      <c r="G490" s="189">
        <v>0.113294703045638</v>
      </c>
      <c r="H490" s="189">
        <v>0.12640499763079599</v>
      </c>
      <c r="I490" s="189">
        <v>0.23969970067643401</v>
      </c>
      <c r="J490" s="189">
        <v>1.2553188327273599</v>
      </c>
      <c r="K490" s="189">
        <v>1.0109479625759799E-2</v>
      </c>
      <c r="L490" s="189">
        <v>1.7458240932285499E-2</v>
      </c>
      <c r="M490" s="189">
        <v>0</v>
      </c>
      <c r="N490" s="189">
        <v>0</v>
      </c>
      <c r="O490" s="189">
        <v>0.33871394050858999</v>
      </c>
      <c r="P490" s="189">
        <v>0.88739734869590003</v>
      </c>
      <c r="Q490" s="189">
        <v>5.3076429499621103E-4</v>
      </c>
      <c r="R490" s="189">
        <v>0.62347806942882</v>
      </c>
      <c r="S490" s="189">
        <v>1.8294280019374401E-2</v>
      </c>
      <c r="T490" s="189">
        <v>2.71656833997975E-3</v>
      </c>
      <c r="U490" s="189">
        <v>1.52156384507873E-2</v>
      </c>
      <c r="V490" s="189">
        <v>0.151491022364211</v>
      </c>
      <c r="W490" s="189"/>
      <c r="X490" s="90"/>
      <c r="Y490" s="188"/>
      <c r="Z490" s="188"/>
      <c r="AA490" s="188"/>
      <c r="AB490" s="188"/>
      <c r="AC490" s="188"/>
      <c r="AD490" s="190"/>
      <c r="AE490" s="189"/>
    </row>
    <row r="491" spans="1:31" ht="21.25" customHeight="1" x14ac:dyDescent="0.15">
      <c r="A491" s="9" t="s">
        <v>498</v>
      </c>
      <c r="B491" s="186" t="s">
        <v>858</v>
      </c>
      <c r="C491" s="187">
        <v>23</v>
      </c>
      <c r="D491" s="186" t="s">
        <v>818</v>
      </c>
      <c r="E491" s="90">
        <v>77.465000000000003</v>
      </c>
      <c r="F491" s="188">
        <v>18.470452955143699</v>
      </c>
      <c r="G491" s="189">
        <v>3.7993908096935501E-2</v>
      </c>
      <c r="H491" s="189">
        <v>0.20163250010681999</v>
      </c>
      <c r="I491" s="189">
        <v>0.239626408203756</v>
      </c>
      <c r="J491" s="189">
        <v>0.84551528355934402</v>
      </c>
      <c r="K491" s="189">
        <v>9.849685988205909E-4</v>
      </c>
      <c r="L491" s="189">
        <v>1.1943396715425899E-2</v>
      </c>
      <c r="M491" s="189">
        <v>5.9309049561707505E-4</v>
      </c>
      <c r="N491" s="189">
        <v>2.5197055902256402E-3</v>
      </c>
      <c r="O491" s="189">
        <v>1.70546915487562</v>
      </c>
      <c r="P491" s="189">
        <v>0.94492471427633695</v>
      </c>
      <c r="Q491" s="189">
        <v>-0.100743218698054</v>
      </c>
      <c r="R491" s="189">
        <v>0.36741446078613099</v>
      </c>
      <c r="S491" s="189">
        <v>4.4285528050686399E-3</v>
      </c>
      <c r="T491" s="189">
        <v>0</v>
      </c>
      <c r="U491" s="189">
        <v>0</v>
      </c>
      <c r="V491" s="189">
        <v>0</v>
      </c>
      <c r="W491" s="189"/>
      <c r="X491" s="90"/>
      <c r="Y491" s="188"/>
      <c r="Z491" s="188"/>
      <c r="AA491" s="188"/>
      <c r="AB491" s="188"/>
      <c r="AC491" s="188"/>
      <c r="AD491" s="190"/>
      <c r="AE491" s="189"/>
    </row>
    <row r="492" spans="1:31" ht="21.25" customHeight="1" x14ac:dyDescent="0.15">
      <c r="A492" s="9" t="s">
        <v>707</v>
      </c>
      <c r="B492" s="186" t="s">
        <v>842</v>
      </c>
      <c r="C492" s="187">
        <v>27</v>
      </c>
      <c r="D492" s="186" t="s">
        <v>817</v>
      </c>
      <c r="E492" s="90">
        <v>78.322500000000005</v>
      </c>
      <c r="F492" s="188">
        <v>11.426023434473899</v>
      </c>
      <c r="G492" s="189">
        <v>9.0034153043773005E-2</v>
      </c>
      <c r="H492" s="189">
        <v>0.14893377421613299</v>
      </c>
      <c r="I492" s="189">
        <v>0.23896792725990601</v>
      </c>
      <c r="J492" s="189">
        <v>1.14235931629267</v>
      </c>
      <c r="K492" s="189">
        <v>8.2339898951378095E-4</v>
      </c>
      <c r="L492" s="189">
        <v>1.9928445110342099E-3</v>
      </c>
      <c r="M492" s="189">
        <v>6.70672558824868E-3</v>
      </c>
      <c r="N492" s="189">
        <v>7.4507454522232102E-3</v>
      </c>
      <c r="O492" s="189">
        <v>0.40312288050436301</v>
      </c>
      <c r="P492" s="189">
        <v>1.5939513606308899</v>
      </c>
      <c r="Q492" s="189">
        <v>-3.8135386160332102E-2</v>
      </c>
      <c r="R492" s="189">
        <v>0.308341449657208</v>
      </c>
      <c r="S492" s="189">
        <v>1.23655305313771E-2</v>
      </c>
      <c r="T492" s="189">
        <v>0.72402289410743204</v>
      </c>
      <c r="U492" s="189">
        <v>1.70520281623963</v>
      </c>
      <c r="V492" s="189">
        <v>0.29804677721939299</v>
      </c>
      <c r="W492" s="189"/>
      <c r="X492" s="90"/>
      <c r="Y492" s="188"/>
      <c r="Z492" s="188"/>
      <c r="AA492" s="188"/>
      <c r="AB492" s="188"/>
      <c r="AC492" s="188"/>
      <c r="AD492" s="190"/>
      <c r="AE492" s="189"/>
    </row>
    <row r="493" spans="1:31" ht="21.25" customHeight="1" x14ac:dyDescent="0.15">
      <c r="A493" s="9" t="s">
        <v>766</v>
      </c>
      <c r="B493" s="186" t="s">
        <v>831</v>
      </c>
      <c r="C493" s="187">
        <v>31</v>
      </c>
      <c r="D493" s="186" t="s">
        <v>815</v>
      </c>
      <c r="E493" s="90">
        <v>62.655000000000001</v>
      </c>
      <c r="F493" s="188">
        <v>10.788953359289099</v>
      </c>
      <c r="G493" s="189">
        <v>8.1767811786697994E-2</v>
      </c>
      <c r="H493" s="189">
        <v>0.15681088610168001</v>
      </c>
      <c r="I493" s="189">
        <v>0.23857869788837799</v>
      </c>
      <c r="J493" s="189">
        <v>1.4457825304491001</v>
      </c>
      <c r="K493" s="189">
        <v>8.4093121404541001E-3</v>
      </c>
      <c r="L493" s="189">
        <v>1.91265374581682E-2</v>
      </c>
      <c r="M493" s="189">
        <v>2.52283239460054E-5</v>
      </c>
      <c r="N493" s="189">
        <v>4.4542677475210603E-5</v>
      </c>
      <c r="O493" s="189">
        <v>0.41203864451764399</v>
      </c>
      <c r="P493" s="189">
        <v>0.829047006327988</v>
      </c>
      <c r="Q493" s="189">
        <v>3.3535924873612198E-2</v>
      </c>
      <c r="R493" s="189">
        <v>0.25959763467867403</v>
      </c>
      <c r="S493" s="189">
        <v>1.3365627823874999E-2</v>
      </c>
      <c r="T493" s="189">
        <v>2.7677514728870198</v>
      </c>
      <c r="U493" s="189">
        <v>2.69763958152474</v>
      </c>
      <c r="V493" s="189">
        <v>0.50641416969657604</v>
      </c>
      <c r="W493" s="189"/>
      <c r="X493" s="90"/>
      <c r="Y493" s="188"/>
      <c r="Z493" s="188"/>
      <c r="AA493" s="188"/>
      <c r="AB493" s="188"/>
      <c r="AC493" s="188"/>
      <c r="AD493" s="190"/>
      <c r="AE493" s="189"/>
    </row>
    <row r="494" spans="1:31" ht="21.25" customHeight="1" x14ac:dyDescent="0.15">
      <c r="A494" s="9" t="s">
        <v>557</v>
      </c>
      <c r="B494" s="186" t="s">
        <v>839</v>
      </c>
      <c r="C494" s="187">
        <v>30</v>
      </c>
      <c r="D494" s="186" t="s">
        <v>818</v>
      </c>
      <c r="E494" s="90">
        <v>76.795000000000002</v>
      </c>
      <c r="F494" s="188">
        <v>16.336561895968298</v>
      </c>
      <c r="G494" s="189">
        <v>4.0793614135749702E-2</v>
      </c>
      <c r="H494" s="189">
        <v>0.197495703175703</v>
      </c>
      <c r="I494" s="189">
        <v>0.238289317311453</v>
      </c>
      <c r="J494" s="189">
        <v>1.0408154229530999</v>
      </c>
      <c r="K494" s="189">
        <v>2.5053380914768299E-4</v>
      </c>
      <c r="L494" s="189">
        <v>3.6642458562390701E-3</v>
      </c>
      <c r="M494" s="189">
        <v>1.9194828259451699E-4</v>
      </c>
      <c r="N494" s="189">
        <v>9.8390388255564006E-4</v>
      </c>
      <c r="O494" s="189">
        <v>1.1540093764204999</v>
      </c>
      <c r="P494" s="189">
        <v>0.89915213673716199</v>
      </c>
      <c r="Q494" s="189">
        <v>8.83867135445854E-3</v>
      </c>
      <c r="R494" s="189">
        <v>0.36287000133076802</v>
      </c>
      <c r="S494" s="189">
        <v>6.0473637511105098E-3</v>
      </c>
      <c r="T494" s="189">
        <v>0</v>
      </c>
      <c r="U494" s="189">
        <v>0</v>
      </c>
      <c r="V494" s="189">
        <v>0</v>
      </c>
      <c r="W494" s="189"/>
      <c r="X494" s="90"/>
      <c r="Y494" s="188"/>
      <c r="Z494" s="188"/>
      <c r="AA494" s="188"/>
      <c r="AB494" s="188"/>
      <c r="AC494" s="188"/>
      <c r="AD494" s="190"/>
      <c r="AE494" s="189"/>
    </row>
    <row r="495" spans="1:31" ht="21.25" customHeight="1" x14ac:dyDescent="0.15">
      <c r="A495" s="9" t="s">
        <v>682</v>
      </c>
      <c r="B495" s="186" t="s">
        <v>854</v>
      </c>
      <c r="C495" s="187">
        <v>31</v>
      </c>
      <c r="D495" s="186" t="s">
        <v>817</v>
      </c>
      <c r="E495" s="90">
        <v>71.627499999999998</v>
      </c>
      <c r="F495" s="188">
        <v>12.814924512289901</v>
      </c>
      <c r="G495" s="189">
        <v>0.14290762726642101</v>
      </c>
      <c r="H495" s="189">
        <v>9.4712310246941295E-2</v>
      </c>
      <c r="I495" s="189">
        <v>0.237619937513362</v>
      </c>
      <c r="J495" s="189">
        <v>1.54198208267354</v>
      </c>
      <c r="K495" s="189">
        <v>3.0437004045987502E-3</v>
      </c>
      <c r="L495" s="189">
        <v>8.49636670120856E-3</v>
      </c>
      <c r="M495" s="189">
        <v>2.59538625732521E-2</v>
      </c>
      <c r="N495" s="189">
        <v>2.7217862878152501E-2</v>
      </c>
      <c r="O495" s="189">
        <v>0.52802826022447102</v>
      </c>
      <c r="P495" s="189">
        <v>0.82275194340233704</v>
      </c>
      <c r="Q495" s="189">
        <v>-5.3815516320900501E-2</v>
      </c>
      <c r="R495" s="189">
        <v>0.41448547700420102</v>
      </c>
      <c r="S495" s="189">
        <v>1.6563175873687001E-2</v>
      </c>
      <c r="T495" s="189">
        <v>5.8860309700895501E-2</v>
      </c>
      <c r="U495" s="189">
        <v>0.14716107769779799</v>
      </c>
      <c r="V495" s="189">
        <v>0.28569999670465701</v>
      </c>
      <c r="W495" s="189"/>
      <c r="X495" s="90"/>
      <c r="Y495" s="188"/>
      <c r="Z495" s="188"/>
      <c r="AA495" s="188"/>
      <c r="AB495" s="188"/>
      <c r="AC495" s="188"/>
      <c r="AD495" s="190"/>
      <c r="AE495" s="189"/>
    </row>
    <row r="496" spans="1:31" ht="21.25" customHeight="1" x14ac:dyDescent="0.15">
      <c r="A496" s="9" t="s">
        <v>722</v>
      </c>
      <c r="B496" s="186" t="s">
        <v>830</v>
      </c>
      <c r="C496" s="187">
        <v>28</v>
      </c>
      <c r="D496" s="186" t="s">
        <v>816</v>
      </c>
      <c r="E496" s="90">
        <v>77.587500000000006</v>
      </c>
      <c r="F496" s="188">
        <v>13.0778989636789</v>
      </c>
      <c r="G496" s="189">
        <v>8.1967951127792996E-2</v>
      </c>
      <c r="H496" s="189">
        <v>0.15563411879592101</v>
      </c>
      <c r="I496" s="189">
        <v>0.23760206992371399</v>
      </c>
      <c r="J496" s="189">
        <v>1.2405359701957199</v>
      </c>
      <c r="K496" s="189">
        <v>5.4355453766246503E-4</v>
      </c>
      <c r="L496" s="189">
        <v>1.2977823431038699E-3</v>
      </c>
      <c r="M496" s="189">
        <v>7.6407301448497902E-3</v>
      </c>
      <c r="N496" s="189">
        <v>3.0503747566738099E-2</v>
      </c>
      <c r="O496" s="189">
        <v>0.41919564745979598</v>
      </c>
      <c r="P496" s="189">
        <v>2.64448896000704</v>
      </c>
      <c r="Q496" s="189">
        <v>1.37950634703379E-2</v>
      </c>
      <c r="R496" s="189">
        <v>0.613525045536365</v>
      </c>
      <c r="S496" s="189">
        <v>1.16060733517194E-2</v>
      </c>
      <c r="T496" s="189">
        <v>3.1892983536224197E-2</v>
      </c>
      <c r="U496" s="189">
        <v>0.15286828488332599</v>
      </c>
      <c r="V496" s="189">
        <v>0.17261725798397601</v>
      </c>
      <c r="W496" s="189"/>
      <c r="X496" s="90"/>
      <c r="Y496" s="188"/>
      <c r="Z496" s="188"/>
      <c r="AA496" s="188"/>
      <c r="AB496" s="188"/>
      <c r="AC496" s="188"/>
      <c r="AD496" s="190"/>
      <c r="AE496" s="189"/>
    </row>
    <row r="497" spans="1:31" ht="21.25" customHeight="1" x14ac:dyDescent="0.15">
      <c r="A497" s="9" t="s">
        <v>536</v>
      </c>
      <c r="B497" s="186" t="s">
        <v>841</v>
      </c>
      <c r="C497" s="187">
        <v>27</v>
      </c>
      <c r="D497" s="186" t="s">
        <v>818</v>
      </c>
      <c r="E497" s="90">
        <v>72.84</v>
      </c>
      <c r="F497" s="188">
        <v>16.9880937003959</v>
      </c>
      <c r="G497" s="189">
        <v>6.7951837037560706E-2</v>
      </c>
      <c r="H497" s="189">
        <v>0.16952157125945699</v>
      </c>
      <c r="I497" s="189">
        <v>0.23747340829701799</v>
      </c>
      <c r="J497" s="189">
        <v>1.0062002197089499</v>
      </c>
      <c r="K497" s="189">
        <v>3.1144314679507502E-4</v>
      </c>
      <c r="L497" s="189">
        <v>1.99624529765441E-3</v>
      </c>
      <c r="M497" s="189">
        <v>1.5730409611769099E-3</v>
      </c>
      <c r="N497" s="189">
        <v>6.4256072603051401E-3</v>
      </c>
      <c r="O497" s="189">
        <v>1.5556724093826699</v>
      </c>
      <c r="P497" s="189">
        <v>1.7486685006677301</v>
      </c>
      <c r="Q497" s="189">
        <v>3.1408202536673299E-2</v>
      </c>
      <c r="R497" s="189">
        <v>0.44827360242142</v>
      </c>
      <c r="S497" s="189">
        <v>1.0335562000613099E-2</v>
      </c>
      <c r="T497" s="189">
        <v>0</v>
      </c>
      <c r="U497" s="189">
        <v>0</v>
      </c>
      <c r="V497" s="189">
        <v>0</v>
      </c>
      <c r="W497" s="189"/>
      <c r="X497" s="90"/>
      <c r="Y497" s="188"/>
      <c r="Z497" s="188"/>
      <c r="AA497" s="188"/>
      <c r="AB497" s="188"/>
      <c r="AC497" s="188"/>
      <c r="AD497" s="190"/>
      <c r="AE497" s="189"/>
    </row>
    <row r="498" spans="1:31" ht="21.25" customHeight="1" x14ac:dyDescent="0.15">
      <c r="A498" s="9" t="s">
        <v>728</v>
      </c>
      <c r="B498" s="186" t="s">
        <v>852</v>
      </c>
      <c r="C498" s="187">
        <v>31</v>
      </c>
      <c r="D498" s="186" t="s">
        <v>815</v>
      </c>
      <c r="E498" s="90">
        <v>76.467500000000001</v>
      </c>
      <c r="F498" s="188">
        <v>13.195452201084599</v>
      </c>
      <c r="G498" s="189">
        <v>0.112198553013658</v>
      </c>
      <c r="H498" s="189">
        <v>0.12502213727433001</v>
      </c>
      <c r="I498" s="189">
        <v>0.23722069028798801</v>
      </c>
      <c r="J498" s="189">
        <v>1.3159448703555601</v>
      </c>
      <c r="K498" s="189">
        <v>1.0784596951393199E-3</v>
      </c>
      <c r="L498" s="189">
        <v>2.0751940373873699E-3</v>
      </c>
      <c r="M498" s="189">
        <v>4.1847987941968099E-3</v>
      </c>
      <c r="N498" s="189">
        <v>1.2988921652211501E-2</v>
      </c>
      <c r="O498" s="189">
        <v>0.54400432155268996</v>
      </c>
      <c r="P498" s="189">
        <v>2.1773758785155999</v>
      </c>
      <c r="Q498" s="189">
        <v>-0.104813706510107</v>
      </c>
      <c r="R498" s="189">
        <v>0.53692387766331795</v>
      </c>
      <c r="S498" s="189">
        <v>1.24074039585454E-2</v>
      </c>
      <c r="T498" s="189">
        <v>5.1941184523442301</v>
      </c>
      <c r="U498" s="189">
        <v>5.3913404273640602</v>
      </c>
      <c r="V498" s="189">
        <v>0.49068429733368002</v>
      </c>
      <c r="W498" s="189"/>
      <c r="X498" s="90"/>
      <c r="Y498" s="188"/>
      <c r="Z498" s="188"/>
      <c r="AA498" s="188"/>
      <c r="AB498" s="188"/>
      <c r="AC498" s="188"/>
      <c r="AD498" s="190"/>
      <c r="AE498" s="189"/>
    </row>
    <row r="499" spans="1:31" ht="21.25" customHeight="1" x14ac:dyDescent="0.15">
      <c r="A499" s="9" t="s">
        <v>503</v>
      </c>
      <c r="B499" s="186" t="s">
        <v>831</v>
      </c>
      <c r="C499" s="187">
        <v>26</v>
      </c>
      <c r="D499" s="186" t="s">
        <v>818</v>
      </c>
      <c r="E499" s="90">
        <v>77.952500000000001</v>
      </c>
      <c r="F499" s="188">
        <v>19.3274127760988</v>
      </c>
      <c r="G499" s="189">
        <v>3.7890111392803398E-2</v>
      </c>
      <c r="H499" s="189">
        <v>0.198890737147216</v>
      </c>
      <c r="I499" s="189">
        <v>0.23678084854001899</v>
      </c>
      <c r="J499" s="189">
        <v>1.0197022525308701</v>
      </c>
      <c r="K499" s="189">
        <v>1.4333167175789501E-4</v>
      </c>
      <c r="L499" s="189">
        <v>9.1839428294753704E-4</v>
      </c>
      <c r="M499" s="189">
        <v>4.1488606727800001E-4</v>
      </c>
      <c r="N499" s="189">
        <v>5.6485134321558198E-3</v>
      </c>
      <c r="O499" s="189">
        <v>1.4942992837526501</v>
      </c>
      <c r="P499" s="189">
        <v>1.45605158879121</v>
      </c>
      <c r="Q499" s="189">
        <v>4.7626270000939497E-2</v>
      </c>
      <c r="R499" s="189">
        <v>0.555231273986867</v>
      </c>
      <c r="S499" s="189">
        <v>6.1934533408140096E-3</v>
      </c>
      <c r="T499" s="189">
        <v>0</v>
      </c>
      <c r="U499" s="189">
        <v>0</v>
      </c>
      <c r="V499" s="189">
        <v>0</v>
      </c>
      <c r="W499" s="189"/>
      <c r="X499" s="90"/>
      <c r="Y499" s="188"/>
      <c r="Z499" s="188"/>
      <c r="AA499" s="188"/>
      <c r="AB499" s="188"/>
      <c r="AC499" s="188"/>
      <c r="AD499" s="190"/>
      <c r="AE499" s="189"/>
    </row>
    <row r="500" spans="1:31" ht="21.25" customHeight="1" x14ac:dyDescent="0.15">
      <c r="A500" s="9" t="s">
        <v>711</v>
      </c>
      <c r="B500" s="186" t="s">
        <v>833</v>
      </c>
      <c r="C500" s="187">
        <v>27</v>
      </c>
      <c r="D500" s="186" t="s">
        <v>815</v>
      </c>
      <c r="E500" s="90">
        <v>80.077500000000001</v>
      </c>
      <c r="F500" s="188">
        <v>13.9445034852659</v>
      </c>
      <c r="G500" s="189">
        <v>0.14035452380903099</v>
      </c>
      <c r="H500" s="189">
        <v>9.5479091132688404E-2</v>
      </c>
      <c r="I500" s="189">
        <v>0.23583361494171901</v>
      </c>
      <c r="J500" s="189">
        <v>1.5068778196803201</v>
      </c>
      <c r="K500" s="189">
        <v>5.4449975542289399E-4</v>
      </c>
      <c r="L500" s="189">
        <v>1.76677854859529E-3</v>
      </c>
      <c r="M500" s="189">
        <v>7.0216636899915804E-3</v>
      </c>
      <c r="N500" s="189">
        <v>1.32686621299648E-2</v>
      </c>
      <c r="O500" s="189">
        <v>0.44631002406739101</v>
      </c>
      <c r="P500" s="189">
        <v>2.2565705732807899</v>
      </c>
      <c r="Q500" s="189">
        <v>-1.99550945689005E-4</v>
      </c>
      <c r="R500" s="189">
        <v>0.427961994941432</v>
      </c>
      <c r="S500" s="189">
        <v>2.3169602267464701E-2</v>
      </c>
      <c r="T500" s="189">
        <v>0.82728540961319297</v>
      </c>
      <c r="U500" s="189">
        <v>1.23127570285407</v>
      </c>
      <c r="V500" s="189">
        <v>0.40187556473446601</v>
      </c>
      <c r="W500" s="189"/>
      <c r="X500" s="90"/>
      <c r="Y500" s="188"/>
      <c r="Z500" s="188"/>
      <c r="AA500" s="188"/>
      <c r="AB500" s="188"/>
      <c r="AC500" s="188"/>
      <c r="AD500" s="190"/>
      <c r="AE500" s="189"/>
    </row>
    <row r="501" spans="1:31" ht="21.25" customHeight="1" x14ac:dyDescent="0.15">
      <c r="A501" s="9" t="s">
        <v>401</v>
      </c>
      <c r="B501" s="186" t="s">
        <v>841</v>
      </c>
      <c r="C501" s="187">
        <v>33</v>
      </c>
      <c r="D501" s="186" t="s">
        <v>818</v>
      </c>
      <c r="E501" s="90">
        <v>80.73</v>
      </c>
      <c r="F501" s="188">
        <v>19.409836636869901</v>
      </c>
      <c r="G501" s="189">
        <v>2.8200503419682499E-2</v>
      </c>
      <c r="H501" s="189">
        <v>0.20693783120131901</v>
      </c>
      <c r="I501" s="189">
        <v>0.235138334621002</v>
      </c>
      <c r="J501" s="189">
        <v>1.0117524577222301</v>
      </c>
      <c r="K501" s="189">
        <v>2.3133041609521801E-4</v>
      </c>
      <c r="L501" s="189">
        <v>1.7195126846583199E-3</v>
      </c>
      <c r="M501" s="189">
        <v>2.7988672696193799E-4</v>
      </c>
      <c r="N501" s="189">
        <v>1.2748057754449401E-2</v>
      </c>
      <c r="O501" s="189">
        <v>2.3425607240918298</v>
      </c>
      <c r="P501" s="189">
        <v>1.90101728422216</v>
      </c>
      <c r="Q501" s="189">
        <v>3.3598972402660902E-2</v>
      </c>
      <c r="R501" s="189">
        <v>0.49389071686605002</v>
      </c>
      <c r="S501" s="189">
        <v>4.2893329194546997E-3</v>
      </c>
      <c r="T501" s="189">
        <v>0</v>
      </c>
      <c r="U501" s="189">
        <v>0</v>
      </c>
      <c r="V501" s="189">
        <v>0</v>
      </c>
      <c r="W501" s="189"/>
      <c r="X501" s="90"/>
      <c r="Y501" s="188"/>
      <c r="Z501" s="188"/>
      <c r="AA501" s="188"/>
      <c r="AB501" s="188"/>
      <c r="AC501" s="188"/>
      <c r="AD501" s="190"/>
      <c r="AE501" s="189"/>
    </row>
    <row r="502" spans="1:31" ht="21.25" customHeight="1" x14ac:dyDescent="0.15">
      <c r="A502" s="9" t="s">
        <v>428</v>
      </c>
      <c r="B502" s="186" t="s">
        <v>855</v>
      </c>
      <c r="C502" s="187">
        <v>31</v>
      </c>
      <c r="D502" s="186" t="s">
        <v>818</v>
      </c>
      <c r="E502" s="90">
        <v>80.067499999999995</v>
      </c>
      <c r="F502" s="188">
        <v>19.844814404697999</v>
      </c>
      <c r="G502" s="189">
        <v>4.8981119827877402E-2</v>
      </c>
      <c r="H502" s="189">
        <v>0.18549167215499701</v>
      </c>
      <c r="I502" s="189">
        <v>0.23447279198287399</v>
      </c>
      <c r="J502" s="189">
        <v>1.19752846902794</v>
      </c>
      <c r="K502" s="189">
        <v>1.2851680977071699E-4</v>
      </c>
      <c r="L502" s="189">
        <v>8.52675486628947E-4</v>
      </c>
      <c r="M502" s="189">
        <v>3.6789509016569102E-4</v>
      </c>
      <c r="N502" s="189">
        <v>1.00081274595324E-2</v>
      </c>
      <c r="O502" s="189">
        <v>1.9679821629346499</v>
      </c>
      <c r="P502" s="189">
        <v>1.53597517905005</v>
      </c>
      <c r="Q502" s="189">
        <v>-1.5327849419602101E-2</v>
      </c>
      <c r="R502" s="189">
        <v>0.60034368363527402</v>
      </c>
      <c r="S502" s="189">
        <v>7.4376689615601602E-3</v>
      </c>
      <c r="T502" s="189">
        <v>0</v>
      </c>
      <c r="U502" s="189">
        <v>0</v>
      </c>
      <c r="V502" s="189">
        <v>0</v>
      </c>
      <c r="W502" s="189"/>
      <c r="X502" s="90"/>
      <c r="Y502" s="188"/>
      <c r="Z502" s="188"/>
      <c r="AA502" s="188"/>
      <c r="AB502" s="188"/>
      <c r="AC502" s="188"/>
      <c r="AD502" s="190"/>
      <c r="AE502" s="189"/>
    </row>
    <row r="503" spans="1:31" ht="21.25" customHeight="1" x14ac:dyDescent="0.15">
      <c r="A503" s="9" t="s">
        <v>763</v>
      </c>
      <c r="B503" s="186" t="s">
        <v>829</v>
      </c>
      <c r="C503" s="187">
        <v>24</v>
      </c>
      <c r="D503" s="186" t="s">
        <v>815</v>
      </c>
      <c r="E503" s="90">
        <v>74.552499999999995</v>
      </c>
      <c r="F503" s="188">
        <v>10.953258975248101</v>
      </c>
      <c r="G503" s="189">
        <v>9.8624873492239404E-2</v>
      </c>
      <c r="H503" s="189">
        <v>0.13527942788334801</v>
      </c>
      <c r="I503" s="189">
        <v>0.23390430137558699</v>
      </c>
      <c r="J503" s="189">
        <v>1.1579010950105</v>
      </c>
      <c r="K503" s="189">
        <v>2.5424000742993399E-3</v>
      </c>
      <c r="L503" s="189">
        <v>5.4196553526350798E-3</v>
      </c>
      <c r="M503" s="189">
        <v>6.4810287308836698E-6</v>
      </c>
      <c r="N503" s="189">
        <v>1.09759470581707E-5</v>
      </c>
      <c r="O503" s="189">
        <v>0.34432157960146298</v>
      </c>
      <c r="P503" s="189">
        <v>2.4856886995720902</v>
      </c>
      <c r="Q503" s="189">
        <v>5.09348513878413E-3</v>
      </c>
      <c r="R503" s="189">
        <v>0.31701488774734798</v>
      </c>
      <c r="S503" s="189">
        <v>1.48801580786443E-2</v>
      </c>
      <c r="T503" s="189">
        <v>0.26462939044734501</v>
      </c>
      <c r="U503" s="189">
        <v>0.301435659859002</v>
      </c>
      <c r="V503" s="189">
        <v>0.467489364171364</v>
      </c>
      <c r="W503" s="189"/>
      <c r="X503" s="90"/>
      <c r="Y503" s="188"/>
      <c r="Z503" s="188"/>
      <c r="AA503" s="188"/>
      <c r="AB503" s="188"/>
      <c r="AC503" s="188"/>
      <c r="AD503" s="190"/>
      <c r="AE503" s="189"/>
    </row>
    <row r="504" spans="1:31" ht="21.25" customHeight="1" x14ac:dyDescent="0.15">
      <c r="A504" s="9" t="s">
        <v>633</v>
      </c>
      <c r="B504" s="186" t="s">
        <v>856</v>
      </c>
      <c r="C504" s="187">
        <v>24</v>
      </c>
      <c r="D504" s="186" t="s">
        <v>818</v>
      </c>
      <c r="E504" s="90">
        <v>62.64</v>
      </c>
      <c r="F504" s="188">
        <v>15.132553654873499</v>
      </c>
      <c r="G504" s="189">
        <v>5.00150324437523E-2</v>
      </c>
      <c r="H504" s="189">
        <v>0.18373167765717199</v>
      </c>
      <c r="I504" s="189">
        <v>0.23374671010092399</v>
      </c>
      <c r="J504" s="189">
        <v>0.86808303717570101</v>
      </c>
      <c r="K504" s="189">
        <v>7.9010069537106507E-3</v>
      </c>
      <c r="L504" s="189">
        <v>3.4499721601712101E-2</v>
      </c>
      <c r="M504" s="189">
        <v>1.72040233767593E-4</v>
      </c>
      <c r="N504" s="189">
        <v>4.0270620458047503E-3</v>
      </c>
      <c r="O504" s="189">
        <v>1.1807942645956999</v>
      </c>
      <c r="P504" s="189">
        <v>0.85279932267984804</v>
      </c>
      <c r="Q504" s="189">
        <v>-3.7418015963958703E-2</v>
      </c>
      <c r="R504" s="189">
        <v>0.401328899372624</v>
      </c>
      <c r="S504" s="189">
        <v>7.2496552958874498E-3</v>
      </c>
      <c r="T504" s="189">
        <v>0</v>
      </c>
      <c r="U504" s="189">
        <v>0</v>
      </c>
      <c r="V504" s="189">
        <v>0</v>
      </c>
      <c r="W504" s="189"/>
      <c r="X504" s="90"/>
      <c r="Y504" s="188"/>
      <c r="Z504" s="188"/>
      <c r="AA504" s="188"/>
      <c r="AB504" s="188"/>
      <c r="AC504" s="188"/>
      <c r="AD504" s="190"/>
      <c r="AE504" s="189"/>
    </row>
    <row r="505" spans="1:31" ht="21.25" customHeight="1" x14ac:dyDescent="0.15">
      <c r="A505" s="9" t="s">
        <v>458</v>
      </c>
      <c r="B505" s="186" t="s">
        <v>833</v>
      </c>
      <c r="C505" s="187">
        <v>28</v>
      </c>
      <c r="D505" s="186" t="s">
        <v>818</v>
      </c>
      <c r="E505" s="90">
        <v>79.662499999999994</v>
      </c>
      <c r="F505" s="188">
        <v>18.727395642989102</v>
      </c>
      <c r="G505" s="189">
        <v>5.76968382411185E-2</v>
      </c>
      <c r="H505" s="189">
        <v>0.175672291686716</v>
      </c>
      <c r="I505" s="189">
        <v>0.23336912992783501</v>
      </c>
      <c r="J505" s="189">
        <v>1.0055723809380901</v>
      </c>
      <c r="K505" s="189">
        <v>1.7159960064813001E-4</v>
      </c>
      <c r="L505" s="189">
        <v>1.37386436499457E-3</v>
      </c>
      <c r="M505" s="189">
        <v>3.2742089404945999E-4</v>
      </c>
      <c r="N505" s="189">
        <v>1.1734951392799901E-2</v>
      </c>
      <c r="O505" s="189">
        <v>1.8500471134370999</v>
      </c>
      <c r="P505" s="189">
        <v>1.6108934133170001</v>
      </c>
      <c r="Q505" s="189">
        <v>-2.2058887318187101E-2</v>
      </c>
      <c r="R505" s="189">
        <v>0.81211169907971403</v>
      </c>
      <c r="S505" s="189">
        <v>9.5245436902045098E-3</v>
      </c>
      <c r="T505" s="189">
        <v>0</v>
      </c>
      <c r="U505" s="189">
        <v>0</v>
      </c>
      <c r="V505" s="189">
        <v>0</v>
      </c>
      <c r="W505" s="189"/>
      <c r="X505" s="90"/>
      <c r="Y505" s="188"/>
      <c r="Z505" s="188"/>
      <c r="AA505" s="188"/>
      <c r="AB505" s="188"/>
      <c r="AC505" s="188"/>
      <c r="AD505" s="190"/>
      <c r="AE505" s="189"/>
    </row>
    <row r="506" spans="1:31" ht="21.25" customHeight="1" x14ac:dyDescent="0.15">
      <c r="A506" s="9" t="s">
        <v>672</v>
      </c>
      <c r="B506" s="186" t="s">
        <v>831</v>
      </c>
      <c r="C506" s="187">
        <v>23</v>
      </c>
      <c r="D506" s="186" t="s">
        <v>818</v>
      </c>
      <c r="E506" s="90">
        <v>56.902500000000003</v>
      </c>
      <c r="F506" s="188">
        <v>14.6430171797816</v>
      </c>
      <c r="G506" s="189">
        <v>5.4341856397454098E-2</v>
      </c>
      <c r="H506" s="189">
        <v>0.17626432035955999</v>
      </c>
      <c r="I506" s="189">
        <v>0.230606176757014</v>
      </c>
      <c r="J506" s="189">
        <v>1.14565884224364</v>
      </c>
      <c r="K506" s="189">
        <v>2.3255820920059199E-4</v>
      </c>
      <c r="L506" s="189">
        <v>1.4807445983570199E-3</v>
      </c>
      <c r="M506" s="189">
        <v>1.0734723996713199E-4</v>
      </c>
      <c r="N506" s="189">
        <v>5.2828198357508999E-4</v>
      </c>
      <c r="O506" s="189">
        <v>0.95736322184726197</v>
      </c>
      <c r="P506" s="189">
        <v>0.98459699477683704</v>
      </c>
      <c r="Q506" s="189">
        <v>2.3366412648605499E-2</v>
      </c>
      <c r="R506" s="189">
        <v>0.31505261559802999</v>
      </c>
      <c r="S506" s="189">
        <v>8.8826276745856206E-3</v>
      </c>
      <c r="T506" s="189">
        <v>0</v>
      </c>
      <c r="U506" s="189">
        <v>0</v>
      </c>
      <c r="V506" s="189">
        <v>0</v>
      </c>
      <c r="W506" s="189"/>
      <c r="X506" s="90"/>
      <c r="Y506" s="188"/>
      <c r="Z506" s="188"/>
      <c r="AA506" s="188"/>
      <c r="AB506" s="188"/>
      <c r="AC506" s="188"/>
      <c r="AD506" s="190"/>
      <c r="AE506" s="189"/>
    </row>
    <row r="507" spans="1:31" ht="21.25" customHeight="1" x14ac:dyDescent="0.15">
      <c r="A507" s="9" t="s">
        <v>427</v>
      </c>
      <c r="B507" s="186" t="s">
        <v>858</v>
      </c>
      <c r="C507" s="187">
        <v>34</v>
      </c>
      <c r="D507" s="186" t="s">
        <v>818</v>
      </c>
      <c r="E507" s="90">
        <v>77.314999999999998</v>
      </c>
      <c r="F507" s="188">
        <v>19.123214692955202</v>
      </c>
      <c r="G507" s="189">
        <v>4.5753042297102101E-2</v>
      </c>
      <c r="H507" s="189">
        <v>0.18374418109461901</v>
      </c>
      <c r="I507" s="189">
        <v>0.22949722339172099</v>
      </c>
      <c r="J507" s="189">
        <v>1.33134500763998</v>
      </c>
      <c r="K507" s="189">
        <v>3.2721602659935002E-4</v>
      </c>
      <c r="L507" s="189">
        <v>2.2278296546349901E-3</v>
      </c>
      <c r="M507" s="189">
        <v>2.1106544107898401E-3</v>
      </c>
      <c r="N507" s="189">
        <v>8.9684200088369793E-3</v>
      </c>
      <c r="O507" s="189">
        <v>2.0340939135776601</v>
      </c>
      <c r="P507" s="189">
        <v>3.3191883330044498</v>
      </c>
      <c r="Q507" s="189">
        <v>-4.9441529985084803E-2</v>
      </c>
      <c r="R507" s="189">
        <v>1.15469302981244</v>
      </c>
      <c r="S507" s="189">
        <v>5.3329539906319398E-3</v>
      </c>
      <c r="T507" s="189">
        <v>0</v>
      </c>
      <c r="U507" s="189">
        <v>0</v>
      </c>
      <c r="V507" s="189">
        <v>0</v>
      </c>
      <c r="W507" s="189"/>
      <c r="X507" s="90"/>
      <c r="Y507" s="188"/>
      <c r="Z507" s="188"/>
      <c r="AA507" s="188"/>
      <c r="AB507" s="188"/>
      <c r="AC507" s="188"/>
      <c r="AD507" s="190"/>
      <c r="AE507" s="189"/>
    </row>
    <row r="508" spans="1:31" ht="21.25" customHeight="1" x14ac:dyDescent="0.15">
      <c r="A508" s="9" t="s">
        <v>425</v>
      </c>
      <c r="B508" s="186" t="s">
        <v>842</v>
      </c>
      <c r="C508" s="187">
        <v>33</v>
      </c>
      <c r="D508" s="186" t="s">
        <v>818</v>
      </c>
      <c r="E508" s="90">
        <v>79.517499999999998</v>
      </c>
      <c r="F508" s="188">
        <v>19.136304255854299</v>
      </c>
      <c r="G508" s="189">
        <v>5.7608839906849799E-2</v>
      </c>
      <c r="H508" s="189">
        <v>0.17169366914607601</v>
      </c>
      <c r="I508" s="189">
        <v>0.22930250905292601</v>
      </c>
      <c r="J508" s="189">
        <v>1.3101755391600001</v>
      </c>
      <c r="K508" s="189">
        <v>5.3405723577539205E-4</v>
      </c>
      <c r="L508" s="189">
        <v>1.49356875896159E-3</v>
      </c>
      <c r="M508" s="189">
        <v>3.1476637420390898E-4</v>
      </c>
      <c r="N508" s="189">
        <v>1.38076093914416E-3</v>
      </c>
      <c r="O508" s="189">
        <v>1.9787382664866699</v>
      </c>
      <c r="P508" s="189">
        <v>1.8733555069777901</v>
      </c>
      <c r="Q508" s="189">
        <v>-6.6203898605003697E-2</v>
      </c>
      <c r="R508" s="189">
        <v>0.60514903878124204</v>
      </c>
      <c r="S508" s="189">
        <v>7.9121516076130407E-3</v>
      </c>
      <c r="T508" s="189">
        <v>0</v>
      </c>
      <c r="U508" s="189">
        <v>0</v>
      </c>
      <c r="V508" s="189">
        <v>0</v>
      </c>
      <c r="W508" s="189"/>
      <c r="X508" s="90"/>
      <c r="Y508" s="188"/>
      <c r="Z508" s="188"/>
      <c r="AA508" s="188"/>
      <c r="AB508" s="188"/>
      <c r="AC508" s="188"/>
      <c r="AD508" s="190"/>
      <c r="AE508" s="189"/>
    </row>
    <row r="509" spans="1:31" ht="21.25" customHeight="1" x14ac:dyDescent="0.15">
      <c r="A509" s="9" t="s">
        <v>727</v>
      </c>
      <c r="B509" s="186" t="s">
        <v>829</v>
      </c>
      <c r="C509" s="187">
        <v>26</v>
      </c>
      <c r="D509" s="186" t="s">
        <v>817</v>
      </c>
      <c r="E509" s="90">
        <v>70.697500000000005</v>
      </c>
      <c r="F509" s="188">
        <v>10.059342697173999</v>
      </c>
      <c r="G509" s="189">
        <v>0.10289138676399499</v>
      </c>
      <c r="H509" s="189">
        <v>0.125750928179439</v>
      </c>
      <c r="I509" s="189">
        <v>0.22864231494343401</v>
      </c>
      <c r="J509" s="189">
        <v>1.0457871266223699</v>
      </c>
      <c r="K509" s="189">
        <v>3.7394698618873098E-3</v>
      </c>
      <c r="L509" s="189">
        <v>7.0376684481194499E-3</v>
      </c>
      <c r="M509" s="189">
        <v>2.1172578232306698E-3</v>
      </c>
      <c r="N509" s="189">
        <v>3.60370704941453E-3</v>
      </c>
      <c r="O509" s="189">
        <v>0.55018578947251495</v>
      </c>
      <c r="P509" s="189">
        <v>2.2137879114199999</v>
      </c>
      <c r="Q509" s="189">
        <v>2.2419335016645999E-2</v>
      </c>
      <c r="R509" s="189">
        <v>0.47005356277374999</v>
      </c>
      <c r="S509" s="189">
        <v>1.5523873904889201E-2</v>
      </c>
      <c r="T509" s="189">
        <v>0.235608514872056</v>
      </c>
      <c r="U509" s="189">
        <v>0.300236075085341</v>
      </c>
      <c r="V509" s="189">
        <v>0.43969561191387402</v>
      </c>
      <c r="W509" s="189"/>
      <c r="X509" s="90"/>
      <c r="Y509" s="188"/>
      <c r="Z509" s="188"/>
      <c r="AA509" s="188"/>
      <c r="AB509" s="188"/>
      <c r="AC509" s="188"/>
      <c r="AD509" s="190"/>
      <c r="AE509" s="189"/>
    </row>
    <row r="510" spans="1:31" ht="21.25" customHeight="1" x14ac:dyDescent="0.15">
      <c r="A510" s="9" t="s">
        <v>590</v>
      </c>
      <c r="B510" s="186" t="s">
        <v>854</v>
      </c>
      <c r="C510" s="187">
        <v>23</v>
      </c>
      <c r="D510" s="186" t="s">
        <v>818</v>
      </c>
      <c r="E510" s="90">
        <v>67.522499999999994</v>
      </c>
      <c r="F510" s="188">
        <v>15.625909781354199</v>
      </c>
      <c r="G510" s="189">
        <v>6.4118778806218302E-2</v>
      </c>
      <c r="H510" s="189">
        <v>0.163646256231475</v>
      </c>
      <c r="I510" s="189">
        <v>0.22776503503769299</v>
      </c>
      <c r="J510" s="189">
        <v>1.24390156240483</v>
      </c>
      <c r="K510" s="189">
        <v>3.9516877875197202E-3</v>
      </c>
      <c r="L510" s="189">
        <v>9.8206863742721293E-3</v>
      </c>
      <c r="M510" s="189">
        <v>4.9392061058628901E-4</v>
      </c>
      <c r="N510" s="189">
        <v>2.4481131527865599E-3</v>
      </c>
      <c r="O510" s="189">
        <v>1.1665895899871599</v>
      </c>
      <c r="P510" s="189">
        <v>2.3008535785434301</v>
      </c>
      <c r="Q510" s="189">
        <v>-4.59220724515121E-2</v>
      </c>
      <c r="R510" s="189">
        <v>1.0960279766859999</v>
      </c>
      <c r="S510" s="189">
        <v>7.4314480653543602E-3</v>
      </c>
      <c r="T510" s="189">
        <v>0</v>
      </c>
      <c r="U510" s="189">
        <v>0</v>
      </c>
      <c r="V510" s="189">
        <v>0</v>
      </c>
      <c r="W510" s="189"/>
      <c r="X510" s="90"/>
      <c r="Y510" s="188"/>
      <c r="Z510" s="188"/>
      <c r="AA510" s="188"/>
      <c r="AB510" s="188"/>
      <c r="AC510" s="188"/>
      <c r="AD510" s="190"/>
      <c r="AE510" s="189"/>
    </row>
    <row r="511" spans="1:31" ht="21.25" customHeight="1" x14ac:dyDescent="0.15">
      <c r="A511" s="9" t="s">
        <v>577</v>
      </c>
      <c r="B511" s="186" t="s">
        <v>845</v>
      </c>
      <c r="C511" s="187">
        <v>26</v>
      </c>
      <c r="D511" s="186" t="s">
        <v>818</v>
      </c>
      <c r="E511" s="90">
        <v>69.405000000000001</v>
      </c>
      <c r="F511" s="188">
        <v>16.361949646674798</v>
      </c>
      <c r="G511" s="189">
        <v>5.9655448368006403E-2</v>
      </c>
      <c r="H511" s="189">
        <v>0.16809839849128899</v>
      </c>
      <c r="I511" s="189">
        <v>0.22775384685929501</v>
      </c>
      <c r="J511" s="189">
        <v>1.0512607418675199</v>
      </c>
      <c r="K511" s="189">
        <v>5.1389027266021095E-4</v>
      </c>
      <c r="L511" s="189">
        <v>2.82434800128359E-3</v>
      </c>
      <c r="M511" s="189">
        <v>3.53161182663643E-4</v>
      </c>
      <c r="N511" s="189">
        <v>4.03486340082499E-3</v>
      </c>
      <c r="O511" s="189">
        <v>1.4387718821431299</v>
      </c>
      <c r="P511" s="189">
        <v>0.70678718088637305</v>
      </c>
      <c r="Q511" s="189">
        <v>-9.9901595868140403E-2</v>
      </c>
      <c r="R511" s="189">
        <v>0.39655037439135099</v>
      </c>
      <c r="S511" s="189">
        <v>8.6669689378448198E-3</v>
      </c>
      <c r="T511" s="189">
        <v>0</v>
      </c>
      <c r="U511" s="189">
        <v>0</v>
      </c>
      <c r="V511" s="189">
        <v>0</v>
      </c>
      <c r="W511" s="189"/>
      <c r="X511" s="90"/>
      <c r="Y511" s="188"/>
      <c r="Z511" s="188"/>
      <c r="AA511" s="188"/>
      <c r="AB511" s="188"/>
      <c r="AC511" s="188"/>
      <c r="AD511" s="190"/>
      <c r="AE511" s="189"/>
    </row>
    <row r="512" spans="1:31" ht="21.25" customHeight="1" x14ac:dyDescent="0.15">
      <c r="A512" s="9" t="s">
        <v>622</v>
      </c>
      <c r="B512" s="186" t="s">
        <v>848</v>
      </c>
      <c r="C512" s="187">
        <v>25</v>
      </c>
      <c r="D512" s="186" t="s">
        <v>818</v>
      </c>
      <c r="E512" s="90">
        <v>70.542500000000004</v>
      </c>
      <c r="F512" s="188">
        <v>14.8304849268095</v>
      </c>
      <c r="G512" s="189">
        <v>4.6453498167761099E-2</v>
      </c>
      <c r="H512" s="189">
        <v>0.18085189608321101</v>
      </c>
      <c r="I512" s="189">
        <v>0.22730539425097199</v>
      </c>
      <c r="J512" s="189">
        <v>1.00691056353107</v>
      </c>
      <c r="K512" s="189">
        <v>6.0383768418944205E-4</v>
      </c>
      <c r="L512" s="189">
        <v>2.4880145109234999E-3</v>
      </c>
      <c r="M512" s="189">
        <v>1.3924553619783299E-4</v>
      </c>
      <c r="N512" s="189">
        <v>6.8441435728110297E-4</v>
      </c>
      <c r="O512" s="189">
        <v>0.87082380507588697</v>
      </c>
      <c r="P512" s="189">
        <v>1.08734728158005</v>
      </c>
      <c r="Q512" s="189">
        <v>-3.4684748733245598E-3</v>
      </c>
      <c r="R512" s="189">
        <v>0.40224236006839897</v>
      </c>
      <c r="S512" s="189">
        <v>5.5927267945800902E-3</v>
      </c>
      <c r="T512" s="189">
        <v>0</v>
      </c>
      <c r="U512" s="189">
        <v>0</v>
      </c>
      <c r="V512" s="189">
        <v>0</v>
      </c>
      <c r="W512" s="189"/>
      <c r="X512" s="90"/>
      <c r="Y512" s="188"/>
      <c r="Z512" s="188"/>
      <c r="AA512" s="188"/>
      <c r="AB512" s="188"/>
      <c r="AC512" s="188"/>
      <c r="AD512" s="190"/>
      <c r="AE512" s="189"/>
    </row>
    <row r="513" spans="1:31" ht="21.25" customHeight="1" x14ac:dyDescent="0.15">
      <c r="A513" s="9" t="s">
        <v>504</v>
      </c>
      <c r="B513" s="186" t="s">
        <v>844</v>
      </c>
      <c r="C513" s="187">
        <v>24</v>
      </c>
      <c r="D513" s="186" t="s">
        <v>818</v>
      </c>
      <c r="E513" s="90">
        <v>76.827500000000001</v>
      </c>
      <c r="F513" s="188">
        <v>18.116344270490199</v>
      </c>
      <c r="G513" s="189">
        <v>6.4419474149686906E-2</v>
      </c>
      <c r="H513" s="189">
        <v>0.162839643100371</v>
      </c>
      <c r="I513" s="189">
        <v>0.22725911725005801</v>
      </c>
      <c r="J513" s="189">
        <v>0.992282301273814</v>
      </c>
      <c r="K513" s="189">
        <v>2.6071780138734298E-4</v>
      </c>
      <c r="L513" s="189">
        <v>1.6758816100902901E-3</v>
      </c>
      <c r="M513" s="189">
        <v>2.9043418259921999E-3</v>
      </c>
      <c r="N513" s="189">
        <v>1.41574331780182E-2</v>
      </c>
      <c r="O513" s="189">
        <v>1.60151453665512</v>
      </c>
      <c r="P513" s="189">
        <v>2.4397363801115901</v>
      </c>
      <c r="Q513" s="189">
        <v>-4.2807346645254499E-2</v>
      </c>
      <c r="R513" s="189">
        <v>0.37135705590841001</v>
      </c>
      <c r="S513" s="189">
        <v>9.1419308821487199E-3</v>
      </c>
      <c r="T513" s="189">
        <v>0</v>
      </c>
      <c r="U513" s="189">
        <v>0</v>
      </c>
      <c r="V513" s="189">
        <v>0</v>
      </c>
      <c r="W513" s="189"/>
      <c r="X513" s="90"/>
      <c r="Y513" s="188"/>
      <c r="Z513" s="188"/>
      <c r="AA513" s="188"/>
      <c r="AB513" s="188"/>
      <c r="AC513" s="188"/>
      <c r="AD513" s="190"/>
      <c r="AE513" s="189"/>
    </row>
    <row r="514" spans="1:31" ht="21.25" customHeight="1" x14ac:dyDescent="0.15">
      <c r="A514" s="9" t="s">
        <v>726</v>
      </c>
      <c r="B514" s="186" t="s">
        <v>859</v>
      </c>
      <c r="C514" s="187">
        <v>31</v>
      </c>
      <c r="D514" s="186" t="s">
        <v>815</v>
      </c>
      <c r="E514" s="90">
        <v>81.375</v>
      </c>
      <c r="F514" s="188">
        <v>12.468342196601499</v>
      </c>
      <c r="G514" s="189">
        <v>7.8529702499433807E-2</v>
      </c>
      <c r="H514" s="189">
        <v>0.147755144187879</v>
      </c>
      <c r="I514" s="189">
        <v>0.226284846687313</v>
      </c>
      <c r="J514" s="189">
        <v>0.86612297288219098</v>
      </c>
      <c r="K514" s="189">
        <v>7.4772788898252204E-4</v>
      </c>
      <c r="L514" s="189">
        <v>1.4983383002761101E-3</v>
      </c>
      <c r="M514" s="189">
        <v>7.6467362463292403E-3</v>
      </c>
      <c r="N514" s="189">
        <v>1.56231099814745E-2</v>
      </c>
      <c r="O514" s="189">
        <v>0.86805832747873901</v>
      </c>
      <c r="P514" s="189">
        <v>1.7684930812144799</v>
      </c>
      <c r="Q514" s="189">
        <v>1.8112833654654398E-2</v>
      </c>
      <c r="R514" s="189">
        <v>0.58278345676924204</v>
      </c>
      <c r="S514" s="189">
        <v>8.3877673337545595E-3</v>
      </c>
      <c r="T514" s="189">
        <v>3.6834805661800898</v>
      </c>
      <c r="U514" s="189">
        <v>3.7064497696105101</v>
      </c>
      <c r="V514" s="189">
        <v>0.49844591204607303</v>
      </c>
      <c r="W514" s="189"/>
      <c r="X514" s="90"/>
      <c r="Y514" s="188"/>
      <c r="Z514" s="188"/>
      <c r="AA514" s="188"/>
      <c r="AB514" s="188"/>
      <c r="AC514" s="188"/>
      <c r="AD514" s="190"/>
      <c r="AE514" s="189"/>
    </row>
    <row r="515" spans="1:31" ht="21.25" customHeight="1" x14ac:dyDescent="0.15">
      <c r="A515" s="9" t="s">
        <v>644</v>
      </c>
      <c r="B515" s="186" t="s">
        <v>833</v>
      </c>
      <c r="C515" s="187">
        <v>24</v>
      </c>
      <c r="D515" s="186" t="s">
        <v>818</v>
      </c>
      <c r="E515" s="90">
        <v>60.865000000000002</v>
      </c>
      <c r="F515" s="188">
        <v>15.504456441265299</v>
      </c>
      <c r="G515" s="189">
        <v>5.8773372107222298E-2</v>
      </c>
      <c r="H515" s="189">
        <v>0.16643941008316199</v>
      </c>
      <c r="I515" s="189">
        <v>0.22521278219038399</v>
      </c>
      <c r="J515" s="189">
        <v>0.91278225058740403</v>
      </c>
      <c r="K515" s="189">
        <v>1.8125602083443298E-2</v>
      </c>
      <c r="L515" s="189">
        <v>5.6070043140206201E-2</v>
      </c>
      <c r="M515" s="189">
        <v>3.5476007324028702E-4</v>
      </c>
      <c r="N515" s="189">
        <v>1.7541883616225701E-3</v>
      </c>
      <c r="O515" s="189">
        <v>1.16258002722493</v>
      </c>
      <c r="P515" s="189">
        <v>0.90759406697854095</v>
      </c>
      <c r="Q515" s="189">
        <v>-2.8396153962656702E-3</v>
      </c>
      <c r="R515" s="189">
        <v>0.32449473763912501</v>
      </c>
      <c r="S515" s="189">
        <v>9.7022569610572505E-3</v>
      </c>
      <c r="T515" s="189">
        <v>0</v>
      </c>
      <c r="U515" s="189">
        <v>0</v>
      </c>
      <c r="V515" s="189">
        <v>0</v>
      </c>
      <c r="W515" s="189"/>
      <c r="X515" s="90"/>
      <c r="Y515" s="188"/>
      <c r="Z515" s="188"/>
      <c r="AA515" s="188"/>
      <c r="AB515" s="188"/>
      <c r="AC515" s="188"/>
      <c r="AD515" s="190"/>
      <c r="AE515" s="189"/>
    </row>
    <row r="516" spans="1:31" ht="21.25" customHeight="1" x14ac:dyDescent="0.15">
      <c r="A516" s="9" t="s">
        <v>531</v>
      </c>
      <c r="B516" s="186" t="s">
        <v>834</v>
      </c>
      <c r="C516" s="187">
        <v>24</v>
      </c>
      <c r="D516" s="186" t="s">
        <v>818</v>
      </c>
      <c r="E516" s="90">
        <v>67.040000000000006</v>
      </c>
      <c r="F516" s="188">
        <v>20.388482657756999</v>
      </c>
      <c r="G516" s="189">
        <v>3.6481272253554103E-2</v>
      </c>
      <c r="H516" s="189">
        <v>0.18758832836870901</v>
      </c>
      <c r="I516" s="189">
        <v>0.224069600622263</v>
      </c>
      <c r="J516" s="189">
        <v>1.2030554573528001</v>
      </c>
      <c r="K516" s="189">
        <v>2.7649696798442898E-4</v>
      </c>
      <c r="L516" s="189">
        <v>1.73730227330551E-3</v>
      </c>
      <c r="M516" s="189">
        <v>5.8746033855217896E-4</v>
      </c>
      <c r="N516" s="189">
        <v>7.8429938765380708E-3</v>
      </c>
      <c r="O516" s="189">
        <v>1.840811422756</v>
      </c>
      <c r="P516" s="189">
        <v>2.0156501108052001</v>
      </c>
      <c r="Q516" s="189">
        <v>-5.9080331345640197E-3</v>
      </c>
      <c r="R516" s="189">
        <v>0.47082172392851601</v>
      </c>
      <c r="S516" s="189">
        <v>5.1604742678219096E-3</v>
      </c>
      <c r="T516" s="189">
        <v>0</v>
      </c>
      <c r="U516" s="189">
        <v>0</v>
      </c>
      <c r="V516" s="189">
        <v>0</v>
      </c>
      <c r="W516" s="189"/>
      <c r="X516" s="90"/>
      <c r="Y516" s="188"/>
      <c r="Z516" s="188"/>
      <c r="AA516" s="188"/>
      <c r="AB516" s="188"/>
      <c r="AC516" s="188"/>
      <c r="AD516" s="190"/>
      <c r="AE516" s="189"/>
    </row>
    <row r="517" spans="1:31" ht="21.25" customHeight="1" x14ac:dyDescent="0.15">
      <c r="A517" s="9" t="s">
        <v>635</v>
      </c>
      <c r="B517" s="186" t="s">
        <v>830</v>
      </c>
      <c r="C517" s="187">
        <v>24</v>
      </c>
      <c r="D517" s="186" t="s">
        <v>818</v>
      </c>
      <c r="E517" s="90">
        <v>63.05</v>
      </c>
      <c r="F517" s="188">
        <v>16.203753272178201</v>
      </c>
      <c r="G517" s="189">
        <v>6.4148776903966295E-2</v>
      </c>
      <c r="H517" s="189">
        <v>0.159508335184778</v>
      </c>
      <c r="I517" s="189">
        <v>0.223657112088744</v>
      </c>
      <c r="J517" s="189">
        <v>0.827272697909474</v>
      </c>
      <c r="K517" s="189">
        <v>3.7599886314204899E-4</v>
      </c>
      <c r="L517" s="189">
        <v>2.41345332098985E-3</v>
      </c>
      <c r="M517" s="189">
        <v>2.5968128085540702E-4</v>
      </c>
      <c r="N517" s="189">
        <v>4.0612708273473604E-3</v>
      </c>
      <c r="O517" s="189">
        <v>1.3093327035884099</v>
      </c>
      <c r="P517" s="189">
        <v>0.89554923864616098</v>
      </c>
      <c r="Q517" s="189">
        <v>4.1188393524908003E-2</v>
      </c>
      <c r="R517" s="189">
        <v>0.30329597461614999</v>
      </c>
      <c r="S517" s="189">
        <v>9.0830062228805901E-3</v>
      </c>
      <c r="T517" s="189">
        <v>0</v>
      </c>
      <c r="U517" s="189">
        <v>0</v>
      </c>
      <c r="V517" s="189">
        <v>0</v>
      </c>
      <c r="W517" s="189"/>
      <c r="X517" s="90"/>
      <c r="Y517" s="188"/>
      <c r="Z517" s="188"/>
      <c r="AA517" s="188"/>
      <c r="AB517" s="188"/>
      <c r="AC517" s="188"/>
      <c r="AD517" s="190"/>
      <c r="AE517" s="189"/>
    </row>
    <row r="518" spans="1:31" ht="21.25" customHeight="1" x14ac:dyDescent="0.15">
      <c r="A518" s="9" t="s">
        <v>518</v>
      </c>
      <c r="B518" s="186" t="s">
        <v>829</v>
      </c>
      <c r="C518" s="187">
        <v>33</v>
      </c>
      <c r="D518" s="186" t="s">
        <v>818</v>
      </c>
      <c r="E518" s="90">
        <v>80.842500000000001</v>
      </c>
      <c r="F518" s="188">
        <v>18.1452122990212</v>
      </c>
      <c r="G518" s="189">
        <v>4.47299728280426E-2</v>
      </c>
      <c r="H518" s="189">
        <v>0.17857813932366401</v>
      </c>
      <c r="I518" s="189">
        <v>0.22330811215170701</v>
      </c>
      <c r="J518" s="189">
        <v>0.93478862313832101</v>
      </c>
      <c r="K518" s="189">
        <v>2.32636196042403E-4</v>
      </c>
      <c r="L518" s="189">
        <v>1.5741449598532201E-3</v>
      </c>
      <c r="M518" s="189">
        <v>3.3466872534947101E-4</v>
      </c>
      <c r="N518" s="189">
        <v>4.8117265327560698E-3</v>
      </c>
      <c r="O518" s="189">
        <v>1.4159936627569401</v>
      </c>
      <c r="P518" s="189">
        <v>2.44858522638562</v>
      </c>
      <c r="Q518" s="189">
        <v>-2.7338844718585199E-3</v>
      </c>
      <c r="R518" s="189">
        <v>0.80393230528106696</v>
      </c>
      <c r="S518" s="189">
        <v>6.7486937419201001E-3</v>
      </c>
      <c r="T518" s="189">
        <v>0</v>
      </c>
      <c r="U518" s="189">
        <v>0</v>
      </c>
      <c r="V518" s="189">
        <v>0</v>
      </c>
      <c r="W518" s="189"/>
      <c r="X518" s="90"/>
      <c r="Y518" s="188"/>
      <c r="Z518" s="188"/>
      <c r="AA518" s="188"/>
      <c r="AB518" s="188"/>
      <c r="AC518" s="188"/>
      <c r="AD518" s="190"/>
      <c r="AE518" s="189"/>
    </row>
    <row r="519" spans="1:31" ht="21.25" customHeight="1" x14ac:dyDescent="0.15">
      <c r="A519" s="9" t="s">
        <v>636</v>
      </c>
      <c r="B519" s="186" t="s">
        <v>859</v>
      </c>
      <c r="C519" s="187">
        <v>30</v>
      </c>
      <c r="D519" s="186" t="s">
        <v>818</v>
      </c>
      <c r="E519" s="90">
        <v>67.572500000000005</v>
      </c>
      <c r="F519" s="188">
        <v>15.7640850453526</v>
      </c>
      <c r="G519" s="189">
        <v>1.40324796437613E-2</v>
      </c>
      <c r="H519" s="189">
        <v>0.20735858600875701</v>
      </c>
      <c r="I519" s="189">
        <v>0.22139106565251801</v>
      </c>
      <c r="J519" s="189">
        <v>0.79564092386655805</v>
      </c>
      <c r="K519" s="189">
        <v>2.0054347802843801E-5</v>
      </c>
      <c r="L519" s="189">
        <v>1.98847627333191E-4</v>
      </c>
      <c r="M519" s="189">
        <v>4.0955741152415702E-5</v>
      </c>
      <c r="N519" s="189">
        <v>7.4680362140217601E-4</v>
      </c>
      <c r="O519" s="189">
        <v>1.12935871848281</v>
      </c>
      <c r="P519" s="189">
        <v>1.23568245600802</v>
      </c>
      <c r="Q519" s="189">
        <v>-0.11434177083540201</v>
      </c>
      <c r="R519" s="189">
        <v>0.41223312178683202</v>
      </c>
      <c r="S519" s="189">
        <v>1.49881090366241E-3</v>
      </c>
      <c r="T519" s="189">
        <v>0</v>
      </c>
      <c r="U519" s="189">
        <v>0</v>
      </c>
      <c r="V519" s="189">
        <v>0</v>
      </c>
      <c r="W519" s="189"/>
      <c r="X519" s="90"/>
      <c r="Y519" s="188"/>
      <c r="Z519" s="188"/>
      <c r="AA519" s="188"/>
      <c r="AB519" s="188"/>
      <c r="AC519" s="188"/>
      <c r="AD519" s="190"/>
      <c r="AE519" s="189"/>
    </row>
    <row r="520" spans="1:31" ht="21.25" customHeight="1" x14ac:dyDescent="0.15">
      <c r="A520" s="9" t="s">
        <v>519</v>
      </c>
      <c r="B520" s="186" t="s">
        <v>834</v>
      </c>
      <c r="C520" s="187">
        <v>29</v>
      </c>
      <c r="D520" s="186" t="s">
        <v>818</v>
      </c>
      <c r="E520" s="90">
        <v>78.747500000000002</v>
      </c>
      <c r="F520" s="188">
        <v>16.487873470490602</v>
      </c>
      <c r="G520" s="189">
        <v>4.6217195567861302E-2</v>
      </c>
      <c r="H520" s="189">
        <v>0.17471108811807701</v>
      </c>
      <c r="I520" s="189">
        <v>0.220928283685938</v>
      </c>
      <c r="J520" s="189">
        <v>1.0165490514755799</v>
      </c>
      <c r="K520" s="189">
        <v>1.09967157222492E-4</v>
      </c>
      <c r="L520" s="189">
        <v>7.1488074341829403E-4</v>
      </c>
      <c r="M520" s="189">
        <v>3.8504590961786901E-3</v>
      </c>
      <c r="N520" s="189">
        <v>5.4534008109831198E-3</v>
      </c>
      <c r="O520" s="189">
        <v>1.4469690066596499</v>
      </c>
      <c r="P520" s="189">
        <v>2.2571020372196098</v>
      </c>
      <c r="Q520" s="189">
        <v>-1.21773576457776E-2</v>
      </c>
      <c r="R520" s="189">
        <v>0.66981905907068195</v>
      </c>
      <c r="S520" s="189">
        <v>6.5376735438716898E-3</v>
      </c>
      <c r="T520" s="189">
        <v>0</v>
      </c>
      <c r="U520" s="189">
        <v>0</v>
      </c>
      <c r="V520" s="189">
        <v>0</v>
      </c>
      <c r="W520" s="189"/>
      <c r="X520" s="90"/>
      <c r="Y520" s="188"/>
      <c r="Z520" s="188"/>
      <c r="AA520" s="188"/>
      <c r="AB520" s="188"/>
      <c r="AC520" s="188"/>
      <c r="AD520" s="190"/>
      <c r="AE520" s="189"/>
    </row>
    <row r="521" spans="1:31" ht="21.25" customHeight="1" x14ac:dyDescent="0.15">
      <c r="A521" s="9" t="s">
        <v>615</v>
      </c>
      <c r="B521" s="186" t="s">
        <v>855</v>
      </c>
      <c r="C521" s="187">
        <v>22</v>
      </c>
      <c r="D521" s="186" t="s">
        <v>818</v>
      </c>
      <c r="E521" s="90">
        <v>62.94</v>
      </c>
      <c r="F521" s="188">
        <v>17.454479517582499</v>
      </c>
      <c r="G521" s="189">
        <v>4.1450240703038502E-2</v>
      </c>
      <c r="H521" s="189">
        <v>0.17891956294063699</v>
      </c>
      <c r="I521" s="189">
        <v>0.220369803643676</v>
      </c>
      <c r="J521" s="189">
        <v>1.12161876128295</v>
      </c>
      <c r="K521" s="189">
        <v>2.28214719343012E-3</v>
      </c>
      <c r="L521" s="189">
        <v>4.8179406675949998E-2</v>
      </c>
      <c r="M521" s="189">
        <v>5.17020739423883E-4</v>
      </c>
      <c r="N521" s="189">
        <v>2.5120897098711002E-3</v>
      </c>
      <c r="O521" s="189">
        <v>1.19142346963296</v>
      </c>
      <c r="P521" s="189">
        <v>1.4704378893766099</v>
      </c>
      <c r="Q521" s="189">
        <v>-8.08393324523571E-3</v>
      </c>
      <c r="R521" s="189">
        <v>0.464296451413032</v>
      </c>
      <c r="S521" s="189">
        <v>6.2941225069893803E-3</v>
      </c>
      <c r="T521" s="189">
        <v>0</v>
      </c>
      <c r="U521" s="189">
        <v>0</v>
      </c>
      <c r="V521" s="189">
        <v>0</v>
      </c>
      <c r="W521" s="189"/>
      <c r="X521" s="90"/>
      <c r="Y521" s="188"/>
      <c r="Z521" s="188"/>
      <c r="AA521" s="188"/>
      <c r="AB521" s="188"/>
      <c r="AC521" s="188"/>
      <c r="AD521" s="190"/>
      <c r="AE521" s="189"/>
    </row>
    <row r="522" spans="1:31" ht="21.25" customHeight="1" x14ac:dyDescent="0.15">
      <c r="A522" s="9" t="s">
        <v>754</v>
      </c>
      <c r="B522" s="186" t="s">
        <v>838</v>
      </c>
      <c r="C522" s="187">
        <v>25</v>
      </c>
      <c r="D522" s="186" t="s">
        <v>815</v>
      </c>
      <c r="E522" s="90">
        <v>74.525000000000006</v>
      </c>
      <c r="F522" s="188">
        <v>10.6407827511857</v>
      </c>
      <c r="G522" s="189">
        <v>0.108119587189862</v>
      </c>
      <c r="H522" s="189">
        <v>0.112206001439003</v>
      </c>
      <c r="I522" s="189">
        <v>0.220325588628865</v>
      </c>
      <c r="J522" s="189">
        <v>1.19833428276483</v>
      </c>
      <c r="K522" s="189">
        <v>6.0932604892271602E-4</v>
      </c>
      <c r="L522" s="189">
        <v>1.9123621805101801E-3</v>
      </c>
      <c r="M522" s="189">
        <v>2.0707623132339001E-3</v>
      </c>
      <c r="N522" s="189">
        <v>1.25064272646304E-2</v>
      </c>
      <c r="O522" s="189">
        <v>0.54324177813157704</v>
      </c>
      <c r="P522" s="189">
        <v>1.4639272462919899</v>
      </c>
      <c r="Q522" s="189">
        <v>2.69980901779159E-2</v>
      </c>
      <c r="R522" s="189">
        <v>0.30976852808261301</v>
      </c>
      <c r="S522" s="189">
        <v>1.7972346816233099E-2</v>
      </c>
      <c r="T522" s="189">
        <v>0.68844707589869003</v>
      </c>
      <c r="U522" s="189">
        <v>0.79334685957411299</v>
      </c>
      <c r="V522" s="189">
        <v>0.46460378829869098</v>
      </c>
      <c r="W522" s="189"/>
      <c r="X522" s="90"/>
      <c r="Y522" s="188"/>
      <c r="Z522" s="188"/>
      <c r="AA522" s="188"/>
      <c r="AB522" s="188"/>
      <c r="AC522" s="188"/>
      <c r="AD522" s="190"/>
      <c r="AE522" s="189"/>
    </row>
    <row r="523" spans="1:31" ht="21.25" customHeight="1" x14ac:dyDescent="0.15">
      <c r="A523" s="9" t="s">
        <v>771</v>
      </c>
      <c r="B523" s="186" t="s">
        <v>828</v>
      </c>
      <c r="C523" s="187">
        <v>26</v>
      </c>
      <c r="D523" s="186" t="s">
        <v>816</v>
      </c>
      <c r="E523" s="90">
        <v>66.917500000000004</v>
      </c>
      <c r="F523" s="188">
        <v>9.9221193851119498</v>
      </c>
      <c r="G523" s="189">
        <v>8.9832049872704503E-2</v>
      </c>
      <c r="H523" s="189">
        <v>0.130469386995373</v>
      </c>
      <c r="I523" s="189">
        <v>0.22030143686807799</v>
      </c>
      <c r="J523" s="189">
        <v>1.15828144466061</v>
      </c>
      <c r="K523" s="189">
        <v>2.5712565082064002E-3</v>
      </c>
      <c r="L523" s="189">
        <v>8.0699718587096594E-3</v>
      </c>
      <c r="M523" s="189">
        <v>5.07365545127922E-5</v>
      </c>
      <c r="N523" s="189">
        <v>8.6405098565245196E-5</v>
      </c>
      <c r="O523" s="189">
        <v>0.25809882659337202</v>
      </c>
      <c r="P523" s="189">
        <v>1.68232248954278</v>
      </c>
      <c r="Q523" s="189">
        <v>-8.81476319911048E-2</v>
      </c>
      <c r="R523" s="189">
        <v>0.52095020371506695</v>
      </c>
      <c r="S523" s="189">
        <v>1.3991675760313399E-2</v>
      </c>
      <c r="T523" s="189">
        <v>9.9766024924289098E-2</v>
      </c>
      <c r="U523" s="189">
        <v>0.156211939646071</v>
      </c>
      <c r="V523" s="189">
        <v>0.389744582475054</v>
      </c>
      <c r="W523" s="189"/>
      <c r="X523" s="90"/>
      <c r="Y523" s="188"/>
      <c r="Z523" s="188"/>
      <c r="AA523" s="188"/>
      <c r="AB523" s="188"/>
      <c r="AC523" s="188"/>
      <c r="AD523" s="190"/>
      <c r="AE523" s="189"/>
    </row>
    <row r="524" spans="1:31" ht="21.25" customHeight="1" x14ac:dyDescent="0.15">
      <c r="A524" s="9" t="s">
        <v>762</v>
      </c>
      <c r="B524" s="186" t="s">
        <v>837</v>
      </c>
      <c r="C524" s="187">
        <v>31</v>
      </c>
      <c r="D524" s="186" t="s">
        <v>815</v>
      </c>
      <c r="E524" s="90">
        <v>68.897499999999994</v>
      </c>
      <c r="F524" s="188">
        <v>12.3112903740366</v>
      </c>
      <c r="G524" s="189">
        <v>0.10258232305808</v>
      </c>
      <c r="H524" s="189">
        <v>0.117560331783591</v>
      </c>
      <c r="I524" s="189">
        <v>0.220142654841671</v>
      </c>
      <c r="J524" s="189">
        <v>1.4310202138847701</v>
      </c>
      <c r="K524" s="189">
        <v>2.4571726439472502E-3</v>
      </c>
      <c r="L524" s="189">
        <v>4.31242161553978E-3</v>
      </c>
      <c r="M524" s="189">
        <v>6.9148866611730602E-3</v>
      </c>
      <c r="N524" s="189">
        <v>1.26406854457529E-2</v>
      </c>
      <c r="O524" s="189">
        <v>0.42851442383883798</v>
      </c>
      <c r="P524" s="189">
        <v>1.1028084776165901</v>
      </c>
      <c r="Q524" s="189">
        <v>-8.1985328173409894E-2</v>
      </c>
      <c r="R524" s="189">
        <v>0.20746411725974401</v>
      </c>
      <c r="S524" s="189">
        <v>1.64048331597705E-2</v>
      </c>
      <c r="T524" s="189">
        <v>0.72979974040886797</v>
      </c>
      <c r="U524" s="189">
        <v>0.78994919598644697</v>
      </c>
      <c r="V524" s="189">
        <v>0.48021072621368399</v>
      </c>
      <c r="W524" s="189"/>
      <c r="X524" s="90"/>
      <c r="Y524" s="188"/>
      <c r="Z524" s="188"/>
      <c r="AA524" s="188"/>
      <c r="AB524" s="188"/>
      <c r="AC524" s="188"/>
      <c r="AD524" s="190"/>
      <c r="AE524" s="189"/>
    </row>
    <row r="525" spans="1:31" ht="21.25" customHeight="1" x14ac:dyDescent="0.15">
      <c r="A525" s="9" t="s">
        <v>446</v>
      </c>
      <c r="B525" s="186" t="s">
        <v>852</v>
      </c>
      <c r="C525" s="187">
        <v>32</v>
      </c>
      <c r="D525" s="186" t="s">
        <v>818</v>
      </c>
      <c r="E525" s="90">
        <v>79.27</v>
      </c>
      <c r="F525" s="188">
        <v>18.756767288055901</v>
      </c>
      <c r="G525" s="189">
        <v>4.3996559012487099E-2</v>
      </c>
      <c r="H525" s="189">
        <v>0.17432366640747701</v>
      </c>
      <c r="I525" s="189">
        <v>0.21832022541996399</v>
      </c>
      <c r="J525" s="189">
        <v>1.1677661917043201</v>
      </c>
      <c r="K525" s="189">
        <v>2.21304097935967E-4</v>
      </c>
      <c r="L525" s="189">
        <v>1.4866859684403799E-3</v>
      </c>
      <c r="M525" s="189">
        <v>3.42708908346167E-4</v>
      </c>
      <c r="N525" s="189">
        <v>7.40516109008369E-3</v>
      </c>
      <c r="O525" s="189">
        <v>1.9210593930639099</v>
      </c>
      <c r="P525" s="189">
        <v>1.28116510061672</v>
      </c>
      <c r="Q525" s="189">
        <v>-0.116209204330759</v>
      </c>
      <c r="R525" s="189">
        <v>0.68962253613489999</v>
      </c>
      <c r="S525" s="189">
        <v>4.8653308424348304E-3</v>
      </c>
      <c r="T525" s="189">
        <v>0</v>
      </c>
      <c r="U525" s="189">
        <v>0</v>
      </c>
      <c r="V525" s="189">
        <v>0</v>
      </c>
      <c r="W525" s="189"/>
      <c r="X525" s="90"/>
      <c r="Y525" s="188"/>
      <c r="Z525" s="188"/>
      <c r="AA525" s="188"/>
      <c r="AB525" s="188"/>
      <c r="AC525" s="188"/>
      <c r="AD525" s="190"/>
      <c r="AE525" s="189"/>
    </row>
    <row r="526" spans="1:31" ht="21.25" customHeight="1" x14ac:dyDescent="0.15">
      <c r="A526" s="9" t="s">
        <v>735</v>
      </c>
      <c r="B526" s="186" t="s">
        <v>834</v>
      </c>
      <c r="C526" s="187">
        <v>29</v>
      </c>
      <c r="D526" s="186" t="s">
        <v>867</v>
      </c>
      <c r="E526" s="90">
        <v>77.247500000000002</v>
      </c>
      <c r="F526" s="188">
        <v>10.920661808387701</v>
      </c>
      <c r="G526" s="189">
        <v>9.8772014217349699E-2</v>
      </c>
      <c r="H526" s="189">
        <v>0.119318628919009</v>
      </c>
      <c r="I526" s="189">
        <v>0.21809064313635901</v>
      </c>
      <c r="J526" s="189">
        <v>0.97695895207278205</v>
      </c>
      <c r="K526" s="189">
        <v>8.0779007925890301E-4</v>
      </c>
      <c r="L526" s="189">
        <v>1.88845827664357E-3</v>
      </c>
      <c r="M526" s="189">
        <v>5.7420108950594203E-3</v>
      </c>
      <c r="N526" s="189">
        <v>7.0764954586040197E-3</v>
      </c>
      <c r="O526" s="189">
        <v>0.37993176541891299</v>
      </c>
      <c r="P526" s="189">
        <v>1.9546653551397799</v>
      </c>
      <c r="Q526" s="189">
        <v>3.84955077846348E-2</v>
      </c>
      <c r="R526" s="189">
        <v>0.33583539232958898</v>
      </c>
      <c r="S526" s="189">
        <v>1.3971838323152699E-2</v>
      </c>
      <c r="T526" s="189">
        <v>1.9342897215494701</v>
      </c>
      <c r="U526" s="189">
        <v>2.33213065387267</v>
      </c>
      <c r="V526" s="189">
        <v>0.4533753243568</v>
      </c>
      <c r="W526" s="189"/>
      <c r="X526" s="90"/>
      <c r="Y526" s="188"/>
      <c r="Z526" s="188"/>
      <c r="AA526" s="188"/>
      <c r="AB526" s="188"/>
      <c r="AC526" s="188"/>
      <c r="AD526" s="190"/>
      <c r="AE526" s="189"/>
    </row>
    <row r="527" spans="1:31" ht="21.25" customHeight="1" x14ac:dyDescent="0.15">
      <c r="A527" s="9" t="s">
        <v>747</v>
      </c>
      <c r="B527" s="186" t="s">
        <v>848</v>
      </c>
      <c r="C527" s="187">
        <v>30</v>
      </c>
      <c r="D527" s="186" t="s">
        <v>815</v>
      </c>
      <c r="E527" s="90">
        <v>79.972499999999997</v>
      </c>
      <c r="F527" s="188">
        <v>12.489757287006199</v>
      </c>
      <c r="G527" s="189">
        <v>8.6260060221304197E-2</v>
      </c>
      <c r="H527" s="189">
        <v>0.13128334518804399</v>
      </c>
      <c r="I527" s="189">
        <v>0.217543405409348</v>
      </c>
      <c r="J527" s="189">
        <v>0.95035250211424305</v>
      </c>
      <c r="K527" s="189">
        <v>9.6894360193485601E-4</v>
      </c>
      <c r="L527" s="189">
        <v>2.0276327007051598E-3</v>
      </c>
      <c r="M527" s="189">
        <v>1.7222304388861801E-2</v>
      </c>
      <c r="N527" s="189">
        <v>3.5847010113689202E-2</v>
      </c>
      <c r="O527" s="189">
        <v>0.63588580881383205</v>
      </c>
      <c r="P527" s="189">
        <v>1.26374958337982</v>
      </c>
      <c r="Q527" s="189">
        <v>3.7349906098073898E-2</v>
      </c>
      <c r="R527" s="189">
        <v>0.38490650780274099</v>
      </c>
      <c r="S527" s="189">
        <v>1.03852017421712E-2</v>
      </c>
      <c r="T527" s="189">
        <v>3.8097981447382399</v>
      </c>
      <c r="U527" s="189">
        <v>3.0953254351653001</v>
      </c>
      <c r="V527" s="189">
        <v>0.551734969063575</v>
      </c>
      <c r="W527" s="189"/>
      <c r="X527" s="90"/>
      <c r="Y527" s="188"/>
      <c r="Z527" s="188"/>
      <c r="AA527" s="188"/>
      <c r="AB527" s="188"/>
      <c r="AC527" s="188"/>
      <c r="AD527" s="190"/>
      <c r="AE527" s="189"/>
    </row>
    <row r="528" spans="1:31" ht="21.25" customHeight="1" x14ac:dyDescent="0.15">
      <c r="A528" s="9" t="s">
        <v>786</v>
      </c>
      <c r="B528" s="186" t="s">
        <v>833</v>
      </c>
      <c r="C528" s="187">
        <v>24</v>
      </c>
      <c r="D528" s="186" t="s">
        <v>815</v>
      </c>
      <c r="E528" s="90">
        <v>64.112499999999997</v>
      </c>
      <c r="F528" s="188">
        <v>9.7907102015129404</v>
      </c>
      <c r="G528" s="189">
        <v>7.8987177020363106E-2</v>
      </c>
      <c r="H528" s="189">
        <v>0.13772057745921401</v>
      </c>
      <c r="I528" s="189">
        <v>0.21670775447957699</v>
      </c>
      <c r="J528" s="189">
        <v>0.79167349670089704</v>
      </c>
      <c r="K528" s="189">
        <v>9.5204299451632796E-4</v>
      </c>
      <c r="L528" s="189">
        <v>2.1837455622454099E-3</v>
      </c>
      <c r="M528" s="189">
        <v>5.9285051942416505E-4</v>
      </c>
      <c r="N528" s="189">
        <v>9.9623458691007797E-4</v>
      </c>
      <c r="O528" s="189">
        <v>0.39683877927172201</v>
      </c>
      <c r="P528" s="189">
        <v>2.5081128566978199</v>
      </c>
      <c r="Q528" s="189">
        <v>1.6655035459346799E-2</v>
      </c>
      <c r="R528" s="189">
        <v>0.40161207200403798</v>
      </c>
      <c r="S528" s="189">
        <v>1.30391342304129E-2</v>
      </c>
      <c r="T528" s="189">
        <v>8.8711619438688993E-2</v>
      </c>
      <c r="U528" s="189">
        <v>0.172235414841866</v>
      </c>
      <c r="V528" s="189">
        <v>0.339960251639846</v>
      </c>
      <c r="W528" s="189"/>
      <c r="X528" s="90"/>
      <c r="Y528" s="188"/>
      <c r="Z528" s="188"/>
      <c r="AA528" s="188"/>
      <c r="AB528" s="188"/>
      <c r="AC528" s="188"/>
      <c r="AD528" s="190"/>
      <c r="AE528" s="189"/>
    </row>
    <row r="529" spans="1:31" ht="21.25" customHeight="1" x14ac:dyDescent="0.15">
      <c r="A529" s="9" t="s">
        <v>583</v>
      </c>
      <c r="B529" s="186" t="s">
        <v>842</v>
      </c>
      <c r="C529" s="187">
        <v>30</v>
      </c>
      <c r="D529" s="186" t="s">
        <v>818</v>
      </c>
      <c r="E529" s="90">
        <v>78.105000000000004</v>
      </c>
      <c r="F529" s="188">
        <v>16.098823885433099</v>
      </c>
      <c r="G529" s="189">
        <v>4.74262383108459E-2</v>
      </c>
      <c r="H529" s="189">
        <v>0.16916455602900901</v>
      </c>
      <c r="I529" s="189">
        <v>0.21659079433985501</v>
      </c>
      <c r="J529" s="189">
        <v>0.73042730898251196</v>
      </c>
      <c r="K529" s="189">
        <v>2.3614556856414799E-4</v>
      </c>
      <c r="L529" s="189">
        <v>1.53696408426001E-3</v>
      </c>
      <c r="M529" s="189">
        <v>1.78091984728205E-4</v>
      </c>
      <c r="N529" s="189">
        <v>8.9589008307785199E-4</v>
      </c>
      <c r="O529" s="189">
        <v>1.33880229375711</v>
      </c>
      <c r="P529" s="189">
        <v>0.907456995714365</v>
      </c>
      <c r="Q529" s="189">
        <v>-1.9704647176490699E-2</v>
      </c>
      <c r="R529" s="189">
        <v>0.21631383278069699</v>
      </c>
      <c r="S529" s="189">
        <v>6.5136459665035102E-3</v>
      </c>
      <c r="T529" s="189">
        <v>0</v>
      </c>
      <c r="U529" s="189">
        <v>0</v>
      </c>
      <c r="V529" s="189">
        <v>0</v>
      </c>
      <c r="W529" s="189"/>
      <c r="X529" s="90"/>
      <c r="Y529" s="188"/>
      <c r="Z529" s="188"/>
      <c r="AA529" s="188"/>
      <c r="AB529" s="188"/>
      <c r="AC529" s="188"/>
      <c r="AD529" s="190"/>
      <c r="AE529" s="189"/>
    </row>
    <row r="530" spans="1:31" ht="21.25" customHeight="1" x14ac:dyDescent="0.15">
      <c r="A530" s="9" t="s">
        <v>768</v>
      </c>
      <c r="B530" s="186" t="s">
        <v>827</v>
      </c>
      <c r="C530" s="187">
        <v>26</v>
      </c>
      <c r="D530" s="186" t="s">
        <v>817</v>
      </c>
      <c r="E530" s="90">
        <v>60.45</v>
      </c>
      <c r="F530" s="188">
        <v>10.1667019581606</v>
      </c>
      <c r="G530" s="189">
        <v>0.10632915880048401</v>
      </c>
      <c r="H530" s="189">
        <v>0.109309043239772</v>
      </c>
      <c r="I530" s="189">
        <v>0.21563820204025599</v>
      </c>
      <c r="J530" s="189">
        <v>0.86120813836991295</v>
      </c>
      <c r="K530" s="189">
        <v>8.7819388964080003E-4</v>
      </c>
      <c r="L530" s="189">
        <v>2.0404149771249798E-3</v>
      </c>
      <c r="M530" s="189">
        <v>5.2692779430231604E-4</v>
      </c>
      <c r="N530" s="189">
        <v>8.9691262214544305E-4</v>
      </c>
      <c r="O530" s="189">
        <v>0.53712458389602302</v>
      </c>
      <c r="P530" s="189">
        <v>2.2550111972499902</v>
      </c>
      <c r="Q530" s="189">
        <v>1.17204129519518E-2</v>
      </c>
      <c r="R530" s="189">
        <v>0.239797872592452</v>
      </c>
      <c r="S530" s="189">
        <v>1.6753394724385799E-2</v>
      </c>
      <c r="T530" s="189">
        <v>0</v>
      </c>
      <c r="U530" s="189">
        <v>0.119468533886824</v>
      </c>
      <c r="V530" s="189">
        <v>0</v>
      </c>
      <c r="W530" s="189"/>
      <c r="X530" s="90"/>
      <c r="Y530" s="188"/>
      <c r="Z530" s="188"/>
      <c r="AA530" s="188"/>
      <c r="AB530" s="188"/>
      <c r="AC530" s="188"/>
      <c r="AD530" s="190"/>
      <c r="AE530" s="189"/>
    </row>
    <row r="531" spans="1:31" ht="21.25" customHeight="1" x14ac:dyDescent="0.15">
      <c r="A531" s="9" t="s">
        <v>597</v>
      </c>
      <c r="B531" s="186" t="s">
        <v>838</v>
      </c>
      <c r="C531" s="187">
        <v>31</v>
      </c>
      <c r="D531" s="186" t="s">
        <v>818</v>
      </c>
      <c r="E531" s="90">
        <v>70.827500000000001</v>
      </c>
      <c r="F531" s="188">
        <v>15.705773524592599</v>
      </c>
      <c r="G531" s="189">
        <v>5.7912005445812501E-2</v>
      </c>
      <c r="H531" s="189">
        <v>0.15668083382511899</v>
      </c>
      <c r="I531" s="189">
        <v>0.21459283927093201</v>
      </c>
      <c r="J531" s="189">
        <v>1.24313998444414</v>
      </c>
      <c r="K531" s="189">
        <v>2.3593688284832002E-3</v>
      </c>
      <c r="L531" s="189">
        <v>1.25914785717066E-2</v>
      </c>
      <c r="M531" s="189">
        <v>3.4529393447622198E-4</v>
      </c>
      <c r="N531" s="189">
        <v>1.72276345374435E-3</v>
      </c>
      <c r="O531" s="189">
        <v>0.96334346774506097</v>
      </c>
      <c r="P531" s="189">
        <v>1.5564225121191499</v>
      </c>
      <c r="Q531" s="189">
        <v>1.2950738331751799E-2</v>
      </c>
      <c r="R531" s="189">
        <v>0.45808232274500299</v>
      </c>
      <c r="S531" s="189">
        <v>9.62651332425098E-3</v>
      </c>
      <c r="T531" s="189">
        <v>0</v>
      </c>
      <c r="U531" s="189">
        <v>0</v>
      </c>
      <c r="V531" s="189">
        <v>0</v>
      </c>
      <c r="W531" s="189"/>
      <c r="X531" s="90"/>
      <c r="Y531" s="188"/>
      <c r="Z531" s="188"/>
      <c r="AA531" s="188"/>
      <c r="AB531" s="188"/>
      <c r="AC531" s="188"/>
      <c r="AD531" s="190"/>
      <c r="AE531" s="189"/>
    </row>
    <row r="532" spans="1:31" ht="21.25" customHeight="1" x14ac:dyDescent="0.15">
      <c r="A532" s="9" t="s">
        <v>520</v>
      </c>
      <c r="B532" s="186" t="s">
        <v>837</v>
      </c>
      <c r="C532" s="187">
        <v>30</v>
      </c>
      <c r="D532" s="186" t="s">
        <v>818</v>
      </c>
      <c r="E532" s="90">
        <v>78.052499999999995</v>
      </c>
      <c r="F532" s="188">
        <v>19.008279143998902</v>
      </c>
      <c r="G532" s="189">
        <v>5.7224027161042697E-2</v>
      </c>
      <c r="H532" s="189">
        <v>0.15616940152355699</v>
      </c>
      <c r="I532" s="189">
        <v>0.21339342868460001</v>
      </c>
      <c r="J532" s="189">
        <v>1.1380057585680701</v>
      </c>
      <c r="K532" s="189">
        <v>1.6574665967010601E-3</v>
      </c>
      <c r="L532" s="189">
        <v>9.3789643503876096E-3</v>
      </c>
      <c r="M532" s="189">
        <v>3.6089918400949999E-4</v>
      </c>
      <c r="N532" s="189">
        <v>1.5884620718313201E-3</v>
      </c>
      <c r="O532" s="189">
        <v>1.39275523527822</v>
      </c>
      <c r="P532" s="189">
        <v>1.9574158629163501</v>
      </c>
      <c r="Q532" s="189">
        <v>-1.6396555732956598E-2</v>
      </c>
      <c r="R532" s="189">
        <v>0.73742883687864702</v>
      </c>
      <c r="S532" s="189">
        <v>9.1511928207706796E-3</v>
      </c>
      <c r="T532" s="189">
        <v>0</v>
      </c>
      <c r="U532" s="189">
        <v>8.9789329294390399E-3</v>
      </c>
      <c r="V532" s="189">
        <v>0</v>
      </c>
      <c r="W532" s="189"/>
      <c r="X532" s="90"/>
      <c r="Y532" s="188"/>
      <c r="Z532" s="188"/>
      <c r="AA532" s="188"/>
      <c r="AB532" s="188"/>
      <c r="AC532" s="188"/>
      <c r="AD532" s="190"/>
      <c r="AE532" s="189"/>
    </row>
    <row r="533" spans="1:31" ht="21.25" customHeight="1" x14ac:dyDescent="0.15">
      <c r="A533" s="9" t="s">
        <v>470</v>
      </c>
      <c r="B533" s="186" t="s">
        <v>841</v>
      </c>
      <c r="C533" s="187">
        <v>25</v>
      </c>
      <c r="D533" s="186" t="s">
        <v>818</v>
      </c>
      <c r="E533" s="90">
        <v>77.295000000000002</v>
      </c>
      <c r="F533" s="188">
        <v>18.568042616831399</v>
      </c>
      <c r="G533" s="189">
        <v>4.1984544508202402E-2</v>
      </c>
      <c r="H533" s="189">
        <v>0.17111117301970999</v>
      </c>
      <c r="I533" s="189">
        <v>0.21309571752791201</v>
      </c>
      <c r="J533" s="189">
        <v>1.4156132476515599</v>
      </c>
      <c r="K533" s="189">
        <v>2.57291862993133E-4</v>
      </c>
      <c r="L533" s="189">
        <v>1.64455091271756E-3</v>
      </c>
      <c r="M533" s="189">
        <v>5.0256098358410998E-4</v>
      </c>
      <c r="N533" s="189">
        <v>2.18713725307082E-3</v>
      </c>
      <c r="O533" s="189">
        <v>1.5849064162447599</v>
      </c>
      <c r="P533" s="189">
        <v>1.78534408602254</v>
      </c>
      <c r="Q533" s="189">
        <v>1.70040445357784E-2</v>
      </c>
      <c r="R533" s="189">
        <v>0.52670406698022199</v>
      </c>
      <c r="S533" s="189">
        <v>6.3859033360962299E-3</v>
      </c>
      <c r="T533" s="189">
        <v>0</v>
      </c>
      <c r="U533" s="189">
        <v>0</v>
      </c>
      <c r="V533" s="189">
        <v>0</v>
      </c>
      <c r="W533" s="189"/>
      <c r="X533" s="90"/>
      <c r="Y533" s="188"/>
      <c r="Z533" s="188"/>
      <c r="AA533" s="188"/>
      <c r="AB533" s="188"/>
      <c r="AC533" s="188"/>
      <c r="AD533" s="190"/>
      <c r="AE533" s="189"/>
    </row>
    <row r="534" spans="1:31" ht="21.25" customHeight="1" x14ac:dyDescent="0.15">
      <c r="A534" s="9" t="s">
        <v>555</v>
      </c>
      <c r="B534" s="186" t="s">
        <v>859</v>
      </c>
      <c r="C534" s="187">
        <v>34</v>
      </c>
      <c r="D534" s="186" t="s">
        <v>818</v>
      </c>
      <c r="E534" s="90">
        <v>75.547499999999999</v>
      </c>
      <c r="F534" s="188">
        <v>17.9314382327549</v>
      </c>
      <c r="G534" s="189">
        <v>4.82734009444344E-2</v>
      </c>
      <c r="H534" s="189">
        <v>0.16422565200039499</v>
      </c>
      <c r="I534" s="189">
        <v>0.21249905294482899</v>
      </c>
      <c r="J534" s="189">
        <v>0.99887115884102495</v>
      </c>
      <c r="K534" s="189">
        <v>5.1519632317358803E-4</v>
      </c>
      <c r="L534" s="189">
        <v>3.4374813173263202E-3</v>
      </c>
      <c r="M534" s="189">
        <v>2.8834188293287E-4</v>
      </c>
      <c r="N534" s="189">
        <v>1.1088585896568E-2</v>
      </c>
      <c r="O534" s="189">
        <v>1.41409373006029</v>
      </c>
      <c r="P534" s="189">
        <v>1.1297411832711799</v>
      </c>
      <c r="Q534" s="189">
        <v>-0.12637881982055199</v>
      </c>
      <c r="R534" s="189">
        <v>0.496910592619627</v>
      </c>
      <c r="S534" s="189">
        <v>5.1560879851019802E-3</v>
      </c>
      <c r="T534" s="189">
        <v>0</v>
      </c>
      <c r="U534" s="189">
        <v>0</v>
      </c>
      <c r="V534" s="189">
        <v>0</v>
      </c>
      <c r="W534" s="189"/>
      <c r="X534" s="90"/>
      <c r="Y534" s="188"/>
      <c r="Z534" s="188"/>
      <c r="AA534" s="188"/>
      <c r="AB534" s="188"/>
      <c r="AC534" s="188"/>
      <c r="AD534" s="190"/>
      <c r="AE534" s="189"/>
    </row>
    <row r="535" spans="1:31" ht="21.25" customHeight="1" x14ac:dyDescent="0.15">
      <c r="A535" s="9" t="s">
        <v>534</v>
      </c>
      <c r="B535" s="186" t="s">
        <v>844</v>
      </c>
      <c r="C535" s="187">
        <v>33</v>
      </c>
      <c r="D535" s="186" t="s">
        <v>818</v>
      </c>
      <c r="E535" s="90">
        <v>77.9375</v>
      </c>
      <c r="F535" s="188">
        <v>16.911760392074498</v>
      </c>
      <c r="G535" s="189">
        <v>3.2054236449501901E-2</v>
      </c>
      <c r="H535" s="189">
        <v>0.177240032590467</v>
      </c>
      <c r="I535" s="189">
        <v>0.20929426903996901</v>
      </c>
      <c r="J535" s="189">
        <v>0.96785753736744795</v>
      </c>
      <c r="K535" s="189">
        <v>1.8802506609738801E-4</v>
      </c>
      <c r="L535" s="189">
        <v>1.7449441795118501E-3</v>
      </c>
      <c r="M535" s="189">
        <v>3.34117387377259E-4</v>
      </c>
      <c r="N535" s="189">
        <v>8.4390973549708093E-3</v>
      </c>
      <c r="O535" s="189">
        <v>1.5230915294379299</v>
      </c>
      <c r="P535" s="189">
        <v>0.544630777985876</v>
      </c>
      <c r="Q535" s="189">
        <v>-1.20255634166069E-2</v>
      </c>
      <c r="R535" s="189">
        <v>0.28913629446043498</v>
      </c>
      <c r="S535" s="189">
        <v>4.5488979531327399E-3</v>
      </c>
      <c r="T535" s="189">
        <v>0</v>
      </c>
      <c r="U535" s="189">
        <v>0</v>
      </c>
      <c r="V535" s="189">
        <v>0</v>
      </c>
      <c r="W535" s="189"/>
      <c r="X535" s="90"/>
      <c r="Y535" s="188"/>
      <c r="Z535" s="188"/>
      <c r="AA535" s="188"/>
      <c r="AB535" s="188"/>
      <c r="AC535" s="188"/>
      <c r="AD535" s="190"/>
      <c r="AE535" s="189"/>
    </row>
    <row r="536" spans="1:31" ht="21.25" customHeight="1" x14ac:dyDescent="0.15">
      <c r="A536" s="9" t="s">
        <v>623</v>
      </c>
      <c r="B536" s="186" t="s">
        <v>848</v>
      </c>
      <c r="C536" s="187">
        <v>24</v>
      </c>
      <c r="D536" s="186" t="s">
        <v>818</v>
      </c>
      <c r="E536" s="90">
        <v>64.185000000000002</v>
      </c>
      <c r="F536" s="188">
        <v>16.4893215651033</v>
      </c>
      <c r="G536" s="189">
        <v>3.7447361532944201E-2</v>
      </c>
      <c r="H536" s="189">
        <v>0.17117415797649599</v>
      </c>
      <c r="I536" s="189">
        <v>0.20862151950944</v>
      </c>
      <c r="J536" s="189">
        <v>0.85622173416823699</v>
      </c>
      <c r="K536" s="189">
        <v>2.4520100833872501E-4</v>
      </c>
      <c r="L536" s="189">
        <v>1.54659912321273E-3</v>
      </c>
      <c r="M536" s="189">
        <v>1.62345971190933E-4</v>
      </c>
      <c r="N536" s="189">
        <v>7.9144995708722897E-4</v>
      </c>
      <c r="O536" s="189">
        <v>1.4542206104514801</v>
      </c>
      <c r="P536" s="189">
        <v>1.20647192435581</v>
      </c>
      <c r="Q536" s="189">
        <v>-5.1072604966977297E-2</v>
      </c>
      <c r="R536" s="189">
        <v>0.35441125263233197</v>
      </c>
      <c r="S536" s="189">
        <v>4.5084411398961599E-3</v>
      </c>
      <c r="T536" s="189">
        <v>0</v>
      </c>
      <c r="U536" s="189">
        <v>0</v>
      </c>
      <c r="V536" s="189">
        <v>0</v>
      </c>
      <c r="W536" s="189"/>
      <c r="X536" s="90"/>
      <c r="Y536" s="188"/>
      <c r="Z536" s="188"/>
      <c r="AA536" s="188"/>
      <c r="AB536" s="188"/>
      <c r="AC536" s="188"/>
      <c r="AD536" s="190"/>
      <c r="AE536" s="189"/>
    </row>
    <row r="537" spans="1:31" ht="21.25" customHeight="1" x14ac:dyDescent="0.15">
      <c r="A537" s="9" t="s">
        <v>563</v>
      </c>
      <c r="B537" s="186" t="s">
        <v>858</v>
      </c>
      <c r="C537" s="187">
        <v>32</v>
      </c>
      <c r="D537" s="186" t="s">
        <v>818</v>
      </c>
      <c r="E537" s="90">
        <v>81.075000000000003</v>
      </c>
      <c r="F537" s="188">
        <v>17.6396054296744</v>
      </c>
      <c r="G537" s="189">
        <v>3.3825715911551202E-2</v>
      </c>
      <c r="H537" s="189">
        <v>0.174196569738226</v>
      </c>
      <c r="I537" s="189">
        <v>0.20802228564977701</v>
      </c>
      <c r="J537" s="189">
        <v>0.86287242480502102</v>
      </c>
      <c r="K537" s="189">
        <v>4.36149371879453E-4</v>
      </c>
      <c r="L537" s="189">
        <v>3.0328547189854799E-3</v>
      </c>
      <c r="M537" s="189">
        <v>2.8189693815125401E-4</v>
      </c>
      <c r="N537" s="189">
        <v>7.0183196203282396E-3</v>
      </c>
      <c r="O537" s="189">
        <v>1.2849559068673</v>
      </c>
      <c r="P537" s="189">
        <v>1.1108245053011401</v>
      </c>
      <c r="Q537" s="189">
        <v>-1.1652950423732201E-2</v>
      </c>
      <c r="R537" s="189">
        <v>0.27131103900002801</v>
      </c>
      <c r="S537" s="189">
        <v>3.94271020241893E-3</v>
      </c>
      <c r="T537" s="189">
        <v>0</v>
      </c>
      <c r="U537" s="189">
        <v>0</v>
      </c>
      <c r="V537" s="189">
        <v>0</v>
      </c>
      <c r="W537" s="189"/>
      <c r="X537" s="90"/>
      <c r="Y537" s="188"/>
      <c r="Z537" s="188"/>
      <c r="AA537" s="188"/>
      <c r="AB537" s="188"/>
      <c r="AC537" s="188"/>
      <c r="AD537" s="190"/>
      <c r="AE537" s="189"/>
    </row>
    <row r="538" spans="1:31" ht="21.25" customHeight="1" x14ac:dyDescent="0.15">
      <c r="A538" s="9" t="s">
        <v>781</v>
      </c>
      <c r="B538" s="186" t="s">
        <v>828</v>
      </c>
      <c r="C538" s="187">
        <v>23</v>
      </c>
      <c r="D538" s="186" t="s">
        <v>815</v>
      </c>
      <c r="E538" s="90">
        <v>69.58</v>
      </c>
      <c r="F538" s="188">
        <v>10.246869098302099</v>
      </c>
      <c r="G538" s="189">
        <v>0.118654367563948</v>
      </c>
      <c r="H538" s="189">
        <v>8.8838544617350995E-2</v>
      </c>
      <c r="I538" s="189">
        <v>0.20749291218129901</v>
      </c>
      <c r="J538" s="189">
        <v>0.79929437897618905</v>
      </c>
      <c r="K538" s="189">
        <v>2.44260710993118E-4</v>
      </c>
      <c r="L538" s="189">
        <v>5.7385202471148397E-4</v>
      </c>
      <c r="M538" s="189">
        <v>2.5527548214737301E-3</v>
      </c>
      <c r="N538" s="189">
        <v>4.3936589585501203E-3</v>
      </c>
      <c r="O538" s="189">
        <v>0.568395067009001</v>
      </c>
      <c r="P538" s="189">
        <v>1.87784624759611</v>
      </c>
      <c r="Q538" s="189">
        <v>1.1973457151891201E-2</v>
      </c>
      <c r="R538" s="189">
        <v>0.35047073661491701</v>
      </c>
      <c r="S538" s="189">
        <v>1.8480858901164299E-2</v>
      </c>
      <c r="T538" s="189">
        <v>5.0638004160463304</v>
      </c>
      <c r="U538" s="189">
        <v>4.2105593203022504</v>
      </c>
      <c r="V538" s="189">
        <v>0.54600000000000004</v>
      </c>
      <c r="W538" s="189"/>
      <c r="X538" s="90"/>
      <c r="Y538" s="188"/>
      <c r="Z538" s="188"/>
      <c r="AA538" s="188"/>
      <c r="AB538" s="188"/>
      <c r="AC538" s="188"/>
      <c r="AD538" s="190"/>
      <c r="AE538" s="189"/>
    </row>
    <row r="539" spans="1:31" ht="21.25" customHeight="1" x14ac:dyDescent="0.15">
      <c r="A539" s="9" t="s">
        <v>476</v>
      </c>
      <c r="B539" s="186" t="s">
        <v>828</v>
      </c>
      <c r="C539" s="187">
        <v>27</v>
      </c>
      <c r="D539" s="186" t="s">
        <v>818</v>
      </c>
      <c r="E539" s="90">
        <v>79.702500000000001</v>
      </c>
      <c r="F539" s="188">
        <v>19.408374462682101</v>
      </c>
      <c r="G539" s="189">
        <v>5.3185947130637297E-2</v>
      </c>
      <c r="H539" s="189">
        <v>0.15374960635269699</v>
      </c>
      <c r="I539" s="189">
        <v>0.20693555348333401</v>
      </c>
      <c r="J539" s="189">
        <v>1.16795783426982</v>
      </c>
      <c r="K539" s="189">
        <v>2.4922141400214397E-4</v>
      </c>
      <c r="L539" s="189">
        <v>1.99652210047806E-3</v>
      </c>
      <c r="M539" s="189">
        <v>1.9845928000489402E-3</v>
      </c>
      <c r="N539" s="189">
        <v>3.0281365171412099E-3</v>
      </c>
      <c r="O539" s="189">
        <v>1.6913401255430101</v>
      </c>
      <c r="P539" s="189">
        <v>1.77395466972441</v>
      </c>
      <c r="Q539" s="189">
        <v>3.6516254644614297E-2</v>
      </c>
      <c r="R539" s="189">
        <v>0.49082458996769301</v>
      </c>
      <c r="S539" s="189">
        <v>8.2839090092183092E-3</v>
      </c>
      <c r="T539" s="189">
        <v>0</v>
      </c>
      <c r="U539" s="189">
        <v>0</v>
      </c>
      <c r="V539" s="189">
        <v>0</v>
      </c>
      <c r="W539" s="189"/>
      <c r="X539" s="90"/>
      <c r="Y539" s="188"/>
      <c r="Z539" s="188"/>
      <c r="AA539" s="188"/>
      <c r="AB539" s="188"/>
      <c r="AC539" s="188"/>
      <c r="AD539" s="190"/>
      <c r="AE539" s="189"/>
    </row>
    <row r="540" spans="1:31" ht="21.25" customHeight="1" x14ac:dyDescent="0.15">
      <c r="A540" s="9" t="s">
        <v>751</v>
      </c>
      <c r="B540" s="186" t="s">
        <v>834</v>
      </c>
      <c r="C540" s="187">
        <v>28</v>
      </c>
      <c r="D540" s="186" t="s">
        <v>817</v>
      </c>
      <c r="E540" s="90">
        <v>73.337500000000006</v>
      </c>
      <c r="F540" s="188">
        <v>10.8976601456755</v>
      </c>
      <c r="G540" s="189">
        <v>8.1022158505911004E-2</v>
      </c>
      <c r="H540" s="189">
        <v>0.125435078771131</v>
      </c>
      <c r="I540" s="189">
        <v>0.20645723727704199</v>
      </c>
      <c r="J540" s="189">
        <v>1.0080959638861</v>
      </c>
      <c r="K540" s="189">
        <v>6.7976414264060302E-4</v>
      </c>
      <c r="L540" s="189">
        <v>1.59982436774217E-3</v>
      </c>
      <c r="M540" s="189">
        <v>7.6585373648870004E-4</v>
      </c>
      <c r="N540" s="189">
        <v>1.3204769600715499E-3</v>
      </c>
      <c r="O540" s="189">
        <v>0.35453060572251999</v>
      </c>
      <c r="P540" s="189">
        <v>2.1512156968640701</v>
      </c>
      <c r="Q540" s="189">
        <v>-1.9300757048298301E-2</v>
      </c>
      <c r="R540" s="189">
        <v>0.46778811495203598</v>
      </c>
      <c r="S540" s="189">
        <v>1.14610247468112E-2</v>
      </c>
      <c r="T540" s="189">
        <v>8.61522918617664E-2</v>
      </c>
      <c r="U540" s="189">
        <v>0.166850753393498</v>
      </c>
      <c r="V540" s="189">
        <v>0.34051879405184199</v>
      </c>
      <c r="W540" s="189"/>
      <c r="X540" s="90"/>
      <c r="Y540" s="188"/>
      <c r="Z540" s="188"/>
      <c r="AA540" s="188"/>
      <c r="AB540" s="188"/>
      <c r="AC540" s="188"/>
      <c r="AD540" s="190"/>
      <c r="AE540" s="189"/>
    </row>
    <row r="541" spans="1:31" ht="21.25" customHeight="1" x14ac:dyDescent="0.15">
      <c r="A541" s="9" t="s">
        <v>542</v>
      </c>
      <c r="B541" s="186" t="s">
        <v>840</v>
      </c>
      <c r="C541" s="187">
        <v>24</v>
      </c>
      <c r="D541" s="186" t="s">
        <v>818</v>
      </c>
      <c r="E541" s="90">
        <v>70.417500000000004</v>
      </c>
      <c r="F541" s="188">
        <v>16.8806776094541</v>
      </c>
      <c r="G541" s="189">
        <v>5.0065534523819302E-2</v>
      </c>
      <c r="H541" s="189">
        <v>0.155833246363978</v>
      </c>
      <c r="I541" s="189">
        <v>0.20589878088779701</v>
      </c>
      <c r="J541" s="189">
        <v>0.87047589396554703</v>
      </c>
      <c r="K541" s="189">
        <v>3.42205099078796E-4</v>
      </c>
      <c r="L541" s="189">
        <v>2.1894753524852998E-3</v>
      </c>
      <c r="M541" s="189">
        <v>4.7828831812450601E-4</v>
      </c>
      <c r="N541" s="189">
        <v>1.1274285252697599E-2</v>
      </c>
      <c r="O541" s="189">
        <v>1.9680264434000501</v>
      </c>
      <c r="P541" s="189">
        <v>1.07101342698996</v>
      </c>
      <c r="Q541" s="189">
        <v>-3.2914525744405197E-2</v>
      </c>
      <c r="R541" s="189">
        <v>0.41830592731739302</v>
      </c>
      <c r="S541" s="189">
        <v>7.7733871307327299E-3</v>
      </c>
      <c r="T541" s="189">
        <v>0</v>
      </c>
      <c r="U541" s="189">
        <v>0</v>
      </c>
      <c r="V541" s="189">
        <v>0</v>
      </c>
      <c r="W541" s="189"/>
      <c r="X541" s="90"/>
      <c r="Y541" s="188"/>
      <c r="Z541" s="188"/>
      <c r="AA541" s="188"/>
      <c r="AB541" s="188"/>
      <c r="AC541" s="188"/>
      <c r="AD541" s="190"/>
      <c r="AE541" s="189"/>
    </row>
    <row r="542" spans="1:31" ht="21.25" customHeight="1" x14ac:dyDescent="0.15">
      <c r="A542" s="9" t="s">
        <v>540</v>
      </c>
      <c r="B542" s="186" t="s">
        <v>824</v>
      </c>
      <c r="C542" s="187">
        <v>30</v>
      </c>
      <c r="D542" s="186" t="s">
        <v>818</v>
      </c>
      <c r="E542" s="90">
        <v>81.23</v>
      </c>
      <c r="F542" s="188">
        <v>15.879373374273801</v>
      </c>
      <c r="G542" s="189">
        <v>3.91197148698052E-2</v>
      </c>
      <c r="H542" s="189">
        <v>0.166532454095451</v>
      </c>
      <c r="I542" s="189">
        <v>0.20565216896525601</v>
      </c>
      <c r="J542" s="189">
        <v>1.13620320585995</v>
      </c>
      <c r="K542" s="189">
        <v>2.2796983622066E-4</v>
      </c>
      <c r="L542" s="189">
        <v>2.2177883488867902E-3</v>
      </c>
      <c r="M542" s="189">
        <v>2.8578848006993799E-4</v>
      </c>
      <c r="N542" s="189">
        <v>9.6542045309126502E-3</v>
      </c>
      <c r="O542" s="189">
        <v>1.16500963160789</v>
      </c>
      <c r="P542" s="189">
        <v>1.1276358322495501</v>
      </c>
      <c r="Q542" s="189">
        <v>7.7830510369904002E-2</v>
      </c>
      <c r="R542" s="189">
        <v>0.44351574019516599</v>
      </c>
      <c r="S542" s="189">
        <v>6.3168621203589098E-3</v>
      </c>
      <c r="T542" s="189">
        <v>0</v>
      </c>
      <c r="U542" s="189">
        <v>0</v>
      </c>
      <c r="V542" s="189">
        <v>0</v>
      </c>
      <c r="W542" s="189"/>
      <c r="X542" s="90"/>
      <c r="Y542" s="188"/>
      <c r="Z542" s="188"/>
      <c r="AA542" s="188"/>
      <c r="AB542" s="188"/>
      <c r="AC542" s="188"/>
      <c r="AD542" s="190"/>
      <c r="AE542" s="189"/>
    </row>
    <row r="543" spans="1:31" ht="21.25" customHeight="1" x14ac:dyDescent="0.15">
      <c r="A543" s="9" t="s">
        <v>513</v>
      </c>
      <c r="B543" s="186" t="s">
        <v>829</v>
      </c>
      <c r="C543" s="187">
        <v>27</v>
      </c>
      <c r="D543" s="186" t="s">
        <v>818</v>
      </c>
      <c r="E543" s="90">
        <v>76.117500000000007</v>
      </c>
      <c r="F543" s="188">
        <v>18.6329951609627</v>
      </c>
      <c r="G543" s="189">
        <v>2.8605464264576101E-2</v>
      </c>
      <c r="H543" s="189">
        <v>0.17610860214788401</v>
      </c>
      <c r="I543" s="189">
        <v>0.20471406641246001</v>
      </c>
      <c r="J543" s="189">
        <v>1.05201168978616</v>
      </c>
      <c r="K543" s="189">
        <v>9.2846329727514496E-4</v>
      </c>
      <c r="L543" s="189">
        <v>2.6215536287681001E-3</v>
      </c>
      <c r="M543" s="189">
        <v>3.8634987577007102E-4</v>
      </c>
      <c r="N543" s="189">
        <v>3.8971078914599101E-3</v>
      </c>
      <c r="O543" s="189">
        <v>1.66101666855209</v>
      </c>
      <c r="P543" s="189">
        <v>1.37051451074398</v>
      </c>
      <c r="Q543" s="189">
        <v>2.8774668838124899E-2</v>
      </c>
      <c r="R543" s="189">
        <v>0.45792114648774301</v>
      </c>
      <c r="S543" s="189">
        <v>4.3158872107795102E-3</v>
      </c>
      <c r="T543" s="189">
        <v>0</v>
      </c>
      <c r="U543" s="189">
        <v>0</v>
      </c>
      <c r="V543" s="189">
        <v>0</v>
      </c>
      <c r="W543" s="189"/>
      <c r="X543" s="90"/>
      <c r="Y543" s="188"/>
      <c r="Z543" s="188"/>
      <c r="AA543" s="188"/>
      <c r="AB543" s="188"/>
      <c r="AC543" s="188"/>
      <c r="AD543" s="190"/>
      <c r="AE543" s="189"/>
    </row>
    <row r="544" spans="1:31" ht="21.25" customHeight="1" x14ac:dyDescent="0.15">
      <c r="A544" s="9" t="s">
        <v>767</v>
      </c>
      <c r="B544" s="186" t="s">
        <v>828</v>
      </c>
      <c r="C544" s="187">
        <v>25</v>
      </c>
      <c r="D544" s="186" t="s">
        <v>815</v>
      </c>
      <c r="E544" s="90">
        <v>69.72</v>
      </c>
      <c r="F544" s="188">
        <v>9.8607946057290601</v>
      </c>
      <c r="G544" s="189">
        <v>0.104896180110794</v>
      </c>
      <c r="H544" s="189">
        <v>9.88286895260308E-2</v>
      </c>
      <c r="I544" s="189">
        <v>0.20372486963682501</v>
      </c>
      <c r="J544" s="189">
        <v>1.1806798784973001</v>
      </c>
      <c r="K544" s="189">
        <v>7.5100114236481899E-4</v>
      </c>
      <c r="L544" s="189">
        <v>1.74706431376163E-3</v>
      </c>
      <c r="M544" s="189">
        <v>4.9750404377852503E-4</v>
      </c>
      <c r="N544" s="189">
        <v>8.4788284247902502E-4</v>
      </c>
      <c r="O544" s="189">
        <v>0.57694308731793997</v>
      </c>
      <c r="P544" s="189">
        <v>2.32260285535448</v>
      </c>
      <c r="Q544" s="189">
        <v>-1.20920942704705E-2</v>
      </c>
      <c r="R544" s="189">
        <v>0.79268075517000303</v>
      </c>
      <c r="S544" s="189">
        <v>1.6337970052842099E-2</v>
      </c>
      <c r="T544" s="189">
        <v>4.2892138025346096</v>
      </c>
      <c r="U544" s="189">
        <v>3.3879870215774299</v>
      </c>
      <c r="V544" s="189">
        <v>0.55869501147649203</v>
      </c>
      <c r="W544" s="189"/>
      <c r="X544" s="90"/>
      <c r="Y544" s="188"/>
      <c r="Z544" s="188"/>
      <c r="AA544" s="188"/>
      <c r="AB544" s="188"/>
      <c r="AC544" s="188"/>
      <c r="AD544" s="190"/>
      <c r="AE544" s="189"/>
    </row>
    <row r="545" spans="1:31" ht="21.25" customHeight="1" x14ac:dyDescent="0.15">
      <c r="A545" s="9" t="s">
        <v>533</v>
      </c>
      <c r="B545" s="186" t="s">
        <v>856</v>
      </c>
      <c r="C545" s="187">
        <v>29</v>
      </c>
      <c r="D545" s="186" t="s">
        <v>818</v>
      </c>
      <c r="E545" s="90">
        <v>70.277500000000003</v>
      </c>
      <c r="F545" s="188">
        <v>18.263404192126401</v>
      </c>
      <c r="G545" s="189">
        <v>3.14234604723099E-2</v>
      </c>
      <c r="H545" s="189">
        <v>0.17108721836428201</v>
      </c>
      <c r="I545" s="189">
        <v>0.20251067883659199</v>
      </c>
      <c r="J545" s="189">
        <v>1.2412804119170699</v>
      </c>
      <c r="K545" s="189">
        <v>1.7869960756585199E-3</v>
      </c>
      <c r="L545" s="189">
        <v>1.12958123285296E-2</v>
      </c>
      <c r="M545" s="189">
        <v>4.3806910582919502E-3</v>
      </c>
      <c r="N545" s="189">
        <v>1.47025988799392E-2</v>
      </c>
      <c r="O545" s="189">
        <v>1.6819743957964799</v>
      </c>
      <c r="P545" s="189">
        <v>1.9740464936312301</v>
      </c>
      <c r="Q545" s="189">
        <v>-3.18258394527191E-2</v>
      </c>
      <c r="R545" s="189">
        <v>0.42205839756888303</v>
      </c>
      <c r="S545" s="189">
        <v>4.5548157323378599E-3</v>
      </c>
      <c r="T545" s="189">
        <v>0</v>
      </c>
      <c r="U545" s="189">
        <v>0</v>
      </c>
      <c r="V545" s="189">
        <v>0</v>
      </c>
      <c r="W545" s="189"/>
      <c r="X545" s="90"/>
      <c r="Y545" s="188"/>
      <c r="Z545" s="188"/>
      <c r="AA545" s="188"/>
      <c r="AB545" s="188"/>
      <c r="AC545" s="188"/>
      <c r="AD545" s="190"/>
      <c r="AE545" s="189"/>
    </row>
    <row r="546" spans="1:31" ht="21.25" customHeight="1" x14ac:dyDescent="0.15">
      <c r="A546" s="9" t="s">
        <v>650</v>
      </c>
      <c r="B546" s="186" t="s">
        <v>828</v>
      </c>
      <c r="C546" s="187">
        <v>27</v>
      </c>
      <c r="D546" s="186" t="s">
        <v>818</v>
      </c>
      <c r="E546" s="90">
        <v>61.027500000000003</v>
      </c>
      <c r="F546" s="188">
        <v>16.7600869781174</v>
      </c>
      <c r="G546" s="189">
        <v>2.2144366033677299E-2</v>
      </c>
      <c r="H546" s="189">
        <v>0.18022988386755801</v>
      </c>
      <c r="I546" s="189">
        <v>0.20237424990123501</v>
      </c>
      <c r="J546" s="189">
        <v>0.86759324504912805</v>
      </c>
      <c r="K546" s="189">
        <v>3.3398058393128201E-4</v>
      </c>
      <c r="L546" s="189">
        <v>2.15771742412938E-3</v>
      </c>
      <c r="M546" s="189">
        <v>3.6609047119393702E-4</v>
      </c>
      <c r="N546" s="189">
        <v>1.8280505901247001E-3</v>
      </c>
      <c r="O546" s="189">
        <v>1.3935506835963001</v>
      </c>
      <c r="P546" s="189">
        <v>1.69502915880552</v>
      </c>
      <c r="Q546" s="189">
        <v>3.3908230870453401E-2</v>
      </c>
      <c r="R546" s="189">
        <v>0.56518759912656902</v>
      </c>
      <c r="S546" s="189">
        <v>3.4490673417779099E-3</v>
      </c>
      <c r="T546" s="189">
        <v>0</v>
      </c>
      <c r="U546" s="189">
        <v>0</v>
      </c>
      <c r="V546" s="189">
        <v>0</v>
      </c>
      <c r="W546" s="189"/>
      <c r="X546" s="90"/>
      <c r="Y546" s="188"/>
      <c r="Z546" s="188"/>
      <c r="AA546" s="188"/>
      <c r="AB546" s="188"/>
      <c r="AC546" s="188"/>
      <c r="AD546" s="190"/>
      <c r="AE546" s="189"/>
    </row>
    <row r="547" spans="1:31" ht="21.25" customHeight="1" x14ac:dyDescent="0.15">
      <c r="A547" s="9" t="s">
        <v>753</v>
      </c>
      <c r="B547" s="186" t="s">
        <v>827</v>
      </c>
      <c r="C547" s="187">
        <v>30</v>
      </c>
      <c r="D547" s="186" t="s">
        <v>816</v>
      </c>
      <c r="E547" s="90">
        <v>75.782499999999999</v>
      </c>
      <c r="F547" s="188">
        <v>10.8116502399899</v>
      </c>
      <c r="G547" s="189">
        <v>0.10884405780357601</v>
      </c>
      <c r="H547" s="189">
        <v>9.3469611289865806E-2</v>
      </c>
      <c r="I547" s="189">
        <v>0.20231366909344201</v>
      </c>
      <c r="J547" s="189">
        <v>1.09234156415557</v>
      </c>
      <c r="K547" s="189">
        <v>8.6827705811332999E-4</v>
      </c>
      <c r="L547" s="189">
        <v>2.0150402267933099E-3</v>
      </c>
      <c r="M547" s="189">
        <v>1.0500124476364699E-3</v>
      </c>
      <c r="N547" s="189">
        <v>1.77575639285908E-3</v>
      </c>
      <c r="O547" s="189">
        <v>0.49643871252570698</v>
      </c>
      <c r="P547" s="189">
        <v>1.5952845580817101</v>
      </c>
      <c r="Q547" s="189">
        <v>-2.04549335782334E-2</v>
      </c>
      <c r="R547" s="189">
        <v>0.261829027439063</v>
      </c>
      <c r="S547" s="189">
        <v>1.7149646290429199E-2</v>
      </c>
      <c r="T547" s="189">
        <v>1.3497015021888601</v>
      </c>
      <c r="U547" s="189">
        <v>1.5062701764656401</v>
      </c>
      <c r="V547" s="189">
        <v>0.47258924599165703</v>
      </c>
      <c r="W547" s="189"/>
      <c r="X547" s="90"/>
      <c r="Y547" s="188"/>
      <c r="Z547" s="188"/>
      <c r="AA547" s="188"/>
      <c r="AB547" s="188"/>
      <c r="AC547" s="188"/>
      <c r="AD547" s="190"/>
      <c r="AE547" s="189"/>
    </row>
    <row r="548" spans="1:31" ht="21.25" customHeight="1" x14ac:dyDescent="0.15">
      <c r="A548" s="9" t="s">
        <v>572</v>
      </c>
      <c r="B548" s="186" t="s">
        <v>832</v>
      </c>
      <c r="C548" s="187">
        <v>33</v>
      </c>
      <c r="D548" s="186" t="s">
        <v>818</v>
      </c>
      <c r="E548" s="90">
        <v>76.644999999999996</v>
      </c>
      <c r="F548" s="188">
        <v>15.8475305289352</v>
      </c>
      <c r="G548" s="189">
        <v>3.95750170650917E-2</v>
      </c>
      <c r="H548" s="189">
        <v>0.16210710998554301</v>
      </c>
      <c r="I548" s="189">
        <v>0.20168212705063501</v>
      </c>
      <c r="J548" s="189">
        <v>1.0729470071551499</v>
      </c>
      <c r="K548" s="189">
        <v>4.7673251834301298E-3</v>
      </c>
      <c r="L548" s="189">
        <v>2.2896431033973E-2</v>
      </c>
      <c r="M548" s="189">
        <v>2.21422538918443E-4</v>
      </c>
      <c r="N548" s="189">
        <v>2.6585052156687401E-3</v>
      </c>
      <c r="O548" s="189">
        <v>1.1914632377427099</v>
      </c>
      <c r="P548" s="189">
        <v>0.96709199313114802</v>
      </c>
      <c r="Q548" s="189">
        <v>3.7100843750340499E-2</v>
      </c>
      <c r="R548" s="189">
        <v>0.20304030505850701</v>
      </c>
      <c r="S548" s="189">
        <v>6.7420683937175502E-3</v>
      </c>
      <c r="T548" s="189">
        <v>0</v>
      </c>
      <c r="U548" s="189">
        <v>0</v>
      </c>
      <c r="V548" s="189">
        <v>0</v>
      </c>
      <c r="W548" s="189"/>
      <c r="X548" s="90"/>
      <c r="Y548" s="188"/>
      <c r="Z548" s="188"/>
      <c r="AA548" s="188"/>
      <c r="AB548" s="188"/>
      <c r="AC548" s="188"/>
      <c r="AD548" s="190"/>
      <c r="AE548" s="189"/>
    </row>
    <row r="549" spans="1:31" ht="21.25" customHeight="1" x14ac:dyDescent="0.15">
      <c r="A549" s="9" t="s">
        <v>514</v>
      </c>
      <c r="B549" s="186" t="s">
        <v>836</v>
      </c>
      <c r="C549" s="187">
        <v>31</v>
      </c>
      <c r="D549" s="186" t="s">
        <v>818</v>
      </c>
      <c r="E549" s="90">
        <v>72.652500000000003</v>
      </c>
      <c r="F549" s="188">
        <v>17.563462996171001</v>
      </c>
      <c r="G549" s="189">
        <v>3.7227172120943598E-2</v>
      </c>
      <c r="H549" s="189">
        <v>0.16422227048200899</v>
      </c>
      <c r="I549" s="189">
        <v>0.201449442602953</v>
      </c>
      <c r="J549" s="189">
        <v>0.99061067123548197</v>
      </c>
      <c r="K549" s="189">
        <v>1.2880504585405499E-4</v>
      </c>
      <c r="L549" s="189">
        <v>8.69517304073477E-4</v>
      </c>
      <c r="M549" s="189">
        <v>3.9402794532407501E-4</v>
      </c>
      <c r="N549" s="189">
        <v>4.13082767459626E-3</v>
      </c>
      <c r="O549" s="189">
        <v>1.9324715356373701</v>
      </c>
      <c r="P549" s="189">
        <v>1.34596559049423</v>
      </c>
      <c r="Q549" s="189">
        <v>1.0278359864099E-2</v>
      </c>
      <c r="R549" s="189">
        <v>0.63058430056203296</v>
      </c>
      <c r="S549" s="189">
        <v>5.8505828447526402E-3</v>
      </c>
      <c r="T549" s="189">
        <v>0</v>
      </c>
      <c r="U549" s="189">
        <v>0</v>
      </c>
      <c r="V549" s="189">
        <v>0</v>
      </c>
      <c r="W549" s="189"/>
      <c r="X549" s="90"/>
      <c r="Y549" s="188"/>
      <c r="Z549" s="188"/>
      <c r="AA549" s="188"/>
      <c r="AB549" s="188"/>
      <c r="AC549" s="188"/>
      <c r="AD549" s="190"/>
      <c r="AE549" s="189"/>
    </row>
    <row r="550" spans="1:31" ht="21.25" customHeight="1" x14ac:dyDescent="0.15">
      <c r="A550" s="9" t="s">
        <v>673</v>
      </c>
      <c r="B550" s="186" t="s">
        <v>856</v>
      </c>
      <c r="C550" s="187">
        <v>32</v>
      </c>
      <c r="D550" s="186" t="s">
        <v>817</v>
      </c>
      <c r="E550" s="90">
        <v>81.704999999999998</v>
      </c>
      <c r="F550" s="188">
        <v>11.4962450614894</v>
      </c>
      <c r="G550" s="189">
        <v>9.6270357390719902E-2</v>
      </c>
      <c r="H550" s="189">
        <v>0.10488114624544401</v>
      </c>
      <c r="I550" s="189">
        <v>0.20115150363616399</v>
      </c>
      <c r="J550" s="189">
        <v>1.14298103865485</v>
      </c>
      <c r="K550" s="189">
        <v>7.0687725683169595E-4</v>
      </c>
      <c r="L550" s="189">
        <v>1.6505114247391101E-3</v>
      </c>
      <c r="M550" s="189">
        <v>6.1960555019233299E-3</v>
      </c>
      <c r="N550" s="189">
        <v>2.2109400381111598E-2</v>
      </c>
      <c r="O550" s="189">
        <v>0.81549613050509995</v>
      </c>
      <c r="P550" s="189">
        <v>3.1440506673834299</v>
      </c>
      <c r="Q550" s="189">
        <v>-2.4830362303622601E-2</v>
      </c>
      <c r="R550" s="189">
        <v>0.63357446444440402</v>
      </c>
      <c r="S550" s="189">
        <v>1.3954342768436901E-2</v>
      </c>
      <c r="T550" s="189">
        <v>0.14720771743909999</v>
      </c>
      <c r="U550" s="189">
        <v>0.18405529507627399</v>
      </c>
      <c r="V550" s="189">
        <v>0.44438319968568302</v>
      </c>
      <c r="W550" s="189"/>
      <c r="X550" s="90"/>
      <c r="Y550" s="188"/>
      <c r="Z550" s="188"/>
      <c r="AA550" s="188"/>
      <c r="AB550" s="188"/>
      <c r="AC550" s="188"/>
      <c r="AD550" s="190"/>
      <c r="AE550" s="189"/>
    </row>
    <row r="551" spans="1:31" ht="21.25" customHeight="1" x14ac:dyDescent="0.15">
      <c r="A551" s="9" t="s">
        <v>581</v>
      </c>
      <c r="B551" s="186" t="s">
        <v>845</v>
      </c>
      <c r="C551" s="187">
        <v>24</v>
      </c>
      <c r="D551" s="186" t="s">
        <v>818</v>
      </c>
      <c r="E551" s="90">
        <v>75.28</v>
      </c>
      <c r="F551" s="188">
        <v>18.682135522210999</v>
      </c>
      <c r="G551" s="189">
        <v>3.4382772008631102E-2</v>
      </c>
      <c r="H551" s="189">
        <v>0.165173629163342</v>
      </c>
      <c r="I551" s="189">
        <v>0.19955640117197301</v>
      </c>
      <c r="J551" s="189">
        <v>0.89114546426607999</v>
      </c>
      <c r="K551" s="189">
        <v>3.34267557332108E-4</v>
      </c>
      <c r="L551" s="189">
        <v>2.10283560869439E-3</v>
      </c>
      <c r="M551" s="189">
        <v>6.0213315251858395E-4</v>
      </c>
      <c r="N551" s="189">
        <v>2.5350630550582298E-3</v>
      </c>
      <c r="O551" s="189">
        <v>1.42489491243765</v>
      </c>
      <c r="P551" s="189">
        <v>1.8389792262565401</v>
      </c>
      <c r="Q551" s="189">
        <v>3.4997413896918898E-2</v>
      </c>
      <c r="R551" s="189">
        <v>0.76671859326665204</v>
      </c>
      <c r="S551" s="189">
        <v>4.9952590274323101E-3</v>
      </c>
      <c r="T551" s="189">
        <v>0</v>
      </c>
      <c r="U551" s="189">
        <v>0</v>
      </c>
      <c r="V551" s="189">
        <v>0</v>
      </c>
      <c r="W551" s="189"/>
      <c r="X551" s="90"/>
      <c r="Y551" s="188"/>
      <c r="Z551" s="188"/>
      <c r="AA551" s="188"/>
      <c r="AB551" s="188"/>
      <c r="AC551" s="188"/>
      <c r="AD551" s="190"/>
      <c r="AE551" s="189"/>
    </row>
    <row r="552" spans="1:31" ht="21.25" customHeight="1" x14ac:dyDescent="0.15">
      <c r="A552" s="9" t="s">
        <v>765</v>
      </c>
      <c r="B552" s="186" t="s">
        <v>858</v>
      </c>
      <c r="C552" s="187">
        <v>30</v>
      </c>
      <c r="D552" s="186" t="s">
        <v>816</v>
      </c>
      <c r="E552" s="90">
        <v>68.972499999999997</v>
      </c>
      <c r="F552" s="188">
        <v>11.3040279048369</v>
      </c>
      <c r="G552" s="189">
        <v>0.104515103353848</v>
      </c>
      <c r="H552" s="189">
        <v>9.4611874667569401E-2</v>
      </c>
      <c r="I552" s="189">
        <v>0.19912697802141699</v>
      </c>
      <c r="J552" s="189">
        <v>1.0723617619586101</v>
      </c>
      <c r="K552" s="189">
        <v>8.7856053802413405E-4</v>
      </c>
      <c r="L552" s="189">
        <v>2.0335337427265102E-3</v>
      </c>
      <c r="M552" s="189">
        <v>9.6366421892629395E-3</v>
      </c>
      <c r="N552" s="189">
        <v>1.1329779872768101E-2</v>
      </c>
      <c r="O552" s="189">
        <v>0.49902534022179901</v>
      </c>
      <c r="P552" s="189">
        <v>1.2957228925481701</v>
      </c>
      <c r="Q552" s="189">
        <v>-8.9210864920509905E-2</v>
      </c>
      <c r="R552" s="189">
        <v>0.23233264496678499</v>
      </c>
      <c r="S552" s="189">
        <v>1.2182233345115E-2</v>
      </c>
      <c r="T552" s="189">
        <v>0.13586718343732501</v>
      </c>
      <c r="U552" s="189">
        <v>0.27124855300548301</v>
      </c>
      <c r="V552" s="189">
        <v>0.333731102178635</v>
      </c>
      <c r="W552" s="189"/>
      <c r="X552" s="90"/>
      <c r="Y552" s="188"/>
      <c r="Z552" s="188"/>
      <c r="AA552" s="188"/>
      <c r="AB552" s="188"/>
      <c r="AC552" s="188"/>
      <c r="AD552" s="190"/>
      <c r="AE552" s="189"/>
    </row>
    <row r="553" spans="1:31" ht="21.25" customHeight="1" x14ac:dyDescent="0.15">
      <c r="A553" s="9" t="s">
        <v>396</v>
      </c>
      <c r="B553" s="186" t="s">
        <v>856</v>
      </c>
      <c r="C553" s="187">
        <v>31</v>
      </c>
      <c r="D553" s="186" t="s">
        <v>818</v>
      </c>
      <c r="E553" s="90">
        <v>75.489999999999995</v>
      </c>
      <c r="F553" s="188">
        <v>18.043027253088901</v>
      </c>
      <c r="G553" s="189">
        <v>3.5178059303357601E-2</v>
      </c>
      <c r="H553" s="189">
        <v>0.161851224230846</v>
      </c>
      <c r="I553" s="189">
        <v>0.19702928353420401</v>
      </c>
      <c r="J553" s="189">
        <v>1.3297827433734599</v>
      </c>
      <c r="K553" s="189">
        <v>2.7073326166398502E-4</v>
      </c>
      <c r="L553" s="189">
        <v>1.82836339314525E-3</v>
      </c>
      <c r="M553" s="189">
        <v>4.7033743593673E-4</v>
      </c>
      <c r="N553" s="189">
        <v>3.3696236398017103E-2</v>
      </c>
      <c r="O553" s="189">
        <v>2.57427622466684</v>
      </c>
      <c r="P553" s="189">
        <v>1.87803131608027</v>
      </c>
      <c r="Q553" s="189">
        <v>-2.0409375165577601E-2</v>
      </c>
      <c r="R553" s="189">
        <v>0.71752236691261995</v>
      </c>
      <c r="S553" s="189">
        <v>5.0990430569936903E-3</v>
      </c>
      <c r="T553" s="189">
        <v>0</v>
      </c>
      <c r="U553" s="189">
        <v>0</v>
      </c>
      <c r="V553" s="189">
        <v>0</v>
      </c>
      <c r="W553" s="189"/>
      <c r="X553" s="90"/>
      <c r="Y553" s="188"/>
      <c r="Z553" s="188"/>
      <c r="AA553" s="188"/>
      <c r="AB553" s="188"/>
      <c r="AC553" s="188"/>
      <c r="AD553" s="190"/>
      <c r="AE553" s="189"/>
    </row>
    <row r="554" spans="1:31" ht="21.25" customHeight="1" x14ac:dyDescent="0.15">
      <c r="A554" s="9" t="s">
        <v>511</v>
      </c>
      <c r="B554" s="186" t="s">
        <v>832</v>
      </c>
      <c r="C554" s="187">
        <v>28</v>
      </c>
      <c r="D554" s="186" t="s">
        <v>818</v>
      </c>
      <c r="E554" s="90">
        <v>79.092500000000001</v>
      </c>
      <c r="F554" s="188">
        <v>19.684548595198098</v>
      </c>
      <c r="G554" s="189">
        <v>3.6795828254167003E-2</v>
      </c>
      <c r="H554" s="189">
        <v>0.15929159618849001</v>
      </c>
      <c r="I554" s="189">
        <v>0.196087424442657</v>
      </c>
      <c r="J554" s="189">
        <v>1.0911670069516599</v>
      </c>
      <c r="K554" s="189">
        <v>2.9406158993155302E-4</v>
      </c>
      <c r="L554" s="189">
        <v>1.92591943429751E-3</v>
      </c>
      <c r="M554" s="189">
        <v>2.1564954322093799E-3</v>
      </c>
      <c r="N554" s="189">
        <v>8.8145420221416998E-3</v>
      </c>
      <c r="O554" s="189">
        <v>1.5233865741777199</v>
      </c>
      <c r="P554" s="189">
        <v>2.09803445416023</v>
      </c>
      <c r="Q554" s="189">
        <v>4.1898991650613802E-2</v>
      </c>
      <c r="R554" s="189">
        <v>0.70144714316966195</v>
      </c>
      <c r="S554" s="189">
        <v>6.2686009783658398E-3</v>
      </c>
      <c r="T554" s="189">
        <v>0</v>
      </c>
      <c r="U554" s="189">
        <v>0</v>
      </c>
      <c r="V554" s="189">
        <v>0</v>
      </c>
      <c r="W554" s="189"/>
      <c r="X554" s="90"/>
      <c r="Y554" s="188"/>
      <c r="Z554" s="188"/>
      <c r="AA554" s="188"/>
      <c r="AB554" s="188"/>
      <c r="AC554" s="188"/>
      <c r="AD554" s="190"/>
      <c r="AE554" s="189"/>
    </row>
    <row r="555" spans="1:31" ht="21.25" customHeight="1" x14ac:dyDescent="0.15">
      <c r="A555" s="9" t="s">
        <v>630</v>
      </c>
      <c r="B555" s="186" t="s">
        <v>829</v>
      </c>
      <c r="C555" s="187">
        <v>27</v>
      </c>
      <c r="D555" s="186" t="s">
        <v>818</v>
      </c>
      <c r="E555" s="90">
        <v>69.992500000000007</v>
      </c>
      <c r="F555" s="188">
        <v>15.3083897912369</v>
      </c>
      <c r="G555" s="189">
        <v>5.7983928723022903E-2</v>
      </c>
      <c r="H555" s="189">
        <v>0.13750302002010301</v>
      </c>
      <c r="I555" s="189">
        <v>0.195486948743126</v>
      </c>
      <c r="J555" s="189">
        <v>0.89509251768054598</v>
      </c>
      <c r="K555" s="189">
        <v>2.2729521285331101E-4</v>
      </c>
      <c r="L555" s="189">
        <v>1.4590937889698899E-3</v>
      </c>
      <c r="M555" s="189">
        <v>1.9131335826567299E-4</v>
      </c>
      <c r="N555" s="189">
        <v>9.4921512891695903E-4</v>
      </c>
      <c r="O555" s="189">
        <v>1.14208422152808</v>
      </c>
      <c r="P555" s="189">
        <v>1.1785216709397099</v>
      </c>
      <c r="Q555" s="189">
        <v>-4.1817936961525602E-2</v>
      </c>
      <c r="R555" s="189">
        <v>0.45468968215162803</v>
      </c>
      <c r="S555" s="189">
        <v>8.74840184699773E-3</v>
      </c>
      <c r="T555" s="189">
        <v>0</v>
      </c>
      <c r="U555" s="189">
        <v>0</v>
      </c>
      <c r="V555" s="189">
        <v>0</v>
      </c>
      <c r="W555" s="189"/>
      <c r="X555" s="90"/>
      <c r="Y555" s="188"/>
      <c r="Z555" s="188"/>
      <c r="AA555" s="188"/>
      <c r="AB555" s="188"/>
      <c r="AC555" s="188"/>
      <c r="AD555" s="190"/>
      <c r="AE555" s="189"/>
    </row>
    <row r="556" spans="1:31" ht="21.25" customHeight="1" x14ac:dyDescent="0.15">
      <c r="A556" s="9" t="s">
        <v>733</v>
      </c>
      <c r="B556" s="186" t="s">
        <v>842</v>
      </c>
      <c r="C556" s="187">
        <v>29</v>
      </c>
      <c r="D556" s="186" t="s">
        <v>816</v>
      </c>
      <c r="E556" s="90">
        <v>74.572500000000005</v>
      </c>
      <c r="F556" s="188">
        <v>11.983612451164101</v>
      </c>
      <c r="G556" s="189">
        <v>9.3726330453444903E-2</v>
      </c>
      <c r="H556" s="189">
        <v>9.9587257252482297E-2</v>
      </c>
      <c r="I556" s="189">
        <v>0.19331358770592699</v>
      </c>
      <c r="J556" s="189">
        <v>1.2803626886016899</v>
      </c>
      <c r="K556" s="189">
        <v>4.2876051304670102E-4</v>
      </c>
      <c r="L556" s="189">
        <v>1.00144333244893E-3</v>
      </c>
      <c r="M556" s="189">
        <v>1.7026396610244101E-2</v>
      </c>
      <c r="N556" s="189">
        <v>1.8628101397502799E-2</v>
      </c>
      <c r="O556" s="189">
        <v>0.64747524150950897</v>
      </c>
      <c r="P556" s="189">
        <v>1.5725320436716499</v>
      </c>
      <c r="Q556" s="189">
        <v>4.08426882575818E-3</v>
      </c>
      <c r="R556" s="189">
        <v>0.247861555346295</v>
      </c>
      <c r="S556" s="189">
        <v>1.28726240169388E-2</v>
      </c>
      <c r="T556" s="189">
        <v>0.84051012990806595</v>
      </c>
      <c r="U556" s="189">
        <v>0.86900161376082596</v>
      </c>
      <c r="V556" s="189">
        <v>0.49166677738299303</v>
      </c>
      <c r="W556" s="189"/>
      <c r="X556" s="90"/>
      <c r="Y556" s="188"/>
      <c r="Z556" s="188"/>
      <c r="AA556" s="188"/>
      <c r="AB556" s="188"/>
      <c r="AC556" s="188"/>
      <c r="AD556" s="190"/>
      <c r="AE556" s="189"/>
    </row>
    <row r="557" spans="1:31" ht="21.25" customHeight="1" x14ac:dyDescent="0.15">
      <c r="A557" s="9" t="s">
        <v>764</v>
      </c>
      <c r="B557" s="186" t="s">
        <v>832</v>
      </c>
      <c r="C557" s="187">
        <v>27</v>
      </c>
      <c r="D557" s="186" t="s">
        <v>816</v>
      </c>
      <c r="E557" s="90">
        <v>72.959999999999994</v>
      </c>
      <c r="F557" s="188">
        <v>9.7532644178954708</v>
      </c>
      <c r="G557" s="189">
        <v>8.3511457825219598E-2</v>
      </c>
      <c r="H557" s="189">
        <v>0.108415360493365</v>
      </c>
      <c r="I557" s="189">
        <v>0.19192681831858499</v>
      </c>
      <c r="J557" s="189">
        <v>1.08238824710238</v>
      </c>
      <c r="K557" s="189">
        <v>1.4062060257686399E-3</v>
      </c>
      <c r="L557" s="189">
        <v>2.4607069642472099E-3</v>
      </c>
      <c r="M557" s="189">
        <v>1.15107700905566E-3</v>
      </c>
      <c r="N557" s="189">
        <v>1.96910667120876E-3</v>
      </c>
      <c r="O557" s="189">
        <v>0.440497296806383</v>
      </c>
      <c r="P557" s="189">
        <v>1.75560707645032</v>
      </c>
      <c r="Q557" s="189">
        <v>-4.1572774903629303E-2</v>
      </c>
      <c r="R557" s="189">
        <v>0.59696443947459799</v>
      </c>
      <c r="S557" s="189">
        <v>1.42271564757791E-2</v>
      </c>
      <c r="T557" s="189">
        <v>8.0621033876401002E-2</v>
      </c>
      <c r="U557" s="189">
        <v>5.7946245468790701E-2</v>
      </c>
      <c r="V557" s="189">
        <v>0.581818696718163</v>
      </c>
      <c r="W557" s="189"/>
      <c r="X557" s="90"/>
      <c r="Y557" s="188"/>
      <c r="Z557" s="188"/>
      <c r="AA557" s="188"/>
      <c r="AB557" s="188"/>
      <c r="AC557" s="188"/>
      <c r="AD557" s="190"/>
      <c r="AE557" s="189"/>
    </row>
    <row r="558" spans="1:31" ht="21.25" customHeight="1" x14ac:dyDescent="0.15">
      <c r="A558" s="9" t="s">
        <v>629</v>
      </c>
      <c r="B558" s="186" t="s">
        <v>838</v>
      </c>
      <c r="C558" s="187">
        <v>26</v>
      </c>
      <c r="D558" s="186" t="s">
        <v>818</v>
      </c>
      <c r="E558" s="90">
        <v>60.85</v>
      </c>
      <c r="F558" s="188">
        <v>15.3139008076229</v>
      </c>
      <c r="G558" s="189">
        <v>4.0614684815603701E-2</v>
      </c>
      <c r="H558" s="189">
        <v>0.15128988153289499</v>
      </c>
      <c r="I558" s="189">
        <v>0.19190456634849901</v>
      </c>
      <c r="J558" s="189">
        <v>1.14107209129432</v>
      </c>
      <c r="K558" s="189">
        <v>3.3392446038928001E-4</v>
      </c>
      <c r="L558" s="189">
        <v>2.13955209156648E-3</v>
      </c>
      <c r="M558" s="189">
        <v>3.7001192548130298E-4</v>
      </c>
      <c r="N558" s="189">
        <v>4.2269827793962097E-3</v>
      </c>
      <c r="O558" s="189">
        <v>1.4009932428560601</v>
      </c>
      <c r="P558" s="189">
        <v>1.72609867084818</v>
      </c>
      <c r="Q558" s="189">
        <v>2.27646911142954E-2</v>
      </c>
      <c r="R558" s="189">
        <v>0.78913821759539504</v>
      </c>
      <c r="S558" s="189">
        <v>6.7512392556237002E-3</v>
      </c>
      <c r="T558" s="189">
        <v>0</v>
      </c>
      <c r="U558" s="189">
        <v>0</v>
      </c>
      <c r="V558" s="189">
        <v>0</v>
      </c>
      <c r="W558" s="189"/>
      <c r="X558" s="90"/>
      <c r="Y558" s="188"/>
      <c r="Z558" s="188"/>
      <c r="AA558" s="188"/>
      <c r="AB558" s="188"/>
      <c r="AC558" s="188"/>
      <c r="AD558" s="190"/>
      <c r="AE558" s="189"/>
    </row>
    <row r="559" spans="1:31" ht="21.25" customHeight="1" x14ac:dyDescent="0.15">
      <c r="A559" s="9" t="s">
        <v>702</v>
      </c>
      <c r="B559" s="186" t="s">
        <v>829</v>
      </c>
      <c r="C559" s="187">
        <v>23</v>
      </c>
      <c r="D559" s="186" t="s">
        <v>818</v>
      </c>
      <c r="E559" s="90">
        <v>55</v>
      </c>
      <c r="F559" s="188">
        <v>13.9889564529031</v>
      </c>
      <c r="G559" s="189">
        <v>3.2695767305261803E-2</v>
      </c>
      <c r="H559" s="189">
        <v>0.15655823197270899</v>
      </c>
      <c r="I559" s="189">
        <v>0.18925399927797101</v>
      </c>
      <c r="J559" s="189">
        <v>0.90917242647217</v>
      </c>
      <c r="K559" s="189">
        <v>3.6406210189756601E-5</v>
      </c>
      <c r="L559" s="189">
        <v>2.28490782919036E-4</v>
      </c>
      <c r="M559" s="189">
        <v>6.8114666100563997E-4</v>
      </c>
      <c r="N559" s="189">
        <v>3.3041540109637001E-3</v>
      </c>
      <c r="O559" s="189">
        <v>1.06653530813829</v>
      </c>
      <c r="P559" s="189">
        <v>1.22127700914141</v>
      </c>
      <c r="Q559" s="189">
        <v>3.7367279538775902E-2</v>
      </c>
      <c r="R559" s="189">
        <v>0.33400266653973898</v>
      </c>
      <c r="S559" s="189">
        <v>4.9330170856254499E-3</v>
      </c>
      <c r="T559" s="189">
        <v>0</v>
      </c>
      <c r="U559" s="189">
        <v>0</v>
      </c>
      <c r="V559" s="189">
        <v>0</v>
      </c>
      <c r="W559" s="189"/>
      <c r="X559" s="90"/>
      <c r="Y559" s="188"/>
      <c r="Z559" s="188"/>
      <c r="AA559" s="188"/>
      <c r="AB559" s="188"/>
      <c r="AC559" s="188"/>
      <c r="AD559" s="190"/>
      <c r="AE559" s="189"/>
    </row>
    <row r="560" spans="1:31" ht="21.25" customHeight="1" x14ac:dyDescent="0.15">
      <c r="A560" s="9" t="s">
        <v>741</v>
      </c>
      <c r="B560" s="186" t="s">
        <v>840</v>
      </c>
      <c r="C560" s="187">
        <v>26</v>
      </c>
      <c r="D560" s="186" t="s">
        <v>815</v>
      </c>
      <c r="E560" s="90">
        <v>73.319999999999993</v>
      </c>
      <c r="F560" s="188">
        <v>11.647382540528101</v>
      </c>
      <c r="G560" s="189">
        <v>8.7964784046689296E-2</v>
      </c>
      <c r="H560" s="189">
        <v>0.10120303551252199</v>
      </c>
      <c r="I560" s="189">
        <v>0.189167819559211</v>
      </c>
      <c r="J560" s="189">
        <v>1.6887946133744101</v>
      </c>
      <c r="K560" s="189">
        <v>8.60179660885301E-4</v>
      </c>
      <c r="L560" s="189">
        <v>1.90954202139942E-3</v>
      </c>
      <c r="M560" s="189">
        <v>2.33247769951194E-3</v>
      </c>
      <c r="N560" s="189">
        <v>9.88055689739579E-3</v>
      </c>
      <c r="O560" s="189">
        <v>0.49421303729964799</v>
      </c>
      <c r="P560" s="189">
        <v>1.9388509218787</v>
      </c>
      <c r="Q560" s="189">
        <v>3.6546542079957202E-2</v>
      </c>
      <c r="R560" s="189">
        <v>0.34196540004945802</v>
      </c>
      <c r="S560" s="189">
        <v>1.36577852762343E-2</v>
      </c>
      <c r="T560" s="189">
        <v>0.16600080789065499</v>
      </c>
      <c r="U560" s="189">
        <v>0.227422239469977</v>
      </c>
      <c r="V560" s="189">
        <v>0.42193971350765902</v>
      </c>
      <c r="W560" s="189"/>
      <c r="X560" s="90"/>
      <c r="Y560" s="188"/>
      <c r="Z560" s="188"/>
      <c r="AA560" s="188"/>
      <c r="AB560" s="188"/>
      <c r="AC560" s="188"/>
      <c r="AD560" s="190"/>
      <c r="AE560" s="189"/>
    </row>
    <row r="561" spans="1:31" ht="21.25" customHeight="1" x14ac:dyDescent="0.15">
      <c r="A561" s="9" t="s">
        <v>582</v>
      </c>
      <c r="B561" s="186" t="s">
        <v>830</v>
      </c>
      <c r="C561" s="187">
        <v>34</v>
      </c>
      <c r="D561" s="186" t="s">
        <v>818</v>
      </c>
      <c r="E561" s="90">
        <v>75.407499999999999</v>
      </c>
      <c r="F561" s="188">
        <v>15.2662014830355</v>
      </c>
      <c r="G561" s="189">
        <v>3.6749179829883703E-2</v>
      </c>
      <c r="H561" s="189">
        <v>0.15126022618119001</v>
      </c>
      <c r="I561" s="189">
        <v>0.18800940601107399</v>
      </c>
      <c r="J561" s="189">
        <v>1.10534580164572</v>
      </c>
      <c r="K561" s="189">
        <v>1.6179472826968001E-4</v>
      </c>
      <c r="L561" s="189">
        <v>1.10909791798873E-3</v>
      </c>
      <c r="M561" s="189">
        <v>3.7030389782362398E-4</v>
      </c>
      <c r="N561" s="189">
        <v>1.7283424781499E-3</v>
      </c>
      <c r="O561" s="189">
        <v>1.26141277641037</v>
      </c>
      <c r="P561" s="189">
        <v>2.8960617531153399</v>
      </c>
      <c r="Q561" s="189">
        <v>1.36073161527594E-2</v>
      </c>
      <c r="R561" s="189">
        <v>0.74683003818103499</v>
      </c>
      <c r="S561" s="189">
        <v>5.2034200056580203E-3</v>
      </c>
      <c r="T561" s="189">
        <v>0</v>
      </c>
      <c r="U561" s="189">
        <v>0</v>
      </c>
      <c r="V561" s="189">
        <v>0</v>
      </c>
      <c r="W561" s="189"/>
      <c r="X561" s="90"/>
      <c r="Y561" s="188"/>
      <c r="Z561" s="188"/>
      <c r="AA561" s="188"/>
      <c r="AB561" s="188"/>
      <c r="AC561" s="188"/>
      <c r="AD561" s="190"/>
      <c r="AE561" s="189"/>
    </row>
    <row r="562" spans="1:31" ht="21.25" customHeight="1" x14ac:dyDescent="0.15">
      <c r="A562" s="9" t="s">
        <v>778</v>
      </c>
      <c r="B562" s="186" t="s">
        <v>824</v>
      </c>
      <c r="C562" s="187">
        <v>31</v>
      </c>
      <c r="D562" s="186" t="s">
        <v>815</v>
      </c>
      <c r="E562" s="90">
        <v>76.377499999999998</v>
      </c>
      <c r="F562" s="188">
        <v>12.0166785433107</v>
      </c>
      <c r="G562" s="189">
        <v>6.8547108731154299E-2</v>
      </c>
      <c r="H562" s="189">
        <v>0.118220510994327</v>
      </c>
      <c r="I562" s="189">
        <v>0.186767619725481</v>
      </c>
      <c r="J562" s="189">
        <v>0.97692924938172898</v>
      </c>
      <c r="K562" s="189">
        <v>3.0632344757615599E-4</v>
      </c>
      <c r="L562" s="189">
        <v>7.4650618292937398E-4</v>
      </c>
      <c r="M562" s="189">
        <v>1.4135290137817801E-2</v>
      </c>
      <c r="N562" s="189">
        <v>2.1487529849124699E-2</v>
      </c>
      <c r="O562" s="189">
        <v>0.33808844654236597</v>
      </c>
      <c r="P562" s="189">
        <v>0.74177281030408904</v>
      </c>
      <c r="Q562" s="189">
        <v>6.7642018761964295E-2</v>
      </c>
      <c r="R562" s="189">
        <v>0.38292637849044697</v>
      </c>
      <c r="S562" s="189">
        <v>1.10686551792372E-2</v>
      </c>
      <c r="T562" s="189">
        <v>0.38293690266219998</v>
      </c>
      <c r="U562" s="189">
        <v>0.51422972492766095</v>
      </c>
      <c r="V562" s="189">
        <v>0.42682918745085002</v>
      </c>
      <c r="W562" s="189"/>
      <c r="X562" s="90"/>
      <c r="Y562" s="188"/>
      <c r="Z562" s="188"/>
      <c r="AA562" s="188"/>
      <c r="AB562" s="188"/>
      <c r="AC562" s="188"/>
      <c r="AD562" s="190"/>
      <c r="AE562" s="189"/>
    </row>
    <row r="563" spans="1:31" ht="21.25" customHeight="1" x14ac:dyDescent="0.15">
      <c r="A563" s="9" t="s">
        <v>484</v>
      </c>
      <c r="B563" s="186" t="s">
        <v>847</v>
      </c>
      <c r="C563" s="187">
        <v>37</v>
      </c>
      <c r="D563" s="186" t="s">
        <v>818</v>
      </c>
      <c r="E563" s="90">
        <v>70.95</v>
      </c>
      <c r="F563" s="188">
        <v>17.312243831906699</v>
      </c>
      <c r="G563" s="189">
        <v>4.36872159579101E-2</v>
      </c>
      <c r="H563" s="189">
        <v>0.14206029186598401</v>
      </c>
      <c r="I563" s="189">
        <v>0.18574750782389399</v>
      </c>
      <c r="J563" s="189">
        <v>1.0218093189590101</v>
      </c>
      <c r="K563" s="189">
        <v>1.40103798419807E-4</v>
      </c>
      <c r="L563" s="189">
        <v>2.3037411644789198E-3</v>
      </c>
      <c r="M563" s="189">
        <v>1.9861453550371901E-4</v>
      </c>
      <c r="N563" s="189">
        <v>1.04522493399167E-3</v>
      </c>
      <c r="O563" s="189">
        <v>2.4061328391664101</v>
      </c>
      <c r="P563" s="189">
        <v>0.79573397309389005</v>
      </c>
      <c r="Q563" s="189">
        <v>-1.5246625840962E-3</v>
      </c>
      <c r="R563" s="189">
        <v>0.26503166359490898</v>
      </c>
      <c r="S563" s="189">
        <v>5.6459280718725103E-3</v>
      </c>
      <c r="T563" s="189">
        <v>0</v>
      </c>
      <c r="U563" s="189">
        <v>0</v>
      </c>
      <c r="V563" s="189">
        <v>0</v>
      </c>
      <c r="W563" s="189"/>
      <c r="X563" s="90"/>
      <c r="Y563" s="188"/>
      <c r="Z563" s="188"/>
      <c r="AA563" s="188"/>
      <c r="AB563" s="188"/>
      <c r="AC563" s="188"/>
      <c r="AD563" s="190"/>
      <c r="AE563" s="189"/>
    </row>
    <row r="564" spans="1:31" ht="21.25" customHeight="1" x14ac:dyDescent="0.15">
      <c r="A564" s="9" t="s">
        <v>662</v>
      </c>
      <c r="B564" s="186" t="s">
        <v>851</v>
      </c>
      <c r="C564" s="187">
        <v>23</v>
      </c>
      <c r="D564" s="186" t="s">
        <v>818</v>
      </c>
      <c r="E564" s="90">
        <v>62</v>
      </c>
      <c r="F564" s="188">
        <v>15.19</v>
      </c>
      <c r="G564" s="189">
        <v>2.6284816938682998E-2</v>
      </c>
      <c r="H564" s="189">
        <v>0.15888902963969101</v>
      </c>
      <c r="I564" s="189">
        <v>0.18517384657837399</v>
      </c>
      <c r="J564" s="189">
        <v>0.916291590390375</v>
      </c>
      <c r="K564" s="189">
        <v>0</v>
      </c>
      <c r="L564" s="189">
        <v>0</v>
      </c>
      <c r="M564" s="189">
        <v>0</v>
      </c>
      <c r="N564" s="189">
        <v>0</v>
      </c>
      <c r="O564" s="189">
        <v>1.27314093907163</v>
      </c>
      <c r="P564" s="189">
        <v>1.10271450185501</v>
      </c>
      <c r="Q564" s="189">
        <v>-5.8602588747927904E-3</v>
      </c>
      <c r="R564" s="189">
        <v>0.45520142770279898</v>
      </c>
      <c r="S564" s="189">
        <v>3.8462413036200699E-3</v>
      </c>
      <c r="T564" s="189">
        <v>0</v>
      </c>
      <c r="U564" s="189">
        <v>0</v>
      </c>
      <c r="V564" s="189">
        <v>0</v>
      </c>
      <c r="W564" s="189"/>
      <c r="X564" s="90"/>
      <c r="Y564" s="188"/>
      <c r="Z564" s="188"/>
      <c r="AA564" s="188"/>
      <c r="AB564" s="188"/>
      <c r="AC564" s="188"/>
      <c r="AD564" s="190"/>
      <c r="AE564" s="189"/>
    </row>
    <row r="565" spans="1:31" ht="21.25" customHeight="1" x14ac:dyDescent="0.15">
      <c r="A565" s="9" t="s">
        <v>574</v>
      </c>
      <c r="B565" s="186" t="s">
        <v>859</v>
      </c>
      <c r="C565" s="187">
        <v>37</v>
      </c>
      <c r="D565" s="186" t="s">
        <v>818</v>
      </c>
      <c r="E565" s="90">
        <v>76.342500000000001</v>
      </c>
      <c r="F565" s="188">
        <v>15.4882438339319</v>
      </c>
      <c r="G565" s="189">
        <v>3.8066826561254902E-2</v>
      </c>
      <c r="H565" s="189">
        <v>0.14680677235898501</v>
      </c>
      <c r="I565" s="189">
        <v>0.18487359892024</v>
      </c>
      <c r="J565" s="189">
        <v>0.96176095461161903</v>
      </c>
      <c r="K565" s="189">
        <v>1.15112534955599E-4</v>
      </c>
      <c r="L565" s="189">
        <v>8.0166513671192001E-4</v>
      </c>
      <c r="M565" s="189">
        <v>1.12397622420382E-4</v>
      </c>
      <c r="N565" s="189">
        <v>6.0499801538192103E-4</v>
      </c>
      <c r="O565" s="189">
        <v>1.4515853035073401</v>
      </c>
      <c r="P565" s="189">
        <v>0.76275607307511295</v>
      </c>
      <c r="Q565" s="189">
        <v>-0.12933925754547801</v>
      </c>
      <c r="R565" s="189">
        <v>0.236180000751089</v>
      </c>
      <c r="S565" s="189">
        <v>4.0659225002475496E-3</v>
      </c>
      <c r="T565" s="189">
        <v>0</v>
      </c>
      <c r="U565" s="189">
        <v>0</v>
      </c>
      <c r="V565" s="189">
        <v>0</v>
      </c>
      <c r="W565" s="189"/>
      <c r="X565" s="90"/>
      <c r="Y565" s="188"/>
      <c r="Z565" s="188"/>
      <c r="AA565" s="188"/>
      <c r="AB565" s="188"/>
      <c r="AC565" s="188"/>
      <c r="AD565" s="190"/>
      <c r="AE565" s="189"/>
    </row>
    <row r="566" spans="1:31" ht="21.25" customHeight="1" x14ac:dyDescent="0.15">
      <c r="A566" s="9" t="s">
        <v>752</v>
      </c>
      <c r="B566" s="186" t="s">
        <v>825</v>
      </c>
      <c r="C566" s="187">
        <v>25</v>
      </c>
      <c r="D566" s="186" t="s">
        <v>816</v>
      </c>
      <c r="E566" s="90">
        <v>73.862499999999997</v>
      </c>
      <c r="F566" s="188">
        <v>11.176740047813601</v>
      </c>
      <c r="G566" s="189">
        <v>8.0132516535119297E-2</v>
      </c>
      <c r="H566" s="189">
        <v>0.10402662648302501</v>
      </c>
      <c r="I566" s="189">
        <v>0.18415914301814401</v>
      </c>
      <c r="J566" s="189">
        <v>1.0714392634307399</v>
      </c>
      <c r="K566" s="189">
        <v>7.8185317249180599E-4</v>
      </c>
      <c r="L566" s="189">
        <v>1.8189162788813499E-3</v>
      </c>
      <c r="M566" s="189">
        <v>1.2376724893691101E-2</v>
      </c>
      <c r="N566" s="189">
        <v>2.25313782371384E-2</v>
      </c>
      <c r="O566" s="189">
        <v>0.689854954690161</v>
      </c>
      <c r="P566" s="189">
        <v>2.2454787004482299</v>
      </c>
      <c r="Q566" s="189">
        <v>-3.4268907707777199E-2</v>
      </c>
      <c r="R566" s="189">
        <v>0.49864560255803098</v>
      </c>
      <c r="S566" s="189">
        <v>1.19726517529322E-2</v>
      </c>
      <c r="T566" s="189">
        <v>0.13243731190882699</v>
      </c>
      <c r="U566" s="189">
        <v>0.34474832408426098</v>
      </c>
      <c r="V566" s="189">
        <v>0.277538345497779</v>
      </c>
      <c r="W566" s="189"/>
      <c r="X566" s="90"/>
      <c r="Y566" s="188"/>
      <c r="Z566" s="188"/>
      <c r="AA566" s="188"/>
      <c r="AB566" s="188"/>
      <c r="AC566" s="188"/>
      <c r="AD566" s="190"/>
      <c r="AE566" s="189"/>
    </row>
    <row r="567" spans="1:31" ht="21.25" customHeight="1" x14ac:dyDescent="0.15">
      <c r="A567" s="9" t="s">
        <v>554</v>
      </c>
      <c r="B567" s="186" t="s">
        <v>840</v>
      </c>
      <c r="C567" s="187">
        <v>34</v>
      </c>
      <c r="D567" s="186" t="s">
        <v>818</v>
      </c>
      <c r="E567" s="90">
        <v>71.132499999999993</v>
      </c>
      <c r="F567" s="188">
        <v>15.866041551109401</v>
      </c>
      <c r="G567" s="189">
        <v>5.58105683543971E-2</v>
      </c>
      <c r="H567" s="189">
        <v>0.12785013771141601</v>
      </c>
      <c r="I567" s="189">
        <v>0.183660706065813</v>
      </c>
      <c r="J567" s="189">
        <v>1.29616457395291</v>
      </c>
      <c r="K567" s="189">
        <v>1.9993846557355601E-4</v>
      </c>
      <c r="L567" s="189">
        <v>1.70381199102813E-3</v>
      </c>
      <c r="M567" s="189">
        <v>2.23302180794437E-4</v>
      </c>
      <c r="N567" s="189">
        <v>5.8887875980380899E-3</v>
      </c>
      <c r="O567" s="189">
        <v>1.53902718201793</v>
      </c>
      <c r="P567" s="189">
        <v>1.30251754387148</v>
      </c>
      <c r="Q567" s="189">
        <v>-3.8772789441178297E-2</v>
      </c>
      <c r="R567" s="189">
        <v>0.54061356318207798</v>
      </c>
      <c r="S567" s="189">
        <v>8.6653854379312896E-3</v>
      </c>
      <c r="T567" s="189">
        <v>0</v>
      </c>
      <c r="U567" s="189">
        <v>5.2259815004755904E-7</v>
      </c>
      <c r="V567" s="189">
        <v>0</v>
      </c>
      <c r="W567" s="189"/>
      <c r="X567" s="90"/>
      <c r="Y567" s="188"/>
      <c r="Z567" s="188"/>
      <c r="AA567" s="188"/>
      <c r="AB567" s="188"/>
      <c r="AC567" s="188"/>
      <c r="AD567" s="190"/>
      <c r="AE567" s="189"/>
    </row>
    <row r="568" spans="1:31" ht="21.25" customHeight="1" x14ac:dyDescent="0.15">
      <c r="A568" s="9" t="s">
        <v>761</v>
      </c>
      <c r="B568" s="186" t="s">
        <v>852</v>
      </c>
      <c r="C568" s="187">
        <v>27</v>
      </c>
      <c r="D568" s="186" t="s">
        <v>817</v>
      </c>
      <c r="E568" s="90">
        <v>67.66</v>
      </c>
      <c r="F568" s="188">
        <v>10.3444562644251</v>
      </c>
      <c r="G568" s="189">
        <v>6.9986301175137405E-2</v>
      </c>
      <c r="H568" s="189">
        <v>0.113282590084711</v>
      </c>
      <c r="I568" s="189">
        <v>0.18326889125984799</v>
      </c>
      <c r="J568" s="189">
        <v>0.94638745526414902</v>
      </c>
      <c r="K568" s="189">
        <v>6.8679232763785303E-4</v>
      </c>
      <c r="L568" s="189">
        <v>1.6143845503605999E-3</v>
      </c>
      <c r="M568" s="189">
        <v>6.8577947416044102E-3</v>
      </c>
      <c r="N568" s="189">
        <v>7.9340185075675394E-3</v>
      </c>
      <c r="O568" s="189">
        <v>0.61978517806884503</v>
      </c>
      <c r="P568" s="189">
        <v>2.3585521148883499</v>
      </c>
      <c r="Q568" s="189">
        <v>-9.6456589327010497E-2</v>
      </c>
      <c r="R568" s="189">
        <v>0.842641462578548</v>
      </c>
      <c r="S568" s="189">
        <v>7.7393895635948897E-3</v>
      </c>
      <c r="T568" s="189">
        <v>4.6023828179737103E-2</v>
      </c>
      <c r="U568" s="189">
        <v>0.20724902709886001</v>
      </c>
      <c r="V568" s="189">
        <v>0.181716386973691</v>
      </c>
      <c r="W568" s="189"/>
      <c r="X568" s="90"/>
      <c r="Y568" s="188"/>
      <c r="Z568" s="188"/>
      <c r="AA568" s="188"/>
      <c r="AB568" s="188"/>
      <c r="AC568" s="188"/>
      <c r="AD568" s="190"/>
      <c r="AE568" s="189"/>
    </row>
    <row r="569" spans="1:31" ht="21.25" customHeight="1" x14ac:dyDescent="0.15">
      <c r="A569" s="9" t="s">
        <v>770</v>
      </c>
      <c r="B569" s="186" t="s">
        <v>832</v>
      </c>
      <c r="C569" s="187">
        <v>32</v>
      </c>
      <c r="D569" s="186" t="s">
        <v>816</v>
      </c>
      <c r="E569" s="90">
        <v>70.965000000000003</v>
      </c>
      <c r="F569" s="188">
        <v>11.8193815239336</v>
      </c>
      <c r="G569" s="189">
        <v>5.8055268604952401E-2</v>
      </c>
      <c r="H569" s="189">
        <v>0.12389114147993099</v>
      </c>
      <c r="I569" s="189">
        <v>0.18194641008488299</v>
      </c>
      <c r="J569" s="189">
        <v>1.0198096922653499</v>
      </c>
      <c r="K569" s="189">
        <v>6.1333444079136499E-4</v>
      </c>
      <c r="L569" s="189">
        <v>1.5358780485938801E-3</v>
      </c>
      <c r="M569" s="189">
        <v>3.7635315580117901E-3</v>
      </c>
      <c r="N569" s="189">
        <v>6.6987667946754297E-3</v>
      </c>
      <c r="O569" s="189">
        <v>0.49069930760213798</v>
      </c>
      <c r="P569" s="189">
        <v>1.0906449289623299</v>
      </c>
      <c r="Q569" s="189">
        <v>5.1539626306379401E-3</v>
      </c>
      <c r="R569" s="189">
        <v>0.36307494402169299</v>
      </c>
      <c r="S569" s="189">
        <v>9.8903960270301204E-3</v>
      </c>
      <c r="T569" s="189">
        <v>4.0378733402223101</v>
      </c>
      <c r="U569" s="189">
        <v>3.2253063223560301</v>
      </c>
      <c r="V569" s="189">
        <v>0.55593741691760901</v>
      </c>
      <c r="W569" s="189"/>
      <c r="X569" s="90"/>
      <c r="Y569" s="188"/>
      <c r="Z569" s="188"/>
      <c r="AA569" s="188"/>
      <c r="AB569" s="188"/>
      <c r="AC569" s="188"/>
      <c r="AD569" s="190"/>
      <c r="AE569" s="189"/>
    </row>
    <row r="570" spans="1:31" ht="21.25" customHeight="1" x14ac:dyDescent="0.15">
      <c r="A570" s="9" t="s">
        <v>610</v>
      </c>
      <c r="B570" s="186" t="s">
        <v>835</v>
      </c>
      <c r="C570" s="187">
        <v>28</v>
      </c>
      <c r="D570" s="186" t="s">
        <v>818</v>
      </c>
      <c r="E570" s="90">
        <v>70.394999999999996</v>
      </c>
      <c r="F570" s="188">
        <v>17.221419965223699</v>
      </c>
      <c r="G570" s="189">
        <v>2.1096451617973699E-2</v>
      </c>
      <c r="H570" s="189">
        <v>0.159274586501195</v>
      </c>
      <c r="I570" s="189">
        <v>0.18037103811916899</v>
      </c>
      <c r="J570" s="189">
        <v>0.65206722087591196</v>
      </c>
      <c r="K570" s="189">
        <v>3.15466624091546E-4</v>
      </c>
      <c r="L570" s="189">
        <v>2.1080840836042699E-3</v>
      </c>
      <c r="M570" s="189">
        <v>5.0332293342258104E-4</v>
      </c>
      <c r="N570" s="189">
        <v>1.37680598807076E-2</v>
      </c>
      <c r="O570" s="189">
        <v>1.62400852558096</v>
      </c>
      <c r="P570" s="189">
        <v>1.6885581518313</v>
      </c>
      <c r="Q570" s="189">
        <v>2.6080414414977799E-3</v>
      </c>
      <c r="R570" s="189">
        <v>0.70544173517193798</v>
      </c>
      <c r="S570" s="189">
        <v>3.6027297204234698E-3</v>
      </c>
      <c r="T570" s="189">
        <v>0</v>
      </c>
      <c r="U570" s="189">
        <v>0</v>
      </c>
      <c r="V570" s="189">
        <v>0</v>
      </c>
      <c r="W570" s="189"/>
      <c r="X570" s="90"/>
      <c r="Y570" s="188"/>
      <c r="Z570" s="188"/>
      <c r="AA570" s="188"/>
      <c r="AB570" s="188"/>
      <c r="AC570" s="188"/>
      <c r="AD570" s="190"/>
      <c r="AE570" s="189"/>
    </row>
    <row r="571" spans="1:31" ht="21.25" customHeight="1" x14ac:dyDescent="0.15">
      <c r="A571" s="9" t="s">
        <v>576</v>
      </c>
      <c r="B571" s="186" t="s">
        <v>848</v>
      </c>
      <c r="C571" s="187">
        <v>39</v>
      </c>
      <c r="D571" s="186" t="s">
        <v>818</v>
      </c>
      <c r="E571" s="90">
        <v>82.03</v>
      </c>
      <c r="F571" s="188">
        <v>17.230528048337298</v>
      </c>
      <c r="G571" s="189">
        <v>1.9730180660086898E-2</v>
      </c>
      <c r="H571" s="189">
        <v>0.16016325834859799</v>
      </c>
      <c r="I571" s="189">
        <v>0.17989343900868501</v>
      </c>
      <c r="J571" s="189">
        <v>0.97433944685149898</v>
      </c>
      <c r="K571" s="189">
        <v>3.2540779811391903E-4</v>
      </c>
      <c r="L571" s="189">
        <v>2.22187066634737E-3</v>
      </c>
      <c r="M571" s="189">
        <v>5.6919534389828797E-5</v>
      </c>
      <c r="N571" s="189">
        <v>2.7072105264565401E-3</v>
      </c>
      <c r="O571" s="189">
        <v>1.2130568185592401</v>
      </c>
      <c r="P571" s="189">
        <v>0.99220171563727599</v>
      </c>
      <c r="Q571" s="189">
        <v>6.0753816190761201E-2</v>
      </c>
      <c r="R571" s="189">
        <v>0.33414943743349901</v>
      </c>
      <c r="S571" s="189">
        <v>2.3753972120910002E-3</v>
      </c>
      <c r="T571" s="189">
        <v>0</v>
      </c>
      <c r="U571" s="189">
        <v>0</v>
      </c>
      <c r="V571" s="189">
        <v>0</v>
      </c>
      <c r="W571" s="189"/>
      <c r="X571" s="90"/>
      <c r="Y571" s="188"/>
      <c r="Z571" s="188"/>
      <c r="AA571" s="188"/>
      <c r="AB571" s="188"/>
      <c r="AC571" s="188"/>
      <c r="AD571" s="190"/>
      <c r="AE571" s="189"/>
    </row>
    <row r="572" spans="1:31" ht="21.25" customHeight="1" x14ac:dyDescent="0.15">
      <c r="A572" s="9" t="s">
        <v>670</v>
      </c>
      <c r="B572" s="186" t="s">
        <v>842</v>
      </c>
      <c r="C572" s="187">
        <v>32</v>
      </c>
      <c r="D572" s="186" t="s">
        <v>818</v>
      </c>
      <c r="E572" s="90">
        <v>72.644999999999996</v>
      </c>
      <c r="F572" s="188">
        <v>14.9923083178829</v>
      </c>
      <c r="G572" s="189">
        <v>1.93618008014361E-2</v>
      </c>
      <c r="H572" s="189">
        <v>0.158819724797645</v>
      </c>
      <c r="I572" s="189">
        <v>0.17818152559908099</v>
      </c>
      <c r="J572" s="189">
        <v>0.55553421410010395</v>
      </c>
      <c r="K572" s="189">
        <v>1.75476012400793E-4</v>
      </c>
      <c r="L572" s="189">
        <v>1.30566121849599E-3</v>
      </c>
      <c r="M572" s="189">
        <v>9.8921699345993694E-4</v>
      </c>
      <c r="N572" s="189">
        <v>3.8002090924761601E-3</v>
      </c>
      <c r="O572" s="189">
        <v>1.1307924303152701</v>
      </c>
      <c r="P572" s="189">
        <v>1.43097537562906</v>
      </c>
      <c r="Q572" s="189">
        <v>-2.61457336759413E-2</v>
      </c>
      <c r="R572" s="189">
        <v>0.41866536132234999</v>
      </c>
      <c r="S572" s="189">
        <v>2.6592013237043302E-3</v>
      </c>
      <c r="T572" s="189">
        <v>0</v>
      </c>
      <c r="U572" s="189">
        <v>0</v>
      </c>
      <c r="V572" s="189">
        <v>0</v>
      </c>
      <c r="W572" s="189"/>
      <c r="X572" s="90"/>
      <c r="Y572" s="188"/>
      <c r="Z572" s="188"/>
      <c r="AA572" s="188"/>
      <c r="AB572" s="188"/>
      <c r="AC572" s="188"/>
      <c r="AD572" s="190"/>
      <c r="AE572" s="189"/>
    </row>
    <row r="573" spans="1:31" ht="21.25" customHeight="1" x14ac:dyDescent="0.15">
      <c r="A573" s="9" t="s">
        <v>683</v>
      </c>
      <c r="B573" s="186" t="s">
        <v>829</v>
      </c>
      <c r="C573" s="187">
        <v>29</v>
      </c>
      <c r="D573" s="186" t="s">
        <v>818</v>
      </c>
      <c r="E573" s="90">
        <v>62.11</v>
      </c>
      <c r="F573" s="188">
        <v>13.5297619488222</v>
      </c>
      <c r="G573" s="189">
        <v>4.5079459476396598E-2</v>
      </c>
      <c r="H573" s="189">
        <v>0.13304691759555801</v>
      </c>
      <c r="I573" s="189">
        <v>0.178126377071955</v>
      </c>
      <c r="J573" s="189">
        <v>0.85489908900506895</v>
      </c>
      <c r="K573" s="189">
        <v>1.6411594609167399E-4</v>
      </c>
      <c r="L573" s="189">
        <v>1.0594789169630001E-3</v>
      </c>
      <c r="M573" s="189">
        <v>3.0976123950446599E-4</v>
      </c>
      <c r="N573" s="189">
        <v>1.5455926654490001E-3</v>
      </c>
      <c r="O573" s="189">
        <v>1.13049485499838</v>
      </c>
      <c r="P573" s="189">
        <v>1.05168624863473</v>
      </c>
      <c r="Q573" s="189">
        <v>2.8243891334234598E-3</v>
      </c>
      <c r="R573" s="189">
        <v>0.264688529378653</v>
      </c>
      <c r="S573" s="189">
        <v>6.8014230016873404E-3</v>
      </c>
      <c r="T573" s="189">
        <v>0</v>
      </c>
      <c r="U573" s="189">
        <v>0</v>
      </c>
      <c r="V573" s="189">
        <v>0</v>
      </c>
      <c r="W573" s="189"/>
      <c r="X573" s="90"/>
      <c r="Y573" s="188"/>
      <c r="Z573" s="188"/>
      <c r="AA573" s="188"/>
      <c r="AB573" s="188"/>
      <c r="AC573" s="188"/>
      <c r="AD573" s="190"/>
      <c r="AE573" s="189"/>
    </row>
    <row r="574" spans="1:31" ht="21.25" customHeight="1" x14ac:dyDescent="0.15">
      <c r="A574" s="9" t="s">
        <v>543</v>
      </c>
      <c r="B574" s="186" t="s">
        <v>837</v>
      </c>
      <c r="C574" s="187">
        <v>30</v>
      </c>
      <c r="D574" s="186" t="s">
        <v>818</v>
      </c>
      <c r="E574" s="90">
        <v>78.185000000000002</v>
      </c>
      <c r="F574" s="188">
        <v>17.608391124927302</v>
      </c>
      <c r="G574" s="189">
        <v>1.9643769508725401E-2</v>
      </c>
      <c r="H574" s="189">
        <v>0.15799365772570301</v>
      </c>
      <c r="I574" s="189">
        <v>0.17763742723442799</v>
      </c>
      <c r="J574" s="189">
        <v>0.69149617176269096</v>
      </c>
      <c r="K574" s="189">
        <v>1.4081799220826599E-4</v>
      </c>
      <c r="L574" s="189">
        <v>1.0065741570871899E-3</v>
      </c>
      <c r="M574" s="189">
        <v>2.7173153514287499E-3</v>
      </c>
      <c r="N574" s="189">
        <v>8.6231080469277993E-3</v>
      </c>
      <c r="O574" s="189">
        <v>1.91648127239588</v>
      </c>
      <c r="P574" s="189">
        <v>2.1026255543044101</v>
      </c>
      <c r="Q574" s="189">
        <v>-1.3855579695999499E-2</v>
      </c>
      <c r="R574" s="189">
        <v>0.606977424467539</v>
      </c>
      <c r="S574" s="189">
        <v>3.1414063535797898E-3</v>
      </c>
      <c r="T574" s="189">
        <v>0</v>
      </c>
      <c r="U574" s="189">
        <v>0</v>
      </c>
      <c r="V574" s="189">
        <v>0</v>
      </c>
      <c r="W574" s="189"/>
      <c r="X574" s="90"/>
      <c r="Y574" s="188"/>
      <c r="Z574" s="188"/>
      <c r="AA574" s="188"/>
      <c r="AB574" s="188"/>
      <c r="AC574" s="188"/>
      <c r="AD574" s="190"/>
      <c r="AE574" s="189"/>
    </row>
    <row r="575" spans="1:31" ht="21.25" customHeight="1" x14ac:dyDescent="0.15">
      <c r="A575" s="9" t="s">
        <v>559</v>
      </c>
      <c r="B575" s="186" t="s">
        <v>828</v>
      </c>
      <c r="C575" s="187">
        <v>26</v>
      </c>
      <c r="D575" s="186" t="s">
        <v>818</v>
      </c>
      <c r="E575" s="90">
        <v>73.944999999999993</v>
      </c>
      <c r="F575" s="188">
        <v>16.5323665630352</v>
      </c>
      <c r="G575" s="189">
        <v>4.1592153633608402E-2</v>
      </c>
      <c r="H575" s="189">
        <v>0.135210322328151</v>
      </c>
      <c r="I575" s="189">
        <v>0.17680247596175899</v>
      </c>
      <c r="J575" s="189">
        <v>0.90270925335784302</v>
      </c>
      <c r="K575" s="189">
        <v>2.9899828228255899E-5</v>
      </c>
      <c r="L575" s="189">
        <v>1.92475567658571E-4</v>
      </c>
      <c r="M575" s="189">
        <v>3.5812324787434303E-4</v>
      </c>
      <c r="N575" s="189">
        <v>9.4369346250323394E-3</v>
      </c>
      <c r="O575" s="189">
        <v>1.7811375987633</v>
      </c>
      <c r="P575" s="189">
        <v>1.8610060516813001</v>
      </c>
      <c r="Q575" s="189">
        <v>-1.8358947915820999E-2</v>
      </c>
      <c r="R575" s="189">
        <v>0.38043715164967001</v>
      </c>
      <c r="S575" s="189">
        <v>6.4781325667089299E-3</v>
      </c>
      <c r="T575" s="189">
        <v>0</v>
      </c>
      <c r="U575" s="189">
        <v>0</v>
      </c>
      <c r="V575" s="189">
        <v>0</v>
      </c>
      <c r="W575" s="189"/>
      <c r="X575" s="90"/>
      <c r="Y575" s="188"/>
      <c r="Z575" s="188"/>
      <c r="AA575" s="188"/>
      <c r="AB575" s="188"/>
      <c r="AC575" s="188"/>
      <c r="AD575" s="190"/>
      <c r="AE575" s="189"/>
    </row>
    <row r="576" spans="1:31" ht="21.25" customHeight="1" x14ac:dyDescent="0.15">
      <c r="A576" s="9" t="s">
        <v>505</v>
      </c>
      <c r="B576" s="186" t="s">
        <v>851</v>
      </c>
      <c r="C576" s="187">
        <v>35</v>
      </c>
      <c r="D576" s="186" t="s">
        <v>818</v>
      </c>
      <c r="E576" s="90">
        <v>80.069999999999993</v>
      </c>
      <c r="F576" s="188">
        <v>18.577547622913801</v>
      </c>
      <c r="G576" s="189">
        <v>2.4454443819267001E-2</v>
      </c>
      <c r="H576" s="189">
        <v>0.15234635946241101</v>
      </c>
      <c r="I576" s="189">
        <v>0.17680080328167799</v>
      </c>
      <c r="J576" s="189">
        <v>0.901281512435677</v>
      </c>
      <c r="K576" s="189">
        <v>2.06682675217775E-4</v>
      </c>
      <c r="L576" s="189">
        <v>1.5936603457999601E-3</v>
      </c>
      <c r="M576" s="189">
        <v>2.4330505813570299E-4</v>
      </c>
      <c r="N576" s="189">
        <v>2.9134497444969201E-3</v>
      </c>
      <c r="O576" s="189">
        <v>1.8540098704496999</v>
      </c>
      <c r="P576" s="189">
        <v>1.2409330691284499</v>
      </c>
      <c r="Q576" s="189">
        <v>7.2001027649546606E-2</v>
      </c>
      <c r="R576" s="189">
        <v>0.76199849000615805</v>
      </c>
      <c r="S576" s="189">
        <v>3.5784039163802499E-3</v>
      </c>
      <c r="T576" s="189">
        <v>0</v>
      </c>
      <c r="U576" s="189">
        <v>0</v>
      </c>
      <c r="V576" s="189">
        <v>0</v>
      </c>
      <c r="W576" s="189"/>
      <c r="X576" s="90"/>
      <c r="Y576" s="188"/>
      <c r="Z576" s="188"/>
      <c r="AA576" s="188"/>
      <c r="AB576" s="188"/>
      <c r="AC576" s="188"/>
      <c r="AD576" s="190"/>
      <c r="AE576" s="189"/>
    </row>
    <row r="577" spans="1:31" ht="21.25" customHeight="1" x14ac:dyDescent="0.15">
      <c r="A577" s="9" t="s">
        <v>787</v>
      </c>
      <c r="B577" s="186" t="s">
        <v>838</v>
      </c>
      <c r="C577" s="187">
        <v>24</v>
      </c>
      <c r="D577" s="186" t="s">
        <v>815</v>
      </c>
      <c r="E577" s="90">
        <v>65.147499999999994</v>
      </c>
      <c r="F577" s="188">
        <v>9.3705180614132093</v>
      </c>
      <c r="G577" s="189">
        <v>5.97434271325709E-2</v>
      </c>
      <c r="H577" s="189">
        <v>0.114849746069979</v>
      </c>
      <c r="I577" s="189">
        <v>0.17459317320254999</v>
      </c>
      <c r="J577" s="189">
        <v>0.819884729078178</v>
      </c>
      <c r="K577" s="189">
        <v>5.8186899637824503E-4</v>
      </c>
      <c r="L577" s="189">
        <v>1.3291958620722699E-3</v>
      </c>
      <c r="M577" s="189">
        <v>2.14207615139994E-3</v>
      </c>
      <c r="N577" s="189">
        <v>8.8862106311772705E-3</v>
      </c>
      <c r="O577" s="189">
        <v>0.48225973423257901</v>
      </c>
      <c r="P577" s="189">
        <v>0.890856941576191</v>
      </c>
      <c r="Q577" s="189">
        <v>1.98809083822978E-2</v>
      </c>
      <c r="R577" s="189">
        <v>0.152422490838097</v>
      </c>
      <c r="S577" s="189">
        <v>9.9309442472380691E-3</v>
      </c>
      <c r="T577" s="189">
        <v>2.5197619028105298</v>
      </c>
      <c r="U577" s="189">
        <v>2.34513289780259</v>
      </c>
      <c r="V577" s="189">
        <v>0.51794787062876901</v>
      </c>
      <c r="W577" s="189"/>
      <c r="X577" s="90"/>
      <c r="Y577" s="188"/>
      <c r="Z577" s="188"/>
      <c r="AA577" s="188"/>
      <c r="AB577" s="188"/>
      <c r="AC577" s="188"/>
      <c r="AD577" s="190"/>
      <c r="AE577" s="189"/>
    </row>
    <row r="578" spans="1:31" ht="21.25" customHeight="1" x14ac:dyDescent="0.15">
      <c r="A578" s="9" t="s">
        <v>546</v>
      </c>
      <c r="B578" s="186" t="s">
        <v>826</v>
      </c>
      <c r="C578" s="187">
        <v>32</v>
      </c>
      <c r="D578" s="186" t="s">
        <v>818</v>
      </c>
      <c r="E578" s="90">
        <v>78.635000000000005</v>
      </c>
      <c r="F578" s="188">
        <v>18.261038774881001</v>
      </c>
      <c r="G578" s="189">
        <v>4.6467990177217602E-2</v>
      </c>
      <c r="H578" s="189">
        <v>0.12770843917948499</v>
      </c>
      <c r="I578" s="189">
        <v>0.17417642935670299</v>
      </c>
      <c r="J578" s="189">
        <v>0.90332920384604998</v>
      </c>
      <c r="K578" s="189">
        <v>1.8621887525083601E-4</v>
      </c>
      <c r="L578" s="189">
        <v>1.21717380690384E-3</v>
      </c>
      <c r="M578" s="189">
        <v>3.1867144116222001E-4</v>
      </c>
      <c r="N578" s="189">
        <v>3.2347210268337699E-3</v>
      </c>
      <c r="O578" s="189">
        <v>1.6973937275874</v>
      </c>
      <c r="P578" s="189">
        <v>2.5489605030888001</v>
      </c>
      <c r="Q578" s="189">
        <v>4.116789449792E-2</v>
      </c>
      <c r="R578" s="189">
        <v>0.55033547453259801</v>
      </c>
      <c r="S578" s="189">
        <v>7.4340454616857298E-3</v>
      </c>
      <c r="T578" s="189">
        <v>0</v>
      </c>
      <c r="U578" s="189">
        <v>0</v>
      </c>
      <c r="V578" s="189">
        <v>0</v>
      </c>
      <c r="W578" s="189"/>
      <c r="X578" s="90"/>
      <c r="Y578" s="188"/>
      <c r="Z578" s="188"/>
      <c r="AA578" s="188"/>
      <c r="AB578" s="188"/>
      <c r="AC578" s="188"/>
      <c r="AD578" s="190"/>
      <c r="AE578" s="189"/>
    </row>
    <row r="579" spans="1:31" ht="21.25" customHeight="1" x14ac:dyDescent="0.15">
      <c r="A579" s="9" t="s">
        <v>730</v>
      </c>
      <c r="B579" s="186" t="s">
        <v>844</v>
      </c>
      <c r="C579" s="187">
        <v>27</v>
      </c>
      <c r="D579" s="186" t="s">
        <v>817</v>
      </c>
      <c r="E579" s="90">
        <v>77.212500000000006</v>
      </c>
      <c r="F579" s="188">
        <v>10.950421172678601</v>
      </c>
      <c r="G579" s="189">
        <v>8.5593407864460194E-2</v>
      </c>
      <c r="H579" s="189">
        <v>8.7774446877903298E-2</v>
      </c>
      <c r="I579" s="189">
        <v>0.17336785474236399</v>
      </c>
      <c r="J579" s="189">
        <v>1.1842955986557999</v>
      </c>
      <c r="K579" s="189">
        <v>8.2308998230808095E-4</v>
      </c>
      <c r="L579" s="189">
        <v>1.9211763362892401E-3</v>
      </c>
      <c r="M579" s="189">
        <v>1.46680356018532E-2</v>
      </c>
      <c r="N579" s="189">
        <v>1.6825766846960102E-2</v>
      </c>
      <c r="O579" s="189">
        <v>0.44854930354138001</v>
      </c>
      <c r="P579" s="189">
        <v>2.3794764855288202</v>
      </c>
      <c r="Q579" s="189">
        <v>-5.1036674855186202E-3</v>
      </c>
      <c r="R579" s="189">
        <v>0.76016871034008204</v>
      </c>
      <c r="S579" s="189">
        <v>1.21467774922572E-2</v>
      </c>
      <c r="T579" s="189">
        <v>6.04991039015201E-2</v>
      </c>
      <c r="U579" s="189">
        <v>0.117056804766411</v>
      </c>
      <c r="V579" s="189">
        <v>0.34073269853647498</v>
      </c>
      <c r="W579" s="189"/>
      <c r="X579" s="90"/>
      <c r="Y579" s="188"/>
      <c r="Z579" s="188"/>
      <c r="AA579" s="188"/>
      <c r="AB579" s="188"/>
      <c r="AC579" s="188"/>
      <c r="AD579" s="190"/>
      <c r="AE579" s="189"/>
    </row>
    <row r="580" spans="1:31" ht="21.25" customHeight="1" x14ac:dyDescent="0.15">
      <c r="A580" s="9" t="s">
        <v>675</v>
      </c>
      <c r="B580" s="186" t="s">
        <v>839</v>
      </c>
      <c r="C580" s="187">
        <v>25</v>
      </c>
      <c r="D580" s="186" t="s">
        <v>818</v>
      </c>
      <c r="E580" s="90">
        <v>60</v>
      </c>
      <c r="F580" s="188">
        <v>15.5349783590035</v>
      </c>
      <c r="G580" s="189">
        <v>3.6270916634236199E-2</v>
      </c>
      <c r="H580" s="189">
        <v>0.13696634025063401</v>
      </c>
      <c r="I580" s="189">
        <v>0.17323725688486999</v>
      </c>
      <c r="J580" s="189">
        <v>0.94277898168588603</v>
      </c>
      <c r="K580" s="189">
        <v>2.2833528291409699E-4</v>
      </c>
      <c r="L580" s="189">
        <v>1.4579866169296099E-3</v>
      </c>
      <c r="M580" s="189">
        <v>1.66062920965887E-3</v>
      </c>
      <c r="N580" s="189">
        <v>7.2197005151389002E-3</v>
      </c>
      <c r="O580" s="189">
        <v>1.2704600582418899</v>
      </c>
      <c r="P580" s="189">
        <v>1.65188029899822</v>
      </c>
      <c r="Q580" s="189">
        <v>-3.4881225034133498E-3</v>
      </c>
      <c r="R580" s="189">
        <v>0.33978025236613901</v>
      </c>
      <c r="S580" s="189">
        <v>5.3769059476691103E-3</v>
      </c>
      <c r="T580" s="189">
        <v>0</v>
      </c>
      <c r="U580" s="189">
        <v>0</v>
      </c>
      <c r="V580" s="189">
        <v>0</v>
      </c>
      <c r="W580" s="189"/>
      <c r="X580" s="90"/>
      <c r="Y580" s="188"/>
      <c r="Z580" s="188"/>
      <c r="AA580" s="188"/>
      <c r="AB580" s="188"/>
      <c r="AC580" s="188"/>
      <c r="AD580" s="190"/>
      <c r="AE580" s="189"/>
    </row>
    <row r="581" spans="1:31" ht="21.25" customHeight="1" x14ac:dyDescent="0.15">
      <c r="A581" s="9" t="s">
        <v>601</v>
      </c>
      <c r="B581" s="186" t="s">
        <v>833</v>
      </c>
      <c r="C581" s="187">
        <v>34</v>
      </c>
      <c r="D581" s="186" t="s">
        <v>818</v>
      </c>
      <c r="E581" s="90">
        <v>70.662499999999994</v>
      </c>
      <c r="F581" s="188">
        <v>17.267623865116299</v>
      </c>
      <c r="G581" s="189">
        <v>3.7975249799133901E-2</v>
      </c>
      <c r="H581" s="189">
        <v>0.135002908870862</v>
      </c>
      <c r="I581" s="189">
        <v>0.172978158669996</v>
      </c>
      <c r="J581" s="189">
        <v>1.19688620737694</v>
      </c>
      <c r="K581" s="189">
        <v>2.5543373978137402E-4</v>
      </c>
      <c r="L581" s="189">
        <v>1.7301335194512301E-3</v>
      </c>
      <c r="M581" s="189">
        <v>2.2751653431500799E-4</v>
      </c>
      <c r="N581" s="189">
        <v>5.6775371288514398E-3</v>
      </c>
      <c r="O581" s="189">
        <v>1.25651657052007</v>
      </c>
      <c r="P581" s="189">
        <v>1.7654876922782601</v>
      </c>
      <c r="Q581" s="189">
        <v>3.6230527523241599E-3</v>
      </c>
      <c r="R581" s="189">
        <v>0.61801844909716996</v>
      </c>
      <c r="S581" s="189">
        <v>6.26892108622535E-3</v>
      </c>
      <c r="T581" s="189">
        <v>6.4381774896624501E-4</v>
      </c>
      <c r="U581" s="189">
        <v>1.79866555740623E-3</v>
      </c>
      <c r="V581" s="189">
        <v>0.26359146336292899</v>
      </c>
      <c r="W581" s="189"/>
      <c r="X581" s="90"/>
      <c r="Y581" s="188"/>
      <c r="Z581" s="188"/>
      <c r="AA581" s="188"/>
      <c r="AB581" s="188"/>
      <c r="AC581" s="188"/>
      <c r="AD581" s="190"/>
      <c r="AE581" s="189"/>
    </row>
    <row r="582" spans="1:31" ht="21.25" customHeight="1" x14ac:dyDescent="0.15">
      <c r="A582" s="9" t="s">
        <v>758</v>
      </c>
      <c r="B582" s="186" t="s">
        <v>824</v>
      </c>
      <c r="C582" s="187">
        <v>30</v>
      </c>
      <c r="D582" s="186" t="s">
        <v>817</v>
      </c>
      <c r="E582" s="90">
        <v>67.552499999999995</v>
      </c>
      <c r="F582" s="188">
        <v>11.887530245047699</v>
      </c>
      <c r="G582" s="189">
        <v>5.6496240542360798E-2</v>
      </c>
      <c r="H582" s="189">
        <v>0.11532215837116</v>
      </c>
      <c r="I582" s="189">
        <v>0.17181839891352099</v>
      </c>
      <c r="J582" s="189">
        <v>1.2809939454739401</v>
      </c>
      <c r="K582" s="189">
        <v>1.60246035306372E-3</v>
      </c>
      <c r="L582" s="189">
        <v>8.2895583279351901E-3</v>
      </c>
      <c r="M582" s="189">
        <v>4.0210718178407701E-3</v>
      </c>
      <c r="N582" s="189">
        <v>1.3180237363834901E-2</v>
      </c>
      <c r="O582" s="189">
        <v>0.36072828008790397</v>
      </c>
      <c r="P582" s="189">
        <v>0.63192941609714504</v>
      </c>
      <c r="Q582" s="189">
        <v>5.8975843136466199E-2</v>
      </c>
      <c r="R582" s="189">
        <v>0.16567443694730399</v>
      </c>
      <c r="S582" s="189">
        <v>9.1227393403162001E-3</v>
      </c>
      <c r="T582" s="189">
        <v>0.27152704593361698</v>
      </c>
      <c r="U582" s="189">
        <v>0.42368840156959298</v>
      </c>
      <c r="V582" s="189">
        <v>0.39056532317970899</v>
      </c>
      <c r="W582" s="189"/>
      <c r="X582" s="90"/>
      <c r="Y582" s="188"/>
      <c r="Z582" s="188"/>
      <c r="AA582" s="188"/>
      <c r="AB582" s="188"/>
      <c r="AC582" s="188"/>
      <c r="AD582" s="190"/>
      <c r="AE582" s="189"/>
    </row>
    <row r="583" spans="1:31" ht="21.25" customHeight="1" x14ac:dyDescent="0.15">
      <c r="A583" s="9" t="s">
        <v>617</v>
      </c>
      <c r="B583" s="186" t="s">
        <v>835</v>
      </c>
      <c r="C583" s="187">
        <v>32</v>
      </c>
      <c r="D583" s="186" t="s">
        <v>818</v>
      </c>
      <c r="E583" s="90">
        <v>69.237499999999997</v>
      </c>
      <c r="F583" s="188">
        <v>17.393541569567599</v>
      </c>
      <c r="G583" s="189">
        <v>4.4150917253677903E-2</v>
      </c>
      <c r="H583" s="189">
        <v>0.12759128407711501</v>
      </c>
      <c r="I583" s="189">
        <v>0.17174220133079299</v>
      </c>
      <c r="J583" s="189">
        <v>0.72235884681121099</v>
      </c>
      <c r="K583" s="189">
        <v>1.5118880048463701E-4</v>
      </c>
      <c r="L583" s="189">
        <v>9.9167935376634399E-4</v>
      </c>
      <c r="M583" s="189">
        <v>7.6742655931876401E-3</v>
      </c>
      <c r="N583" s="189">
        <v>1.16143040127393E-2</v>
      </c>
      <c r="O583" s="189">
        <v>1.6149181548427101</v>
      </c>
      <c r="P583" s="189">
        <v>1.73994524760405</v>
      </c>
      <c r="Q583" s="189">
        <v>2.5306211128122699E-2</v>
      </c>
      <c r="R583" s="189">
        <v>0.45530456704809802</v>
      </c>
      <c r="S583" s="189">
        <v>7.5398377250449101E-3</v>
      </c>
      <c r="T583" s="189">
        <v>0</v>
      </c>
      <c r="U583" s="189">
        <v>0</v>
      </c>
      <c r="V583" s="189">
        <v>0</v>
      </c>
      <c r="W583" s="189"/>
      <c r="X583" s="90"/>
      <c r="Y583" s="188"/>
      <c r="Z583" s="188"/>
      <c r="AA583" s="188"/>
      <c r="AB583" s="188"/>
      <c r="AC583" s="188"/>
      <c r="AD583" s="190"/>
      <c r="AE583" s="189"/>
    </row>
    <row r="584" spans="1:31" ht="21.25" customHeight="1" x14ac:dyDescent="0.15">
      <c r="A584" s="9" t="s">
        <v>631</v>
      </c>
      <c r="B584" s="186" t="s">
        <v>845</v>
      </c>
      <c r="C584" s="187">
        <v>25</v>
      </c>
      <c r="D584" s="186" t="s">
        <v>818</v>
      </c>
      <c r="E584" s="90">
        <v>65.375</v>
      </c>
      <c r="F584" s="188">
        <v>15.029630294242301</v>
      </c>
      <c r="G584" s="189">
        <v>4.0162478419456402E-2</v>
      </c>
      <c r="H584" s="189">
        <v>0.13144410118895999</v>
      </c>
      <c r="I584" s="189">
        <v>0.17160657960841599</v>
      </c>
      <c r="J584" s="189">
        <v>1.06492869221507</v>
      </c>
      <c r="K584" s="189">
        <v>1.7035657885538499E-4</v>
      </c>
      <c r="L584" s="189">
        <v>1.09114965291839E-3</v>
      </c>
      <c r="M584" s="189">
        <v>6.3399470074453502E-4</v>
      </c>
      <c r="N584" s="189">
        <v>1.49608647869321E-2</v>
      </c>
      <c r="O584" s="189">
        <v>1.31227150643961</v>
      </c>
      <c r="P584" s="189">
        <v>2.0746952061168198</v>
      </c>
      <c r="Q584" s="189">
        <v>-7.9093290022395901E-3</v>
      </c>
      <c r="R584" s="189">
        <v>0.68602448785563397</v>
      </c>
      <c r="S584" s="189">
        <v>5.8349566125291703E-3</v>
      </c>
      <c r="T584" s="189">
        <v>0</v>
      </c>
      <c r="U584" s="189">
        <v>0</v>
      </c>
      <c r="V584" s="189">
        <v>0</v>
      </c>
      <c r="W584" s="189"/>
      <c r="X584" s="90"/>
      <c r="Y584" s="188"/>
      <c r="Z584" s="188"/>
      <c r="AA584" s="188"/>
      <c r="AB584" s="188"/>
      <c r="AC584" s="188"/>
      <c r="AD584" s="190"/>
      <c r="AE584" s="189"/>
    </row>
    <row r="585" spans="1:31" ht="21.25" customHeight="1" x14ac:dyDescent="0.15">
      <c r="A585" s="9" t="s">
        <v>779</v>
      </c>
      <c r="B585" s="186" t="s">
        <v>824</v>
      </c>
      <c r="C585" s="187">
        <v>37</v>
      </c>
      <c r="D585" s="186" t="s">
        <v>815</v>
      </c>
      <c r="E585" s="90">
        <v>78.924999999999997</v>
      </c>
      <c r="F585" s="188">
        <v>10.2587855204434</v>
      </c>
      <c r="G585" s="189">
        <v>8.7691768233656001E-2</v>
      </c>
      <c r="H585" s="189">
        <v>8.3845521414892293E-2</v>
      </c>
      <c r="I585" s="189">
        <v>0.171537289648548</v>
      </c>
      <c r="J585" s="189">
        <v>0.82494428516646401</v>
      </c>
      <c r="K585" s="189">
        <v>2.7822176131430602E-4</v>
      </c>
      <c r="L585" s="189">
        <v>6.3700853704834904E-4</v>
      </c>
      <c r="M585" s="189">
        <v>1.9166369583312599E-2</v>
      </c>
      <c r="N585" s="189">
        <v>3.12142782545318E-2</v>
      </c>
      <c r="O585" s="189">
        <v>0.43441783348247698</v>
      </c>
      <c r="P585" s="189">
        <v>0.83820216299164496</v>
      </c>
      <c r="Q585" s="189">
        <v>7.1093787883267701E-2</v>
      </c>
      <c r="R585" s="189">
        <v>0.205676271415865</v>
      </c>
      <c r="S585" s="189">
        <v>1.41600420878843E-2</v>
      </c>
      <c r="T585" s="189">
        <v>3.0914079968431598</v>
      </c>
      <c r="U585" s="189">
        <v>2.6759721414416702</v>
      </c>
      <c r="V585" s="189">
        <v>0.536015993869014</v>
      </c>
      <c r="W585" s="189"/>
      <c r="X585" s="90"/>
      <c r="Y585" s="188"/>
      <c r="Z585" s="188"/>
      <c r="AA585" s="188"/>
      <c r="AB585" s="188"/>
      <c r="AC585" s="188"/>
      <c r="AD585" s="190"/>
      <c r="AE585" s="189"/>
    </row>
    <row r="586" spans="1:31" ht="21.25" customHeight="1" x14ac:dyDescent="0.15">
      <c r="A586" s="9" t="s">
        <v>566</v>
      </c>
      <c r="B586" s="186" t="s">
        <v>830</v>
      </c>
      <c r="C586" s="187">
        <v>27</v>
      </c>
      <c r="D586" s="186" t="s">
        <v>818</v>
      </c>
      <c r="E586" s="90">
        <v>77.834999999999994</v>
      </c>
      <c r="F586" s="188">
        <v>17.503431128508002</v>
      </c>
      <c r="G586" s="189">
        <v>5.1300860022417398E-2</v>
      </c>
      <c r="H586" s="189">
        <v>0.11984788963213699</v>
      </c>
      <c r="I586" s="189">
        <v>0.17114874965455401</v>
      </c>
      <c r="J586" s="189">
        <v>1.15464212450502</v>
      </c>
      <c r="K586" s="189">
        <v>3.2764417066068901E-4</v>
      </c>
      <c r="L586" s="189">
        <v>2.1145194203091898E-3</v>
      </c>
      <c r="M586" s="189">
        <v>3.91320284482192E-4</v>
      </c>
      <c r="N586" s="189">
        <v>5.36611489251338E-3</v>
      </c>
      <c r="O586" s="189">
        <v>1.35160552928051</v>
      </c>
      <c r="P586" s="189">
        <v>3.6337959879616499</v>
      </c>
      <c r="Q586" s="189">
        <v>-8.3879422310770904E-3</v>
      </c>
      <c r="R586" s="189">
        <v>1.0351707532569601</v>
      </c>
      <c r="S586" s="189">
        <v>7.2638334401966204E-3</v>
      </c>
      <c r="T586" s="189">
        <v>0</v>
      </c>
      <c r="U586" s="189">
        <v>0</v>
      </c>
      <c r="V586" s="189">
        <v>0</v>
      </c>
      <c r="W586" s="189"/>
      <c r="X586" s="90"/>
      <c r="Y586" s="188"/>
      <c r="Z586" s="188"/>
      <c r="AA586" s="188"/>
      <c r="AB586" s="188"/>
      <c r="AC586" s="188"/>
      <c r="AD586" s="190"/>
      <c r="AE586" s="189"/>
    </row>
    <row r="587" spans="1:31" ht="21.25" customHeight="1" x14ac:dyDescent="0.15">
      <c r="A587" s="9" t="s">
        <v>685</v>
      </c>
      <c r="B587" s="186" t="s">
        <v>836</v>
      </c>
      <c r="C587" s="187">
        <v>23</v>
      </c>
      <c r="D587" s="186" t="s">
        <v>818</v>
      </c>
      <c r="E587" s="90">
        <v>62.11</v>
      </c>
      <c r="F587" s="188">
        <v>13.1522150732896</v>
      </c>
      <c r="G587" s="189">
        <v>5.2908175802495301E-2</v>
      </c>
      <c r="H587" s="189">
        <v>0.118232415707431</v>
      </c>
      <c r="I587" s="189">
        <v>0.171140591509926</v>
      </c>
      <c r="J587" s="189">
        <v>0.92250593456405605</v>
      </c>
      <c r="K587" s="189">
        <v>4.8645653074935701E-3</v>
      </c>
      <c r="L587" s="189">
        <v>1.16182519711531E-2</v>
      </c>
      <c r="M587" s="189">
        <v>1.18912075959532E-4</v>
      </c>
      <c r="N587" s="189">
        <v>5.9255053513766298E-4</v>
      </c>
      <c r="O587" s="189">
        <v>1.04727054827529</v>
      </c>
      <c r="P587" s="189">
        <v>1.257634855699</v>
      </c>
      <c r="Q587" s="189">
        <v>1.8764011918177701E-2</v>
      </c>
      <c r="R587" s="189">
        <v>0.25179293966594302</v>
      </c>
      <c r="S587" s="189">
        <v>8.3149927341134196E-3</v>
      </c>
      <c r="T587" s="189">
        <v>0</v>
      </c>
      <c r="U587" s="189">
        <v>0</v>
      </c>
      <c r="V587" s="189">
        <v>0</v>
      </c>
      <c r="W587" s="189"/>
      <c r="X587" s="90"/>
      <c r="Y587" s="188"/>
      <c r="Z587" s="188"/>
      <c r="AA587" s="188"/>
      <c r="AB587" s="188"/>
      <c r="AC587" s="188"/>
      <c r="AD587" s="190"/>
      <c r="AE587" s="189"/>
    </row>
    <row r="588" spans="1:31" ht="21.25" customHeight="1" x14ac:dyDescent="0.15">
      <c r="A588" s="9" t="s">
        <v>756</v>
      </c>
      <c r="B588" s="186" t="s">
        <v>839</v>
      </c>
      <c r="C588" s="187">
        <v>32</v>
      </c>
      <c r="D588" s="186" t="s">
        <v>815</v>
      </c>
      <c r="E588" s="90">
        <v>70.349999999999994</v>
      </c>
      <c r="F588" s="188">
        <v>12.1965751417279</v>
      </c>
      <c r="G588" s="189">
        <v>8.9425934159556505E-2</v>
      </c>
      <c r="H588" s="189">
        <v>7.8919323755619206E-2</v>
      </c>
      <c r="I588" s="189">
        <v>0.16834525791517599</v>
      </c>
      <c r="J588" s="189">
        <v>1.02558428759738</v>
      </c>
      <c r="K588" s="189">
        <v>7.8000513941912095E-4</v>
      </c>
      <c r="L588" s="189">
        <v>1.7989665129057499E-3</v>
      </c>
      <c r="M588" s="189">
        <v>1.4893292876089999E-3</v>
      </c>
      <c r="N588" s="189">
        <v>1.30968917283246E-2</v>
      </c>
      <c r="O588" s="189">
        <v>1.18419454231132</v>
      </c>
      <c r="P588" s="189">
        <v>2.0951871879646999</v>
      </c>
      <c r="Q588" s="189">
        <v>-2.2896255225369099E-2</v>
      </c>
      <c r="R588" s="189">
        <v>0.25908765943940698</v>
      </c>
      <c r="S588" s="189">
        <v>1.3256760012635699E-2</v>
      </c>
      <c r="T588" s="189">
        <v>4.8921435456604101</v>
      </c>
      <c r="U588" s="189">
        <v>4.1914497771962802</v>
      </c>
      <c r="V588" s="189">
        <v>0.53856919522701396</v>
      </c>
      <c r="W588" s="189"/>
      <c r="X588" s="90"/>
      <c r="Y588" s="188"/>
      <c r="Z588" s="188"/>
      <c r="AA588" s="188"/>
      <c r="AB588" s="188"/>
      <c r="AC588" s="188"/>
      <c r="AD588" s="190"/>
      <c r="AE588" s="189"/>
    </row>
    <row r="589" spans="1:31" ht="21.25" customHeight="1" x14ac:dyDescent="0.15">
      <c r="A589" s="9" t="s">
        <v>614</v>
      </c>
      <c r="B589" s="186" t="s">
        <v>850</v>
      </c>
      <c r="C589" s="187">
        <v>31</v>
      </c>
      <c r="D589" s="186" t="s">
        <v>818</v>
      </c>
      <c r="E589" s="90">
        <v>68.194999999999993</v>
      </c>
      <c r="F589" s="188">
        <v>16.935425427399199</v>
      </c>
      <c r="G589" s="189">
        <v>3.4912416595491602E-2</v>
      </c>
      <c r="H589" s="189">
        <v>0.13304246428372599</v>
      </c>
      <c r="I589" s="189">
        <v>0.167954880879218</v>
      </c>
      <c r="J589" s="189">
        <v>0.91310680026134805</v>
      </c>
      <c r="K589" s="189">
        <v>1.81496385349324E-4</v>
      </c>
      <c r="L589" s="189">
        <v>1.21038222408115E-3</v>
      </c>
      <c r="M589" s="189">
        <v>4.36214483801441E-4</v>
      </c>
      <c r="N589" s="189">
        <v>5.5907056937983301E-3</v>
      </c>
      <c r="O589" s="189">
        <v>1.52328004471926</v>
      </c>
      <c r="P589" s="189">
        <v>1.5536440021454001</v>
      </c>
      <c r="Q589" s="189">
        <v>-1.07369391745302E-2</v>
      </c>
      <c r="R589" s="189">
        <v>0.52021116942509305</v>
      </c>
      <c r="S589" s="189">
        <v>6.22180007776849E-3</v>
      </c>
      <c r="T589" s="189">
        <v>0</v>
      </c>
      <c r="U589" s="189">
        <v>0</v>
      </c>
      <c r="V589" s="189">
        <v>0</v>
      </c>
      <c r="W589" s="189"/>
      <c r="X589" s="90"/>
      <c r="Y589" s="188"/>
      <c r="Z589" s="188"/>
      <c r="AA589" s="188"/>
      <c r="AB589" s="188"/>
      <c r="AC589" s="188"/>
      <c r="AD589" s="190"/>
      <c r="AE589" s="189"/>
    </row>
    <row r="590" spans="1:31" ht="21.25" customHeight="1" x14ac:dyDescent="0.15">
      <c r="A590" s="9" t="s">
        <v>595</v>
      </c>
      <c r="B590" s="186" t="s">
        <v>825</v>
      </c>
      <c r="C590" s="187">
        <v>33</v>
      </c>
      <c r="D590" s="186" t="s">
        <v>818</v>
      </c>
      <c r="E590" s="90">
        <v>72.66</v>
      </c>
      <c r="F590" s="188">
        <v>16.651405615790999</v>
      </c>
      <c r="G590" s="189">
        <v>4.0927638218042302E-2</v>
      </c>
      <c r="H590" s="189">
        <v>0.12379338654562599</v>
      </c>
      <c r="I590" s="189">
        <v>0.16472102476366801</v>
      </c>
      <c r="J590" s="189">
        <v>1.0115073698908601</v>
      </c>
      <c r="K590" s="189">
        <v>1.4947661465978699E-4</v>
      </c>
      <c r="L590" s="189">
        <v>9.884628394897961E-4</v>
      </c>
      <c r="M590" s="189">
        <v>5.21026128927788E-4</v>
      </c>
      <c r="N590" s="189">
        <v>2.3459167296900701E-3</v>
      </c>
      <c r="O590" s="189">
        <v>1.4559278207450399</v>
      </c>
      <c r="P590" s="189">
        <v>1.6073931749469901</v>
      </c>
      <c r="Q590" s="189">
        <v>1.24256699529657E-2</v>
      </c>
      <c r="R590" s="189">
        <v>0.40924459776660999</v>
      </c>
      <c r="S590" s="189">
        <v>6.11502521875579E-3</v>
      </c>
      <c r="T590" s="189">
        <v>0</v>
      </c>
      <c r="U590" s="189">
        <v>0</v>
      </c>
      <c r="V590" s="189">
        <v>0</v>
      </c>
      <c r="W590" s="189"/>
      <c r="X590" s="90"/>
      <c r="Y590" s="188"/>
      <c r="Z590" s="188"/>
      <c r="AA590" s="188"/>
      <c r="AB590" s="188"/>
      <c r="AC590" s="188"/>
      <c r="AD590" s="190"/>
      <c r="AE590" s="189"/>
    </row>
    <row r="591" spans="1:31" ht="21.25" customHeight="1" x14ac:dyDescent="0.15">
      <c r="A591" s="9" t="s">
        <v>782</v>
      </c>
      <c r="B591" s="186" t="s">
        <v>847</v>
      </c>
      <c r="C591" s="187">
        <v>36</v>
      </c>
      <c r="D591" s="186" t="s">
        <v>816</v>
      </c>
      <c r="E591" s="90">
        <v>76.152500000000003</v>
      </c>
      <c r="F591" s="188">
        <v>10.7703375141206</v>
      </c>
      <c r="G591" s="189">
        <v>4.88942811876606E-2</v>
      </c>
      <c r="H591" s="189">
        <v>0.11216364657904999</v>
      </c>
      <c r="I591" s="189">
        <v>0.16105792776671099</v>
      </c>
      <c r="J591" s="189">
        <v>0.90053148708716702</v>
      </c>
      <c r="K591" s="189">
        <v>9.77098925164341E-4</v>
      </c>
      <c r="L591" s="189">
        <v>2.9836492543728098E-3</v>
      </c>
      <c r="M591" s="189">
        <v>2.2152402158970099E-6</v>
      </c>
      <c r="N591" s="189">
        <v>4.2131480658091796E-6</v>
      </c>
      <c r="O591" s="189">
        <v>0.26695246640079301</v>
      </c>
      <c r="P591" s="189">
        <v>1.7117886058440099</v>
      </c>
      <c r="Q591" s="189">
        <v>-8.5869842043797308E-3</v>
      </c>
      <c r="R591" s="189">
        <v>0.83515583862556497</v>
      </c>
      <c r="S591" s="189">
        <v>6.3188644242608899E-3</v>
      </c>
      <c r="T591" s="189">
        <v>0.14385176147204301</v>
      </c>
      <c r="U591" s="189">
        <v>0.280288343134939</v>
      </c>
      <c r="V591" s="189">
        <v>0.339160951557127</v>
      </c>
      <c r="W591" s="189"/>
      <c r="X591" s="90"/>
      <c r="Y591" s="188"/>
      <c r="Z591" s="188"/>
      <c r="AA591" s="188"/>
      <c r="AB591" s="188"/>
      <c r="AC591" s="188"/>
      <c r="AD591" s="190"/>
      <c r="AE591" s="189"/>
    </row>
    <row r="592" spans="1:31" ht="21.25" customHeight="1" x14ac:dyDescent="0.15">
      <c r="A592" s="9" t="s">
        <v>648</v>
      </c>
      <c r="B592" s="186" t="s">
        <v>838</v>
      </c>
      <c r="C592" s="187">
        <v>28</v>
      </c>
      <c r="D592" s="186" t="s">
        <v>818</v>
      </c>
      <c r="E592" s="90">
        <v>59.847499999999997</v>
      </c>
      <c r="F592" s="188">
        <v>16.216651321232</v>
      </c>
      <c r="G592" s="189">
        <v>3.7536799111292499E-2</v>
      </c>
      <c r="H592" s="189">
        <v>0.123102063636469</v>
      </c>
      <c r="I592" s="189">
        <v>0.16063886274776201</v>
      </c>
      <c r="J592" s="189">
        <v>1.14097613553434</v>
      </c>
      <c r="K592" s="189">
        <v>2.3432318723725899E-4</v>
      </c>
      <c r="L592" s="189">
        <v>1.52072918800096E-3</v>
      </c>
      <c r="M592" s="189">
        <v>4.7542175872043599E-4</v>
      </c>
      <c r="N592" s="189">
        <v>2.3847458761786901E-3</v>
      </c>
      <c r="O592" s="189">
        <v>1.4686280831004099</v>
      </c>
      <c r="P592" s="189">
        <v>1.37987670806982</v>
      </c>
      <c r="Q592" s="189">
        <v>1.37664233600195E-2</v>
      </c>
      <c r="R592" s="189">
        <v>0.36301154236814398</v>
      </c>
      <c r="S592" s="189">
        <v>6.2396129094976502E-3</v>
      </c>
      <c r="T592" s="189">
        <v>0</v>
      </c>
      <c r="U592" s="189">
        <v>0</v>
      </c>
      <c r="V592" s="189">
        <v>0</v>
      </c>
      <c r="W592" s="189"/>
      <c r="X592" s="90"/>
      <c r="Y592" s="188"/>
      <c r="Z592" s="188"/>
      <c r="AA592" s="188"/>
      <c r="AB592" s="188"/>
      <c r="AC592" s="188"/>
      <c r="AD592" s="190"/>
      <c r="AE592" s="189"/>
    </row>
    <row r="593" spans="1:31" ht="21.25" customHeight="1" x14ac:dyDescent="0.15">
      <c r="A593" s="9" t="s">
        <v>527</v>
      </c>
      <c r="B593" s="186" t="s">
        <v>847</v>
      </c>
      <c r="C593" s="187">
        <v>31</v>
      </c>
      <c r="D593" s="186" t="s">
        <v>818</v>
      </c>
      <c r="E593" s="90">
        <v>72.864999999999995</v>
      </c>
      <c r="F593" s="188">
        <v>18.8330778804233</v>
      </c>
      <c r="G593" s="189">
        <v>5.72956676158793E-2</v>
      </c>
      <c r="H593" s="189">
        <v>0.103203881967894</v>
      </c>
      <c r="I593" s="189">
        <v>0.16049954958377299</v>
      </c>
      <c r="J593" s="189">
        <v>1.0322309382405801</v>
      </c>
      <c r="K593" s="189">
        <v>2.6765978917785897E-4</v>
      </c>
      <c r="L593" s="189">
        <v>1.70265594150802E-3</v>
      </c>
      <c r="M593" s="189">
        <v>8.0911306881049899E-3</v>
      </c>
      <c r="N593" s="189">
        <v>9.5247002696996607E-3</v>
      </c>
      <c r="O593" s="189">
        <v>2.0455991381499001</v>
      </c>
      <c r="P593" s="189">
        <v>2.0231539054579</v>
      </c>
      <c r="Q593" s="189">
        <v>-0.104419361678255</v>
      </c>
      <c r="R593" s="189">
        <v>0.72380420394065004</v>
      </c>
      <c r="S593" s="189">
        <v>7.4046196603791197E-3</v>
      </c>
      <c r="T593" s="189">
        <v>0</v>
      </c>
      <c r="U593" s="189">
        <v>0</v>
      </c>
      <c r="V593" s="189">
        <v>0</v>
      </c>
      <c r="W593" s="189"/>
      <c r="X593" s="90"/>
      <c r="Y593" s="188"/>
      <c r="Z593" s="188"/>
      <c r="AA593" s="188"/>
      <c r="AB593" s="188"/>
      <c r="AC593" s="188"/>
      <c r="AD593" s="190"/>
      <c r="AE593" s="189"/>
    </row>
    <row r="594" spans="1:31" ht="21.25" customHeight="1" x14ac:dyDescent="0.15">
      <c r="A594" s="9" t="s">
        <v>774</v>
      </c>
      <c r="B594" s="186" t="s">
        <v>845</v>
      </c>
      <c r="C594" s="187">
        <v>29</v>
      </c>
      <c r="D594" s="186" t="s">
        <v>816</v>
      </c>
      <c r="E594" s="90">
        <v>78.087500000000006</v>
      </c>
      <c r="F594" s="188">
        <v>9.6585778739371797</v>
      </c>
      <c r="G594" s="189">
        <v>8.7504127452244604E-2</v>
      </c>
      <c r="H594" s="189">
        <v>7.1751951748705703E-2</v>
      </c>
      <c r="I594" s="189">
        <v>0.15925607920095</v>
      </c>
      <c r="J594" s="189">
        <v>1.06402530624447</v>
      </c>
      <c r="K594" s="189">
        <v>1.3437244817323601E-3</v>
      </c>
      <c r="L594" s="189">
        <v>2.3271540215524999E-3</v>
      </c>
      <c r="M594" s="189">
        <v>1.07406164520936E-3</v>
      </c>
      <c r="N594" s="189">
        <v>3.4511410507541002E-3</v>
      </c>
      <c r="O594" s="189">
        <v>0.29354137183206003</v>
      </c>
      <c r="P594" s="189">
        <v>1.94248766047066</v>
      </c>
      <c r="Q594" s="189">
        <v>4.3505553945936699E-2</v>
      </c>
      <c r="R594" s="189">
        <v>0.58660360477690399</v>
      </c>
      <c r="S594" s="189">
        <v>1.27129302571557E-2</v>
      </c>
      <c r="T594" s="189">
        <v>8.0229114206173999E-2</v>
      </c>
      <c r="U594" s="189">
        <v>0.14936923614463701</v>
      </c>
      <c r="V594" s="189">
        <v>0.34943245055371303</v>
      </c>
      <c r="W594" s="189"/>
      <c r="X594" s="90"/>
      <c r="Y594" s="188"/>
      <c r="Z594" s="188"/>
      <c r="AA594" s="188"/>
      <c r="AB594" s="188"/>
      <c r="AC594" s="188"/>
      <c r="AD594" s="190"/>
      <c r="AE594" s="189"/>
    </row>
    <row r="595" spans="1:31" ht="21.25" customHeight="1" x14ac:dyDescent="0.15">
      <c r="A595" s="9" t="s">
        <v>788</v>
      </c>
      <c r="B595" s="186" t="s">
        <v>832</v>
      </c>
      <c r="C595" s="187">
        <v>25</v>
      </c>
      <c r="D595" s="186" t="s">
        <v>816</v>
      </c>
      <c r="E595" s="90">
        <v>64.034999999999997</v>
      </c>
      <c r="F595" s="188">
        <v>8.3539944192887496</v>
      </c>
      <c r="G595" s="189">
        <v>6.4754892656562396E-2</v>
      </c>
      <c r="H595" s="189">
        <v>8.3185262007279603E-2</v>
      </c>
      <c r="I595" s="189">
        <v>0.147940154663842</v>
      </c>
      <c r="J595" s="189">
        <v>0.84573541325220902</v>
      </c>
      <c r="K595" s="189">
        <v>8.9755365681767896E-4</v>
      </c>
      <c r="L595" s="189">
        <v>2.0892407824917199E-3</v>
      </c>
      <c r="M595" s="189">
        <v>3.3268136563725201E-4</v>
      </c>
      <c r="N595" s="189">
        <v>5.6731920621830897E-4</v>
      </c>
      <c r="O595" s="189">
        <v>0.33313235818645898</v>
      </c>
      <c r="P595" s="189">
        <v>1.9585918763529</v>
      </c>
      <c r="Q595" s="189">
        <v>4.2211212264608798E-2</v>
      </c>
      <c r="R595" s="189">
        <v>1.00742020384992</v>
      </c>
      <c r="S595" s="189">
        <v>1.1031755574490499E-2</v>
      </c>
      <c r="T595" s="189">
        <v>5.0177526184018101E-3</v>
      </c>
      <c r="U595" s="189">
        <v>2.2846031572722601E-2</v>
      </c>
      <c r="V595" s="189">
        <v>0.18008152029831401</v>
      </c>
      <c r="W595" s="189"/>
      <c r="X595" s="90"/>
      <c r="Y595" s="188"/>
      <c r="Z595" s="188"/>
      <c r="AA595" s="188"/>
      <c r="AB595" s="188"/>
      <c r="AC595" s="188"/>
      <c r="AD595" s="190"/>
      <c r="AE595" s="189"/>
    </row>
    <row r="596" spans="1:31" ht="21.25" customHeight="1" x14ac:dyDescent="0.15">
      <c r="A596" s="9" t="s">
        <v>619</v>
      </c>
      <c r="B596" s="186" t="s">
        <v>837</v>
      </c>
      <c r="C596" s="187">
        <v>35</v>
      </c>
      <c r="D596" s="186" t="s">
        <v>818</v>
      </c>
      <c r="E596" s="90">
        <v>71.932500000000005</v>
      </c>
      <c r="F596" s="188">
        <v>15.292630329854299</v>
      </c>
      <c r="G596" s="189">
        <v>4.0179591458006897E-2</v>
      </c>
      <c r="H596" s="189">
        <v>0.10756065948405</v>
      </c>
      <c r="I596" s="189">
        <v>0.14774025094205701</v>
      </c>
      <c r="J596" s="189">
        <v>0.93557081227744399</v>
      </c>
      <c r="K596" s="189">
        <v>2.3273394334125599E-4</v>
      </c>
      <c r="L596" s="189">
        <v>1.5354807298968199E-3</v>
      </c>
      <c r="M596" s="189">
        <v>3.7935331255474898E-4</v>
      </c>
      <c r="N596" s="189">
        <v>4.8099494865941001E-3</v>
      </c>
      <c r="O596" s="189">
        <v>1.37429677418374</v>
      </c>
      <c r="P596" s="189">
        <v>1.5964340380380999</v>
      </c>
      <c r="Q596" s="189">
        <v>1.63609045062857E-2</v>
      </c>
      <c r="R596" s="189">
        <v>0.79348309799927697</v>
      </c>
      <c r="S596" s="189">
        <v>6.4254685860755103E-3</v>
      </c>
      <c r="T596" s="189">
        <v>0</v>
      </c>
      <c r="U596" s="189">
        <v>0</v>
      </c>
      <c r="V596" s="189">
        <v>0</v>
      </c>
      <c r="W596" s="189"/>
      <c r="X596" s="90"/>
      <c r="Y596" s="188"/>
      <c r="Z596" s="188"/>
      <c r="AA596" s="188"/>
      <c r="AB596" s="188"/>
      <c r="AC596" s="188"/>
      <c r="AD596" s="190"/>
      <c r="AE596" s="189"/>
    </row>
    <row r="597" spans="1:31" ht="21.25" customHeight="1" x14ac:dyDescent="0.15">
      <c r="A597" s="9" t="s">
        <v>783</v>
      </c>
      <c r="B597" s="186" t="s">
        <v>825</v>
      </c>
      <c r="C597" s="187">
        <v>28</v>
      </c>
      <c r="D597" s="186" t="s">
        <v>816</v>
      </c>
      <c r="E597" s="90">
        <v>73.165000000000006</v>
      </c>
      <c r="F597" s="188">
        <v>9.6566342762588295</v>
      </c>
      <c r="G597" s="189">
        <v>6.4389328611613394E-2</v>
      </c>
      <c r="H597" s="189">
        <v>7.5203042260240396E-2</v>
      </c>
      <c r="I597" s="189">
        <v>0.139592370871854</v>
      </c>
      <c r="J597" s="189">
        <v>0.90394849579774905</v>
      </c>
      <c r="K597" s="189">
        <v>1.1457903829455E-4</v>
      </c>
      <c r="L597" s="189">
        <v>2.6904905566141302E-4</v>
      </c>
      <c r="M597" s="189">
        <v>4.5128619992504801E-3</v>
      </c>
      <c r="N597" s="189">
        <v>5.5293444280746602E-3</v>
      </c>
      <c r="O597" s="189">
        <v>0.42242734714908498</v>
      </c>
      <c r="P597" s="189">
        <v>1.3910686328092601</v>
      </c>
      <c r="Q597" s="189">
        <v>2.0588508749226499E-2</v>
      </c>
      <c r="R597" s="189">
        <v>0.29491652315678801</v>
      </c>
      <c r="S597" s="189">
        <v>9.6204517392649101E-3</v>
      </c>
      <c r="T597" s="189">
        <v>2.6275912323915199E-2</v>
      </c>
      <c r="U597" s="189">
        <v>8.5505569511983001E-2</v>
      </c>
      <c r="V597" s="189">
        <v>0.23506498475740201</v>
      </c>
      <c r="W597" s="189"/>
      <c r="X597" s="90"/>
      <c r="Y597" s="188"/>
      <c r="Z597" s="188"/>
      <c r="AA597" s="188"/>
      <c r="AB597" s="188"/>
      <c r="AC597" s="188"/>
      <c r="AD597" s="190"/>
      <c r="AE597" s="189"/>
    </row>
    <row r="598" spans="1:31" ht="21.25" customHeight="1" x14ac:dyDescent="0.15">
      <c r="A598" s="9" t="s">
        <v>609</v>
      </c>
      <c r="B598" s="186" t="s">
        <v>826</v>
      </c>
      <c r="C598" s="187">
        <v>25</v>
      </c>
      <c r="D598" s="186" t="s">
        <v>818</v>
      </c>
      <c r="E598" s="90">
        <v>75.385000000000005</v>
      </c>
      <c r="F598" s="188">
        <v>17.0833208935938</v>
      </c>
      <c r="G598" s="189">
        <v>3.0278752160600199E-2</v>
      </c>
      <c r="H598" s="189">
        <v>0.101954931785259</v>
      </c>
      <c r="I598" s="189">
        <v>0.13223368394585899</v>
      </c>
      <c r="J598" s="189">
        <v>0.91275502026007405</v>
      </c>
      <c r="K598" s="189">
        <v>2.30399711761029E-4</v>
      </c>
      <c r="L598" s="189">
        <v>1.4917048515002301E-3</v>
      </c>
      <c r="M598" s="189">
        <v>2.4990604081959899E-4</v>
      </c>
      <c r="N598" s="189">
        <v>1.2505589289879299E-3</v>
      </c>
      <c r="O598" s="189">
        <v>1.4589083114911101</v>
      </c>
      <c r="P598" s="189">
        <v>2.8934186241250099</v>
      </c>
      <c r="Q598" s="189">
        <v>5.4059872764407997E-2</v>
      </c>
      <c r="R598" s="189">
        <v>0.62593188514526599</v>
      </c>
      <c r="S598" s="189">
        <v>4.84405758085436E-3</v>
      </c>
      <c r="T598" s="189">
        <v>0</v>
      </c>
      <c r="U598" s="189">
        <v>0</v>
      </c>
      <c r="V598" s="189">
        <v>0</v>
      </c>
      <c r="W598" s="189"/>
      <c r="X598" s="90"/>
      <c r="Y598" s="188"/>
      <c r="Z598" s="188"/>
      <c r="AA598" s="188"/>
      <c r="AB598" s="188"/>
      <c r="AC598" s="188"/>
      <c r="AD598" s="190"/>
      <c r="AE598" s="189"/>
    </row>
    <row r="599" spans="1:31" ht="21.25" customHeight="1" x14ac:dyDescent="0.15">
      <c r="A599" s="9" t="s">
        <v>790</v>
      </c>
      <c r="B599" s="186" t="s">
        <v>831</v>
      </c>
      <c r="C599" s="187">
        <v>22</v>
      </c>
      <c r="D599" s="186" t="s">
        <v>815</v>
      </c>
      <c r="E599" s="90">
        <v>58.43</v>
      </c>
      <c r="F599" s="188">
        <v>5.6243566799052003</v>
      </c>
      <c r="G599" s="189">
        <v>5.9079032413702597E-2</v>
      </c>
      <c r="H599" s="189">
        <v>7.3107119023066602E-2</v>
      </c>
      <c r="I599" s="189">
        <v>0.13218615143676901</v>
      </c>
      <c r="J599" s="189">
        <v>0.63233749598912103</v>
      </c>
      <c r="K599" s="189">
        <v>8.0009073677478598E-4</v>
      </c>
      <c r="L599" s="189">
        <v>1.84691560261518E-3</v>
      </c>
      <c r="M599" s="189">
        <v>1.14911009812105E-5</v>
      </c>
      <c r="N599" s="189">
        <v>1.9433023950816999E-5</v>
      </c>
      <c r="O599" s="189">
        <v>0.25379542209733202</v>
      </c>
      <c r="P599" s="189">
        <v>1.3655884736609301</v>
      </c>
      <c r="Q599" s="189">
        <v>4.2595733006355399E-2</v>
      </c>
      <c r="R599" s="189">
        <v>0.42954211515810697</v>
      </c>
      <c r="S599" s="189">
        <v>9.6569584312228406E-3</v>
      </c>
      <c r="T599" s="189">
        <v>0.23525490661529599</v>
      </c>
      <c r="U599" s="189">
        <v>0.23525490661529699</v>
      </c>
      <c r="V599" s="189">
        <v>0.5</v>
      </c>
      <c r="W599" s="189"/>
      <c r="X599" s="90"/>
      <c r="Y599" s="188"/>
      <c r="Z599" s="188"/>
      <c r="AA599" s="188"/>
      <c r="AB599" s="188"/>
      <c r="AC599" s="188"/>
      <c r="AD599" s="190"/>
      <c r="AE599" s="189"/>
    </row>
    <row r="600" spans="1:31" ht="21.25" customHeight="1" x14ac:dyDescent="0.15">
      <c r="A600" s="9" t="s">
        <v>785</v>
      </c>
      <c r="B600" s="186" t="s">
        <v>845</v>
      </c>
      <c r="C600" s="187">
        <v>31</v>
      </c>
      <c r="D600" s="186" t="s">
        <v>865</v>
      </c>
      <c r="E600" s="90">
        <v>62.295000000000002</v>
      </c>
      <c r="F600" s="188">
        <v>11.391002732230101</v>
      </c>
      <c r="G600" s="189">
        <v>6.3188902211277695E-2</v>
      </c>
      <c r="H600" s="189">
        <v>6.3564264354381006E-2</v>
      </c>
      <c r="I600" s="189">
        <v>0.12675316656565899</v>
      </c>
      <c r="J600" s="189">
        <v>0.87906661070000602</v>
      </c>
      <c r="K600" s="189">
        <v>7.3114079939193505E-4</v>
      </c>
      <c r="L600" s="189">
        <v>1.7124733393990099E-3</v>
      </c>
      <c r="M600" s="189">
        <v>2.36771239002493E-3</v>
      </c>
      <c r="N600" s="189">
        <v>4.7602009824672699E-3</v>
      </c>
      <c r="O600" s="189">
        <v>0.78690112028506498</v>
      </c>
      <c r="P600" s="189">
        <v>1.6288079716863699</v>
      </c>
      <c r="Q600" s="189">
        <v>-4.7852601118671699E-2</v>
      </c>
      <c r="R600" s="189">
        <v>0.24610429012919599</v>
      </c>
      <c r="S600" s="189">
        <v>9.1803224628074307E-3</v>
      </c>
      <c r="T600" s="189">
        <v>2.7955923158853002</v>
      </c>
      <c r="U600" s="189">
        <v>3.4002117212400198</v>
      </c>
      <c r="V600" s="189">
        <v>0.45120734922119499</v>
      </c>
      <c r="W600" s="189"/>
      <c r="X600" s="90"/>
      <c r="Y600" s="188"/>
      <c r="Z600" s="188"/>
      <c r="AA600" s="188"/>
      <c r="AB600" s="188"/>
      <c r="AC600" s="188"/>
      <c r="AD600" s="190"/>
      <c r="AE600" s="189"/>
    </row>
    <row r="601" spans="1:31" ht="21.25" customHeight="1" x14ac:dyDescent="0.15">
      <c r="A601" s="9" t="s">
        <v>784</v>
      </c>
      <c r="B601" s="186" t="s">
        <v>827</v>
      </c>
      <c r="C601" s="187">
        <v>35</v>
      </c>
      <c r="D601" s="186" t="s">
        <v>815</v>
      </c>
      <c r="E601" s="90">
        <v>80.202500000000001</v>
      </c>
      <c r="F601" s="188">
        <v>11.6418285660067</v>
      </c>
      <c r="G601" s="189">
        <v>7.3583006071634205E-2</v>
      </c>
      <c r="H601" s="189">
        <v>3.2218428772607999E-2</v>
      </c>
      <c r="I601" s="189">
        <v>0.105801434844242</v>
      </c>
      <c r="J601" s="189">
        <v>0.81972776926562396</v>
      </c>
      <c r="K601" s="189">
        <v>1.9694112310741501E-4</v>
      </c>
      <c r="L601" s="189">
        <v>4.23524619412297E-4</v>
      </c>
      <c r="M601" s="189">
        <v>1.13078132680699E-2</v>
      </c>
      <c r="N601" s="189">
        <v>1.4559108747870199E-2</v>
      </c>
      <c r="O601" s="189">
        <v>0.67452362996038295</v>
      </c>
      <c r="P601" s="189">
        <v>1.5355845314787</v>
      </c>
      <c r="Q601" s="189">
        <v>-1.47581479121835E-2</v>
      </c>
      <c r="R601" s="189">
        <v>0.31066022013484901</v>
      </c>
      <c r="S601" s="189">
        <v>1.15938577868196E-2</v>
      </c>
      <c r="T601" s="189">
        <v>6.0641153187922701</v>
      </c>
      <c r="U601" s="189">
        <v>4.4428680248165504</v>
      </c>
      <c r="V601" s="189">
        <v>0.57715094052004401</v>
      </c>
      <c r="W601" s="189"/>
      <c r="X601" s="90"/>
      <c r="Y601" s="189"/>
      <c r="Z601" s="189"/>
      <c r="AA601" s="189"/>
      <c r="AB601" s="189"/>
      <c r="AC601" s="188"/>
      <c r="AD601" s="190"/>
      <c r="AE601" s="189"/>
    </row>
    <row r="602" spans="1:31" ht="21.25" customHeight="1" x14ac:dyDescent="0.15">
      <c r="A602" s="9" t="s">
        <v>789</v>
      </c>
      <c r="B602" s="186" t="s">
        <v>840</v>
      </c>
      <c r="C602" s="187">
        <v>28</v>
      </c>
      <c r="D602" s="186" t="s">
        <v>815</v>
      </c>
      <c r="E602" s="90">
        <v>68.525000000000006</v>
      </c>
      <c r="F602" s="188">
        <v>6.3777832179329597</v>
      </c>
      <c r="G602" s="189">
        <v>4.5202979498503E-2</v>
      </c>
      <c r="H602" s="189">
        <v>5.9770092468017497E-2</v>
      </c>
      <c r="I602" s="189">
        <v>0.104973071966521</v>
      </c>
      <c r="J602" s="189">
        <v>0.67025568544963998</v>
      </c>
      <c r="K602" s="189">
        <v>6.7557107916957598E-4</v>
      </c>
      <c r="L602" s="189">
        <v>1.5869930145829801E-3</v>
      </c>
      <c r="M602" s="189">
        <v>0</v>
      </c>
      <c r="N602" s="189">
        <v>0</v>
      </c>
      <c r="O602" s="189">
        <v>0.26644267684601303</v>
      </c>
      <c r="P602" s="189">
        <v>1.4281109598352799</v>
      </c>
      <c r="Q602" s="189">
        <v>-1.8044769397421698E-2</v>
      </c>
      <c r="R602" s="189">
        <v>0.58778041591500996</v>
      </c>
      <c r="S602" s="189">
        <v>7.0184062238917103E-3</v>
      </c>
      <c r="T602" s="189">
        <v>0.32454052448434401</v>
      </c>
      <c r="U602" s="189">
        <v>0.309660651375817</v>
      </c>
      <c r="V602" s="189">
        <v>0.51173119325137295</v>
      </c>
      <c r="W602" s="189"/>
      <c r="X602" s="90"/>
      <c r="Y602" s="189"/>
      <c r="Z602" s="189"/>
      <c r="AA602" s="189"/>
      <c r="AB602" s="189"/>
      <c r="AC602" s="188"/>
      <c r="AD602" s="190"/>
      <c r="AE602" s="189"/>
    </row>
    <row r="603" spans="1:31" ht="21.25" customHeight="1" x14ac:dyDescent="0.15">
      <c r="A603" s="9" t="s">
        <v>692</v>
      </c>
      <c r="B603" s="186" t="s">
        <v>852</v>
      </c>
      <c r="C603" s="187">
        <v>37</v>
      </c>
      <c r="D603" s="186" t="s">
        <v>818</v>
      </c>
      <c r="E603" s="90">
        <v>81.012500000000003</v>
      </c>
      <c r="F603" s="188">
        <v>12.92213327446</v>
      </c>
      <c r="G603" s="189">
        <v>1.5927692300008098E-2</v>
      </c>
      <c r="H603" s="189">
        <v>7.9411660540066098E-2</v>
      </c>
      <c r="I603" s="189">
        <v>9.5339352840074207E-2</v>
      </c>
      <c r="J603" s="189">
        <v>0.70573054919068701</v>
      </c>
      <c r="K603" s="189">
        <v>7.4947470560498105E-5</v>
      </c>
      <c r="L603" s="189">
        <v>5.8711885951750499E-4</v>
      </c>
      <c r="M603" s="189">
        <v>1.0899387435056101E-4</v>
      </c>
      <c r="N603" s="189">
        <v>4.3632146720074998E-3</v>
      </c>
      <c r="O603" s="189">
        <v>0.98367110958156101</v>
      </c>
      <c r="P603" s="189">
        <v>0.94646706944636305</v>
      </c>
      <c r="Q603" s="189">
        <v>2.3773210254799001E-2</v>
      </c>
      <c r="R603" s="189">
        <v>0.25660696906512598</v>
      </c>
      <c r="S603" s="189">
        <v>1.7613534861680199E-3</v>
      </c>
      <c r="T603" s="189">
        <v>0</v>
      </c>
      <c r="U603" s="189">
        <v>1.49788740295222E-3</v>
      </c>
      <c r="V603" s="189">
        <v>0</v>
      </c>
      <c r="W603" s="189"/>
      <c r="X603" s="90"/>
      <c r="Y603" s="189"/>
      <c r="Z603" s="189"/>
      <c r="AA603" s="189"/>
      <c r="AB603" s="189"/>
      <c r="AC603" s="188"/>
      <c r="AD603" s="190"/>
      <c r="AE603" s="189"/>
    </row>
    <row r="604" spans="1:31" ht="21.25" customHeight="1" x14ac:dyDescent="0.15">
      <c r="A604" s="23"/>
      <c r="B604" s="191"/>
      <c r="C604" s="191"/>
      <c r="D604" s="192"/>
      <c r="E604" s="90"/>
      <c r="F604" s="188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90"/>
      <c r="Y604" s="189"/>
      <c r="Z604" s="189"/>
      <c r="AA604" s="189"/>
      <c r="AB604" s="189"/>
      <c r="AC604" s="188"/>
      <c r="AD604" s="190"/>
      <c r="AE604" s="189"/>
    </row>
    <row r="605" spans="1:31" ht="21.25" customHeight="1" x14ac:dyDescent="0.15">
      <c r="A605" s="9" t="s">
        <v>414</v>
      </c>
      <c r="B605" s="186" t="s">
        <v>858</v>
      </c>
      <c r="C605" s="193">
        <v>31</v>
      </c>
      <c r="D605" s="186" t="s">
        <v>103</v>
      </c>
      <c r="E605" s="90"/>
      <c r="F605" s="188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90">
        <v>44</v>
      </c>
      <c r="Y605" s="189">
        <v>0.377611635634861</v>
      </c>
      <c r="Z605" s="189">
        <v>0.497388364365139</v>
      </c>
      <c r="AA605" s="189">
        <v>0.125</v>
      </c>
      <c r="AB605" s="189">
        <v>2.8360155344903201E-2</v>
      </c>
      <c r="AC605" s="188">
        <v>28.769894090495001</v>
      </c>
      <c r="AD605" s="190">
        <v>0.90049125727700996</v>
      </c>
      <c r="AE605" s="189">
        <v>3.1792157514952</v>
      </c>
    </row>
    <row r="606" spans="1:31" ht="21.25" customHeight="1" x14ac:dyDescent="0.15">
      <c r="A606" s="9" t="s">
        <v>497</v>
      </c>
      <c r="B606" s="186" t="s">
        <v>858</v>
      </c>
      <c r="C606" s="193">
        <v>24</v>
      </c>
      <c r="D606" s="186" t="s">
        <v>103</v>
      </c>
      <c r="E606" s="90"/>
      <c r="F606" s="188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90">
        <v>36</v>
      </c>
      <c r="Y606" s="189">
        <v>0.38824194142097002</v>
      </c>
      <c r="Z606" s="189">
        <v>0.48675805857902998</v>
      </c>
      <c r="AA606" s="189">
        <v>0.125</v>
      </c>
      <c r="AB606" s="189">
        <v>3.62631016056617E-2</v>
      </c>
      <c r="AC606" s="188">
        <v>28.873528751997</v>
      </c>
      <c r="AD606" s="190">
        <v>0.90373499902801702</v>
      </c>
      <c r="AE606" s="189">
        <v>3.0755810899932001</v>
      </c>
    </row>
    <row r="607" spans="1:31" ht="21.25" customHeight="1" x14ac:dyDescent="0.15">
      <c r="A607" s="9" t="s">
        <v>278</v>
      </c>
      <c r="B607" s="186" t="s">
        <v>851</v>
      </c>
      <c r="C607" s="193">
        <v>27</v>
      </c>
      <c r="D607" s="186" t="s">
        <v>103</v>
      </c>
      <c r="E607" s="90"/>
      <c r="F607" s="188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90">
        <v>48</v>
      </c>
      <c r="Y607" s="189">
        <v>0.53982297859273898</v>
      </c>
      <c r="Z607" s="189">
        <v>0.33517702140726102</v>
      </c>
      <c r="AA607" s="189">
        <v>0.125</v>
      </c>
      <c r="AB607" s="189">
        <v>5.5050098840891903E-2</v>
      </c>
      <c r="AC607" s="188">
        <v>27.700986199641001</v>
      </c>
      <c r="AD607" s="190">
        <v>0.90748283596286505</v>
      </c>
      <c r="AE607" s="189">
        <v>2.8240938369961999</v>
      </c>
    </row>
    <row r="608" spans="1:31" ht="21.25" customHeight="1" x14ac:dyDescent="0.15">
      <c r="A608" s="9" t="s">
        <v>600</v>
      </c>
      <c r="B608" s="186" t="s">
        <v>851</v>
      </c>
      <c r="C608" s="193">
        <v>28</v>
      </c>
      <c r="D608" s="186" t="s">
        <v>103</v>
      </c>
      <c r="E608" s="90"/>
      <c r="F608" s="188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90">
        <v>32</v>
      </c>
      <c r="Y608" s="189">
        <v>0.496841571415781</v>
      </c>
      <c r="Z608" s="189">
        <v>0.378158428584219</v>
      </c>
      <c r="AA608" s="189">
        <v>0.125</v>
      </c>
      <c r="AB608" s="189">
        <v>3.99951859871455E-2</v>
      </c>
      <c r="AC608" s="188">
        <v>27.5039224402679</v>
      </c>
      <c r="AD608" s="190">
        <v>0.90102703767711001</v>
      </c>
      <c r="AE608" s="189">
        <v>3.0211575963692998</v>
      </c>
    </row>
    <row r="609" spans="1:31" ht="21.25" customHeight="1" x14ac:dyDescent="0.15">
      <c r="A609" s="9" t="s">
        <v>192</v>
      </c>
      <c r="B609" s="186" t="s">
        <v>828</v>
      </c>
      <c r="C609" s="193">
        <v>25</v>
      </c>
      <c r="D609" s="186" t="s">
        <v>103</v>
      </c>
      <c r="E609" s="90"/>
      <c r="F609" s="188"/>
      <c r="G609" s="189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90">
        <v>54</v>
      </c>
      <c r="Y609" s="189">
        <v>0.58857541856682205</v>
      </c>
      <c r="Z609" s="189">
        <v>0.286424581433178</v>
      </c>
      <c r="AA609" s="189">
        <v>0.125</v>
      </c>
      <c r="AB609" s="189">
        <v>7.3667645633630305E-2</v>
      </c>
      <c r="AC609" s="188">
        <v>27.124965679318802</v>
      </c>
      <c r="AD609" s="190">
        <v>0.91310409556762995</v>
      </c>
      <c r="AE609" s="189">
        <v>2.5813578504826999</v>
      </c>
    </row>
    <row r="610" spans="1:31" ht="21.25" customHeight="1" x14ac:dyDescent="0.15">
      <c r="A610" s="9" t="s">
        <v>708</v>
      </c>
      <c r="B610" s="186" t="s">
        <v>828</v>
      </c>
      <c r="C610" s="193">
        <v>30</v>
      </c>
      <c r="D610" s="186" t="s">
        <v>103</v>
      </c>
      <c r="E610" s="90"/>
      <c r="F610" s="188"/>
      <c r="G610" s="189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90">
        <v>26</v>
      </c>
      <c r="Y610" s="189">
        <v>0.49799625681509502</v>
      </c>
      <c r="Z610" s="189">
        <v>0.37700374318490498</v>
      </c>
      <c r="AA610" s="189">
        <v>0.125</v>
      </c>
      <c r="AB610" s="189">
        <v>4.5585734972174198E-2</v>
      </c>
      <c r="AC610" s="188">
        <v>26.7572459268941</v>
      </c>
      <c r="AD610" s="190">
        <v>0.900725594671825</v>
      </c>
      <c r="AE610" s="189">
        <v>2.9490776029074</v>
      </c>
    </row>
    <row r="611" spans="1:31" ht="21.25" customHeight="1" x14ac:dyDescent="0.15">
      <c r="A611" s="9" t="s">
        <v>345</v>
      </c>
      <c r="B611" s="186" t="s">
        <v>834</v>
      </c>
      <c r="C611" s="193">
        <v>25</v>
      </c>
      <c r="D611" s="186" t="s">
        <v>103</v>
      </c>
      <c r="E611" s="90"/>
      <c r="F611" s="188"/>
      <c r="G611" s="189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90">
        <v>46</v>
      </c>
      <c r="Y611" s="189">
        <v>0.50643169033361202</v>
      </c>
      <c r="Z611" s="189">
        <v>0.36856830966638798</v>
      </c>
      <c r="AA611" s="189">
        <v>0.125</v>
      </c>
      <c r="AB611" s="189">
        <v>4.7672484228613303E-2</v>
      </c>
      <c r="AC611" s="188">
        <v>27.796571095600999</v>
      </c>
      <c r="AD611" s="190">
        <v>0.90491581535952503</v>
      </c>
      <c r="AE611" s="189">
        <v>2.9207294795441001</v>
      </c>
    </row>
    <row r="612" spans="1:31" ht="21.25" customHeight="1" x14ac:dyDescent="0.15">
      <c r="A612" s="9" t="s">
        <v>580</v>
      </c>
      <c r="B612" s="186" t="s">
        <v>834</v>
      </c>
      <c r="C612" s="193">
        <v>22</v>
      </c>
      <c r="D612" s="186" t="s">
        <v>103</v>
      </c>
      <c r="E612" s="90"/>
      <c r="F612" s="188"/>
      <c r="G612" s="189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90">
        <v>34</v>
      </c>
      <c r="Y612" s="189">
        <v>0.50143199403911498</v>
      </c>
      <c r="Z612" s="189">
        <v>0.37356800596088502</v>
      </c>
      <c r="AA612" s="189">
        <v>0.125</v>
      </c>
      <c r="AB612" s="189">
        <v>4.27189036091494E-2</v>
      </c>
      <c r="AC612" s="188">
        <v>27.731728940680998</v>
      </c>
      <c r="AD612" s="190">
        <v>0.90280488263738101</v>
      </c>
      <c r="AE612" s="189">
        <v>2.9855716344641001</v>
      </c>
    </row>
    <row r="613" spans="1:31" ht="21.25" customHeight="1" x14ac:dyDescent="0.15">
      <c r="A613" s="9" t="s">
        <v>347</v>
      </c>
      <c r="B613" s="186" t="s">
        <v>849</v>
      </c>
      <c r="C613" s="193">
        <v>34</v>
      </c>
      <c r="D613" s="186" t="s">
        <v>103</v>
      </c>
      <c r="E613" s="90"/>
      <c r="F613" s="188"/>
      <c r="G613" s="189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90">
        <v>41</v>
      </c>
      <c r="Y613" s="189">
        <v>0.61129050560453202</v>
      </c>
      <c r="Z613" s="189">
        <v>0.26370949439546798</v>
      </c>
      <c r="AA613" s="189">
        <v>0.125</v>
      </c>
      <c r="AB613" s="189">
        <v>7.3327363196923401E-2</v>
      </c>
      <c r="AC613" s="188">
        <v>26.0192027598181</v>
      </c>
      <c r="AD613" s="190">
        <v>0.90878005053113498</v>
      </c>
      <c r="AE613" s="189">
        <v>2.6117104568740999</v>
      </c>
    </row>
    <row r="614" spans="1:31" ht="21.25" customHeight="1" x14ac:dyDescent="0.15">
      <c r="A614" s="9" t="s">
        <v>363</v>
      </c>
      <c r="B614" s="186" t="s">
        <v>849</v>
      </c>
      <c r="C614" s="193">
        <v>25</v>
      </c>
      <c r="D614" s="186" t="s">
        <v>103</v>
      </c>
      <c r="E614" s="90"/>
      <c r="F614" s="188"/>
      <c r="G614" s="189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90">
        <v>41</v>
      </c>
      <c r="Y614" s="189">
        <v>0.61311055771424094</v>
      </c>
      <c r="Z614" s="189">
        <v>0.261889442285759</v>
      </c>
      <c r="AA614" s="189">
        <v>0.125</v>
      </c>
      <c r="AB614" s="189">
        <v>6.9786284642597493E-2</v>
      </c>
      <c r="AC614" s="188">
        <v>25.9723695780737</v>
      </c>
      <c r="AD614" s="190">
        <v>0.90714429475240899</v>
      </c>
      <c r="AE614" s="189">
        <v>2.6585436386185002</v>
      </c>
    </row>
    <row r="615" spans="1:31" ht="21.25" customHeight="1" x14ac:dyDescent="0.15">
      <c r="A615" s="9" t="s">
        <v>353</v>
      </c>
      <c r="B615" s="186" t="s">
        <v>852</v>
      </c>
      <c r="C615" s="193">
        <v>30</v>
      </c>
      <c r="D615" s="186" t="s">
        <v>103</v>
      </c>
      <c r="E615" s="90"/>
      <c r="F615" s="188"/>
      <c r="G615" s="189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90">
        <v>48</v>
      </c>
      <c r="Y615" s="189">
        <v>0.38087712251510197</v>
      </c>
      <c r="Z615" s="189">
        <v>0.49412287748489803</v>
      </c>
      <c r="AA615" s="189">
        <v>0.125</v>
      </c>
      <c r="AB615" s="189">
        <v>2.30525101102649E-2</v>
      </c>
      <c r="AC615" s="188">
        <v>29.088113633591799</v>
      </c>
      <c r="AD615" s="190">
        <v>0.89992510201893205</v>
      </c>
      <c r="AE615" s="189">
        <v>3.2347025300358001</v>
      </c>
    </row>
    <row r="616" spans="1:31" ht="21.25" customHeight="1" x14ac:dyDescent="0.15">
      <c r="A616" s="9" t="s">
        <v>694</v>
      </c>
      <c r="B616" s="186" t="s">
        <v>852</v>
      </c>
      <c r="C616" s="193">
        <v>25</v>
      </c>
      <c r="D616" s="186" t="s">
        <v>103</v>
      </c>
      <c r="E616" s="90"/>
      <c r="F616" s="188"/>
      <c r="G616" s="189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90">
        <v>26</v>
      </c>
      <c r="Y616" s="189">
        <v>0.38588183756014899</v>
      </c>
      <c r="Z616" s="189">
        <v>0.48911816243985101</v>
      </c>
      <c r="AA616" s="189">
        <v>0.125</v>
      </c>
      <c r="AB616" s="189">
        <v>3.0297323752501E-2</v>
      </c>
      <c r="AC616" s="188">
        <v>29.1827051752805</v>
      </c>
      <c r="AD616" s="190">
        <v>0.90285156551796197</v>
      </c>
      <c r="AE616" s="189">
        <v>3.1401109883471001</v>
      </c>
    </row>
    <row r="617" spans="1:31" ht="21.25" customHeight="1" x14ac:dyDescent="0.15">
      <c r="A617" s="9" t="s">
        <v>404</v>
      </c>
      <c r="B617" s="186" t="s">
        <v>845</v>
      </c>
      <c r="C617" s="193">
        <v>23</v>
      </c>
      <c r="D617" s="186" t="s">
        <v>103</v>
      </c>
      <c r="E617" s="90"/>
      <c r="F617" s="188"/>
      <c r="G617" s="189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90">
        <v>42</v>
      </c>
      <c r="Y617" s="189">
        <v>0.450086667250223</v>
      </c>
      <c r="Z617" s="189">
        <v>0.424913332749777</v>
      </c>
      <c r="AA617" s="189">
        <v>0.125</v>
      </c>
      <c r="AB617" s="189">
        <v>4.3867832013358102E-2</v>
      </c>
      <c r="AC617" s="188">
        <v>27.766305902099798</v>
      </c>
      <c r="AD617" s="190">
        <v>0.90334720367741905</v>
      </c>
      <c r="AE617" s="189">
        <v>2.9708301504241001</v>
      </c>
    </row>
    <row r="618" spans="1:31" ht="21.25" customHeight="1" x14ac:dyDescent="0.15">
      <c r="A618" s="9" t="s">
        <v>494</v>
      </c>
      <c r="B618" s="186" t="s">
        <v>845</v>
      </c>
      <c r="C618" s="193">
        <v>26</v>
      </c>
      <c r="D618" s="186" t="s">
        <v>103</v>
      </c>
      <c r="E618" s="90"/>
      <c r="F618" s="188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90">
        <v>40</v>
      </c>
      <c r="Y618" s="189">
        <v>0.43344299989730201</v>
      </c>
      <c r="Z618" s="189">
        <v>0.44155700010269799</v>
      </c>
      <c r="AA618" s="189">
        <v>0.125</v>
      </c>
      <c r="AB618" s="189">
        <v>3.2533592166344598E-2</v>
      </c>
      <c r="AC618" s="188">
        <v>27.617926314629301</v>
      </c>
      <c r="AD618" s="190">
        <v>0.89851983175776595</v>
      </c>
      <c r="AE618" s="189">
        <v>3.1192097378946002</v>
      </c>
    </row>
    <row r="619" spans="1:31" ht="21.25" customHeight="1" x14ac:dyDescent="0.15">
      <c r="A619" s="9" t="s">
        <v>438</v>
      </c>
      <c r="B619" s="186" t="s">
        <v>847</v>
      </c>
      <c r="C619" s="193">
        <v>32</v>
      </c>
      <c r="D619" s="186" t="s">
        <v>103</v>
      </c>
      <c r="E619" s="90"/>
      <c r="F619" s="188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90">
        <v>40</v>
      </c>
      <c r="Y619" s="189">
        <v>0.39214553138365099</v>
      </c>
      <c r="Z619" s="189">
        <v>0.48285446861634901</v>
      </c>
      <c r="AA619" s="189">
        <v>0.125</v>
      </c>
      <c r="AB619" s="189">
        <v>4.7911753860735602E-2</v>
      </c>
      <c r="AC619" s="188">
        <v>27.762801424784399</v>
      </c>
      <c r="AD619" s="190">
        <v>0.905111295916734</v>
      </c>
      <c r="AE619" s="189">
        <v>2.9105550453336</v>
      </c>
    </row>
    <row r="620" spans="1:31" ht="21.25" customHeight="1" x14ac:dyDescent="0.15">
      <c r="A620" s="9" t="s">
        <v>462</v>
      </c>
      <c r="B620" s="186" t="s">
        <v>847</v>
      </c>
      <c r="C620" s="193">
        <v>31</v>
      </c>
      <c r="D620" s="186" t="s">
        <v>103</v>
      </c>
      <c r="E620" s="90"/>
      <c r="F620" s="188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90">
        <v>36</v>
      </c>
      <c r="Y620" s="189">
        <v>0.42736060792394198</v>
      </c>
      <c r="Z620" s="189">
        <v>0.44763939207605802</v>
      </c>
      <c r="AA620" s="189">
        <v>0.125</v>
      </c>
      <c r="AB620" s="189">
        <v>6.16527643950458E-2</v>
      </c>
      <c r="AC620" s="188">
        <v>27.942236492498299</v>
      </c>
      <c r="AD620" s="190">
        <v>0.91096116330534704</v>
      </c>
      <c r="AE620" s="189">
        <v>2.7311199776196999</v>
      </c>
    </row>
    <row r="621" spans="1:31" ht="21.25" customHeight="1" x14ac:dyDescent="0.15">
      <c r="A621" s="9" t="s">
        <v>228</v>
      </c>
      <c r="B621" s="186" t="s">
        <v>825</v>
      </c>
      <c r="C621" s="193">
        <v>28</v>
      </c>
      <c r="D621" s="186" t="s">
        <v>103</v>
      </c>
      <c r="E621" s="90"/>
      <c r="F621" s="188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90">
        <v>54</v>
      </c>
      <c r="Y621" s="189">
        <v>0.58819711562900701</v>
      </c>
      <c r="Z621" s="189">
        <v>0.28680288437099299</v>
      </c>
      <c r="AA621" s="189">
        <v>0.125</v>
      </c>
      <c r="AB621" s="189">
        <v>5.5257244275493403E-2</v>
      </c>
      <c r="AC621" s="188">
        <v>27.369411784010101</v>
      </c>
      <c r="AD621" s="190">
        <v>0.907088503704089</v>
      </c>
      <c r="AE621" s="189">
        <v>2.8034012019855998</v>
      </c>
    </row>
    <row r="622" spans="1:31" ht="21.25" customHeight="1" x14ac:dyDescent="0.15">
      <c r="A622" s="9" t="s">
        <v>656</v>
      </c>
      <c r="B622" s="186" t="s">
        <v>825</v>
      </c>
      <c r="C622" s="193">
        <v>24</v>
      </c>
      <c r="D622" s="186" t="s">
        <v>103</v>
      </c>
      <c r="E622" s="90"/>
      <c r="F622" s="188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90">
        <v>26</v>
      </c>
      <c r="Y622" s="189">
        <v>0.58526353545235599</v>
      </c>
      <c r="Z622" s="189">
        <v>0.28973646454764401</v>
      </c>
      <c r="AA622" s="189">
        <v>0.125</v>
      </c>
      <c r="AB622" s="189">
        <v>5.0836129225243498E-2</v>
      </c>
      <c r="AC622" s="188">
        <v>27.311909692583701</v>
      </c>
      <c r="AD622" s="190">
        <v>0.90518274531645804</v>
      </c>
      <c r="AE622" s="189">
        <v>2.860903293412</v>
      </c>
    </row>
    <row r="623" spans="1:31" ht="21.25" customHeight="1" x14ac:dyDescent="0.15">
      <c r="A623" s="9" t="s">
        <v>170</v>
      </c>
      <c r="B623" s="186" t="s">
        <v>837</v>
      </c>
      <c r="C623" s="193">
        <v>25</v>
      </c>
      <c r="D623" s="186" t="s">
        <v>103</v>
      </c>
      <c r="E623" s="90"/>
      <c r="F623" s="188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90">
        <v>60</v>
      </c>
      <c r="Y623" s="189">
        <v>0.62171996200206203</v>
      </c>
      <c r="Z623" s="189">
        <v>0.25328003799793802</v>
      </c>
      <c r="AA623" s="189">
        <v>0.125</v>
      </c>
      <c r="AB623" s="189">
        <v>7.4130327570598106E-2</v>
      </c>
      <c r="AC623" s="188">
        <v>26.179869113564099</v>
      </c>
      <c r="AD623" s="190">
        <v>0.91079550853684998</v>
      </c>
      <c r="AE623" s="189">
        <v>2.5640902803737</v>
      </c>
    </row>
    <row r="624" spans="1:31" ht="21.25" customHeight="1" x14ac:dyDescent="0.15">
      <c r="A624" s="9" t="s">
        <v>359</v>
      </c>
      <c r="B624" s="186" t="s">
        <v>842</v>
      </c>
      <c r="C624" s="193">
        <v>37</v>
      </c>
      <c r="D624" s="186" t="s">
        <v>103</v>
      </c>
      <c r="E624" s="90"/>
      <c r="F624" s="188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90">
        <v>44</v>
      </c>
      <c r="Y624" s="189">
        <v>0.456063031231212</v>
      </c>
      <c r="Z624" s="189">
        <v>0.418936968768788</v>
      </c>
      <c r="AA624" s="189">
        <v>0.125</v>
      </c>
      <c r="AB624" s="189">
        <v>4.91524765008991E-2</v>
      </c>
      <c r="AC624" s="188">
        <v>28.2068102545561</v>
      </c>
      <c r="AD624" s="190">
        <v>0.90700000000000003</v>
      </c>
      <c r="AE624" s="189">
        <v>2.8922087692103</v>
      </c>
    </row>
    <row r="625" spans="1:31" ht="21.25" customHeight="1" x14ac:dyDescent="0.15">
      <c r="A625" s="9" t="s">
        <v>512</v>
      </c>
      <c r="B625" s="186" t="s">
        <v>842</v>
      </c>
      <c r="C625" s="193">
        <v>31</v>
      </c>
      <c r="D625" s="186" t="s">
        <v>103</v>
      </c>
      <c r="E625" s="90"/>
      <c r="F625" s="188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90">
        <v>34</v>
      </c>
      <c r="Y625" s="189">
        <v>0.45277512728144698</v>
      </c>
      <c r="Z625" s="189">
        <v>0.42222487271855302</v>
      </c>
      <c r="AA625" s="189">
        <v>0.125</v>
      </c>
      <c r="AB625" s="189">
        <v>4.4589496008934103E-2</v>
      </c>
      <c r="AC625" s="188">
        <v>28.1472693583428</v>
      </c>
      <c r="AD625" s="190">
        <v>0.90508544133923297</v>
      </c>
      <c r="AE625" s="189">
        <v>2.9517496654236002</v>
      </c>
    </row>
    <row r="626" spans="1:31" ht="21.25" customHeight="1" x14ac:dyDescent="0.15">
      <c r="A626" s="9" t="s">
        <v>189</v>
      </c>
      <c r="B626" s="186" t="s">
        <v>824</v>
      </c>
      <c r="C626" s="193">
        <v>25</v>
      </c>
      <c r="D626" s="186" t="s">
        <v>103</v>
      </c>
      <c r="E626" s="90"/>
      <c r="F626" s="188"/>
      <c r="G626" s="189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90">
        <v>56</v>
      </c>
      <c r="Y626" s="189">
        <v>0.66618468603139003</v>
      </c>
      <c r="Z626" s="189">
        <v>0.20881531396861</v>
      </c>
      <c r="AA626" s="189">
        <v>0.125</v>
      </c>
      <c r="AB626" s="189">
        <v>5.93602285664084E-2</v>
      </c>
      <c r="AC626" s="188">
        <v>27.171098040383399</v>
      </c>
      <c r="AD626" s="190">
        <v>0.908989718253294</v>
      </c>
      <c r="AE626" s="189">
        <v>2.7204370284567001</v>
      </c>
    </row>
    <row r="627" spans="1:31" ht="21.25" customHeight="1" x14ac:dyDescent="0.15">
      <c r="A627" s="9" t="s">
        <v>705</v>
      </c>
      <c r="B627" s="186" t="s">
        <v>824</v>
      </c>
      <c r="C627" s="193">
        <v>32</v>
      </c>
      <c r="D627" s="186" t="s">
        <v>103</v>
      </c>
      <c r="E627" s="90"/>
      <c r="F627" s="188"/>
      <c r="G627" s="189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90">
        <v>24</v>
      </c>
      <c r="Y627" s="189">
        <v>0.61174828404685999</v>
      </c>
      <c r="Z627" s="189">
        <v>0.26325171595314001</v>
      </c>
      <c r="AA627" s="189">
        <v>0.125</v>
      </c>
      <c r="AB627" s="189">
        <v>4.4888928782929799E-2</v>
      </c>
      <c r="AC627" s="188">
        <v>26.984906674804702</v>
      </c>
      <c r="AD627" s="190">
        <v>0.90276081882909498</v>
      </c>
      <c r="AE627" s="189">
        <v>2.9066283940353999</v>
      </c>
    </row>
    <row r="628" spans="1:31" ht="21.25" customHeight="1" x14ac:dyDescent="0.15">
      <c r="A628" s="9" t="s">
        <v>214</v>
      </c>
      <c r="B628" s="186" t="s">
        <v>832</v>
      </c>
      <c r="C628" s="193">
        <v>35</v>
      </c>
      <c r="D628" s="186" t="s">
        <v>103</v>
      </c>
      <c r="E628" s="90"/>
      <c r="F628" s="188"/>
      <c r="G628" s="189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90">
        <v>56</v>
      </c>
      <c r="Y628" s="189">
        <v>0.62226126853091601</v>
      </c>
      <c r="Z628" s="189">
        <v>0.25273873146908399</v>
      </c>
      <c r="AA628" s="189">
        <v>0.125</v>
      </c>
      <c r="AB628" s="189">
        <v>7.1617058613454396E-2</v>
      </c>
      <c r="AC628" s="188">
        <v>25.821572908137799</v>
      </c>
      <c r="AD628" s="190">
        <v>0.90858692441799904</v>
      </c>
      <c r="AE628" s="189">
        <v>2.5979125744184999</v>
      </c>
    </row>
    <row r="629" spans="1:31" ht="21.25" customHeight="1" x14ac:dyDescent="0.15">
      <c r="A629" s="9" t="s">
        <v>755</v>
      </c>
      <c r="B629" s="186" t="s">
        <v>832</v>
      </c>
      <c r="C629" s="193">
        <v>23</v>
      </c>
      <c r="D629" s="186" t="s">
        <v>103</v>
      </c>
      <c r="E629" s="90"/>
      <c r="F629" s="188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90">
        <v>22</v>
      </c>
      <c r="Y629" s="189">
        <v>0.58381193543244903</v>
      </c>
      <c r="Z629" s="189">
        <v>0.29118806456755097</v>
      </c>
      <c r="AA629" s="189">
        <v>0.125</v>
      </c>
      <c r="AB629" s="189">
        <v>5.4923407440821297E-2</v>
      </c>
      <c r="AC629" s="188">
        <v>25.603840174639402</v>
      </c>
      <c r="AD629" s="190">
        <v>0.90092553541670894</v>
      </c>
      <c r="AE629" s="189">
        <v>2.8156453079168999</v>
      </c>
    </row>
    <row r="630" spans="1:31" ht="21.25" customHeight="1" x14ac:dyDescent="0.15">
      <c r="A630" s="9" t="s">
        <v>290</v>
      </c>
      <c r="B630" s="186" t="s">
        <v>850</v>
      </c>
      <c r="C630" s="193">
        <v>34</v>
      </c>
      <c r="D630" s="186" t="s">
        <v>103</v>
      </c>
      <c r="E630" s="90"/>
      <c r="F630" s="188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90">
        <v>50</v>
      </c>
      <c r="Y630" s="189">
        <v>0.55471273248294894</v>
      </c>
      <c r="Z630" s="189">
        <v>0.320287267517051</v>
      </c>
      <c r="AA630" s="189">
        <v>0.125</v>
      </c>
      <c r="AB630" s="189">
        <v>6.4672328790371797E-2</v>
      </c>
      <c r="AC630" s="188">
        <v>25.8123523773214</v>
      </c>
      <c r="AD630" s="190">
        <v>0.90569919152952005</v>
      </c>
      <c r="AE630" s="189">
        <v>2.6875652760555999</v>
      </c>
    </row>
    <row r="631" spans="1:31" ht="21.25" customHeight="1" x14ac:dyDescent="0.15">
      <c r="A631" s="9" t="s">
        <v>695</v>
      </c>
      <c r="B631" s="186" t="s">
        <v>850</v>
      </c>
      <c r="C631" s="193">
        <v>31</v>
      </c>
      <c r="D631" s="186" t="s">
        <v>103</v>
      </c>
      <c r="E631" s="90"/>
      <c r="F631" s="188"/>
      <c r="G631" s="189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90">
        <v>25</v>
      </c>
      <c r="Y631" s="189">
        <v>0.55590994746885702</v>
      </c>
      <c r="Z631" s="189">
        <v>0.31909005253114298</v>
      </c>
      <c r="AA631" s="189">
        <v>0.125</v>
      </c>
      <c r="AB631" s="189">
        <v>6.5218342418729203E-2</v>
      </c>
      <c r="AC631" s="188">
        <v>25.819471495580601</v>
      </c>
      <c r="AD631" s="190">
        <v>0.90594898587439299</v>
      </c>
      <c r="AE631" s="189">
        <v>2.6804461577963998</v>
      </c>
    </row>
    <row r="632" spans="1:31" ht="21.25" customHeight="1" x14ac:dyDescent="0.15">
      <c r="A632" s="9" t="s">
        <v>292</v>
      </c>
      <c r="B632" s="186" t="s">
        <v>833</v>
      </c>
      <c r="C632" s="193">
        <v>26</v>
      </c>
      <c r="D632" s="186" t="s">
        <v>103</v>
      </c>
      <c r="E632" s="90"/>
      <c r="F632" s="188"/>
      <c r="G632" s="189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90">
        <v>50</v>
      </c>
      <c r="Y632" s="189">
        <v>0.54118565005677799</v>
      </c>
      <c r="Z632" s="189">
        <v>0.33381434994322201</v>
      </c>
      <c r="AA632" s="189">
        <v>0.125</v>
      </c>
      <c r="AB632" s="189">
        <v>7.8848769158857496E-2</v>
      </c>
      <c r="AC632" s="188">
        <v>25.4172060942497</v>
      </c>
      <c r="AD632" s="190">
        <v>0.91019355133849</v>
      </c>
      <c r="AE632" s="189">
        <v>2.5078501279926</v>
      </c>
    </row>
    <row r="633" spans="1:31" ht="21.25" customHeight="1" x14ac:dyDescent="0.15">
      <c r="A633" s="9" t="s">
        <v>649</v>
      </c>
      <c r="B633" s="186" t="s">
        <v>833</v>
      </c>
      <c r="C633" s="193">
        <v>39</v>
      </c>
      <c r="D633" s="186" t="s">
        <v>103</v>
      </c>
      <c r="E633" s="90"/>
      <c r="F633" s="188"/>
      <c r="G633" s="189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90">
        <v>30</v>
      </c>
      <c r="Y633" s="189">
        <v>0.48347783090551599</v>
      </c>
      <c r="Z633" s="189">
        <v>0.39152216909448401</v>
      </c>
      <c r="AA633" s="189">
        <v>0.125</v>
      </c>
      <c r="AB633" s="189">
        <v>6.4201486353244006E-2</v>
      </c>
      <c r="AC633" s="188">
        <v>25.225838787575899</v>
      </c>
      <c r="AD633" s="190">
        <v>0.90334066247943601</v>
      </c>
      <c r="AE633" s="189">
        <v>2.6992174346664002</v>
      </c>
    </row>
    <row r="634" spans="1:31" ht="21.25" customHeight="1" x14ac:dyDescent="0.15">
      <c r="A634" s="9" t="s">
        <v>302</v>
      </c>
      <c r="B634" s="186" t="s">
        <v>854</v>
      </c>
      <c r="C634" s="193">
        <v>27</v>
      </c>
      <c r="D634" s="186" t="s">
        <v>103</v>
      </c>
      <c r="E634" s="90"/>
      <c r="F634" s="188"/>
      <c r="G634" s="189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90">
        <v>50</v>
      </c>
      <c r="Y634" s="189">
        <v>0.472791349291518</v>
      </c>
      <c r="Z634" s="189">
        <v>0.402208650708482</v>
      </c>
      <c r="AA634" s="189">
        <v>0.125</v>
      </c>
      <c r="AB634" s="189">
        <v>3.9110841164443098E-2</v>
      </c>
      <c r="AC634" s="188">
        <v>28.8005283739219</v>
      </c>
      <c r="AD634" s="190">
        <v>0.90454211570978404</v>
      </c>
      <c r="AE634" s="189">
        <v>3.0393692645893</v>
      </c>
    </row>
    <row r="635" spans="1:31" ht="21.25" customHeight="1" x14ac:dyDescent="0.15">
      <c r="A635" s="9" t="s">
        <v>658</v>
      </c>
      <c r="B635" s="186" t="s">
        <v>854</v>
      </c>
      <c r="C635" s="193">
        <v>24</v>
      </c>
      <c r="D635" s="186" t="s">
        <v>103</v>
      </c>
      <c r="E635" s="90"/>
      <c r="F635" s="188"/>
      <c r="G635" s="189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90">
        <v>28</v>
      </c>
      <c r="Y635" s="189">
        <v>0.43399351760813898</v>
      </c>
      <c r="Z635" s="189">
        <v>0.44100648239186102</v>
      </c>
      <c r="AA635" s="189">
        <v>0.125</v>
      </c>
      <c r="AB635" s="189">
        <v>3.29407835014029E-2</v>
      </c>
      <c r="AC635" s="188">
        <v>28.719587669937098</v>
      </c>
      <c r="AD635" s="190">
        <v>0.90200000000000002</v>
      </c>
      <c r="AE635" s="189">
        <v>3.1203099685740998</v>
      </c>
    </row>
    <row r="636" spans="1:31" ht="21.25" customHeight="1" x14ac:dyDescent="0.15">
      <c r="A636" s="9" t="s">
        <v>194</v>
      </c>
      <c r="B636" s="186" t="s">
        <v>829</v>
      </c>
      <c r="C636" s="193">
        <v>34</v>
      </c>
      <c r="D636" s="186" t="s">
        <v>103</v>
      </c>
      <c r="E636" s="90"/>
      <c r="F636" s="188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90">
        <v>54</v>
      </c>
      <c r="Y636" s="189">
        <v>0.586044778392667</v>
      </c>
      <c r="Z636" s="189">
        <v>0.288955221607333</v>
      </c>
      <c r="AA636" s="189">
        <v>0.125</v>
      </c>
      <c r="AB636" s="189">
        <v>6.2165045480160802E-2</v>
      </c>
      <c r="AC636" s="188">
        <v>27.280587585172601</v>
      </c>
      <c r="AD636" s="190">
        <v>0.90900000000000003</v>
      </c>
      <c r="AE636" s="189">
        <v>2.7310599232680999</v>
      </c>
    </row>
    <row r="637" spans="1:31" ht="21.25" customHeight="1" x14ac:dyDescent="0.15">
      <c r="A637" s="9" t="s">
        <v>716</v>
      </c>
      <c r="B637" s="186" t="s">
        <v>829</v>
      </c>
      <c r="C637" s="193">
        <v>33</v>
      </c>
      <c r="D637" s="186" t="s">
        <v>103</v>
      </c>
      <c r="E637" s="90"/>
      <c r="F637" s="188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90">
        <v>24</v>
      </c>
      <c r="Y637" s="189">
        <v>0.53395809711248099</v>
      </c>
      <c r="Z637" s="189">
        <v>0.34104190288751901</v>
      </c>
      <c r="AA637" s="189">
        <v>0.125</v>
      </c>
      <c r="AB637" s="189">
        <v>4.8408894632698998E-2</v>
      </c>
      <c r="AC637" s="188">
        <v>27.100517700122001</v>
      </c>
      <c r="AD637" s="190">
        <v>0.90300000000000002</v>
      </c>
      <c r="AE637" s="189">
        <v>2.9111298083186998</v>
      </c>
    </row>
    <row r="638" spans="1:31" ht="21.25" customHeight="1" x14ac:dyDescent="0.15">
      <c r="A638" s="9" t="s">
        <v>149</v>
      </c>
      <c r="B638" s="186" t="s">
        <v>830</v>
      </c>
      <c r="C638" s="193">
        <v>29</v>
      </c>
      <c r="D638" s="186" t="s">
        <v>103</v>
      </c>
      <c r="E638" s="90"/>
      <c r="F638" s="188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90">
        <v>60</v>
      </c>
      <c r="Y638" s="189">
        <v>0.58347145945674195</v>
      </c>
      <c r="Z638" s="189">
        <v>0.291528540543258</v>
      </c>
      <c r="AA638" s="189">
        <v>0.125</v>
      </c>
      <c r="AB638" s="189">
        <v>6.7223560885057806E-2</v>
      </c>
      <c r="AC638" s="188">
        <v>27.539346073951201</v>
      </c>
      <c r="AD638" s="190">
        <v>0.91200868657713496</v>
      </c>
      <c r="AE638" s="189">
        <v>2.6570177099391001</v>
      </c>
    </row>
    <row r="639" spans="1:31" ht="21.25" customHeight="1" x14ac:dyDescent="0.15">
      <c r="A639" s="9" t="s">
        <v>773</v>
      </c>
      <c r="B639" s="186" t="s">
        <v>830</v>
      </c>
      <c r="C639" s="193">
        <v>31</v>
      </c>
      <c r="D639" s="186" t="s">
        <v>103</v>
      </c>
      <c r="E639" s="90"/>
      <c r="F639" s="188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90">
        <v>20</v>
      </c>
      <c r="Y639" s="189">
        <v>0.49817993269990601</v>
      </c>
      <c r="Z639" s="189">
        <v>0.37682006730009399</v>
      </c>
      <c r="AA639" s="189">
        <v>0.125</v>
      </c>
      <c r="AB639" s="189">
        <v>3.9440299597980899E-2</v>
      </c>
      <c r="AC639" s="188">
        <v>27.1767274055013</v>
      </c>
      <c r="AD639" s="190">
        <v>0.9</v>
      </c>
      <c r="AE639" s="189">
        <v>3.0196363783889999</v>
      </c>
    </row>
    <row r="640" spans="1:31" ht="21.25" customHeight="1" x14ac:dyDescent="0.15">
      <c r="A640" s="9" t="s">
        <v>199</v>
      </c>
      <c r="B640" s="186" t="s">
        <v>836</v>
      </c>
      <c r="C640" s="193">
        <v>28</v>
      </c>
      <c r="D640" s="186" t="s">
        <v>103</v>
      </c>
      <c r="E640" s="90"/>
      <c r="F640" s="188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90">
        <v>54</v>
      </c>
      <c r="Y640" s="189">
        <v>0.572090289299094</v>
      </c>
      <c r="Z640" s="189">
        <v>0.302909710700906</v>
      </c>
      <c r="AA640" s="189">
        <v>0.125</v>
      </c>
      <c r="AB640" s="189">
        <v>7.8887474639676006E-2</v>
      </c>
      <c r="AC640" s="188">
        <v>26.697433118813201</v>
      </c>
      <c r="AD640" s="190">
        <v>0.91396841851233801</v>
      </c>
      <c r="AE640" s="189">
        <v>2.5130216168859998</v>
      </c>
    </row>
    <row r="641" spans="1:31" ht="21.25" customHeight="1" x14ac:dyDescent="0.15">
      <c r="A641" s="9" t="s">
        <v>652</v>
      </c>
      <c r="B641" s="186" t="s">
        <v>836</v>
      </c>
      <c r="C641" s="193">
        <v>36</v>
      </c>
      <c r="D641" s="186" t="s">
        <v>103</v>
      </c>
      <c r="E641" s="90"/>
      <c r="F641" s="188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90">
        <v>26</v>
      </c>
      <c r="Y641" s="189">
        <v>0.52181523123214701</v>
      </c>
      <c r="Z641" s="189">
        <v>0.35318476876785299</v>
      </c>
      <c r="AA641" s="189">
        <v>0.125</v>
      </c>
      <c r="AB641" s="189">
        <v>6.7659871155338405E-2</v>
      </c>
      <c r="AC641" s="188">
        <v>26.550411916268001</v>
      </c>
      <c r="AD641" s="190">
        <v>0.90893524789327396</v>
      </c>
      <c r="AE641" s="189">
        <v>2.6600428194312</v>
      </c>
    </row>
    <row r="642" spans="1:31" ht="21.25" customHeight="1" x14ac:dyDescent="0.15">
      <c r="A642" s="9" t="s">
        <v>147</v>
      </c>
      <c r="B642" s="186" t="s">
        <v>831</v>
      </c>
      <c r="C642" s="193">
        <v>28</v>
      </c>
      <c r="D642" s="186" t="s">
        <v>103</v>
      </c>
      <c r="E642" s="90"/>
      <c r="F642" s="188"/>
      <c r="G642" s="189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90">
        <v>60</v>
      </c>
      <c r="Y642" s="189">
        <v>0.61628333945448299</v>
      </c>
      <c r="Z642" s="189">
        <v>0.25871666054551701</v>
      </c>
      <c r="AA642" s="189">
        <v>0.125</v>
      </c>
      <c r="AB642" s="189">
        <v>7.6165158483277901E-2</v>
      </c>
      <c r="AC642" s="188">
        <v>26.8660499293856</v>
      </c>
      <c r="AD642" s="190">
        <v>0.91337951134645001</v>
      </c>
      <c r="AE642" s="189">
        <v>2.5478460422695002</v>
      </c>
    </row>
    <row r="643" spans="1:31" ht="21.25" customHeight="1" x14ac:dyDescent="0.15">
      <c r="A643" s="9" t="s">
        <v>775</v>
      </c>
      <c r="B643" s="186" t="s">
        <v>831</v>
      </c>
      <c r="C643" s="193">
        <v>38</v>
      </c>
      <c r="D643" s="186" t="s">
        <v>103</v>
      </c>
      <c r="E643" s="90"/>
      <c r="F643" s="188"/>
      <c r="G643" s="189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90">
        <v>20</v>
      </c>
      <c r="Y643" s="189">
        <v>0.52958261159259301</v>
      </c>
      <c r="Z643" s="189">
        <v>0.34541738840740699</v>
      </c>
      <c r="AA643" s="189">
        <v>0.125</v>
      </c>
      <c r="AB643" s="189">
        <v>4.3711198372944897E-2</v>
      </c>
      <c r="AC643" s="188">
        <v>26.4412149246212</v>
      </c>
      <c r="AD643" s="190">
        <v>0.89893616779298702</v>
      </c>
      <c r="AE643" s="189">
        <v>2.9726810470339</v>
      </c>
    </row>
    <row r="644" spans="1:31" ht="21.25" customHeight="1" x14ac:dyDescent="0.15">
      <c r="A644" s="9" t="s">
        <v>246</v>
      </c>
      <c r="B644" s="186" t="s">
        <v>840</v>
      </c>
      <c r="C644" s="193">
        <v>30</v>
      </c>
      <c r="D644" s="186" t="s">
        <v>103</v>
      </c>
      <c r="E644" s="90"/>
      <c r="F644" s="188"/>
      <c r="G644" s="189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90">
        <v>48</v>
      </c>
      <c r="Y644" s="189">
        <v>0.54524112133878999</v>
      </c>
      <c r="Z644" s="189">
        <v>0.32975887866121001</v>
      </c>
      <c r="AA644" s="189">
        <v>0.125</v>
      </c>
      <c r="AB644" s="189">
        <v>6.7001143154612405E-2</v>
      </c>
      <c r="AC644" s="188">
        <v>27.9451780374125</v>
      </c>
      <c r="AD644" s="190">
        <v>0.91300000000000003</v>
      </c>
      <c r="AE644" s="189">
        <v>2.6629030550436998</v>
      </c>
    </row>
    <row r="645" spans="1:31" ht="21.25" customHeight="1" x14ac:dyDescent="0.15">
      <c r="A645" s="9" t="s">
        <v>606</v>
      </c>
      <c r="B645" s="186" t="s">
        <v>840</v>
      </c>
      <c r="C645" s="193">
        <v>31</v>
      </c>
      <c r="D645" s="186" t="s">
        <v>103</v>
      </c>
      <c r="E645" s="90"/>
      <c r="F645" s="188"/>
      <c r="G645" s="189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90">
        <v>32</v>
      </c>
      <c r="Y645" s="189">
        <v>0.46691955891128001</v>
      </c>
      <c r="Z645" s="189">
        <v>0.40808044108871999</v>
      </c>
      <c r="AA645" s="189">
        <v>0.125</v>
      </c>
      <c r="AB645" s="189">
        <v>3.7324880347762698E-2</v>
      </c>
      <c r="AC645" s="188">
        <v>27.5574182034572</v>
      </c>
      <c r="AD645" s="190">
        <v>0.90033145561187</v>
      </c>
      <c r="AE645" s="189">
        <v>3.0506628889990002</v>
      </c>
    </row>
    <row r="646" spans="1:31" ht="21.25" customHeight="1" x14ac:dyDescent="0.15">
      <c r="A646" s="9" t="s">
        <v>376</v>
      </c>
      <c r="B646" s="186" t="s">
        <v>856</v>
      </c>
      <c r="C646" s="193">
        <v>24</v>
      </c>
      <c r="D646" s="186" t="s">
        <v>103</v>
      </c>
      <c r="E646" s="90"/>
      <c r="F646" s="188"/>
      <c r="G646" s="189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90">
        <v>48</v>
      </c>
      <c r="Y646" s="189">
        <v>0.47426380216906799</v>
      </c>
      <c r="Z646" s="189">
        <v>0.40073619783093201</v>
      </c>
      <c r="AA646" s="189">
        <v>0.125</v>
      </c>
      <c r="AB646" s="189">
        <v>5.0442298208381503E-2</v>
      </c>
      <c r="AC646" s="188">
        <v>26.000131741856599</v>
      </c>
      <c r="AD646" s="190">
        <v>0.90009893702772403</v>
      </c>
      <c r="AE646" s="189">
        <v>2.8857281034103002</v>
      </c>
    </row>
    <row r="647" spans="1:31" ht="21.25" customHeight="1" x14ac:dyDescent="0.15">
      <c r="A647" s="9" t="s">
        <v>710</v>
      </c>
      <c r="B647" s="186" t="s">
        <v>856</v>
      </c>
      <c r="C647" s="193">
        <v>27</v>
      </c>
      <c r="D647" s="186" t="s">
        <v>103</v>
      </c>
      <c r="E647" s="90"/>
      <c r="F647" s="188"/>
      <c r="G647" s="189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90">
        <v>30</v>
      </c>
      <c r="Y647" s="189">
        <v>0.44870959029024698</v>
      </c>
      <c r="Z647" s="189">
        <v>0.42629040970975302</v>
      </c>
      <c r="AA647" s="189">
        <v>0.125</v>
      </c>
      <c r="AB647" s="189">
        <v>4.0036829290249099E-2</v>
      </c>
      <c r="AC647" s="188">
        <v>25.863865326650401</v>
      </c>
      <c r="AD647" s="190">
        <v>0.89538152802774496</v>
      </c>
      <c r="AE647" s="189">
        <v>3.0219945186164998</v>
      </c>
    </row>
    <row r="648" spans="1:31" ht="21.25" customHeight="1" x14ac:dyDescent="0.15">
      <c r="A648" s="9" t="s">
        <v>274</v>
      </c>
      <c r="B648" s="186" t="s">
        <v>839</v>
      </c>
      <c r="C648" s="193">
        <v>29</v>
      </c>
      <c r="D648" s="186" t="s">
        <v>103</v>
      </c>
      <c r="E648" s="90"/>
      <c r="F648" s="188"/>
      <c r="G648" s="189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90">
        <v>48</v>
      </c>
      <c r="Y648" s="189">
        <v>0.52604190614073498</v>
      </c>
      <c r="Z648" s="189">
        <v>0.34895809385926502</v>
      </c>
      <c r="AA648" s="189">
        <v>0.125</v>
      </c>
      <c r="AB648" s="189">
        <v>5.4052971965649302E-2</v>
      </c>
      <c r="AC648" s="188">
        <v>28.199027181669599</v>
      </c>
      <c r="AD648" s="190">
        <v>0.90752969957327401</v>
      </c>
      <c r="AE648" s="189">
        <v>2.8732641107574999</v>
      </c>
    </row>
    <row r="649" spans="1:31" ht="21.25" customHeight="1" x14ac:dyDescent="0.15">
      <c r="A649" s="9" t="s">
        <v>613</v>
      </c>
      <c r="B649" s="186" t="s">
        <v>839</v>
      </c>
      <c r="C649" s="193">
        <v>28</v>
      </c>
      <c r="D649" s="186" t="s">
        <v>103</v>
      </c>
      <c r="E649" s="90"/>
      <c r="F649" s="188"/>
      <c r="G649" s="189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90">
        <v>30</v>
      </c>
      <c r="Y649" s="189">
        <v>0.49373458693079397</v>
      </c>
      <c r="Z649" s="189">
        <v>0.38126541306920603</v>
      </c>
      <c r="AA649" s="189">
        <v>0.125</v>
      </c>
      <c r="AB649" s="189">
        <v>4.1610848583032399E-2</v>
      </c>
      <c r="AC649" s="188">
        <v>28.034090633745102</v>
      </c>
      <c r="AD649" s="190">
        <v>0.90222154426627399</v>
      </c>
      <c r="AE649" s="189">
        <v>3.0382006586819998</v>
      </c>
    </row>
    <row r="650" spans="1:31" ht="21.25" customHeight="1" x14ac:dyDescent="0.15">
      <c r="A650" s="9" t="s">
        <v>324</v>
      </c>
      <c r="B650" s="186" t="s">
        <v>855</v>
      </c>
      <c r="C650" s="193">
        <v>27</v>
      </c>
      <c r="D650" s="186" t="s">
        <v>103</v>
      </c>
      <c r="E650" s="90"/>
      <c r="F650" s="188"/>
      <c r="G650" s="189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90">
        <v>45</v>
      </c>
      <c r="Y650" s="189">
        <v>0.50748312809166296</v>
      </c>
      <c r="Z650" s="189">
        <v>0.36751687190833698</v>
      </c>
      <c r="AA650" s="189">
        <v>0.125</v>
      </c>
      <c r="AB650" s="189">
        <v>6.6859657653723994E-2</v>
      </c>
      <c r="AC650" s="188">
        <v>26.355360594333401</v>
      </c>
      <c r="AD650" s="190">
        <v>0.90800000000000003</v>
      </c>
      <c r="AE650" s="189">
        <v>2.6703669324654999</v>
      </c>
    </row>
    <row r="651" spans="1:31" ht="21.25" customHeight="1" x14ac:dyDescent="0.15">
      <c r="A651" s="9" t="s">
        <v>575</v>
      </c>
      <c r="B651" s="186" t="s">
        <v>855</v>
      </c>
      <c r="C651" s="193">
        <v>32</v>
      </c>
      <c r="D651" s="186" t="s">
        <v>103</v>
      </c>
      <c r="E651" s="90"/>
      <c r="F651" s="188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90">
        <v>35</v>
      </c>
      <c r="Y651" s="189">
        <v>0.469962501406746</v>
      </c>
      <c r="Z651" s="189">
        <v>0.405037498593254</v>
      </c>
      <c r="AA651" s="189">
        <v>0.125</v>
      </c>
      <c r="AB651" s="189">
        <v>5.24790915583647E-2</v>
      </c>
      <c r="AC651" s="188">
        <v>26.167063429930401</v>
      </c>
      <c r="AD651" s="190">
        <v>0.90151274953473104</v>
      </c>
      <c r="AE651" s="189">
        <v>2.8586640968685</v>
      </c>
    </row>
    <row r="652" spans="1:31" ht="21.25" customHeight="1" x14ac:dyDescent="0.15">
      <c r="A652" s="9" t="s">
        <v>625</v>
      </c>
      <c r="B652" s="186" t="s">
        <v>859</v>
      </c>
      <c r="C652" s="193">
        <v>27</v>
      </c>
      <c r="D652" s="186" t="s">
        <v>103</v>
      </c>
      <c r="E652" s="90"/>
      <c r="F652" s="188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90">
        <v>30</v>
      </c>
      <c r="Y652" s="189">
        <v>0.33816754074565097</v>
      </c>
      <c r="Z652" s="189">
        <v>0.53683245925434897</v>
      </c>
      <c r="AA652" s="189">
        <v>0.125</v>
      </c>
      <c r="AB652" s="189">
        <v>3.1050284376075599E-2</v>
      </c>
      <c r="AC652" s="188">
        <v>29.482710531720201</v>
      </c>
      <c r="AD652" s="190">
        <v>0.90299487226853803</v>
      </c>
      <c r="AE652" s="189">
        <v>3.1672096806201</v>
      </c>
    </row>
    <row r="653" spans="1:31" ht="21.25" customHeight="1" x14ac:dyDescent="0.15">
      <c r="A653" s="9" t="s">
        <v>350</v>
      </c>
      <c r="B653" s="186" t="s">
        <v>859</v>
      </c>
      <c r="C653" s="193">
        <v>22</v>
      </c>
      <c r="D653" s="186" t="s">
        <v>103</v>
      </c>
      <c r="E653" s="90"/>
      <c r="F653" s="188"/>
      <c r="G653" s="189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90">
        <v>45</v>
      </c>
      <c r="Y653" s="189">
        <v>0.350622161187158</v>
      </c>
      <c r="Z653" s="189">
        <v>0.52437783881284195</v>
      </c>
      <c r="AA653" s="189">
        <v>0.125</v>
      </c>
      <c r="AB653" s="189">
        <v>2.3648409944245E-2</v>
      </c>
      <c r="AC653" s="188">
        <v>29.515527871955602</v>
      </c>
      <c r="AD653" s="190">
        <v>0.90400000000000003</v>
      </c>
      <c r="AE653" s="189">
        <v>3.1343923403847</v>
      </c>
    </row>
    <row r="654" spans="1:31" ht="21.25" customHeight="1" x14ac:dyDescent="0.15">
      <c r="A654" s="9" t="s">
        <v>237</v>
      </c>
      <c r="B654" s="186" t="s">
        <v>848</v>
      </c>
      <c r="C654" s="193">
        <v>31</v>
      </c>
      <c r="D654" s="186" t="s">
        <v>103</v>
      </c>
      <c r="E654" s="90"/>
      <c r="F654" s="188"/>
      <c r="G654" s="189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90">
        <v>54</v>
      </c>
      <c r="Y654" s="189">
        <v>0.45814829344728702</v>
      </c>
      <c r="Z654" s="189">
        <v>0.41685170655271298</v>
      </c>
      <c r="AA654" s="189">
        <v>0.125</v>
      </c>
      <c r="AB654" s="189">
        <v>4.6408734205474103E-2</v>
      </c>
      <c r="AC654" s="188">
        <v>28.842893993034501</v>
      </c>
      <c r="AD654" s="190">
        <v>0.906510097344989</v>
      </c>
      <c r="AE654" s="189">
        <v>2.9746159028952999</v>
      </c>
    </row>
    <row r="655" spans="1:31" ht="21.25" customHeight="1" x14ac:dyDescent="0.15">
      <c r="A655" s="9" t="s">
        <v>671</v>
      </c>
      <c r="B655" s="186" t="s">
        <v>848</v>
      </c>
      <c r="C655" s="193">
        <v>23</v>
      </c>
      <c r="D655" s="186" t="s">
        <v>103</v>
      </c>
      <c r="E655" s="90"/>
      <c r="F655" s="188"/>
      <c r="G655" s="189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90">
        <v>26</v>
      </c>
      <c r="Y655" s="189">
        <v>0.44391990978566997</v>
      </c>
      <c r="Z655" s="189">
        <v>0.43108009021433003</v>
      </c>
      <c r="AA655" s="189">
        <v>0.125</v>
      </c>
      <c r="AB655" s="189">
        <v>4.2555954575169398E-2</v>
      </c>
      <c r="AC655" s="188">
        <v>28.791820081944099</v>
      </c>
      <c r="AD655" s="190">
        <v>0.90490488338395103</v>
      </c>
      <c r="AE655" s="189">
        <v>3.0256898139857</v>
      </c>
    </row>
    <row r="656" spans="1:31" ht="21.25" customHeight="1" x14ac:dyDescent="0.15">
      <c r="A656" s="9" t="s">
        <v>176</v>
      </c>
      <c r="B656" s="186" t="s">
        <v>827</v>
      </c>
      <c r="C656" s="193">
        <v>30</v>
      </c>
      <c r="D656" s="186" t="s">
        <v>103</v>
      </c>
      <c r="E656" s="90"/>
      <c r="F656" s="188"/>
      <c r="G656" s="189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90">
        <v>60</v>
      </c>
      <c r="Y656" s="189">
        <v>0.5634606517902</v>
      </c>
      <c r="Z656" s="189">
        <v>0.3115393482098</v>
      </c>
      <c r="AA656" s="189">
        <v>0.125</v>
      </c>
      <c r="AB656" s="189">
        <v>6.2380724480978297E-2</v>
      </c>
      <c r="AC656" s="188">
        <v>27.3838976720603</v>
      </c>
      <c r="AD656" s="190">
        <v>0.909337960419629</v>
      </c>
      <c r="AE656" s="189">
        <v>2.7302060649305</v>
      </c>
    </row>
    <row r="657" spans="1:31" ht="21.25" customHeight="1" x14ac:dyDescent="0.15">
      <c r="A657" s="9" t="s">
        <v>776</v>
      </c>
      <c r="B657" s="186" t="s">
        <v>827</v>
      </c>
      <c r="C657" s="193">
        <v>28</v>
      </c>
      <c r="D657" s="186" t="s">
        <v>103</v>
      </c>
      <c r="E657" s="90"/>
      <c r="F657" s="188"/>
      <c r="G657" s="189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90">
        <v>20</v>
      </c>
      <c r="Y657" s="189">
        <v>0.49931796577528498</v>
      </c>
      <c r="Z657" s="189">
        <v>0.37568203422471502</v>
      </c>
      <c r="AA657" s="189">
        <v>0.125</v>
      </c>
      <c r="AB657" s="189">
        <v>3.5865455928689803E-2</v>
      </c>
      <c r="AC657" s="188">
        <v>27.0365586515478</v>
      </c>
      <c r="AD657" s="190">
        <v>0.89780386252496303</v>
      </c>
      <c r="AE657" s="189">
        <v>3.077545085443</v>
      </c>
    </row>
    <row r="658" spans="1:31" ht="21.25" customHeight="1" x14ac:dyDescent="0.15">
      <c r="A658" s="9" t="s">
        <v>285</v>
      </c>
      <c r="B658" s="186" t="s">
        <v>826</v>
      </c>
      <c r="C658" s="193">
        <v>26</v>
      </c>
      <c r="D658" s="186" t="s">
        <v>103</v>
      </c>
      <c r="E658" s="90"/>
      <c r="F658" s="188"/>
      <c r="G658" s="189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90">
        <v>44</v>
      </c>
      <c r="Y658" s="189">
        <v>0.63032694512305298</v>
      </c>
      <c r="Z658" s="189">
        <v>0.24467305487694699</v>
      </c>
      <c r="AA658" s="189">
        <v>0.125</v>
      </c>
      <c r="AB658" s="189">
        <v>6.1557421839177999E-2</v>
      </c>
      <c r="AC658" s="188">
        <v>26.9377836739835</v>
      </c>
      <c r="AD658" s="190">
        <v>0.90768339506298401</v>
      </c>
      <c r="AE658" s="189">
        <v>2.7397270312930999</v>
      </c>
    </row>
    <row r="659" spans="1:31" ht="21.25" customHeight="1" x14ac:dyDescent="0.15">
      <c r="A659" s="9" t="s">
        <v>418</v>
      </c>
      <c r="B659" s="186" t="s">
        <v>826</v>
      </c>
      <c r="C659" s="193">
        <v>30</v>
      </c>
      <c r="D659" s="186" t="s">
        <v>103</v>
      </c>
      <c r="E659" s="90"/>
      <c r="F659" s="188"/>
      <c r="G659" s="189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90">
        <v>36</v>
      </c>
      <c r="Y659" s="189">
        <v>0.63621501835213001</v>
      </c>
      <c r="Z659" s="189">
        <v>0.23878498164786999</v>
      </c>
      <c r="AA659" s="189">
        <v>0.125</v>
      </c>
      <c r="AB659" s="189">
        <v>6.3649431902526393E-2</v>
      </c>
      <c r="AC659" s="188">
        <v>26.965175501070899</v>
      </c>
      <c r="AD659" s="190">
        <v>0.90860637769988295</v>
      </c>
      <c r="AE659" s="189">
        <v>2.7123352042056998</v>
      </c>
    </row>
    <row r="660" spans="1:31" ht="21.25" customHeight="1" x14ac:dyDescent="0.15">
      <c r="A660" s="9" t="s">
        <v>196</v>
      </c>
      <c r="B660" s="186" t="s">
        <v>835</v>
      </c>
      <c r="C660" s="193">
        <v>28</v>
      </c>
      <c r="D660" s="186" t="s">
        <v>103</v>
      </c>
      <c r="E660" s="90"/>
      <c r="F660" s="188"/>
      <c r="G660" s="189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90">
        <v>56</v>
      </c>
      <c r="Y660" s="189">
        <v>0.62428268899667405</v>
      </c>
      <c r="Z660" s="189">
        <v>0.250717311003326</v>
      </c>
      <c r="AA660" s="189">
        <v>0.125</v>
      </c>
      <c r="AB660" s="189">
        <v>7.45197880798356E-2</v>
      </c>
      <c r="AC660" s="188">
        <v>26.1902229363257</v>
      </c>
      <c r="AD660" s="190">
        <v>0.91069096166168695</v>
      </c>
      <c r="AE660" s="189">
        <v>2.5684054446323001</v>
      </c>
    </row>
    <row r="661" spans="1:31" ht="21.25" customHeight="1" x14ac:dyDescent="0.15">
      <c r="A661" s="9" t="s">
        <v>760</v>
      </c>
      <c r="B661" s="186" t="s">
        <v>835</v>
      </c>
      <c r="C661" s="193">
        <v>23</v>
      </c>
      <c r="D661" s="186" t="s">
        <v>103</v>
      </c>
      <c r="E661" s="90"/>
      <c r="F661" s="188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90">
        <v>22</v>
      </c>
      <c r="Y661" s="189">
        <v>0.56334806978963503</v>
      </c>
      <c r="Z661" s="189">
        <v>0.31165193021036502</v>
      </c>
      <c r="AA661" s="189">
        <v>0.125</v>
      </c>
      <c r="AB661" s="189">
        <v>5.0738027077435001E-2</v>
      </c>
      <c r="AC661" s="188">
        <v>25.879029037338299</v>
      </c>
      <c r="AD661" s="190">
        <v>0.89987007358367799</v>
      </c>
      <c r="AE661" s="189">
        <v>2.8795993436197</v>
      </c>
    </row>
    <row r="662" spans="1:31" ht="21.25" customHeight="1" x14ac:dyDescent="0.15">
      <c r="A662" s="9" t="s">
        <v>276</v>
      </c>
      <c r="B662" s="186" t="s">
        <v>841</v>
      </c>
      <c r="C662" s="193">
        <v>28</v>
      </c>
      <c r="D662" s="186" t="s">
        <v>103</v>
      </c>
      <c r="E662" s="90"/>
      <c r="F662" s="188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90">
        <v>48</v>
      </c>
      <c r="Y662" s="189">
        <v>0.55722814896498596</v>
      </c>
      <c r="Z662" s="189">
        <v>0.31777185103501399</v>
      </c>
      <c r="AA662" s="189">
        <v>0.125</v>
      </c>
      <c r="AB662" s="189">
        <v>6.6700396417831903E-2</v>
      </c>
      <c r="AC662" s="188">
        <v>26.725024473226402</v>
      </c>
      <c r="AD662" s="190">
        <v>0.909064073990419</v>
      </c>
      <c r="AE662" s="189">
        <v>2.6733702470869001</v>
      </c>
    </row>
    <row r="663" spans="1:31" ht="21.25" customHeight="1" x14ac:dyDescent="0.15">
      <c r="A663" s="9" t="s">
        <v>602</v>
      </c>
      <c r="B663" s="186" t="s">
        <v>841</v>
      </c>
      <c r="C663" s="193">
        <v>27</v>
      </c>
      <c r="D663" s="186" t="s">
        <v>103</v>
      </c>
      <c r="E663" s="90"/>
      <c r="F663" s="188"/>
      <c r="G663" s="189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90">
        <v>30</v>
      </c>
      <c r="Y663" s="189">
        <v>0.53532439837753099</v>
      </c>
      <c r="Z663" s="189">
        <v>0.33967560162246901</v>
      </c>
      <c r="AA663" s="189">
        <v>0.125</v>
      </c>
      <c r="AB663" s="189">
        <v>5.7578854176257001E-2</v>
      </c>
      <c r="AC663" s="188">
        <v>26.605547221883501</v>
      </c>
      <c r="AD663" s="190">
        <v>0.90500000000000003</v>
      </c>
      <c r="AE663" s="189">
        <v>2.7928474984298002</v>
      </c>
    </row>
    <row r="664" spans="1:31" ht="21.25" customHeight="1" x14ac:dyDescent="0.15">
      <c r="A664" s="9" t="s">
        <v>148</v>
      </c>
      <c r="B664" s="186" t="s">
        <v>838</v>
      </c>
      <c r="C664" s="193">
        <v>31</v>
      </c>
      <c r="D664" s="186" t="s">
        <v>103</v>
      </c>
      <c r="E664" s="90"/>
      <c r="F664" s="188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90">
        <v>60</v>
      </c>
      <c r="Y664" s="189">
        <v>0.59468940508212598</v>
      </c>
      <c r="Z664" s="189">
        <v>0.28031059491787402</v>
      </c>
      <c r="AA664" s="189">
        <v>0.125</v>
      </c>
      <c r="AB664" s="189">
        <v>8.39716788048223E-2</v>
      </c>
      <c r="AC664" s="188">
        <v>26.905840581110599</v>
      </c>
      <c r="AD664" s="190">
        <v>0.91666362478637597</v>
      </c>
      <c r="AE664" s="189">
        <v>2.4460829092327998</v>
      </c>
    </row>
    <row r="665" spans="1:31" ht="21.25" customHeight="1" x14ac:dyDescent="0.15">
      <c r="A665" s="9" t="s">
        <v>780</v>
      </c>
      <c r="B665" s="186" t="s">
        <v>838</v>
      </c>
      <c r="C665" s="193">
        <v>27</v>
      </c>
      <c r="D665" s="186" t="s">
        <v>103</v>
      </c>
      <c r="E665" s="90"/>
      <c r="F665" s="188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90">
        <v>20</v>
      </c>
      <c r="Y665" s="189">
        <v>0.470225342529695</v>
      </c>
      <c r="Z665" s="189">
        <v>0.404774657470305</v>
      </c>
      <c r="AA665" s="189">
        <v>0.125</v>
      </c>
      <c r="AB665" s="189">
        <v>4.2130481880705797E-2</v>
      </c>
      <c r="AC665" s="188">
        <v>26.358027294328402</v>
      </c>
      <c r="AD665" s="190">
        <v>0.89800000000000002</v>
      </c>
      <c r="AE665" s="189">
        <v>2.9938961960150001</v>
      </c>
    </row>
    <row r="666" spans="1:31" ht="21.25" customHeight="1" x14ac:dyDescent="0.15">
      <c r="A666" s="9" t="s">
        <v>317</v>
      </c>
      <c r="B666" s="186" t="s">
        <v>844</v>
      </c>
      <c r="C666" s="193">
        <v>30</v>
      </c>
      <c r="D666" s="186" t="s">
        <v>103</v>
      </c>
      <c r="E666" s="90"/>
      <c r="F666" s="188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90">
        <v>45</v>
      </c>
      <c r="Y666" s="189">
        <v>0.48592135125964703</v>
      </c>
      <c r="Z666" s="189">
        <v>0.38907864874035297</v>
      </c>
      <c r="AA666" s="189">
        <v>0.125</v>
      </c>
      <c r="AB666" s="189">
        <v>5.3533112647131197E-2</v>
      </c>
      <c r="AC666" s="188">
        <v>27.668369293690802</v>
      </c>
      <c r="AD666" s="190">
        <v>0.90700019182376801</v>
      </c>
      <c r="AE666" s="189">
        <v>2.8369928254242001</v>
      </c>
    </row>
    <row r="667" spans="1:31" ht="21.25" customHeight="1" x14ac:dyDescent="0.15">
      <c r="A667" s="9" t="s">
        <v>509</v>
      </c>
      <c r="B667" s="186" t="s">
        <v>844</v>
      </c>
      <c r="C667" s="193">
        <v>27</v>
      </c>
      <c r="D667" s="186" t="s">
        <v>103</v>
      </c>
      <c r="E667" s="90"/>
      <c r="F667" s="188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90">
        <v>35</v>
      </c>
      <c r="Y667" s="189">
        <v>0.47102911292527999</v>
      </c>
      <c r="Z667" s="189">
        <v>0.40397088707472001</v>
      </c>
      <c r="AA667" s="189">
        <v>0.125</v>
      </c>
      <c r="AB667" s="189">
        <v>4.6524040781343999E-2</v>
      </c>
      <c r="AC667" s="188">
        <v>27.576847355679998</v>
      </c>
      <c r="AD667" s="190">
        <v>0.90400000000000003</v>
      </c>
      <c r="AE667" s="189">
        <v>2.9285147634349999</v>
      </c>
    </row>
  </sheetData>
  <mergeCells count="2">
    <mergeCell ref="F1:V1"/>
    <mergeCell ref="X1:AE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E666"/>
  <sheetViews>
    <sheetView showGridLines="0" workbookViewId="0">
      <pane ySplit="1" topLeftCell="A2" activePane="bottomLeft" state="frozen"/>
      <selection pane="bottomLeft"/>
    </sheetView>
  </sheetViews>
  <sheetFormatPr baseColWidth="10" defaultColWidth="8" defaultRowHeight="16.25" customHeight="1" x14ac:dyDescent="0.15"/>
  <cols>
    <col min="1" max="1" width="28.33203125" style="1" customWidth="1"/>
    <col min="2" max="3" width="8.33203125" style="1" customWidth="1"/>
    <col min="4" max="21" width="7.1640625" style="1" customWidth="1"/>
    <col min="22" max="22" width="2.33203125" style="1" customWidth="1"/>
    <col min="23" max="30" width="7.1640625" style="1" customWidth="1"/>
    <col min="31" max="31" width="2.33203125" style="1" customWidth="1"/>
    <col min="32" max="32" width="8" style="1" customWidth="1"/>
    <col min="33" max="16384" width="8" style="1"/>
  </cols>
  <sheetData>
    <row r="1" spans="1:31" ht="28.25" customHeight="1" x14ac:dyDescent="0.15">
      <c r="A1" s="38" t="s">
        <v>89</v>
      </c>
      <c r="B1" s="39" t="s">
        <v>92</v>
      </c>
      <c r="C1" s="41" t="s">
        <v>95</v>
      </c>
      <c r="D1" s="44" t="s">
        <v>102</v>
      </c>
      <c r="E1" s="44" t="s">
        <v>55</v>
      </c>
      <c r="F1" s="44" t="s">
        <v>103</v>
      </c>
      <c r="G1" s="44" t="s">
        <v>104</v>
      </c>
      <c r="H1" s="44" t="s">
        <v>105</v>
      </c>
      <c r="I1" s="44" t="s">
        <v>106</v>
      </c>
      <c r="J1" s="44" t="s">
        <v>107</v>
      </c>
      <c r="K1" s="44" t="s">
        <v>63</v>
      </c>
      <c r="L1" s="44" t="s">
        <v>108</v>
      </c>
      <c r="M1" s="44" t="s">
        <v>109</v>
      </c>
      <c r="N1" s="44" t="s">
        <v>110</v>
      </c>
      <c r="O1" s="44" t="s">
        <v>111</v>
      </c>
      <c r="P1" s="44" t="s">
        <v>112</v>
      </c>
      <c r="Q1" s="44" t="s">
        <v>113</v>
      </c>
      <c r="R1" s="44" t="s">
        <v>114</v>
      </c>
      <c r="S1" s="44" t="s">
        <v>115</v>
      </c>
      <c r="T1" s="44" t="s">
        <v>116</v>
      </c>
      <c r="U1" s="44" t="s">
        <v>117</v>
      </c>
      <c r="V1" s="42"/>
      <c r="W1" s="44" t="s">
        <v>102</v>
      </c>
      <c r="X1" s="44" t="s">
        <v>118</v>
      </c>
      <c r="Y1" s="44" t="s">
        <v>119</v>
      </c>
      <c r="Z1" s="44" t="s">
        <v>120</v>
      </c>
      <c r="AA1" s="44" t="s">
        <v>121</v>
      </c>
      <c r="AB1" s="44" t="s">
        <v>122</v>
      </c>
      <c r="AC1" s="44" t="s">
        <v>124</v>
      </c>
      <c r="AD1" s="44" t="s">
        <v>125</v>
      </c>
      <c r="AE1" s="42"/>
    </row>
    <row r="2" spans="1:31" ht="21.25" customHeight="1" x14ac:dyDescent="0.15">
      <c r="A2" s="9" t="s">
        <v>126</v>
      </c>
      <c r="B2" s="65" t="str">
        <f>VLOOKUP(A2,'Player Data'!A1:B667,2,FALSE)</f>
        <v>EDM</v>
      </c>
      <c r="C2" s="51">
        <f>((E2)*Settings!$C$12)+(F2*Settings!$C$2)+(G2*Settings!$C$3)+(H2*Settings!$C$4)+(I2*Settings!$C$5)+(K2*Settings!$C$9)+(N2*Settings!$C$6)+(J2*Settings!$C$8)+(O2*Settings!$C$7)+(P2*Settings!$C$14)+(Q2*Settings!$C$15)+(R2*Settings!$C$16)+(S2*Settings!$C$17)+(T2*Settings!$C$18)+(U2*Settings!$C$19)+(L2*Settings!$C$10)+(Settings!$C$11*M2)</f>
        <v>17.888068165152962</v>
      </c>
      <c r="D2" s="56">
        <f>IF(Settings!$E$12="YES",VLOOKUP(A2,'Player Data'!A1:E667,5,FALSE),82)</f>
        <v>80.765000000000001</v>
      </c>
      <c r="E2" s="54">
        <f>(VLOOKUP($A2,'The List'!$B1:$AH665,17,FALSE)-AVERAGE('The List'!R2:R665))/STDEV('The List'!R2:R665)</f>
        <v>1.296044148402471</v>
      </c>
      <c r="F2" s="54">
        <f>(VLOOKUP($A2,'The List'!$B1:$AH665,18,FALSE)-AVERAGE('The List'!S2:S665))/STDEV('The List'!S2:S665)</f>
        <v>3.122291044378076</v>
      </c>
      <c r="G2" s="54">
        <f>(VLOOKUP($A2,'The List'!$B1:$AH665,19,FALSE)-AVERAGE('The List'!T2:T665))/STDEV('The List'!T2:T665)</f>
        <v>5.0199721864946651</v>
      </c>
      <c r="H2" s="54">
        <f>(VLOOKUP($A2,'The List'!$B1:$AH665,20,FALSE)-AVERAGE('The List'!U2:U665))/STDEV('The List'!U2:U665)</f>
        <v>4.5369146854581608</v>
      </c>
      <c r="I2" s="54">
        <f>(VLOOKUP($A2,'The List'!$B1:$AH665,21,FALSE)-AVERAGE('The List'!V2:V665))/STDEV('The List'!V2:V665)</f>
        <v>2.7740918230099862</v>
      </c>
      <c r="J2" s="54">
        <f>(VLOOKUP($A2,'The List'!$B1:$AH665,22,FALSE)-AVERAGE('The List'!W2:W665))/STDEV('The List'!W2:W665)</f>
        <v>2.4680538191764834</v>
      </c>
      <c r="K2" s="54">
        <f>(VLOOKUP($A2,'The List'!$B1:$AH665,23,FALSE)-AVERAGE('The List'!X2:X665))/STDEV('The List'!X2:X665)</f>
        <v>4.4833405354685567</v>
      </c>
      <c r="L2" s="54">
        <f>(VLOOKUP($A2,'The List'!$B1:$AH665,24,FALSE)-AVERAGE('The List'!Y2:Y665))/STDEV('The List'!Y2:Y665)</f>
        <v>1.0302393448639002</v>
      </c>
      <c r="M2" s="54">
        <f>(VLOOKUP($A2,'The List'!$B1:$AH665,25,FALSE)-AVERAGE('The List'!Z2:Z665))/STDEV('The List'!Z2:Z665)</f>
        <v>0.96706723106808068</v>
      </c>
      <c r="N2" s="54">
        <f>(VLOOKUP($A2,'The List'!$B1:$AH665,26,FALSE)-AVERAGE('The List'!AA2:AA665))/STDEV('The List'!AA2:AA665)</f>
        <v>-0.59716784934306466</v>
      </c>
      <c r="O2" s="54">
        <f>(VLOOKUP($A2,'The List'!$B1:$AH665,27,FALSE)-AVERAGE('The List'!AB2:AB665))/STDEV('The List'!AB2:AB665)</f>
        <v>0.33883283779515477</v>
      </c>
      <c r="P2" s="54">
        <f>(VLOOKUP($A2,'The List'!$B1:$AH665,28,FALSE)-AVERAGE('The List'!AC2:AC665))/STDEV('The List'!AC2:AC665)</f>
        <v>3.0855404251447438</v>
      </c>
      <c r="Q2" s="54">
        <f>(VLOOKUP($A2,'The List'!$B1:$AH665,29,FALSE)-AVERAGE('The List'!AD2:AD665))/STDEV('The List'!AD2:AD665)</f>
        <v>0.19264921126973283</v>
      </c>
      <c r="R2" s="54">
        <f>(VLOOKUP($A2,'The List'!$B1:$AH665,30,FALSE)-AVERAGE('The List'!AE2:AE665))/STDEV('The List'!AE2:AE665)</f>
        <v>3.3431972537554153</v>
      </c>
      <c r="S2" s="54">
        <f>(VLOOKUP($A2,'The List'!$B1:$AH665,31,FALSE)-AVERAGE('The List'!AF2:AF665))/STDEV('The List'!AF2:AF665)</f>
        <v>1.80909247380116</v>
      </c>
      <c r="T2" s="54">
        <f>(VLOOKUP($A2,'The List'!$B1:$AH665,32,FALSE)-AVERAGE('The List'!AG2:AG665))/STDEV('The List'!AG2:AG665)</f>
        <v>1.7122933892162959</v>
      </c>
      <c r="U2" s="54">
        <f>(VLOOKUP($A2,'The List'!$B1:$AH665,33,FALSE)-AVERAGE('The List'!AH2:AH665))/STDEV('The List'!AH2:AH665)</f>
        <v>1.1265361475762237</v>
      </c>
      <c r="V2" s="54"/>
      <c r="W2" s="64"/>
      <c r="X2" s="56"/>
      <c r="Y2" s="56"/>
      <c r="Z2" s="56"/>
      <c r="AA2" s="56"/>
      <c r="AB2" s="56"/>
      <c r="AC2" s="59"/>
      <c r="AD2" s="60"/>
      <c r="AE2" s="54"/>
    </row>
    <row r="3" spans="1:31" ht="21.25" customHeight="1" x14ac:dyDescent="0.15">
      <c r="A3" s="9" t="s">
        <v>129</v>
      </c>
      <c r="B3" s="65" t="str">
        <f>VLOOKUP(A3,'Player Data'!A1:B667,2,FALSE)</f>
        <v>T.B</v>
      </c>
      <c r="C3" s="51">
        <f>((E3)*Settings!$C$12)+(F3*Settings!$C$2)+(G3*Settings!$C$3)+(H3*Settings!$C$4)+(I3*Settings!$C$5)+(K3*Settings!$C$9)+(N3*Settings!$C$6)+(J3*Settings!$C$8)+(O3*Settings!$C$7)+(P3*Settings!$C$14)+(Q3*Settings!$C$15)+(R3*Settings!$C$16)+(S3*Settings!$C$17)+(T3*Settings!$C$18)+(U3*Settings!$C$19)+(L3*Settings!$C$10)+(Settings!$C$11*M3)</f>
        <v>13.21377483414707</v>
      </c>
      <c r="D3" s="56">
        <f>IF(Settings!$E$12="YES",VLOOKUP(A3,'Player Data'!A1:E667,5,FALSE),82)</f>
        <v>78.352500000000006</v>
      </c>
      <c r="E3" s="54">
        <f>(VLOOKUP($A3,'The List'!$B1:$AH665,17,FALSE)-AVERAGE('The List'!R2:R665))/STDEV('The List'!R2:R665)</f>
        <v>1.3137075554112754</v>
      </c>
      <c r="F3" s="54">
        <f>(VLOOKUP($A3,'The List'!$B1:$AH665,18,FALSE)-AVERAGE('The List'!S2:S665))/STDEV('The List'!S2:S665)</f>
        <v>2.3112323104104746</v>
      </c>
      <c r="G3" s="54">
        <f>(VLOOKUP($A3,'The List'!$B1:$AH665,19,FALSE)-AVERAGE('The List'!T2:T665))/STDEV('The List'!T2:T665)</f>
        <v>4.3795225644977602</v>
      </c>
      <c r="H3" s="54">
        <f>(VLOOKUP($A3,'The List'!$B1:$AH665,20,FALSE)-AVERAGE('The List'!U2:U665))/STDEV('The List'!U2:U665)</f>
        <v>3.7704947116191732</v>
      </c>
      <c r="I3" s="54">
        <f>(VLOOKUP($A3,'The List'!$B1:$AH665,21,FALSE)-AVERAGE('The List'!V2:V665))/STDEV('The List'!V2:V665)</f>
        <v>2.5178900487734843</v>
      </c>
      <c r="J3" s="54">
        <f>(VLOOKUP($A3,'The List'!$B1:$AH665,22,FALSE)-AVERAGE('The List'!W2:W665))/STDEV('The List'!W2:W665)</f>
        <v>2.0391098117487592</v>
      </c>
      <c r="K3" s="54">
        <f>(VLOOKUP($A3,'The List'!$B1:$AH665,23,FALSE)-AVERAGE('The List'!X2:X665))/STDEV('The List'!X2:X665)</f>
        <v>3.8579087894455388</v>
      </c>
      <c r="L3" s="54">
        <f>(VLOOKUP($A3,'The List'!$B1:$AH665,24,FALSE)-AVERAGE('The List'!Y2:Y665))/STDEV('The List'!Y2:Y665)</f>
        <v>-0.57381282484719487</v>
      </c>
      <c r="M3" s="54">
        <f>(VLOOKUP($A3,'The List'!$B1:$AH665,25,FALSE)-AVERAGE('The List'!Z2:Z665))/STDEV('The List'!Z2:Z665)</f>
        <v>-0.74743343135126183</v>
      </c>
      <c r="N3" s="54">
        <f>(VLOOKUP($A3,'The List'!$B1:$AH665,26,FALSE)-AVERAGE('The List'!AA2:AA665))/STDEV('The List'!AA2:AA665)</f>
        <v>-0.77436300612332332</v>
      </c>
      <c r="O3" s="54">
        <f>(VLOOKUP($A3,'The List'!$B1:$AH665,27,FALSE)-AVERAGE('The List'!AB2:AB665))/STDEV('The List'!AB2:AB665)</f>
        <v>-0.86323285040714692</v>
      </c>
      <c r="P3" s="54">
        <f>(VLOOKUP($A3,'The List'!$B1:$AH665,28,FALSE)-AVERAGE('The List'!AC2:AC665))/STDEV('The List'!AC2:AC665)</f>
        <v>0.92158412714313687</v>
      </c>
      <c r="Q3" s="54">
        <f>(VLOOKUP($A3,'The List'!$B1:$AH665,29,FALSE)-AVERAGE('The List'!AD2:AD665))/STDEV('The List'!AD2:AD665)</f>
        <v>-5.0632917903515005E-2</v>
      </c>
      <c r="R3" s="54">
        <f>(VLOOKUP($A3,'The List'!$B1:$AH665,30,FALSE)-AVERAGE('The List'!AE2:AE665))/STDEV('The List'!AE2:AE665)</f>
        <v>2.4110161448176477</v>
      </c>
      <c r="S3" s="54">
        <f>(VLOOKUP($A3,'The List'!$B1:$AH665,31,FALSE)-AVERAGE('The List'!AF2:AF665))/STDEV('The List'!AF2:AF665)</f>
        <v>-0.56131889870910145</v>
      </c>
      <c r="T3" s="54">
        <f>(VLOOKUP($A3,'The List'!$B1:$AH665,32,FALSE)-AVERAGE('The List'!AG2:AG665))/STDEV('The List'!AG2:AG665)</f>
        <v>-0.62157956682215032</v>
      </c>
      <c r="U3" s="54">
        <f>(VLOOKUP($A3,'The List'!$B1:$AH665,33,FALSE)-AVERAGE('The List'!AH2:AH665))/STDEV('The List'!AH2:AH665)</f>
        <v>2.2201102752556539</v>
      </c>
      <c r="V3" s="54"/>
      <c r="W3" s="56"/>
      <c r="X3" s="56"/>
      <c r="Y3" s="56"/>
      <c r="Z3" s="56"/>
      <c r="AA3" s="56"/>
      <c r="AB3" s="56"/>
      <c r="AC3" s="59"/>
      <c r="AD3" s="60"/>
      <c r="AE3" s="54"/>
    </row>
    <row r="4" spans="1:31" ht="21.25" customHeight="1" x14ac:dyDescent="0.15">
      <c r="A4" s="9" t="s">
        <v>128</v>
      </c>
      <c r="B4" s="65" t="str">
        <f>VLOOKUP(A4,'Player Data'!A1:B667,2,FALSE)</f>
        <v>COL</v>
      </c>
      <c r="C4" s="51">
        <f>((E4)*Settings!$C$12)+(F4*Settings!$C$2)+(G4*Settings!$C$3)+(H4*Settings!$C$4)+(I4*Settings!$C$5)+(K4*Settings!$C$9)+(N4*Settings!$C$6)+(J4*Settings!$C$8)+(O4*Settings!$C$7)+(P4*Settings!$C$14)+(Q4*Settings!$C$15)+(R4*Settings!$C$16)+(S4*Settings!$C$17)+(T4*Settings!$C$18)+(U4*Settings!$C$19)+(L4*Settings!$C$10)+(Settings!$C$11*M4)</f>
        <v>16.239106125557399</v>
      </c>
      <c r="D4" s="56">
        <f>IF(Settings!$E$12="YES",VLOOKUP(A4,'Player Data'!A1:E667,5,FALSE),82)</f>
        <v>78.817499999999995</v>
      </c>
      <c r="E4" s="54">
        <f>(VLOOKUP($A4,'The List'!$B1:$AH665,17,FALSE)-AVERAGE('The List'!R2:R665))/STDEV('The List'!R2:R665)</f>
        <v>1.4882813040465515</v>
      </c>
      <c r="F4" s="54">
        <f>(VLOOKUP($A4,'The List'!$B1:$AH665,18,FALSE)-AVERAGE('The List'!S2:S665))/STDEV('The List'!S2:S665)</f>
        <v>3.1558242532416227</v>
      </c>
      <c r="G4" s="54">
        <f>(VLOOKUP($A4,'The List'!$B1:$AH665,19,FALSE)-AVERAGE('The List'!T2:T665))/STDEV('The List'!T2:T665)</f>
        <v>3.9280241716237221</v>
      </c>
      <c r="H4" s="54">
        <f>(VLOOKUP($A4,'The List'!$B1:$AH665,20,FALSE)-AVERAGE('The List'!U2:U665))/STDEV('The List'!U2:U665)</f>
        <v>3.873996007435653</v>
      </c>
      <c r="I4" s="54">
        <f>(VLOOKUP($A4,'The List'!$B1:$AH665,21,FALSE)-AVERAGE('The List'!V2:V665))/STDEV('The List'!V2:V665)</f>
        <v>4.0732318250412041</v>
      </c>
      <c r="J4" s="54">
        <f>(VLOOKUP($A4,'The List'!$B1:$AH665,22,FALSE)-AVERAGE('The List'!W2:W665))/STDEV('The List'!W2:W665)</f>
        <v>2.0018448490018175</v>
      </c>
      <c r="K4" s="54">
        <f>(VLOOKUP($A4,'The List'!$B1:$AH665,23,FALSE)-AVERAGE('The List'!X2:X665))/STDEV('The List'!X2:X665)</f>
        <v>3.1665009104016439</v>
      </c>
      <c r="L4" s="54">
        <f>(VLOOKUP($A4,'The List'!$B1:$AH665,24,FALSE)-AVERAGE('The List'!Y2:Y665))/STDEV('The List'!Y2:Y665)</f>
        <v>-0.54081249175950663</v>
      </c>
      <c r="M4" s="54">
        <f>(VLOOKUP($A4,'The List'!$B1:$AH665,25,FALSE)-AVERAGE('The List'!Z2:Z665))/STDEV('The List'!Z2:Z665)</f>
        <v>-0.71368166277148415</v>
      </c>
      <c r="N4" s="54">
        <f>(VLOOKUP($A4,'The List'!$B1:$AH665,26,FALSE)-AVERAGE('The List'!AA2:AA665))/STDEV('The List'!AA2:AA665)</f>
        <v>-0.16965202616424041</v>
      </c>
      <c r="O4" s="54">
        <f>(VLOOKUP($A4,'The List'!$B1:$AH665,27,FALSE)-AVERAGE('The List'!AB2:AB665))/STDEV('The List'!AB2:AB665)</f>
        <v>-0.75524520317743382</v>
      </c>
      <c r="P4" s="54">
        <f>(VLOOKUP($A4,'The List'!$B1:$AH665,28,FALSE)-AVERAGE('The List'!AC2:AC665))/STDEV('The List'!AC2:AC665)</f>
        <v>2.0851769914134461</v>
      </c>
      <c r="Q4" s="54">
        <f>(VLOOKUP($A4,'The List'!$B1:$AH665,29,FALSE)-AVERAGE('The List'!AD2:AD665))/STDEV('The List'!AD2:AD665)</f>
        <v>0.39820129272951976</v>
      </c>
      <c r="R4" s="54">
        <f>(VLOOKUP($A4,'The List'!$B1:$AH665,30,FALSE)-AVERAGE('The List'!AE2:AE665))/STDEV('The List'!AE2:AE665)</f>
        <v>3.0303127212979644</v>
      </c>
      <c r="S4" s="54">
        <f>(VLOOKUP($A4,'The List'!$B1:$AH665,31,FALSE)-AVERAGE('The List'!AF2:AF665))/STDEV('The List'!AF2:AF665)</f>
        <v>2.1103795991176599</v>
      </c>
      <c r="T4" s="54">
        <f>(VLOOKUP($A4,'The List'!$B1:$AH665,32,FALSE)-AVERAGE('The List'!AG2:AG665))/STDEV('The List'!AG2:AG665)</f>
        <v>2.8009045450216408</v>
      </c>
      <c r="U4" s="54">
        <f>(VLOOKUP($A4,'The List'!$B1:$AH665,33,FALSE)-AVERAGE('The List'!AH2:AH665))/STDEV('The List'!AH2:AH665)</f>
        <v>0.82886936555539459</v>
      </c>
      <c r="V4" s="54"/>
      <c r="W4" s="64"/>
      <c r="X4" s="56"/>
      <c r="Y4" s="56"/>
      <c r="Z4" s="56"/>
      <c r="AA4" s="56"/>
      <c r="AB4" s="56"/>
      <c r="AC4" s="59"/>
      <c r="AD4" s="60"/>
      <c r="AE4" s="54"/>
    </row>
    <row r="5" spans="1:31" ht="21.25" customHeight="1" x14ac:dyDescent="0.15">
      <c r="A5" s="9" t="s">
        <v>136</v>
      </c>
      <c r="B5" s="65" t="str">
        <f>VLOOKUP(A5,'Player Data'!A1:B667,2,FALSE)</f>
        <v>N.J</v>
      </c>
      <c r="C5" s="51">
        <f>((E5)*Settings!$C$12)+(F5*Settings!$C$2)+(G5*Settings!$C$3)+(H5*Settings!$C$4)+(I5*Settings!$C$5)+(K5*Settings!$C$9)+(N5*Settings!$C$6)+(J5*Settings!$C$8)+(O5*Settings!$C$7)+(P5*Settings!$C$14)+(Q5*Settings!$C$15)+(R5*Settings!$C$16)+(S5*Settings!$C$17)+(T5*Settings!$C$18)+(U5*Settings!$C$19)+(L5*Settings!$C$10)+(Settings!$C$11*M5)</f>
        <v>11.225703568963125</v>
      </c>
      <c r="D5" s="56">
        <f>IF(Settings!$E$12="YES",VLOOKUP(A5,'Player Data'!A1:E667,5,FALSE),82)</f>
        <v>74.63</v>
      </c>
      <c r="E5" s="54">
        <f>(VLOOKUP($A5,'The List'!$B1:$AH665,17,FALSE)-AVERAGE('The List'!R2:R665))/STDEV('The List'!R2:R665)</f>
        <v>1.1507817582102726</v>
      </c>
      <c r="F5" s="54">
        <f>(VLOOKUP($A5,'The List'!$B1:$AH665,18,FALSE)-AVERAGE('The List'!S2:S665))/STDEV('The List'!S2:S665)</f>
        <v>2.6405468581181486</v>
      </c>
      <c r="G5" s="54">
        <f>(VLOOKUP($A5,'The List'!$B1:$AH665,19,FALSE)-AVERAGE('The List'!T2:T665))/STDEV('The List'!T2:T665)</f>
        <v>2.5971272312718909</v>
      </c>
      <c r="H5" s="54">
        <f>(VLOOKUP($A5,'The List'!$B1:$AH665,20,FALSE)-AVERAGE('The List'!U2:U665))/STDEV('The List'!U2:U665)</f>
        <v>2.8132161044679607</v>
      </c>
      <c r="I5" s="54">
        <f>(VLOOKUP($A5,'The List'!$B1:$AH665,21,FALSE)-AVERAGE('The List'!V2:V665))/STDEV('The List'!V2:V665)</f>
        <v>3.0478345663186994</v>
      </c>
      <c r="J5" s="54">
        <f>(VLOOKUP($A5,'The List'!$B1:$AH665,22,FALSE)-AVERAGE('The List'!W2:W665))/STDEV('The List'!W2:W665)</f>
        <v>2.4805961097406826</v>
      </c>
      <c r="K5" s="54">
        <f>(VLOOKUP($A5,'The List'!$B1:$AH665,23,FALSE)-AVERAGE('The List'!X2:X665))/STDEV('The List'!X2:X665)</f>
        <v>2.9924027584885091</v>
      </c>
      <c r="L5" s="54">
        <f>(VLOOKUP($A5,'The List'!$B1:$AH665,24,FALSE)-AVERAGE('The List'!Y2:Y665))/STDEV('The List'!Y2:Y665)</f>
        <v>-0.53260015943576988</v>
      </c>
      <c r="M5" s="54">
        <f>(VLOOKUP($A5,'The List'!$B1:$AH665,25,FALSE)-AVERAGE('The List'!Z2:Z665))/STDEV('The List'!Z2:Z665)</f>
        <v>-0.70573570860061796</v>
      </c>
      <c r="N5" s="54">
        <f>(VLOOKUP($A5,'The List'!$B1:$AH665,26,FALSE)-AVERAGE('The List'!AA2:AA665))/STDEV('The List'!AA2:AA665)</f>
        <v>-0.83771488340662192</v>
      </c>
      <c r="O5" s="54">
        <f>(VLOOKUP($A5,'The List'!$B1:$AH665,27,FALSE)-AVERAGE('The List'!AB2:AB665))/STDEV('The List'!AB2:AB665)</f>
        <v>-1.5835065225520475</v>
      </c>
      <c r="P5" s="54">
        <f>(VLOOKUP($A5,'The List'!$B1:$AH665,28,FALSE)-AVERAGE('The List'!AC2:AC665))/STDEV('The List'!AC2:AC665)</f>
        <v>0.78550703817249901</v>
      </c>
      <c r="Q5" s="54">
        <f>(VLOOKUP($A5,'The List'!$B1:$AH665,29,FALSE)-AVERAGE('The List'!AD2:AD665))/STDEV('The List'!AD2:AD665)</f>
        <v>-1.3078197628159103</v>
      </c>
      <c r="R5" s="54">
        <f>(VLOOKUP($A5,'The List'!$B1:$AH665,30,FALSE)-AVERAGE('The List'!AE2:AE665))/STDEV('The List'!AE2:AE665)</f>
        <v>2.5735375369753268</v>
      </c>
      <c r="S5" s="54">
        <f>(VLOOKUP($A5,'The List'!$B1:$AH665,31,FALSE)-AVERAGE('The List'!AF2:AF665))/STDEV('The List'!AF2:AF665)</f>
        <v>0.15370308852072154</v>
      </c>
      <c r="T5" s="54">
        <f>(VLOOKUP($A5,'The List'!$B1:$AH665,32,FALSE)-AVERAGE('The List'!AG2:AG665))/STDEV('The List'!AG2:AG665)</f>
        <v>0.75131200568006795</v>
      </c>
      <c r="U5" s="54">
        <f>(VLOOKUP($A5,'The List'!$B1:$AH665,33,FALSE)-AVERAGE('The List'!AH2:AH665))/STDEV('The List'!AH2:AH665)</f>
        <v>0.39951667823867576</v>
      </c>
      <c r="V5" s="54"/>
      <c r="W5" s="64"/>
      <c r="X5" s="56"/>
      <c r="Y5" s="56"/>
      <c r="Z5" s="56"/>
      <c r="AA5" s="56"/>
      <c r="AB5" s="56"/>
      <c r="AC5" s="59"/>
      <c r="AD5" s="60"/>
      <c r="AE5" s="54"/>
    </row>
    <row r="6" spans="1:31" ht="21.25" customHeight="1" x14ac:dyDescent="0.15">
      <c r="A6" s="9" t="s">
        <v>134</v>
      </c>
      <c r="B6" s="65" t="str">
        <f>VLOOKUP(A6,'Player Data'!A1:B667,2,FALSE)</f>
        <v>EDM</v>
      </c>
      <c r="C6" s="51">
        <f>((E6)*Settings!$C$12)+(F6*Settings!$C$2)+(G6*Settings!$C$3)+(H6*Settings!$C$4)+(I6*Settings!$C$5)+(K6*Settings!$C$9)+(N6*Settings!$C$6)+(J6*Settings!$C$8)+(O6*Settings!$C$7)+(P6*Settings!$C$14)+(Q6*Settings!$C$15)+(R6*Settings!$C$16)+(S6*Settings!$C$17)+(T6*Settings!$C$18)+(U6*Settings!$C$19)+(L6*Settings!$C$10)+(Settings!$C$11*M6)</f>
        <v>13.253488404848339</v>
      </c>
      <c r="D6" s="56">
        <f>IF(Settings!$E$12="YES",VLOOKUP(A6,'Player Data'!A1:E667,5,FALSE),82)</f>
        <v>81.377499999999998</v>
      </c>
      <c r="E6" s="54">
        <f>(VLOOKUP($A6,'The List'!$B1:$AH665,17,FALSE)-AVERAGE('The List'!R2:R665))/STDEV('The List'!R2:R665)</f>
        <v>1.0826924686350095</v>
      </c>
      <c r="F6" s="54">
        <f>(VLOOKUP($A6,'The List'!$B1:$AH665,18,FALSE)-AVERAGE('The List'!S2:S665))/STDEV('The List'!S2:S665)</f>
        <v>3.2432279653942846</v>
      </c>
      <c r="G6" s="54">
        <f>(VLOOKUP($A6,'The List'!$B1:$AH665,19,FALSE)-AVERAGE('The List'!T2:T665))/STDEV('The List'!T2:T665)</f>
        <v>3.095226011169752</v>
      </c>
      <c r="H6" s="54">
        <f>(VLOOKUP($A6,'The List'!$B1:$AH665,20,FALSE)-AVERAGE('The List'!U2:U665))/STDEV('The List'!U2:U665)</f>
        <v>3.396510664929119</v>
      </c>
      <c r="I6" s="54">
        <f>(VLOOKUP($A6,'The List'!$B1:$AH665,21,FALSE)-AVERAGE('The List'!V2:V665))/STDEV('The List'!V2:V665)</f>
        <v>1.7291530359347524</v>
      </c>
      <c r="J6" s="54">
        <f>(VLOOKUP($A6,'The List'!$B1:$AH665,22,FALSE)-AVERAGE('The List'!W2:W665))/STDEV('The List'!W2:W665)</f>
        <v>5.7023982305248806</v>
      </c>
      <c r="K6" s="54">
        <f>(VLOOKUP($A6,'The List'!$B1:$AH665,23,FALSE)-AVERAGE('The List'!X2:X665))/STDEV('The List'!X2:X665)</f>
        <v>3.8070931183577592</v>
      </c>
      <c r="L6" s="54">
        <f>(VLOOKUP($A6,'The List'!$B1:$AH665,24,FALSE)-AVERAGE('The List'!Y2:Y665))/STDEV('The List'!Y2:Y665)</f>
        <v>4.9421992516895961E-2</v>
      </c>
      <c r="M6" s="54">
        <f>(VLOOKUP($A6,'The List'!$B1:$AH665,25,FALSE)-AVERAGE('The List'!Z2:Z665))/STDEV('The List'!Z2:Z665)</f>
        <v>0.2071912874471987</v>
      </c>
      <c r="N6" s="54">
        <f>(VLOOKUP($A6,'The List'!$B1:$AH665,26,FALSE)-AVERAGE('The List'!AA2:AA665))/STDEV('The List'!AA2:AA665)</f>
        <v>-0.8191041394844556</v>
      </c>
      <c r="O6" s="54">
        <f>(VLOOKUP($A6,'The List'!$B1:$AH665,27,FALSE)-AVERAGE('The List'!AB2:AB665))/STDEV('The List'!AB2:AB665)</f>
        <v>-0.68768926813534204</v>
      </c>
      <c r="P6" s="54">
        <f>(VLOOKUP($A6,'The List'!$B1:$AH665,28,FALSE)-AVERAGE('The List'!AC2:AC665))/STDEV('The List'!AC2:AC665)</f>
        <v>2.1978924134762461</v>
      </c>
      <c r="Q6" s="54">
        <f>(VLOOKUP($A6,'The List'!$B1:$AH665,29,FALSE)-AVERAGE('The List'!AD2:AD665))/STDEV('The List'!AD2:AD665)</f>
        <v>0.6565579286092138</v>
      </c>
      <c r="R6" s="54">
        <f>(VLOOKUP($A6,'The List'!$B1:$AH665,30,FALSE)-AVERAGE('The List'!AE2:AE665))/STDEV('The List'!AE2:AE665)</f>
        <v>3.4685432435926349</v>
      </c>
      <c r="S6" s="54">
        <f>(VLOOKUP($A6,'The List'!$B1:$AH665,31,FALSE)-AVERAGE('The List'!AF2:AF665))/STDEV('The List'!AF2:AF665)</f>
        <v>3.3678976111182464</v>
      </c>
      <c r="T6" s="54">
        <f>(VLOOKUP($A6,'The List'!$B1:$AH665,32,FALSE)-AVERAGE('The List'!AG2:AG665))/STDEV('The List'!AG2:AG665)</f>
        <v>2.7583193016582741</v>
      </c>
      <c r="U6" s="54">
        <f>(VLOOKUP($A6,'The List'!$B1:$AH665,33,FALSE)-AVERAGE('The List'!AH2:AH665))/STDEV('The List'!AH2:AH665)</f>
        <v>1.2769736130670379</v>
      </c>
      <c r="V6" s="54"/>
      <c r="W6" s="64"/>
      <c r="X6" s="56"/>
      <c r="Y6" s="56"/>
      <c r="Z6" s="56"/>
      <c r="AA6" s="56"/>
      <c r="AB6" s="56"/>
      <c r="AC6" s="59"/>
      <c r="AD6" s="60"/>
      <c r="AE6" s="54"/>
    </row>
    <row r="7" spans="1:31" ht="21.25" customHeight="1" x14ac:dyDescent="0.15">
      <c r="A7" s="9" t="s">
        <v>130</v>
      </c>
      <c r="B7" s="65" t="str">
        <f>VLOOKUP(A7,'Player Data'!A1:B667,2,FALSE)</f>
        <v>TOR</v>
      </c>
      <c r="C7" s="51">
        <f>((E7)*Settings!$C$12)+(F7*Settings!$C$2)+(G7*Settings!$C$3)+(H7*Settings!$C$4)+(I7*Settings!$C$5)+(K7*Settings!$C$9)+(N7*Settings!$C$6)+(J7*Settings!$C$8)+(O7*Settings!$C$7)+(P7*Settings!$C$14)+(Q7*Settings!$C$15)+(R7*Settings!$C$16)+(S7*Settings!$C$17)+(T7*Settings!$C$18)+(U7*Settings!$C$19)+(L7*Settings!$C$10)+(Settings!$C$11*M7)</f>
        <v>16.277820896125142</v>
      </c>
      <c r="D7" s="56">
        <f>IF(Settings!$E$12="YES",VLOOKUP(A7,'Player Data'!A1:E667,5,FALSE),82)</f>
        <v>79.852500000000006</v>
      </c>
      <c r="E7" s="54">
        <f>(VLOOKUP($A7,'The List'!$B1:$AH665,17,FALSE)-AVERAGE('The List'!R2:R665))/STDEV('The List'!R2:R665)</f>
        <v>1.1518923341168654</v>
      </c>
      <c r="F7" s="54">
        <f>(VLOOKUP($A7,'The List'!$B1:$AH665,18,FALSE)-AVERAGE('The List'!S2:S665))/STDEV('The List'!S2:S665)</f>
        <v>4.6771754230337574</v>
      </c>
      <c r="G7" s="54">
        <f>(VLOOKUP($A7,'The List'!$B1:$AH665,19,FALSE)-AVERAGE('The List'!T2:T665))/STDEV('The List'!T2:T665)</f>
        <v>1.7278895728325385</v>
      </c>
      <c r="H7" s="54">
        <f>(VLOOKUP($A7,'The List'!$B1:$AH665,20,FALSE)-AVERAGE('The List'!U2:U665))/STDEV('The List'!U2:U665)</f>
        <v>3.1991151344636255</v>
      </c>
      <c r="I7" s="54">
        <f>(VLOOKUP($A7,'The List'!$B1:$AH665,21,FALSE)-AVERAGE('The List'!V2:V665))/STDEV('The List'!V2:V665)</f>
        <v>3.8634240120372532</v>
      </c>
      <c r="J7" s="54">
        <f>(VLOOKUP($A7,'The List'!$B1:$AH665,22,FALSE)-AVERAGE('The List'!W2:W665))/STDEV('The List'!W2:W665)</f>
        <v>4.137249603455091</v>
      </c>
      <c r="K7" s="54">
        <f>(VLOOKUP($A7,'The List'!$B1:$AH665,23,FALSE)-AVERAGE('The List'!X2:X665))/STDEV('The List'!X2:X665)</f>
        <v>2.6227640288957343</v>
      </c>
      <c r="L7" s="54">
        <f>(VLOOKUP($A7,'The List'!$B1:$AH665,24,FALSE)-AVERAGE('The List'!Y2:Y665))/STDEV('The List'!Y2:Y665)</f>
        <v>-0.41039423732391783</v>
      </c>
      <c r="M7" s="54">
        <f>(VLOOKUP($A7,'The List'!$B1:$AH665,25,FALSE)-AVERAGE('The List'!Z2:Z665))/STDEV('The List'!Z2:Z665)</f>
        <v>-0.13349903445685307</v>
      </c>
      <c r="N7" s="54">
        <f>(VLOOKUP($A7,'The List'!$B1:$AH665,26,FALSE)-AVERAGE('The List'!AA2:AA665))/STDEV('The List'!AA2:AA665)</f>
        <v>0.48237154421117828</v>
      </c>
      <c r="O7" s="54">
        <f>(VLOOKUP($A7,'The List'!$B1:$AH665,27,FALSE)-AVERAGE('The List'!AB2:AB665))/STDEV('The List'!AB2:AB665)</f>
        <v>-0.12240959422535919</v>
      </c>
      <c r="P7" s="54">
        <f>(VLOOKUP($A7,'The List'!$B1:$AH665,28,FALSE)-AVERAGE('The List'!AC2:AC665))/STDEV('The List'!AC2:AC665)</f>
        <v>2.9041963151146803</v>
      </c>
      <c r="Q7" s="54">
        <f>(VLOOKUP($A7,'The List'!$B1:$AH665,29,FALSE)-AVERAGE('The List'!AD2:AD665))/STDEV('The List'!AD2:AD665)</f>
        <v>-0.87232429507174314</v>
      </c>
      <c r="R7" s="54">
        <f>(VLOOKUP($A7,'The List'!$B1:$AH665,30,FALSE)-AVERAGE('The List'!AE2:AE665))/STDEV('The List'!AE2:AE665)</f>
        <v>4.8971655208524822</v>
      </c>
      <c r="S7" s="54">
        <f>(VLOOKUP($A7,'The List'!$B1:$AH665,31,FALSE)-AVERAGE('The List'!AF2:AF665))/STDEV('The List'!AF2:AF665)</f>
        <v>2.7913704823905308</v>
      </c>
      <c r="T7" s="54">
        <f>(VLOOKUP($A7,'The List'!$B1:$AH665,32,FALSE)-AVERAGE('The List'!AG2:AG665))/STDEV('The List'!AG2:AG665)</f>
        <v>2.450976722382896</v>
      </c>
      <c r="U7" s="54">
        <f>(VLOOKUP($A7,'The List'!$B1:$AH665,33,FALSE)-AVERAGE('The List'!AH2:AH665))/STDEV('The List'!AH2:AH665)</f>
        <v>1.2062702863885122</v>
      </c>
      <c r="V7" s="54"/>
      <c r="W7" s="56"/>
      <c r="X7" s="54"/>
      <c r="Y7" s="54"/>
      <c r="Z7" s="54"/>
      <c r="AA7" s="54"/>
      <c r="AB7" s="54"/>
      <c r="AC7" s="54"/>
      <c r="AD7" s="54"/>
      <c r="AE7" s="54"/>
    </row>
    <row r="8" spans="1:31" ht="21.25" customHeight="1" x14ac:dyDescent="0.15">
      <c r="A8" s="9" t="s">
        <v>131</v>
      </c>
      <c r="B8" s="65" t="str">
        <f>VLOOKUP(A8,'Player Data'!A1:B667,2,FALSE)</f>
        <v>BOS</v>
      </c>
      <c r="C8" s="51">
        <f>((E8)*Settings!$C$12)+(F8*Settings!$C$2)+(G8*Settings!$C$3)+(H8*Settings!$C$4)+(I8*Settings!$C$5)+(K8*Settings!$C$9)+(N8*Settings!$C$6)+(J8*Settings!$C$8)+(O8*Settings!$C$7)+(P8*Settings!$C$14)+(Q8*Settings!$C$15)+(R8*Settings!$C$16)+(S8*Settings!$C$17)+(T8*Settings!$C$18)+(U8*Settings!$C$19)+(L8*Settings!$C$10)+(Settings!$C$11*M8)</f>
        <v>12.755716494861755</v>
      </c>
      <c r="D8" s="56">
        <f>IF(Settings!$E$12="YES",VLOOKUP(A8,'Player Data'!A1:E667,5,FALSE),82)</f>
        <v>81.03</v>
      </c>
      <c r="E8" s="54">
        <f>(VLOOKUP($A8,'The List'!$B1:$AH665,17,FALSE)-AVERAGE('The List'!R2:R665))/STDEV('The List'!R2:R665)</f>
        <v>0.86038477028347571</v>
      </c>
      <c r="F8" s="54">
        <f>(VLOOKUP($A8,'The List'!$B1:$AH665,18,FALSE)-AVERAGE('The List'!S2:S665))/STDEV('The List'!S2:S665)</f>
        <v>3.491244389890853</v>
      </c>
      <c r="G8" s="54">
        <f>(VLOOKUP($A8,'The List'!$B1:$AH665,19,FALSE)-AVERAGE('The List'!T2:T665))/STDEV('The List'!T2:T665)</f>
        <v>2.3236332649721598</v>
      </c>
      <c r="H8" s="54">
        <f>(VLOOKUP($A8,'The List'!$B1:$AH665,20,FALSE)-AVERAGE('The List'!U2:U665))/STDEV('The List'!U2:U665)</f>
        <v>3.0300434384361572</v>
      </c>
      <c r="I8" s="54">
        <f>(VLOOKUP($A8,'The List'!$B1:$AH665,21,FALSE)-AVERAGE('The List'!V2:V665))/STDEV('The List'!V2:V665)</f>
        <v>3.9384104967139262</v>
      </c>
      <c r="J8" s="54">
        <f>(VLOOKUP($A8,'The List'!$B1:$AH665,22,FALSE)-AVERAGE('The List'!W2:W665))/STDEV('The List'!W2:W665)</f>
        <v>3.1513830499236324</v>
      </c>
      <c r="K8" s="54">
        <f>(VLOOKUP($A8,'The List'!$B1:$AH665,23,FALSE)-AVERAGE('The List'!X2:X665))/STDEV('The List'!X2:X665)</f>
        <v>2.6906036399374407</v>
      </c>
      <c r="L8" s="54">
        <f>(VLOOKUP($A8,'The List'!$B1:$AH665,24,FALSE)-AVERAGE('The List'!Y2:Y665))/STDEV('The List'!Y2:Y665)</f>
        <v>-0.5473966694691168</v>
      </c>
      <c r="M8" s="54">
        <f>(VLOOKUP($A8,'The List'!$B1:$AH665,25,FALSE)-AVERAGE('The List'!Z2:Z665))/STDEV('The List'!Z2:Z665)</f>
        <v>-0.72060140463257594</v>
      </c>
      <c r="N8" s="54">
        <f>(VLOOKUP($A8,'The List'!$B1:$AH665,26,FALSE)-AVERAGE('The List'!AA2:AA665))/STDEV('The List'!AA2:AA665)</f>
        <v>-0.96975913222282628</v>
      </c>
      <c r="O8" s="54">
        <f>(VLOOKUP($A8,'The List'!$B1:$AH665,27,FALSE)-AVERAGE('The List'!AB2:AB665))/STDEV('The List'!AB2:AB665)</f>
        <v>-0.35998326676849318</v>
      </c>
      <c r="P8" s="54">
        <f>(VLOOKUP($A8,'The List'!$B1:$AH665,28,FALSE)-AVERAGE('The List'!AC2:AC665))/STDEV('The List'!AC2:AC665)</f>
        <v>1.2815838355702014</v>
      </c>
      <c r="Q8" s="54">
        <f>(VLOOKUP($A8,'The List'!$B1:$AH665,29,FALSE)-AVERAGE('The List'!AD2:AD665))/STDEV('The List'!AD2:AD665)</f>
        <v>0.23440409030464676</v>
      </c>
      <c r="R8" s="54">
        <f>(VLOOKUP($A8,'The List'!$B1:$AH665,30,FALSE)-AVERAGE('The List'!AE2:AE665))/STDEV('The List'!AE2:AE665)</f>
        <v>3.548419693772169</v>
      </c>
      <c r="S8" s="54">
        <f>(VLOOKUP($A8,'The List'!$B1:$AH665,31,FALSE)-AVERAGE('The List'!AF2:AF665))/STDEV('The List'!AF2:AF665)</f>
        <v>-0.53291328247172132</v>
      </c>
      <c r="T8" s="54">
        <f>(VLOOKUP($A8,'The List'!$B1:$AH665,32,FALSE)-AVERAGE('The List'!AG2:AG665))/STDEV('The List'!AG2:AG665)</f>
        <v>-0.54975156699259575</v>
      </c>
      <c r="U8" s="54">
        <f>(VLOOKUP($A8,'The List'!$B1:$AH665,33,FALSE)-AVERAGE('The List'!AH2:AH665))/STDEV('The List'!AH2:AH665)</f>
        <v>0.42056279570364152</v>
      </c>
      <c r="V8" s="54"/>
      <c r="W8" s="64"/>
      <c r="X8" s="56"/>
      <c r="Y8" s="56"/>
      <c r="Z8" s="56"/>
      <c r="AA8" s="56"/>
      <c r="AB8" s="56"/>
      <c r="AC8" s="59"/>
      <c r="AD8" s="60"/>
      <c r="AE8" s="54"/>
    </row>
    <row r="9" spans="1:31" ht="21.25" customHeight="1" x14ac:dyDescent="0.15">
      <c r="A9" s="9" t="s">
        <v>140</v>
      </c>
      <c r="B9" s="65" t="str">
        <f>VLOOKUP(A9,'Player Data'!A1:B667,2,FALSE)</f>
        <v>NYR</v>
      </c>
      <c r="C9" s="51">
        <f>((E9)*Settings!$C$12)+(F9*Settings!$C$2)+(G9*Settings!$C$3)+(H9*Settings!$C$4)+(I9*Settings!$C$5)+(K9*Settings!$C$9)+(N9*Settings!$C$6)+(J9*Settings!$C$8)+(O9*Settings!$C$7)+(P9*Settings!$C$14)+(Q9*Settings!$C$15)+(R9*Settings!$C$16)+(S9*Settings!$C$17)+(T9*Settings!$C$18)+(U9*Settings!$C$19)+(L9*Settings!$C$10)+(Settings!$C$11*M9)</f>
        <v>11.002937199158898</v>
      </c>
      <c r="D9" s="56">
        <f>IF(Settings!$E$12="YES",VLOOKUP(A9,'Player Data'!A1:E667,5,FALSE),82)</f>
        <v>81.33</v>
      </c>
      <c r="E9" s="54">
        <f>(VLOOKUP($A9,'The List'!$B1:$AH665,17,FALSE)-AVERAGE('The List'!R2:R665))/STDEV('The List'!R2:R665)</f>
        <v>0.92746707742232648</v>
      </c>
      <c r="F9" s="54">
        <f>(VLOOKUP($A9,'The List'!$B1:$AH665,18,FALSE)-AVERAGE('The List'!S2:S665))/STDEV('The List'!S2:S665)</f>
        <v>2.2969709096502373</v>
      </c>
      <c r="G9" s="54">
        <f>(VLOOKUP($A9,'The List'!$B1:$AH665,19,FALSE)-AVERAGE('The List'!T2:T665))/STDEV('The List'!T2:T665)</f>
        <v>3.168353318886644</v>
      </c>
      <c r="H9" s="54">
        <f>(VLOOKUP($A9,'The List'!$B1:$AH665,20,FALSE)-AVERAGE('The List'!U2:U665))/STDEV('The List'!U2:U665)</f>
        <v>3.0118080237878906</v>
      </c>
      <c r="I9" s="54">
        <f>(VLOOKUP($A9,'The List'!$B1:$AH665,21,FALSE)-AVERAGE('The List'!V2:V665))/STDEV('The List'!V2:V665)</f>
        <v>2.1990493596409548</v>
      </c>
      <c r="J9" s="54">
        <f>(VLOOKUP($A9,'The List'!$B1:$AH665,22,FALSE)-AVERAGE('The List'!W2:W665))/STDEV('The List'!W2:W665)</f>
        <v>1.790035525757117</v>
      </c>
      <c r="K9" s="54">
        <f>(VLOOKUP($A9,'The List'!$B1:$AH665,23,FALSE)-AVERAGE('The List'!X2:X665))/STDEV('The List'!X2:X665)</f>
        <v>3.1017635168006406</v>
      </c>
      <c r="L9" s="54">
        <f>(VLOOKUP($A9,'The List'!$B1:$AH665,24,FALSE)-AVERAGE('The List'!Y2:Y665))/STDEV('The List'!Y2:Y665)</f>
        <v>-0.57552008513166497</v>
      </c>
      <c r="M9" s="54">
        <f>(VLOOKUP($A9,'The List'!$B1:$AH665,25,FALSE)-AVERAGE('The List'!Z2:Z665))/STDEV('The List'!Z2:Z665)</f>
        <v>-0.7492091791222939</v>
      </c>
      <c r="N9" s="54">
        <f>(VLOOKUP($A9,'The List'!$B1:$AH665,26,FALSE)-AVERAGE('The List'!AA2:AA665))/STDEV('The List'!AA2:AA665)</f>
        <v>-1.1505729480849001</v>
      </c>
      <c r="O9" s="54">
        <f>(VLOOKUP($A9,'The List'!$B1:$AH665,27,FALSE)-AVERAGE('The List'!AB2:AB665))/STDEV('The List'!AB2:AB665)</f>
        <v>-1.4031787720706714</v>
      </c>
      <c r="P9" s="54">
        <f>(VLOOKUP($A9,'The List'!$B1:$AH665,28,FALSE)-AVERAGE('The List'!AC2:AC665))/STDEV('The List'!AC2:AC665)</f>
        <v>1.3873730422653214</v>
      </c>
      <c r="Q9" s="54">
        <f>(VLOOKUP($A9,'The List'!$B1:$AH665,29,FALSE)-AVERAGE('The List'!AD2:AD665))/STDEV('The List'!AD2:AD665)</f>
        <v>-0.32499026819788879</v>
      </c>
      <c r="R9" s="54">
        <f>(VLOOKUP($A9,'The List'!$B1:$AH665,30,FALSE)-AVERAGE('The List'!AE2:AE665))/STDEV('The List'!AE2:AE665)</f>
        <v>2.5340000620731638</v>
      </c>
      <c r="S9" s="54">
        <f>(VLOOKUP($A9,'The List'!$B1:$AH665,31,FALSE)-AVERAGE('The List'!AF2:AF665))/STDEV('The List'!AF2:AF665)</f>
        <v>-0.56072996433278977</v>
      </c>
      <c r="T9" s="54">
        <f>(VLOOKUP($A9,'The List'!$B1:$AH665,32,FALSE)-AVERAGE('The List'!AG2:AG665))/STDEV('The List'!AG2:AG665)</f>
        <v>-0.58665899834816471</v>
      </c>
      <c r="U9" s="54">
        <f>(VLOOKUP($A9,'The List'!$B1:$AH665,33,FALSE)-AVERAGE('The List'!AH2:AH665))/STDEV('The List'!AH2:AH665)</f>
        <v>-3.6399533315393008E-2</v>
      </c>
      <c r="V9" s="54"/>
      <c r="W9" s="56"/>
      <c r="X9" s="56"/>
      <c r="Y9" s="56"/>
      <c r="Z9" s="56"/>
      <c r="AA9" s="56"/>
      <c r="AB9" s="56"/>
      <c r="AC9" s="59"/>
      <c r="AD9" s="60"/>
      <c r="AE9" s="54"/>
    </row>
    <row r="10" spans="1:31" ht="21.25" customHeight="1" x14ac:dyDescent="0.15">
      <c r="A10" s="9" t="s">
        <v>139</v>
      </c>
      <c r="B10" s="65" t="str">
        <f>VLOOKUP(A10,'Player Data'!A1:B667,2,FALSE)</f>
        <v>TOR</v>
      </c>
      <c r="C10" s="51">
        <f>((E10)*Settings!$C$12)+(F10*Settings!$C$2)+(G10*Settings!$C$3)+(H10*Settings!$C$4)+(I10*Settings!$C$5)+(K10*Settings!$C$9)+(N10*Settings!$C$6)+(J10*Settings!$C$8)+(O10*Settings!$C$7)+(P10*Settings!$C$14)+(Q10*Settings!$C$15)+(R10*Settings!$C$16)+(S10*Settings!$C$17)+(T10*Settings!$C$18)+(U10*Settings!$C$19)+(L10*Settings!$C$10)+(Settings!$C$11*M10)</f>
        <v>11.325545175332017</v>
      </c>
      <c r="D10" s="56">
        <f>IF(Settings!$E$12="YES",VLOOKUP(A10,'Player Data'!A1:E667,5,FALSE),82)</f>
        <v>78.447500000000005</v>
      </c>
      <c r="E10" s="54">
        <f>(VLOOKUP($A10,'The List'!$B1:$AH665,17,FALSE)-AVERAGE('The List'!R2:R665))/STDEV('The List'!R2:R665)</f>
        <v>1.3552885205541498</v>
      </c>
      <c r="F10" s="54">
        <f>(VLOOKUP($A10,'The List'!$B1:$AH665,18,FALSE)-AVERAGE('The List'!S2:S665))/STDEV('The List'!S2:S665)</f>
        <v>2.0160019211233449</v>
      </c>
      <c r="G10" s="54">
        <f>(VLOOKUP($A10,'The List'!$B1:$AH665,19,FALSE)-AVERAGE('The List'!T2:T665))/STDEV('The List'!T2:T665)</f>
        <v>3.4124918818723553</v>
      </c>
      <c r="H10" s="54">
        <f>(VLOOKUP($A10,'The List'!$B1:$AH665,20,FALSE)-AVERAGE('The List'!U2:U665))/STDEV('The List'!U2:U665)</f>
        <v>3.0357180380394309</v>
      </c>
      <c r="I10" s="54">
        <f>(VLOOKUP($A10,'The List'!$B1:$AH665,21,FALSE)-AVERAGE('The List'!V2:V665))/STDEV('The List'!V2:V665)</f>
        <v>1.2437256266485184</v>
      </c>
      <c r="J10" s="54">
        <f>(VLOOKUP($A10,'The List'!$B1:$AH665,22,FALSE)-AVERAGE('The List'!W2:W665))/STDEV('The List'!W2:W665)</f>
        <v>2.0368093071186144</v>
      </c>
      <c r="K10" s="54">
        <f>(VLOOKUP($A10,'The List'!$B1:$AH665,23,FALSE)-AVERAGE('The List'!X2:X665))/STDEV('The List'!X2:X665)</f>
        <v>2.8309014834423762</v>
      </c>
      <c r="L10" s="54">
        <f>(VLOOKUP($A10,'The List'!$B1:$AH665,24,FALSE)-AVERAGE('The List'!Y2:Y665))/STDEV('The List'!Y2:Y665)</f>
        <v>3.0311136156618477</v>
      </c>
      <c r="M10" s="54">
        <f>(VLOOKUP($A10,'The List'!$B1:$AH665,25,FALSE)-AVERAGE('The List'!Z2:Z665))/STDEV('The List'!Z2:Z665)</f>
        <v>2.0582610672195316</v>
      </c>
      <c r="N10" s="54">
        <f>(VLOOKUP($A10,'The List'!$B1:$AH665,26,FALSE)-AVERAGE('The List'!AA2:AA665))/STDEV('The List'!AA2:AA665)</f>
        <v>-0.30923040950759839</v>
      </c>
      <c r="O10" s="54">
        <f>(VLOOKUP($A10,'The List'!$B1:$AH665,27,FALSE)-AVERAGE('The List'!AB2:AB665))/STDEV('The List'!AB2:AB665)</f>
        <v>-0.503699427442303</v>
      </c>
      <c r="P10" s="54">
        <f>(VLOOKUP($A10,'The List'!$B1:$AH665,28,FALSE)-AVERAGE('The List'!AC2:AC665))/STDEV('The List'!AC2:AC665)</f>
        <v>2.1316546717530218</v>
      </c>
      <c r="Q10" s="54">
        <f>(VLOOKUP($A10,'The List'!$B1:$AH665,29,FALSE)-AVERAGE('The List'!AD2:AD665))/STDEV('The List'!AD2:AD665)</f>
        <v>-0.48888340249882462</v>
      </c>
      <c r="R10" s="54">
        <f>(VLOOKUP($A10,'The List'!$B1:$AH665,30,FALSE)-AVERAGE('The List'!AE2:AE665))/STDEV('The List'!AE2:AE665)</f>
        <v>2.164475731827344</v>
      </c>
      <c r="S10" s="54">
        <f>(VLOOKUP($A10,'The List'!$B1:$AH665,31,FALSE)-AVERAGE('The List'!AF2:AF665))/STDEV('The List'!AF2:AF665)</f>
        <v>-0.55574983180365589</v>
      </c>
      <c r="T10" s="54">
        <f>(VLOOKUP($A10,'The List'!$B1:$AH665,32,FALSE)-AVERAGE('The List'!AG2:AG665))/STDEV('The List'!AG2:AG665)</f>
        <v>-0.5604348082508771</v>
      </c>
      <c r="U10" s="54">
        <f>(VLOOKUP($A10,'The List'!$B1:$AH665,33,FALSE)-AVERAGE('The List'!AH2:AH665))/STDEV('The List'!AH2:AH665)</f>
        <v>-0.197762648993141</v>
      </c>
      <c r="V10" s="54"/>
      <c r="W10" s="64"/>
      <c r="X10" s="56"/>
      <c r="Y10" s="56"/>
      <c r="Z10" s="56"/>
      <c r="AA10" s="56"/>
      <c r="AB10" s="56"/>
      <c r="AC10" s="59"/>
      <c r="AD10" s="60"/>
      <c r="AE10" s="54"/>
    </row>
    <row r="11" spans="1:31" ht="21.25" customHeight="1" x14ac:dyDescent="0.15">
      <c r="A11" s="9" t="s">
        <v>133</v>
      </c>
      <c r="B11" s="65" t="str">
        <f>VLOOKUP(A11,'Player Data'!A1:B667,2,FALSE)</f>
        <v>COL</v>
      </c>
      <c r="C11" s="51">
        <f>((E11)*Settings!$C$12)+(F11*Settings!$C$2)+(G11*Settings!$C$3)+(H11*Settings!$C$4)+(I11*Settings!$C$5)+(K11*Settings!$C$9)+(N11*Settings!$C$6)+(J11*Settings!$C$8)+(O11*Settings!$C$7)+(P11*Settings!$C$14)+(Q11*Settings!$C$15)+(R11*Settings!$C$16)+(S11*Settings!$C$17)+(T11*Settings!$C$18)+(U11*Settings!$C$19)+(L11*Settings!$C$10)+(Settings!$C$11*M11)</f>
        <v>11.973052277409655</v>
      </c>
      <c r="D11" s="56">
        <f>IF(Settings!$E$12="YES",VLOOKUP(A11,'Player Data'!A1:E667,5,FALSE),82)</f>
        <v>80.974999999999994</v>
      </c>
      <c r="E11" s="54">
        <f>(VLOOKUP($A11,'The List'!$B1:$AH665,17,FALSE)-AVERAGE('The List'!R2:R665))/STDEV('The List'!R2:R665)</f>
        <v>1.4889022646553409</v>
      </c>
      <c r="F11" s="54">
        <f>(VLOOKUP($A11,'The List'!$B1:$AH665,18,FALSE)-AVERAGE('The List'!S2:S665))/STDEV('The List'!S2:S665)</f>
        <v>3.0881221392486453</v>
      </c>
      <c r="G11" s="54">
        <f>(VLOOKUP($A11,'The List'!$B1:$AH665,19,FALSE)-AVERAGE('The List'!T2:T665))/STDEV('The List'!T2:T665)</f>
        <v>2.4858137265622604</v>
      </c>
      <c r="H11" s="54">
        <f>(VLOOKUP($A11,'The List'!$B1:$AH665,20,FALSE)-AVERAGE('The List'!U2:U665))/STDEV('The List'!U2:U665)</f>
        <v>2.9475283993295114</v>
      </c>
      <c r="I11" s="54">
        <f>(VLOOKUP($A11,'The List'!$B1:$AH665,21,FALSE)-AVERAGE('The List'!V2:V665))/STDEV('The List'!V2:V665)</f>
        <v>2.4413290232085139</v>
      </c>
      <c r="J11" s="54">
        <f>(VLOOKUP($A11,'The List'!$B1:$AH665,22,FALSE)-AVERAGE('The List'!W2:W665))/STDEV('The List'!W2:W665)</f>
        <v>2.8058151595049901</v>
      </c>
      <c r="K11" s="54">
        <f>(VLOOKUP($A11,'The List'!$B1:$AH665,23,FALSE)-AVERAGE('The List'!X2:X665))/STDEV('The List'!X2:X665)</f>
        <v>2.8432528251463012</v>
      </c>
      <c r="L11" s="54">
        <f>(VLOOKUP($A11,'The List'!$B1:$AH665,24,FALSE)-AVERAGE('The List'!Y2:Y665))/STDEV('The List'!Y2:Y665)</f>
        <v>-0.55629869032191281</v>
      </c>
      <c r="M11" s="54">
        <f>(VLOOKUP($A11,'The List'!$B1:$AH665,25,FALSE)-AVERAGE('The List'!Z2:Z665))/STDEV('The List'!Z2:Z665)</f>
        <v>-0.72963503592425727</v>
      </c>
      <c r="N11" s="54">
        <f>(VLOOKUP($A11,'The List'!$B1:$AH665,26,FALSE)-AVERAGE('The List'!AA2:AA665))/STDEV('The List'!AA2:AA665)</f>
        <v>-0.44382232061684601</v>
      </c>
      <c r="O11" s="54">
        <f>(VLOOKUP($A11,'The List'!$B1:$AH665,27,FALSE)-AVERAGE('The List'!AB2:AB665))/STDEV('The List'!AB2:AB665)</f>
        <v>-0.67121010728262021</v>
      </c>
      <c r="P11" s="54">
        <f>(VLOOKUP($A11,'The List'!$B1:$AH665,28,FALSE)-AVERAGE('The List'!AC2:AC665))/STDEV('The List'!AC2:AC665)</f>
        <v>1.5583568838607795</v>
      </c>
      <c r="Q11" s="54">
        <f>(VLOOKUP($A11,'The List'!$B1:$AH665,29,FALSE)-AVERAGE('The List'!AD2:AD665))/STDEV('The List'!AD2:AD665)</f>
        <v>1.6207998870319438</v>
      </c>
      <c r="R11" s="54">
        <f>(VLOOKUP($A11,'The List'!$B1:$AH665,30,FALSE)-AVERAGE('The List'!AE2:AE665))/STDEV('The List'!AE2:AE665)</f>
        <v>2.9653850811771125</v>
      </c>
      <c r="S11" s="54">
        <f>(VLOOKUP($A11,'The List'!$B1:$AH665,31,FALSE)-AVERAGE('The List'!AF2:AF665))/STDEV('The List'!AF2:AF665)</f>
        <v>0.60201623063723642</v>
      </c>
      <c r="T11" s="54">
        <f>(VLOOKUP($A11,'The List'!$B1:$AH665,32,FALSE)-AVERAGE('The List'!AG2:AG665))/STDEV('The List'!AG2:AG665)</f>
        <v>0.59882782218616371</v>
      </c>
      <c r="U11" s="54">
        <f>(VLOOKUP($A11,'The List'!$B1:$AH665,33,FALSE)-AVERAGE('The List'!AH2:AH665))/STDEV('The List'!AH2:AH665)</f>
        <v>1.0590404805653475</v>
      </c>
      <c r="V11" s="54"/>
      <c r="W11" s="64"/>
      <c r="X11" s="56"/>
      <c r="Y11" s="56"/>
      <c r="Z11" s="56"/>
      <c r="AA11" s="56"/>
      <c r="AB11" s="56"/>
      <c r="AC11" s="59"/>
      <c r="AD11" s="60"/>
      <c r="AE11" s="54"/>
    </row>
    <row r="12" spans="1:31" ht="21.25" customHeight="1" x14ac:dyDescent="0.15">
      <c r="A12" s="9" t="s">
        <v>135</v>
      </c>
      <c r="B12" s="65" t="str">
        <f>VLOOKUP(A12,'Player Data'!A1:B667,2,FALSE)</f>
        <v>FLA</v>
      </c>
      <c r="C12" s="51">
        <f>((E12)*Settings!$C$12)+(F12*Settings!$C$2)+(G12*Settings!$C$3)+(H12*Settings!$C$4)+(I12*Settings!$C$5)+(K12*Settings!$C$9)+(N12*Settings!$C$6)+(J12*Settings!$C$8)+(O12*Settings!$C$7)+(P12*Settings!$C$14)+(Q12*Settings!$C$15)+(R12*Settings!$C$16)+(S12*Settings!$C$17)+(T12*Settings!$C$18)+(U12*Settings!$C$19)+(L12*Settings!$C$10)+(Settings!$C$11*M12)</f>
        <v>11.917408131329637</v>
      </c>
      <c r="D12" s="56">
        <f>IF(Settings!$E$12="YES",VLOOKUP(A12,'Player Data'!A1:E667,5,FALSE),82)</f>
        <v>81.262500000000003</v>
      </c>
      <c r="E12" s="54">
        <f>(VLOOKUP($A12,'The List'!$B1:$AH665,17,FALSE)-AVERAGE('The List'!R2:R665))/STDEV('The List'!R2:R665)</f>
        <v>0.67827750749380977</v>
      </c>
      <c r="F12" s="54">
        <f>(VLOOKUP($A12,'The List'!$B1:$AH665,18,FALSE)-AVERAGE('The List'!S2:S665))/STDEV('The List'!S2:S665)</f>
        <v>2.0932518146053996</v>
      </c>
      <c r="G12" s="54">
        <f>(VLOOKUP($A12,'The List'!$B1:$AH665,19,FALSE)-AVERAGE('The List'!T2:T665))/STDEV('The List'!T2:T665)</f>
        <v>3.0970215596676596</v>
      </c>
      <c r="H12" s="54">
        <f>(VLOOKUP($A12,'The List'!$B1:$AH665,20,FALSE)-AVERAGE('The List'!U2:U665))/STDEV('The List'!U2:U665)</f>
        <v>2.8749069782188443</v>
      </c>
      <c r="I12" s="54">
        <f>(VLOOKUP($A12,'The List'!$B1:$AH665,21,FALSE)-AVERAGE('The List'!V2:V665))/STDEV('The List'!V2:V665)</f>
        <v>2.6293803437169836</v>
      </c>
      <c r="J12" s="54">
        <f>(VLOOKUP($A12,'The List'!$B1:$AH665,22,FALSE)-AVERAGE('The List'!W2:W665))/STDEV('The List'!W2:W665)</f>
        <v>1.8259659930552656</v>
      </c>
      <c r="K12" s="54">
        <f>(VLOOKUP($A12,'The List'!$B1:$AH665,23,FALSE)-AVERAGE('The List'!X2:X665))/STDEV('The List'!X2:X665)</f>
        <v>2.5278589370424904</v>
      </c>
      <c r="L12" s="54">
        <f>(VLOOKUP($A12,'The List'!$B1:$AH665,24,FALSE)-AVERAGE('The List'!Y2:Y665))/STDEV('The List'!Y2:Y665)</f>
        <v>5.197620248209503E-2</v>
      </c>
      <c r="M12" s="54">
        <f>(VLOOKUP($A12,'The List'!$B1:$AH665,25,FALSE)-AVERAGE('The List'!Z2:Z665))/STDEV('The List'!Z2:Z665)</f>
        <v>-0.14178578545213141</v>
      </c>
      <c r="N12" s="54">
        <f>(VLOOKUP($A12,'The List'!$B1:$AH665,26,FALSE)-AVERAGE('The List'!AA2:AA665))/STDEV('The List'!AA2:AA665)</f>
        <v>-0.80875648674404699</v>
      </c>
      <c r="O12" s="54">
        <f>(VLOOKUP($A12,'The List'!$B1:$AH665,27,FALSE)-AVERAGE('The List'!AB2:AB665))/STDEV('The List'!AB2:AB665)</f>
        <v>0.67290439017797399</v>
      </c>
      <c r="P12" s="54">
        <f>(VLOOKUP($A12,'The List'!$B1:$AH665,28,FALSE)-AVERAGE('The List'!AC2:AC665))/STDEV('The List'!AC2:AC665)</f>
        <v>2.3786519630411505</v>
      </c>
      <c r="Q12" s="54">
        <f>(VLOOKUP($A12,'The List'!$B1:$AH665,29,FALSE)-AVERAGE('The List'!AD2:AD665))/STDEV('The List'!AD2:AD665)</f>
        <v>2.4437350320286444</v>
      </c>
      <c r="R12" s="54">
        <f>(VLOOKUP($A12,'The List'!$B1:$AH665,30,FALSE)-AVERAGE('The List'!AE2:AE665))/STDEV('The List'!AE2:AE665)</f>
        <v>2.4721003178051788</v>
      </c>
      <c r="S12" s="54">
        <f>(VLOOKUP($A12,'The List'!$B1:$AH665,31,FALSE)-AVERAGE('The List'!AF2:AF665))/STDEV('The List'!AF2:AF665)</f>
        <v>-0.53943203911812554</v>
      </c>
      <c r="T12" s="54">
        <f>(VLOOKUP($A12,'The List'!$B1:$AH665,32,FALSE)-AVERAGE('The List'!AG2:AG665))/STDEV('The List'!AG2:AG665)</f>
        <v>-0.57209879539284192</v>
      </c>
      <c r="U12" s="54">
        <f>(VLOOKUP($A12,'The List'!$B1:$AH665,33,FALSE)-AVERAGE('The List'!AH2:AH665))/STDEV('The List'!AH2:AH665)</f>
        <v>0.60811690874147606</v>
      </c>
      <c r="V12" s="54"/>
      <c r="W12" s="64"/>
      <c r="X12" s="56"/>
      <c r="Y12" s="56"/>
      <c r="Z12" s="56"/>
      <c r="AA12" s="56"/>
      <c r="AB12" s="56"/>
      <c r="AC12" s="59"/>
      <c r="AD12" s="60"/>
      <c r="AE12" s="54"/>
    </row>
    <row r="13" spans="1:31" ht="21.25" customHeight="1" x14ac:dyDescent="0.15">
      <c r="A13" s="9" t="s">
        <v>143</v>
      </c>
      <c r="B13" s="65" t="str">
        <f>VLOOKUP(A13,'Player Data'!A1:B667,2,FALSE)</f>
        <v>MIN</v>
      </c>
      <c r="C13" s="51">
        <f>((E13)*Settings!$C$12)+(F13*Settings!$C$2)+(G13*Settings!$C$3)+(H13*Settings!$C$4)+(I13*Settings!$C$5)+(K13*Settings!$C$9)+(N13*Settings!$C$6)+(J13*Settings!$C$8)+(O13*Settings!$C$7)+(P13*Settings!$C$14)+(Q13*Settings!$C$15)+(R13*Settings!$C$16)+(S13*Settings!$C$17)+(T13*Settings!$C$18)+(U13*Settings!$C$19)+(L13*Settings!$C$10)+(Settings!$C$11*M13)</f>
        <v>9.8395765957140426</v>
      </c>
      <c r="D13" s="56">
        <f>IF(Settings!$E$12="YES",VLOOKUP(A13,'Player Data'!A1:E667,5,FALSE),82)</f>
        <v>78.625</v>
      </c>
      <c r="E13" s="54">
        <f>(VLOOKUP($A13,'The List'!$B1:$AH665,17,FALSE)-AVERAGE('The List'!R2:R665))/STDEV('The List'!R2:R665)</f>
        <v>1.0836091938641643</v>
      </c>
      <c r="F13" s="54">
        <f>(VLOOKUP($A13,'The List'!$B1:$AH665,18,FALSE)-AVERAGE('The List'!S2:S665))/STDEV('The List'!S2:S665)</f>
        <v>2.9976663683091003</v>
      </c>
      <c r="G13" s="54">
        <f>(VLOOKUP($A13,'The List'!$B1:$AH665,19,FALSE)-AVERAGE('The List'!T2:T665))/STDEV('The List'!T2:T665)</f>
        <v>1.8408442562436611</v>
      </c>
      <c r="H13" s="54">
        <f>(VLOOKUP($A13,'The List'!$B1:$AH665,20,FALSE)-AVERAGE('The List'!U2:U665))/STDEV('The List'!U2:U665)</f>
        <v>2.5058496452447807</v>
      </c>
      <c r="I13" s="54">
        <f>(VLOOKUP($A13,'The List'!$B1:$AH665,21,FALSE)-AVERAGE('The List'!V2:V665))/STDEV('The List'!V2:V665)</f>
        <v>2.3968057844222388</v>
      </c>
      <c r="J13" s="54">
        <f>(VLOOKUP($A13,'The List'!$B1:$AH665,22,FALSE)-AVERAGE('The List'!W2:W665))/STDEV('The List'!W2:W665)</f>
        <v>3.4714873632302199</v>
      </c>
      <c r="K13" s="54">
        <f>(VLOOKUP($A13,'The List'!$B1:$AH665,23,FALSE)-AVERAGE('The List'!X2:X665))/STDEV('The List'!X2:X665)</f>
        <v>2.5645823219449513</v>
      </c>
      <c r="L13" s="54">
        <f>(VLOOKUP($A13,'The List'!$B1:$AH665,24,FALSE)-AVERAGE('The List'!Y2:Y665))/STDEV('The List'!Y2:Y665)</f>
        <v>-0.54940371659989329</v>
      </c>
      <c r="M13" s="54">
        <f>(VLOOKUP($A13,'The List'!$B1:$AH665,25,FALSE)-AVERAGE('The List'!Z2:Z665))/STDEV('The List'!Z2:Z665)</f>
        <v>-0.72263988417804104</v>
      </c>
      <c r="N13" s="54">
        <f>(VLOOKUP($A13,'The List'!$B1:$AH665,26,FALSE)-AVERAGE('The List'!AA2:AA665))/STDEV('The List'!AA2:AA665)</f>
        <v>-0.65507756740071132</v>
      </c>
      <c r="O13" s="54">
        <f>(VLOOKUP($A13,'The List'!$B1:$AH665,27,FALSE)-AVERAGE('The List'!AB2:AB665))/STDEV('The List'!AB2:AB665)</f>
        <v>-0.63754596094157667</v>
      </c>
      <c r="P13" s="54">
        <f>(VLOOKUP($A13,'The List'!$B1:$AH665,28,FALSE)-AVERAGE('The List'!AC2:AC665))/STDEV('The List'!AC2:AC665)</f>
        <v>0.69475543219480385</v>
      </c>
      <c r="Q13" s="54">
        <f>(VLOOKUP($A13,'The List'!$B1:$AH665,29,FALSE)-AVERAGE('The List'!AD2:AD665))/STDEV('The List'!AD2:AD665)</f>
        <v>0.40724880858679186</v>
      </c>
      <c r="R13" s="54">
        <f>(VLOOKUP($A13,'The List'!$B1:$AH665,30,FALSE)-AVERAGE('The List'!AE2:AE665))/STDEV('The List'!AE2:AE665)</f>
        <v>3.3142193075916588</v>
      </c>
      <c r="S13" s="54">
        <f>(VLOOKUP($A13,'The List'!$B1:$AH665,31,FALSE)-AVERAGE('The List'!AF2:AF665))/STDEV('The List'!AF2:AF665)</f>
        <v>-0.57027180467237415</v>
      </c>
      <c r="T13" s="54">
        <f>(VLOOKUP($A13,'The List'!$B1:$AH665,32,FALSE)-AVERAGE('The List'!AG2:AG665))/STDEV('The List'!AG2:AG665)</f>
        <v>-0.61499500250097039</v>
      </c>
      <c r="U13" s="54">
        <f>(VLOOKUP($A13,'The List'!$B1:$AH665,33,FALSE)-AVERAGE('The List'!AH2:AH665))/STDEV('The List'!AH2:AH665)</f>
        <v>-3.7458396457398346E-2</v>
      </c>
      <c r="V13" s="54"/>
      <c r="W13" s="64"/>
      <c r="X13" s="56"/>
      <c r="Y13" s="56"/>
      <c r="Z13" s="56"/>
      <c r="AA13" s="56"/>
      <c r="AB13" s="56"/>
      <c r="AC13" s="59"/>
      <c r="AD13" s="60"/>
      <c r="AE13" s="54"/>
    </row>
    <row r="14" spans="1:31" ht="21.25" customHeight="1" x14ac:dyDescent="0.15">
      <c r="A14" s="9" t="s">
        <v>138</v>
      </c>
      <c r="B14" s="65" t="str">
        <f>VLOOKUP(A14,'Player Data'!A1:B667,2,FALSE)</f>
        <v>TOR</v>
      </c>
      <c r="C14" s="51">
        <f>((E14)*Settings!$C$12)+(F14*Settings!$C$2)+(G14*Settings!$C$3)+(H14*Settings!$C$4)+(I14*Settings!$C$5)+(K14*Settings!$C$9)+(N14*Settings!$C$6)+(J14*Settings!$C$8)+(O14*Settings!$C$7)+(P14*Settings!$C$14)+(Q14*Settings!$C$15)+(R14*Settings!$C$16)+(S14*Settings!$C$17)+(T14*Settings!$C$18)+(U14*Settings!$C$19)+(L14*Settings!$C$10)+(Settings!$C$11*M14)</f>
        <v>11.102244675177669</v>
      </c>
      <c r="D14" s="56">
        <f>IF(Settings!$E$12="YES",VLOOKUP(A14,'Player Data'!A1:E667,5,FALSE),82)</f>
        <v>81.93</v>
      </c>
      <c r="E14" s="54">
        <f>(VLOOKUP($A14,'The List'!$B1:$AH665,17,FALSE)-AVERAGE('The List'!R2:R665))/STDEV('The List'!R2:R665)</f>
        <v>1.0197564689754701</v>
      </c>
      <c r="F14" s="54">
        <f>(VLOOKUP($A14,'The List'!$B1:$AH665,18,FALSE)-AVERAGE('The List'!S2:S665))/STDEV('The List'!S2:S665)</f>
        <v>2.6282038321228018</v>
      </c>
      <c r="G14" s="54">
        <f>(VLOOKUP($A14,'The List'!$B1:$AH665,19,FALSE)-AVERAGE('The List'!T2:T665))/STDEV('The List'!T2:T665)</f>
        <v>2.3060308483640379</v>
      </c>
      <c r="H14" s="54">
        <f>(VLOOKUP($A14,'The List'!$B1:$AH665,20,FALSE)-AVERAGE('The List'!U2:U665))/STDEV('The List'!U2:U665)</f>
        <v>2.6268183908555653</v>
      </c>
      <c r="I14" s="54">
        <f>(VLOOKUP($A14,'The List'!$B1:$AH665,21,FALSE)-AVERAGE('The List'!V2:V665))/STDEV('The List'!V2:V665)</f>
        <v>2.9836726154607955</v>
      </c>
      <c r="J14" s="54">
        <f>(VLOOKUP($A14,'The List'!$B1:$AH665,22,FALSE)-AVERAGE('The List'!W2:W665))/STDEV('The List'!W2:W665)</f>
        <v>2.3643195409536464</v>
      </c>
      <c r="K14" s="54">
        <f>(VLOOKUP($A14,'The List'!$B1:$AH665,23,FALSE)-AVERAGE('The List'!X2:X665))/STDEV('The List'!X2:X665)</f>
        <v>2.6535844434550477</v>
      </c>
      <c r="L14" s="54">
        <f>(VLOOKUP($A14,'The List'!$B1:$AH665,24,FALSE)-AVERAGE('The List'!Y2:Y665))/STDEV('The List'!Y2:Y665)</f>
        <v>1.9969475433079502</v>
      </c>
      <c r="M14" s="54">
        <f>(VLOOKUP($A14,'The List'!$B1:$AH665,25,FALSE)-AVERAGE('The List'!Z2:Z665))/STDEV('The List'!Z2:Z665)</f>
        <v>1.3793906347690841</v>
      </c>
      <c r="N14" s="54">
        <f>(VLOOKUP($A14,'The List'!$B1:$AH665,26,FALSE)-AVERAGE('The List'!AA2:AA665))/STDEV('The List'!AA2:AA665)</f>
        <v>-0.8121055193565192</v>
      </c>
      <c r="O14" s="54">
        <f>(VLOOKUP($A14,'The List'!$B1:$AH665,27,FALSE)-AVERAGE('The List'!AB2:AB665))/STDEV('The List'!AB2:AB665)</f>
        <v>-1.2420188376788084</v>
      </c>
      <c r="P14" s="54">
        <f>(VLOOKUP($A14,'The List'!$B1:$AH665,28,FALSE)-AVERAGE('The List'!AC2:AC665))/STDEV('The List'!AC2:AC665)</f>
        <v>1.3428584551315055</v>
      </c>
      <c r="Q14" s="54">
        <f>(VLOOKUP($A14,'The List'!$B1:$AH665,29,FALSE)-AVERAGE('The List'!AD2:AD665))/STDEV('The List'!AD2:AD665)</f>
        <v>-0.39553707920209946</v>
      </c>
      <c r="R14" s="54">
        <f>(VLOOKUP($A14,'The List'!$B1:$AH665,30,FALSE)-AVERAGE('The List'!AE2:AE665))/STDEV('The List'!AE2:AE665)</f>
        <v>2.7931299363761699</v>
      </c>
      <c r="S14" s="54">
        <f>(VLOOKUP($A14,'The List'!$B1:$AH665,31,FALSE)-AVERAGE('The List'!AF2:AF665))/STDEV('The List'!AF2:AF665)</f>
        <v>-0.3300253453220891</v>
      </c>
      <c r="T14" s="54">
        <f>(VLOOKUP($A14,'The List'!$B1:$AH665,32,FALSE)-AVERAGE('The List'!AG2:AG665))/STDEV('The List'!AG2:AG665)</f>
        <v>-0.32975833345458733</v>
      </c>
      <c r="U14" s="54">
        <f>(VLOOKUP($A14,'The List'!$B1:$AH665,33,FALSE)-AVERAGE('The List'!AH2:AH665))/STDEV('The List'!AH2:AH665)</f>
        <v>0.88564262256135307</v>
      </c>
      <c r="V14" s="54"/>
      <c r="W14" s="64"/>
      <c r="X14" s="56"/>
      <c r="Y14" s="56"/>
      <c r="Z14" s="56"/>
      <c r="AA14" s="56"/>
      <c r="AB14" s="56"/>
      <c r="AC14" s="59"/>
      <c r="AD14" s="60"/>
      <c r="AE14" s="54"/>
    </row>
    <row r="15" spans="1:31" ht="21.25" customHeight="1" x14ac:dyDescent="0.15">
      <c r="A15" s="9" t="s">
        <v>150</v>
      </c>
      <c r="B15" s="65" t="str">
        <f>VLOOKUP(A15,'Player Data'!A1:B667,2,FALSE)</f>
        <v>DAL</v>
      </c>
      <c r="C15" s="51">
        <f>((E15)*Settings!$C$12)+(F15*Settings!$C$2)+(G15*Settings!$C$3)+(H15*Settings!$C$4)+(I15*Settings!$C$5)+(K15*Settings!$C$9)+(N15*Settings!$C$6)+(J15*Settings!$C$8)+(O15*Settings!$C$7)+(P15*Settings!$C$14)+(Q15*Settings!$C$15)+(R15*Settings!$C$16)+(S15*Settings!$C$17)+(T15*Settings!$C$18)+(U15*Settings!$C$19)+(L15*Settings!$C$10)+(Settings!$C$11*M15)</f>
        <v>10.31244847566162</v>
      </c>
      <c r="D15" s="56">
        <f>IF(Settings!$E$12="YES",VLOOKUP(A15,'Player Data'!A1:E667,5,FALSE),82)</f>
        <v>81.23</v>
      </c>
      <c r="E15" s="54">
        <f>(VLOOKUP($A15,'The List'!$B1:$AH665,17,FALSE)-AVERAGE('The List'!R2:R665))/STDEV('The List'!R2:R665)</f>
        <v>0.50138071480263102</v>
      </c>
      <c r="F15" s="54">
        <f>(VLOOKUP($A15,'The List'!$B1:$AH665,18,FALSE)-AVERAGE('The List'!S2:S665))/STDEV('The List'!S2:S665)</f>
        <v>2.3102933526393019</v>
      </c>
      <c r="G15" s="54">
        <f>(VLOOKUP($A15,'The List'!$B1:$AH665,19,FALSE)-AVERAGE('The List'!T2:T665))/STDEV('The List'!T2:T665)</f>
        <v>2.1776990730449568</v>
      </c>
      <c r="H15" s="54">
        <f>(VLOOKUP($A15,'The List'!$B1:$AH665,20,FALSE)-AVERAGE('The List'!U2:U665))/STDEV('The List'!U2:U665)</f>
        <v>2.4026117181053763</v>
      </c>
      <c r="I15" s="54">
        <f>(VLOOKUP($A15,'The List'!$B1:$AH665,21,FALSE)-AVERAGE('The List'!V2:V665))/STDEV('The List'!V2:V665)</f>
        <v>1.9154631462791039</v>
      </c>
      <c r="J15" s="54">
        <f>(VLOOKUP($A15,'The List'!$B1:$AH665,22,FALSE)-AVERAGE('The List'!W2:W665))/STDEV('The List'!W2:W665)</f>
        <v>2.4397624008842036</v>
      </c>
      <c r="K15" s="54">
        <f>(VLOOKUP($A15,'The List'!$B1:$AH665,23,FALSE)-AVERAGE('The List'!X2:X665))/STDEV('The List'!X2:X665)</f>
        <v>2.5193956305122933</v>
      </c>
      <c r="L15" s="54">
        <f>(VLOOKUP($A15,'The List'!$B1:$AH665,24,FALSE)-AVERAGE('The List'!Y2:Y665))/STDEV('The List'!Y2:Y665)</f>
        <v>-0.57001797615176353</v>
      </c>
      <c r="M15" s="54">
        <f>(VLOOKUP($A15,'The List'!$B1:$AH665,25,FALSE)-AVERAGE('The List'!Z2:Z665))/STDEV('The List'!Z2:Z665)</f>
        <v>-0.74369106711115773</v>
      </c>
      <c r="N15" s="54">
        <f>(VLOOKUP($A15,'The List'!$B1:$AH665,26,FALSE)-AVERAGE('The List'!AA2:AA665))/STDEV('The List'!AA2:AA665)</f>
        <v>-0.87091023124414657</v>
      </c>
      <c r="O15" s="54">
        <f>(VLOOKUP($A15,'The List'!$B1:$AH665,27,FALSE)-AVERAGE('The List'!AB2:AB665))/STDEV('The List'!AB2:AB665)</f>
        <v>-0.49680574303116976</v>
      </c>
      <c r="P15" s="54">
        <f>(VLOOKUP($A15,'The List'!$B1:$AH665,28,FALSE)-AVERAGE('The List'!AC2:AC665))/STDEV('The List'!AC2:AC665)</f>
        <v>2.2605075044301111</v>
      </c>
      <c r="Q15" s="54">
        <f>(VLOOKUP($A15,'The List'!$B1:$AH665,29,FALSE)-AVERAGE('The List'!AD2:AD665))/STDEV('The List'!AD2:AD665)</f>
        <v>-0.56065708065347009</v>
      </c>
      <c r="R15" s="54">
        <f>(VLOOKUP($A15,'The List'!$B1:$AH665,30,FALSE)-AVERAGE('The List'!AE2:AE665))/STDEV('The List'!AE2:AE665)</f>
        <v>2.4651940668575909</v>
      </c>
      <c r="S15" s="54">
        <f>(VLOOKUP($A15,'The List'!$B1:$AH665,31,FALSE)-AVERAGE('The List'!AF2:AF665))/STDEV('The List'!AF2:AF665)</f>
        <v>-0.57389441066833413</v>
      </c>
      <c r="T15" s="54">
        <f>(VLOOKUP($A15,'The List'!$B1:$AH665,32,FALSE)-AVERAGE('The List'!AG2:AG665))/STDEV('The List'!AG2:AG665)</f>
        <v>-0.62500487594108345</v>
      </c>
      <c r="U15" s="54">
        <f>(VLOOKUP($A15,'The List'!$B1:$AH665,33,FALSE)-AVERAGE('The List'!AH2:AH665))/STDEV('The List'!AH2:AH665)</f>
        <v>-1.2314350210461682</v>
      </c>
      <c r="V15" s="54"/>
      <c r="W15" s="64"/>
      <c r="X15" s="56"/>
      <c r="Y15" s="56"/>
      <c r="Z15" s="56"/>
      <c r="AA15" s="56"/>
      <c r="AB15" s="56"/>
      <c r="AC15" s="59"/>
      <c r="AD15" s="60"/>
      <c r="AE15" s="54"/>
    </row>
    <row r="16" spans="1:31" ht="21.25" customHeight="1" x14ac:dyDescent="0.15">
      <c r="A16" s="9" t="s">
        <v>132</v>
      </c>
      <c r="B16" s="65" t="str">
        <f>VLOOKUP(A16,'Player Data'!A1:B667,2,FALSE)</f>
        <v>COL</v>
      </c>
      <c r="C16" s="51">
        <f>((E16)*Settings!$C$12)+(F16*Settings!$C$2)+(G16*Settings!$C$3)+(H16*Settings!$C$4)+(I16*Settings!$C$5)+(K16*Settings!$C$9)+(N16*Settings!$C$6)+(J16*Settings!$C$8)+(O16*Settings!$C$7)+(P16*Settings!$C$14)+(Q16*Settings!$C$15)+(R16*Settings!$C$16)+(S16*Settings!$C$17)+(T16*Settings!$C$18)+(U16*Settings!$C$19)+(L16*Settings!$C$10)+(Settings!$C$11*M16)</f>
        <v>11.258041156036782</v>
      </c>
      <c r="D16" s="56">
        <f>IF(Settings!$E$12="YES",VLOOKUP(A16,'Player Data'!A1:E667,5,FALSE),82)</f>
        <v>77.617500000000007</v>
      </c>
      <c r="E16" s="54">
        <f>(VLOOKUP($A16,'The List'!$B1:$AH665,17,FALSE)-AVERAGE('The List'!R2:R665))/STDEV('The List'!R2:R665)</f>
        <v>2.4544310979648505</v>
      </c>
      <c r="F16" s="54">
        <f>(VLOOKUP($A16,'The List'!$B1:$AH665,18,FALSE)-AVERAGE('The List'!S2:S665))/STDEV('The List'!S2:S665)</f>
        <v>0.82851723084065965</v>
      </c>
      <c r="G16" s="54">
        <f>(VLOOKUP($A16,'The List'!$B1:$AH665,19,FALSE)-AVERAGE('The List'!T2:T665))/STDEV('The List'!T2:T665)</f>
        <v>2.9698600994836748</v>
      </c>
      <c r="H16" s="54">
        <f>(VLOOKUP($A16,'The List'!$B1:$AH665,20,FALSE)-AVERAGE('The List'!U2:U665))/STDEV('The List'!U2:U665)</f>
        <v>2.2210505754140129</v>
      </c>
      <c r="I16" s="54">
        <f>(VLOOKUP($A16,'The List'!$B1:$AH665,21,FALSE)-AVERAGE('The List'!V2:V665))/STDEV('The List'!V2:V665)</f>
        <v>1.6291208698985422</v>
      </c>
      <c r="J16" s="54">
        <f>(VLOOKUP($A16,'The List'!$B1:$AH665,22,FALSE)-AVERAGE('The List'!W2:W665))/STDEV('The List'!W2:W665)</f>
        <v>1.2287934958345805</v>
      </c>
      <c r="K16" s="54">
        <f>(VLOOKUP($A16,'The List'!$B1:$AH665,23,FALSE)-AVERAGE('The List'!X2:X665))/STDEV('The List'!X2:X665)</f>
        <v>3.0294055756504314</v>
      </c>
      <c r="L16" s="54">
        <f>(VLOOKUP($A16,'The List'!$B1:$AH665,24,FALSE)-AVERAGE('The List'!Y2:Y665))/STDEV('The List'!Y2:Y665)</f>
        <v>0.30615184652240213</v>
      </c>
      <c r="M16" s="54">
        <f>(VLOOKUP($A16,'The List'!$B1:$AH665,25,FALSE)-AVERAGE('The List'!Z2:Z665))/STDEV('The List'!Z2:Z665)</f>
        <v>1.4072998433328747</v>
      </c>
      <c r="N16" s="54">
        <f>(VLOOKUP($A16,'The List'!$B1:$AH665,26,FALSE)-AVERAGE('The List'!AA2:AA665))/STDEV('The List'!AA2:AA665)</f>
        <v>1.728149472515341</v>
      </c>
      <c r="O16" s="54">
        <f>(VLOOKUP($A16,'The List'!$B1:$AH665,27,FALSE)-AVERAGE('The List'!AB2:AB665))/STDEV('The List'!AB2:AB665)</f>
        <v>-0.67813248267697523</v>
      </c>
      <c r="P16" s="54">
        <f>(VLOOKUP($A16,'The List'!$B1:$AH665,28,FALSE)-AVERAGE('The List'!AC2:AC665))/STDEV('The List'!AC2:AC665)</f>
        <v>1.0729879076481346</v>
      </c>
      <c r="Q16" s="54">
        <f>(VLOOKUP($A16,'The List'!$B1:$AH665,29,FALSE)-AVERAGE('The List'!AD2:AD665))/STDEV('The List'!AD2:AD665)</f>
        <v>-0.27514037012662645</v>
      </c>
      <c r="R16" s="54">
        <f>(VLOOKUP($A16,'The List'!$B1:$AH665,30,FALSE)-AVERAGE('The List'!AE2:AE665))/STDEV('The List'!AE2:AE665)</f>
        <v>0.79838015835222886</v>
      </c>
      <c r="S16" s="54">
        <f>(VLOOKUP($A16,'The List'!$B1:$AH665,31,FALSE)-AVERAGE('The List'!AF2:AF665))/STDEV('The List'!AF2:AF665)</f>
        <v>-0.57389441068000469</v>
      </c>
      <c r="T16" s="54">
        <f>(VLOOKUP($A16,'The List'!$B1:$AH665,32,FALSE)-AVERAGE('The List'!AG2:AG665))/STDEV('The List'!AG2:AG665)</f>
        <v>-0.62577078713265111</v>
      </c>
      <c r="U16" s="54">
        <f>(VLOOKUP($A16,'The List'!$B1:$AH665,33,FALSE)-AVERAGE('The List'!AH2:AH665))/STDEV('The List'!AH2:AH665)</f>
        <v>-1.2314350945148611</v>
      </c>
      <c r="V16" s="54"/>
      <c r="W16" s="56"/>
      <c r="X16" s="56"/>
      <c r="Y16" s="56"/>
      <c r="Z16" s="56"/>
      <c r="AA16" s="56"/>
      <c r="AB16" s="56"/>
      <c r="AC16" s="59"/>
      <c r="AD16" s="60"/>
      <c r="AE16" s="54"/>
    </row>
    <row r="17" spans="1:31" ht="21.25" customHeight="1" x14ac:dyDescent="0.15">
      <c r="A17" s="9" t="s">
        <v>145</v>
      </c>
      <c r="B17" s="65" t="str">
        <f>VLOOKUP(A17,'Player Data'!A1:B667,2,FALSE)</f>
        <v>VAN</v>
      </c>
      <c r="C17" s="51">
        <f>((E17)*Settings!$C$12)+(F17*Settings!$C$2)+(G17*Settings!$C$3)+(H17*Settings!$C$4)+(I17*Settings!$C$5)+(K17*Settings!$C$9)+(N17*Settings!$C$6)+(J17*Settings!$C$8)+(O17*Settings!$C$7)+(P17*Settings!$C$14)+(Q17*Settings!$C$15)+(R17*Settings!$C$16)+(S17*Settings!$C$17)+(T17*Settings!$C$18)+(U17*Settings!$C$19)+(L17*Settings!$C$10)+(Settings!$C$11*M17)</f>
        <v>10.110560946184403</v>
      </c>
      <c r="D17" s="56">
        <f>IF(Settings!$E$12="YES",VLOOKUP(A17,'Player Data'!A1:E667,5,FALSE),82)</f>
        <v>81.555000000000007</v>
      </c>
      <c r="E17" s="54">
        <f>(VLOOKUP($A17,'The List'!$B1:$AH665,17,FALSE)-AVERAGE('The List'!R2:R665))/STDEV('The List'!R2:R665)</f>
        <v>0.82482975228016353</v>
      </c>
      <c r="F17" s="54">
        <f>(VLOOKUP($A17,'The List'!$B1:$AH665,18,FALSE)-AVERAGE('The List'!S2:S665))/STDEV('The List'!S2:S665)</f>
        <v>2.3611325304206554</v>
      </c>
      <c r="G17" s="54">
        <f>(VLOOKUP($A17,'The List'!$B1:$AH665,19,FALSE)-AVERAGE('The List'!T2:T665))/STDEV('The List'!T2:T665)</f>
        <v>2.4340571040203329</v>
      </c>
      <c r="H17" s="54">
        <f>(VLOOKUP($A17,'The List'!$B1:$AH665,20,FALSE)-AVERAGE('The List'!U2:U665))/STDEV('The List'!U2:U665)</f>
        <v>2.5849332927514088</v>
      </c>
      <c r="I17" s="54">
        <f>(VLOOKUP($A17,'The List'!$B1:$AH665,21,FALSE)-AVERAGE('The List'!V2:V665))/STDEV('The List'!V2:V665)</f>
        <v>1.4653816626263545</v>
      </c>
      <c r="J17" s="54">
        <f>(VLOOKUP($A17,'The List'!$B1:$AH665,22,FALSE)-AVERAGE('The List'!W2:W665))/STDEV('The List'!W2:W665)</f>
        <v>2.2623539449808363</v>
      </c>
      <c r="K17" s="54">
        <f>(VLOOKUP($A17,'The List'!$B1:$AH665,23,FALSE)-AVERAGE('The List'!X2:X665))/STDEV('The List'!X2:X665)</f>
        <v>2.1409905912269891</v>
      </c>
      <c r="L17" s="54">
        <f>(VLOOKUP($A17,'The List'!$B1:$AH665,24,FALSE)-AVERAGE('The List'!Y2:Y665))/STDEV('The List'!Y2:Y665)</f>
        <v>1.2838996709845825</v>
      </c>
      <c r="M17" s="54">
        <f>(VLOOKUP($A17,'The List'!$B1:$AH665,25,FALSE)-AVERAGE('The List'!Z2:Z665))/STDEV('The List'!Z2:Z665)</f>
        <v>2.573615022454383</v>
      </c>
      <c r="N17" s="54">
        <f>(VLOOKUP($A17,'The List'!$B1:$AH665,26,FALSE)-AVERAGE('The List'!AA2:AA665))/STDEV('The List'!AA2:AA665)</f>
        <v>9.1351913804090953E-2</v>
      </c>
      <c r="O17" s="54">
        <f>(VLOOKUP($A17,'The List'!$B1:$AH665,27,FALSE)-AVERAGE('The List'!AB2:AB665))/STDEV('The List'!AB2:AB665)</f>
        <v>0.23038867590437134</v>
      </c>
      <c r="P17" s="54">
        <f>(VLOOKUP($A17,'The List'!$B1:$AH665,28,FALSE)-AVERAGE('The List'!AC2:AC665))/STDEV('The List'!AC2:AC665)</f>
        <v>1.6176471440859796</v>
      </c>
      <c r="Q17" s="54">
        <f>(VLOOKUP($A17,'The List'!$B1:$AH665,29,FALSE)-AVERAGE('The List'!AD2:AD665))/STDEV('The List'!AD2:AD665)</f>
        <v>-1.124885628408177</v>
      </c>
      <c r="R17" s="54">
        <f>(VLOOKUP($A17,'The List'!$B1:$AH665,30,FALSE)-AVERAGE('The List'!AE2:AE665))/STDEV('The List'!AE2:AE665)</f>
        <v>2.774808747231754</v>
      </c>
      <c r="S17" s="54">
        <f>(VLOOKUP($A17,'The List'!$B1:$AH665,31,FALSE)-AVERAGE('The List'!AF2:AF665))/STDEV('The List'!AF2:AF665)</f>
        <v>1.2414757397727445</v>
      </c>
      <c r="T17" s="54">
        <f>(VLOOKUP($A17,'The List'!$B1:$AH665,32,FALSE)-AVERAGE('The List'!AG2:AG665))/STDEV('The List'!AG2:AG665)</f>
        <v>1.5528425861608555</v>
      </c>
      <c r="U17" s="54">
        <f>(VLOOKUP($A17,'The List'!$B1:$AH665,33,FALSE)-AVERAGE('The List'!AH2:AH665))/STDEV('The List'!AH2:AH665)</f>
        <v>0.89847744167022059</v>
      </c>
      <c r="V17" s="54"/>
      <c r="W17" s="64"/>
      <c r="X17" s="56"/>
      <c r="Y17" s="56"/>
      <c r="Z17" s="56"/>
      <c r="AA17" s="56"/>
      <c r="AB17" s="56"/>
      <c r="AC17" s="59"/>
      <c r="AD17" s="60"/>
      <c r="AE17" s="54"/>
    </row>
    <row r="18" spans="1:31" ht="21.25" customHeight="1" x14ac:dyDescent="0.15">
      <c r="A18" s="9" t="s">
        <v>166</v>
      </c>
      <c r="B18" s="65" t="str">
        <f>VLOOKUP(A18,'Player Data'!A1:B667,2,FALSE)</f>
        <v>T.B</v>
      </c>
      <c r="C18" s="51">
        <f>((E18)*Settings!$C$12)+(F18*Settings!$C$2)+(G18*Settings!$C$3)+(H18*Settings!$C$4)+(I18*Settings!$C$5)+(K18*Settings!$C$9)+(N18*Settings!$C$6)+(J18*Settings!$C$8)+(O18*Settings!$C$7)+(P18*Settings!$C$14)+(Q18*Settings!$C$15)+(R18*Settings!$C$16)+(S18*Settings!$C$17)+(T18*Settings!$C$18)+(U18*Settings!$C$19)+(L18*Settings!$C$10)+(Settings!$C$11*M18)</f>
        <v>8.0291042777232278</v>
      </c>
      <c r="D18" s="56">
        <f>IF(Settings!$E$12="YES",VLOOKUP(A18,'Player Data'!A1:E667,5,FALSE),82)</f>
        <v>80.252499999999998</v>
      </c>
      <c r="E18" s="54">
        <f>(VLOOKUP($A18,'The List'!$B1:$AH665,17,FALSE)-AVERAGE('The List'!R2:R665))/STDEV('The List'!R2:R665)</f>
        <v>0.87050541315357954</v>
      </c>
      <c r="F18" s="54">
        <f>(VLOOKUP($A18,'The List'!$B1:$AH665,18,FALSE)-AVERAGE('The List'!S2:S665))/STDEV('The List'!S2:S665)</f>
        <v>2.9509543478843585</v>
      </c>
      <c r="G18" s="54">
        <f>(VLOOKUP($A18,'The List'!$B1:$AH665,19,FALSE)-AVERAGE('The List'!T2:T665))/STDEV('The List'!T2:T665)</f>
        <v>1.4304183654712168</v>
      </c>
      <c r="H18" s="54">
        <f>(VLOOKUP($A18,'The List'!$B1:$AH665,20,FALSE)-AVERAGE('The List'!U2:U665))/STDEV('The List'!U2:U665)</f>
        <v>2.2297192559176957</v>
      </c>
      <c r="I18" s="54">
        <f>(VLOOKUP($A18,'The List'!$B1:$AH665,21,FALSE)-AVERAGE('The List'!V2:V665))/STDEV('The List'!V2:V665)</f>
        <v>1.5597489721746418</v>
      </c>
      <c r="J18" s="54">
        <f>(VLOOKUP($A18,'The List'!$B1:$AH665,22,FALSE)-AVERAGE('The List'!W2:W665))/STDEV('The List'!W2:W665)</f>
        <v>3.2766670450651127</v>
      </c>
      <c r="K18" s="54">
        <f>(VLOOKUP($A18,'The List'!$B1:$AH665,23,FALSE)-AVERAGE('The List'!X2:X665))/STDEV('The List'!X2:X665)</f>
        <v>2.1106668389130894</v>
      </c>
      <c r="L18" s="54">
        <f>(VLOOKUP($A18,'The List'!$B1:$AH665,24,FALSE)-AVERAGE('The List'!Y2:Y665))/STDEV('The List'!Y2:Y665)</f>
        <v>-0.55087416882864515</v>
      </c>
      <c r="M18" s="54">
        <f>(VLOOKUP($A18,'The List'!$B1:$AH665,25,FALSE)-AVERAGE('The List'!Z2:Z665))/STDEV('The List'!Z2:Z665)</f>
        <v>-0.72415062026299126</v>
      </c>
      <c r="N18" s="54">
        <f>(VLOOKUP($A18,'The List'!$B1:$AH665,26,FALSE)-AVERAGE('The List'!AA2:AA665))/STDEV('The List'!AA2:AA665)</f>
        <v>-0.57537212141706295</v>
      </c>
      <c r="O18" s="54">
        <f>(VLOOKUP($A18,'The List'!$B1:$AH665,27,FALSE)-AVERAGE('The List'!AB2:AB665))/STDEV('The List'!AB2:AB665)</f>
        <v>-1.3096171327489672</v>
      </c>
      <c r="P18" s="54">
        <f>(VLOOKUP($A18,'The List'!$B1:$AH665,28,FALSE)-AVERAGE('The List'!AC2:AC665))/STDEV('The List'!AC2:AC665)</f>
        <v>0.55268787469698466</v>
      </c>
      <c r="Q18" s="54">
        <f>(VLOOKUP($A18,'The List'!$B1:$AH665,29,FALSE)-AVERAGE('The List'!AD2:AD665))/STDEV('The List'!AD2:AD665)</f>
        <v>-0.81666805346728555</v>
      </c>
      <c r="R18" s="54">
        <f>(VLOOKUP($A18,'The List'!$B1:$AH665,30,FALSE)-AVERAGE('The List'!AE2:AE665))/STDEV('The List'!AE2:AE665)</f>
        <v>3.0579912569726972</v>
      </c>
      <c r="S18" s="54">
        <f>(VLOOKUP($A18,'The List'!$B1:$AH665,31,FALSE)-AVERAGE('The List'!AF2:AF665))/STDEV('The List'!AF2:AF665)</f>
        <v>1.0561002054601119</v>
      </c>
      <c r="T18" s="54">
        <f>(VLOOKUP($A18,'The List'!$B1:$AH665,32,FALSE)-AVERAGE('The List'!AG2:AG665))/STDEV('The List'!AG2:AG665)</f>
        <v>1.212725918260958</v>
      </c>
      <c r="U18" s="54">
        <f>(VLOOKUP($A18,'The List'!$B1:$AH665,33,FALSE)-AVERAGE('The List'!AH2:AH665))/STDEV('The List'!AH2:AH665)</f>
        <v>0.96862449720614208</v>
      </c>
      <c r="V18" s="54"/>
      <c r="W18" s="64"/>
      <c r="X18" s="56"/>
      <c r="Y18" s="56"/>
      <c r="Z18" s="56"/>
      <c r="AA18" s="56"/>
      <c r="AB18" s="56"/>
      <c r="AC18" s="59"/>
      <c r="AD18" s="60"/>
      <c r="AE18" s="54"/>
    </row>
    <row r="19" spans="1:31" ht="21.25" customHeight="1" x14ac:dyDescent="0.15">
      <c r="A19" s="9" t="s">
        <v>174</v>
      </c>
      <c r="B19" s="65" t="str">
        <f>VLOOKUP(A19,'Player Data'!A1:B667,2,FALSE)</f>
        <v>FLA</v>
      </c>
      <c r="C19" s="51">
        <f>((E19)*Settings!$C$12)+(F19*Settings!$C$2)+(G19*Settings!$C$3)+(H19*Settings!$C$4)+(I19*Settings!$C$5)+(K19*Settings!$C$9)+(N19*Settings!$C$6)+(J19*Settings!$C$8)+(O19*Settings!$C$7)+(P19*Settings!$C$14)+(Q19*Settings!$C$15)+(R19*Settings!$C$16)+(S19*Settings!$C$17)+(T19*Settings!$C$18)+(U19*Settings!$C$19)+(L19*Settings!$C$10)+(Settings!$C$11*M19)</f>
        <v>8.586174299109425</v>
      </c>
      <c r="D19" s="56">
        <f>IF(Settings!$E$12="YES",VLOOKUP(A19,'Player Data'!A1:E667,5,FALSE),82)</f>
        <v>77.007499999999993</v>
      </c>
      <c r="E19" s="54">
        <f>(VLOOKUP($A19,'The List'!$B1:$AH665,17,FALSE)-AVERAGE('The List'!R2:R665))/STDEV('The List'!R2:R665)</f>
        <v>0.91890277528958442</v>
      </c>
      <c r="F19" s="54">
        <f>(VLOOKUP($A19,'The List'!$B1:$AH665,18,FALSE)-AVERAGE('The List'!S2:S665))/STDEV('The List'!S2:S665)</f>
        <v>1.3127914121322031</v>
      </c>
      <c r="G19" s="54">
        <f>(VLOOKUP($A19,'The List'!$B1:$AH665,19,FALSE)-AVERAGE('The List'!T2:T665))/STDEV('The List'!T2:T665)</f>
        <v>2.3673678654309906</v>
      </c>
      <c r="H19" s="54">
        <f>(VLOOKUP($A19,'The List'!$B1:$AH665,20,FALSE)-AVERAGE('The List'!U2:U665))/STDEV('The List'!U2:U665)</f>
        <v>2.0669946558618677</v>
      </c>
      <c r="I19" s="54">
        <f>(VLOOKUP($A19,'The List'!$B1:$AH665,21,FALSE)-AVERAGE('The List'!V2:V665))/STDEV('The List'!V2:V665)</f>
        <v>1.3688260856432675</v>
      </c>
      <c r="J19" s="54">
        <f>(VLOOKUP($A19,'The List'!$B1:$AH665,22,FALSE)-AVERAGE('The List'!W2:W665))/STDEV('The List'!W2:W665)</f>
        <v>1.0512459355800645</v>
      </c>
      <c r="K19" s="54">
        <f>(VLOOKUP($A19,'The List'!$B1:$AH665,23,FALSE)-AVERAGE('The List'!X2:X665))/STDEV('The List'!X2:X665)</f>
        <v>1.9019116236689462</v>
      </c>
      <c r="L19" s="54">
        <f>(VLOOKUP($A19,'The List'!$B1:$AH665,24,FALSE)-AVERAGE('The List'!Y2:Y665))/STDEV('The List'!Y2:Y665)</f>
        <v>1.0862804048859556</v>
      </c>
      <c r="M19" s="54">
        <f>(VLOOKUP($A19,'The List'!$B1:$AH665,25,FALSE)-AVERAGE('The List'!Z2:Z665))/STDEV('The List'!Z2:Z665)</f>
        <v>1.7151686844585965</v>
      </c>
      <c r="N19" s="54">
        <f>(VLOOKUP($A19,'The List'!$B1:$AH665,26,FALSE)-AVERAGE('The List'!AA2:AA665))/STDEV('The List'!AA2:AA665)</f>
        <v>-0.30637310429081166</v>
      </c>
      <c r="O19" s="54">
        <f>(VLOOKUP($A19,'The List'!$B1:$AH665,27,FALSE)-AVERAGE('The List'!AB2:AB665))/STDEV('The List'!AB2:AB665)</f>
        <v>-2.3379210929760356E-2</v>
      </c>
      <c r="P19" s="54">
        <f>(VLOOKUP($A19,'The List'!$B1:$AH665,28,FALSE)-AVERAGE('The List'!AC2:AC665))/STDEV('The List'!AC2:AC665)</f>
        <v>1.9416504165248301</v>
      </c>
      <c r="Q19" s="54">
        <f>(VLOOKUP($A19,'The List'!$B1:$AH665,29,FALSE)-AVERAGE('The List'!AD2:AD665))/STDEV('The List'!AD2:AD665)</f>
        <v>-0.70960261247487866</v>
      </c>
      <c r="R19" s="54">
        <f>(VLOOKUP($A19,'The List'!$B1:$AH665,30,FALSE)-AVERAGE('The List'!AE2:AE665))/STDEV('The List'!AE2:AE665)</f>
        <v>1.6186686843939515</v>
      </c>
      <c r="S19" s="54">
        <f>(VLOOKUP($A19,'The List'!$B1:$AH665,31,FALSE)-AVERAGE('The List'!AF2:AF665))/STDEV('The List'!AF2:AF665)</f>
        <v>2.8600007890831418</v>
      </c>
      <c r="T19" s="54">
        <f>(VLOOKUP($A19,'The List'!$B1:$AH665,32,FALSE)-AVERAGE('The List'!AG2:AG665))/STDEV('The List'!AG2:AG665)</f>
        <v>2.2020875430843136</v>
      </c>
      <c r="U19" s="54">
        <f>(VLOOKUP($A19,'The List'!$B1:$AH665,33,FALSE)-AVERAGE('The List'!AH2:AH665))/STDEV('The List'!AH2:AH665)</f>
        <v>1.3234987023364007</v>
      </c>
      <c r="V19" s="54"/>
      <c r="W19" s="56"/>
      <c r="X19" s="54"/>
      <c r="Y19" s="54"/>
      <c r="Z19" s="54"/>
      <c r="AA19" s="54"/>
      <c r="AB19" s="54"/>
      <c r="AC19" s="54"/>
      <c r="AD19" s="54"/>
      <c r="AE19" s="54"/>
    </row>
    <row r="20" spans="1:31" ht="21.25" customHeight="1" x14ac:dyDescent="0.15">
      <c r="A20" s="9" t="s">
        <v>177</v>
      </c>
      <c r="B20" s="65" t="str">
        <f>VLOOKUP(A20,'Player Data'!A1:B667,2,FALSE)</f>
        <v>CHI</v>
      </c>
      <c r="C20" s="51">
        <f>((E20)*Settings!$C$12)+(F20*Settings!$C$2)+(G20*Settings!$C$3)+(H20*Settings!$C$4)+(I20*Settings!$C$5)+(K20*Settings!$C$9)+(N20*Settings!$C$6)+(J20*Settings!$C$8)+(O20*Settings!$C$7)+(P20*Settings!$C$14)+(Q20*Settings!$C$15)+(R20*Settings!$C$16)+(S20*Settings!$C$17)+(T20*Settings!$C$18)+(U20*Settings!$C$19)+(L20*Settings!$C$10)+(Settings!$C$11*M20)</f>
        <v>4.4746587558515367</v>
      </c>
      <c r="D20" s="56">
        <f>IF(Settings!$E$12="YES",VLOOKUP(A20,'Player Data'!A1:E667,5,FALSE),82)</f>
        <v>76.22</v>
      </c>
      <c r="E20" s="54">
        <f>(VLOOKUP($A20,'The List'!$B1:$AH665,17,FALSE)-AVERAGE('The List'!R2:R665))/STDEV('The List'!R2:R665)</f>
        <v>0.90690385893555459</v>
      </c>
      <c r="F20" s="54">
        <f>(VLOOKUP($A20,'The List'!$B1:$AH665,18,FALSE)-AVERAGE('The List'!S2:S665))/STDEV('The List'!S2:S665)</f>
        <v>1.6805613100480643</v>
      </c>
      <c r="G20" s="54">
        <f>(VLOOKUP($A20,'The List'!$B1:$AH665,19,FALSE)-AVERAGE('The List'!T2:T665))/STDEV('The List'!T2:T665)</f>
        <v>2.0192953653300281</v>
      </c>
      <c r="H20" s="54">
        <f>(VLOOKUP($A20,'The List'!$B1:$AH665,20,FALSE)-AVERAGE('The List'!U2:U665))/STDEV('The List'!U2:U665)</f>
        <v>2.0179909619481915</v>
      </c>
      <c r="I20" s="54">
        <f>(VLOOKUP($A20,'The List'!$B1:$AH665,21,FALSE)-AVERAGE('The List'!V2:V665))/STDEV('The List'!V2:V665)</f>
        <v>1.7471468730459065</v>
      </c>
      <c r="J20" s="54">
        <f>(VLOOKUP($A20,'The List'!$B1:$AH665,22,FALSE)-AVERAGE('The List'!W2:W665))/STDEV('The List'!W2:W665)</f>
        <v>1.1256308737931366</v>
      </c>
      <c r="K20" s="54">
        <f>(VLOOKUP($A20,'The List'!$B1:$AH665,23,FALSE)-AVERAGE('The List'!X2:X665))/STDEV('The List'!X2:X665)</f>
        <v>2.1760722888477146</v>
      </c>
      <c r="L20" s="54">
        <f>(VLOOKUP($A20,'The List'!$B1:$AH665,24,FALSE)-AVERAGE('The List'!Y2:Y665))/STDEV('The List'!Y2:Y665)</f>
        <v>-0.56826194895900883</v>
      </c>
      <c r="M20" s="54">
        <f>(VLOOKUP($A20,'The List'!$B1:$AH665,25,FALSE)-AVERAGE('The List'!Z2:Z665))/STDEV('The List'!Z2:Z665)</f>
        <v>-0.74203161673098728</v>
      </c>
      <c r="N20" s="54">
        <f>(VLOOKUP($A20,'The List'!$B1:$AH665,26,FALSE)-AVERAGE('The List'!AA2:AA665))/STDEV('The List'!AA2:AA665)</f>
        <v>-0.80623987089659233</v>
      </c>
      <c r="O20" s="54">
        <f>(VLOOKUP($A20,'The List'!$B1:$AH665,27,FALSE)-AVERAGE('The List'!AB2:AB665))/STDEV('The List'!AB2:AB665)</f>
        <v>-0.69780410884543442</v>
      </c>
      <c r="P20" s="54">
        <f>(VLOOKUP($A20,'The List'!$B1:$AH665,28,FALSE)-AVERAGE('The List'!AC2:AC665))/STDEV('The List'!AC2:AC665)</f>
        <v>-2.3421772105235847</v>
      </c>
      <c r="Q20" s="54">
        <f>(VLOOKUP($A20,'The List'!$B1:$AH665,29,FALSE)-AVERAGE('The List'!AD2:AD665))/STDEV('The List'!AD2:AD665)</f>
        <v>0.15806610664836562</v>
      </c>
      <c r="R20" s="54">
        <f>(VLOOKUP($A20,'The List'!$B1:$AH665,30,FALSE)-AVERAGE('The List'!AE2:AE665))/STDEV('The List'!AE2:AE665)</f>
        <v>1.2251956553309837</v>
      </c>
      <c r="S20" s="54">
        <f>(VLOOKUP($A20,'The List'!$B1:$AH665,31,FALSE)-AVERAGE('The List'!AF2:AF665))/STDEV('The List'!AF2:AF665)</f>
        <v>0.56683802228150704</v>
      </c>
      <c r="T20" s="54">
        <f>(VLOOKUP($A20,'The List'!$B1:$AH665,32,FALSE)-AVERAGE('The List'!AG2:AG665))/STDEV('The List'!AG2:AG665)</f>
        <v>1.2792222430743805</v>
      </c>
      <c r="U20" s="54">
        <f>(VLOOKUP($A20,'The List'!$B1:$AH665,33,FALSE)-AVERAGE('The List'!AH2:AH665))/STDEV('The List'!AH2:AH665)</f>
        <v>0.53236776131973684</v>
      </c>
      <c r="V20" s="54"/>
      <c r="W20" s="64"/>
      <c r="X20" s="56"/>
      <c r="Y20" s="56"/>
      <c r="Z20" s="56"/>
      <c r="AA20" s="56"/>
      <c r="AB20" s="56"/>
      <c r="AC20" s="59"/>
      <c r="AD20" s="60"/>
      <c r="AE20" s="54"/>
    </row>
    <row r="21" spans="1:31" ht="21.25" customHeight="1" x14ac:dyDescent="0.15">
      <c r="A21" s="9" t="s">
        <v>155</v>
      </c>
      <c r="B21" s="65" t="str">
        <f>VLOOKUP(A21,'Player Data'!A1:B667,2,FALSE)</f>
        <v>NSH</v>
      </c>
      <c r="C21" s="51">
        <f>((E21)*Settings!$C$12)+(F21*Settings!$C$2)+(G21*Settings!$C$3)+(H21*Settings!$C$4)+(I21*Settings!$C$5)+(K21*Settings!$C$9)+(N21*Settings!$C$6)+(J21*Settings!$C$8)+(O21*Settings!$C$7)+(P21*Settings!$C$14)+(Q21*Settings!$C$15)+(R21*Settings!$C$16)+(S21*Settings!$C$17)+(T21*Settings!$C$18)+(U21*Settings!$C$19)+(L21*Settings!$C$10)+(Settings!$C$11*M21)</f>
        <v>8.7592531733184327</v>
      </c>
      <c r="D21" s="56">
        <f>IF(Settings!$E$12="YES",VLOOKUP(A21,'Player Data'!A1:E667,5,FALSE),82)</f>
        <v>76.33</v>
      </c>
      <c r="E21" s="54">
        <f>(VLOOKUP($A21,'The List'!$B1:$AH665,17,FALSE)-AVERAGE('The List'!R2:R665))/STDEV('The List'!R2:R665)</f>
        <v>0.53672210451397706</v>
      </c>
      <c r="F21" s="54">
        <f>(VLOOKUP($A21,'The List'!$B1:$AH665,18,FALSE)-AVERAGE('The List'!S2:S665))/STDEV('The List'!S2:S665)</f>
        <v>2.5140798294156887</v>
      </c>
      <c r="G21" s="54">
        <f>(VLOOKUP($A21,'The List'!$B1:$AH665,19,FALSE)-AVERAGE('The List'!T2:T665))/STDEV('The List'!T2:T665)</f>
        <v>1.3280455289746669</v>
      </c>
      <c r="H21" s="54">
        <f>(VLOOKUP($A21,'The List'!$B1:$AH665,20,FALSE)-AVERAGE('The List'!U2:U665))/STDEV('The List'!U2:U665)</f>
        <v>1.9675597332650256</v>
      </c>
      <c r="I21" s="54">
        <f>(VLOOKUP($A21,'The List'!$B1:$AH665,21,FALSE)-AVERAGE('The List'!V2:V665))/STDEV('The List'!V2:V665)</f>
        <v>2.6546497895368097</v>
      </c>
      <c r="J21" s="54">
        <f>(VLOOKUP($A21,'The List'!$B1:$AH665,22,FALSE)-AVERAGE('The List'!W2:W665))/STDEV('The List'!W2:W665)</f>
        <v>2.0481275664947187</v>
      </c>
      <c r="K21" s="54">
        <f>(VLOOKUP($A21,'The List'!$B1:$AH665,23,FALSE)-AVERAGE('The List'!X2:X665))/STDEV('The List'!X2:X665)</f>
        <v>1.9090076090063375</v>
      </c>
      <c r="L21" s="54">
        <f>(VLOOKUP($A21,'The List'!$B1:$AH665,24,FALSE)-AVERAGE('The List'!Y2:Y665))/STDEV('The List'!Y2:Y665)</f>
        <v>-0.57221958378631277</v>
      </c>
      <c r="M21" s="54">
        <f>(VLOOKUP($A21,'The List'!$B1:$AH665,25,FALSE)-AVERAGE('The List'!Z2:Z665))/STDEV('The List'!Z2:Z665)</f>
        <v>-0.74591110283443129</v>
      </c>
      <c r="N21" s="54">
        <f>(VLOOKUP($A21,'The List'!$B1:$AH665,26,FALSE)-AVERAGE('The List'!AA2:AA665))/STDEV('The List'!AA2:AA665)</f>
        <v>-0.6069544203841224</v>
      </c>
      <c r="O21" s="54">
        <f>(VLOOKUP($A21,'The List'!$B1:$AH665,27,FALSE)-AVERAGE('The List'!AB2:AB665))/STDEV('The List'!AB2:AB665)</f>
        <v>0.66664486526404232</v>
      </c>
      <c r="P21" s="54">
        <f>(VLOOKUP($A21,'The List'!$B1:$AH665,28,FALSE)-AVERAGE('The List'!AC2:AC665))/STDEV('The List'!AC2:AC665)</f>
        <v>0.96042483676905155</v>
      </c>
      <c r="Q21" s="54">
        <f>(VLOOKUP($A21,'The List'!$B1:$AH665,29,FALSE)-AVERAGE('The List'!AD2:AD665))/STDEV('The List'!AD2:AD665)</f>
        <v>0.17300464354886202</v>
      </c>
      <c r="R21" s="54">
        <f>(VLOOKUP($A21,'The List'!$B1:$AH665,30,FALSE)-AVERAGE('The List'!AE2:AE665))/STDEV('The List'!AE2:AE665)</f>
        <v>2.2217982706305039</v>
      </c>
      <c r="S21" s="54">
        <f>(VLOOKUP($A21,'The List'!$B1:$AH665,31,FALSE)-AVERAGE('The List'!AF2:AF665))/STDEV('The List'!AF2:AF665)</f>
        <v>-0.5346756707478747</v>
      </c>
      <c r="T21" s="54">
        <f>(VLOOKUP($A21,'The List'!$B1:$AH665,32,FALSE)-AVERAGE('The List'!AG2:AG665))/STDEV('The List'!AG2:AG665)</f>
        <v>-0.58434798670070542</v>
      </c>
      <c r="U21" s="54">
        <f>(VLOOKUP($A21,'The List'!$B1:$AH665,33,FALSE)-AVERAGE('The List'!AH2:AH665))/STDEV('The List'!AH2:AH665)</f>
        <v>1.0430549309384414</v>
      </c>
      <c r="V21" s="54"/>
      <c r="W21" s="64"/>
      <c r="X21" s="56"/>
      <c r="Y21" s="56"/>
      <c r="Z21" s="56"/>
      <c r="AA21" s="56"/>
      <c r="AB21" s="56"/>
      <c r="AC21" s="59"/>
      <c r="AD21" s="60"/>
      <c r="AE21" s="54"/>
    </row>
    <row r="22" spans="1:31" ht="21.25" customHeight="1" x14ac:dyDescent="0.15">
      <c r="A22" s="9" t="s">
        <v>157</v>
      </c>
      <c r="B22" s="65" t="str">
        <f>VLOOKUP(A22,'Player Data'!A1:B667,2,FALSE)</f>
        <v>VAN</v>
      </c>
      <c r="C22" s="51">
        <f>((E22)*Settings!$C$12)+(F22*Settings!$C$2)+(G22*Settings!$C$3)+(H22*Settings!$C$4)+(I22*Settings!$C$5)+(K22*Settings!$C$9)+(N22*Settings!$C$6)+(J22*Settings!$C$8)+(O22*Settings!$C$7)+(P22*Settings!$C$14)+(Q22*Settings!$C$15)+(R22*Settings!$C$16)+(S22*Settings!$C$17)+(T22*Settings!$C$18)+(U22*Settings!$C$19)+(L22*Settings!$C$10)+(Settings!$C$11*M22)</f>
        <v>8.4719956528963074</v>
      </c>
      <c r="D22" s="56">
        <f>IF(Settings!$E$12="YES",VLOOKUP(A22,'Player Data'!A1:E667,5,FALSE),82)</f>
        <v>81.515000000000001</v>
      </c>
      <c r="E22" s="54">
        <f>(VLOOKUP($A22,'The List'!$B1:$AH665,17,FALSE)-AVERAGE('The List'!R2:R665))/STDEV('The List'!R2:R665)</f>
        <v>0.64658464596230092</v>
      </c>
      <c r="F22" s="54">
        <f>(VLOOKUP($A22,'The List'!$B1:$AH665,18,FALSE)-AVERAGE('The List'!S2:S665))/STDEV('The List'!S2:S665)</f>
        <v>1.6692986036780941</v>
      </c>
      <c r="G22" s="54">
        <f>(VLOOKUP($A22,'The List'!$B1:$AH665,19,FALSE)-AVERAGE('The List'!T2:T665))/STDEV('The List'!T2:T665)</f>
        <v>2.3327962546403644</v>
      </c>
      <c r="H22" s="54">
        <f>(VLOOKUP($A22,'The List'!$B1:$AH665,20,FALSE)-AVERAGE('The List'!U2:U665))/STDEV('The List'!U2:U665)</f>
        <v>2.2075732063691063</v>
      </c>
      <c r="I22" s="54">
        <f>(VLOOKUP($A22,'The List'!$B1:$AH665,21,FALSE)-AVERAGE('The List'!V2:V665))/STDEV('The List'!V2:V665)</f>
        <v>1.022513868371143</v>
      </c>
      <c r="J22" s="54">
        <f>(VLOOKUP($A22,'The List'!$B1:$AH665,22,FALSE)-AVERAGE('The List'!W2:W665))/STDEV('The List'!W2:W665)</f>
        <v>1.727499716604272</v>
      </c>
      <c r="K22" s="54">
        <f>(VLOOKUP($A22,'The List'!$B1:$AH665,23,FALSE)-AVERAGE('The List'!X2:X665))/STDEV('The List'!X2:X665)</f>
        <v>2.4983185512810442</v>
      </c>
      <c r="L22" s="54">
        <f>(VLOOKUP($A22,'The List'!$B1:$AH665,24,FALSE)-AVERAGE('The List'!Y2:Y665))/STDEV('The List'!Y2:Y665)</f>
        <v>2.1273770696121637</v>
      </c>
      <c r="M22" s="54">
        <f>(VLOOKUP($A22,'The List'!$B1:$AH665,25,FALSE)-AVERAGE('The List'!Z2:Z665))/STDEV('The List'!Z2:Z665)</f>
        <v>1.6549657162536804</v>
      </c>
      <c r="N22" s="54">
        <f>(VLOOKUP($A22,'The List'!$B1:$AH665,26,FALSE)-AVERAGE('The List'!AA2:AA665))/STDEV('The List'!AA2:AA665)</f>
        <v>-0.23854141861179912</v>
      </c>
      <c r="O22" s="54">
        <f>(VLOOKUP($A22,'The List'!$B1:$AH665,27,FALSE)-AVERAGE('The List'!AB2:AB665))/STDEV('The List'!AB2:AB665)</f>
        <v>2.129349092906355</v>
      </c>
      <c r="P22" s="54">
        <f>(VLOOKUP($A22,'The List'!$B1:$AH665,28,FALSE)-AVERAGE('The List'!AC2:AC665))/STDEV('The List'!AC2:AC665)</f>
        <v>1.1876097935374612</v>
      </c>
      <c r="Q22" s="54">
        <f>(VLOOKUP($A22,'The List'!$B1:$AH665,29,FALSE)-AVERAGE('The List'!AD2:AD665))/STDEV('The List'!AD2:AD665)</f>
        <v>1.3710851324728752</v>
      </c>
      <c r="R22" s="54">
        <f>(VLOOKUP($A22,'The List'!$B1:$AH665,30,FALSE)-AVERAGE('The List'!AE2:AE665))/STDEV('The List'!AE2:AE665)</f>
        <v>2.0164583062319519</v>
      </c>
      <c r="S22" s="54">
        <f>(VLOOKUP($A22,'The List'!$B1:$AH665,31,FALSE)-AVERAGE('The List'!AF2:AF665))/STDEV('The List'!AF2:AF665)</f>
        <v>2.9132435449484655</v>
      </c>
      <c r="T22" s="54">
        <f>(VLOOKUP($A22,'The List'!$B1:$AH665,32,FALSE)-AVERAGE('The List'!AG2:AG665))/STDEV('The List'!AG2:AG665)</f>
        <v>2.3802209124839595</v>
      </c>
      <c r="U22" s="54">
        <f>(VLOOKUP($A22,'The List'!$B1:$AH665,33,FALSE)-AVERAGE('The List'!AH2:AH665))/STDEV('The List'!AH2:AH665)</f>
        <v>1.2724053906249839</v>
      </c>
      <c r="V22" s="54"/>
      <c r="W22" s="56"/>
      <c r="X22" s="54"/>
      <c r="Y22" s="54"/>
      <c r="Z22" s="54"/>
      <c r="AA22" s="54"/>
      <c r="AB22" s="54"/>
      <c r="AC22" s="54"/>
      <c r="AD22" s="54"/>
      <c r="AE22" s="54"/>
    </row>
    <row r="23" spans="1:31" ht="21.25" customHeight="1" x14ac:dyDescent="0.15">
      <c r="A23" s="9" t="s">
        <v>152</v>
      </c>
      <c r="B23" s="65" t="str">
        <f>VLOOKUP(A23,'Player Data'!A1:B667,2,FALSE)</f>
        <v>PIT</v>
      </c>
      <c r="C23" s="51">
        <f>((E23)*Settings!$C$12)+(F23*Settings!$C$2)+(G23*Settings!$C$3)+(H23*Settings!$C$4)+(I23*Settings!$C$5)+(K23*Settings!$C$9)+(N23*Settings!$C$6)+(J23*Settings!$C$8)+(O23*Settings!$C$7)+(P23*Settings!$C$14)+(Q23*Settings!$C$15)+(R23*Settings!$C$16)+(S23*Settings!$C$17)+(T23*Settings!$C$18)+(U23*Settings!$C$19)+(L23*Settings!$C$10)+(Settings!$C$11*M23)</f>
        <v>8.4359114711429992</v>
      </c>
      <c r="D23" s="56">
        <f>IF(Settings!$E$12="YES",VLOOKUP(A23,'Player Data'!A1:E667,5,FALSE),82)</f>
        <v>80.73</v>
      </c>
      <c r="E23" s="54">
        <f>(VLOOKUP($A23,'The List'!$B1:$AH665,17,FALSE)-AVERAGE('The List'!R2:R665))/STDEV('The List'!R2:R665)</f>
        <v>0.92952429611917875</v>
      </c>
      <c r="F23" s="54">
        <f>(VLOOKUP($A23,'The List'!$B1:$AH665,18,FALSE)-AVERAGE('The List'!S2:S665))/STDEV('The List'!S2:S665)</f>
        <v>2.1481340094362147</v>
      </c>
      <c r="G23" s="54">
        <f>(VLOOKUP($A23,'The List'!$B1:$AH665,19,FALSE)-AVERAGE('The List'!T2:T665))/STDEV('The List'!T2:T665)</f>
        <v>2.173882401566444</v>
      </c>
      <c r="H23" s="54">
        <f>(VLOOKUP($A23,'The List'!$B1:$AH665,20,FALSE)-AVERAGE('The List'!U2:U665))/STDEV('The List'!U2:U665)</f>
        <v>2.3265322209748684</v>
      </c>
      <c r="I23" s="54">
        <f>(VLOOKUP($A23,'The List'!$B1:$AH665,21,FALSE)-AVERAGE('The List'!V2:V665))/STDEV('The List'!V2:V665)</f>
        <v>2.2552132369603122</v>
      </c>
      <c r="J23" s="54">
        <f>(VLOOKUP($A23,'The List'!$B1:$AH665,22,FALSE)-AVERAGE('The List'!W2:W665))/STDEV('The List'!W2:W665)</f>
        <v>1.7799799933042215</v>
      </c>
      <c r="K23" s="54">
        <f>(VLOOKUP($A23,'The List'!$B1:$AH665,23,FALSE)-AVERAGE('The List'!X2:X665))/STDEV('The List'!X2:X665)</f>
        <v>1.7954117983215769</v>
      </c>
      <c r="L23" s="54">
        <f>(VLOOKUP($A23,'The List'!$B1:$AH665,24,FALSE)-AVERAGE('The List'!Y2:Y665))/STDEV('The List'!Y2:Y665)</f>
        <v>-0.52306673375581225</v>
      </c>
      <c r="M23" s="54">
        <f>(VLOOKUP($A23,'The List'!$B1:$AH665,25,FALSE)-AVERAGE('The List'!Z2:Z665))/STDEV('The List'!Z2:Z665)</f>
        <v>-0.69501301985246899</v>
      </c>
      <c r="N23" s="54">
        <f>(VLOOKUP($A23,'The List'!$B1:$AH665,26,FALSE)-AVERAGE('The List'!AA2:AA665))/STDEV('The List'!AA2:AA665)</f>
        <v>-0.6094739726278029</v>
      </c>
      <c r="O23" s="54">
        <f>(VLOOKUP($A23,'The List'!$B1:$AH665,27,FALSE)-AVERAGE('The List'!AB2:AB665))/STDEV('The List'!AB2:AB665)</f>
        <v>-0.10607307843148178</v>
      </c>
      <c r="P23" s="54">
        <f>(VLOOKUP($A23,'The List'!$B1:$AH665,28,FALSE)-AVERAGE('The List'!AC2:AC665))/STDEV('The List'!AC2:AC665)</f>
        <v>0.67274399748625302</v>
      </c>
      <c r="Q23" s="54">
        <f>(VLOOKUP($A23,'The List'!$B1:$AH665,29,FALSE)-AVERAGE('The List'!AD2:AD665))/STDEV('The List'!AD2:AD665)</f>
        <v>0.37119428781350128</v>
      </c>
      <c r="R23" s="54">
        <f>(VLOOKUP($A23,'The List'!$B1:$AH665,30,FALSE)-AVERAGE('The List'!AE2:AE665))/STDEV('The List'!AE2:AE665)</f>
        <v>2.0378223660281671</v>
      </c>
      <c r="S23" s="54">
        <f>(VLOOKUP($A23,'The List'!$B1:$AH665,31,FALSE)-AVERAGE('The List'!AF2:AF665))/STDEV('The List'!AF2:AF665)</f>
        <v>4.3056318195246934</v>
      </c>
      <c r="T23" s="54">
        <f>(VLOOKUP($A23,'The List'!$B1:$AH665,32,FALSE)-AVERAGE('The List'!AG2:AG665))/STDEV('The List'!AG2:AG665)</f>
        <v>3.6021241013054306</v>
      </c>
      <c r="U23" s="54">
        <f>(VLOOKUP($A23,'The List'!$B1:$AH665,33,FALSE)-AVERAGE('The List'!AH2:AH665))/STDEV('The List'!AH2:AH665)</f>
        <v>1.2666540835026032</v>
      </c>
      <c r="V23" s="54"/>
      <c r="W23" s="64"/>
      <c r="X23" s="56"/>
      <c r="Y23" s="56"/>
      <c r="Z23" s="56"/>
      <c r="AA23" s="56"/>
      <c r="AB23" s="56"/>
      <c r="AC23" s="59"/>
      <c r="AD23" s="60"/>
      <c r="AE23" s="54"/>
    </row>
    <row r="24" spans="1:31" ht="21.25" customHeight="1" x14ac:dyDescent="0.15">
      <c r="A24" s="9" t="s">
        <v>203</v>
      </c>
      <c r="B24" s="65" t="str">
        <f>VLOOKUP(A24,'Player Data'!A1:B667,2,FALSE)</f>
        <v>STL</v>
      </c>
      <c r="C24" s="51">
        <f>((E24)*Settings!$C$12)+(F24*Settings!$C$2)+(G24*Settings!$C$3)+(H24*Settings!$C$4)+(I24*Settings!$C$5)+(K24*Settings!$C$9)+(N24*Settings!$C$6)+(J24*Settings!$C$8)+(O24*Settings!$C$7)+(P24*Settings!$C$14)+(Q24*Settings!$C$15)+(R24*Settings!$C$16)+(S24*Settings!$C$17)+(T24*Settings!$C$18)+(U24*Settings!$C$19)+(L24*Settings!$C$10)+(Settings!$C$11*M24)</f>
        <v>5.2063996308106235</v>
      </c>
      <c r="D24" s="56">
        <f>IF(Settings!$E$12="YES",VLOOKUP(A24,'Player Data'!A1:E667,5,FALSE),82)</f>
        <v>79.792500000000004</v>
      </c>
      <c r="E24" s="54">
        <f>(VLOOKUP($A24,'The List'!$B1:$AH665,17,FALSE)-AVERAGE('The List'!R2:R665))/STDEV('The List'!R2:R665)</f>
        <v>1.0982266588307683</v>
      </c>
      <c r="F24" s="54">
        <f>(VLOOKUP($A24,'The List'!$B1:$AH665,18,FALSE)-AVERAGE('The List'!S2:S665))/STDEV('The List'!S2:S665)</f>
        <v>1.1552803412784292</v>
      </c>
      <c r="G24" s="54">
        <f>(VLOOKUP($A24,'The List'!$B1:$AH665,19,FALSE)-AVERAGE('The List'!T2:T665))/STDEV('The List'!T2:T665)</f>
        <v>2.5036008953997455</v>
      </c>
      <c r="H24" s="54">
        <f>(VLOOKUP($A24,'The List'!$B1:$AH665,20,FALSE)-AVERAGE('The List'!U2:U665))/STDEV('The List'!U2:U665)</f>
        <v>2.0800067587935804</v>
      </c>
      <c r="I24" s="54">
        <f>(VLOOKUP($A24,'The List'!$B1:$AH665,21,FALSE)-AVERAGE('The List'!V2:V665))/STDEV('The List'!V2:V665)</f>
        <v>0.50843668330762892</v>
      </c>
      <c r="J24" s="54">
        <f>(VLOOKUP($A24,'The List'!$B1:$AH665,22,FALSE)-AVERAGE('The List'!W2:W665))/STDEV('The List'!W2:W665)</f>
        <v>1.367284657903681</v>
      </c>
      <c r="K24" s="54">
        <f>(VLOOKUP($A24,'The List'!$B1:$AH665,23,FALSE)-AVERAGE('The List'!X2:X665))/STDEV('The List'!X2:X665)</f>
        <v>1.9979760222556413</v>
      </c>
      <c r="L24" s="54">
        <f>(VLOOKUP($A24,'The List'!$B1:$AH665,24,FALSE)-AVERAGE('The List'!Y2:Y665))/STDEV('The List'!Y2:Y665)</f>
        <v>1.5009284180215492</v>
      </c>
      <c r="M24" s="54">
        <f>(VLOOKUP($A24,'The List'!$B1:$AH665,25,FALSE)-AVERAGE('The List'!Z2:Z665))/STDEV('The List'!Z2:Z665)</f>
        <v>1.609528143440881</v>
      </c>
      <c r="N24" s="54">
        <f>(VLOOKUP($A24,'The List'!$B1:$AH665,26,FALSE)-AVERAGE('The List'!AA2:AA665))/STDEV('The List'!AA2:AA665)</f>
        <v>-0.55601410015874286</v>
      </c>
      <c r="O24" s="54">
        <f>(VLOOKUP($A24,'The List'!$B1:$AH665,27,FALSE)-AVERAGE('The List'!AB2:AB665))/STDEV('The List'!AB2:AB665)</f>
        <v>-1.4775272974387375</v>
      </c>
      <c r="P24" s="54">
        <f>(VLOOKUP($A24,'The List'!$B1:$AH665,28,FALSE)-AVERAGE('The List'!AC2:AC665))/STDEV('The List'!AC2:AC665)</f>
        <v>-0.40288021127207874</v>
      </c>
      <c r="Q24" s="54">
        <f>(VLOOKUP($A24,'The List'!$B1:$AH665,29,FALSE)-AVERAGE('The List'!AD2:AD665))/STDEV('The List'!AD2:AD665)</f>
        <v>-6.9130246305244072E-2</v>
      </c>
      <c r="R24" s="54">
        <f>(VLOOKUP($A24,'The List'!$B1:$AH665,30,FALSE)-AVERAGE('The List'!AE2:AE665))/STDEV('The List'!AE2:AE665)</f>
        <v>0.64823360873548752</v>
      </c>
      <c r="S24" s="54">
        <f>(VLOOKUP($A24,'The List'!$B1:$AH665,31,FALSE)-AVERAGE('The List'!AF2:AF665))/STDEV('The List'!AF2:AF665)</f>
        <v>3.3405409344385357</v>
      </c>
      <c r="T24" s="54">
        <f>(VLOOKUP($A24,'The List'!$B1:$AH665,32,FALSE)-AVERAGE('The List'!AG2:AG665))/STDEV('The List'!AG2:AG665)</f>
        <v>3.1674038983380801</v>
      </c>
      <c r="U24" s="54">
        <f>(VLOOKUP($A24,'The List'!$B1:$AH665,33,FALSE)-AVERAGE('The List'!AH2:AH665))/STDEV('The List'!AH2:AH665)</f>
        <v>1.1406032201769263</v>
      </c>
      <c r="V24" s="54"/>
      <c r="W24" s="64"/>
      <c r="X24" s="56"/>
      <c r="Y24" s="56"/>
      <c r="Z24" s="56"/>
      <c r="AA24" s="56"/>
      <c r="AB24" s="56"/>
      <c r="AC24" s="59"/>
      <c r="AD24" s="60"/>
      <c r="AE24" s="54"/>
    </row>
    <row r="25" spans="1:31" ht="21.25" customHeight="1" x14ac:dyDescent="0.15">
      <c r="A25" s="9" t="s">
        <v>164</v>
      </c>
      <c r="B25" s="65" t="str">
        <f>VLOOKUP(A25,'Player Data'!A1:B667,2,FALSE)</f>
        <v>N.J</v>
      </c>
      <c r="C25" s="51">
        <f>((E25)*Settings!$C$12)+(F25*Settings!$C$2)+(G25*Settings!$C$3)+(H25*Settings!$C$4)+(I25*Settings!$C$5)+(K25*Settings!$C$9)+(N25*Settings!$C$6)+(J25*Settings!$C$8)+(O25*Settings!$C$7)+(P25*Settings!$C$14)+(Q25*Settings!$C$15)+(R25*Settings!$C$16)+(S25*Settings!$C$17)+(T25*Settings!$C$18)+(U25*Settings!$C$19)+(L25*Settings!$C$10)+(Settings!$C$11*M25)</f>
        <v>7.8149989436829843</v>
      </c>
      <c r="D25" s="56">
        <f>IF(Settings!$E$12="YES",VLOOKUP(A25,'Player Data'!A1:E667,5,FALSE),82)</f>
        <v>81.430000000000007</v>
      </c>
      <c r="E25" s="54">
        <f>(VLOOKUP($A25,'The List'!$B1:$AH665,17,FALSE)-AVERAGE('The List'!R2:R665))/STDEV('The List'!R2:R665)</f>
        <v>0.76341434236330752</v>
      </c>
      <c r="F25" s="54">
        <f>(VLOOKUP($A25,'The List'!$B1:$AH665,18,FALSE)-AVERAGE('The List'!S2:S665))/STDEV('The List'!S2:S665)</f>
        <v>1.5403262859328091</v>
      </c>
      <c r="G25" s="54">
        <f>(VLOOKUP($A25,'The List'!$B1:$AH665,19,FALSE)-AVERAGE('The List'!T2:T665))/STDEV('The List'!T2:T665)</f>
        <v>2.0296935302436672</v>
      </c>
      <c r="H25" s="54">
        <f>(VLOOKUP($A25,'The List'!$B1:$AH665,20,FALSE)-AVERAGE('The List'!U2:U665))/STDEV('The List'!U2:U665)</f>
        <v>1.960705322662611</v>
      </c>
      <c r="I25" s="54">
        <f>(VLOOKUP($A25,'The List'!$B1:$AH665,21,FALSE)-AVERAGE('The List'!V2:V665))/STDEV('The List'!V2:V665)</f>
        <v>1.6822116257146738</v>
      </c>
      <c r="J25" s="54">
        <f>(VLOOKUP($A25,'The List'!$B1:$AH665,22,FALSE)-AVERAGE('The List'!W2:W665))/STDEV('The List'!W2:W665)</f>
        <v>1.2485593837322531</v>
      </c>
      <c r="K25" s="54">
        <f>(VLOOKUP($A25,'The List'!$B1:$AH665,23,FALSE)-AVERAGE('The List'!X2:X665))/STDEV('The List'!X2:X665)</f>
        <v>1.928978293695917</v>
      </c>
      <c r="L25" s="54">
        <f>(VLOOKUP($A25,'The List'!$B1:$AH665,24,FALSE)-AVERAGE('The List'!Y2:Y665))/STDEV('The List'!Y2:Y665)</f>
        <v>-0.25459989616778383</v>
      </c>
      <c r="M25" s="54">
        <f>(VLOOKUP($A25,'The List'!$B1:$AH665,25,FALSE)-AVERAGE('The List'!Z2:Z665))/STDEV('The List'!Z2:Z665)</f>
        <v>0.43706501259572167</v>
      </c>
      <c r="N25" s="54">
        <f>(VLOOKUP($A25,'The List'!$B1:$AH665,26,FALSE)-AVERAGE('The List'!AA2:AA665))/STDEV('The List'!AA2:AA665)</f>
        <v>-0.76774363391363298</v>
      </c>
      <c r="O25" s="54">
        <f>(VLOOKUP($A25,'The List'!$B1:$AH665,27,FALSE)-AVERAGE('The List'!AB2:AB665))/STDEV('The List'!AB2:AB665)</f>
        <v>-0.76874101024849517</v>
      </c>
      <c r="P25" s="54">
        <f>(VLOOKUP($A25,'The List'!$B1:$AH665,28,FALSE)-AVERAGE('The List'!AC2:AC665))/STDEV('The List'!AC2:AC665)</f>
        <v>1.4015328420095503</v>
      </c>
      <c r="Q25" s="54">
        <f>(VLOOKUP($A25,'The List'!$B1:$AH665,29,FALSE)-AVERAGE('The List'!AD2:AD665))/STDEV('The List'!AD2:AD665)</f>
        <v>-1.1297206013033947</v>
      </c>
      <c r="R25" s="54">
        <f>(VLOOKUP($A25,'The List'!$B1:$AH665,30,FALSE)-AVERAGE('The List'!AE2:AE665))/STDEV('The List'!AE2:AE665)</f>
        <v>1.5080541884659129</v>
      </c>
      <c r="S25" s="54">
        <f>(VLOOKUP($A25,'The List'!$B1:$AH665,31,FALSE)-AVERAGE('The List'!AF2:AF665))/STDEV('The List'!AF2:AF665)</f>
        <v>-0.56070405278767788</v>
      </c>
      <c r="T25" s="54">
        <f>(VLOOKUP($A25,'The List'!$B1:$AH665,32,FALSE)-AVERAGE('The List'!AG2:AG665))/STDEV('The List'!AG2:AG665)</f>
        <v>-0.55344288013731135</v>
      </c>
      <c r="U25" s="54">
        <f>(VLOOKUP($A25,'The List'!$B1:$AH665,33,FALSE)-AVERAGE('The List'!AH2:AH665))/STDEV('The List'!AH2:AH665)</f>
        <v>-0.49498534690011359</v>
      </c>
      <c r="V25" s="54"/>
      <c r="W25" s="64"/>
      <c r="X25" s="56"/>
      <c r="Y25" s="56"/>
      <c r="Z25" s="56"/>
      <c r="AA25" s="56"/>
      <c r="AB25" s="56"/>
      <c r="AC25" s="59"/>
      <c r="AD25" s="60"/>
      <c r="AE25" s="54"/>
    </row>
    <row r="26" spans="1:31" ht="21.25" customHeight="1" x14ac:dyDescent="0.15">
      <c r="A26" s="9" t="s">
        <v>156</v>
      </c>
      <c r="B26" s="65" t="str">
        <f>VLOOKUP(A26,'Player Data'!A1:B667,2,FALSE)</f>
        <v>T.B</v>
      </c>
      <c r="C26" s="51">
        <f>((E26)*Settings!$C$12)+(F26*Settings!$C$2)+(G26*Settings!$C$3)+(H26*Settings!$C$4)+(I26*Settings!$C$5)+(K26*Settings!$C$9)+(N26*Settings!$C$6)+(J26*Settings!$C$8)+(O26*Settings!$C$7)+(P26*Settings!$C$14)+(Q26*Settings!$C$15)+(R26*Settings!$C$16)+(S26*Settings!$C$17)+(T26*Settings!$C$18)+(U26*Settings!$C$19)+(L26*Settings!$C$10)+(Settings!$C$11*M26)</f>
        <v>7.8268049052901514</v>
      </c>
      <c r="D26" s="56">
        <f>IF(Settings!$E$12="YES",VLOOKUP(A26,'Player Data'!A1:E667,5,FALSE),82)</f>
        <v>78.217500000000001</v>
      </c>
      <c r="E26" s="54">
        <f>(VLOOKUP($A26,'The List'!$B1:$AH665,17,FALSE)-AVERAGE('The List'!R2:R665))/STDEV('The List'!R2:R665)</f>
        <v>0.87991772779954325</v>
      </c>
      <c r="F26" s="54">
        <f>(VLOOKUP($A26,'The List'!$B1:$AH665,18,FALSE)-AVERAGE('The List'!S2:S665))/STDEV('The List'!S2:S665)</f>
        <v>2.2732026263536795</v>
      </c>
      <c r="G26" s="54">
        <f>(VLOOKUP($A26,'The List'!$B1:$AH665,19,FALSE)-AVERAGE('The List'!T2:T665))/STDEV('The List'!T2:T665)</f>
        <v>1.815368938436033</v>
      </c>
      <c r="H26" s="54">
        <f>(VLOOKUP($A26,'The List'!$B1:$AH665,20,FALSE)-AVERAGE('The List'!U2:U665))/STDEV('The List'!U2:U665)</f>
        <v>2.1607248332125506</v>
      </c>
      <c r="I26" s="54">
        <f>(VLOOKUP($A26,'The List'!$B1:$AH665,21,FALSE)-AVERAGE('The List'!V2:V665))/STDEV('The List'!V2:V665)</f>
        <v>2.2915561646226497</v>
      </c>
      <c r="J26" s="54">
        <f>(VLOOKUP($A26,'The List'!$B1:$AH665,22,FALSE)-AVERAGE('The List'!W2:W665))/STDEV('The List'!W2:W665)</f>
        <v>1.4674965759620551</v>
      </c>
      <c r="K26" s="54">
        <f>(VLOOKUP($A26,'The List'!$B1:$AH665,23,FALSE)-AVERAGE('The List'!X2:X665))/STDEV('The List'!X2:X665)</f>
        <v>1.6617467744049697</v>
      </c>
      <c r="L26" s="54">
        <f>(VLOOKUP($A26,'The List'!$B1:$AH665,24,FALSE)-AVERAGE('The List'!Y2:Y665))/STDEV('The List'!Y2:Y665)</f>
        <v>-0.5433533664518776</v>
      </c>
      <c r="M26" s="54">
        <f>(VLOOKUP($A26,'The List'!$B1:$AH665,25,FALSE)-AVERAGE('The List'!Z2:Z665))/STDEV('The List'!Z2:Z665)</f>
        <v>-0.71629521779949079</v>
      </c>
      <c r="N26" s="54">
        <f>(VLOOKUP($A26,'The List'!$B1:$AH665,26,FALSE)-AVERAGE('The List'!AA2:AA665))/STDEV('The List'!AA2:AA665)</f>
        <v>-0.66652875226301689</v>
      </c>
      <c r="O26" s="54">
        <f>(VLOOKUP($A26,'The List'!$B1:$AH665,27,FALSE)-AVERAGE('The List'!AB2:AB665))/STDEV('The List'!AB2:AB665)</f>
        <v>-0.56040999609892617</v>
      </c>
      <c r="P26" s="54">
        <f>(VLOOKUP($A26,'The List'!$B1:$AH665,28,FALSE)-AVERAGE('The List'!AC2:AC665))/STDEV('The List'!AC2:AC665)</f>
        <v>0.45145915373583523</v>
      </c>
      <c r="Q26" s="54">
        <f>(VLOOKUP($A26,'The List'!$B1:$AH665,29,FALSE)-AVERAGE('The List'!AD2:AD665))/STDEV('The List'!AD2:AD665)</f>
        <v>0.39534989007863497</v>
      </c>
      <c r="R26" s="54">
        <f>(VLOOKUP($A26,'The List'!$B1:$AH665,30,FALSE)-AVERAGE('The List'!AE2:AE665))/STDEV('The List'!AE2:AE665)</f>
        <v>2.3725552857779593</v>
      </c>
      <c r="S26" s="54">
        <f>(VLOOKUP($A26,'The List'!$B1:$AH665,31,FALSE)-AVERAGE('The List'!AF2:AF665))/STDEV('The List'!AF2:AF665)</f>
        <v>-0.5240381354424154</v>
      </c>
      <c r="T26" s="54">
        <f>(VLOOKUP($A26,'The List'!$B1:$AH665,32,FALSE)-AVERAGE('The List'!AG2:AG665))/STDEV('The List'!AG2:AG665)</f>
        <v>-0.55086304820704513</v>
      </c>
      <c r="U26" s="54">
        <f>(VLOOKUP($A26,'The List'!$B1:$AH665,33,FALSE)-AVERAGE('The List'!AH2:AH665))/STDEV('The List'!AH2:AH665)</f>
        <v>0.64749764051737757</v>
      </c>
      <c r="V26" s="54"/>
      <c r="W26" s="56"/>
      <c r="X26" s="56"/>
      <c r="Y26" s="56"/>
      <c r="Z26" s="56"/>
      <c r="AA26" s="56"/>
      <c r="AB26" s="56"/>
      <c r="AC26" s="59"/>
      <c r="AD26" s="60"/>
      <c r="AE26" s="54"/>
    </row>
    <row r="27" spans="1:31" ht="21.25" customHeight="1" x14ac:dyDescent="0.15">
      <c r="A27" s="9" t="s">
        <v>183</v>
      </c>
      <c r="B27" s="65" t="str">
        <f>VLOOKUP(A27,'Player Data'!A1:B667,2,FALSE)</f>
        <v>CAR</v>
      </c>
      <c r="C27" s="51">
        <f>((E27)*Settings!$C$12)+(F27*Settings!$C$2)+(G27*Settings!$C$3)+(H27*Settings!$C$4)+(I27*Settings!$C$5)+(K27*Settings!$C$9)+(N27*Settings!$C$6)+(J27*Settings!$C$8)+(O27*Settings!$C$7)+(P27*Settings!$C$14)+(Q27*Settings!$C$15)+(R27*Settings!$C$16)+(S27*Settings!$C$17)+(T27*Settings!$C$18)+(U27*Settings!$C$19)+(L27*Settings!$C$10)+(Settings!$C$11*M27)</f>
        <v>7.9531683253922534</v>
      </c>
      <c r="D27" s="56">
        <f>IF(Settings!$E$12="YES",VLOOKUP(A27,'Player Data'!A1:E667,5,FALSE),82)</f>
        <v>80.057500000000005</v>
      </c>
      <c r="E27" s="54">
        <f>(VLOOKUP($A27,'The List'!$B1:$AH665,17,FALSE)-AVERAGE('The List'!R2:R665))/STDEV('The List'!R2:R665)</f>
        <v>0.78962459286566089</v>
      </c>
      <c r="F27" s="54">
        <f>(VLOOKUP($A27,'The List'!$B1:$AH665,18,FALSE)-AVERAGE('The List'!S2:S665))/STDEV('The List'!S2:S665)</f>
        <v>2.2643576703592538</v>
      </c>
      <c r="G27" s="54">
        <f>(VLOOKUP($A27,'The List'!$B1:$AH665,19,FALSE)-AVERAGE('The List'!T2:T665))/STDEV('The List'!T2:T665)</f>
        <v>1.6606231798594235</v>
      </c>
      <c r="H27" s="54">
        <f>(VLOOKUP($A27,'The List'!$B1:$AH665,20,FALSE)-AVERAGE('The List'!U2:U665))/STDEV('The List'!U2:U665)</f>
        <v>2.060598563140343</v>
      </c>
      <c r="I27" s="54">
        <f>(VLOOKUP($A27,'The List'!$B1:$AH665,21,FALSE)-AVERAGE('The List'!V2:V665))/STDEV('The List'!V2:V665)</f>
        <v>1.5318729586042525</v>
      </c>
      <c r="J27" s="54">
        <f>(VLOOKUP($A27,'The List'!$B1:$AH665,22,FALSE)-AVERAGE('The List'!W2:W665))/STDEV('The List'!W2:W665)</f>
        <v>1.9812129947478305</v>
      </c>
      <c r="K27" s="54">
        <f>(VLOOKUP($A27,'The List'!$B1:$AH665,23,FALSE)-AVERAGE('The List'!X2:X665))/STDEV('The List'!X2:X665)</f>
        <v>1.7958984933857329</v>
      </c>
      <c r="L27" s="54">
        <f>(VLOOKUP($A27,'The List'!$B1:$AH665,24,FALSE)-AVERAGE('The List'!Y2:Y665))/STDEV('The List'!Y2:Y665)</f>
        <v>2.1487939427107263</v>
      </c>
      <c r="M27" s="54">
        <f>(VLOOKUP($A27,'The List'!$B1:$AH665,25,FALSE)-AVERAGE('The List'!Z2:Z665))/STDEV('The List'!Z2:Z665)</f>
        <v>2.1495103860443701</v>
      </c>
      <c r="N27" s="54">
        <f>(VLOOKUP($A27,'The List'!$B1:$AH665,26,FALSE)-AVERAGE('The List'!AA2:AA665))/STDEV('The List'!AA2:AA665)</f>
        <v>-1.0055552180644698</v>
      </c>
      <c r="O27" s="54">
        <f>(VLOOKUP($A27,'The List'!$B1:$AH665,27,FALSE)-AVERAGE('The List'!AB2:AB665))/STDEV('The List'!AB2:AB665)</f>
        <v>-0.76197883394628541</v>
      </c>
      <c r="P27" s="54">
        <f>(VLOOKUP($A27,'The List'!$B1:$AH665,28,FALSE)-AVERAGE('The List'!AC2:AC665))/STDEV('The List'!AC2:AC665)</f>
        <v>1.7059712412480605</v>
      </c>
      <c r="Q27" s="54">
        <f>(VLOOKUP($A27,'The List'!$B1:$AH665,29,FALSE)-AVERAGE('The List'!AD2:AD665))/STDEV('The List'!AD2:AD665)</f>
        <v>0.57022563553272798</v>
      </c>
      <c r="R27" s="54">
        <f>(VLOOKUP($A27,'The List'!$B1:$AH665,30,FALSE)-AVERAGE('The List'!AE2:AE665))/STDEV('The List'!AE2:AE665)</f>
        <v>2.726725048874505</v>
      </c>
      <c r="S27" s="54">
        <f>(VLOOKUP($A27,'The List'!$B1:$AH665,31,FALSE)-AVERAGE('The List'!AF2:AF665))/STDEV('The List'!AF2:AF665)</f>
        <v>2.2218142041087847</v>
      </c>
      <c r="T27" s="54">
        <f>(VLOOKUP($A27,'The List'!$B1:$AH665,32,FALSE)-AVERAGE('The List'!AG2:AG665))/STDEV('The List'!AG2:AG665)</f>
        <v>2.0295237963811283</v>
      </c>
      <c r="U27" s="54">
        <f>(VLOOKUP($A27,'The List'!$B1:$AH665,33,FALSE)-AVERAGE('The List'!AH2:AH665))/STDEV('The List'!AH2:AH665)</f>
        <v>1.1632784154354556</v>
      </c>
      <c r="V27" s="54"/>
      <c r="W27" s="56"/>
      <c r="X27" s="54"/>
      <c r="Y27" s="54"/>
      <c r="Z27" s="54"/>
      <c r="AA27" s="54"/>
      <c r="AB27" s="54"/>
      <c r="AC27" s="54"/>
      <c r="AD27" s="54"/>
      <c r="AE27" s="54"/>
    </row>
    <row r="28" spans="1:31" ht="21.25" customHeight="1" x14ac:dyDescent="0.15">
      <c r="A28" s="9" t="s">
        <v>165</v>
      </c>
      <c r="B28" s="65" t="str">
        <f>VLOOKUP(A28,'Player Data'!A1:B667,2,FALSE)</f>
        <v>VGK</v>
      </c>
      <c r="C28" s="51">
        <f>((E28)*Settings!$C$12)+(F28*Settings!$C$2)+(G28*Settings!$C$3)+(H28*Settings!$C$4)+(I28*Settings!$C$5)+(K28*Settings!$C$9)+(N28*Settings!$C$6)+(J28*Settings!$C$8)+(O28*Settings!$C$7)+(P28*Settings!$C$14)+(Q28*Settings!$C$15)+(R28*Settings!$C$16)+(S28*Settings!$C$17)+(T28*Settings!$C$18)+(U28*Settings!$C$19)+(L28*Settings!$C$10)+(Settings!$C$11*M28)</f>
        <v>7.9814265932078605</v>
      </c>
      <c r="D28" s="56">
        <f>IF(Settings!$E$12="YES",VLOOKUP(A28,'Player Data'!A1:E667,5,FALSE),82)</f>
        <v>71.795000000000002</v>
      </c>
      <c r="E28" s="54">
        <f>(VLOOKUP($A28,'The List'!$B1:$AH665,17,FALSE)-AVERAGE('The List'!R2:R665))/STDEV('The List'!R2:R665)</f>
        <v>1.0836500606809314</v>
      </c>
      <c r="F28" s="54">
        <f>(VLOOKUP($A28,'The List'!$B1:$AH665,18,FALSE)-AVERAGE('The List'!S2:S665))/STDEV('The List'!S2:S665)</f>
        <v>1.8068512244983459</v>
      </c>
      <c r="G28" s="54">
        <f>(VLOOKUP($A28,'The List'!$B1:$AH665,19,FALSE)-AVERAGE('The List'!T2:T665))/STDEV('The List'!T2:T665)</f>
        <v>1.2914478380320007</v>
      </c>
      <c r="H28" s="54">
        <f>(VLOOKUP($A28,'The List'!$B1:$AH665,20,FALSE)-AVERAGE('The List'!U2:U665))/STDEV('The List'!U2:U665)</f>
        <v>1.6233614911615035</v>
      </c>
      <c r="I28" s="54">
        <f>(VLOOKUP($A28,'The List'!$B1:$AH665,21,FALSE)-AVERAGE('The List'!V2:V665))/STDEV('The List'!V2:V665)</f>
        <v>2.6304968263147028</v>
      </c>
      <c r="J28" s="54">
        <f>(VLOOKUP($A28,'The List'!$B1:$AH665,22,FALSE)-AVERAGE('The List'!W2:W665))/STDEV('The List'!W2:W665)</f>
        <v>1.6868775030661145</v>
      </c>
      <c r="K28" s="54">
        <f>(VLOOKUP($A28,'The List'!$B1:$AH665,23,FALSE)-AVERAGE('The List'!X2:X665))/STDEV('The List'!X2:X665)</f>
        <v>1.4773946106314888</v>
      </c>
      <c r="L28" s="54">
        <f>(VLOOKUP($A28,'The List'!$B1:$AH665,24,FALSE)-AVERAGE('The List'!Y2:Y665))/STDEV('The List'!Y2:Y665)</f>
        <v>-0.17780221527600709</v>
      </c>
      <c r="M28" s="54">
        <f>(VLOOKUP($A28,'The List'!$B1:$AH665,25,FALSE)-AVERAGE('The List'!Z2:Z665))/STDEV('The List'!Z2:Z665)</f>
        <v>1.462203095422191</v>
      </c>
      <c r="N28" s="54">
        <f>(VLOOKUP($A28,'The List'!$B1:$AH665,26,FALSE)-AVERAGE('The List'!AA2:AA665))/STDEV('The List'!AA2:AA665)</f>
        <v>3.7894033490634367E-2</v>
      </c>
      <c r="O28" s="54">
        <f>(VLOOKUP($A28,'The List'!$B1:$AH665,27,FALSE)-AVERAGE('The List'!AB2:AB665))/STDEV('The List'!AB2:AB665)</f>
        <v>-0.98117150992055546</v>
      </c>
      <c r="P28" s="54">
        <f>(VLOOKUP($A28,'The List'!$B1:$AH665,28,FALSE)-AVERAGE('The List'!AC2:AC665))/STDEV('The List'!AC2:AC665)</f>
        <v>0.73734206024068827</v>
      </c>
      <c r="Q28" s="54">
        <f>(VLOOKUP($A28,'The List'!$B1:$AH665,29,FALSE)-AVERAGE('The List'!AD2:AD665))/STDEV('The List'!AD2:AD665)</f>
        <v>-0.87937949607331134</v>
      </c>
      <c r="R28" s="54">
        <f>(VLOOKUP($A28,'The List'!$B1:$AH665,30,FALSE)-AVERAGE('The List'!AE2:AE665))/STDEV('The List'!AE2:AE665)</f>
        <v>1.7908552188729143</v>
      </c>
      <c r="S28" s="54">
        <f>(VLOOKUP($A28,'The List'!$B1:$AH665,31,FALSE)-AVERAGE('The List'!AF2:AF665))/STDEV('The List'!AF2:AF665)</f>
        <v>1.6766966391042293</v>
      </c>
      <c r="T28" s="54">
        <f>(VLOOKUP($A28,'The List'!$B1:$AH665,32,FALSE)-AVERAGE('The List'!AG2:AG665))/STDEV('The List'!AG2:AG665)</f>
        <v>2.20533939735795</v>
      </c>
      <c r="U28" s="54">
        <f>(VLOOKUP($A28,'The List'!$B1:$AH665,33,FALSE)-AVERAGE('The List'!AH2:AH665))/STDEV('The List'!AH2:AH665)</f>
        <v>0.84540585951284297</v>
      </c>
      <c r="V28" s="54"/>
      <c r="W28" s="56"/>
      <c r="X28" s="54"/>
      <c r="Y28" s="54"/>
      <c r="Z28" s="54"/>
      <c r="AA28" s="54"/>
      <c r="AB28" s="54"/>
      <c r="AC28" s="54"/>
      <c r="AD28" s="54"/>
      <c r="AE28" s="54"/>
    </row>
    <row r="29" spans="1:31" ht="21.25" customHeight="1" x14ac:dyDescent="0.15">
      <c r="A29" s="9" t="s">
        <v>144</v>
      </c>
      <c r="B29" s="65" t="str">
        <f>VLOOKUP(A29,'Player Data'!A1:B667,2,FALSE)</f>
        <v>VAN</v>
      </c>
      <c r="C29" s="51">
        <f>((E29)*Settings!$C$12)+(F29*Settings!$C$2)+(G29*Settings!$C$3)+(H29*Settings!$C$4)+(I29*Settings!$C$5)+(K29*Settings!$C$9)+(N29*Settings!$C$6)+(J29*Settings!$C$8)+(O29*Settings!$C$7)+(P29*Settings!$C$14)+(Q29*Settings!$C$15)+(R29*Settings!$C$16)+(S29*Settings!$C$17)+(T29*Settings!$C$18)+(U29*Settings!$C$19)+(L29*Settings!$C$10)+(Settings!$C$11*M29)</f>
        <v>9.4876815302375412</v>
      </c>
      <c r="D29" s="56">
        <f>IF(Settings!$E$12="YES",VLOOKUP(A29,'Player Data'!A1:E667,5,FALSE),82)</f>
        <v>80.88</v>
      </c>
      <c r="E29" s="54">
        <f>(VLOOKUP($A29,'The List'!$B1:$AH665,17,FALSE)-AVERAGE('The List'!R2:R665))/STDEV('The List'!R2:R665)</f>
        <v>2.0613227547735655</v>
      </c>
      <c r="F29" s="54">
        <f>(VLOOKUP($A29,'The List'!$B1:$AH665,18,FALSE)-AVERAGE('The List'!S2:S665))/STDEV('The List'!S2:S665)</f>
        <v>-6.4023907906049837E-2</v>
      </c>
      <c r="G29" s="54">
        <f>(VLOOKUP($A29,'The List'!$B1:$AH665,19,FALSE)-AVERAGE('The List'!T2:T665))/STDEV('The List'!T2:T665)</f>
        <v>3.5510732455755534</v>
      </c>
      <c r="H29" s="54">
        <f>(VLOOKUP($A29,'The List'!$B1:$AH665,20,FALSE)-AVERAGE('The List'!U2:U665))/STDEV('The List'!U2:U665)</f>
        <v>2.1763142462098908</v>
      </c>
      <c r="I29" s="54">
        <f>(VLOOKUP($A29,'The List'!$B1:$AH665,21,FALSE)-AVERAGE('The List'!V2:V665))/STDEV('The List'!V2:V665)</f>
        <v>0.82800009552191367</v>
      </c>
      <c r="J29" s="54">
        <f>(VLOOKUP($A29,'The List'!$B1:$AH665,22,FALSE)-AVERAGE('The List'!W2:W665))/STDEV('The List'!W2:W665)</f>
        <v>0.11553880993686991</v>
      </c>
      <c r="K29" s="54">
        <f>(VLOOKUP($A29,'The List'!$B1:$AH665,23,FALSE)-AVERAGE('The List'!X2:X665))/STDEV('The List'!X2:X665)</f>
        <v>2.8853714485968713</v>
      </c>
      <c r="L29" s="54">
        <f>(VLOOKUP($A29,'The List'!$B1:$AH665,24,FALSE)-AVERAGE('The List'!Y2:Y665))/STDEV('The List'!Y2:Y665)</f>
        <v>-0.55704877670341335</v>
      </c>
      <c r="M29" s="54">
        <f>(VLOOKUP($A29,'The List'!$B1:$AH665,25,FALSE)-AVERAGE('The List'!Z2:Z665))/STDEV('The List'!Z2:Z665)</f>
        <v>-0.45040693408228211</v>
      </c>
      <c r="N29" s="54">
        <f>(VLOOKUP($A29,'The List'!$B1:$AH665,26,FALSE)-AVERAGE('The List'!AA2:AA665))/STDEV('The List'!AA2:AA665)</f>
        <v>0.14273421647400339</v>
      </c>
      <c r="O29" s="54">
        <f>(VLOOKUP($A29,'The List'!$B1:$AH665,27,FALSE)-AVERAGE('The List'!AB2:AB665))/STDEV('The List'!AB2:AB665)</f>
        <v>-1.1323375656929975</v>
      </c>
      <c r="P29" s="54">
        <f>(VLOOKUP($A29,'The List'!$B1:$AH665,28,FALSE)-AVERAGE('The List'!AC2:AC665))/STDEV('The List'!AC2:AC665)</f>
        <v>2.1445264319752497</v>
      </c>
      <c r="Q29" s="54">
        <f>(VLOOKUP($A29,'The List'!$B1:$AH665,29,FALSE)-AVERAGE('The List'!AD2:AD665))/STDEV('The List'!AD2:AD665)</f>
        <v>0.29507395953832394</v>
      </c>
      <c r="R29" s="54">
        <f>(VLOOKUP($A29,'The List'!$B1:$AH665,30,FALSE)-AVERAGE('The List'!AE2:AE665))/STDEV('The List'!AE2:AE665)</f>
        <v>0.11648514758133575</v>
      </c>
      <c r="S29" s="54">
        <f>(VLOOKUP($A29,'The List'!$B1:$AH665,31,FALSE)-AVERAGE('The List'!AF2:AF665))/STDEV('The List'!AF2:AF665)</f>
        <v>-0.57365587269442386</v>
      </c>
      <c r="T29" s="54">
        <f>(VLOOKUP($A29,'The List'!$B1:$AH665,32,FALSE)-AVERAGE('The List'!AG2:AG665))/STDEV('The List'!AG2:AG665)</f>
        <v>-0.62528905922056177</v>
      </c>
      <c r="U29" s="54">
        <f>(VLOOKUP($A29,'The List'!$B1:$AH665,33,FALSE)-AVERAGE('The List'!AH2:AH665))/STDEV('The List'!AH2:AH665)</f>
        <v>0.33241002390346364</v>
      </c>
      <c r="V29" s="54"/>
      <c r="W29" s="56"/>
      <c r="X29" s="54"/>
      <c r="Y29" s="54"/>
      <c r="Z29" s="54"/>
      <c r="AA29" s="54"/>
      <c r="AB29" s="54"/>
      <c r="AC29" s="54"/>
      <c r="AD29" s="54"/>
      <c r="AE29" s="54"/>
    </row>
    <row r="30" spans="1:31" ht="21.25" customHeight="1" x14ac:dyDescent="0.15">
      <c r="A30" s="9" t="s">
        <v>186</v>
      </c>
      <c r="B30" s="65" t="str">
        <f>VLOOKUP(A30,'Player Data'!A1:B667,2,FALSE)</f>
        <v>OTT</v>
      </c>
      <c r="C30" s="51">
        <f>((E30)*Settings!$C$12)+(F30*Settings!$C$2)+(G30*Settings!$C$3)+(H30*Settings!$C$4)+(I30*Settings!$C$5)+(K30*Settings!$C$9)+(N30*Settings!$C$6)+(J30*Settings!$C$8)+(O30*Settings!$C$7)+(P30*Settings!$C$14)+(Q30*Settings!$C$15)+(R30*Settings!$C$16)+(S30*Settings!$C$17)+(T30*Settings!$C$18)+(U30*Settings!$C$19)+(L30*Settings!$C$10)+(Settings!$C$11*M30)</f>
        <v>5.2540728866265312</v>
      </c>
      <c r="D30" s="56">
        <f>IF(Settings!$E$12="YES",VLOOKUP(A30,'Player Data'!A1:E667,5,FALSE),82)</f>
        <v>79.9375</v>
      </c>
      <c r="E30" s="54">
        <f>(VLOOKUP($A30,'The List'!$B1:$AH665,17,FALSE)-AVERAGE('The List'!R2:R665))/STDEV('The List'!R2:R665)</f>
        <v>1.0318104089499665</v>
      </c>
      <c r="F30" s="54">
        <f>(VLOOKUP($A30,'The List'!$B1:$AH665,18,FALSE)-AVERAGE('The List'!S2:S665))/STDEV('The List'!S2:S665)</f>
        <v>1.5063525303447831</v>
      </c>
      <c r="G30" s="54">
        <f>(VLOOKUP($A30,'The List'!$B1:$AH665,19,FALSE)-AVERAGE('The List'!T2:T665))/STDEV('The List'!T2:T665)</f>
        <v>2.0036131208307308</v>
      </c>
      <c r="H30" s="54">
        <f>(VLOOKUP($A30,'The List'!$B1:$AH665,20,FALSE)-AVERAGE('The List'!U2:U665))/STDEV('The List'!U2:U665)</f>
        <v>1.9290652351479538</v>
      </c>
      <c r="I30" s="54">
        <f>(VLOOKUP($A30,'The List'!$B1:$AH665,21,FALSE)-AVERAGE('The List'!V2:V665))/STDEV('The List'!V2:V665)</f>
        <v>1.2295091530198146</v>
      </c>
      <c r="J30" s="54">
        <f>(VLOOKUP($A30,'The List'!$B1:$AH665,22,FALSE)-AVERAGE('The List'!W2:W665))/STDEV('The List'!W2:W665)</f>
        <v>0.55585463143490277</v>
      </c>
      <c r="K30" s="54">
        <f>(VLOOKUP($A30,'The List'!$B1:$AH665,23,FALSE)-AVERAGE('The List'!X2:X665))/STDEV('The List'!X2:X665)</f>
        <v>1.3498846333643642</v>
      </c>
      <c r="L30" s="54">
        <f>(VLOOKUP($A30,'The List'!$B1:$AH665,24,FALSE)-AVERAGE('The List'!Y2:Y665))/STDEV('The List'!Y2:Y665)</f>
        <v>1.1213223927694034</v>
      </c>
      <c r="M30" s="54">
        <f>(VLOOKUP($A30,'The List'!$B1:$AH665,25,FALSE)-AVERAGE('The List'!Z2:Z665))/STDEV('The List'!Z2:Z665)</f>
        <v>0.33986604011558513</v>
      </c>
      <c r="N30" s="54">
        <f>(VLOOKUP($A30,'The List'!$B1:$AH665,26,FALSE)-AVERAGE('The List'!AA2:AA665))/STDEV('The List'!AA2:AA665)</f>
        <v>-0.45456185697699975</v>
      </c>
      <c r="O30" s="54">
        <f>(VLOOKUP($A30,'The List'!$B1:$AH665,27,FALSE)-AVERAGE('The List'!AB2:AB665))/STDEV('The List'!AB2:AB665)</f>
        <v>0.31897707423413951</v>
      </c>
      <c r="P30" s="54">
        <f>(VLOOKUP($A30,'The List'!$B1:$AH665,28,FALSE)-AVERAGE('The List'!AC2:AC665))/STDEV('The List'!AC2:AC665)</f>
        <v>-0.38072469395616176</v>
      </c>
      <c r="Q30" s="54">
        <f>(VLOOKUP($A30,'The List'!$B1:$AH665,29,FALSE)-AVERAGE('The List'!AD2:AD665))/STDEV('The List'!AD2:AD665)</f>
        <v>0.5778619329435627</v>
      </c>
      <c r="R30" s="54">
        <f>(VLOOKUP($A30,'The List'!$B1:$AH665,30,FALSE)-AVERAGE('The List'!AE2:AE665))/STDEV('The List'!AE2:AE665)</f>
        <v>1.5551347487760407</v>
      </c>
      <c r="S30" s="54">
        <f>(VLOOKUP($A30,'The List'!$B1:$AH665,31,FALSE)-AVERAGE('The List'!AF2:AF665))/STDEV('The List'!AF2:AF665)</f>
        <v>0.51369186762003838</v>
      </c>
      <c r="T30" s="54">
        <f>(VLOOKUP($A30,'The List'!$B1:$AH665,32,FALSE)-AVERAGE('The List'!AG2:AG665))/STDEV('The List'!AG2:AG665)</f>
        <v>0.91389140773749489</v>
      </c>
      <c r="U30" s="54">
        <f>(VLOOKUP($A30,'The List'!$B1:$AH665,33,FALSE)-AVERAGE('The List'!AH2:AH665))/STDEV('The List'!AH2:AH665)</f>
        <v>0.71328198843030011</v>
      </c>
      <c r="V30" s="54"/>
      <c r="W30" s="56"/>
      <c r="X30" s="54"/>
      <c r="Y30" s="54"/>
      <c r="Z30" s="54"/>
      <c r="AA30" s="54"/>
      <c r="AB30" s="54"/>
      <c r="AC30" s="54"/>
      <c r="AD30" s="54"/>
      <c r="AE30" s="54"/>
    </row>
    <row r="31" spans="1:31" ht="21.25" customHeight="1" x14ac:dyDescent="0.15">
      <c r="A31" s="9" t="s">
        <v>154</v>
      </c>
      <c r="B31" s="65" t="str">
        <f>VLOOKUP(A31,'Player Data'!A1:B667,2,FALSE)</f>
        <v>BUF</v>
      </c>
      <c r="C31" s="51">
        <f>((E31)*Settings!$C$12)+(F31*Settings!$C$2)+(G31*Settings!$C$3)+(H31*Settings!$C$4)+(I31*Settings!$C$5)+(K31*Settings!$C$9)+(N31*Settings!$C$6)+(J31*Settings!$C$8)+(O31*Settings!$C$7)+(P31*Settings!$C$14)+(Q31*Settings!$C$15)+(R31*Settings!$C$16)+(S31*Settings!$C$17)+(T31*Settings!$C$18)+(U31*Settings!$C$19)+(L31*Settings!$C$10)+(Settings!$C$11*M31)</f>
        <v>7.5017759379738926</v>
      </c>
      <c r="D31" s="56">
        <f>IF(Settings!$E$12="YES",VLOOKUP(A31,'Player Data'!A1:E667,5,FALSE),82)</f>
        <v>79.127499999999998</v>
      </c>
      <c r="E31" s="54">
        <f>(VLOOKUP($A31,'The List'!$B1:$AH665,17,FALSE)-AVERAGE('The List'!R2:R665))/STDEV('The List'!R2:R665)</f>
        <v>0.58560022321505467</v>
      </c>
      <c r="F31" s="54">
        <f>(VLOOKUP($A31,'The List'!$B1:$AH665,18,FALSE)-AVERAGE('The List'!S2:S665))/STDEV('The List'!S2:S665)</f>
        <v>2.5638343454902572</v>
      </c>
      <c r="G31" s="54">
        <f>(VLOOKUP($A31,'The List'!$B1:$AH665,19,FALSE)-AVERAGE('The List'!T2:T665))/STDEV('The List'!T2:T665)</f>
        <v>1.1605016568099011</v>
      </c>
      <c r="H31" s="54">
        <f>(VLOOKUP($A31,'The List'!$B1:$AH665,20,FALSE)-AVERAGE('The List'!U2:U665))/STDEV('The List'!U2:U665)</f>
        <v>1.8861213605526368</v>
      </c>
      <c r="I31" s="54">
        <f>(VLOOKUP($A31,'The List'!$B1:$AH665,21,FALSE)-AVERAGE('The List'!V2:V665))/STDEV('The List'!V2:V665)</f>
        <v>2.5652404678999514</v>
      </c>
      <c r="J31" s="54">
        <f>(VLOOKUP($A31,'The List'!$B1:$AH665,22,FALSE)-AVERAGE('The List'!W2:W665))/STDEV('The List'!W2:W665)</f>
        <v>3.3089723214635738</v>
      </c>
      <c r="K31" s="54">
        <f>(VLOOKUP($A31,'The List'!$B1:$AH665,23,FALSE)-AVERAGE('The List'!X2:X665))/STDEV('The List'!X2:X665)</f>
        <v>1.8943406286026396</v>
      </c>
      <c r="L31" s="54">
        <f>(VLOOKUP($A31,'The List'!$B1:$AH665,24,FALSE)-AVERAGE('The List'!Y2:Y665))/STDEV('The List'!Y2:Y665)</f>
        <v>0.45665000873601985</v>
      </c>
      <c r="M31" s="54">
        <f>(VLOOKUP($A31,'The List'!$B1:$AH665,25,FALSE)-AVERAGE('The List'!Z2:Z665))/STDEV('The List'!Z2:Z665)</f>
        <v>-7.7667359872578584E-2</v>
      </c>
      <c r="N31" s="54">
        <f>(VLOOKUP($A31,'The List'!$B1:$AH665,26,FALSE)-AVERAGE('The List'!AA2:AA665))/STDEV('The List'!AA2:AA665)</f>
        <v>-0.79541773452741082</v>
      </c>
      <c r="O31" s="54">
        <f>(VLOOKUP($A31,'The List'!$B1:$AH665,27,FALSE)-AVERAGE('The List'!AB2:AB665))/STDEV('The List'!AB2:AB665)</f>
        <v>-0.25344912922605223</v>
      </c>
      <c r="P31" s="54">
        <f>(VLOOKUP($A31,'The List'!$B1:$AH665,28,FALSE)-AVERAGE('The List'!AC2:AC665))/STDEV('The List'!AC2:AC665)</f>
        <v>0.11327657369855318</v>
      </c>
      <c r="Q31" s="54">
        <f>(VLOOKUP($A31,'The List'!$B1:$AH665,29,FALSE)-AVERAGE('The List'!AD2:AD665))/STDEV('The List'!AD2:AD665)</f>
        <v>0.32621865202749428</v>
      </c>
      <c r="R31" s="54">
        <f>(VLOOKUP($A31,'The List'!$B1:$AH665,30,FALSE)-AVERAGE('The List'!AE2:AE665))/STDEV('The List'!AE2:AE665)</f>
        <v>2.2635804139617131</v>
      </c>
      <c r="S31" s="54">
        <f>(VLOOKUP($A31,'The List'!$B1:$AH665,31,FALSE)-AVERAGE('The List'!AF2:AF665))/STDEV('The List'!AF2:AF665)</f>
        <v>1.444343729858701</v>
      </c>
      <c r="T31" s="54">
        <f>(VLOOKUP($A31,'The List'!$B1:$AH665,32,FALSE)-AVERAGE('The List'!AG2:AG665))/STDEV('The List'!AG2:AG665)</f>
        <v>2.2822027614513387</v>
      </c>
      <c r="U31" s="54">
        <f>(VLOOKUP($A31,'The List'!$B1:$AH665,33,FALSE)-AVERAGE('The List'!AH2:AH665))/STDEV('The List'!AH2:AH665)</f>
        <v>0.69373104232529248</v>
      </c>
      <c r="V31" s="54"/>
      <c r="W31" s="64"/>
      <c r="X31" s="56"/>
      <c r="Y31" s="56"/>
      <c r="Z31" s="56"/>
      <c r="AA31" s="56"/>
      <c r="AB31" s="56"/>
      <c r="AC31" s="59"/>
      <c r="AD31" s="60"/>
      <c r="AE31" s="54"/>
    </row>
    <row r="32" spans="1:31" ht="21.25" customHeight="1" x14ac:dyDescent="0.15">
      <c r="A32" s="9" t="s">
        <v>160</v>
      </c>
      <c r="B32" s="65" t="str">
        <f>VLOOKUP(A32,'Player Data'!A1:B667,2,FALSE)</f>
        <v>NYI</v>
      </c>
      <c r="C32" s="51">
        <f>((E32)*Settings!$C$12)+(F32*Settings!$C$2)+(G32*Settings!$C$3)+(H32*Settings!$C$4)+(I32*Settings!$C$5)+(K32*Settings!$C$9)+(N32*Settings!$C$6)+(J32*Settings!$C$8)+(O32*Settings!$C$7)+(P32*Settings!$C$14)+(Q32*Settings!$C$15)+(R32*Settings!$C$16)+(S32*Settings!$C$17)+(T32*Settings!$C$18)+(U32*Settings!$C$19)+(L32*Settings!$C$10)+(Settings!$C$11*M32)</f>
        <v>7.3080163776890972</v>
      </c>
      <c r="D32" s="56">
        <f>IF(Settings!$E$12="YES",VLOOKUP(A32,'Player Data'!A1:E667,5,FALSE),82)</f>
        <v>77.474999999999994</v>
      </c>
      <c r="E32" s="54">
        <f>(VLOOKUP($A32,'The List'!$B1:$AH665,17,FALSE)-AVERAGE('The List'!R2:R665))/STDEV('The List'!R2:R665)</f>
        <v>0.97401087445443635</v>
      </c>
      <c r="F32" s="54">
        <f>(VLOOKUP($A32,'The List'!$B1:$AH665,18,FALSE)-AVERAGE('The List'!S2:S665))/STDEV('The List'!S2:S665)</f>
        <v>1.0258088858677348</v>
      </c>
      <c r="G32" s="54">
        <f>(VLOOKUP($A32,'The List'!$B1:$AH665,19,FALSE)-AVERAGE('The List'!T2:T665))/STDEV('The List'!T2:T665)</f>
        <v>2.4333089847333866</v>
      </c>
      <c r="H32" s="54">
        <f>(VLOOKUP($A32,'The List'!$B1:$AH665,20,FALSE)-AVERAGE('The List'!U2:U665))/STDEV('The List'!U2:U665)</f>
        <v>1.9775005991317625</v>
      </c>
      <c r="I32" s="54">
        <f>(VLOOKUP($A32,'The List'!$B1:$AH665,21,FALSE)-AVERAGE('The List'!V2:V665))/STDEV('The List'!V2:V665)</f>
        <v>1.6117259708322764</v>
      </c>
      <c r="J32" s="54">
        <f>(VLOOKUP($A32,'The List'!$B1:$AH665,22,FALSE)-AVERAGE('The List'!W2:W665))/STDEV('The List'!W2:W665)</f>
        <v>0.64447198301042186</v>
      </c>
      <c r="K32" s="54">
        <f>(VLOOKUP($A32,'The List'!$B1:$AH665,23,FALSE)-AVERAGE('The List'!X2:X665))/STDEV('The List'!X2:X665)</f>
        <v>1.8202910211727954</v>
      </c>
      <c r="L32" s="54">
        <f>(VLOOKUP($A32,'The List'!$B1:$AH665,24,FALSE)-AVERAGE('The List'!Y2:Y665))/STDEV('The List'!Y2:Y665)</f>
        <v>-0.55182326902954149</v>
      </c>
      <c r="M32" s="54">
        <f>(VLOOKUP($A32,'The List'!$B1:$AH665,25,FALSE)-AVERAGE('The List'!Z2:Z665))/STDEV('The List'!Z2:Z665)</f>
        <v>-0.72491093290998598</v>
      </c>
      <c r="N32" s="54">
        <f>(VLOOKUP($A32,'The List'!$B1:$AH665,26,FALSE)-AVERAGE('The List'!AA2:AA665))/STDEV('The List'!AA2:AA665)</f>
        <v>-0.42473730673143495</v>
      </c>
      <c r="O32" s="54">
        <f>(VLOOKUP($A32,'The List'!$B1:$AH665,27,FALSE)-AVERAGE('The List'!AB2:AB665))/STDEV('The List'!AB2:AB665)</f>
        <v>-0.88700254240292242</v>
      </c>
      <c r="P32" s="54">
        <f>(VLOOKUP($A32,'The List'!$B1:$AH665,28,FALSE)-AVERAGE('The List'!AC2:AC665))/STDEV('The List'!AC2:AC665)</f>
        <v>0.84161882181433945</v>
      </c>
      <c r="Q32" s="54">
        <f>(VLOOKUP($A32,'The List'!$B1:$AH665,29,FALSE)-AVERAGE('The List'!AD2:AD665))/STDEV('The List'!AD2:AD665)</f>
        <v>-4.1916911104876879E-2</v>
      </c>
      <c r="R32" s="54">
        <f>(VLOOKUP($A32,'The List'!$B1:$AH665,30,FALSE)-AVERAGE('The List'!AE2:AE665))/STDEV('The List'!AE2:AE665)</f>
        <v>1.1049208395512742</v>
      </c>
      <c r="S32" s="54">
        <f>(VLOOKUP($A32,'The List'!$B1:$AH665,31,FALSE)-AVERAGE('The List'!AF2:AF665))/STDEV('The List'!AF2:AF665)</f>
        <v>-0.15317126098666917</v>
      </c>
      <c r="T32" s="54">
        <f>(VLOOKUP($A32,'The List'!$B1:$AH665,32,FALSE)-AVERAGE('The List'!AG2:AG665))/STDEV('The List'!AG2:AG665)</f>
        <v>-1.4996799567530495E-3</v>
      </c>
      <c r="U32" s="54">
        <f>(VLOOKUP($A32,'The List'!$B1:$AH665,33,FALSE)-AVERAGE('The List'!AH2:AH665))/STDEV('The List'!AH2:AH665)</f>
        <v>0.66126714892256422</v>
      </c>
      <c r="V32" s="54"/>
      <c r="W32" s="56"/>
      <c r="X32" s="54"/>
      <c r="Y32" s="54"/>
      <c r="Z32" s="54"/>
      <c r="AA32" s="54"/>
      <c r="AB32" s="54"/>
      <c r="AC32" s="54"/>
      <c r="AD32" s="54"/>
      <c r="AE32" s="54"/>
    </row>
    <row r="33" spans="1:31" ht="21.25" customHeight="1" x14ac:dyDescent="0.15">
      <c r="A33" s="9" t="s">
        <v>158</v>
      </c>
      <c r="B33" s="65" t="str">
        <f>VLOOKUP(A33,'Player Data'!A1:B667,2,FALSE)</f>
        <v>FLA</v>
      </c>
      <c r="C33" s="51">
        <f>((E33)*Settings!$C$12)+(F33*Settings!$C$2)+(G33*Settings!$C$3)+(H33*Settings!$C$4)+(I33*Settings!$C$5)+(K33*Settings!$C$9)+(N33*Settings!$C$6)+(J33*Settings!$C$8)+(O33*Settings!$C$7)+(P33*Settings!$C$14)+(Q33*Settings!$C$15)+(R33*Settings!$C$16)+(S33*Settings!$C$17)+(T33*Settings!$C$18)+(U33*Settings!$C$19)+(L33*Settings!$C$10)+(Settings!$C$11*M33)</f>
        <v>7.7400822305907244</v>
      </c>
      <c r="D33" s="56">
        <f>IF(Settings!$E$12="YES",VLOOKUP(A33,'Player Data'!A1:E667,5,FALSE),82)</f>
        <v>81.63</v>
      </c>
      <c r="E33" s="54">
        <f>(VLOOKUP($A33,'The List'!$B1:$AH665,17,FALSE)-AVERAGE('The List'!R2:R665))/STDEV('The List'!R2:R665)</f>
        <v>0.89717080022314999</v>
      </c>
      <c r="F33" s="54">
        <f>(VLOOKUP($A33,'The List'!$B1:$AH665,18,FALSE)-AVERAGE('The List'!S2:S665))/STDEV('The List'!S2:S665)</f>
        <v>2.797194117343246</v>
      </c>
      <c r="G33" s="54">
        <f>(VLOOKUP($A33,'The List'!$B1:$AH665,19,FALSE)-AVERAGE('The List'!T2:T665))/STDEV('The List'!T2:T665)</f>
        <v>1.1550735431576231</v>
      </c>
      <c r="H33" s="54">
        <f>(VLOOKUP($A33,'The List'!$B1:$AH665,20,FALSE)-AVERAGE('The List'!U2:U665))/STDEV('The List'!U2:U665)</f>
        <v>1.9888233055495139</v>
      </c>
      <c r="I33" s="54">
        <f>(VLOOKUP($A33,'The List'!$B1:$AH665,21,FALSE)-AVERAGE('The List'!V2:V665))/STDEV('The List'!V2:V665)</f>
        <v>1.5027457088123515</v>
      </c>
      <c r="J33" s="54">
        <f>(VLOOKUP($A33,'The List'!$B1:$AH665,22,FALSE)-AVERAGE('The List'!W2:W665))/STDEV('The List'!W2:W665)</f>
        <v>4.1681480584434611</v>
      </c>
      <c r="K33" s="54">
        <f>(VLOOKUP($A33,'The List'!$B1:$AH665,23,FALSE)-AVERAGE('The List'!X2:X665))/STDEV('The List'!X2:X665)</f>
        <v>1.9988427877007258</v>
      </c>
      <c r="L33" s="54">
        <f>(VLOOKUP($A33,'The List'!$B1:$AH665,24,FALSE)-AVERAGE('The List'!Y2:Y665))/STDEV('The List'!Y2:Y665)</f>
        <v>3.3171005324000431</v>
      </c>
      <c r="M33" s="54">
        <f>(VLOOKUP($A33,'The List'!$B1:$AH665,25,FALSE)-AVERAGE('The List'!Z2:Z665))/STDEV('The List'!Z2:Z665)</f>
        <v>3.0767538392452707</v>
      </c>
      <c r="N33" s="54">
        <f>(VLOOKUP($A33,'The List'!$B1:$AH665,26,FALSE)-AVERAGE('The List'!AA2:AA665))/STDEV('The List'!AA2:AA665)</f>
        <v>-0.15744152437880213</v>
      </c>
      <c r="O33" s="54">
        <f>(VLOOKUP($A33,'The List'!$B1:$AH665,27,FALSE)-AVERAGE('The List'!AB2:AB665))/STDEV('The List'!AB2:AB665)</f>
        <v>-0.49335818401667386</v>
      </c>
      <c r="P33" s="54">
        <f>(VLOOKUP($A33,'The List'!$B1:$AH665,28,FALSE)-AVERAGE('The List'!AC2:AC665))/STDEV('The List'!AC2:AC665)</f>
        <v>0.44366759795557975</v>
      </c>
      <c r="Q33" s="54">
        <f>(VLOOKUP($A33,'The List'!$B1:$AH665,29,FALSE)-AVERAGE('The List'!AD2:AD665))/STDEV('The List'!AD2:AD665)</f>
        <v>-0.52191216389879136</v>
      </c>
      <c r="R33" s="54">
        <f>(VLOOKUP($A33,'The List'!$B1:$AH665,30,FALSE)-AVERAGE('The List'!AE2:AE665))/STDEV('The List'!AE2:AE665)</f>
        <v>3.2418595872685025</v>
      </c>
      <c r="S33" s="54">
        <f>(VLOOKUP($A33,'The List'!$B1:$AH665,31,FALSE)-AVERAGE('The List'!AF2:AF665))/STDEV('The List'!AF2:AF665)</f>
        <v>0.57625932914660194</v>
      </c>
      <c r="T33" s="54">
        <f>(VLOOKUP($A33,'The List'!$B1:$AH665,32,FALSE)-AVERAGE('The List'!AG2:AG665))/STDEV('The List'!AG2:AG665)</f>
        <v>0.73426951009862462</v>
      </c>
      <c r="U33" s="54">
        <f>(VLOOKUP($A33,'The List'!$B1:$AH665,33,FALSE)-AVERAGE('The List'!AH2:AH665))/STDEV('The List'!AH2:AH665)</f>
        <v>0.91517394949699271</v>
      </c>
      <c r="V33" s="54"/>
      <c r="W33" s="56"/>
      <c r="X33" s="56"/>
      <c r="Y33" s="56"/>
      <c r="Z33" s="56"/>
      <c r="AA33" s="56"/>
      <c r="AB33" s="56"/>
      <c r="AC33" s="59"/>
      <c r="AD33" s="60"/>
      <c r="AE33" s="54"/>
    </row>
    <row r="34" spans="1:31" ht="21.25" customHeight="1" x14ac:dyDescent="0.15">
      <c r="A34" s="9" t="s">
        <v>175</v>
      </c>
      <c r="B34" s="65" t="str">
        <f>VLOOKUP(A34,'Player Data'!A1:B667,2,FALSE)</f>
        <v>UTA</v>
      </c>
      <c r="C34" s="51">
        <f>((E34)*Settings!$C$12)+(F34*Settings!$C$2)+(G34*Settings!$C$3)+(H34*Settings!$C$4)+(I34*Settings!$C$5)+(K34*Settings!$C$9)+(N34*Settings!$C$6)+(J34*Settings!$C$8)+(O34*Settings!$C$7)+(P34*Settings!$C$14)+(Q34*Settings!$C$15)+(R34*Settings!$C$16)+(S34*Settings!$C$17)+(T34*Settings!$C$18)+(U34*Settings!$C$19)+(L34*Settings!$C$10)+(Settings!$C$11*M34)</f>
        <v>5.7894817417889595</v>
      </c>
      <c r="D34" s="56">
        <f>IF(Settings!$E$12="YES",VLOOKUP(A34,'Player Data'!A1:E667,5,FALSE),82)</f>
        <v>79.819999999999993</v>
      </c>
      <c r="E34" s="54">
        <f>(VLOOKUP($A34,'The List'!$B1:$AH665,17,FALSE)-AVERAGE('The List'!R2:R665))/STDEV('The List'!R2:R665)</f>
        <v>0.66975782538042616</v>
      </c>
      <c r="F34" s="54">
        <f>(VLOOKUP($A34,'The List'!$B1:$AH665,18,FALSE)-AVERAGE('The List'!S2:S665))/STDEV('The List'!S2:S665)</f>
        <v>1.9553598416200235</v>
      </c>
      <c r="G34" s="54">
        <f>(VLOOKUP($A34,'The List'!$B1:$AH665,19,FALSE)-AVERAGE('The List'!T2:T665))/STDEV('The List'!T2:T665)</f>
        <v>1.5966277026972573</v>
      </c>
      <c r="H34" s="54">
        <f>(VLOOKUP($A34,'The List'!$B1:$AH665,20,FALSE)-AVERAGE('The List'!U2:U665))/STDEV('The List'!U2:U665)</f>
        <v>1.8803995724698745</v>
      </c>
      <c r="I34" s="54">
        <f>(VLOOKUP($A34,'The List'!$B1:$AH665,21,FALSE)-AVERAGE('The List'!V2:V665))/STDEV('The List'!V2:V665)</f>
        <v>1.497373640170675</v>
      </c>
      <c r="J34" s="54">
        <f>(VLOOKUP($A34,'The List'!$B1:$AH665,22,FALSE)-AVERAGE('The List'!W2:W665))/STDEV('The List'!W2:W665)</f>
        <v>1.5858288638138409</v>
      </c>
      <c r="K34" s="54">
        <f>(VLOOKUP($A34,'The List'!$B1:$AH665,23,FALSE)-AVERAGE('The List'!X2:X665))/STDEV('The List'!X2:X665)</f>
        <v>1.8545307143616521</v>
      </c>
      <c r="L34" s="54">
        <f>(VLOOKUP($A34,'The List'!$B1:$AH665,24,FALSE)-AVERAGE('The List'!Y2:Y665))/STDEV('The List'!Y2:Y665)</f>
        <v>-0.53313155979470694</v>
      </c>
      <c r="M34" s="54">
        <f>(VLOOKUP($A34,'The List'!$B1:$AH665,25,FALSE)-AVERAGE('The List'!Z2:Z665))/STDEV('The List'!Z2:Z665)</f>
        <v>-0.71288921010743567</v>
      </c>
      <c r="N34" s="54">
        <f>(VLOOKUP($A34,'The List'!$B1:$AH665,26,FALSE)-AVERAGE('The List'!AA2:AA665))/STDEV('The List'!AA2:AA665)</f>
        <v>-0.80432146500193769</v>
      </c>
      <c r="O34" s="54">
        <f>(VLOOKUP($A34,'The List'!$B1:$AH665,27,FALSE)-AVERAGE('The List'!AB2:AB665))/STDEV('The List'!AB2:AB665)</f>
        <v>-1.4230037000271709</v>
      </c>
      <c r="P34" s="54">
        <f>(VLOOKUP($A34,'The List'!$B1:$AH665,28,FALSE)-AVERAGE('The List'!AC2:AC665))/STDEV('The List'!AC2:AC665)</f>
        <v>-0.31008869205871109</v>
      </c>
      <c r="Q34" s="54">
        <f>(VLOOKUP($A34,'The List'!$B1:$AH665,29,FALSE)-AVERAGE('The List'!AD2:AD665))/STDEV('The List'!AD2:AD665)</f>
        <v>0.19042407786662574</v>
      </c>
      <c r="R34" s="54">
        <f>(VLOOKUP($A34,'The List'!$B1:$AH665,30,FALSE)-AVERAGE('The List'!AE2:AE665))/STDEV('The List'!AE2:AE665)</f>
        <v>1.8139994477707884</v>
      </c>
      <c r="S34" s="54">
        <f>(VLOOKUP($A34,'The List'!$B1:$AH665,31,FALSE)-AVERAGE('The List'!AF2:AF665))/STDEV('The List'!AF2:AF665)</f>
        <v>-0.44189355496197147</v>
      </c>
      <c r="T34" s="54">
        <f>(VLOOKUP($A34,'The List'!$B1:$AH665,32,FALSE)-AVERAGE('The List'!AG2:AG665))/STDEV('The List'!AG2:AG665)</f>
        <v>-0.42477184844513016</v>
      </c>
      <c r="U34" s="54">
        <f>(VLOOKUP($A34,'The List'!$B1:$AH665,33,FALSE)-AVERAGE('The List'!AH2:AH665))/STDEV('The List'!AH2:AH665)</f>
        <v>0.63279680172241015</v>
      </c>
      <c r="V34" s="54"/>
      <c r="W34" s="56"/>
      <c r="X34" s="54"/>
      <c r="Y34" s="54"/>
      <c r="Z34" s="54"/>
      <c r="AA34" s="54"/>
      <c r="AB34" s="54"/>
      <c r="AC34" s="54"/>
      <c r="AD34" s="54"/>
      <c r="AE34" s="54"/>
    </row>
    <row r="35" spans="1:31" ht="21.25" customHeight="1" x14ac:dyDescent="0.15">
      <c r="A35" s="9" t="s">
        <v>187</v>
      </c>
      <c r="B35" s="65" t="str">
        <f>VLOOKUP(A35,'Player Data'!A1:B667,2,FALSE)</f>
        <v>DET</v>
      </c>
      <c r="C35" s="51">
        <f>((E35)*Settings!$C$12)+(F35*Settings!$C$2)+(G35*Settings!$C$3)+(H35*Settings!$C$4)+(I35*Settings!$C$5)+(K35*Settings!$C$9)+(N35*Settings!$C$6)+(J35*Settings!$C$8)+(O35*Settings!$C$7)+(P35*Settings!$C$14)+(Q35*Settings!$C$15)+(R35*Settings!$C$16)+(S35*Settings!$C$17)+(T35*Settings!$C$18)+(U35*Settings!$C$19)+(L35*Settings!$C$10)+(Settings!$C$11*M35)</f>
        <v>5.6139200473167303</v>
      </c>
      <c r="D35" s="56">
        <f>IF(Settings!$E$12="YES",VLOOKUP(A35,'Player Data'!A1:E667,5,FALSE),82)</f>
        <v>78.17</v>
      </c>
      <c r="E35" s="54">
        <f>(VLOOKUP($A35,'The List'!$B1:$AH665,17,FALSE)-AVERAGE('The List'!R2:R665))/STDEV('The List'!R2:R665)</f>
        <v>0.88967969090683108</v>
      </c>
      <c r="F35" s="54">
        <f>(VLOOKUP($A35,'The List'!$B1:$AH665,18,FALSE)-AVERAGE('The List'!S2:S665))/STDEV('The List'!S2:S665)</f>
        <v>1.9885816721579277</v>
      </c>
      <c r="G35" s="54">
        <f>(VLOOKUP($A35,'The List'!$B1:$AH665,19,FALSE)-AVERAGE('The List'!T2:T665))/STDEV('The List'!T2:T665)</f>
        <v>1.4400093487580909</v>
      </c>
      <c r="H35" s="54">
        <f>(VLOOKUP($A35,'The List'!$B1:$AH665,20,FALSE)-AVERAGE('The List'!U2:U665))/STDEV('The List'!U2:U665)</f>
        <v>1.7982316694588294</v>
      </c>
      <c r="I35" s="54">
        <f>(VLOOKUP($A35,'The List'!$B1:$AH665,21,FALSE)-AVERAGE('The List'!V2:V665))/STDEV('The List'!V2:V665)</f>
        <v>1.8297671335438666</v>
      </c>
      <c r="J35" s="54">
        <f>(VLOOKUP($A35,'The List'!$B1:$AH665,22,FALSE)-AVERAGE('The List'!W2:W665))/STDEV('The List'!W2:W665)</f>
        <v>2.7206279369312032</v>
      </c>
      <c r="K35" s="54">
        <f>(VLOOKUP($A35,'The List'!$B1:$AH665,23,FALSE)-AVERAGE('The List'!X2:X665))/STDEV('The List'!X2:X665)</f>
        <v>1.6772728511305195</v>
      </c>
      <c r="L35" s="54">
        <f>(VLOOKUP($A35,'The List'!$B1:$AH665,24,FALSE)-AVERAGE('The List'!Y2:Y665))/STDEV('The List'!Y2:Y665)</f>
        <v>0.73916575164829967</v>
      </c>
      <c r="M35" s="54">
        <f>(VLOOKUP($A35,'The List'!$B1:$AH665,25,FALSE)-AVERAGE('The List'!Z2:Z665))/STDEV('The List'!Z2:Z665)</f>
        <v>0.27497142496466398</v>
      </c>
      <c r="N35" s="54">
        <f>(VLOOKUP($A35,'The List'!$B1:$AH665,26,FALSE)-AVERAGE('The List'!AA2:AA665))/STDEV('The List'!AA2:AA665)</f>
        <v>-0.68773647842135222</v>
      </c>
      <c r="O35" s="54">
        <f>(VLOOKUP($A35,'The List'!$B1:$AH665,27,FALSE)-AVERAGE('The List'!AB2:AB665))/STDEV('The List'!AB2:AB665)</f>
        <v>-0.7978195302146206</v>
      </c>
      <c r="P35" s="54">
        <f>(VLOOKUP($A35,'The List'!$B1:$AH665,28,FALSE)-AVERAGE('The List'!AC2:AC665))/STDEV('The List'!AC2:AC665)</f>
        <v>-0.63397447985232169</v>
      </c>
      <c r="Q35" s="54">
        <f>(VLOOKUP($A35,'The List'!$B1:$AH665,29,FALSE)-AVERAGE('The List'!AD2:AD665))/STDEV('The List'!AD2:AD665)</f>
        <v>0.36684748565308722</v>
      </c>
      <c r="R35" s="54">
        <f>(VLOOKUP($A35,'The List'!$B1:$AH665,30,FALSE)-AVERAGE('The List'!AE2:AE665))/STDEV('The List'!AE2:AE665)</f>
        <v>1.653578990315558</v>
      </c>
      <c r="S35" s="54">
        <f>(VLOOKUP($A35,'The List'!$B1:$AH665,31,FALSE)-AVERAGE('The List'!AF2:AF665))/STDEV('The List'!AF2:AF665)</f>
        <v>3.2060479639369537</v>
      </c>
      <c r="T35" s="54">
        <f>(VLOOKUP($A35,'The List'!$B1:$AH665,32,FALSE)-AVERAGE('The List'!AG2:AG665))/STDEV('The List'!AG2:AG665)</f>
        <v>2.7590703786824657</v>
      </c>
      <c r="U35" s="54">
        <f>(VLOOKUP($A35,'The List'!$B1:$AH665,33,FALSE)-AVERAGE('The List'!AH2:AH665))/STDEV('The List'!AH2:AH665)</f>
        <v>1.2296526615710173</v>
      </c>
      <c r="V35" s="54"/>
      <c r="W35" s="64"/>
      <c r="X35" s="56"/>
      <c r="Y35" s="56"/>
      <c r="Z35" s="56"/>
      <c r="AA35" s="56"/>
      <c r="AB35" s="56"/>
      <c r="AC35" s="59"/>
      <c r="AD35" s="60"/>
      <c r="AE35" s="54"/>
    </row>
    <row r="36" spans="1:31" ht="21.25" customHeight="1" x14ac:dyDescent="0.15">
      <c r="A36" s="9" t="s">
        <v>198</v>
      </c>
      <c r="B36" s="65" t="str">
        <f>VLOOKUP(A36,'Player Data'!A1:B667,2,FALSE)</f>
        <v>N.J</v>
      </c>
      <c r="C36" s="51">
        <f>((E36)*Settings!$C$12)+(F36*Settings!$C$2)+(G36*Settings!$C$3)+(H36*Settings!$C$4)+(I36*Settings!$C$5)+(K36*Settings!$C$9)+(N36*Settings!$C$6)+(J36*Settings!$C$8)+(O36*Settings!$C$7)+(P36*Settings!$C$14)+(Q36*Settings!$C$15)+(R36*Settings!$C$16)+(S36*Settings!$C$17)+(T36*Settings!$C$18)+(U36*Settings!$C$19)+(L36*Settings!$C$10)+(Settings!$C$11*M36)</f>
        <v>6.7012186231525712</v>
      </c>
      <c r="D36" s="56">
        <f>IF(Settings!$E$12="YES",VLOOKUP(A36,'Player Data'!A1:E667,5,FALSE),82)</f>
        <v>78.739999999999995</v>
      </c>
      <c r="E36" s="54">
        <f>(VLOOKUP($A36,'The List'!$B1:$AH665,17,FALSE)-AVERAGE('The List'!R2:R665))/STDEV('The List'!R2:R665)</f>
        <v>0.82209780780718911</v>
      </c>
      <c r="F36" s="54">
        <f>(VLOOKUP($A36,'The List'!$B1:$AH665,18,FALSE)-AVERAGE('The List'!S2:S665))/STDEV('The List'!S2:S665)</f>
        <v>1.6222099191421062</v>
      </c>
      <c r="G36" s="54">
        <f>(VLOOKUP($A36,'The List'!$B1:$AH665,19,FALSE)-AVERAGE('The List'!T2:T665))/STDEV('The List'!T2:T665)</f>
        <v>1.7174054577471336</v>
      </c>
      <c r="H36" s="54">
        <f>(VLOOKUP($A36,'The List'!$B1:$AH665,20,FALSE)-AVERAGE('The List'!U2:U665))/STDEV('The List'!U2:U665)</f>
        <v>1.8039768738080544</v>
      </c>
      <c r="I36" s="54">
        <f>(VLOOKUP($A36,'The List'!$B1:$AH665,21,FALSE)-AVERAGE('The List'!V2:V665))/STDEV('The List'!V2:V665)</f>
        <v>1.3539342446045641</v>
      </c>
      <c r="J36" s="54">
        <f>(VLOOKUP($A36,'The List'!$B1:$AH665,22,FALSE)-AVERAGE('The List'!W2:W665))/STDEV('The List'!W2:W665)</f>
        <v>1.3426933302503719</v>
      </c>
      <c r="K36" s="54">
        <f>(VLOOKUP($A36,'The List'!$B1:$AH665,23,FALSE)-AVERAGE('The List'!X2:X665))/STDEV('The List'!X2:X665)</f>
        <v>1.3033554850223019</v>
      </c>
      <c r="L36" s="54">
        <f>(VLOOKUP($A36,'The List'!$B1:$AH665,24,FALSE)-AVERAGE('The List'!Y2:Y665))/STDEV('The List'!Y2:Y665)</f>
        <v>1.8671994144235529</v>
      </c>
      <c r="M36" s="54">
        <f>(VLOOKUP($A36,'The List'!$B1:$AH665,25,FALSE)-AVERAGE('The List'!Z2:Z665))/STDEV('The List'!Z2:Z665)</f>
        <v>1.4771416780928019</v>
      </c>
      <c r="N36" s="54">
        <f>(VLOOKUP($A36,'The List'!$B1:$AH665,26,FALSE)-AVERAGE('The List'!AA2:AA665))/STDEV('The List'!AA2:AA665)</f>
        <v>-0.37069219856189656</v>
      </c>
      <c r="O36" s="54">
        <f>(VLOOKUP($A36,'The List'!$B1:$AH665,27,FALSE)-AVERAGE('The List'!AB2:AB665))/STDEV('The List'!AB2:AB665)</f>
        <v>-0.95290759669372715</v>
      </c>
      <c r="P36" s="54">
        <f>(VLOOKUP($A36,'The List'!$B1:$AH665,28,FALSE)-AVERAGE('The List'!AC2:AC665))/STDEV('The List'!AC2:AC665)</f>
        <v>1.0750057151983621</v>
      </c>
      <c r="Q36" s="54">
        <f>(VLOOKUP($A36,'The List'!$B1:$AH665,29,FALSE)-AVERAGE('The List'!AD2:AD665))/STDEV('The List'!AD2:AD665)</f>
        <v>-1.0335072367941731</v>
      </c>
      <c r="R36" s="54">
        <f>(VLOOKUP($A36,'The List'!$B1:$AH665,30,FALSE)-AVERAGE('The List'!AE2:AE665))/STDEV('The List'!AE2:AE665)</f>
        <v>1.5873525127343531</v>
      </c>
      <c r="S36" s="54">
        <f>(VLOOKUP($A36,'The List'!$B1:$AH665,31,FALSE)-AVERAGE('The List'!AF2:AF665))/STDEV('The List'!AF2:AF665)</f>
        <v>3.6068780928553532</v>
      </c>
      <c r="T36" s="54">
        <f>(VLOOKUP($A36,'The List'!$B1:$AH665,32,FALSE)-AVERAGE('The List'!AG2:AG665))/STDEV('The List'!AG2:AG665)</f>
        <v>3.0804174905636805</v>
      </c>
      <c r="U36" s="54">
        <f>(VLOOKUP($A36,'The List'!$B1:$AH665,33,FALSE)-AVERAGE('The List'!AH2:AH665))/STDEV('The List'!AH2:AH665)</f>
        <v>1.2409984033106709</v>
      </c>
      <c r="V36" s="54"/>
      <c r="W36" s="64"/>
      <c r="X36" s="56"/>
      <c r="Y36" s="56"/>
      <c r="Z36" s="56"/>
      <c r="AA36" s="56"/>
      <c r="AB36" s="56"/>
      <c r="AC36" s="59"/>
      <c r="AD36" s="60"/>
      <c r="AE36" s="54"/>
    </row>
    <row r="37" spans="1:31" ht="21.25" customHeight="1" x14ac:dyDescent="0.15">
      <c r="A37" s="9" t="s">
        <v>180</v>
      </c>
      <c r="B37" s="65" t="str">
        <f>VLOOKUP(A37,'Player Data'!A1:B667,2,FALSE)</f>
        <v>WPG</v>
      </c>
      <c r="C37" s="51">
        <f>((E37)*Settings!$C$12)+(F37*Settings!$C$2)+(G37*Settings!$C$3)+(H37*Settings!$C$4)+(I37*Settings!$C$5)+(K37*Settings!$C$9)+(N37*Settings!$C$6)+(J37*Settings!$C$8)+(O37*Settings!$C$7)+(P37*Settings!$C$14)+(Q37*Settings!$C$15)+(R37*Settings!$C$16)+(S37*Settings!$C$17)+(T37*Settings!$C$18)+(U37*Settings!$C$19)+(L37*Settings!$C$10)+(Settings!$C$11*M37)</f>
        <v>6.2203882873620788</v>
      </c>
      <c r="D37" s="56">
        <f>IF(Settings!$E$12="YES",VLOOKUP(A37,'Player Data'!A1:E667,5,FALSE),82)</f>
        <v>78.712500000000006</v>
      </c>
      <c r="E37" s="54">
        <f>(VLOOKUP($A37,'The List'!$B1:$AH665,17,FALSE)-AVERAGE('The List'!R2:R665))/STDEV('The List'!R2:R665)</f>
        <v>0.76405451807798097</v>
      </c>
      <c r="F37" s="54">
        <f>(VLOOKUP($A37,'The List'!$B1:$AH665,18,FALSE)-AVERAGE('The List'!S2:S665))/STDEV('The List'!S2:S665)</f>
        <v>2.252529910394419</v>
      </c>
      <c r="G37" s="54">
        <f>(VLOOKUP($A37,'The List'!$B1:$AH665,19,FALSE)-AVERAGE('The List'!T2:T665))/STDEV('The List'!T2:T665)</f>
        <v>1.2120854588379781</v>
      </c>
      <c r="H37" s="54">
        <f>(VLOOKUP($A37,'The List'!$B1:$AH665,20,FALSE)-AVERAGE('The List'!U2:U665))/STDEV('The List'!U2:U665)</f>
        <v>1.7766551388333212</v>
      </c>
      <c r="I37" s="54">
        <f>(VLOOKUP($A37,'The List'!$B1:$AH665,21,FALSE)-AVERAGE('The List'!V2:V665))/STDEV('The List'!V2:V665)</f>
        <v>2.1468482942763814</v>
      </c>
      <c r="J37" s="54">
        <f>(VLOOKUP($A37,'The List'!$B1:$AH665,22,FALSE)-AVERAGE('The List'!W2:W665))/STDEV('The List'!W2:W665)</f>
        <v>0.98571889118843303</v>
      </c>
      <c r="K37" s="54">
        <f>(VLOOKUP($A37,'The List'!$B1:$AH665,23,FALSE)-AVERAGE('The List'!X2:X665))/STDEV('The List'!X2:X665)</f>
        <v>1.5346481670650141</v>
      </c>
      <c r="L37" s="54">
        <f>(VLOOKUP($A37,'The List'!$B1:$AH665,24,FALSE)-AVERAGE('The List'!Y2:Y665))/STDEV('The List'!Y2:Y665)</f>
        <v>-0.36463742161123075</v>
      </c>
      <c r="M37" s="54">
        <f>(VLOOKUP($A37,'The List'!$B1:$AH665,25,FALSE)-AVERAGE('The List'!Z2:Z665))/STDEV('The List'!Z2:Z665)</f>
        <v>-0.60067255228503769</v>
      </c>
      <c r="N37" s="54">
        <f>(VLOOKUP($A37,'The List'!$B1:$AH665,26,FALSE)-AVERAGE('The List'!AA2:AA665))/STDEV('The List'!AA2:AA665)</f>
        <v>-0.97518207906239673</v>
      </c>
      <c r="O37" s="54">
        <f>(VLOOKUP($A37,'The List'!$B1:$AH665,27,FALSE)-AVERAGE('The List'!AB2:AB665))/STDEV('The List'!AB2:AB665)</f>
        <v>-1.333240196264089</v>
      </c>
      <c r="P37" s="54">
        <f>(VLOOKUP($A37,'The List'!$B1:$AH665,28,FALSE)-AVERAGE('The List'!AC2:AC665))/STDEV('The List'!AC2:AC665)</f>
        <v>4.9458535850683133E-2</v>
      </c>
      <c r="Q37" s="54">
        <f>(VLOOKUP($A37,'The List'!$B1:$AH665,29,FALSE)-AVERAGE('The List'!AD2:AD665))/STDEV('The List'!AD2:AD665)</f>
        <v>-1.2804858627429128</v>
      </c>
      <c r="R37" s="54">
        <f>(VLOOKUP($A37,'The List'!$B1:$AH665,30,FALSE)-AVERAGE('The List'!AE2:AE665))/STDEV('The List'!AE2:AE665)</f>
        <v>2.5510905449035963</v>
      </c>
      <c r="S37" s="54">
        <f>(VLOOKUP($A37,'The List'!$B1:$AH665,31,FALSE)-AVERAGE('The List'!AF2:AF665))/STDEV('The List'!AF2:AF665)</f>
        <v>-0.56505170770412516</v>
      </c>
      <c r="T37" s="54">
        <f>(VLOOKUP($A37,'The List'!$B1:$AH665,32,FALSE)-AVERAGE('The List'!AG2:AG665))/STDEV('The List'!AG2:AG665)</f>
        <v>-0.59481433869751799</v>
      </c>
      <c r="U37" s="54">
        <f>(VLOOKUP($A37,'The List'!$B1:$AH665,33,FALSE)-AVERAGE('The List'!AH2:AH665))/STDEV('The List'!AH2:AH665)</f>
        <v>-0.17510199061034457</v>
      </c>
      <c r="V37" s="54"/>
      <c r="W37" s="56"/>
      <c r="X37" s="54"/>
      <c r="Y37" s="54"/>
      <c r="Z37" s="54"/>
      <c r="AA37" s="54"/>
      <c r="AB37" s="54"/>
      <c r="AC37" s="54"/>
      <c r="AD37" s="54"/>
      <c r="AE37" s="54"/>
    </row>
    <row r="38" spans="1:31" ht="21.25" customHeight="1" x14ac:dyDescent="0.15">
      <c r="A38" s="9" t="s">
        <v>137</v>
      </c>
      <c r="B38" s="65" t="str">
        <f>VLOOKUP(A38,'Player Data'!A1:B667,2,FALSE)</f>
        <v>NSH</v>
      </c>
      <c r="C38" s="51">
        <f>((E38)*Settings!$C$12)+(F38*Settings!$C$2)+(G38*Settings!$C$3)+(H38*Settings!$C$4)+(I38*Settings!$C$5)+(K38*Settings!$C$9)+(N38*Settings!$C$6)+(J38*Settings!$C$8)+(O38*Settings!$C$7)+(P38*Settings!$C$14)+(Q38*Settings!$C$15)+(R38*Settings!$C$16)+(S38*Settings!$C$17)+(T38*Settings!$C$18)+(U38*Settings!$C$19)+(L38*Settings!$C$10)+(Settings!$C$11*M38)</f>
        <v>10.514744695233913</v>
      </c>
      <c r="D38" s="56">
        <f>IF(Settings!$E$12="YES",VLOOKUP(A38,'Player Data'!A1:E667,5,FALSE),82)</f>
        <v>79.767499999999998</v>
      </c>
      <c r="E38" s="54">
        <f>(VLOOKUP($A38,'The List'!$B1:$AH665,17,FALSE)-AVERAGE('The List'!R2:R665))/STDEV('The List'!R2:R665)</f>
        <v>2.0710836537762596</v>
      </c>
      <c r="F38" s="54">
        <f>(VLOOKUP($A38,'The List'!$B1:$AH665,18,FALSE)-AVERAGE('The List'!S2:S665))/STDEV('The List'!S2:S665)</f>
        <v>0.6546982200240814</v>
      </c>
      <c r="G38" s="54">
        <f>(VLOOKUP($A38,'The List'!$B1:$AH665,19,FALSE)-AVERAGE('The List'!T2:T665))/STDEV('The List'!T2:T665)</f>
        <v>2.4013631445988919</v>
      </c>
      <c r="H38" s="54">
        <f>(VLOOKUP($A38,'The List'!$B1:$AH665,20,FALSE)-AVERAGE('The List'!U2:U665))/STDEV('The List'!U2:U665)</f>
        <v>1.7889729982220213</v>
      </c>
      <c r="I38" s="54">
        <f>(VLOOKUP($A38,'The List'!$B1:$AH665,21,FALSE)-AVERAGE('The List'!V2:V665))/STDEV('The List'!V2:V665)</f>
        <v>2.1277114896964293</v>
      </c>
      <c r="J38" s="54">
        <f>(VLOOKUP($A38,'The List'!$B1:$AH665,22,FALSE)-AVERAGE('The List'!W2:W665))/STDEV('The List'!W2:W665)</f>
        <v>1.6905258497670121</v>
      </c>
      <c r="K38" s="54">
        <f>(VLOOKUP($A38,'The List'!$B1:$AH665,23,FALSE)-AVERAGE('The List'!X2:X665))/STDEV('The List'!X2:X665)</f>
        <v>2.3463415706951123</v>
      </c>
      <c r="L38" s="54">
        <f>(VLOOKUP($A38,'The List'!$B1:$AH665,24,FALSE)-AVERAGE('The List'!Y2:Y665))/STDEV('The List'!Y2:Y665)</f>
        <v>-0.55649718252262625</v>
      </c>
      <c r="M38" s="54">
        <f>(VLOOKUP($A38,'The List'!$B1:$AH665,25,FALSE)-AVERAGE('The List'!Z2:Z665))/STDEV('The List'!Z2:Z665)</f>
        <v>-0.41740003292996758</v>
      </c>
      <c r="N38" s="54">
        <f>(VLOOKUP($A38,'The List'!$B1:$AH665,26,FALSE)-AVERAGE('The List'!AA2:AA665))/STDEV('The List'!AA2:AA665)</f>
        <v>1.8595188554337057</v>
      </c>
      <c r="O38" s="54">
        <f>(VLOOKUP($A38,'The List'!$B1:$AH665,27,FALSE)-AVERAGE('The List'!AB2:AB665))/STDEV('The List'!AB2:AB665)</f>
        <v>-0.76397299253814466</v>
      </c>
      <c r="P38" s="54">
        <f>(VLOOKUP($A38,'The List'!$B1:$AH665,28,FALSE)-AVERAGE('The List'!AC2:AC665))/STDEV('The List'!AC2:AC665)</f>
        <v>1.1251114147856935</v>
      </c>
      <c r="Q38" s="54">
        <f>(VLOOKUP($A38,'The List'!$B1:$AH665,29,FALSE)-AVERAGE('The List'!AD2:AD665))/STDEV('The List'!AD2:AD665)</f>
        <v>0.82606663717484397</v>
      </c>
      <c r="R38" s="54">
        <f>(VLOOKUP($A38,'The List'!$B1:$AH665,30,FALSE)-AVERAGE('The List'!AE2:AE665))/STDEV('The List'!AE2:AE665)</f>
        <v>0.53191937402682865</v>
      </c>
      <c r="S38" s="54">
        <f>(VLOOKUP($A38,'The List'!$B1:$AH665,31,FALSE)-AVERAGE('The List'!AF2:AF665))/STDEV('The List'!AF2:AF665)</f>
        <v>-0.57389441068000469</v>
      </c>
      <c r="T38" s="54">
        <f>(VLOOKUP($A38,'The List'!$B1:$AH665,32,FALSE)-AVERAGE('The List'!AG2:AG665))/STDEV('The List'!AG2:AG665)</f>
        <v>-0.62577078713265111</v>
      </c>
      <c r="U38" s="54">
        <f>(VLOOKUP($A38,'The List'!$B1:$AH665,33,FALSE)-AVERAGE('The List'!AH2:AH665))/STDEV('The List'!AH2:AH665)</f>
        <v>-1.2314350945148611</v>
      </c>
      <c r="V38" s="54"/>
      <c r="W38" s="64"/>
      <c r="X38" s="56"/>
      <c r="Y38" s="56"/>
      <c r="Z38" s="56"/>
      <c r="AA38" s="56"/>
      <c r="AB38" s="56"/>
      <c r="AC38" s="59"/>
      <c r="AD38" s="60"/>
      <c r="AE38" s="54"/>
    </row>
    <row r="39" spans="1:31" ht="21.25" customHeight="1" x14ac:dyDescent="0.15">
      <c r="A39" s="9" t="s">
        <v>191</v>
      </c>
      <c r="B39" s="65" t="str">
        <f>VLOOKUP(A39,'Player Data'!A1:B667,2,FALSE)</f>
        <v>L.A</v>
      </c>
      <c r="C39" s="51">
        <f>((E39)*Settings!$C$12)+(F39*Settings!$C$2)+(G39*Settings!$C$3)+(H39*Settings!$C$4)+(I39*Settings!$C$5)+(K39*Settings!$C$9)+(N39*Settings!$C$6)+(J39*Settings!$C$8)+(O39*Settings!$C$7)+(P39*Settings!$C$14)+(Q39*Settings!$C$15)+(R39*Settings!$C$16)+(S39*Settings!$C$17)+(T39*Settings!$C$18)+(U39*Settings!$C$19)+(L39*Settings!$C$10)+(Settings!$C$11*M39)</f>
        <v>6.7125754492529079</v>
      </c>
      <c r="D39" s="56">
        <f>IF(Settings!$E$12="YES",VLOOKUP(A39,'Player Data'!A1:E667,5,FALSE),82)</f>
        <v>80.242500000000007</v>
      </c>
      <c r="E39" s="54">
        <f>(VLOOKUP($A39,'The List'!$B1:$AH665,17,FALSE)-AVERAGE('The List'!R2:R665))/STDEV('The List'!R2:R665)</f>
        <v>0.29299393150660746</v>
      </c>
      <c r="F39" s="54">
        <f>(VLOOKUP($A39,'The List'!$B1:$AH665,18,FALSE)-AVERAGE('The List'!S2:S665))/STDEV('The List'!S2:S665)</f>
        <v>1.4487401544268341</v>
      </c>
      <c r="G39" s="54">
        <f>(VLOOKUP($A39,'The List'!$B1:$AH665,19,FALSE)-AVERAGE('The List'!T2:T665))/STDEV('The List'!T2:T665)</f>
        <v>1.7558066732003592</v>
      </c>
      <c r="H39" s="54">
        <f>(VLOOKUP($A39,'The List'!$B1:$AH665,20,FALSE)-AVERAGE('The List'!U2:U665))/STDEV('The List'!U2:U665)</f>
        <v>1.748975934089539</v>
      </c>
      <c r="I39" s="54">
        <f>(VLOOKUP($A39,'The List'!$B1:$AH665,21,FALSE)-AVERAGE('The List'!V2:V665))/STDEV('The List'!V2:V665)</f>
        <v>1.568764281257004</v>
      </c>
      <c r="J39" s="54">
        <f>(VLOOKUP($A39,'The List'!$B1:$AH665,22,FALSE)-AVERAGE('The List'!W2:W665))/STDEV('The List'!W2:W665)</f>
        <v>1.7510409870878834</v>
      </c>
      <c r="K39" s="54">
        <f>(VLOOKUP($A39,'The List'!$B1:$AH665,23,FALSE)-AVERAGE('The List'!X2:X665))/STDEV('The List'!X2:X665)</f>
        <v>1.8523547111287237</v>
      </c>
      <c r="L39" s="54">
        <f>(VLOOKUP($A39,'The List'!$B1:$AH665,24,FALSE)-AVERAGE('The List'!Y2:Y665))/STDEV('The List'!Y2:Y665)</f>
        <v>-0.55110157459863507</v>
      </c>
      <c r="M39" s="54">
        <f>(VLOOKUP($A39,'The List'!$B1:$AH665,25,FALSE)-AVERAGE('The List'!Z2:Z665))/STDEV('The List'!Z2:Z665)</f>
        <v>-0.7314546959365783</v>
      </c>
      <c r="N39" s="54">
        <f>(VLOOKUP($A39,'The List'!$B1:$AH665,26,FALSE)-AVERAGE('The List'!AA2:AA665))/STDEV('The List'!AA2:AA665)</f>
        <v>-0.90989180785695301</v>
      </c>
      <c r="O39" s="54">
        <f>(VLOOKUP($A39,'The List'!$B1:$AH665,27,FALSE)-AVERAGE('The List'!AB2:AB665))/STDEV('The List'!AB2:AB665)</f>
        <v>-0.66782761486343645</v>
      </c>
      <c r="P39" s="54">
        <f>(VLOOKUP($A39,'The List'!$B1:$AH665,28,FALSE)-AVERAGE('The List'!AC2:AC665))/STDEV('The List'!AC2:AC665)</f>
        <v>0.99680143709693914</v>
      </c>
      <c r="Q39" s="54">
        <f>(VLOOKUP($A39,'The List'!$B1:$AH665,29,FALSE)-AVERAGE('The List'!AD2:AD665))/STDEV('The List'!AD2:AD665)</f>
        <v>1.1728563684708324</v>
      </c>
      <c r="R39" s="54">
        <f>(VLOOKUP($A39,'The List'!$B1:$AH665,30,FALSE)-AVERAGE('The List'!AE2:AE665))/STDEV('The List'!AE2:AE665)</f>
        <v>1.9075118066136467</v>
      </c>
      <c r="S39" s="54">
        <f>(VLOOKUP($A39,'The List'!$B1:$AH665,31,FALSE)-AVERAGE('The List'!AF2:AF665))/STDEV('The List'!AF2:AF665)</f>
        <v>-0.5216231120224265</v>
      </c>
      <c r="T39" s="54">
        <f>(VLOOKUP($A39,'The List'!$B1:$AH665,32,FALSE)-AVERAGE('The List'!AG2:AG665))/STDEV('The List'!AG2:AG665)</f>
        <v>-0.52048439769113497</v>
      </c>
      <c r="U39" s="54">
        <f>(VLOOKUP($A39,'The List'!$B1:$AH665,33,FALSE)-AVERAGE('The List'!AH2:AH665))/STDEV('The List'!AH2:AH665)</f>
        <v>0.33508890748966674</v>
      </c>
      <c r="V39" s="54"/>
      <c r="W39" s="64"/>
      <c r="X39" s="56"/>
      <c r="Y39" s="56"/>
      <c r="Z39" s="56"/>
      <c r="AA39" s="56"/>
      <c r="AB39" s="56"/>
      <c r="AC39" s="59"/>
      <c r="AD39" s="60"/>
      <c r="AE39" s="54"/>
    </row>
    <row r="40" spans="1:31" ht="21.25" customHeight="1" x14ac:dyDescent="0.15">
      <c r="A40" s="9" t="s">
        <v>207</v>
      </c>
      <c r="B40" s="65" t="str">
        <f>VLOOKUP(A40,'Player Data'!A1:B667,2,FALSE)</f>
        <v>MTL</v>
      </c>
      <c r="C40" s="51">
        <f>((E40)*Settings!$C$12)+(F40*Settings!$C$2)+(G40*Settings!$C$3)+(H40*Settings!$C$4)+(I40*Settings!$C$5)+(K40*Settings!$C$9)+(N40*Settings!$C$6)+(J40*Settings!$C$8)+(O40*Settings!$C$7)+(P40*Settings!$C$14)+(Q40*Settings!$C$15)+(R40*Settings!$C$16)+(S40*Settings!$C$17)+(T40*Settings!$C$18)+(U40*Settings!$C$19)+(L40*Settings!$C$10)+(Settings!$C$11*M40)</f>
        <v>4.8931156643819058</v>
      </c>
      <c r="D40" s="56">
        <f>IF(Settings!$E$12="YES",VLOOKUP(A40,'Player Data'!A1:E667,5,FALSE),82)</f>
        <v>82.03</v>
      </c>
      <c r="E40" s="54">
        <f>(VLOOKUP($A40,'The List'!$B1:$AH665,17,FALSE)-AVERAGE('The List'!R2:R665))/STDEV('The List'!R2:R665)</f>
        <v>1.2430527454538751</v>
      </c>
      <c r="F40" s="54">
        <f>(VLOOKUP($A40,'The List'!$B1:$AH665,18,FALSE)-AVERAGE('The List'!S2:S665))/STDEV('The List'!S2:S665)</f>
        <v>1.7346872501380106</v>
      </c>
      <c r="G40" s="54">
        <f>(VLOOKUP($A40,'The List'!$B1:$AH665,19,FALSE)-AVERAGE('The List'!T2:T665))/STDEV('The List'!T2:T665)</f>
        <v>1.6134501043725189</v>
      </c>
      <c r="H40" s="54">
        <f>(VLOOKUP($A40,'The List'!$B1:$AH665,20,FALSE)-AVERAGE('The List'!U2:U665))/STDEV('The List'!U2:U665)</f>
        <v>1.7905410475632977</v>
      </c>
      <c r="I40" s="54">
        <f>(VLOOKUP($A40,'The List'!$B1:$AH665,21,FALSE)-AVERAGE('The List'!V2:V665))/STDEV('The List'!V2:V665)</f>
        <v>0.93745324961834553</v>
      </c>
      <c r="J40" s="54">
        <f>(VLOOKUP($A40,'The List'!$B1:$AH665,22,FALSE)-AVERAGE('The List'!W2:W665))/STDEV('The List'!W2:W665)</f>
        <v>2.1576369444590657</v>
      </c>
      <c r="K40" s="54">
        <f>(VLOOKUP($A40,'The List'!$B1:$AH665,23,FALSE)-AVERAGE('The List'!X2:X665))/STDEV('The List'!X2:X665)</f>
        <v>1.9619737431754103</v>
      </c>
      <c r="L40" s="54">
        <f>(VLOOKUP($A40,'The List'!$B1:$AH665,24,FALSE)-AVERAGE('The List'!Y2:Y665))/STDEV('The List'!Y2:Y665)</f>
        <v>0.59064845074025474</v>
      </c>
      <c r="M40" s="54">
        <f>(VLOOKUP($A40,'The List'!$B1:$AH665,25,FALSE)-AVERAGE('The List'!Z2:Z665))/STDEV('The List'!Z2:Z665)</f>
        <v>0.30863971302429094</v>
      </c>
      <c r="N40" s="54">
        <f>(VLOOKUP($A40,'The List'!$B1:$AH665,26,FALSE)-AVERAGE('The List'!AA2:AA665))/STDEV('The List'!AA2:AA665)</f>
        <v>-0.36377456185257157</v>
      </c>
      <c r="O40" s="54">
        <f>(VLOOKUP($A40,'The List'!$B1:$AH665,27,FALSE)-AVERAGE('The List'!AB2:AB665))/STDEV('The List'!AB2:AB665)</f>
        <v>-0.57464260624760144</v>
      </c>
      <c r="P40" s="54">
        <f>(VLOOKUP($A40,'The List'!$B1:$AH665,28,FALSE)-AVERAGE('The List'!AC2:AC665))/STDEV('The List'!AC2:AC665)</f>
        <v>-0.99067412106980746</v>
      </c>
      <c r="Q40" s="54">
        <f>(VLOOKUP($A40,'The List'!$B1:$AH665,29,FALSE)-AVERAGE('The List'!AD2:AD665))/STDEV('The List'!AD2:AD665)</f>
        <v>5.4232695228019163E-2</v>
      </c>
      <c r="R40" s="54">
        <f>(VLOOKUP($A40,'The List'!$B1:$AH665,30,FALSE)-AVERAGE('The List'!AE2:AE665))/STDEV('The List'!AE2:AE665)</f>
        <v>1.007504147099336</v>
      </c>
      <c r="S40" s="54">
        <f>(VLOOKUP($A40,'The List'!$B1:$AH665,31,FALSE)-AVERAGE('The List'!AF2:AF665))/STDEV('The List'!AF2:AF665)</f>
        <v>2.6981594256596129</v>
      </c>
      <c r="T40" s="54">
        <f>(VLOOKUP($A40,'The List'!$B1:$AH665,32,FALSE)-AVERAGE('The List'!AG2:AG665))/STDEV('The List'!AG2:AG665)</f>
        <v>2.8480539138564778</v>
      </c>
      <c r="U40" s="54">
        <f>(VLOOKUP($A40,'The List'!$B1:$AH665,33,FALSE)-AVERAGE('The List'!AH2:AH665))/STDEV('The List'!AH2:AH665)</f>
        <v>1.0372055476452924</v>
      </c>
      <c r="V40" s="54"/>
      <c r="W40" s="64"/>
      <c r="X40" s="56"/>
      <c r="Y40" s="56"/>
      <c r="Z40" s="56"/>
      <c r="AA40" s="56"/>
      <c r="AB40" s="56"/>
      <c r="AC40" s="59"/>
      <c r="AD40" s="60"/>
      <c r="AE40" s="54"/>
    </row>
    <row r="41" spans="1:31" ht="21.25" customHeight="1" x14ac:dyDescent="0.15">
      <c r="A41" s="9" t="s">
        <v>171</v>
      </c>
      <c r="B41" s="65" t="str">
        <f>VLOOKUP(A41,'Player Data'!A1:B667,2,FALSE)</f>
        <v>STL</v>
      </c>
      <c r="C41" s="51">
        <f>((E41)*Settings!$C$12)+(F41*Settings!$C$2)+(G41*Settings!$C$3)+(H41*Settings!$C$4)+(I41*Settings!$C$5)+(K41*Settings!$C$9)+(N41*Settings!$C$6)+(J41*Settings!$C$8)+(O41*Settings!$C$7)+(P41*Settings!$C$14)+(Q41*Settings!$C$15)+(R41*Settings!$C$16)+(S41*Settings!$C$17)+(T41*Settings!$C$18)+(U41*Settings!$C$19)+(L41*Settings!$C$10)+(Settings!$C$11*M41)</f>
        <v>5.4490336742558556</v>
      </c>
      <c r="D41" s="56">
        <f>IF(Settings!$E$12="YES",VLOOKUP(A41,'Player Data'!A1:E667,5,FALSE),82)</f>
        <v>80.817499999999995</v>
      </c>
      <c r="E41" s="54">
        <f>(VLOOKUP($A41,'The List'!$B1:$AH665,17,FALSE)-AVERAGE('The List'!R2:R665))/STDEV('The List'!R2:R665)</f>
        <v>0.50405870453460033</v>
      </c>
      <c r="F41" s="54">
        <f>(VLOOKUP($A41,'The List'!$B1:$AH665,18,FALSE)-AVERAGE('The List'!S2:S665))/STDEV('The List'!S2:S665)</f>
        <v>1.9636209468487971</v>
      </c>
      <c r="G41" s="54">
        <f>(VLOOKUP($A41,'The List'!$B1:$AH665,19,FALSE)-AVERAGE('The List'!T2:T665))/STDEV('The List'!T2:T665)</f>
        <v>1.3221872323384449</v>
      </c>
      <c r="H41" s="54">
        <f>(VLOOKUP($A41,'The List'!$B1:$AH665,20,FALSE)-AVERAGE('The List'!U2:U665))/STDEV('The List'!U2:U665)</f>
        <v>1.7137116741153191</v>
      </c>
      <c r="I41" s="54">
        <f>(VLOOKUP($A41,'The List'!$B1:$AH665,21,FALSE)-AVERAGE('The List'!V2:V665))/STDEV('The List'!V2:V665)</f>
        <v>1.9826827370110751</v>
      </c>
      <c r="J41" s="54">
        <f>(VLOOKUP($A41,'The List'!$B1:$AH665,22,FALSE)-AVERAGE('The List'!W2:W665))/STDEV('The List'!W2:W665)</f>
        <v>1.8426827164888686</v>
      </c>
      <c r="K41" s="54">
        <f>(VLOOKUP($A41,'The List'!$B1:$AH665,23,FALSE)-AVERAGE('The List'!X2:X665))/STDEV('The List'!X2:X665)</f>
        <v>1.7359203144869237</v>
      </c>
      <c r="L41" s="54">
        <f>(VLOOKUP($A41,'The List'!$B1:$AH665,24,FALSE)-AVERAGE('The List'!Y2:Y665))/STDEV('The List'!Y2:Y665)</f>
        <v>-0.57821021386531035</v>
      </c>
      <c r="M41" s="54">
        <f>(VLOOKUP($A41,'The List'!$B1:$AH665,25,FALSE)-AVERAGE('The List'!Z2:Z665))/STDEV('The List'!Z2:Z665)</f>
        <v>-0.7520233406747564</v>
      </c>
      <c r="N41" s="54">
        <f>(VLOOKUP($A41,'The List'!$B1:$AH665,26,FALSE)-AVERAGE('The List'!AA2:AA665))/STDEV('The List'!AA2:AA665)</f>
        <v>-0.76296913359254304</v>
      </c>
      <c r="O41" s="54">
        <f>(VLOOKUP($A41,'The List'!$B1:$AH665,27,FALSE)-AVERAGE('The List'!AB2:AB665))/STDEV('The List'!AB2:AB665)</f>
        <v>-1.3654656597606896</v>
      </c>
      <c r="P41" s="54">
        <f>(VLOOKUP($A41,'The List'!$B1:$AH665,28,FALSE)-AVERAGE('The List'!AC2:AC665))/STDEV('The List'!AC2:AC665)</f>
        <v>-0.79240842283684232</v>
      </c>
      <c r="Q41" s="54">
        <f>(VLOOKUP($A41,'The List'!$B1:$AH665,29,FALSE)-AVERAGE('The List'!AD2:AD665))/STDEV('The List'!AD2:AD665)</f>
        <v>-0.46485134742708917</v>
      </c>
      <c r="R41" s="54">
        <f>(VLOOKUP($A41,'The List'!$B1:$AH665,30,FALSE)-AVERAGE('The List'!AE2:AE665))/STDEV('The List'!AE2:AE665)</f>
        <v>1.2728960523177895</v>
      </c>
      <c r="S41" s="54">
        <f>(VLOOKUP($A41,'The List'!$B1:$AH665,31,FALSE)-AVERAGE('The List'!AF2:AF665))/STDEV('The List'!AF2:AF665)</f>
        <v>-0.55494645764768646</v>
      </c>
      <c r="T41" s="54">
        <f>(VLOOKUP($A41,'The List'!$B1:$AH665,32,FALSE)-AVERAGE('The List'!AG2:AG665))/STDEV('The List'!AG2:AG665)</f>
        <v>-0.58926697532095684</v>
      </c>
      <c r="U41" s="54">
        <f>(VLOOKUP($A41,'The List'!$B1:$AH665,33,FALSE)-AVERAGE('The List'!AH2:AH665))/STDEV('The List'!AH2:AH665)</f>
        <v>0.38103347809817406</v>
      </c>
      <c r="V41" s="54"/>
      <c r="W41" s="56"/>
      <c r="X41" s="54"/>
      <c r="Y41" s="54"/>
      <c r="Z41" s="54"/>
      <c r="AA41" s="54"/>
      <c r="AB41" s="54"/>
      <c r="AC41" s="54"/>
      <c r="AD41" s="54"/>
      <c r="AE41" s="54"/>
    </row>
    <row r="42" spans="1:31" ht="21.25" customHeight="1" x14ac:dyDescent="0.15">
      <c r="A42" s="9" t="s">
        <v>208</v>
      </c>
      <c r="B42" s="65" t="str">
        <f>VLOOKUP(A42,'Player Data'!A1:B667,2,FALSE)</f>
        <v>EDM</v>
      </c>
      <c r="C42" s="51">
        <f>((E42)*Settings!$C$12)+(F42*Settings!$C$2)+(G42*Settings!$C$3)+(H42*Settings!$C$4)+(I42*Settings!$C$5)+(K42*Settings!$C$9)+(N42*Settings!$C$6)+(J42*Settings!$C$8)+(O42*Settings!$C$7)+(P42*Settings!$C$14)+(Q42*Settings!$C$15)+(R42*Settings!$C$16)+(S42*Settings!$C$17)+(T42*Settings!$C$18)+(U42*Settings!$C$19)+(L42*Settings!$C$10)+(Settings!$C$11*M42)</f>
        <v>7.5290689202669752</v>
      </c>
      <c r="D42" s="56">
        <f>IF(Settings!$E$12="YES",VLOOKUP(A42,'Player Data'!A1:E667,5,FALSE),82)</f>
        <v>79.775000000000006</v>
      </c>
      <c r="E42" s="54">
        <f>(VLOOKUP($A42,'The List'!$B1:$AH665,17,FALSE)-AVERAGE('The List'!R2:R665))/STDEV('The List'!R2:R665)</f>
        <v>0.80624755728589159</v>
      </c>
      <c r="F42" s="54">
        <f>(VLOOKUP($A42,'The List'!$B1:$AH665,18,FALSE)-AVERAGE('The List'!S2:S665))/STDEV('The List'!S2:S665)</f>
        <v>0.86597064541081237</v>
      </c>
      <c r="G42" s="54">
        <f>(VLOOKUP($A42,'The List'!$B1:$AH665,19,FALSE)-AVERAGE('The List'!T2:T665))/STDEV('The List'!T2:T665)</f>
        <v>2.0517699614783251</v>
      </c>
      <c r="H42" s="54">
        <f>(VLOOKUP($A42,'The List'!$B1:$AH665,20,FALSE)-AVERAGE('The List'!U2:U665))/STDEV('The List'!U2:U665)</f>
        <v>1.6678893344615504</v>
      </c>
      <c r="I42" s="54">
        <f>(VLOOKUP($A42,'The List'!$B1:$AH665,21,FALSE)-AVERAGE('The List'!V2:V665))/STDEV('The List'!V2:V665)</f>
        <v>0.89455960985029703</v>
      </c>
      <c r="J42" s="54">
        <f>(VLOOKUP($A42,'The List'!$B1:$AH665,22,FALSE)-AVERAGE('The List'!W2:W665))/STDEV('The List'!W2:W665)</f>
        <v>1.1067485905736802</v>
      </c>
      <c r="K42" s="54">
        <f>(VLOOKUP($A42,'The List'!$B1:$AH665,23,FALSE)-AVERAGE('The List'!X2:X665))/STDEV('The List'!X2:X665)</f>
        <v>2.5097183220437258</v>
      </c>
      <c r="L42" s="54">
        <f>(VLOOKUP($A42,'The List'!$B1:$AH665,24,FALSE)-AVERAGE('The List'!Y2:Y665))/STDEV('The List'!Y2:Y665)</f>
        <v>0.94271906842594633</v>
      </c>
      <c r="M42" s="54">
        <f>(VLOOKUP($A42,'The List'!$B1:$AH665,25,FALSE)-AVERAGE('The List'!Z2:Z665))/STDEV('The List'!Z2:Z665)</f>
        <v>3.0433992826807481</v>
      </c>
      <c r="N42" s="54">
        <f>(VLOOKUP($A42,'The List'!$B1:$AH665,26,FALSE)-AVERAGE('The List'!AA2:AA665))/STDEV('The List'!AA2:AA665)</f>
        <v>-0.74430993414151292</v>
      </c>
      <c r="O42" s="54">
        <f>(VLOOKUP($A42,'The List'!$B1:$AH665,27,FALSE)-AVERAGE('The List'!AB2:AB665))/STDEV('The List'!AB2:AB665)</f>
        <v>-0.64561341598871491</v>
      </c>
      <c r="P42" s="54">
        <f>(VLOOKUP($A42,'The List'!$B1:$AH665,28,FALSE)-AVERAGE('The List'!AC2:AC665))/STDEV('The List'!AC2:AC665)</f>
        <v>1.9513603156253276</v>
      </c>
      <c r="Q42" s="54">
        <f>(VLOOKUP($A42,'The List'!$B1:$AH665,29,FALSE)-AVERAGE('The List'!AD2:AD665))/STDEV('The List'!AD2:AD665)</f>
        <v>0.1318069073144921</v>
      </c>
      <c r="R42" s="54">
        <f>(VLOOKUP($A42,'The List'!$B1:$AH665,30,FALSE)-AVERAGE('The List'!AE2:AE665))/STDEV('The List'!AE2:AE665)</f>
        <v>1.0046168481854636</v>
      </c>
      <c r="S42" s="54">
        <f>(VLOOKUP($A42,'The List'!$B1:$AH665,31,FALSE)-AVERAGE('The List'!AF2:AF665))/STDEV('The List'!AF2:AF665)</f>
        <v>0.58959017385270773</v>
      </c>
      <c r="T42" s="54">
        <f>(VLOOKUP($A42,'The List'!$B1:$AH665,32,FALSE)-AVERAGE('The List'!AG2:AG665))/STDEV('The List'!AG2:AG665)</f>
        <v>0.85323291136644863</v>
      </c>
      <c r="U42" s="54">
        <f>(VLOOKUP($A42,'The List'!$B1:$AH665,33,FALSE)-AVERAGE('The List'!AH2:AH665))/STDEV('The List'!AH2:AH665)</f>
        <v>0.83362538387134333</v>
      </c>
      <c r="V42" s="54"/>
      <c r="W42" s="64"/>
      <c r="X42" s="56"/>
      <c r="Y42" s="56"/>
      <c r="Z42" s="56"/>
      <c r="AA42" s="56"/>
      <c r="AB42" s="56"/>
      <c r="AC42" s="59"/>
      <c r="AD42" s="60"/>
      <c r="AE42" s="54"/>
    </row>
    <row r="43" spans="1:31" ht="21.25" customHeight="1" x14ac:dyDescent="0.15">
      <c r="A43" s="9" t="s">
        <v>151</v>
      </c>
      <c r="B43" s="65" t="str">
        <f>VLOOKUP(A43,'Player Data'!A1:B667,2,FALSE)</f>
        <v>NYR</v>
      </c>
      <c r="C43" s="51">
        <f>((E43)*Settings!$C$12)+(F43*Settings!$C$2)+(G43*Settings!$C$3)+(H43*Settings!$C$4)+(I43*Settings!$C$5)+(K43*Settings!$C$9)+(N43*Settings!$C$6)+(J43*Settings!$C$8)+(O43*Settings!$C$7)+(P43*Settings!$C$14)+(Q43*Settings!$C$15)+(R43*Settings!$C$16)+(S43*Settings!$C$17)+(T43*Settings!$C$18)+(U43*Settings!$C$19)+(L43*Settings!$C$10)+(Settings!$C$11*M43)</f>
        <v>8.4302579570877576</v>
      </c>
      <c r="D43" s="56">
        <f>IF(Settings!$E$12="YES",VLOOKUP(A43,'Player Data'!A1:E667,5,FALSE),82)</f>
        <v>79.855000000000004</v>
      </c>
      <c r="E43" s="54">
        <f>(VLOOKUP($A43,'The List'!$B1:$AH665,17,FALSE)-AVERAGE('The List'!R2:R665))/STDEV('The List'!R2:R665)</f>
        <v>1.8461854140660541</v>
      </c>
      <c r="F43" s="54">
        <f>(VLOOKUP($A43,'The List'!$B1:$AH665,18,FALSE)-AVERAGE('The List'!S2:S665))/STDEV('The List'!S2:S665)</f>
        <v>2.767633702346526E-2</v>
      </c>
      <c r="G43" s="54">
        <f>(VLOOKUP($A43,'The List'!$B1:$AH665,19,FALSE)-AVERAGE('The List'!T2:T665))/STDEV('The List'!T2:T665)</f>
        <v>2.6425770750266162</v>
      </c>
      <c r="H43" s="54">
        <f>(VLOOKUP($A43,'The List'!$B1:$AH665,20,FALSE)-AVERAGE('The List'!U2:U665))/STDEV('The List'!U2:U665)</f>
        <v>1.6537691614557151</v>
      </c>
      <c r="I43" s="54">
        <f>(VLOOKUP($A43,'The List'!$B1:$AH665,21,FALSE)-AVERAGE('The List'!V2:V665))/STDEV('The List'!V2:V665)</f>
        <v>0.32393310586155832</v>
      </c>
      <c r="J43" s="54">
        <f>(VLOOKUP($A43,'The List'!$B1:$AH665,22,FALSE)-AVERAGE('The List'!W2:W665))/STDEV('The List'!W2:W665)</f>
        <v>0.18880206207960018</v>
      </c>
      <c r="K43" s="54">
        <f>(VLOOKUP($A43,'The List'!$B1:$AH665,23,FALSE)-AVERAGE('The List'!X2:X665))/STDEV('The List'!X2:X665)</f>
        <v>2.5334206956460923</v>
      </c>
      <c r="L43" s="54">
        <f>(VLOOKUP($A43,'The List'!$B1:$AH665,24,FALSE)-AVERAGE('The List'!Y2:Y665))/STDEV('The List'!Y2:Y665)</f>
        <v>0.43102064901471859</v>
      </c>
      <c r="M43" s="54">
        <f>(VLOOKUP($A43,'The List'!$B1:$AH665,25,FALSE)-AVERAGE('The List'!Z2:Z665))/STDEV('The List'!Z2:Z665)</f>
        <v>0.85697146106430933</v>
      </c>
      <c r="N43" s="54">
        <f>(VLOOKUP($A43,'The List'!$B1:$AH665,26,FALSE)-AVERAGE('The List'!AA2:AA665))/STDEV('The List'!AA2:AA665)</f>
        <v>1.5528392697307809</v>
      </c>
      <c r="O43" s="54">
        <f>(VLOOKUP($A43,'The List'!$B1:$AH665,27,FALSE)-AVERAGE('The List'!AB2:AB665))/STDEV('The List'!AB2:AB665)</f>
        <v>-0.79029550993042008</v>
      </c>
      <c r="P43" s="54">
        <f>(VLOOKUP($A43,'The List'!$B1:$AH665,28,FALSE)-AVERAGE('The List'!AC2:AC665))/STDEV('The List'!AC2:AC665)</f>
        <v>1.3498114737992433</v>
      </c>
      <c r="Q43" s="54">
        <f>(VLOOKUP($A43,'The List'!$B1:$AH665,29,FALSE)-AVERAGE('The List'!AD2:AD665))/STDEV('The List'!AD2:AD665)</f>
        <v>0.26688544061733421</v>
      </c>
      <c r="R43" s="54">
        <f>(VLOOKUP($A43,'The List'!$B1:$AH665,30,FALSE)-AVERAGE('The List'!AE2:AE665))/STDEV('The List'!AE2:AE665)</f>
        <v>0.15308620639443848</v>
      </c>
      <c r="S43" s="54">
        <f>(VLOOKUP($A43,'The List'!$B1:$AH665,31,FALSE)-AVERAGE('The List'!AF2:AF665))/STDEV('The List'!AF2:AF665)</f>
        <v>-0.57389441068000469</v>
      </c>
      <c r="T43" s="54">
        <f>(VLOOKUP($A43,'The List'!$B1:$AH665,32,FALSE)-AVERAGE('The List'!AG2:AG665))/STDEV('The List'!AG2:AG665)</f>
        <v>-0.62577078713265111</v>
      </c>
      <c r="U43" s="54">
        <f>(VLOOKUP($A43,'The List'!$B1:$AH665,33,FALSE)-AVERAGE('The List'!AH2:AH665))/STDEV('The List'!AH2:AH665)</f>
        <v>-1.2314350945148611</v>
      </c>
      <c r="V43" s="54"/>
      <c r="W43" s="64"/>
      <c r="X43" s="56"/>
      <c r="Y43" s="56"/>
      <c r="Z43" s="56"/>
      <c r="AA43" s="56"/>
      <c r="AB43" s="56"/>
      <c r="AC43" s="59"/>
      <c r="AD43" s="60"/>
      <c r="AE43" s="54"/>
    </row>
    <row r="44" spans="1:31" ht="21.25" customHeight="1" x14ac:dyDescent="0.15">
      <c r="A44" s="9" t="s">
        <v>168</v>
      </c>
      <c r="B44" s="65" t="str">
        <f>VLOOKUP(A44,'Player Data'!A1:B667,2,FALSE)</f>
        <v>EDM</v>
      </c>
      <c r="C44" s="51">
        <f>((E44)*Settings!$C$12)+(F44*Settings!$C$2)+(G44*Settings!$C$3)+(H44*Settings!$C$4)+(I44*Settings!$C$5)+(K44*Settings!$C$9)+(N44*Settings!$C$6)+(J44*Settings!$C$8)+(O44*Settings!$C$7)+(P44*Settings!$C$14)+(Q44*Settings!$C$15)+(R44*Settings!$C$16)+(S44*Settings!$C$17)+(T44*Settings!$C$18)+(U44*Settings!$C$19)+(L44*Settings!$C$10)+(Settings!$C$11*M44)</f>
        <v>9.1352621291551408</v>
      </c>
      <c r="D44" s="56">
        <f>IF(Settings!$E$12="YES",VLOOKUP(A44,'Player Data'!A1:E667,5,FALSE),82)</f>
        <v>80.662499999999994</v>
      </c>
      <c r="E44" s="54">
        <f>(VLOOKUP($A44,'The List'!$B1:$AH665,17,FALSE)-AVERAGE('The List'!R2:R665))/STDEV('The List'!R2:R665)</f>
        <v>0.76074917665464437</v>
      </c>
      <c r="F44" s="54">
        <f>(VLOOKUP($A44,'The List'!$B1:$AH665,18,FALSE)-AVERAGE('The List'!S2:S665))/STDEV('The List'!S2:S665)</f>
        <v>2.7905874706862468</v>
      </c>
      <c r="G44" s="54">
        <f>(VLOOKUP($A44,'The List'!$B1:$AH665,19,FALSE)-AVERAGE('The List'!T2:T665))/STDEV('The List'!T2:T665)</f>
        <v>0.66974507627508073</v>
      </c>
      <c r="H44" s="54">
        <f>(VLOOKUP($A44,'The List'!$B1:$AH665,20,FALSE)-AVERAGE('The List'!U2:U665))/STDEV('The List'!U2:U665)</f>
        <v>1.6844040035663452</v>
      </c>
      <c r="I44" s="54">
        <f>(VLOOKUP($A44,'The List'!$B1:$AH665,21,FALSE)-AVERAGE('The List'!V2:V665))/STDEV('The List'!V2:V665)</f>
        <v>2.3935120265812539</v>
      </c>
      <c r="J44" s="54">
        <f>(VLOOKUP($A44,'The List'!$B1:$AH665,22,FALSE)-AVERAGE('The List'!W2:W665))/STDEV('The List'!W2:W665)</f>
        <v>2.8467965527585171</v>
      </c>
      <c r="K44" s="54">
        <f>(VLOOKUP($A44,'The List'!$B1:$AH665,23,FALSE)-AVERAGE('The List'!X2:X665))/STDEV('The List'!X2:X665)</f>
        <v>1.3339862791034311</v>
      </c>
      <c r="L44" s="54">
        <f>(VLOOKUP($A44,'The List'!$B1:$AH665,24,FALSE)-AVERAGE('The List'!Y2:Y665))/STDEV('The List'!Y2:Y665)</f>
        <v>-0.54558910338801669</v>
      </c>
      <c r="M44" s="54">
        <f>(VLOOKUP($A44,'The List'!$B1:$AH665,25,FALSE)-AVERAGE('The List'!Z2:Z665))/STDEV('The List'!Z2:Z665)</f>
        <v>-0.68974709624355235</v>
      </c>
      <c r="N44" s="54">
        <f>(VLOOKUP($A44,'The List'!$B1:$AH665,26,FALSE)-AVERAGE('The List'!AA2:AA665))/STDEV('The List'!AA2:AA665)</f>
        <v>-0.78820444850993787</v>
      </c>
      <c r="O44" s="54">
        <f>(VLOOKUP($A44,'The List'!$B1:$AH665,27,FALSE)-AVERAGE('The List'!AB2:AB665))/STDEV('The List'!AB2:AB665)</f>
        <v>-0.17388345277395903</v>
      </c>
      <c r="P44" s="54">
        <f>(VLOOKUP($A44,'The List'!$B1:$AH665,28,FALSE)-AVERAGE('The List'!AC2:AC665))/STDEV('The List'!AC2:AC665)</f>
        <v>2.7356357250190673</v>
      </c>
      <c r="Q44" s="54">
        <f>(VLOOKUP($A44,'The List'!$B1:$AH665,29,FALSE)-AVERAGE('The List'!AD2:AD665))/STDEV('The List'!AD2:AD665)</f>
        <v>0.73970104695171734</v>
      </c>
      <c r="R44" s="54">
        <f>(VLOOKUP($A44,'The List'!$B1:$AH665,30,FALSE)-AVERAGE('The List'!AE2:AE665))/STDEV('The List'!AE2:AE665)</f>
        <v>2.9994005667918544</v>
      </c>
      <c r="S44" s="54">
        <f>(VLOOKUP($A44,'The List'!$B1:$AH665,31,FALSE)-AVERAGE('The List'!AF2:AF665))/STDEV('The List'!AF2:AF665)</f>
        <v>-0.51499923641067624</v>
      </c>
      <c r="T44" s="54">
        <f>(VLOOKUP($A44,'The List'!$B1:$AH665,32,FALSE)-AVERAGE('The List'!AG2:AG665))/STDEV('The List'!AG2:AG665)</f>
        <v>-0.55510433061272157</v>
      </c>
      <c r="U44" s="54">
        <f>(VLOOKUP($A44,'The List'!$B1:$AH665,33,FALSE)-AVERAGE('The List'!AH2:AH665))/STDEV('The List'!AH2:AH665)</f>
        <v>0.89868900523785178</v>
      </c>
      <c r="V44" s="54"/>
      <c r="W44" s="56"/>
      <c r="X44" s="54"/>
      <c r="Y44" s="54"/>
      <c r="Z44" s="54"/>
      <c r="AA44" s="54"/>
      <c r="AB44" s="54"/>
      <c r="AC44" s="54"/>
      <c r="AD44" s="54"/>
      <c r="AE44" s="54"/>
    </row>
    <row r="45" spans="1:31" ht="21.25" customHeight="1" x14ac:dyDescent="0.15">
      <c r="A45" s="9" t="s">
        <v>162</v>
      </c>
      <c r="B45" s="65" t="str">
        <f>VLOOKUP(A45,'Player Data'!A1:B667,2,FALSE)</f>
        <v>N.J</v>
      </c>
      <c r="C45" s="51">
        <f>((E45)*Settings!$C$12)+(F45*Settings!$C$2)+(G45*Settings!$C$3)+(H45*Settings!$C$4)+(I45*Settings!$C$5)+(K45*Settings!$C$9)+(N45*Settings!$C$6)+(J45*Settings!$C$8)+(O45*Settings!$C$7)+(P45*Settings!$C$14)+(Q45*Settings!$C$15)+(R45*Settings!$C$16)+(S45*Settings!$C$17)+(T45*Settings!$C$18)+(U45*Settings!$C$19)+(L45*Settings!$C$10)+(Settings!$C$11*M45)</f>
        <v>7.7904000164591185</v>
      </c>
      <c r="D45" s="56">
        <f>IF(Settings!$E$12="YES",VLOOKUP(A45,'Player Data'!A1:E667,5,FALSE),82)</f>
        <v>78.672499999999999</v>
      </c>
      <c r="E45" s="54">
        <f>(VLOOKUP($A45,'The List'!$B1:$AH665,17,FALSE)-AVERAGE('The List'!R2:R665))/STDEV('The List'!R2:R665)</f>
        <v>0.52495662490842088</v>
      </c>
      <c r="F45" s="54">
        <f>(VLOOKUP($A45,'The List'!$B1:$AH665,18,FALSE)-AVERAGE('The List'!S2:S665))/STDEV('The List'!S2:S665)</f>
        <v>2.4622447379556012</v>
      </c>
      <c r="G45" s="54">
        <f>(VLOOKUP($A45,'The List'!$B1:$AH665,19,FALSE)-AVERAGE('The List'!T2:T665))/STDEV('The List'!T2:T665)</f>
        <v>0.77475887726912473</v>
      </c>
      <c r="H45" s="54">
        <f>(VLOOKUP($A45,'The List'!$B1:$AH665,20,FALSE)-AVERAGE('The List'!U2:U665))/STDEV('The List'!U2:U665)</f>
        <v>1.6003760993026519</v>
      </c>
      <c r="I45" s="54">
        <f>(VLOOKUP($A45,'The List'!$B1:$AH665,21,FALSE)-AVERAGE('The List'!V2:V665))/STDEV('The List'!V2:V665)</f>
        <v>2.377099129221822</v>
      </c>
      <c r="J45" s="54">
        <f>(VLOOKUP($A45,'The List'!$B1:$AH665,22,FALSE)-AVERAGE('The List'!W2:W665))/STDEV('The List'!W2:W665)</f>
        <v>3.9199621097595756</v>
      </c>
      <c r="K45" s="54">
        <f>(VLOOKUP($A45,'The List'!$B1:$AH665,23,FALSE)-AVERAGE('The List'!X2:X665))/STDEV('The List'!X2:X665)</f>
        <v>2.0421964550910774</v>
      </c>
      <c r="L45" s="54">
        <f>(VLOOKUP($A45,'The List'!$B1:$AH665,24,FALSE)-AVERAGE('The List'!Y2:Y665))/STDEV('The List'!Y2:Y665)</f>
        <v>-0.57082544962271564</v>
      </c>
      <c r="M45" s="54">
        <f>(VLOOKUP($A45,'The List'!$B1:$AH665,25,FALSE)-AVERAGE('The List'!Z2:Z665))/STDEV('The List'!Z2:Z665)</f>
        <v>-0.74449657289439763</v>
      </c>
      <c r="N45" s="54">
        <f>(VLOOKUP($A45,'The List'!$B1:$AH665,26,FALSE)-AVERAGE('The List'!AA2:AA665))/STDEV('The List'!AA2:AA665)</f>
        <v>-0.51308833027200307</v>
      </c>
      <c r="O45" s="54">
        <f>(VLOOKUP($A45,'The List'!$B1:$AH665,27,FALSE)-AVERAGE('The List'!AB2:AB665))/STDEV('The List'!AB2:AB665)</f>
        <v>0.69708740357166588</v>
      </c>
      <c r="P45" s="54">
        <f>(VLOOKUP($A45,'The List'!$B1:$AH665,28,FALSE)-AVERAGE('The List'!AC2:AC665))/STDEV('The List'!AC2:AC665)</f>
        <v>0.64718914719349685</v>
      </c>
      <c r="Q45" s="54">
        <f>(VLOOKUP($A45,'The List'!$B1:$AH665,29,FALSE)-AVERAGE('The List'!AD2:AD665))/STDEV('The List'!AD2:AD665)</f>
        <v>0.87703407969827729</v>
      </c>
      <c r="R45" s="54">
        <f>(VLOOKUP($A45,'The List'!$B1:$AH665,30,FALSE)-AVERAGE('The List'!AE2:AE665))/STDEV('The List'!AE2:AE665)</f>
        <v>2.4008649430973823</v>
      </c>
      <c r="S45" s="54">
        <f>(VLOOKUP($A45,'The List'!$B1:$AH665,31,FALSE)-AVERAGE('The List'!AF2:AF665))/STDEV('The List'!AF2:AF665)</f>
        <v>-0.38869792702266093</v>
      </c>
      <c r="T45" s="54">
        <f>(VLOOKUP($A45,'The List'!$B1:$AH665,32,FALSE)-AVERAGE('The List'!AG2:AG665))/STDEV('The List'!AG2:AG665)</f>
        <v>-0.36898590713468493</v>
      </c>
      <c r="U45" s="54">
        <f>(VLOOKUP($A45,'The List'!$B1:$AH665,33,FALSE)-AVERAGE('The List'!AH2:AH665))/STDEV('The List'!AH2:AH665)</f>
        <v>0.73639070455584965</v>
      </c>
      <c r="V45" s="54"/>
      <c r="W45" s="56"/>
      <c r="X45" s="54"/>
      <c r="Y45" s="54"/>
      <c r="Z45" s="54"/>
      <c r="AA45" s="54"/>
      <c r="AB45" s="54"/>
      <c r="AC45" s="54"/>
      <c r="AD45" s="54"/>
      <c r="AE45" s="54"/>
    </row>
    <row r="46" spans="1:31" ht="21.25" customHeight="1" x14ac:dyDescent="0.15">
      <c r="A46" s="9" t="s">
        <v>211</v>
      </c>
      <c r="B46" s="65" t="str">
        <f>VLOOKUP(A46,'Player Data'!A1:B667,2,FALSE)</f>
        <v>FLA</v>
      </c>
      <c r="C46" s="51">
        <f>((E46)*Settings!$C$12)+(F46*Settings!$C$2)+(G46*Settings!$C$3)+(H46*Settings!$C$4)+(I46*Settings!$C$5)+(K46*Settings!$C$9)+(N46*Settings!$C$6)+(J46*Settings!$C$8)+(O46*Settings!$C$7)+(P46*Settings!$C$14)+(Q46*Settings!$C$15)+(R46*Settings!$C$16)+(S46*Settings!$C$17)+(T46*Settings!$C$18)+(U46*Settings!$C$19)+(L46*Settings!$C$10)+(Settings!$C$11*M46)</f>
        <v>6.6777197351778064</v>
      </c>
      <c r="D46" s="56">
        <f>IF(Settings!$E$12="YES",VLOOKUP(A46,'Player Data'!A1:E667,5,FALSE),82)</f>
        <v>80.427499999999995</v>
      </c>
      <c r="E46" s="54">
        <f>(VLOOKUP($A46,'The List'!$B1:$AH665,17,FALSE)-AVERAGE('The List'!R2:R665))/STDEV('The List'!R2:R665)</f>
        <v>0.42480658190242865</v>
      </c>
      <c r="F46" s="54">
        <f>(VLOOKUP($A46,'The List'!$B1:$AH665,18,FALSE)-AVERAGE('The List'!S2:S665))/STDEV('The List'!S2:S665)</f>
        <v>2.0528694325801102</v>
      </c>
      <c r="G46" s="54">
        <f>(VLOOKUP($A46,'The List'!$B1:$AH665,19,FALSE)-AVERAGE('The List'!T2:T665))/STDEV('The List'!T2:T665)</f>
        <v>0.90032425910470659</v>
      </c>
      <c r="H46" s="54">
        <f>(VLOOKUP($A46,'The List'!$B1:$AH665,20,FALSE)-AVERAGE('The List'!U2:U665))/STDEV('The List'!U2:U665)</f>
        <v>1.4922787262637416</v>
      </c>
      <c r="I46" s="54">
        <f>(VLOOKUP($A46,'The List'!$B1:$AH665,21,FALSE)-AVERAGE('The List'!V2:V665))/STDEV('The List'!V2:V665)</f>
        <v>1.9536192400406229</v>
      </c>
      <c r="J46" s="54">
        <f>(VLOOKUP($A46,'The List'!$B1:$AH665,22,FALSE)-AVERAGE('The List'!W2:W665))/STDEV('The List'!W2:W665)</f>
        <v>1.4358066176002762</v>
      </c>
      <c r="K46" s="54">
        <f>(VLOOKUP($A46,'The List'!$B1:$AH665,23,FALSE)-AVERAGE('The List'!X2:X665))/STDEV('The List'!X2:X665)</f>
        <v>1.0496260878920283</v>
      </c>
      <c r="L46" s="54">
        <f>(VLOOKUP($A46,'The List'!$B1:$AH665,24,FALSE)-AVERAGE('The List'!Y2:Y665))/STDEV('The List'!Y2:Y665)</f>
        <v>-0.57036503193625787</v>
      </c>
      <c r="M46" s="54">
        <f>(VLOOKUP($A46,'The List'!$B1:$AH665,25,FALSE)-AVERAGE('The List'!Z2:Z665))/STDEV('The List'!Z2:Z665)</f>
        <v>-0.74401600503471543</v>
      </c>
      <c r="N46" s="54">
        <f>(VLOOKUP($A46,'The List'!$B1:$AH665,26,FALSE)-AVERAGE('The List'!AA2:AA665))/STDEV('The List'!AA2:AA665)</f>
        <v>-0.93136002259209916</v>
      </c>
      <c r="O46" s="54">
        <f>(VLOOKUP($A46,'The List'!$B1:$AH665,27,FALSE)-AVERAGE('The List'!AB2:AB665))/STDEV('The List'!AB2:AB665)</f>
        <v>-0.76169835907103878</v>
      </c>
      <c r="P46" s="54">
        <f>(VLOOKUP($A46,'The List'!$B1:$AH665,28,FALSE)-AVERAGE('The List'!AC2:AC665))/STDEV('The List'!AC2:AC665)</f>
        <v>1.6526407381524379</v>
      </c>
      <c r="Q46" s="54">
        <f>(VLOOKUP($A46,'The List'!$B1:$AH665,29,FALSE)-AVERAGE('The List'!AD2:AD665))/STDEV('The List'!AD2:AD665)</f>
        <v>0.87955219813523089</v>
      </c>
      <c r="R46" s="54">
        <f>(VLOOKUP($A46,'The List'!$B1:$AH665,30,FALSE)-AVERAGE('The List'!AE2:AE665))/STDEV('The List'!AE2:AE665)</f>
        <v>2.4279422770593975</v>
      </c>
      <c r="S46" s="54">
        <f>(VLOOKUP($A46,'The List'!$B1:$AH665,31,FALSE)-AVERAGE('The List'!AF2:AF665))/STDEV('The List'!AF2:AF665)</f>
        <v>-0.38827192746009653</v>
      </c>
      <c r="T46" s="54">
        <f>(VLOOKUP($A46,'The List'!$B1:$AH665,32,FALSE)-AVERAGE('The List'!AG2:AG665))/STDEV('The List'!AG2:AG665)</f>
        <v>-0.43278895976642567</v>
      </c>
      <c r="U46" s="54">
        <f>(VLOOKUP($A46,'The List'!$B1:$AH665,33,FALSE)-AVERAGE('The List'!AH2:AH665))/STDEV('The List'!AH2:AH665)</f>
        <v>1.0609545468651376</v>
      </c>
      <c r="V46" s="54"/>
      <c r="W46" s="64"/>
      <c r="X46" s="56"/>
      <c r="Y46" s="56"/>
      <c r="Z46" s="56"/>
      <c r="AA46" s="56"/>
      <c r="AB46" s="56"/>
      <c r="AC46" s="59"/>
      <c r="AD46" s="60"/>
      <c r="AE46" s="54"/>
    </row>
    <row r="47" spans="1:31" ht="21.25" customHeight="1" x14ac:dyDescent="0.15">
      <c r="A47" s="9" t="s">
        <v>226</v>
      </c>
      <c r="B47" s="65" t="str">
        <f>VLOOKUP(A47,'Player Data'!A1:B667,2,FALSE)</f>
        <v>STL</v>
      </c>
      <c r="C47" s="51">
        <f>((E47)*Settings!$C$12)+(F47*Settings!$C$2)+(G47*Settings!$C$3)+(H47*Settings!$C$4)+(I47*Settings!$C$5)+(K47*Settings!$C$9)+(N47*Settings!$C$6)+(J47*Settings!$C$8)+(O47*Settings!$C$7)+(P47*Settings!$C$14)+(Q47*Settings!$C$15)+(R47*Settings!$C$16)+(S47*Settings!$C$17)+(T47*Settings!$C$18)+(U47*Settings!$C$19)+(L47*Settings!$C$10)+(Settings!$C$11*M47)</f>
        <v>4.3868736379880158</v>
      </c>
      <c r="D47" s="56">
        <f>IF(Settings!$E$12="YES",VLOOKUP(A47,'Player Data'!A1:E667,5,FALSE),82)</f>
        <v>78.162499999999994</v>
      </c>
      <c r="E47" s="54">
        <f>(VLOOKUP($A47,'The List'!$B1:$AH665,17,FALSE)-AVERAGE('The List'!R2:R665))/STDEV('The List'!R2:R665)</f>
        <v>0.81839578099232879</v>
      </c>
      <c r="F47" s="54">
        <f>(VLOOKUP($A47,'The List'!$B1:$AH665,18,FALSE)-AVERAGE('The List'!S2:S665))/STDEV('The List'!S2:S665)</f>
        <v>1.5285877373393846</v>
      </c>
      <c r="G47" s="54">
        <f>(VLOOKUP($A47,'The List'!$B1:$AH665,19,FALSE)-AVERAGE('The List'!T2:T665))/STDEV('The List'!T2:T665)</f>
        <v>1.3888745723842459</v>
      </c>
      <c r="H47" s="54">
        <f>(VLOOKUP($A47,'The List'!$B1:$AH665,20,FALSE)-AVERAGE('The List'!U2:U665))/STDEV('The List'!U2:U665)</f>
        <v>1.5573849894767571</v>
      </c>
      <c r="I47" s="54">
        <f>(VLOOKUP($A47,'The List'!$B1:$AH665,21,FALSE)-AVERAGE('The List'!V2:V665))/STDEV('The List'!V2:V665)</f>
        <v>1.13001859828991</v>
      </c>
      <c r="J47" s="54">
        <f>(VLOOKUP($A47,'The List'!$B1:$AH665,22,FALSE)-AVERAGE('The List'!W2:W665))/STDEV('The List'!W2:W665)</f>
        <v>1.8161014836809719</v>
      </c>
      <c r="K47" s="54">
        <f>(VLOOKUP($A47,'The List'!$B1:$AH665,23,FALSE)-AVERAGE('The List'!X2:X665))/STDEV('The List'!X2:X665)</f>
        <v>1.467534005153446</v>
      </c>
      <c r="L47" s="54">
        <f>(VLOOKUP($A47,'The List'!$B1:$AH665,24,FALSE)-AVERAGE('The List'!Y2:Y665))/STDEV('The List'!Y2:Y665)</f>
        <v>1.4314609725297598</v>
      </c>
      <c r="M47" s="54">
        <f>(VLOOKUP($A47,'The List'!$B1:$AH665,25,FALSE)-AVERAGE('The List'!Z2:Z665))/STDEV('The List'!Z2:Z665)</f>
        <v>1.9186118283634814</v>
      </c>
      <c r="N47" s="54">
        <f>(VLOOKUP($A47,'The List'!$B1:$AH665,26,FALSE)-AVERAGE('The List'!AA2:AA665))/STDEV('The List'!AA2:AA665)</f>
        <v>-0.87671963588079682</v>
      </c>
      <c r="O47" s="54">
        <f>(VLOOKUP($A47,'The List'!$B1:$AH665,27,FALSE)-AVERAGE('The List'!AB2:AB665))/STDEV('The List'!AB2:AB665)</f>
        <v>-0.88485240336013493</v>
      </c>
      <c r="P47" s="54">
        <f>(VLOOKUP($A47,'The List'!$B1:$AH665,28,FALSE)-AVERAGE('The List'!AC2:AC665))/STDEV('The List'!AC2:AC665)</f>
        <v>-0.25142163929817424</v>
      </c>
      <c r="Q47" s="54">
        <f>(VLOOKUP($A47,'The List'!$B1:$AH665,29,FALSE)-AVERAGE('The List'!AD2:AD665))/STDEV('The List'!AD2:AD665)</f>
        <v>0.13799219554746869</v>
      </c>
      <c r="R47" s="54">
        <f>(VLOOKUP($A47,'The List'!$B1:$AH665,30,FALSE)-AVERAGE('The List'!AE2:AE665))/STDEV('The List'!AE2:AE665)</f>
        <v>0.93671486109845825</v>
      </c>
      <c r="S47" s="54">
        <f>(VLOOKUP($A47,'The List'!$B1:$AH665,31,FALSE)-AVERAGE('The List'!AF2:AF665))/STDEV('The List'!AF2:AF665)</f>
        <v>-0.26145244149526009</v>
      </c>
      <c r="T47" s="54">
        <f>(VLOOKUP($A47,'The List'!$B1:$AH665,32,FALSE)-AVERAGE('The List'!AG2:AG665))/STDEV('The List'!AG2:AG665)</f>
        <v>1.3655158679009672E-2</v>
      </c>
      <c r="U47" s="54">
        <f>(VLOOKUP($A47,'The List'!$B1:$AH665,33,FALSE)-AVERAGE('The List'!AH2:AH665))/STDEV('The List'!AH2:AH665)</f>
        <v>0.3188133476158127</v>
      </c>
      <c r="V47" s="54"/>
      <c r="W47" s="56"/>
      <c r="X47" s="54"/>
      <c r="Y47" s="54"/>
      <c r="Z47" s="54"/>
      <c r="AA47" s="54"/>
      <c r="AB47" s="54"/>
      <c r="AC47" s="54"/>
      <c r="AD47" s="54"/>
      <c r="AE47" s="54"/>
    </row>
    <row r="48" spans="1:31" ht="21.25" customHeight="1" x14ac:dyDescent="0.15">
      <c r="A48" s="9" t="s">
        <v>188</v>
      </c>
      <c r="B48" s="65" t="str">
        <f>VLOOKUP(A48,'Player Data'!A1:B667,2,FALSE)</f>
        <v>NYR</v>
      </c>
      <c r="C48" s="51">
        <f>((E48)*Settings!$C$12)+(F48*Settings!$C$2)+(G48*Settings!$C$3)+(H48*Settings!$C$4)+(I48*Settings!$C$5)+(K48*Settings!$C$9)+(N48*Settings!$C$6)+(J48*Settings!$C$8)+(O48*Settings!$C$7)+(P48*Settings!$C$14)+(Q48*Settings!$C$15)+(R48*Settings!$C$16)+(S48*Settings!$C$17)+(T48*Settings!$C$18)+(U48*Settings!$C$19)+(L48*Settings!$C$10)+(Settings!$C$11*M48)</f>
        <v>7.4863823395713922</v>
      </c>
      <c r="D48" s="56">
        <f>IF(Settings!$E$12="YES",VLOOKUP(A48,'Player Data'!A1:E667,5,FALSE),82)</f>
        <v>81.752499999999998</v>
      </c>
      <c r="E48" s="54">
        <f>(VLOOKUP($A48,'The List'!$B1:$AH665,17,FALSE)-AVERAGE('The List'!R2:R665))/STDEV('The List'!R2:R665)</f>
        <v>0.78738336116858021</v>
      </c>
      <c r="F48" s="54">
        <f>(VLOOKUP($A48,'The List'!$B1:$AH665,18,FALSE)-AVERAGE('The List'!S2:S665))/STDEV('The List'!S2:S665)</f>
        <v>1.4622512194587951</v>
      </c>
      <c r="G48" s="54">
        <f>(VLOOKUP($A48,'The List'!$B1:$AH665,19,FALSE)-AVERAGE('The List'!T2:T665))/STDEV('The List'!T2:T665)</f>
        <v>1.6731908101190944</v>
      </c>
      <c r="H48" s="54">
        <f>(VLOOKUP($A48,'The List'!$B1:$AH665,20,FALSE)-AVERAGE('The List'!U2:U665))/STDEV('The List'!U2:U665)</f>
        <v>1.7038082590714023</v>
      </c>
      <c r="I48" s="54">
        <f>(VLOOKUP($A48,'The List'!$B1:$AH665,21,FALSE)-AVERAGE('The List'!V2:V665))/STDEV('The List'!V2:V665)</f>
        <v>1.4919761844920896</v>
      </c>
      <c r="J48" s="54">
        <f>(VLOOKUP($A48,'The List'!$B1:$AH665,22,FALSE)-AVERAGE('The List'!W2:W665))/STDEV('The List'!W2:W665)</f>
        <v>2.6630272472299166</v>
      </c>
      <c r="K48" s="54">
        <f>(VLOOKUP($A48,'The List'!$B1:$AH665,23,FALSE)-AVERAGE('The List'!X2:X665))/STDEV('The List'!X2:X665)</f>
        <v>2.2168123117082463</v>
      </c>
      <c r="L48" s="54">
        <f>(VLOOKUP($A48,'The List'!$B1:$AH665,24,FALSE)-AVERAGE('The List'!Y2:Y665))/STDEV('The List'!Y2:Y665)</f>
        <v>1.2033969423514868</v>
      </c>
      <c r="M48" s="54">
        <f>(VLOOKUP($A48,'The List'!$B1:$AH665,25,FALSE)-AVERAGE('The List'!Z2:Z665))/STDEV('The List'!Z2:Z665)</f>
        <v>3.4477812636801604</v>
      </c>
      <c r="N48" s="54">
        <f>(VLOOKUP($A48,'The List'!$B1:$AH665,26,FALSE)-AVERAGE('The List'!AA2:AA665))/STDEV('The List'!AA2:AA665)</f>
        <v>-0.31029076773938097</v>
      </c>
      <c r="O48" s="54">
        <f>(VLOOKUP($A48,'The List'!$B1:$AH665,27,FALSE)-AVERAGE('The List'!AB2:AB665))/STDEV('The List'!AB2:AB665)</f>
        <v>-0.68580561928198736</v>
      </c>
      <c r="P48" s="54">
        <f>(VLOOKUP($A48,'The List'!$B1:$AH665,28,FALSE)-AVERAGE('The List'!AC2:AC665))/STDEV('The List'!AC2:AC665)</f>
        <v>0.95244258153254657</v>
      </c>
      <c r="Q48" s="54">
        <f>(VLOOKUP($A48,'The List'!$B1:$AH665,29,FALSE)-AVERAGE('The List'!AD2:AD665))/STDEV('The List'!AD2:AD665)</f>
        <v>-0.79256904182661614</v>
      </c>
      <c r="R48" s="54">
        <f>(VLOOKUP($A48,'The List'!$B1:$AH665,30,FALSE)-AVERAGE('The List'!AE2:AE665))/STDEV('The List'!AE2:AE665)</f>
        <v>1.6582232017406604</v>
      </c>
      <c r="S48" s="54">
        <f>(VLOOKUP($A48,'The List'!$B1:$AH665,31,FALSE)-AVERAGE('The List'!AF2:AF665))/STDEV('The List'!AF2:AF665)</f>
        <v>2.3099059591417279</v>
      </c>
      <c r="T48" s="54">
        <f>(VLOOKUP($A48,'The List'!$B1:$AH665,32,FALSE)-AVERAGE('The List'!AG2:AG665))/STDEV('The List'!AG2:AG665)</f>
        <v>2.4309474740952117</v>
      </c>
      <c r="U48" s="54">
        <f>(VLOOKUP($A48,'The List'!$B1:$AH665,33,FALSE)-AVERAGE('The List'!AH2:AH665))/STDEV('The List'!AH2:AH665)</f>
        <v>1.0390249489345746</v>
      </c>
      <c r="V48" s="54"/>
      <c r="W48" s="64"/>
      <c r="X48" s="56"/>
      <c r="Y48" s="56"/>
      <c r="Z48" s="56"/>
      <c r="AA48" s="56"/>
      <c r="AB48" s="56"/>
      <c r="AC48" s="59"/>
      <c r="AD48" s="60"/>
      <c r="AE48" s="54"/>
    </row>
    <row r="49" spans="1:31" ht="21.25" customHeight="1" x14ac:dyDescent="0.15">
      <c r="A49" s="9" t="s">
        <v>218</v>
      </c>
      <c r="B49" s="65" t="str">
        <f>VLOOKUP(A49,'Player Data'!A1:B667,2,FALSE)</f>
        <v>CAR</v>
      </c>
      <c r="C49" s="51">
        <f>((E49)*Settings!$C$12)+(F49*Settings!$C$2)+(G49*Settings!$C$3)+(H49*Settings!$C$4)+(I49*Settings!$C$5)+(K49*Settings!$C$9)+(N49*Settings!$C$6)+(J49*Settings!$C$8)+(O49*Settings!$C$7)+(P49*Settings!$C$14)+(Q49*Settings!$C$15)+(R49*Settings!$C$16)+(S49*Settings!$C$17)+(T49*Settings!$C$18)+(U49*Settings!$C$19)+(L49*Settings!$C$10)+(Settings!$C$11*M49)</f>
        <v>5.8995100982242885</v>
      </c>
      <c r="D49" s="56">
        <f>IF(Settings!$E$12="YES",VLOOKUP(A49,'Player Data'!A1:E667,5,FALSE),82)</f>
        <v>75.072500000000005</v>
      </c>
      <c r="E49" s="54">
        <f>(VLOOKUP($A49,'The List'!$B1:$AH665,17,FALSE)-AVERAGE('The List'!R2:R665))/STDEV('The List'!R2:R665)</f>
        <v>0.2961365764175512</v>
      </c>
      <c r="F49" s="54">
        <f>(VLOOKUP($A49,'The List'!$B1:$AH665,18,FALSE)-AVERAGE('The List'!S2:S665))/STDEV('The List'!S2:S665)</f>
        <v>1.3484127968963788</v>
      </c>
      <c r="G49" s="54">
        <f>(VLOOKUP($A49,'The List'!$B1:$AH665,19,FALSE)-AVERAGE('The List'!T2:T665))/STDEV('The List'!T2:T665)</f>
        <v>1.3108458320203644</v>
      </c>
      <c r="H49" s="54">
        <f>(VLOOKUP($A49,'The List'!$B1:$AH665,20,FALSE)-AVERAGE('The List'!U2:U665))/STDEV('The List'!U2:U665)</f>
        <v>1.4270266794681445</v>
      </c>
      <c r="I49" s="54">
        <f>(VLOOKUP($A49,'The List'!$B1:$AH665,21,FALSE)-AVERAGE('The List'!V2:V665))/STDEV('The List'!V2:V665)</f>
        <v>1.3207538743451683</v>
      </c>
      <c r="J49" s="54">
        <f>(VLOOKUP($A49,'The List'!$B1:$AH665,22,FALSE)-AVERAGE('The List'!W2:W665))/STDEV('The List'!W2:W665)</f>
        <v>1.0386214086236805</v>
      </c>
      <c r="K49" s="54">
        <f>(VLOOKUP($A49,'The List'!$B1:$AH665,23,FALSE)-AVERAGE('The List'!X2:X665))/STDEV('The List'!X2:X665)</f>
        <v>1.3830690234732408</v>
      </c>
      <c r="L49" s="54">
        <f>(VLOOKUP($A49,'The List'!$B1:$AH665,24,FALSE)-AVERAGE('The List'!Y2:Y665))/STDEV('The List'!Y2:Y665)</f>
        <v>-0.56096779310219491</v>
      </c>
      <c r="M49" s="54">
        <f>(VLOOKUP($A49,'The List'!$B1:$AH665,25,FALSE)-AVERAGE('The List'!Z2:Z665))/STDEV('The List'!Z2:Z665)</f>
        <v>-0.73450046406397906</v>
      </c>
      <c r="N49" s="54">
        <f>(VLOOKUP($A49,'The List'!$B1:$AH665,26,FALSE)-AVERAGE('The List'!AA2:AA665))/STDEV('The List'!AA2:AA665)</f>
        <v>-0.91478145252934528</v>
      </c>
      <c r="O49" s="54">
        <f>(VLOOKUP($A49,'The List'!$B1:$AH665,27,FALSE)-AVERAGE('The List'!AB2:AB665))/STDEV('The List'!AB2:AB665)</f>
        <v>1.4936564022376198</v>
      </c>
      <c r="P49" s="54">
        <f>(VLOOKUP($A49,'The List'!$B1:$AH665,28,FALSE)-AVERAGE('The List'!AC2:AC665))/STDEV('The List'!AC2:AC665)</f>
        <v>1.4512100240184815</v>
      </c>
      <c r="Q49" s="54">
        <f>(VLOOKUP($A49,'The List'!$B1:$AH665,29,FALSE)-AVERAGE('The List'!AD2:AD665))/STDEV('The List'!AD2:AD665)</f>
        <v>2.4054947048842141</v>
      </c>
      <c r="R49" s="54">
        <f>(VLOOKUP($A49,'The List'!$B1:$AH665,30,FALSE)-AVERAGE('The List'!AE2:AE665))/STDEV('The List'!AE2:AE665)</f>
        <v>1.7079516517132054</v>
      </c>
      <c r="S49" s="54">
        <f>(VLOOKUP($A49,'The List'!$B1:$AH665,31,FALSE)-AVERAGE('The List'!AF2:AF665))/STDEV('The List'!AF2:AF665)</f>
        <v>-0.55789463464018429</v>
      </c>
      <c r="T49" s="54">
        <f>(VLOOKUP($A49,'The List'!$B1:$AH665,32,FALSE)-AVERAGE('The List'!AG2:AG665))/STDEV('The List'!AG2:AG665)</f>
        <v>-0.59224978125274674</v>
      </c>
      <c r="U49" s="54">
        <f>(VLOOKUP($A49,'The List'!$B1:$AH665,33,FALSE)-AVERAGE('The List'!AH2:AH665))/STDEV('The List'!AH2:AH665)</f>
        <v>0.29498635272811674</v>
      </c>
      <c r="V49" s="54"/>
      <c r="W49" s="64"/>
      <c r="X49" s="56"/>
      <c r="Y49" s="56"/>
      <c r="Z49" s="56"/>
      <c r="AA49" s="56"/>
      <c r="AB49" s="56"/>
      <c r="AC49" s="59"/>
      <c r="AD49" s="60"/>
      <c r="AE49" s="54"/>
    </row>
    <row r="50" spans="1:31" ht="21.25" customHeight="1" x14ac:dyDescent="0.15">
      <c r="A50" s="9" t="s">
        <v>195</v>
      </c>
      <c r="B50" s="65" t="str">
        <f>VLOOKUP(A50,'Player Data'!A1:B667,2,FALSE)</f>
        <v>BUF</v>
      </c>
      <c r="C50" s="51">
        <f>((E50)*Settings!$C$12)+(F50*Settings!$C$2)+(G50*Settings!$C$3)+(H50*Settings!$C$4)+(I50*Settings!$C$5)+(K50*Settings!$C$9)+(N50*Settings!$C$6)+(J50*Settings!$C$8)+(O50*Settings!$C$7)+(P50*Settings!$C$14)+(Q50*Settings!$C$15)+(R50*Settings!$C$16)+(S50*Settings!$C$17)+(T50*Settings!$C$18)+(U50*Settings!$C$19)+(L50*Settings!$C$10)+(Settings!$C$11*M50)</f>
        <v>5.1174156636253132</v>
      </c>
      <c r="D50" s="56">
        <f>IF(Settings!$E$12="YES",VLOOKUP(A50,'Player Data'!A1:E667,5,FALSE),82)</f>
        <v>76.487499999999997</v>
      </c>
      <c r="E50" s="54">
        <f>(VLOOKUP($A50,'The List'!$B1:$AH665,17,FALSE)-AVERAGE('The List'!R2:R665))/STDEV('The List'!R2:R665)</f>
        <v>0.8224980559533045</v>
      </c>
      <c r="F50" s="54">
        <f>(VLOOKUP($A50,'The List'!$B1:$AH665,18,FALSE)-AVERAGE('The List'!S2:S665))/STDEV('The List'!S2:S665)</f>
        <v>1.3800292199374755</v>
      </c>
      <c r="G50" s="54">
        <f>(VLOOKUP($A50,'The List'!$B1:$AH665,19,FALSE)-AVERAGE('The List'!T2:T665))/STDEV('The List'!T2:T665)</f>
        <v>1.3604757207018296</v>
      </c>
      <c r="H50" s="54">
        <f>(VLOOKUP($A50,'The List'!$B1:$AH665,20,FALSE)-AVERAGE('The List'!U2:U665))/STDEV('The List'!U2:U665)</f>
        <v>1.4722207980557747</v>
      </c>
      <c r="I50" s="54">
        <f>(VLOOKUP($A50,'The List'!$B1:$AH665,21,FALSE)-AVERAGE('The List'!V2:V665))/STDEV('The List'!V2:V665)</f>
        <v>1.2476870528961881</v>
      </c>
      <c r="J50" s="54">
        <f>(VLOOKUP($A50,'The List'!$B1:$AH665,22,FALSE)-AVERAGE('The List'!W2:W665))/STDEV('The List'!W2:W665)</f>
        <v>0.63595481782705032</v>
      </c>
      <c r="K50" s="54">
        <f>(VLOOKUP($A50,'The List'!$B1:$AH665,23,FALSE)-AVERAGE('The List'!X2:X665))/STDEV('The List'!X2:X665)</f>
        <v>0.88598276630346462</v>
      </c>
      <c r="L50" s="54">
        <f>(VLOOKUP($A50,'The List'!$B1:$AH665,24,FALSE)-AVERAGE('The List'!Y2:Y665))/STDEV('The List'!Y2:Y665)</f>
        <v>1.2889298454577023</v>
      </c>
      <c r="M50" s="54">
        <f>(VLOOKUP($A50,'The List'!$B1:$AH665,25,FALSE)-AVERAGE('The List'!Z2:Z665))/STDEV('The List'!Z2:Z665)</f>
        <v>0.47238322042625069</v>
      </c>
      <c r="N50" s="54">
        <f>(VLOOKUP($A50,'The List'!$B1:$AH665,26,FALSE)-AVERAGE('The List'!AA2:AA665))/STDEV('The List'!AA2:AA665)</f>
        <v>0.11100661564553557</v>
      </c>
      <c r="O50" s="54">
        <f>(VLOOKUP($A50,'The List'!$B1:$AH665,27,FALSE)-AVERAGE('The List'!AB2:AB665))/STDEV('The List'!AB2:AB665)</f>
        <v>-0.49024957191209695</v>
      </c>
      <c r="P50" s="54">
        <f>(VLOOKUP($A50,'The List'!$B1:$AH665,28,FALSE)-AVERAGE('The List'!AC2:AC665))/STDEV('The List'!AC2:AC665)</f>
        <v>0.13223428814081986</v>
      </c>
      <c r="Q50" s="54">
        <f>(VLOOKUP($A50,'The List'!$B1:$AH665,29,FALSE)-AVERAGE('The List'!AD2:AD665))/STDEV('The List'!AD2:AD665)</f>
        <v>0.14085929558997989</v>
      </c>
      <c r="R50" s="54">
        <f>(VLOOKUP($A50,'The List'!$B1:$AH665,30,FALSE)-AVERAGE('The List'!AE2:AE665))/STDEV('The List'!AE2:AE665)</f>
        <v>1.1887358183432375</v>
      </c>
      <c r="S50" s="54">
        <f>(VLOOKUP($A50,'The List'!$B1:$AH665,31,FALSE)-AVERAGE('The List'!AF2:AF665))/STDEV('The List'!AF2:AF665)</f>
        <v>-0.38120557850035769</v>
      </c>
      <c r="T50" s="54">
        <f>(VLOOKUP($A50,'The List'!$B1:$AH665,32,FALSE)-AVERAGE('The List'!AG2:AG665))/STDEV('The List'!AG2:AG665)</f>
        <v>-0.32886319974820366</v>
      </c>
      <c r="U50" s="54">
        <f>(VLOOKUP($A50,'The List'!$B1:$AH665,33,FALSE)-AVERAGE('The List'!AH2:AH665))/STDEV('The List'!AH2:AH665)</f>
        <v>0.61980112062591397</v>
      </c>
      <c r="V50" s="54"/>
      <c r="W50" s="64"/>
      <c r="X50" s="56"/>
      <c r="Y50" s="56"/>
      <c r="Z50" s="56"/>
      <c r="AA50" s="56"/>
      <c r="AB50" s="56"/>
      <c r="AC50" s="59"/>
      <c r="AD50" s="60"/>
      <c r="AE50" s="54"/>
    </row>
    <row r="51" spans="1:31" ht="21.25" customHeight="1" x14ac:dyDescent="0.15">
      <c r="A51" s="9" t="s">
        <v>161</v>
      </c>
      <c r="B51" s="65" t="str">
        <f>VLOOKUP(A51,'Player Data'!A1:B667,2,FALSE)</f>
        <v>OTT</v>
      </c>
      <c r="C51" s="51">
        <f>((E51)*Settings!$C$12)+(F51*Settings!$C$2)+(G51*Settings!$C$3)+(H51*Settings!$C$4)+(I51*Settings!$C$5)+(K51*Settings!$C$9)+(N51*Settings!$C$6)+(J51*Settings!$C$8)+(O51*Settings!$C$7)+(P51*Settings!$C$14)+(Q51*Settings!$C$15)+(R51*Settings!$C$16)+(S51*Settings!$C$17)+(T51*Settings!$C$18)+(U51*Settings!$C$19)+(L51*Settings!$C$10)+(Settings!$C$11*M51)</f>
        <v>7.0114158232210473</v>
      </c>
      <c r="D51" s="56">
        <f>IF(Settings!$E$12="YES",VLOOKUP(A51,'Player Data'!A1:E667,5,FALSE),82)</f>
        <v>81.552499999999995</v>
      </c>
      <c r="E51" s="54">
        <f>(VLOOKUP($A51,'The List'!$B1:$AH665,17,FALSE)-AVERAGE('The List'!R2:R665))/STDEV('The List'!R2:R665)</f>
        <v>0.48164300512119851</v>
      </c>
      <c r="F51" s="54">
        <f>(VLOOKUP($A51,'The List'!$B1:$AH665,18,FALSE)-AVERAGE('The List'!S2:S665))/STDEV('The List'!S2:S665)</f>
        <v>2.0037387750297966</v>
      </c>
      <c r="G51" s="54">
        <f>(VLOOKUP($A51,'The List'!$B1:$AH665,19,FALSE)-AVERAGE('The List'!T2:T665))/STDEV('The List'!T2:T665)</f>
        <v>1.2242577962894898</v>
      </c>
      <c r="H51" s="54">
        <f>(VLOOKUP($A51,'The List'!$B1:$AH665,20,FALSE)-AVERAGE('The List'!U2:U665))/STDEV('The List'!U2:U665)</f>
        <v>1.6711274478031293</v>
      </c>
      <c r="I51" s="54">
        <f>(VLOOKUP($A51,'The List'!$B1:$AH665,21,FALSE)-AVERAGE('The List'!V2:V665))/STDEV('The List'!V2:V665)</f>
        <v>3.1624644797279653</v>
      </c>
      <c r="J51" s="54">
        <f>(VLOOKUP($A51,'The List'!$B1:$AH665,22,FALSE)-AVERAGE('The List'!W2:W665))/STDEV('The List'!W2:W665)</f>
        <v>1.7106404346453425</v>
      </c>
      <c r="K51" s="54">
        <f>(VLOOKUP($A51,'The List'!$B1:$AH665,23,FALSE)-AVERAGE('The List'!X2:X665))/STDEV('The List'!X2:X665)</f>
        <v>1.1482615545525285</v>
      </c>
      <c r="L51" s="54">
        <f>(VLOOKUP($A51,'The List'!$B1:$AH665,24,FALSE)-AVERAGE('The List'!Y2:Y665))/STDEV('The List'!Y2:Y665)</f>
        <v>-0.54796352822924799</v>
      </c>
      <c r="M51" s="54">
        <f>(VLOOKUP($A51,'The List'!$B1:$AH665,25,FALSE)-AVERAGE('The List'!Z2:Z665))/STDEV('The List'!Z2:Z665)</f>
        <v>-0.72117934934735184</v>
      </c>
      <c r="N51" s="54">
        <f>(VLOOKUP($A51,'The List'!$B1:$AH665,26,FALSE)-AVERAGE('The List'!AA2:AA665))/STDEV('The List'!AA2:AA665)</f>
        <v>-0.87227928819691825</v>
      </c>
      <c r="O51" s="54">
        <f>(VLOOKUP($A51,'The List'!$B1:$AH665,27,FALSE)-AVERAGE('The List'!AB2:AB665))/STDEV('The List'!AB2:AB665)</f>
        <v>3.5600886190536447</v>
      </c>
      <c r="P51" s="54">
        <f>(VLOOKUP($A51,'The List'!$B1:$AH665,28,FALSE)-AVERAGE('The List'!AC2:AC665))/STDEV('The List'!AC2:AC665)</f>
        <v>0.34497250581818573</v>
      </c>
      <c r="Q51" s="54">
        <f>(VLOOKUP($A51,'The List'!$B1:$AH665,29,FALSE)-AVERAGE('The List'!AD2:AD665))/STDEV('The List'!AD2:AD665)</f>
        <v>3.5916901790382916</v>
      </c>
      <c r="R51" s="54">
        <f>(VLOOKUP($A51,'The List'!$B1:$AH665,30,FALSE)-AVERAGE('The List'!AE2:AE665))/STDEV('The List'!AE2:AE665)</f>
        <v>2.0508257447725975</v>
      </c>
      <c r="S51" s="54">
        <f>(VLOOKUP($A51,'The List'!$B1:$AH665,31,FALSE)-AVERAGE('The List'!AF2:AF665))/STDEV('The List'!AF2:AF665)</f>
        <v>0.49587125768294948</v>
      </c>
      <c r="T51" s="54">
        <f>(VLOOKUP($A51,'The List'!$B1:$AH665,32,FALSE)-AVERAGE('The List'!AG2:AG665))/STDEV('The List'!AG2:AG665)</f>
        <v>0.48635589559785258</v>
      </c>
      <c r="U51" s="54">
        <f>(VLOOKUP($A51,'The List'!$B1:$AH665,33,FALSE)-AVERAGE('The List'!AH2:AH665))/STDEV('The List'!AH2:AH665)</f>
        <v>1.0610073331056431</v>
      </c>
      <c r="V51" s="54"/>
      <c r="W51" s="64"/>
      <c r="X51" s="56"/>
      <c r="Y51" s="56"/>
      <c r="Z51" s="56"/>
      <c r="AA51" s="56"/>
      <c r="AB51" s="56"/>
      <c r="AC51" s="59"/>
      <c r="AD51" s="60"/>
      <c r="AE51" s="54"/>
    </row>
    <row r="52" spans="1:31" ht="21.25" customHeight="1" x14ac:dyDescent="0.15">
      <c r="A52" s="9" t="s">
        <v>248</v>
      </c>
      <c r="B52" s="65" t="str">
        <f>VLOOKUP(A52,'Player Data'!A1:B667,2,FALSE)</f>
        <v>WPG</v>
      </c>
      <c r="C52" s="51">
        <f>((E52)*Settings!$C$12)+(F52*Settings!$C$2)+(G52*Settings!$C$3)+(H52*Settings!$C$4)+(I52*Settings!$C$5)+(K52*Settings!$C$9)+(N52*Settings!$C$6)+(J52*Settings!$C$8)+(O52*Settings!$C$7)+(P52*Settings!$C$14)+(Q52*Settings!$C$15)+(R52*Settings!$C$16)+(S52*Settings!$C$17)+(T52*Settings!$C$18)+(U52*Settings!$C$19)+(L52*Settings!$C$10)+(Settings!$C$11*M52)</f>
        <v>4.590131430559488</v>
      </c>
      <c r="D52" s="56">
        <f>IF(Settings!$E$12="YES",VLOOKUP(A52,'Player Data'!A1:E667,5,FALSE),82)</f>
        <v>78.972499999999997</v>
      </c>
      <c r="E52" s="54">
        <f>(VLOOKUP($A52,'The List'!$B1:$AH665,17,FALSE)-AVERAGE('The List'!R2:R665))/STDEV('The List'!R2:R665)</f>
        <v>0.93598691397345968</v>
      </c>
      <c r="F52" s="54">
        <f>(VLOOKUP($A52,'The List'!$B1:$AH665,18,FALSE)-AVERAGE('The List'!S2:S665))/STDEV('The List'!S2:S665)</f>
        <v>1.7257655675609189</v>
      </c>
      <c r="G52" s="54">
        <f>(VLOOKUP($A52,'The List'!$B1:$AH665,19,FALSE)-AVERAGE('The List'!T2:T665))/STDEV('The List'!T2:T665)</f>
        <v>1.248377954434567</v>
      </c>
      <c r="H52" s="54">
        <f>(VLOOKUP($A52,'The List'!$B1:$AH665,20,FALSE)-AVERAGE('The List'!U2:U665))/STDEV('The List'!U2:U665)</f>
        <v>1.5597553863204496</v>
      </c>
      <c r="I52" s="54">
        <f>(VLOOKUP($A52,'The List'!$B1:$AH665,21,FALSE)-AVERAGE('The List'!V2:V665))/STDEV('The List'!V2:V665)</f>
        <v>0.74946818232420909</v>
      </c>
      <c r="J52" s="54">
        <f>(VLOOKUP($A52,'The List'!$B1:$AH665,22,FALSE)-AVERAGE('The List'!W2:W665))/STDEV('The List'!W2:W665)</f>
        <v>1.4007656522290708</v>
      </c>
      <c r="K52" s="54">
        <f>(VLOOKUP($A52,'The List'!$B1:$AH665,23,FALSE)-AVERAGE('The List'!X2:X665))/STDEV('The List'!X2:X665)</f>
        <v>1.1761991863335304</v>
      </c>
      <c r="L52" s="54">
        <f>(VLOOKUP($A52,'The List'!$B1:$AH665,24,FALSE)-AVERAGE('The List'!Y2:Y665))/STDEV('The List'!Y2:Y665)</f>
        <v>-0.54174203403733845</v>
      </c>
      <c r="M52" s="54">
        <f>(VLOOKUP($A52,'The List'!$B1:$AH665,25,FALSE)-AVERAGE('The List'!Z2:Z665))/STDEV('The List'!Z2:Z665)</f>
        <v>-0.71452976512066757</v>
      </c>
      <c r="N52" s="54">
        <f>(VLOOKUP($A52,'The List'!$B1:$AH665,26,FALSE)-AVERAGE('The List'!AA2:AA665))/STDEV('The List'!AA2:AA665)</f>
        <v>-0.56291300596312188</v>
      </c>
      <c r="O52" s="54">
        <f>(VLOOKUP($A52,'The List'!$B1:$AH665,27,FALSE)-AVERAGE('The List'!AB2:AB665))/STDEV('The List'!AB2:AB665)</f>
        <v>-0.65379232150555699</v>
      </c>
      <c r="P52" s="54">
        <f>(VLOOKUP($A52,'The List'!$B1:$AH665,28,FALSE)-AVERAGE('The List'!AC2:AC665))/STDEV('The List'!AC2:AC665)</f>
        <v>0.25323354586938379</v>
      </c>
      <c r="Q52" s="54">
        <f>(VLOOKUP($A52,'The List'!$B1:$AH665,29,FALSE)-AVERAGE('The List'!AD2:AD665))/STDEV('The List'!AD2:AD665)</f>
        <v>0.25263206805883165</v>
      </c>
      <c r="R52" s="54">
        <f>(VLOOKUP($A52,'The List'!$B1:$AH665,30,FALSE)-AVERAGE('The List'!AE2:AE665))/STDEV('The List'!AE2:AE665)</f>
        <v>1.9890565289052065</v>
      </c>
      <c r="S52" s="54">
        <f>(VLOOKUP($A52,'The List'!$B1:$AH665,31,FALSE)-AVERAGE('The List'!AF2:AF665))/STDEV('The List'!AF2:AF665)</f>
        <v>2.3881017877549779</v>
      </c>
      <c r="T52" s="54">
        <f>(VLOOKUP($A52,'The List'!$B1:$AH665,32,FALSE)-AVERAGE('The List'!AG2:AG665))/STDEV('The List'!AG2:AG665)</f>
        <v>2.6957403502241655</v>
      </c>
      <c r="U52" s="54">
        <f>(VLOOKUP($A52,'The List'!$B1:$AH665,33,FALSE)-AVERAGE('The List'!AH2:AH665))/STDEV('The List'!AH2:AH665)</f>
        <v>0.97520942983991743</v>
      </c>
      <c r="V52" s="54"/>
      <c r="W52" s="64"/>
      <c r="X52" s="56"/>
      <c r="Y52" s="56"/>
      <c r="Z52" s="56"/>
      <c r="AA52" s="56"/>
      <c r="AB52" s="56"/>
      <c r="AC52" s="59"/>
      <c r="AD52" s="60"/>
      <c r="AE52" s="54"/>
    </row>
    <row r="53" spans="1:31" ht="21.25" customHeight="1" x14ac:dyDescent="0.15">
      <c r="A53" s="9" t="s">
        <v>224</v>
      </c>
      <c r="B53" s="65" t="str">
        <f>VLOOKUP(A53,'Player Data'!A1:B667,2,FALSE)</f>
        <v>DAL</v>
      </c>
      <c r="C53" s="51">
        <f>((E53)*Settings!$C$12)+(F53*Settings!$C$2)+(G53*Settings!$C$3)+(H53*Settings!$C$4)+(I53*Settings!$C$5)+(K53*Settings!$C$9)+(N53*Settings!$C$6)+(J53*Settings!$C$8)+(O53*Settings!$C$7)+(P53*Settings!$C$14)+(Q53*Settings!$C$15)+(R53*Settings!$C$16)+(S53*Settings!$C$17)+(T53*Settings!$C$18)+(U53*Settings!$C$19)+(L53*Settings!$C$10)+(Settings!$C$11*M53)</f>
        <v>7.1156844404640509</v>
      </c>
      <c r="D53" s="56">
        <f>IF(Settings!$E$12="YES",VLOOKUP(A53,'Player Data'!A1:E667,5,FALSE),82)</f>
        <v>80.237499999999997</v>
      </c>
      <c r="E53" s="54">
        <f>(VLOOKUP($A53,'The List'!$B1:$AH665,17,FALSE)-AVERAGE('The List'!R2:R665))/STDEV('The List'!R2:R665)</f>
        <v>0.4177963706658519</v>
      </c>
      <c r="F53" s="54">
        <f>(VLOOKUP($A53,'The List'!$B1:$AH665,18,FALSE)-AVERAGE('The List'!S2:S665))/STDEV('The List'!S2:S665)</f>
        <v>2.0257099275868593</v>
      </c>
      <c r="G53" s="54">
        <f>(VLOOKUP($A53,'The List'!$B1:$AH665,19,FALSE)-AVERAGE('The List'!T2:T665))/STDEV('The List'!T2:T665)</f>
        <v>1.0846613529613245</v>
      </c>
      <c r="H53" s="54">
        <f>(VLOOKUP($A53,'The List'!$B1:$AH665,20,FALSE)-AVERAGE('The List'!U2:U665))/STDEV('The List'!U2:U665)</f>
        <v>1.5944171404615024</v>
      </c>
      <c r="I53" s="54">
        <f>(VLOOKUP($A53,'The List'!$B1:$AH665,21,FALSE)-AVERAGE('The List'!V2:V665))/STDEV('The List'!V2:V665)</f>
        <v>1.1050599578363385</v>
      </c>
      <c r="J53" s="54">
        <f>(VLOOKUP($A53,'The List'!$B1:$AH665,22,FALSE)-AVERAGE('The List'!W2:W665))/STDEV('The List'!W2:W665)</f>
        <v>1.7622153821113931</v>
      </c>
      <c r="K53" s="54">
        <f>(VLOOKUP($A53,'The List'!$B1:$AH665,23,FALSE)-AVERAGE('The List'!X2:X665))/STDEV('The List'!X2:X665)</f>
        <v>1.4691407767680327</v>
      </c>
      <c r="L53" s="54">
        <f>(VLOOKUP($A53,'The List'!$B1:$AH665,24,FALSE)-AVERAGE('The List'!Y2:Y665))/STDEV('The List'!Y2:Y665)</f>
        <v>3.8329896123727125</v>
      </c>
      <c r="M53" s="54">
        <f>(VLOOKUP($A53,'The List'!$B1:$AH665,25,FALSE)-AVERAGE('The List'!Z2:Z665))/STDEV('The List'!Z2:Z665)</f>
        <v>2.7431580119338488</v>
      </c>
      <c r="N53" s="54">
        <f>(VLOOKUP($A53,'The List'!$B1:$AH665,26,FALSE)-AVERAGE('The List'!AA2:AA665))/STDEV('The List'!AA2:AA665)</f>
        <v>-0.50478649608504833</v>
      </c>
      <c r="O53" s="54">
        <f>(VLOOKUP($A53,'The List'!$B1:$AH665,27,FALSE)-AVERAGE('The List'!AB2:AB665))/STDEV('The List'!AB2:AB665)</f>
        <v>-0.9051538280074114</v>
      </c>
      <c r="P53" s="54">
        <f>(VLOOKUP($A53,'The List'!$B1:$AH665,28,FALSE)-AVERAGE('The List'!AC2:AC665))/STDEV('The List'!AC2:AC665)</f>
        <v>1.9358989213965447</v>
      </c>
      <c r="Q53" s="54">
        <f>(VLOOKUP($A53,'The List'!$B1:$AH665,29,FALSE)-AVERAGE('The List'!AD2:AD665))/STDEV('The List'!AD2:AD665)</f>
        <v>-0.1955579909902268</v>
      </c>
      <c r="R53" s="54">
        <f>(VLOOKUP($A53,'The List'!$B1:$AH665,30,FALSE)-AVERAGE('The List'!AE2:AE665))/STDEV('The List'!AE2:AE665)</f>
        <v>2.1730784941192058</v>
      </c>
      <c r="S53" s="54">
        <f>(VLOOKUP($A53,'The List'!$B1:$AH665,31,FALSE)-AVERAGE('The List'!AF2:AF665))/STDEV('The List'!AF2:AF665)</f>
        <v>1.0169912257395897</v>
      </c>
      <c r="T53" s="54">
        <f>(VLOOKUP($A53,'The List'!$B1:$AH665,32,FALSE)-AVERAGE('The List'!AG2:AG665))/STDEV('The List'!AG2:AG665)</f>
        <v>0.81583193873391668</v>
      </c>
      <c r="U53" s="54">
        <f>(VLOOKUP($A53,'The List'!$B1:$AH665,33,FALSE)-AVERAGE('The List'!AH2:AH665))/STDEV('The List'!AH2:AH665)</f>
        <v>1.2162973165183431</v>
      </c>
      <c r="V53" s="54"/>
      <c r="W53" s="56"/>
      <c r="X53" s="54"/>
      <c r="Y53" s="54"/>
      <c r="Z53" s="54"/>
      <c r="AA53" s="54"/>
      <c r="AB53" s="54"/>
      <c r="AC53" s="54"/>
      <c r="AD53" s="54"/>
      <c r="AE53" s="54"/>
    </row>
    <row r="54" spans="1:31" ht="21.25" customHeight="1" x14ac:dyDescent="0.15">
      <c r="A54" s="9" t="s">
        <v>179</v>
      </c>
      <c r="B54" s="65" t="str">
        <f>VLOOKUP(A54,'Player Data'!A1:B667,2,FALSE)</f>
        <v>DAL</v>
      </c>
      <c r="C54" s="51">
        <f>((E54)*Settings!$C$12)+(F54*Settings!$C$2)+(G54*Settings!$C$3)+(H54*Settings!$C$4)+(I54*Settings!$C$5)+(K54*Settings!$C$9)+(N54*Settings!$C$6)+(J54*Settings!$C$8)+(O54*Settings!$C$7)+(P54*Settings!$C$14)+(Q54*Settings!$C$15)+(R54*Settings!$C$16)+(S54*Settings!$C$17)+(T54*Settings!$C$18)+(U54*Settings!$C$19)+(L54*Settings!$C$10)+(Settings!$C$11*M54)</f>
        <v>7.1807004913375918</v>
      </c>
      <c r="D54" s="56">
        <f>IF(Settings!$E$12="YES",VLOOKUP(A54,'Player Data'!A1:E667,5,FALSE),82)</f>
        <v>82.03</v>
      </c>
      <c r="E54" s="54">
        <f>(VLOOKUP($A54,'The List'!$B1:$AH665,17,FALSE)-AVERAGE('The List'!R2:R665))/STDEV('The List'!R2:R665)</f>
        <v>0.83900853742230808</v>
      </c>
      <c r="F54" s="54">
        <f>(VLOOKUP($A54,'The List'!$B1:$AH665,18,FALSE)-AVERAGE('The List'!S2:S665))/STDEV('The List'!S2:S665)</f>
        <v>2.1995634815323291</v>
      </c>
      <c r="G54" s="54">
        <f>(VLOOKUP($A54,'The List'!$B1:$AH665,19,FALSE)-AVERAGE('The List'!T2:T665))/STDEV('The List'!T2:T665)</f>
        <v>1.0251020852863824</v>
      </c>
      <c r="H54" s="54">
        <f>(VLOOKUP($A54,'The List'!$B1:$AH665,20,FALSE)-AVERAGE('The List'!U2:U665))/STDEV('The List'!U2:U665)</f>
        <v>1.6364521905210501</v>
      </c>
      <c r="I54" s="54">
        <f>(VLOOKUP($A54,'The List'!$B1:$AH665,21,FALSE)-AVERAGE('The List'!V2:V665))/STDEV('The List'!V2:V665)</f>
        <v>1.854180965278412</v>
      </c>
      <c r="J54" s="54">
        <f>(VLOOKUP($A54,'The List'!$B1:$AH665,22,FALSE)-AVERAGE('The List'!W2:W665))/STDEV('The List'!W2:W665)</f>
        <v>1.0569413787668067</v>
      </c>
      <c r="K54" s="54">
        <f>(VLOOKUP($A54,'The List'!$B1:$AH665,23,FALSE)-AVERAGE('The List'!X2:X665))/STDEV('The List'!X2:X665)</f>
        <v>1.1146773186348524</v>
      </c>
      <c r="L54" s="54">
        <f>(VLOOKUP($A54,'The List'!$B1:$AH665,24,FALSE)-AVERAGE('The List'!Y2:Y665))/STDEV('The List'!Y2:Y665)</f>
        <v>3.9650150366840613</v>
      </c>
      <c r="M54" s="54">
        <f>(VLOOKUP($A54,'The List'!$B1:$AH665,25,FALSE)-AVERAGE('The List'!Z2:Z665))/STDEV('The List'!Z2:Z665)</f>
        <v>2.1510282469773676</v>
      </c>
      <c r="N54" s="54">
        <f>(VLOOKUP($A54,'The List'!$B1:$AH665,26,FALSE)-AVERAGE('The List'!AA2:AA665))/STDEV('The List'!AA2:AA665)</f>
        <v>-0.50119943280233237</v>
      </c>
      <c r="O54" s="54">
        <f>(VLOOKUP($A54,'The List'!$B1:$AH665,27,FALSE)-AVERAGE('The List'!AB2:AB665))/STDEV('The List'!AB2:AB665)</f>
        <v>-0.8562968718840902</v>
      </c>
      <c r="P54" s="54">
        <f>(VLOOKUP($A54,'The List'!$B1:$AH665,28,FALSE)-AVERAGE('The List'!AC2:AC665))/STDEV('The List'!AC2:AC665)</f>
        <v>1.488376073407949</v>
      </c>
      <c r="Q54" s="54">
        <f>(VLOOKUP($A54,'The List'!$B1:$AH665,29,FALSE)-AVERAGE('The List'!AD2:AD665))/STDEV('The List'!AD2:AD665)</f>
        <v>0.33067408703366519</v>
      </c>
      <c r="R54" s="54">
        <f>(VLOOKUP($A54,'The List'!$B1:$AH665,30,FALSE)-AVERAGE('The List'!AE2:AE665))/STDEV('The List'!AE2:AE665)</f>
        <v>2.3515334778345296</v>
      </c>
      <c r="S54" s="54">
        <f>(VLOOKUP($A54,'The List'!$B1:$AH665,31,FALSE)-AVERAGE('The List'!AF2:AF665))/STDEV('The List'!AF2:AF665)</f>
        <v>1.0055407934733191</v>
      </c>
      <c r="T54" s="54">
        <f>(VLOOKUP($A54,'The List'!$B1:$AH665,32,FALSE)-AVERAGE('The List'!AG2:AG665))/STDEV('The List'!AG2:AG665)</f>
        <v>1.2535155312483095</v>
      </c>
      <c r="U54" s="54">
        <f>(VLOOKUP($A54,'The List'!$B1:$AH665,33,FALSE)-AVERAGE('The List'!AH2:AH665))/STDEV('The List'!AH2:AH665)</f>
        <v>0.90816170318213274</v>
      </c>
      <c r="V54" s="54"/>
      <c r="W54" s="56"/>
      <c r="X54" s="54"/>
      <c r="Y54" s="54"/>
      <c r="Z54" s="54"/>
      <c r="AA54" s="54"/>
      <c r="AB54" s="54"/>
      <c r="AC54" s="54"/>
      <c r="AD54" s="54"/>
      <c r="AE54" s="54"/>
    </row>
    <row r="55" spans="1:31" ht="21.25" customHeight="1" x14ac:dyDescent="0.15">
      <c r="A55" s="9" t="s">
        <v>184</v>
      </c>
      <c r="B55" s="65" t="str">
        <f>VLOOKUP(A55,'Player Data'!A1:B667,2,FALSE)</f>
        <v>NSH</v>
      </c>
      <c r="C55" s="51">
        <f>((E55)*Settings!$C$12)+(F55*Settings!$C$2)+(G55*Settings!$C$3)+(H55*Settings!$C$4)+(I55*Settings!$C$5)+(K55*Settings!$C$9)+(N55*Settings!$C$6)+(J55*Settings!$C$8)+(O55*Settings!$C$7)+(P55*Settings!$C$14)+(Q55*Settings!$C$15)+(R55*Settings!$C$16)+(S55*Settings!$C$17)+(T55*Settings!$C$18)+(U55*Settings!$C$19)+(L55*Settings!$C$10)+(Settings!$C$11*M55)</f>
        <v>6.4588095688553535</v>
      </c>
      <c r="D55" s="56">
        <f>IF(Settings!$E$12="YES",VLOOKUP(A55,'Player Data'!A1:E667,5,FALSE),82)</f>
        <v>81.260000000000005</v>
      </c>
      <c r="E55" s="54">
        <f>(VLOOKUP($A55,'The List'!$B1:$AH665,17,FALSE)-AVERAGE('The List'!R2:R665))/STDEV('The List'!R2:R665)</f>
        <v>0.30973775506173679</v>
      </c>
      <c r="F55" s="54">
        <f>(VLOOKUP($A55,'The List'!$B1:$AH665,18,FALSE)-AVERAGE('The List'!S2:S665))/STDEV('The List'!S2:S665)</f>
        <v>1.7771604053216692</v>
      </c>
      <c r="G55" s="54">
        <f>(VLOOKUP($A55,'The List'!$B1:$AH665,19,FALSE)-AVERAGE('The List'!T2:T665))/STDEV('The List'!T2:T665)</f>
        <v>1.2546448828245262</v>
      </c>
      <c r="H55" s="54">
        <f>(VLOOKUP($A55,'The List'!$B1:$AH665,20,FALSE)-AVERAGE('The List'!U2:U665))/STDEV('The List'!U2:U665)</f>
        <v>1.5870088979831776</v>
      </c>
      <c r="I55" s="54">
        <f>(VLOOKUP($A55,'The List'!$B1:$AH665,21,FALSE)-AVERAGE('The List'!V2:V665))/STDEV('The List'!V2:V665)</f>
        <v>1.8220543407783127</v>
      </c>
      <c r="J55" s="54">
        <f>(VLOOKUP($A55,'The List'!$B1:$AH665,22,FALSE)-AVERAGE('The List'!W2:W665))/STDEV('The List'!W2:W665)</f>
        <v>2.8570377221195109</v>
      </c>
      <c r="K55" s="54">
        <f>(VLOOKUP($A55,'The List'!$B1:$AH665,23,FALSE)-AVERAGE('The List'!X2:X665))/STDEV('The List'!X2:X665)</f>
        <v>2.2626608161891095</v>
      </c>
      <c r="L55" s="54">
        <f>(VLOOKUP($A55,'The List'!$B1:$AH665,24,FALSE)-AVERAGE('The List'!Y2:Y665))/STDEV('The List'!Y2:Y665)</f>
        <v>-0.56497539376949968</v>
      </c>
      <c r="M55" s="54">
        <f>(VLOOKUP($A55,'The List'!$B1:$AH665,25,FALSE)-AVERAGE('The List'!Z2:Z665))/STDEV('The List'!Z2:Z665)</f>
        <v>-0.73841128570617909</v>
      </c>
      <c r="N55" s="54">
        <f>(VLOOKUP($A55,'The List'!$B1:$AH665,26,FALSE)-AVERAGE('The List'!AA2:AA665))/STDEV('The List'!AA2:AA665)</f>
        <v>-0.51345825794194744</v>
      </c>
      <c r="O55" s="54">
        <f>(VLOOKUP($A55,'The List'!$B1:$AH665,27,FALSE)-AVERAGE('The List'!AB2:AB665))/STDEV('The List'!AB2:AB665)</f>
        <v>-0.23710109974428561</v>
      </c>
      <c r="P55" s="54">
        <f>(VLOOKUP($A55,'The List'!$B1:$AH665,28,FALSE)-AVERAGE('The List'!AC2:AC665))/STDEV('The List'!AC2:AC665)</f>
        <v>-0.14425261831631661</v>
      </c>
      <c r="Q55" s="54">
        <f>(VLOOKUP($A55,'The List'!$B1:$AH665,29,FALSE)-AVERAGE('The List'!AD2:AD665))/STDEV('The List'!AD2:AD665)</f>
        <v>0.39036667621920751</v>
      </c>
      <c r="R55" s="54">
        <f>(VLOOKUP($A55,'The List'!$B1:$AH665,30,FALSE)-AVERAGE('The List'!AE2:AE665))/STDEV('The List'!AE2:AE665)</f>
        <v>1.5520570098888298</v>
      </c>
      <c r="S55" s="54">
        <f>(VLOOKUP($A55,'The List'!$B1:$AH665,31,FALSE)-AVERAGE('The List'!AF2:AF665))/STDEV('The List'!AF2:AF665)</f>
        <v>1.3573913156841022</v>
      </c>
      <c r="T55" s="54">
        <f>(VLOOKUP($A55,'The List'!$B1:$AH665,32,FALSE)-AVERAGE('The List'!AG2:AG665))/STDEV('The List'!AG2:AG665)</f>
        <v>1.1267738260443694</v>
      </c>
      <c r="U55" s="54">
        <f>(VLOOKUP($A55,'The List'!$B1:$AH665,33,FALSE)-AVERAGE('The List'!AH2:AH665))/STDEV('The List'!AH2:AH665)</f>
        <v>1.2147003002104386</v>
      </c>
      <c r="V55" s="54"/>
      <c r="W55" s="64"/>
      <c r="X55" s="56"/>
      <c r="Y55" s="56"/>
      <c r="Z55" s="56"/>
      <c r="AA55" s="56"/>
      <c r="AB55" s="56"/>
      <c r="AC55" s="59"/>
      <c r="AD55" s="60"/>
      <c r="AE55" s="54"/>
    </row>
    <row r="56" spans="1:31" ht="21.25" customHeight="1" x14ac:dyDescent="0.15">
      <c r="A56" s="9" t="s">
        <v>141</v>
      </c>
      <c r="B56" s="65" t="str">
        <f>VLOOKUP(A56,'Player Data'!A1:B667,2,FALSE)</f>
        <v>EDM</v>
      </c>
      <c r="C56" s="51">
        <f>((E56)*Settings!$C$12)+(F56*Settings!$C$2)+(G56*Settings!$C$3)+(H56*Settings!$C$4)+(I56*Settings!$C$5)+(K56*Settings!$C$9)+(N56*Settings!$C$6)+(J56*Settings!$C$8)+(O56*Settings!$C$7)+(P56*Settings!$C$14)+(Q56*Settings!$C$15)+(R56*Settings!$C$16)+(S56*Settings!$C$17)+(T56*Settings!$C$18)+(U56*Settings!$C$19)+(L56*Settings!$C$10)+(Settings!$C$11*M56)</f>
        <v>11.380681054295025</v>
      </c>
      <c r="D56" s="56">
        <f>IF(Settings!$E$12="YES",VLOOKUP(A56,'Player Data'!A1:E667,5,FALSE),82)</f>
        <v>81.752499999999998</v>
      </c>
      <c r="E56" s="54">
        <f>(VLOOKUP($A56,'The List'!$B1:$AH665,17,FALSE)-AVERAGE('The List'!R2:R665))/STDEV('The List'!R2:R665)</f>
        <v>1.8134591975974019</v>
      </c>
      <c r="F56" s="54">
        <f>(VLOOKUP($A56,'The List'!$B1:$AH665,18,FALSE)-AVERAGE('The List'!S2:S665))/STDEV('The List'!S2:S665)</f>
        <v>0.398545323956009</v>
      </c>
      <c r="G56" s="54">
        <f>(VLOOKUP($A56,'The List'!$B1:$AH665,19,FALSE)-AVERAGE('The List'!T2:T665))/STDEV('The List'!T2:T665)</f>
        <v>2.7605805281265874</v>
      </c>
      <c r="H56" s="54">
        <f>(VLOOKUP($A56,'The List'!$B1:$AH665,20,FALSE)-AVERAGE('The List'!U2:U665))/STDEV('The List'!U2:U665)</f>
        <v>1.8956335243212723</v>
      </c>
      <c r="I56" s="54">
        <f>(VLOOKUP($A56,'The List'!$B1:$AH665,21,FALSE)-AVERAGE('The List'!V2:V665))/STDEV('The List'!V2:V665)</f>
        <v>1.5869630584515937</v>
      </c>
      <c r="J56" s="54">
        <f>(VLOOKUP($A56,'The List'!$B1:$AH665,22,FALSE)-AVERAGE('The List'!W2:W665))/STDEV('The List'!W2:W665)</f>
        <v>1.2073605120026201</v>
      </c>
      <c r="K56" s="54">
        <f>(VLOOKUP($A56,'The List'!$B1:$AH665,23,FALSE)-AVERAGE('The List'!X2:X665))/STDEV('The List'!X2:X665)</f>
        <v>2.6138832749121343</v>
      </c>
      <c r="L56" s="54">
        <f>(VLOOKUP($A56,'The List'!$B1:$AH665,24,FALSE)-AVERAGE('The List'!Y2:Y665))/STDEV('The List'!Y2:Y665)</f>
        <v>-0.54443996585083188</v>
      </c>
      <c r="M56" s="54">
        <f>(VLOOKUP($A56,'The List'!$B1:$AH665,25,FALSE)-AVERAGE('The List'!Z2:Z665))/STDEV('The List'!Z2:Z665)</f>
        <v>-0.28266351891339908</v>
      </c>
      <c r="N56" s="54">
        <f>(VLOOKUP($A56,'The List'!$B1:$AH665,26,FALSE)-AVERAGE('The List'!AA2:AA665))/STDEV('The List'!AA2:AA665)</f>
        <v>1.0477541490678859</v>
      </c>
      <c r="O56" s="54">
        <f>(VLOOKUP($A56,'The List'!$B1:$AH665,27,FALSE)-AVERAGE('The List'!AB2:AB665))/STDEV('The List'!AB2:AB665)</f>
        <v>-9.7420104891773926E-2</v>
      </c>
      <c r="P56" s="54">
        <f>(VLOOKUP($A56,'The List'!$B1:$AH665,28,FALSE)-AVERAGE('The List'!AC2:AC665))/STDEV('The List'!AC2:AC665)</f>
        <v>2.9729547197808137</v>
      </c>
      <c r="Q56" s="54">
        <f>(VLOOKUP($A56,'The List'!$B1:$AH665,29,FALSE)-AVERAGE('The List'!AD2:AD665))/STDEV('The List'!AD2:AD665)</f>
        <v>0.19956253125363962</v>
      </c>
      <c r="R56" s="54">
        <f>(VLOOKUP($A56,'The List'!$B1:$AH665,30,FALSE)-AVERAGE('The List'!AE2:AE665))/STDEV('The List'!AE2:AE665)</f>
        <v>0.52015032546920248</v>
      </c>
      <c r="S56" s="54">
        <f>(VLOOKUP($A56,'The List'!$B1:$AH665,31,FALSE)-AVERAGE('The List'!AF2:AF665))/STDEV('The List'!AF2:AF665)</f>
        <v>-0.57389441068000469</v>
      </c>
      <c r="T56" s="54">
        <f>(VLOOKUP($A56,'The List'!$B1:$AH665,32,FALSE)-AVERAGE('The List'!AG2:AG665))/STDEV('The List'!AG2:AG665)</f>
        <v>-0.62577078713265111</v>
      </c>
      <c r="U56" s="54">
        <f>(VLOOKUP($A56,'The List'!$B1:$AH665,33,FALSE)-AVERAGE('The List'!AH2:AH665))/STDEV('The List'!AH2:AH665)</f>
        <v>-1.2314350945148611</v>
      </c>
      <c r="V56" s="54"/>
      <c r="W56" s="64"/>
      <c r="X56" s="56"/>
      <c r="Y56" s="56"/>
      <c r="Z56" s="56"/>
      <c r="AA56" s="56"/>
      <c r="AB56" s="56"/>
      <c r="AC56" s="59"/>
      <c r="AD56" s="60"/>
      <c r="AE56" s="54"/>
    </row>
    <row r="57" spans="1:31" ht="21.25" customHeight="1" x14ac:dyDescent="0.15">
      <c r="A57" s="9" t="s">
        <v>181</v>
      </c>
      <c r="B57" s="65" t="str">
        <f>VLOOKUP(A57,'Player Data'!A1:B667,2,FALSE)</f>
        <v>WSH</v>
      </c>
      <c r="C57" s="51">
        <f>((E57)*Settings!$C$12)+(F57*Settings!$C$2)+(G57*Settings!$C$3)+(H57*Settings!$C$4)+(I57*Settings!$C$5)+(K57*Settings!$C$9)+(N57*Settings!$C$6)+(J57*Settings!$C$8)+(O57*Settings!$C$7)+(P57*Settings!$C$14)+(Q57*Settings!$C$15)+(R57*Settings!$C$16)+(S57*Settings!$C$17)+(T57*Settings!$C$18)+(U57*Settings!$C$19)+(L57*Settings!$C$10)+(Settings!$C$11*M57)</f>
        <v>5.6939603278878375</v>
      </c>
      <c r="D57" s="56">
        <f>IF(Settings!$E$12="YES",VLOOKUP(A57,'Player Data'!A1:E667,5,FALSE),82)</f>
        <v>79.760000000000005</v>
      </c>
      <c r="E57" s="54">
        <f>(VLOOKUP($A57,'The List'!$B1:$AH665,17,FALSE)-AVERAGE('The List'!R2:R665))/STDEV('The List'!R2:R665)</f>
        <v>0.70421989449855915</v>
      </c>
      <c r="F57" s="54">
        <f>(VLOOKUP($A57,'The List'!$B1:$AH665,18,FALSE)-AVERAGE('The List'!S2:S665))/STDEV('The List'!S2:S665)</f>
        <v>2.166733186784898</v>
      </c>
      <c r="G57" s="54">
        <f>(VLOOKUP($A57,'The List'!$B1:$AH665,19,FALSE)-AVERAGE('The List'!T2:T665))/STDEV('The List'!T2:T665)</f>
        <v>0.81865751743316262</v>
      </c>
      <c r="H57" s="54">
        <f>(VLOOKUP($A57,'The List'!$B1:$AH665,20,FALSE)-AVERAGE('The List'!U2:U665))/STDEV('The List'!U2:U665)</f>
        <v>1.493315576383615</v>
      </c>
      <c r="I57" s="54">
        <f>(VLOOKUP($A57,'The List'!$B1:$AH665,21,FALSE)-AVERAGE('The List'!V2:V665))/STDEV('The List'!V2:V665)</f>
        <v>2.5077089401981922</v>
      </c>
      <c r="J57" s="54">
        <f>(VLOOKUP($A57,'The List'!$B1:$AH665,22,FALSE)-AVERAGE('The List'!W2:W665))/STDEV('The List'!W2:W665)</f>
        <v>2.9731090412509649</v>
      </c>
      <c r="K57" s="54">
        <f>(VLOOKUP($A57,'The List'!$B1:$AH665,23,FALSE)-AVERAGE('The List'!X2:X665))/STDEV('The List'!X2:X665)</f>
        <v>1.9855729335210532</v>
      </c>
      <c r="L57" s="54">
        <f>(VLOOKUP($A57,'The List'!$B1:$AH665,24,FALSE)-AVERAGE('The List'!Y2:Y665))/STDEV('The List'!Y2:Y665)</f>
        <v>-0.56826527132705362</v>
      </c>
      <c r="M57" s="54">
        <f>(VLOOKUP($A57,'The List'!$B1:$AH665,25,FALSE)-AVERAGE('The List'!Z2:Z665))/STDEV('The List'!Z2:Z665)</f>
        <v>-0.74489551615497562</v>
      </c>
      <c r="N57" s="54">
        <f>(VLOOKUP($A57,'The List'!$B1:$AH665,26,FALSE)-AVERAGE('The List'!AA2:AA665))/STDEV('The List'!AA2:AA665)</f>
        <v>-0.88915380344932149</v>
      </c>
      <c r="O57" s="54">
        <f>(VLOOKUP($A57,'The List'!$B1:$AH665,27,FALSE)-AVERAGE('The List'!AB2:AB665))/STDEV('The List'!AB2:AB665)</f>
        <v>1.4600954648121431</v>
      </c>
      <c r="P57" s="54">
        <f>(VLOOKUP($A57,'The List'!$B1:$AH665,28,FALSE)-AVERAGE('The List'!AC2:AC665))/STDEV('The List'!AC2:AC665)</f>
        <v>-0.89555844660014738</v>
      </c>
      <c r="Q57" s="54">
        <f>(VLOOKUP($A57,'The List'!$B1:$AH665,29,FALSE)-AVERAGE('The List'!AD2:AD665))/STDEV('The List'!AD2:AD665)</f>
        <v>-0.34219186254478723</v>
      </c>
      <c r="R57" s="54">
        <f>(VLOOKUP($A57,'The List'!$B1:$AH665,30,FALSE)-AVERAGE('The List'!AE2:AE665))/STDEV('The List'!AE2:AE665)</f>
        <v>1.9132988946194467</v>
      </c>
      <c r="S57" s="54">
        <f>(VLOOKUP($A57,'The List'!$B1:$AH665,31,FALSE)-AVERAGE('The List'!AF2:AF665))/STDEV('The List'!AF2:AF665)</f>
        <v>-0.5687593749404587</v>
      </c>
      <c r="T57" s="54">
        <f>(VLOOKUP($A57,'The List'!$B1:$AH665,32,FALSE)-AVERAGE('The List'!AG2:AG665))/STDEV('The List'!AG2:AG665)</f>
        <v>-0.60707030608907697</v>
      </c>
      <c r="U57" s="54">
        <f>(VLOOKUP($A57,'The List'!$B1:$AH665,33,FALSE)-AVERAGE('The List'!AH2:AH665))/STDEV('The List'!AH2:AH665)</f>
        <v>-0.20674511393685852</v>
      </c>
      <c r="V57" s="54"/>
      <c r="W57" s="56"/>
      <c r="X57" s="56"/>
      <c r="Y57" s="56"/>
      <c r="Z57" s="56"/>
      <c r="AA57" s="56"/>
      <c r="AB57" s="56"/>
      <c r="AC57" s="59"/>
      <c r="AD57" s="60"/>
      <c r="AE57" s="54"/>
    </row>
    <row r="58" spans="1:31" ht="21.25" customHeight="1" x14ac:dyDescent="0.15">
      <c r="A58" s="9" t="s">
        <v>153</v>
      </c>
      <c r="B58" s="65" t="str">
        <f>VLOOKUP(A58,'Player Data'!A1:B667,2,FALSE)</f>
        <v>T.B</v>
      </c>
      <c r="C58" s="51">
        <f>((E58)*Settings!$C$12)+(F58*Settings!$C$2)+(G58*Settings!$C$3)+(H58*Settings!$C$4)+(I58*Settings!$C$5)+(K58*Settings!$C$9)+(N58*Settings!$C$6)+(J58*Settings!$C$8)+(O58*Settings!$C$7)+(P58*Settings!$C$14)+(Q58*Settings!$C$15)+(R58*Settings!$C$16)+(S58*Settings!$C$17)+(T58*Settings!$C$18)+(U58*Settings!$C$19)+(L58*Settings!$C$10)+(Settings!$C$11*M58)</f>
        <v>7.269038308100769</v>
      </c>
      <c r="D58" s="56">
        <f>IF(Settings!$E$12="YES",VLOOKUP(A58,'Player Data'!A1:E667,5,FALSE),82)</f>
        <v>80.495000000000005</v>
      </c>
      <c r="E58" s="54">
        <f>(VLOOKUP($A58,'The List'!$B1:$AH665,17,FALSE)-AVERAGE('The List'!R2:R665))/STDEV('The List'!R2:R665)</f>
        <v>2.0755969833702954</v>
      </c>
      <c r="F58" s="54">
        <f>(VLOOKUP($A58,'The List'!$B1:$AH665,18,FALSE)-AVERAGE('The List'!S2:S665))/STDEV('The List'!S2:S665)</f>
        <v>-5.946326100302439E-2</v>
      </c>
      <c r="G58" s="54">
        <f>(VLOOKUP($A58,'The List'!$B1:$AH665,19,FALSE)-AVERAGE('The List'!T2:T665))/STDEV('The List'!T2:T665)</f>
        <v>2.4866480248833112</v>
      </c>
      <c r="H58" s="54">
        <f>(VLOOKUP($A58,'The List'!$B1:$AH665,20,FALSE)-AVERAGE('The List'!U2:U665))/STDEV('The List'!U2:U665)</f>
        <v>1.5173193643396912</v>
      </c>
      <c r="I58" s="54">
        <f>(VLOOKUP($A58,'The List'!$B1:$AH665,21,FALSE)-AVERAGE('The List'!V2:V665))/STDEV('The List'!V2:V665)</f>
        <v>0.83430379449648995</v>
      </c>
      <c r="J58" s="54">
        <f>(VLOOKUP($A58,'The List'!$B1:$AH665,22,FALSE)-AVERAGE('The List'!W2:W665))/STDEV('The List'!W2:W665)</f>
        <v>0.36183658975847</v>
      </c>
      <c r="K58" s="54">
        <f>(VLOOKUP($A58,'The List'!$B1:$AH665,23,FALSE)-AVERAGE('The List'!X2:X665))/STDEV('The List'!X2:X665)</f>
        <v>2.3194089095743875</v>
      </c>
      <c r="L58" s="54">
        <f>(VLOOKUP($A58,'The List'!$B1:$AH665,24,FALSE)-AVERAGE('The List'!Y2:Y665))/STDEV('The List'!Y2:Y665)</f>
        <v>-0.20014101621920996</v>
      </c>
      <c r="M58" s="54">
        <f>(VLOOKUP($A58,'The List'!$B1:$AH665,25,FALSE)-AVERAGE('The List'!Z2:Z665))/STDEV('The List'!Z2:Z665)</f>
        <v>-0.21838123245584543</v>
      </c>
      <c r="N58" s="54">
        <f>(VLOOKUP($A58,'The List'!$B1:$AH665,26,FALSE)-AVERAGE('The List'!AA2:AA665))/STDEV('The List'!AA2:AA665)</f>
        <v>1.2047569942327268</v>
      </c>
      <c r="O58" s="54">
        <f>(VLOOKUP($A58,'The List'!$B1:$AH665,27,FALSE)-AVERAGE('The List'!AB2:AB665))/STDEV('The List'!AB2:AB665)</f>
        <v>-0.20919207876254658</v>
      </c>
      <c r="P58" s="54">
        <f>(VLOOKUP($A58,'The List'!$B1:$AH665,28,FALSE)-AVERAGE('The List'!AC2:AC665))/STDEV('The List'!AC2:AC665)</f>
        <v>0.48338384591687794</v>
      </c>
      <c r="Q58" s="54">
        <f>(VLOOKUP($A58,'The List'!$B1:$AH665,29,FALSE)-AVERAGE('The List'!AD2:AD665))/STDEV('The List'!AD2:AD665)</f>
        <v>0.61363051882004238</v>
      </c>
      <c r="R58" s="54">
        <f>(VLOOKUP($A58,'The List'!$B1:$AH665,30,FALSE)-AVERAGE('The List'!AE2:AE665))/STDEV('The List'!AE2:AE665)</f>
        <v>1.344197454633689E-2</v>
      </c>
      <c r="S58" s="54">
        <f>(VLOOKUP($A58,'The List'!$B1:$AH665,31,FALSE)-AVERAGE('The List'!AF2:AF665))/STDEV('The List'!AF2:AF665)</f>
        <v>-0.57389441068000469</v>
      </c>
      <c r="T58" s="54">
        <f>(VLOOKUP($A58,'The List'!$B1:$AH665,32,FALSE)-AVERAGE('The List'!AG2:AG665))/STDEV('The List'!AG2:AG665)</f>
        <v>-0.62577078713265111</v>
      </c>
      <c r="U58" s="54">
        <f>(VLOOKUP($A58,'The List'!$B1:$AH665,33,FALSE)-AVERAGE('The List'!AH2:AH665))/STDEV('The List'!AH2:AH665)</f>
        <v>-1.2314350945148611</v>
      </c>
      <c r="V58" s="54"/>
      <c r="W58" s="56"/>
      <c r="X58" s="54"/>
      <c r="Y58" s="54"/>
      <c r="Z58" s="54"/>
      <c r="AA58" s="54"/>
      <c r="AB58" s="54"/>
      <c r="AC58" s="54"/>
      <c r="AD58" s="54"/>
      <c r="AE58" s="54"/>
    </row>
    <row r="59" spans="1:31" ht="21.25" customHeight="1" x14ac:dyDescent="0.15">
      <c r="A59" s="9" t="s">
        <v>217</v>
      </c>
      <c r="B59" s="65" t="str">
        <f>VLOOKUP(A59,'Player Data'!A1:B667,2,FALSE)</f>
        <v>DET</v>
      </c>
      <c r="C59" s="51">
        <f>((E59)*Settings!$C$12)+(F59*Settings!$C$2)+(G59*Settings!$C$3)+(H59*Settings!$C$4)+(I59*Settings!$C$5)+(K59*Settings!$C$9)+(N59*Settings!$C$6)+(J59*Settings!$C$8)+(O59*Settings!$C$7)+(P59*Settings!$C$14)+(Q59*Settings!$C$15)+(R59*Settings!$C$16)+(S59*Settings!$C$17)+(T59*Settings!$C$18)+(U59*Settings!$C$19)+(L59*Settings!$C$10)+(Settings!$C$11*M59)</f>
        <v>3.1878863486318161</v>
      </c>
      <c r="D59" s="56">
        <f>IF(Settings!$E$12="YES",VLOOKUP(A59,'Player Data'!A1:E667,5,FALSE),82)</f>
        <v>80.930000000000007</v>
      </c>
      <c r="E59" s="54">
        <f>(VLOOKUP($A59,'The List'!$B1:$AH665,17,FALSE)-AVERAGE('The List'!R2:R665))/STDEV('The List'!R2:R665)</f>
        <v>0.50644275403848571</v>
      </c>
      <c r="F59" s="54">
        <f>(VLOOKUP($A59,'The List'!$B1:$AH665,18,FALSE)-AVERAGE('The List'!S2:S665))/STDEV('The List'!S2:S665)</f>
        <v>1.6797759447090939</v>
      </c>
      <c r="G59" s="54">
        <f>(VLOOKUP($A59,'The List'!$B1:$AH665,19,FALSE)-AVERAGE('The List'!T2:T665))/STDEV('The List'!T2:T665)</f>
        <v>1.4665620079999182</v>
      </c>
      <c r="H59" s="54">
        <f>(VLOOKUP($A59,'The List'!$B1:$AH665,20,FALSE)-AVERAGE('The List'!U2:U665))/STDEV('The List'!U2:U665)</f>
        <v>1.674355482013973</v>
      </c>
      <c r="I59" s="54">
        <f>(VLOOKUP($A59,'The List'!$B1:$AH665,21,FALSE)-AVERAGE('The List'!V2:V665))/STDEV('The List'!V2:V665)</f>
        <v>0.77448352513476637</v>
      </c>
      <c r="J59" s="54">
        <f>(VLOOKUP($A59,'The List'!$B1:$AH665,22,FALSE)-AVERAGE('The List'!W2:W665))/STDEV('The List'!W2:W665)</f>
        <v>1.0837966208961636</v>
      </c>
      <c r="K59" s="54">
        <f>(VLOOKUP($A59,'The List'!$B1:$AH665,23,FALSE)-AVERAGE('The List'!X2:X665))/STDEV('The List'!X2:X665)</f>
        <v>1.344412117956477</v>
      </c>
      <c r="L59" s="54">
        <f>(VLOOKUP($A59,'The List'!$B1:$AH665,24,FALSE)-AVERAGE('The List'!Y2:Y665))/STDEV('The List'!Y2:Y665)</f>
        <v>-0.47750381436670791</v>
      </c>
      <c r="M59" s="54">
        <f>(VLOOKUP($A59,'The List'!$B1:$AH665,25,FALSE)-AVERAGE('The List'!Z2:Z665))/STDEV('The List'!Z2:Z665)</f>
        <v>-0.64981165351273096</v>
      </c>
      <c r="N59" s="54">
        <f>(VLOOKUP($A59,'The List'!$B1:$AH665,26,FALSE)-AVERAGE('The List'!AA2:AA665))/STDEV('The List'!AA2:AA665)</f>
        <v>-0.87693846312224077</v>
      </c>
      <c r="O59" s="54">
        <f>(VLOOKUP($A59,'The List'!$B1:$AH665,27,FALSE)-AVERAGE('The List'!AB2:AB665))/STDEV('The List'!AB2:AB665)</f>
        <v>-0.55521618557869912</v>
      </c>
      <c r="P59" s="54">
        <f>(VLOOKUP($A59,'The List'!$B1:$AH665,28,FALSE)-AVERAGE('The List'!AC2:AC665))/STDEV('The List'!AC2:AC665)</f>
        <v>-1.2004087840461986</v>
      </c>
      <c r="Q59" s="54">
        <f>(VLOOKUP($A59,'The List'!$B1:$AH665,29,FALSE)-AVERAGE('The List'!AD2:AD665))/STDEV('The List'!AD2:AD665)</f>
        <v>-0.27627402692470537</v>
      </c>
      <c r="R59" s="54">
        <f>(VLOOKUP($A59,'The List'!$B1:$AH665,30,FALSE)-AVERAGE('The List'!AE2:AE665))/STDEV('The List'!AE2:AE665)</f>
        <v>1.3813485804010506</v>
      </c>
      <c r="S59" s="54">
        <f>(VLOOKUP($A59,'The List'!$B1:$AH665,31,FALSE)-AVERAGE('The List'!AF2:AF665))/STDEV('The List'!AF2:AF665)</f>
        <v>-0.54786072597238378</v>
      </c>
      <c r="T59" s="54">
        <f>(VLOOKUP($A59,'The List'!$B1:$AH665,32,FALSE)-AVERAGE('The List'!AG2:AG665))/STDEV('The List'!AG2:AG665)</f>
        <v>-0.57727144536702357</v>
      </c>
      <c r="U59" s="54">
        <f>(VLOOKUP($A59,'The List'!$B1:$AH665,33,FALSE)-AVERAGE('The List'!AH2:AH665))/STDEV('The List'!AH2:AH665)</f>
        <v>0.41606695743545624</v>
      </c>
      <c r="V59" s="54"/>
      <c r="W59" s="56"/>
      <c r="X59" s="56"/>
      <c r="Y59" s="56"/>
      <c r="Z59" s="56"/>
      <c r="AA59" s="56"/>
      <c r="AB59" s="56"/>
      <c r="AC59" s="59"/>
      <c r="AD59" s="60"/>
      <c r="AE59" s="54"/>
    </row>
    <row r="60" spans="1:31" ht="21.25" customHeight="1" x14ac:dyDescent="0.15">
      <c r="A60" s="9" t="s">
        <v>205</v>
      </c>
      <c r="B60" s="65" t="str">
        <f>VLOOKUP(A60,'Player Data'!A1:B667,2,FALSE)</f>
        <v>PHI</v>
      </c>
      <c r="C60" s="51">
        <f>((E60)*Settings!$C$12)+(F60*Settings!$C$2)+(G60*Settings!$C$3)+(H60*Settings!$C$4)+(I60*Settings!$C$5)+(K60*Settings!$C$9)+(N60*Settings!$C$6)+(J60*Settings!$C$8)+(O60*Settings!$C$7)+(P60*Settings!$C$14)+(Q60*Settings!$C$15)+(R60*Settings!$C$16)+(S60*Settings!$C$17)+(T60*Settings!$C$18)+(U60*Settings!$C$19)+(L60*Settings!$C$10)+(Settings!$C$11*M60)</f>
        <v>3.6833940457590009</v>
      </c>
      <c r="D60" s="56">
        <f>IF(Settings!$E$12="YES",VLOOKUP(A60,'Player Data'!A1:E667,5,FALSE),82)</f>
        <v>77.64</v>
      </c>
      <c r="E60" s="54">
        <f>(VLOOKUP($A60,'The List'!$B1:$AH665,17,FALSE)-AVERAGE('The List'!R2:R665))/STDEV('The List'!R2:R665)</f>
        <v>0.7502372522409968</v>
      </c>
      <c r="F60" s="54">
        <f>(VLOOKUP($A60,'The List'!$B1:$AH665,18,FALSE)-AVERAGE('The List'!S2:S665))/STDEV('The List'!S2:S665)</f>
        <v>1.7336590235988796</v>
      </c>
      <c r="G60" s="54">
        <f>(VLOOKUP($A60,'The List'!$B1:$AH665,19,FALSE)-AVERAGE('The List'!T2:T665))/STDEV('The List'!T2:T665)</f>
        <v>0.95409026194657998</v>
      </c>
      <c r="H60" s="54">
        <f>(VLOOKUP($A60,'The List'!$B1:$AH665,20,FALSE)-AVERAGE('The List'!U2:U665))/STDEV('The List'!U2:U665)</f>
        <v>1.3805741330188142</v>
      </c>
      <c r="I60" s="54">
        <f>(VLOOKUP($A60,'The List'!$B1:$AH665,21,FALSE)-AVERAGE('The List'!V2:V665))/STDEV('The List'!V2:V665)</f>
        <v>1.7608801314781029</v>
      </c>
      <c r="J60" s="54">
        <f>(VLOOKUP($A60,'The List'!$B1:$AH665,22,FALSE)-AVERAGE('The List'!W2:W665))/STDEV('The List'!W2:W665)</f>
        <v>0.39450429921258945</v>
      </c>
      <c r="K60" s="54">
        <f>(VLOOKUP($A60,'The List'!$B1:$AH665,23,FALSE)-AVERAGE('The List'!X2:X665))/STDEV('The List'!X2:X665)</f>
        <v>0.38529391013088521</v>
      </c>
      <c r="L60" s="54">
        <f>(VLOOKUP($A60,'The List'!$B1:$AH665,24,FALSE)-AVERAGE('The List'!Y2:Y665))/STDEV('The List'!Y2:Y665)</f>
        <v>7.4825372032205602</v>
      </c>
      <c r="M60" s="54">
        <f>(VLOOKUP($A60,'The List'!$B1:$AH665,25,FALSE)-AVERAGE('The List'!Z2:Z665))/STDEV('The List'!Z2:Z665)</f>
        <v>5.9704556388297219</v>
      </c>
      <c r="N60" s="54">
        <f>(VLOOKUP($A60,'The List'!$B1:$AH665,26,FALSE)-AVERAGE('The List'!AA2:AA665))/STDEV('The List'!AA2:AA665)</f>
        <v>-0.65967546832179691</v>
      </c>
      <c r="O60" s="54">
        <f>(VLOOKUP($A60,'The List'!$B1:$AH665,27,FALSE)-AVERAGE('The List'!AB2:AB665))/STDEV('The List'!AB2:AB665)</f>
        <v>-0.18130455379478658</v>
      </c>
      <c r="P60" s="54">
        <f>(VLOOKUP($A60,'The List'!$B1:$AH665,28,FALSE)-AVERAGE('The List'!AC2:AC665))/STDEV('The List'!AC2:AC665)</f>
        <v>-0.49085381307364978</v>
      </c>
      <c r="Q60" s="54">
        <f>(VLOOKUP($A60,'The List'!$B1:$AH665,29,FALSE)-AVERAGE('The List'!AD2:AD665))/STDEV('The List'!AD2:AD665)</f>
        <v>1.4248726580072975</v>
      </c>
      <c r="R60" s="54">
        <f>(VLOOKUP($A60,'The List'!$B1:$AH665,30,FALSE)-AVERAGE('The List'!AE2:AE665))/STDEV('The List'!AE2:AE665)</f>
        <v>1.5786037646730942</v>
      </c>
      <c r="S60" s="54">
        <f>(VLOOKUP($A60,'The List'!$B1:$AH665,31,FALSE)-AVERAGE('The List'!AF2:AF665))/STDEV('The List'!AF2:AF665)</f>
        <v>-0.39689598520681929</v>
      </c>
      <c r="T60" s="54">
        <f>(VLOOKUP($A60,'The List'!$B1:$AH665,32,FALSE)-AVERAGE('The List'!AG2:AG665))/STDEV('The List'!AG2:AG665)</f>
        <v>-0.37183955044503769</v>
      </c>
      <c r="U60" s="54">
        <f>(VLOOKUP($A60,'The List'!$B1:$AH665,33,FALSE)-AVERAGE('The List'!AH2:AH665))/STDEV('The List'!AH2:AH665)</f>
        <v>0.69850490672800924</v>
      </c>
      <c r="V60" s="54"/>
      <c r="W60" s="56"/>
      <c r="X60" s="54"/>
      <c r="Y60" s="54"/>
      <c r="Z60" s="54"/>
      <c r="AA60" s="54"/>
      <c r="AB60" s="54"/>
      <c r="AC60" s="54"/>
      <c r="AD60" s="54"/>
      <c r="AE60" s="54"/>
    </row>
    <row r="61" spans="1:31" ht="21.25" customHeight="1" x14ac:dyDescent="0.15">
      <c r="A61" s="9" t="s">
        <v>206</v>
      </c>
      <c r="B61" s="65" t="str">
        <f>VLOOKUP(A61,'Player Data'!A1:B667,2,FALSE)</f>
        <v>NYR</v>
      </c>
      <c r="C61" s="51">
        <f>((E61)*Settings!$C$12)+(F61*Settings!$C$2)+(G61*Settings!$C$3)+(H61*Settings!$C$4)+(I61*Settings!$C$5)+(K61*Settings!$C$9)+(N61*Settings!$C$6)+(J61*Settings!$C$8)+(O61*Settings!$C$7)+(P61*Settings!$C$14)+(Q61*Settings!$C$15)+(R61*Settings!$C$16)+(S61*Settings!$C$17)+(T61*Settings!$C$18)+(U61*Settings!$C$19)+(L61*Settings!$C$10)+(Settings!$C$11*M61)</f>
        <v>6.6842019542524866</v>
      </c>
      <c r="D61" s="56">
        <f>IF(Settings!$E$12="YES",VLOOKUP(A61,'Player Data'!A1:E667,5,FALSE),82)</f>
        <v>81.93</v>
      </c>
      <c r="E61" s="54">
        <f>(VLOOKUP($A61,'The List'!$B1:$AH665,17,FALSE)-AVERAGE('The List'!R2:R665))/STDEV('The List'!R2:R665)</f>
        <v>1.2937698044340062</v>
      </c>
      <c r="F61" s="54">
        <f>(VLOOKUP($A61,'The List'!$B1:$AH665,18,FALSE)-AVERAGE('The List'!S2:S665))/STDEV('The List'!S2:S665)</f>
        <v>1.1064702420856394</v>
      </c>
      <c r="G61" s="54">
        <f>(VLOOKUP($A61,'The List'!$B1:$AH665,19,FALSE)-AVERAGE('The List'!T2:T665))/STDEV('The List'!T2:T665)</f>
        <v>1.6531044533440327</v>
      </c>
      <c r="H61" s="54">
        <f>(VLOOKUP($A61,'The List'!$B1:$AH665,20,FALSE)-AVERAGE('The List'!U2:U665))/STDEV('The List'!U2:U665)</f>
        <v>1.5296141362526774</v>
      </c>
      <c r="I61" s="54">
        <f>(VLOOKUP($A61,'The List'!$B1:$AH665,21,FALSE)-AVERAGE('The List'!V2:V665))/STDEV('The List'!V2:V665)</f>
        <v>1.4339343723879758</v>
      </c>
      <c r="J61" s="54">
        <f>(VLOOKUP($A61,'The List'!$B1:$AH665,22,FALSE)-AVERAGE('The List'!W2:W665))/STDEV('The List'!W2:W665)</f>
        <v>1.666640744680473</v>
      </c>
      <c r="K61" s="54">
        <f>(VLOOKUP($A61,'The List'!$B1:$AH665,23,FALSE)-AVERAGE('The List'!X2:X665))/STDEV('The List'!X2:X665)</f>
        <v>1.1755769231079072</v>
      </c>
      <c r="L61" s="54">
        <f>(VLOOKUP($A61,'The List'!$B1:$AH665,24,FALSE)-AVERAGE('The List'!Y2:Y665))/STDEV('The List'!Y2:Y665)</f>
        <v>0.69102096557880099</v>
      </c>
      <c r="M61" s="54">
        <f>(VLOOKUP($A61,'The List'!$B1:$AH665,25,FALSE)-AVERAGE('The List'!Z2:Z665))/STDEV('The List'!Z2:Z665)</f>
        <v>0.17949249599885456</v>
      </c>
      <c r="N61" s="54">
        <f>(VLOOKUP($A61,'The List'!$B1:$AH665,26,FALSE)-AVERAGE('The List'!AA2:AA665))/STDEV('The List'!AA2:AA665)</f>
        <v>0.17976467604263638</v>
      </c>
      <c r="O61" s="54">
        <f>(VLOOKUP($A61,'The List'!$B1:$AH665,27,FALSE)-AVERAGE('The List'!AB2:AB665))/STDEV('The List'!AB2:AB665)</f>
        <v>1.6603318501385578</v>
      </c>
      <c r="P61" s="54">
        <f>(VLOOKUP($A61,'The List'!$B1:$AH665,28,FALSE)-AVERAGE('The List'!AC2:AC665))/STDEV('The List'!AC2:AC665)</f>
        <v>1.1353512872842955</v>
      </c>
      <c r="Q61" s="54">
        <f>(VLOOKUP($A61,'The List'!$B1:$AH665,29,FALSE)-AVERAGE('The List'!AD2:AD665))/STDEV('The List'!AD2:AD665)</f>
        <v>2.0919737108987766</v>
      </c>
      <c r="R61" s="54">
        <f>(VLOOKUP($A61,'The List'!$B1:$AH665,30,FALSE)-AVERAGE('The List'!AE2:AE665))/STDEV('The List'!AE2:AE665)</f>
        <v>1.284942505249093</v>
      </c>
      <c r="S61" s="54">
        <f>(VLOOKUP($A61,'The List'!$B1:$AH665,31,FALSE)-AVERAGE('The List'!AF2:AF665))/STDEV('The List'!AF2:AF665)</f>
        <v>3.543033965540511</v>
      </c>
      <c r="T61" s="54">
        <f>(VLOOKUP($A61,'The List'!$B1:$AH665,32,FALSE)-AVERAGE('The List'!AG2:AG665))/STDEV('The List'!AG2:AG665)</f>
        <v>2.6847450513465838</v>
      </c>
      <c r="U61" s="54">
        <f>(VLOOKUP($A61,'The List'!$B1:$AH665,33,FALSE)-AVERAGE('The List'!AH2:AH665))/STDEV('The List'!AH2:AH665)</f>
        <v>1.3500231492902279</v>
      </c>
      <c r="V61" s="54"/>
      <c r="W61" s="64"/>
      <c r="X61" s="56"/>
      <c r="Y61" s="56"/>
      <c r="Z61" s="56"/>
      <c r="AA61" s="56"/>
      <c r="AB61" s="56"/>
      <c r="AC61" s="59"/>
      <c r="AD61" s="60"/>
      <c r="AE61" s="54"/>
    </row>
    <row r="62" spans="1:31" ht="21.25" customHeight="1" x14ac:dyDescent="0.15">
      <c r="A62" s="9" t="s">
        <v>197</v>
      </c>
      <c r="B62" s="65" t="str">
        <f>VLOOKUP(A62,'Player Data'!A1:B667,2,FALSE)</f>
        <v>MIN</v>
      </c>
      <c r="C62" s="51">
        <f>((E62)*Settings!$C$12)+(F62*Settings!$C$2)+(G62*Settings!$C$3)+(H62*Settings!$C$4)+(I62*Settings!$C$5)+(K62*Settings!$C$9)+(N62*Settings!$C$6)+(J62*Settings!$C$8)+(O62*Settings!$C$7)+(P62*Settings!$C$14)+(Q62*Settings!$C$15)+(R62*Settings!$C$16)+(S62*Settings!$C$17)+(T62*Settings!$C$18)+(U62*Settings!$C$19)+(L62*Settings!$C$10)+(Settings!$C$11*M62)</f>
        <v>6.0150688800609426</v>
      </c>
      <c r="D62" s="56">
        <f>IF(Settings!$E$12="YES",VLOOKUP(A62,'Player Data'!A1:E667,5,FALSE),82)</f>
        <v>77.150000000000006</v>
      </c>
      <c r="E62" s="54">
        <f>(VLOOKUP($A62,'The List'!$B1:$AH665,17,FALSE)-AVERAGE('The List'!R2:R665))/STDEV('The List'!R2:R665)</f>
        <v>0.40704500338658534</v>
      </c>
      <c r="F62" s="54">
        <f>(VLOOKUP($A62,'The List'!$B1:$AH665,18,FALSE)-AVERAGE('The List'!S2:S665))/STDEV('The List'!S2:S665)</f>
        <v>1.7153355226307772</v>
      </c>
      <c r="G62" s="54">
        <f>(VLOOKUP($A62,'The List'!$B1:$AH665,19,FALSE)-AVERAGE('The List'!T2:T665))/STDEV('The List'!T2:T665)</f>
        <v>1.1479027476012318</v>
      </c>
      <c r="H62" s="54">
        <f>(VLOOKUP($A62,'The List'!$B1:$AH665,20,FALSE)-AVERAGE('The List'!U2:U665))/STDEV('The List'!U2:U665)</f>
        <v>1.49261368214498</v>
      </c>
      <c r="I62" s="54">
        <f>(VLOOKUP($A62,'The List'!$B1:$AH665,21,FALSE)-AVERAGE('The List'!V2:V665))/STDEV('The List'!V2:V665)</f>
        <v>1.5959452134992727</v>
      </c>
      <c r="J62" s="54">
        <f>(VLOOKUP($A62,'The List'!$B1:$AH665,22,FALSE)-AVERAGE('The List'!W2:W665))/STDEV('The List'!W2:W665)</f>
        <v>1.6641362341874457</v>
      </c>
      <c r="K62" s="54">
        <f>(VLOOKUP($A62,'The List'!$B1:$AH665,23,FALSE)-AVERAGE('The List'!X2:X665))/STDEV('The List'!X2:X665)</f>
        <v>1.6757989865359524</v>
      </c>
      <c r="L62" s="54">
        <f>(VLOOKUP($A62,'The List'!$B1:$AH665,24,FALSE)-AVERAGE('The List'!Y2:Y665))/STDEV('The List'!Y2:Y665)</f>
        <v>-0.51020503819061591</v>
      </c>
      <c r="M62" s="54">
        <f>(VLOOKUP($A62,'The List'!$B1:$AH665,25,FALSE)-AVERAGE('The List'!Z2:Z665))/STDEV('The List'!Z2:Z665)</f>
        <v>-0.68278276501941981</v>
      </c>
      <c r="N62" s="54">
        <f>(VLOOKUP($A62,'The List'!$B1:$AH665,26,FALSE)-AVERAGE('The List'!AA2:AA665))/STDEV('The List'!AA2:AA665)</f>
        <v>-0.79529032059660465</v>
      </c>
      <c r="O62" s="54">
        <f>(VLOOKUP($A62,'The List'!$B1:$AH665,27,FALSE)-AVERAGE('The List'!AB2:AB665))/STDEV('The List'!AB2:AB665)</f>
        <v>-0.98942998587728226</v>
      </c>
      <c r="P62" s="54">
        <f>(VLOOKUP($A62,'The List'!$B1:$AH665,28,FALSE)-AVERAGE('The List'!AC2:AC665))/STDEV('The List'!AC2:AC665)</f>
        <v>0.6753767303903131</v>
      </c>
      <c r="Q62" s="54">
        <f>(VLOOKUP($A62,'The List'!$B1:$AH665,29,FALSE)-AVERAGE('The List'!AD2:AD665))/STDEV('The List'!AD2:AD665)</f>
        <v>0.47209104537468</v>
      </c>
      <c r="R62" s="54">
        <f>(VLOOKUP($A62,'The List'!$B1:$AH665,30,FALSE)-AVERAGE('The List'!AE2:AE665))/STDEV('The List'!AE2:AE665)</f>
        <v>1.9554739521116902</v>
      </c>
      <c r="S62" s="54">
        <f>(VLOOKUP($A62,'The List'!$B1:$AH665,31,FALSE)-AVERAGE('The List'!AF2:AF665))/STDEV('The List'!AF2:AF665)</f>
        <v>-0.36756702613461195</v>
      </c>
      <c r="T62" s="54">
        <f>(VLOOKUP($A62,'The List'!$B1:$AH665,32,FALSE)-AVERAGE('The List'!AG2:AG665))/STDEV('The List'!AG2:AG665)</f>
        <v>-0.37305779255278682</v>
      </c>
      <c r="U62" s="54">
        <f>(VLOOKUP($A62,'The List'!$B1:$AH665,33,FALSE)-AVERAGE('The List'!AH2:AH665))/STDEV('The List'!AH2:AH665)</f>
        <v>0.87546786580590119</v>
      </c>
      <c r="V62" s="54"/>
      <c r="W62" s="56"/>
      <c r="X62" s="56"/>
      <c r="Y62" s="56"/>
      <c r="Z62" s="56"/>
      <c r="AA62" s="56"/>
      <c r="AB62" s="56"/>
      <c r="AC62" s="59"/>
      <c r="AD62" s="60"/>
      <c r="AE62" s="54"/>
    </row>
    <row r="63" spans="1:31" ht="21.25" customHeight="1" x14ac:dyDescent="0.15">
      <c r="A63" s="9" t="s">
        <v>202</v>
      </c>
      <c r="B63" s="65" t="str">
        <f>VLOOKUP(A63,'Player Data'!A1:B667,2,FALSE)</f>
        <v>T.B</v>
      </c>
      <c r="C63" s="51">
        <f>((E63)*Settings!$C$12)+(F63*Settings!$C$2)+(G63*Settings!$C$3)+(H63*Settings!$C$4)+(I63*Settings!$C$5)+(K63*Settings!$C$9)+(N63*Settings!$C$6)+(J63*Settings!$C$8)+(O63*Settings!$C$7)+(P63*Settings!$C$14)+(Q63*Settings!$C$15)+(R63*Settings!$C$16)+(S63*Settings!$C$17)+(T63*Settings!$C$18)+(U63*Settings!$C$19)+(L63*Settings!$C$10)+(Settings!$C$11*M63)</f>
        <v>5.3580148670800494</v>
      </c>
      <c r="D63" s="56">
        <f>IF(Settings!$E$12="YES",VLOOKUP(A63,'Player Data'!A1:E667,5,FALSE),82)</f>
        <v>81.392499999999998</v>
      </c>
      <c r="E63" s="54">
        <f>(VLOOKUP($A63,'The List'!$B1:$AH665,17,FALSE)-AVERAGE('The List'!R2:R665))/STDEV('The List'!R2:R665)</f>
        <v>0.83134303089753336</v>
      </c>
      <c r="F63" s="54">
        <f>(VLOOKUP($A63,'The List'!$B1:$AH665,18,FALSE)-AVERAGE('The List'!S2:S665))/STDEV('The List'!S2:S665)</f>
        <v>1.6384140017787847</v>
      </c>
      <c r="G63" s="54">
        <f>(VLOOKUP($A63,'The List'!$B1:$AH665,19,FALSE)-AVERAGE('The List'!T2:T665))/STDEV('The List'!T2:T665)</f>
        <v>1.4589894982249187</v>
      </c>
      <c r="H63" s="54">
        <f>(VLOOKUP($A63,'The List'!$B1:$AH665,20,FALSE)-AVERAGE('The List'!U2:U665))/STDEV('The List'!U2:U665)</f>
        <v>1.6508515585029635</v>
      </c>
      <c r="I63" s="54">
        <f>(VLOOKUP($A63,'The List'!$B1:$AH665,21,FALSE)-AVERAGE('The List'!V2:V665))/STDEV('The List'!V2:V665)</f>
        <v>1.0123615593334847</v>
      </c>
      <c r="J63" s="54">
        <f>(VLOOKUP($A63,'The List'!$B1:$AH665,22,FALSE)-AVERAGE('The List'!W2:W665))/STDEV('The List'!W2:W665)</f>
        <v>1.2663649399613208</v>
      </c>
      <c r="K63" s="54">
        <f>(VLOOKUP($A63,'The List'!$B1:$AH665,23,FALSE)-AVERAGE('The List'!X2:X665))/STDEV('The List'!X2:X665)</f>
        <v>0.99581475994729796</v>
      </c>
      <c r="L63" s="54">
        <f>(VLOOKUP($A63,'The List'!$B1:$AH665,24,FALSE)-AVERAGE('The List'!Y2:Y665))/STDEV('The List'!Y2:Y665)</f>
        <v>0.44852279076361329</v>
      </c>
      <c r="M63" s="54">
        <f>(VLOOKUP($A63,'The List'!$B1:$AH665,25,FALSE)-AVERAGE('The List'!Z2:Z665))/STDEV('The List'!Z2:Z665)</f>
        <v>2.0011952300897358</v>
      </c>
      <c r="N63" s="54">
        <f>(VLOOKUP($A63,'The List'!$B1:$AH665,26,FALSE)-AVERAGE('The List'!AA2:AA665))/STDEV('The List'!AA2:AA665)</f>
        <v>-0.45201091370923446</v>
      </c>
      <c r="O63" s="54">
        <f>(VLOOKUP($A63,'The List'!$B1:$AH665,27,FALSE)-AVERAGE('The List'!AB2:AB665))/STDEV('The List'!AB2:AB665)</f>
        <v>-0.6009381989300665</v>
      </c>
      <c r="P63" s="54">
        <f>(VLOOKUP($A63,'The List'!$B1:$AH665,28,FALSE)-AVERAGE('The List'!AC2:AC665))/STDEV('The List'!AC2:AC665)</f>
        <v>0.70444596150479732</v>
      </c>
      <c r="Q63" s="54">
        <f>(VLOOKUP($A63,'The List'!$B1:$AH665,29,FALSE)-AVERAGE('The List'!AD2:AD665))/STDEV('The List'!AD2:AD665)</f>
        <v>1.1419552286282348</v>
      </c>
      <c r="R63" s="54">
        <f>(VLOOKUP($A63,'The List'!$B1:$AH665,30,FALSE)-AVERAGE('The List'!AE2:AE665))/STDEV('The List'!AE2:AE665)</f>
        <v>1.7305695208341421</v>
      </c>
      <c r="S63" s="54">
        <f>(VLOOKUP($A63,'The List'!$B1:$AH665,31,FALSE)-AVERAGE('The List'!AF2:AF665))/STDEV('The List'!AF2:AF665)</f>
        <v>-0.45434237266558525</v>
      </c>
      <c r="T63" s="54">
        <f>(VLOOKUP($A63,'The List'!$B1:$AH665,32,FALSE)-AVERAGE('The List'!AG2:AG665))/STDEV('The List'!AG2:AG665)</f>
        <v>-0.40740611119627296</v>
      </c>
      <c r="U63" s="54">
        <f>(VLOOKUP($A63,'The List'!$B1:$AH665,33,FALSE)-AVERAGE('The List'!AH2:AH665))/STDEV('The List'!AH2:AH665)</f>
        <v>0.43682863328569299</v>
      </c>
      <c r="V63" s="54"/>
      <c r="W63" s="64"/>
      <c r="X63" s="56"/>
      <c r="Y63" s="56"/>
      <c r="Z63" s="56"/>
      <c r="AA63" s="56"/>
      <c r="AB63" s="56"/>
      <c r="AC63" s="59"/>
      <c r="AD63" s="60"/>
      <c r="AE63" s="54"/>
    </row>
    <row r="64" spans="1:31" ht="21.25" customHeight="1" x14ac:dyDescent="0.15">
      <c r="A64" s="9" t="s">
        <v>252</v>
      </c>
      <c r="B64" s="65" t="str">
        <f>VLOOKUP(A64,'Player Data'!A1:B667,2,FALSE)</f>
        <v>WSH</v>
      </c>
      <c r="C64" s="51">
        <f>((E64)*Settings!$C$12)+(F64*Settings!$C$2)+(G64*Settings!$C$3)+(H64*Settings!$C$4)+(I64*Settings!$C$5)+(K64*Settings!$C$9)+(N64*Settings!$C$6)+(J64*Settings!$C$8)+(O64*Settings!$C$7)+(P64*Settings!$C$14)+(Q64*Settings!$C$15)+(R64*Settings!$C$16)+(S64*Settings!$C$17)+(T64*Settings!$C$18)+(U64*Settings!$C$19)+(L64*Settings!$C$10)+(Settings!$C$11*M64)</f>
        <v>4.4961144451901731</v>
      </c>
      <c r="D64" s="56">
        <f>IF(Settings!$E$12="YES",VLOOKUP(A64,'Player Data'!A1:E667,5,FALSE),82)</f>
        <v>80.592500000000001</v>
      </c>
      <c r="E64" s="54">
        <f>(VLOOKUP($A64,'The List'!$B1:$AH665,17,FALSE)-AVERAGE('The List'!R2:R665))/STDEV('The List'!R2:R665)</f>
        <v>0.3646135943620552</v>
      </c>
      <c r="F64" s="54">
        <f>(VLOOKUP($A64,'The List'!$B1:$AH665,18,FALSE)-AVERAGE('The List'!S2:S665))/STDEV('The List'!S2:S665)</f>
        <v>1.3345128696357338</v>
      </c>
      <c r="G64" s="54">
        <f>(VLOOKUP($A64,'The List'!$B1:$AH665,19,FALSE)-AVERAGE('The List'!T2:T665))/STDEV('The List'!T2:T665)</f>
        <v>1.3653522025727296</v>
      </c>
      <c r="H64" s="54">
        <f>(VLOOKUP($A64,'The List'!$B1:$AH665,20,FALSE)-AVERAGE('The List'!U2:U665))/STDEV('The List'!U2:U665)</f>
        <v>1.4545600227150404</v>
      </c>
      <c r="I64" s="54">
        <f>(VLOOKUP($A64,'The List'!$B1:$AH665,21,FALSE)-AVERAGE('The List'!V2:V665))/STDEV('The List'!V2:V665)</f>
        <v>0.61026942891229619</v>
      </c>
      <c r="J64" s="54">
        <f>(VLOOKUP($A64,'The List'!$B1:$AH665,22,FALSE)-AVERAGE('The List'!W2:W665))/STDEV('The List'!W2:W665)</f>
        <v>0.90686890913912943</v>
      </c>
      <c r="K64" s="54">
        <f>(VLOOKUP($A64,'The List'!$B1:$AH665,23,FALSE)-AVERAGE('The List'!X2:X665))/STDEV('The List'!X2:X665)</f>
        <v>1.5465696773644948</v>
      </c>
      <c r="L64" s="54">
        <f>(VLOOKUP($A64,'The List'!$B1:$AH665,24,FALSE)-AVERAGE('The List'!Y2:Y665))/STDEV('The List'!Y2:Y665)</f>
        <v>-0.55744679367148386</v>
      </c>
      <c r="M64" s="54">
        <f>(VLOOKUP($A64,'The List'!$B1:$AH665,25,FALSE)-AVERAGE('The List'!Z2:Z665))/STDEV('The List'!Z2:Z665)</f>
        <v>-0.7307562360687947</v>
      </c>
      <c r="N64" s="54">
        <f>(VLOOKUP($A64,'The List'!$B1:$AH665,26,FALSE)-AVERAGE('The List'!AA2:AA665))/STDEV('The List'!AA2:AA665)</f>
        <v>-0.28480345914782207</v>
      </c>
      <c r="O64" s="54">
        <f>(VLOOKUP($A64,'The List'!$B1:$AH665,27,FALSE)-AVERAGE('The List'!AB2:AB665))/STDEV('The List'!AB2:AB665)</f>
        <v>-1.5174287294040212</v>
      </c>
      <c r="P64" s="54">
        <f>(VLOOKUP($A64,'The List'!$B1:$AH665,28,FALSE)-AVERAGE('The List'!AC2:AC665))/STDEV('The List'!AC2:AC665)</f>
        <v>-7.5786274147258567E-2</v>
      </c>
      <c r="Q64" s="54">
        <f>(VLOOKUP($A64,'The List'!$B1:$AH665,29,FALSE)-AVERAGE('The List'!AD2:AD665))/STDEV('The List'!AD2:AD665)</f>
        <v>-0.33442706911049852</v>
      </c>
      <c r="R64" s="54">
        <f>(VLOOKUP($A64,'The List'!$B1:$AH665,30,FALSE)-AVERAGE('The List'!AE2:AE665))/STDEV('The List'!AE2:AE665)</f>
        <v>1.1552366064387161</v>
      </c>
      <c r="S64" s="54">
        <f>(VLOOKUP($A64,'The List'!$B1:$AH665,31,FALSE)-AVERAGE('The List'!AF2:AF665))/STDEV('The List'!AF2:AF665)</f>
        <v>2.5583069890832104</v>
      </c>
      <c r="T64" s="54">
        <f>(VLOOKUP($A64,'The List'!$B1:$AH665,32,FALSE)-AVERAGE('The List'!AG2:AG665))/STDEV('The List'!AG2:AG665)</f>
        <v>2.5316192217767117</v>
      </c>
      <c r="U64" s="54">
        <f>(VLOOKUP($A64,'The List'!$B1:$AH665,33,FALSE)-AVERAGE('The List'!AH2:AH665))/STDEV('The List'!AH2:AH665)</f>
        <v>1.0959265386028603</v>
      </c>
      <c r="V64" s="54"/>
      <c r="W64" s="56"/>
      <c r="X64" s="54"/>
      <c r="Y64" s="54"/>
      <c r="Z64" s="54"/>
      <c r="AA64" s="54"/>
      <c r="AB64" s="54"/>
      <c r="AC64" s="54"/>
      <c r="AD64" s="54"/>
      <c r="AE64" s="54"/>
    </row>
    <row r="65" spans="1:31" ht="21.25" customHeight="1" x14ac:dyDescent="0.15">
      <c r="A65" s="9" t="s">
        <v>167</v>
      </c>
      <c r="B65" s="65" t="str">
        <f>VLOOKUP(A65,'Player Data'!A1:B667,2,FALSE)</f>
        <v>PIT</v>
      </c>
      <c r="C65" s="51">
        <f>((E65)*Settings!$C$12)+(F65*Settings!$C$2)+(G65*Settings!$C$3)+(H65*Settings!$C$4)+(I65*Settings!$C$5)+(K65*Settings!$C$9)+(N65*Settings!$C$6)+(J65*Settings!$C$8)+(O65*Settings!$C$7)+(P65*Settings!$C$14)+(Q65*Settings!$C$15)+(R65*Settings!$C$16)+(S65*Settings!$C$17)+(T65*Settings!$C$18)+(U65*Settings!$C$19)+(L65*Settings!$C$10)+(Settings!$C$11*M65)</f>
        <v>5.7034628034883657</v>
      </c>
      <c r="D65" s="56">
        <f>IF(Settings!$E$12="YES",VLOOKUP(A65,'Player Data'!A1:E667,5,FALSE),82)</f>
        <v>78.83</v>
      </c>
      <c r="E65" s="54">
        <f>(VLOOKUP($A65,'The List'!$B1:$AH665,17,FALSE)-AVERAGE('The List'!R2:R665))/STDEV('The List'!R2:R665)</f>
        <v>2.0568156264264568</v>
      </c>
      <c r="F65" s="54">
        <f>(VLOOKUP($A65,'The List'!$B1:$AH665,18,FALSE)-AVERAGE('The List'!S2:S665))/STDEV('The List'!S2:S665)</f>
        <v>0.15266288642706255</v>
      </c>
      <c r="G65" s="54">
        <f>(VLOOKUP($A65,'The List'!$B1:$AH665,19,FALSE)-AVERAGE('The List'!T2:T665))/STDEV('The List'!T2:T665)</f>
        <v>2.0849253538546</v>
      </c>
      <c r="H65" s="54">
        <f>(VLOOKUP($A65,'The List'!$B1:$AH665,20,FALSE)-AVERAGE('The List'!U2:U665))/STDEV('The List'!U2:U665)</f>
        <v>1.3642484146948433</v>
      </c>
      <c r="I65" s="54">
        <f>(VLOOKUP($A65,'The List'!$B1:$AH665,21,FALSE)-AVERAGE('The List'!V2:V665))/STDEV('The List'!V2:V665)</f>
        <v>1.0724598155273666</v>
      </c>
      <c r="J65" s="54">
        <f>(VLOOKUP($A65,'The List'!$B1:$AH665,22,FALSE)-AVERAGE('The List'!W2:W665))/STDEV('The List'!W2:W665)</f>
        <v>1.7496841286781739E-3</v>
      </c>
      <c r="K65" s="54">
        <f>(VLOOKUP($A65,'The List'!$B1:$AH665,23,FALSE)-AVERAGE('The List'!X2:X665))/STDEV('The List'!X2:X665)</f>
        <v>1.280391161165612</v>
      </c>
      <c r="L65" s="54">
        <f>(VLOOKUP($A65,'The List'!$B1:$AH665,24,FALSE)-AVERAGE('The List'!Y2:Y665))/STDEV('The List'!Y2:Y665)</f>
        <v>-0.57095189935626045</v>
      </c>
      <c r="M65" s="54">
        <f>(VLOOKUP($A65,'The List'!$B1:$AH665,25,FALSE)-AVERAGE('The List'!Z2:Z665))/STDEV('The List'!Z2:Z665)</f>
        <v>-0.72624730802836601</v>
      </c>
      <c r="N65" s="54">
        <f>(VLOOKUP($A65,'The List'!$B1:$AH665,26,FALSE)-AVERAGE('The List'!AA2:AA665))/STDEV('The List'!AA2:AA665)</f>
        <v>0.69912416414801148</v>
      </c>
      <c r="O65" s="54">
        <f>(VLOOKUP($A65,'The List'!$B1:$AH665,27,FALSE)-AVERAGE('The List'!AB2:AB665))/STDEV('The List'!AB2:AB665)</f>
        <v>-0.99663209492088078</v>
      </c>
      <c r="P65" s="54">
        <f>(VLOOKUP($A65,'The List'!$B1:$AH665,28,FALSE)-AVERAGE('The List'!AC2:AC665))/STDEV('The List'!AC2:AC665)</f>
        <v>0.41389942236571248</v>
      </c>
      <c r="Q65" s="54">
        <f>(VLOOKUP($A65,'The List'!$B1:$AH665,29,FALSE)-AVERAGE('The List'!AD2:AD665))/STDEV('The List'!AD2:AD665)</f>
        <v>0.13732898707731106</v>
      </c>
      <c r="R65" s="54">
        <f>(VLOOKUP($A65,'The List'!$B1:$AH665,30,FALSE)-AVERAGE('The List'!AE2:AE665))/STDEV('The List'!AE2:AE665)</f>
        <v>0.13908378083315512</v>
      </c>
      <c r="S65" s="54">
        <f>(VLOOKUP($A65,'The List'!$B1:$AH665,31,FALSE)-AVERAGE('The List'!AF2:AF665))/STDEV('The List'!AF2:AF665)</f>
        <v>-0.57389441068000469</v>
      </c>
      <c r="T65" s="54">
        <f>(VLOOKUP($A65,'The List'!$B1:$AH665,32,FALSE)-AVERAGE('The List'!AG2:AG665))/STDEV('The List'!AG2:AG665)</f>
        <v>-0.62500961170615743</v>
      </c>
      <c r="U65" s="54">
        <f>(VLOOKUP($A65,'The List'!$B1:$AH665,33,FALSE)-AVERAGE('The List'!AH2:AH665))/STDEV('The List'!AH2:AH665)</f>
        <v>-1.2314350945148611</v>
      </c>
      <c r="V65" s="54"/>
      <c r="W65" s="56"/>
      <c r="X65" s="56"/>
      <c r="Y65" s="56"/>
      <c r="Z65" s="56"/>
      <c r="AA65" s="56"/>
      <c r="AB65" s="56"/>
      <c r="AC65" s="59"/>
      <c r="AD65" s="60"/>
      <c r="AE65" s="54"/>
    </row>
    <row r="66" spans="1:31" ht="21.25" customHeight="1" x14ac:dyDescent="0.15">
      <c r="A66" s="9" t="s">
        <v>185</v>
      </c>
      <c r="B66" s="65" t="str">
        <f>VLOOKUP(A66,'Player Data'!A1:B667,2,FALSE)</f>
        <v>MTL</v>
      </c>
      <c r="C66" s="51">
        <f>((E66)*Settings!$C$12)+(F66*Settings!$C$2)+(G66*Settings!$C$3)+(H66*Settings!$C$4)+(I66*Settings!$C$5)+(K66*Settings!$C$9)+(N66*Settings!$C$6)+(J66*Settings!$C$8)+(O66*Settings!$C$7)+(P66*Settings!$C$14)+(Q66*Settings!$C$15)+(R66*Settings!$C$16)+(S66*Settings!$C$17)+(T66*Settings!$C$18)+(U66*Settings!$C$19)+(L66*Settings!$C$10)+(Settings!$C$11*M66)</f>
        <v>4.9069407822545914</v>
      </c>
      <c r="D66" s="56">
        <f>IF(Settings!$E$12="YES",VLOOKUP(A66,'Player Data'!A1:E667,5,FALSE),82)</f>
        <v>75.58</v>
      </c>
      <c r="E66" s="54">
        <f>(VLOOKUP($A66,'The List'!$B1:$AH665,17,FALSE)-AVERAGE('The List'!R2:R665))/STDEV('The List'!R2:R665)</f>
        <v>0.72996238323961993</v>
      </c>
      <c r="F66" s="54">
        <f>(VLOOKUP($A66,'The List'!$B1:$AH665,18,FALSE)-AVERAGE('The List'!S2:S665))/STDEV('The List'!S2:S665)</f>
        <v>1.9506654462376805</v>
      </c>
      <c r="G66" s="54">
        <f>(VLOOKUP($A66,'The List'!$B1:$AH665,19,FALSE)-AVERAGE('The List'!T2:T665))/STDEV('The List'!T2:T665)</f>
        <v>0.79823128108297592</v>
      </c>
      <c r="H66" s="54">
        <f>(VLOOKUP($A66,'The List'!$B1:$AH665,20,FALSE)-AVERAGE('The List'!U2:U665))/STDEV('The List'!U2:U665)</f>
        <v>1.3824166764785673</v>
      </c>
      <c r="I66" s="54">
        <f>(VLOOKUP($A66,'The List'!$B1:$AH665,21,FALSE)-AVERAGE('The List'!V2:V665))/STDEV('The List'!V2:V665)</f>
        <v>2.5005538193962296</v>
      </c>
      <c r="J66" s="54">
        <f>(VLOOKUP($A66,'The List'!$B1:$AH665,22,FALSE)-AVERAGE('The List'!W2:W665))/STDEV('The List'!W2:W665)</f>
        <v>1.9865230485768417</v>
      </c>
      <c r="K66" s="54">
        <f>(VLOOKUP($A66,'The List'!$B1:$AH665,23,FALSE)-AVERAGE('The List'!X2:X665))/STDEV('The List'!X2:X665)</f>
        <v>1.3665650905193765</v>
      </c>
      <c r="L66" s="54">
        <f>(VLOOKUP($A66,'The List'!$B1:$AH665,24,FALSE)-AVERAGE('The List'!Y2:Y665))/STDEV('The List'!Y2:Y665)</f>
        <v>-0.5775600776322416</v>
      </c>
      <c r="M66" s="54">
        <f>(VLOOKUP($A66,'The List'!$B1:$AH665,25,FALSE)-AVERAGE('The List'!Z2:Z665))/STDEV('The List'!Z2:Z665)</f>
        <v>-0.75135658977696163</v>
      </c>
      <c r="N66" s="54">
        <f>(VLOOKUP($A66,'The List'!$B1:$AH665,26,FALSE)-AVERAGE('The List'!AA2:AA665))/STDEV('The List'!AA2:AA665)</f>
        <v>-1.0278017262058208</v>
      </c>
      <c r="O66" s="54">
        <f>(VLOOKUP($A66,'The List'!$B1:$AH665,27,FALSE)-AVERAGE('The List'!AB2:AB665))/STDEV('The List'!AB2:AB665)</f>
        <v>-0.95486946001377981</v>
      </c>
      <c r="P66" s="54">
        <f>(VLOOKUP($A66,'The List'!$B1:$AH665,28,FALSE)-AVERAGE('The List'!AC2:AC665))/STDEV('The List'!AC2:AC665)</f>
        <v>-0.68127312877585011</v>
      </c>
      <c r="Q66" s="54">
        <f>(VLOOKUP($A66,'The List'!$B1:$AH665,29,FALSE)-AVERAGE('The List'!AD2:AD665))/STDEV('The List'!AD2:AD665)</f>
        <v>-1.1227040945977471</v>
      </c>
      <c r="R66" s="54">
        <f>(VLOOKUP($A66,'The List'!$B1:$AH665,30,FALSE)-AVERAGE('The List'!AE2:AE665))/STDEV('The List'!AE2:AE665)</f>
        <v>1.168177528724784</v>
      </c>
      <c r="S66" s="54">
        <f>(VLOOKUP($A66,'The List'!$B1:$AH665,31,FALSE)-AVERAGE('The List'!AF2:AF665))/STDEV('The List'!AF2:AF665)</f>
        <v>-0.55139971512297492</v>
      </c>
      <c r="T66" s="54">
        <f>(VLOOKUP($A66,'The List'!$B1:$AH665,32,FALSE)-AVERAGE('The List'!AG2:AG665))/STDEV('The List'!AG2:AG665)</f>
        <v>-0.58113066974954475</v>
      </c>
      <c r="U66" s="54">
        <f>(VLOOKUP($A66,'The List'!$B1:$AH665,33,FALSE)-AVERAGE('The List'!AH2:AH665))/STDEV('The List'!AH2:AH665)</f>
        <v>0.35038165778304242</v>
      </c>
      <c r="V66" s="54"/>
      <c r="W66" s="56"/>
      <c r="X66" s="54"/>
      <c r="Y66" s="54"/>
      <c r="Z66" s="54"/>
      <c r="AA66" s="54"/>
      <c r="AB66" s="54"/>
      <c r="AC66" s="54"/>
      <c r="AD66" s="54"/>
      <c r="AE66" s="54"/>
    </row>
    <row r="67" spans="1:31" ht="21.25" customHeight="1" x14ac:dyDescent="0.15">
      <c r="A67" s="9" t="s">
        <v>288</v>
      </c>
      <c r="B67" s="65" t="str">
        <f>VLOOKUP(A67,'Player Data'!A1:B667,2,FALSE)</f>
        <v>VGK</v>
      </c>
      <c r="C67" s="51">
        <f>((E67)*Settings!$C$12)+(F67*Settings!$C$2)+(G67*Settings!$C$3)+(H67*Settings!$C$4)+(I67*Settings!$C$5)+(K67*Settings!$C$9)+(N67*Settings!$C$6)+(J67*Settings!$C$8)+(O67*Settings!$C$7)+(P67*Settings!$C$14)+(Q67*Settings!$C$15)+(R67*Settings!$C$16)+(S67*Settings!$C$17)+(T67*Settings!$C$18)+(U67*Settings!$C$19)+(L67*Settings!$C$10)+(Settings!$C$11*M67)</f>
        <v>2.7258808049818457</v>
      </c>
      <c r="D67" s="56">
        <f>IF(Settings!$E$12="YES",VLOOKUP(A67,'Player Data'!A1:E667,5,FALSE),82)</f>
        <v>67.552499999999995</v>
      </c>
      <c r="E67" s="54">
        <f>(VLOOKUP($A67,'The List'!$B1:$AH665,17,FALSE)-AVERAGE('The List'!R2:R665))/STDEV('The List'!R2:R665)</f>
        <v>0.58732792277177281</v>
      </c>
      <c r="F67" s="54">
        <f>(VLOOKUP($A67,'The List'!$B1:$AH665,18,FALSE)-AVERAGE('The List'!S2:S665))/STDEV('The List'!S2:S665)</f>
        <v>0.64279282192851916</v>
      </c>
      <c r="G67" s="54">
        <f>(VLOOKUP($A67,'The List'!$B1:$AH665,19,FALSE)-AVERAGE('The List'!T2:T665))/STDEV('The List'!T2:T665)</f>
        <v>0.99983698738429061</v>
      </c>
      <c r="H67" s="54">
        <f>(VLOOKUP($A67,'The List'!$B1:$AH665,20,FALSE)-AVERAGE('The List'!U2:U665))/STDEV('The List'!U2:U665)</f>
        <v>0.91313488007573274</v>
      </c>
      <c r="I67" s="54">
        <f>(VLOOKUP($A67,'The List'!$B1:$AH665,21,FALSE)-AVERAGE('The List'!V2:V665))/STDEV('The List'!V2:V665)</f>
        <v>0.18459246294040399</v>
      </c>
      <c r="J67" s="54">
        <f>(VLOOKUP($A67,'The List'!$B1:$AH665,22,FALSE)-AVERAGE('The List'!W2:W665))/STDEV('The List'!W2:W665)</f>
        <v>0.65209468903798684</v>
      </c>
      <c r="K67" s="54">
        <f>(VLOOKUP($A67,'The List'!$B1:$AH665,23,FALSE)-AVERAGE('The List'!X2:X665))/STDEV('The List'!X2:X665)</f>
        <v>0.79484539016085587</v>
      </c>
      <c r="L67" s="54">
        <f>(VLOOKUP($A67,'The List'!$B1:$AH665,24,FALSE)-AVERAGE('The List'!Y2:Y665))/STDEV('The List'!Y2:Y665)</f>
        <v>3.3674357273546538</v>
      </c>
      <c r="M67" s="54">
        <f>(VLOOKUP($A67,'The List'!$B1:$AH665,25,FALSE)-AVERAGE('The List'!Z2:Z665))/STDEV('The List'!Z2:Z665)</f>
        <v>2.8339124883723126</v>
      </c>
      <c r="N67" s="54">
        <f>(VLOOKUP($A67,'The List'!$B1:$AH665,26,FALSE)-AVERAGE('The List'!AA2:AA665))/STDEV('The List'!AA2:AA665)</f>
        <v>-0.50770943742715768</v>
      </c>
      <c r="O67" s="54">
        <f>(VLOOKUP($A67,'The List'!$B1:$AH665,27,FALSE)-AVERAGE('The List'!AB2:AB665))/STDEV('The List'!AB2:AB665)</f>
        <v>-0.96824054093871981</v>
      </c>
      <c r="P67" s="54">
        <f>(VLOOKUP($A67,'The List'!$B1:$AH665,28,FALSE)-AVERAGE('The List'!AC2:AC665))/STDEV('The List'!AC2:AC665)</f>
        <v>0.61152257999493354</v>
      </c>
      <c r="Q67" s="54">
        <f>(VLOOKUP($A67,'The List'!$B1:$AH665,29,FALSE)-AVERAGE('The List'!AD2:AD665))/STDEV('The List'!AD2:AD665)</f>
        <v>-0.62256174016853194</v>
      </c>
      <c r="R67" s="54">
        <f>(VLOOKUP($A67,'The List'!$B1:$AH665,30,FALSE)-AVERAGE('The List'!AE2:AE665))/STDEV('The List'!AE2:AE665)</f>
        <v>0.65439697234791283</v>
      </c>
      <c r="S67" s="54">
        <f>(VLOOKUP($A67,'The List'!$B1:$AH665,31,FALSE)-AVERAGE('The List'!AF2:AF665))/STDEV('The List'!AF2:AF665)</f>
        <v>-0.57003961473418607</v>
      </c>
      <c r="T67" s="54">
        <f>(VLOOKUP($A67,'The List'!$B1:$AH665,32,FALSE)-AVERAGE('The List'!AG2:AG665))/STDEV('The List'!AG2:AG665)</f>
        <v>-0.57999362292412704</v>
      </c>
      <c r="U67" s="54">
        <f>(VLOOKUP($A67,'The List'!$B1:$AH665,33,FALSE)-AVERAGE('The List'!AH2:AH665))/STDEV('The List'!AH2:AH665)</f>
        <v>-0.85879773526885084</v>
      </c>
      <c r="V67" s="54"/>
      <c r="W67" s="64"/>
      <c r="X67" s="56"/>
      <c r="Y67" s="56"/>
      <c r="Z67" s="56"/>
      <c r="AA67" s="56"/>
      <c r="AB67" s="56"/>
      <c r="AC67" s="59"/>
      <c r="AD67" s="60"/>
      <c r="AE67" s="54"/>
    </row>
    <row r="68" spans="1:31" ht="21.25" customHeight="1" x14ac:dyDescent="0.15">
      <c r="A68" s="9" t="s">
        <v>219</v>
      </c>
      <c r="B68" s="65" t="str">
        <f>VLOOKUP(A68,'Player Data'!A1:B667,2,FALSE)</f>
        <v>NYI</v>
      </c>
      <c r="C68" s="51">
        <f>((E68)*Settings!$C$12)+(F68*Settings!$C$2)+(G68*Settings!$C$3)+(H68*Settings!$C$4)+(I68*Settings!$C$5)+(K68*Settings!$C$9)+(N68*Settings!$C$6)+(J68*Settings!$C$8)+(O68*Settings!$C$7)+(P68*Settings!$C$14)+(Q68*Settings!$C$15)+(R68*Settings!$C$16)+(S68*Settings!$C$17)+(T68*Settings!$C$18)+(U68*Settings!$C$19)+(L68*Settings!$C$10)+(Settings!$C$11*M68)</f>
        <v>5.9127865247194507</v>
      </c>
      <c r="D68" s="56">
        <f>IF(Settings!$E$12="YES",VLOOKUP(A68,'Player Data'!A1:E667,5,FALSE),82)</f>
        <v>80.239999999999995</v>
      </c>
      <c r="E68" s="54">
        <f>(VLOOKUP($A68,'The List'!$B1:$AH665,17,FALSE)-AVERAGE('The List'!R2:R665))/STDEV('The List'!R2:R665)</f>
        <v>0.88310246200568099</v>
      </c>
      <c r="F68" s="54">
        <f>(VLOOKUP($A68,'The List'!$B1:$AH665,18,FALSE)-AVERAGE('The List'!S2:S665))/STDEV('The List'!S2:S665)</f>
        <v>2.0254728813790566</v>
      </c>
      <c r="G68" s="54">
        <f>(VLOOKUP($A68,'The List'!$B1:$AH665,19,FALSE)-AVERAGE('The List'!T2:T665))/STDEV('The List'!T2:T665)</f>
        <v>0.7503193718739255</v>
      </c>
      <c r="H68" s="54">
        <f>(VLOOKUP($A68,'The List'!$B1:$AH665,20,FALSE)-AVERAGE('The List'!U2:U665))/STDEV('The List'!U2:U665)</f>
        <v>1.3866642220180314</v>
      </c>
      <c r="I68" s="54">
        <f>(VLOOKUP($A68,'The List'!$B1:$AH665,21,FALSE)-AVERAGE('The List'!V2:V665))/STDEV('The List'!V2:V665)</f>
        <v>1.7958001475305883</v>
      </c>
      <c r="J68" s="54">
        <f>(VLOOKUP($A68,'The List'!$B1:$AH665,22,FALSE)-AVERAGE('The List'!W2:W665))/STDEV('The List'!W2:W665)</f>
        <v>2.1115087741180885</v>
      </c>
      <c r="K68" s="54">
        <f>(VLOOKUP($A68,'The List'!$B1:$AH665,23,FALSE)-AVERAGE('The List'!X2:X665))/STDEV('The List'!X2:X665)</f>
        <v>1.1735856761079371</v>
      </c>
      <c r="L68" s="54">
        <f>(VLOOKUP($A68,'The List'!$B1:$AH665,24,FALSE)-AVERAGE('The List'!Y2:Y665))/STDEV('The List'!Y2:Y665)</f>
        <v>1.1689334276403087</v>
      </c>
      <c r="M68" s="54">
        <f>(VLOOKUP($A68,'The List'!$B1:$AH665,25,FALSE)-AVERAGE('The List'!Z2:Z665))/STDEV('The List'!Z2:Z665)</f>
        <v>0.98691927491198583</v>
      </c>
      <c r="N68" s="54">
        <f>(VLOOKUP($A68,'The List'!$B1:$AH665,26,FALSE)-AVERAGE('The List'!AA2:AA665))/STDEV('The List'!AA2:AA665)</f>
        <v>-0.48102772768842039</v>
      </c>
      <c r="O68" s="54">
        <f>(VLOOKUP($A68,'The List'!$B1:$AH665,27,FALSE)-AVERAGE('The List'!AB2:AB665))/STDEV('The List'!AB2:AB665)</f>
        <v>-0.6280145593934271</v>
      </c>
      <c r="P68" s="54">
        <f>(VLOOKUP($A68,'The List'!$B1:$AH665,28,FALSE)-AVERAGE('The List'!AC2:AC665))/STDEV('The List'!AC2:AC665)</f>
        <v>0.64863617551636388</v>
      </c>
      <c r="Q68" s="54">
        <f>(VLOOKUP($A68,'The List'!$B1:$AH665,29,FALSE)-AVERAGE('The List'!AD2:AD665))/STDEV('The List'!AD2:AD665)</f>
        <v>-9.0183551121500047E-2</v>
      </c>
      <c r="R68" s="54">
        <f>(VLOOKUP($A68,'The List'!$B1:$AH665,30,FALSE)-AVERAGE('The List'!AE2:AE665))/STDEV('The List'!AE2:AE665)</f>
        <v>2.1133350488277221</v>
      </c>
      <c r="S68" s="54">
        <f>(VLOOKUP($A68,'The List'!$B1:$AH665,31,FALSE)-AVERAGE('The List'!AF2:AF665))/STDEV('The List'!AF2:AF665)</f>
        <v>3.4728121717554501</v>
      </c>
      <c r="T68" s="54">
        <f>(VLOOKUP($A68,'The List'!$B1:$AH665,32,FALSE)-AVERAGE('The List'!AG2:AG665))/STDEV('The List'!AG2:AG665)</f>
        <v>2.8032307227551509</v>
      </c>
      <c r="U68" s="54">
        <f>(VLOOKUP($A68,'The List'!$B1:$AH665,33,FALSE)-AVERAGE('The List'!AH2:AH665))/STDEV('The List'!AH2:AH665)</f>
        <v>1.2916217902362357</v>
      </c>
      <c r="V68" s="54"/>
      <c r="W68" s="64"/>
      <c r="X68" s="56"/>
      <c r="Y68" s="56"/>
      <c r="Z68" s="56"/>
      <c r="AA68" s="56"/>
      <c r="AB68" s="56"/>
      <c r="AC68" s="59"/>
      <c r="AD68" s="60"/>
      <c r="AE68" s="54"/>
    </row>
    <row r="69" spans="1:31" ht="21.25" customHeight="1" x14ac:dyDescent="0.15">
      <c r="A69" s="9" t="s">
        <v>190</v>
      </c>
      <c r="B69" s="65" t="str">
        <f>VLOOKUP(A69,'Player Data'!A1:B667,2,FALSE)</f>
        <v>L.A</v>
      </c>
      <c r="C69" s="51">
        <f>((E69)*Settings!$C$12)+(F69*Settings!$C$2)+(G69*Settings!$C$3)+(H69*Settings!$C$4)+(I69*Settings!$C$5)+(K69*Settings!$C$9)+(N69*Settings!$C$6)+(J69*Settings!$C$8)+(O69*Settings!$C$7)+(P69*Settings!$C$14)+(Q69*Settings!$C$15)+(R69*Settings!$C$16)+(S69*Settings!$C$17)+(T69*Settings!$C$18)+(U69*Settings!$C$19)+(L69*Settings!$C$10)+(Settings!$C$11*M69)</f>
        <v>5.7660648085563313</v>
      </c>
      <c r="D69" s="56">
        <f>IF(Settings!$E$12="YES",VLOOKUP(A69,'Player Data'!A1:E667,5,FALSE),82)</f>
        <v>80.742500000000007</v>
      </c>
      <c r="E69" s="54">
        <f>(VLOOKUP($A69,'The List'!$B1:$AH665,17,FALSE)-AVERAGE('The List'!R2:R665))/STDEV('The List'!R2:R665)</f>
        <v>0.54409600261026692</v>
      </c>
      <c r="F69" s="54">
        <f>(VLOOKUP($A69,'The List'!$B1:$AH665,18,FALSE)-AVERAGE('The List'!S2:S665))/STDEV('The List'!S2:S665)</f>
        <v>1.8482305350944102</v>
      </c>
      <c r="G69" s="54">
        <f>(VLOOKUP($A69,'The List'!$B1:$AH665,19,FALSE)-AVERAGE('The List'!T2:T665))/STDEV('The List'!T2:T665)</f>
        <v>0.89963308450483193</v>
      </c>
      <c r="H69" s="54">
        <f>(VLOOKUP($A69,'The List'!$B1:$AH665,20,FALSE)-AVERAGE('The List'!U2:U665))/STDEV('The List'!U2:U665)</f>
        <v>1.3988313617989181</v>
      </c>
      <c r="I69" s="54">
        <f>(VLOOKUP($A69,'The List'!$B1:$AH665,21,FALSE)-AVERAGE('The List'!V2:V665))/STDEV('The List'!V2:V665)</f>
        <v>1.8846932827757701</v>
      </c>
      <c r="J69" s="54">
        <f>(VLOOKUP($A69,'The List'!$B1:$AH665,22,FALSE)-AVERAGE('The List'!W2:W665))/STDEV('The List'!W2:W665)</f>
        <v>1.1901038590541575</v>
      </c>
      <c r="K69" s="54">
        <f>(VLOOKUP($A69,'The List'!$B1:$AH665,23,FALSE)-AVERAGE('The List'!X2:X665))/STDEV('The List'!X2:X665)</f>
        <v>1.4014621523846618</v>
      </c>
      <c r="L69" s="54">
        <f>(VLOOKUP($A69,'The List'!$B1:$AH665,24,FALSE)-AVERAGE('The List'!Y2:Y665))/STDEV('The List'!Y2:Y665)</f>
        <v>4.9657393030912864</v>
      </c>
      <c r="M69" s="54">
        <f>(VLOOKUP($A69,'The List'!$B1:$AH665,25,FALSE)-AVERAGE('The List'!Z2:Z665))/STDEV('The List'!Z2:Z665)</f>
        <v>3.3145634419092502</v>
      </c>
      <c r="N69" s="54">
        <f>(VLOOKUP($A69,'The List'!$B1:$AH665,26,FALSE)-AVERAGE('The List'!AA2:AA665))/STDEV('The List'!AA2:AA665)</f>
        <v>-0.72906544227773884</v>
      </c>
      <c r="O69" s="54">
        <f>(VLOOKUP($A69,'The List'!$B1:$AH665,27,FALSE)-AVERAGE('The List'!AB2:AB665))/STDEV('The List'!AB2:AB665)</f>
        <v>0.40813259473314617</v>
      </c>
      <c r="P69" s="54">
        <f>(VLOOKUP($A69,'The List'!$B1:$AH665,28,FALSE)-AVERAGE('The List'!AC2:AC665))/STDEV('The List'!AC2:AC665)</f>
        <v>0.46111119607439627</v>
      </c>
      <c r="Q69" s="54">
        <f>(VLOOKUP($A69,'The List'!$B1:$AH665,29,FALSE)-AVERAGE('The List'!AD2:AD665))/STDEV('The List'!AD2:AD665)</f>
        <v>1.3766477936994181</v>
      </c>
      <c r="R69" s="54">
        <f>(VLOOKUP($A69,'The List'!$B1:$AH665,30,FALSE)-AVERAGE('The List'!AE2:AE665))/STDEV('The List'!AE2:AE665)</f>
        <v>2.3644824352401543</v>
      </c>
      <c r="S69" s="54">
        <f>(VLOOKUP($A69,'The List'!$B1:$AH665,31,FALSE)-AVERAGE('The List'!AF2:AF665))/STDEV('The List'!AF2:AF665)</f>
        <v>-0.53509405272531552</v>
      </c>
      <c r="T69" s="54">
        <f>(VLOOKUP($A69,'The List'!$B1:$AH665,32,FALSE)-AVERAGE('The List'!AG2:AG665))/STDEV('The List'!AG2:AG665)</f>
        <v>-0.53977834482824572</v>
      </c>
      <c r="U69" s="54">
        <f>(VLOOKUP($A69,'The List'!$B1:$AH665,33,FALSE)-AVERAGE('The List'!AH2:AH665))/STDEV('The List'!AH2:AH665)</f>
        <v>0.23858777232667794</v>
      </c>
      <c r="V69" s="54"/>
      <c r="W69" s="64"/>
      <c r="X69" s="56"/>
      <c r="Y69" s="56"/>
      <c r="Z69" s="56"/>
      <c r="AA69" s="56"/>
      <c r="AB69" s="56"/>
      <c r="AC69" s="59"/>
      <c r="AD69" s="60"/>
      <c r="AE69" s="54"/>
    </row>
    <row r="70" spans="1:31" ht="21.25" customHeight="1" x14ac:dyDescent="0.15">
      <c r="A70" s="9" t="s">
        <v>146</v>
      </c>
      <c r="B70" s="65" t="str">
        <f>VLOOKUP(A70,'Player Data'!A1:B667,2,FALSE)</f>
        <v>NYI</v>
      </c>
      <c r="C70" s="51">
        <f>((E70)*Settings!$C$12)+(F70*Settings!$C$2)+(G70*Settings!$C$3)+(H70*Settings!$C$4)+(I70*Settings!$C$5)+(K70*Settings!$C$9)+(N70*Settings!$C$6)+(J70*Settings!$C$8)+(O70*Settings!$C$7)+(P70*Settings!$C$14)+(Q70*Settings!$C$15)+(R70*Settings!$C$16)+(S70*Settings!$C$17)+(T70*Settings!$C$18)+(U70*Settings!$C$19)+(L70*Settings!$C$10)+(Settings!$C$11*M70)</f>
        <v>8.0849438852653073</v>
      </c>
      <c r="D70" s="56">
        <f>IF(Settings!$E$12="YES",VLOOKUP(A70,'Player Data'!A1:E667,5,FALSE),82)</f>
        <v>80.747500000000002</v>
      </c>
      <c r="E70" s="54">
        <f>(VLOOKUP($A70,'The List'!$B1:$AH665,17,FALSE)-AVERAGE('The List'!R2:R665))/STDEV('The List'!R2:R665)</f>
        <v>2.1453554675725828</v>
      </c>
      <c r="F70" s="54">
        <f>(VLOOKUP($A70,'The List'!$B1:$AH665,18,FALSE)-AVERAGE('The List'!S2:S665))/STDEV('The List'!S2:S665)</f>
        <v>-2.0208145969090301E-2</v>
      </c>
      <c r="G70" s="54">
        <f>(VLOOKUP($A70,'The List'!$B1:$AH665,19,FALSE)-AVERAGE('The List'!T2:T665))/STDEV('The List'!T2:T665)</f>
        <v>2.2629122041568679</v>
      </c>
      <c r="H70" s="54">
        <f>(VLOOKUP($A70,'The List'!$B1:$AH665,20,FALSE)-AVERAGE('The List'!U2:U665))/STDEV('The List'!U2:U665)</f>
        <v>1.3962101551536483</v>
      </c>
      <c r="I70" s="54">
        <f>(VLOOKUP($A70,'The List'!$B1:$AH665,21,FALSE)-AVERAGE('The List'!V2:V665))/STDEV('The List'!V2:V665)</f>
        <v>1.1109998235308858</v>
      </c>
      <c r="J70" s="54">
        <f>(VLOOKUP($A70,'The List'!$B1:$AH665,22,FALSE)-AVERAGE('The List'!W2:W665))/STDEV('The List'!W2:W665)</f>
        <v>4.4808879874516767E-2</v>
      </c>
      <c r="K70" s="54">
        <f>(VLOOKUP($A70,'The List'!$B1:$AH665,23,FALSE)-AVERAGE('The List'!X2:X665))/STDEV('The List'!X2:X665)</f>
        <v>1.6298066085891181</v>
      </c>
      <c r="L70" s="54">
        <f>(VLOOKUP($A70,'The List'!$B1:$AH665,24,FALSE)-AVERAGE('The List'!Y2:Y665))/STDEV('The List'!Y2:Y665)</f>
        <v>-0.5389575702838838</v>
      </c>
      <c r="M70" s="54">
        <f>(VLOOKUP($A70,'The List'!$B1:$AH665,25,FALSE)-AVERAGE('The List'!Z2:Z665))/STDEV('The List'!Z2:Z665)</f>
        <v>-0.17373690842630485</v>
      </c>
      <c r="N70" s="54">
        <f>(VLOOKUP($A70,'The List'!$B1:$AH665,26,FALSE)-AVERAGE('The List'!AA2:AA665))/STDEV('The List'!AA2:AA665)</f>
        <v>2.2998287143007325</v>
      </c>
      <c r="O70" s="54">
        <f>(VLOOKUP($A70,'The List'!$B1:$AH665,27,FALSE)-AVERAGE('The List'!AB2:AB665))/STDEV('The List'!AB2:AB665)</f>
        <v>-0.14082807998928154</v>
      </c>
      <c r="P70" s="54">
        <f>(VLOOKUP($A70,'The List'!$B1:$AH665,28,FALSE)-AVERAGE('The List'!AC2:AC665))/STDEV('The List'!AC2:AC665)</f>
        <v>0.80160468065679436</v>
      </c>
      <c r="Q70" s="54">
        <f>(VLOOKUP($A70,'The List'!$B1:$AH665,29,FALSE)-AVERAGE('The List'!AD2:AD665))/STDEV('The List'!AD2:AD665)</f>
        <v>5.5768252079970177E-3</v>
      </c>
      <c r="R70" s="54">
        <f>(VLOOKUP($A70,'The List'!$B1:$AH665,30,FALSE)-AVERAGE('The List'!AE2:AE665))/STDEV('The List'!AE2:AE665)</f>
        <v>4.9747858643925953E-2</v>
      </c>
      <c r="S70" s="54">
        <f>(VLOOKUP($A70,'The List'!$B1:$AH665,31,FALSE)-AVERAGE('The List'!AF2:AF665))/STDEV('The List'!AF2:AF665)</f>
        <v>-0.57389441068000469</v>
      </c>
      <c r="T70" s="54">
        <f>(VLOOKUP($A70,'The List'!$B1:$AH665,32,FALSE)-AVERAGE('The List'!AG2:AG665))/STDEV('The List'!AG2:AG665)</f>
        <v>-0.62577078713265111</v>
      </c>
      <c r="U70" s="54">
        <f>(VLOOKUP($A70,'The List'!$B1:$AH665,33,FALSE)-AVERAGE('The List'!AH2:AH665))/STDEV('The List'!AH2:AH665)</f>
        <v>-1.2314350945148611</v>
      </c>
      <c r="V70" s="54"/>
      <c r="W70" s="64"/>
      <c r="X70" s="56"/>
      <c r="Y70" s="56"/>
      <c r="Z70" s="56"/>
      <c r="AA70" s="56"/>
      <c r="AB70" s="56"/>
      <c r="AC70" s="59"/>
      <c r="AD70" s="60"/>
      <c r="AE70" s="54"/>
    </row>
    <row r="71" spans="1:31" ht="21.25" customHeight="1" x14ac:dyDescent="0.15">
      <c r="A71" s="9" t="s">
        <v>221</v>
      </c>
      <c r="B71" s="65" t="str">
        <f>VLOOKUP(A71,'Player Data'!A1:B667,2,FALSE)</f>
        <v>NYI</v>
      </c>
      <c r="C71" s="51">
        <f>((E71)*Settings!$C$12)+(F71*Settings!$C$2)+(G71*Settings!$C$3)+(H71*Settings!$C$4)+(I71*Settings!$C$5)+(K71*Settings!$C$9)+(N71*Settings!$C$6)+(J71*Settings!$C$8)+(O71*Settings!$C$7)+(P71*Settings!$C$14)+(Q71*Settings!$C$15)+(R71*Settings!$C$16)+(S71*Settings!$C$17)+(T71*Settings!$C$18)+(U71*Settings!$C$19)+(L71*Settings!$C$10)+(Settings!$C$11*M71)</f>
        <v>5.8819114560650707</v>
      </c>
      <c r="D71" s="56">
        <f>IF(Settings!$E$12="YES",VLOOKUP(A71,'Player Data'!A1:E667,5,FALSE),82)</f>
        <v>81.03</v>
      </c>
      <c r="E71" s="54">
        <f>(VLOOKUP($A71,'The List'!$B1:$AH665,17,FALSE)-AVERAGE('The List'!R2:R665))/STDEV('The List'!R2:R665)</f>
        <v>0.52103055577656043</v>
      </c>
      <c r="F71" s="54">
        <f>(VLOOKUP($A71,'The List'!$B1:$AH665,18,FALSE)-AVERAGE('The List'!S2:S665))/STDEV('The List'!S2:S665)</f>
        <v>1.9525698208965678</v>
      </c>
      <c r="G71" s="54">
        <f>(VLOOKUP($A71,'The List'!$B1:$AH665,19,FALSE)-AVERAGE('The List'!T2:T665))/STDEV('The List'!T2:T665)</f>
        <v>0.81755049124014323</v>
      </c>
      <c r="H71" s="54">
        <f>(VLOOKUP($A71,'The List'!$B1:$AH665,20,FALSE)-AVERAGE('The List'!U2:U665))/STDEV('The List'!U2:U665)</f>
        <v>1.3952806210735784</v>
      </c>
      <c r="I71" s="54">
        <f>(VLOOKUP($A71,'The List'!$B1:$AH665,21,FALSE)-AVERAGE('The List'!V2:V665))/STDEV('The List'!V2:V665)</f>
        <v>1.7256678777595753</v>
      </c>
      <c r="J71" s="54">
        <f>(VLOOKUP($A71,'The List'!$B1:$AH665,22,FALSE)-AVERAGE('The List'!W2:W665))/STDEV('The List'!W2:W665)</f>
        <v>1.5501215135202582</v>
      </c>
      <c r="K71" s="54">
        <f>(VLOOKUP($A71,'The List'!$B1:$AH665,23,FALSE)-AVERAGE('The List'!X2:X665))/STDEV('The List'!X2:X665)</f>
        <v>1.0776393201936656</v>
      </c>
      <c r="L71" s="54">
        <f>(VLOOKUP($A71,'The List'!$B1:$AH665,24,FALSE)-AVERAGE('The List'!Y2:Y665))/STDEV('The List'!Y2:Y665)</f>
        <v>0.58490456181097172</v>
      </c>
      <c r="M71" s="54">
        <f>(VLOOKUP($A71,'The List'!$B1:$AH665,25,FALSE)-AVERAGE('The List'!Z2:Z665))/STDEV('The List'!Z2:Z665)</f>
        <v>0.62161814150564876</v>
      </c>
      <c r="N71" s="54">
        <f>(VLOOKUP($A71,'The List'!$B1:$AH665,26,FALSE)-AVERAGE('The List'!AA2:AA665))/STDEV('The List'!AA2:AA665)</f>
        <v>-0.45863522166370979</v>
      </c>
      <c r="O71" s="54">
        <f>(VLOOKUP($A71,'The List'!$B1:$AH665,27,FALSE)-AVERAGE('The List'!AB2:AB665))/STDEV('The List'!AB2:AB665)</f>
        <v>-1.0176320480638306</v>
      </c>
      <c r="P71" s="54">
        <f>(VLOOKUP($A71,'The List'!$B1:$AH665,28,FALSE)-AVERAGE('The List'!AC2:AC665))/STDEV('The List'!AC2:AC665)</f>
        <v>0.76711916763882781</v>
      </c>
      <c r="Q71" s="54">
        <f>(VLOOKUP($A71,'The List'!$B1:$AH665,29,FALSE)-AVERAGE('The List'!AD2:AD665))/STDEV('The List'!AD2:AD665)</f>
        <v>-4.8738781769368841E-2</v>
      </c>
      <c r="R71" s="54">
        <f>(VLOOKUP($A71,'The List'!$B1:$AH665,30,FALSE)-AVERAGE('The List'!AE2:AE665))/STDEV('The List'!AE2:AE665)</f>
        <v>2.039793856566738</v>
      </c>
      <c r="S71" s="54">
        <f>(VLOOKUP($A71,'The List'!$B1:$AH665,31,FALSE)-AVERAGE('The List'!AF2:AF665))/STDEV('The List'!AF2:AF665)</f>
        <v>1.4292029542854343</v>
      </c>
      <c r="T71" s="54">
        <f>(VLOOKUP($A71,'The List'!$B1:$AH665,32,FALSE)-AVERAGE('The List'!AG2:AG665))/STDEV('The List'!AG2:AG665)</f>
        <v>1.791274706591599</v>
      </c>
      <c r="U71" s="54">
        <f>(VLOOKUP($A71,'The List'!$B1:$AH665,33,FALSE)-AVERAGE('The List'!AH2:AH665))/STDEV('The List'!AH2:AH665)</f>
        <v>0.89232231395513018</v>
      </c>
      <c r="V71" s="54"/>
      <c r="W71" s="64"/>
      <c r="X71" s="56"/>
      <c r="Y71" s="56"/>
      <c r="Z71" s="56"/>
      <c r="AA71" s="56"/>
      <c r="AB71" s="56"/>
      <c r="AC71" s="59"/>
      <c r="AD71" s="60"/>
      <c r="AE71" s="54"/>
    </row>
    <row r="72" spans="1:31" ht="21.25" customHeight="1" x14ac:dyDescent="0.15">
      <c r="A72" s="9" t="s">
        <v>142</v>
      </c>
      <c r="B72" s="65" t="str">
        <f>VLOOKUP(A72,'Player Data'!A1:B667,2,FALSE)</f>
        <v>BUF</v>
      </c>
      <c r="C72" s="51">
        <f>((E72)*Settings!$C$12)+(F72*Settings!$C$2)+(G72*Settings!$C$3)+(H72*Settings!$C$4)+(I72*Settings!$C$5)+(K72*Settings!$C$9)+(N72*Settings!$C$6)+(J72*Settings!$C$8)+(O72*Settings!$C$7)+(P72*Settings!$C$14)+(Q72*Settings!$C$15)+(R72*Settings!$C$16)+(S72*Settings!$C$17)+(T72*Settings!$C$18)+(U72*Settings!$C$19)+(L72*Settings!$C$10)+(Settings!$C$11*M72)</f>
        <v>7.8604480431446113</v>
      </c>
      <c r="D72" s="56">
        <f>IF(Settings!$E$12="YES",VLOOKUP(A72,'Player Data'!A1:E667,5,FALSE),82)</f>
        <v>81.102500000000006</v>
      </c>
      <c r="E72" s="54">
        <f>(VLOOKUP($A72,'The List'!$B1:$AH665,17,FALSE)-AVERAGE('The List'!R2:R665))/STDEV('The List'!R2:R665)</f>
        <v>2.4051753295785581</v>
      </c>
      <c r="F72" s="54">
        <f>(VLOOKUP($A72,'The List'!$B1:$AH665,18,FALSE)-AVERAGE('The List'!S2:S665))/STDEV('The List'!S2:S665)</f>
        <v>0.51099885167124626</v>
      </c>
      <c r="G72" s="54">
        <f>(VLOOKUP($A72,'The List'!$B1:$AH665,19,FALSE)-AVERAGE('The List'!T2:T665))/STDEV('The List'!T2:T665)</f>
        <v>2.1140804480036239</v>
      </c>
      <c r="H72" s="54">
        <f>(VLOOKUP($A72,'The List'!$B1:$AH665,20,FALSE)-AVERAGE('The List'!U2:U665))/STDEV('The List'!U2:U665)</f>
        <v>1.5452360967765024</v>
      </c>
      <c r="I72" s="54">
        <f>(VLOOKUP($A72,'The List'!$B1:$AH665,21,FALSE)-AVERAGE('The List'!V2:V665))/STDEV('The List'!V2:V665)</f>
        <v>1.5646033752560027</v>
      </c>
      <c r="J72" s="54">
        <f>(VLOOKUP($A72,'The List'!$B1:$AH665,22,FALSE)-AVERAGE('The List'!W2:W665))/STDEV('The List'!W2:W665)</f>
        <v>0.93057194630013707</v>
      </c>
      <c r="K72" s="54">
        <f>(VLOOKUP($A72,'The List'!$B1:$AH665,23,FALSE)-AVERAGE('The List'!X2:X665))/STDEV('The List'!X2:X665)</f>
        <v>2.0213516519329446</v>
      </c>
      <c r="L72" s="54">
        <f>(VLOOKUP($A72,'The List'!$B1:$AH665,24,FALSE)-AVERAGE('The List'!Y2:Y665))/STDEV('The List'!Y2:Y665)</f>
        <v>-0.54672206533232415</v>
      </c>
      <c r="M72" s="54">
        <f>(VLOOKUP($A72,'The List'!$B1:$AH665,25,FALSE)-AVERAGE('The List'!Z2:Z665))/STDEV('The List'!Z2:Z665)</f>
        <v>-0.52519379722918691</v>
      </c>
      <c r="N72" s="54">
        <f>(VLOOKUP($A72,'The List'!$B1:$AH665,26,FALSE)-AVERAGE('The List'!AA2:AA665))/STDEV('The List'!AA2:AA665)</f>
        <v>1.8526236063605681</v>
      </c>
      <c r="O72" s="54">
        <f>(VLOOKUP($A72,'The List'!$B1:$AH665,27,FALSE)-AVERAGE('The List'!AB2:AB665))/STDEV('The List'!AB2:AB665)</f>
        <v>1.3021016817570747</v>
      </c>
      <c r="P72" s="54">
        <f>(VLOOKUP($A72,'The List'!$B1:$AH665,28,FALSE)-AVERAGE('The List'!AC2:AC665))/STDEV('The List'!AC2:AC665)</f>
        <v>-0.20320989007977494</v>
      </c>
      <c r="Q72" s="54">
        <f>(VLOOKUP($A72,'The List'!$B1:$AH665,29,FALSE)-AVERAGE('The List'!AD2:AD665))/STDEV('The List'!AD2:AD665)</f>
        <v>2.4518913407522906</v>
      </c>
      <c r="R72" s="54">
        <f>(VLOOKUP($A72,'The List'!$B1:$AH665,30,FALSE)-AVERAGE('The List'!AE2:AE665))/STDEV('The List'!AE2:AE665)</f>
        <v>0.39969328541526139</v>
      </c>
      <c r="S72" s="54">
        <f>(VLOOKUP($A72,'The List'!$B1:$AH665,31,FALSE)-AVERAGE('The List'!AF2:AF665))/STDEV('The List'!AF2:AF665)</f>
        <v>-0.57389441068000469</v>
      </c>
      <c r="T72" s="54">
        <f>(VLOOKUP($A72,'The List'!$B1:$AH665,32,FALSE)-AVERAGE('The List'!AG2:AG665))/STDEV('The List'!AG2:AG665)</f>
        <v>-0.62577078713265111</v>
      </c>
      <c r="U72" s="54">
        <f>(VLOOKUP($A72,'The List'!$B1:$AH665,33,FALSE)-AVERAGE('The List'!AH2:AH665))/STDEV('The List'!AH2:AH665)</f>
        <v>-1.2314350945148611</v>
      </c>
      <c r="V72" s="54"/>
      <c r="W72" s="64"/>
      <c r="X72" s="56"/>
      <c r="Y72" s="56"/>
      <c r="Z72" s="56"/>
      <c r="AA72" s="56"/>
      <c r="AB72" s="56"/>
      <c r="AC72" s="59"/>
      <c r="AD72" s="60"/>
      <c r="AE72" s="54"/>
    </row>
    <row r="73" spans="1:31" ht="21.25" customHeight="1" x14ac:dyDescent="0.15">
      <c r="A73" s="9" t="s">
        <v>249</v>
      </c>
      <c r="B73" s="65" t="str">
        <f>VLOOKUP(A73,'Player Data'!A1:B667,2,FALSE)</f>
        <v>BOS</v>
      </c>
      <c r="C73" s="51">
        <f>((E73)*Settings!$C$12)+(F73*Settings!$C$2)+(G73*Settings!$C$3)+(H73*Settings!$C$4)+(I73*Settings!$C$5)+(K73*Settings!$C$9)+(N73*Settings!$C$6)+(J73*Settings!$C$8)+(O73*Settings!$C$7)+(P73*Settings!$C$14)+(Q73*Settings!$C$15)+(R73*Settings!$C$16)+(S73*Settings!$C$17)+(T73*Settings!$C$18)+(U73*Settings!$C$19)+(L73*Settings!$C$10)+(Settings!$C$11*M73)</f>
        <v>4.2482489821431475</v>
      </c>
      <c r="D73" s="56">
        <f>IF(Settings!$E$12="YES",VLOOKUP(A73,'Player Data'!A1:E667,5,FALSE),82)</f>
        <v>80.512500000000003</v>
      </c>
      <c r="E73" s="54">
        <f>(VLOOKUP($A73,'The List'!$B1:$AH665,17,FALSE)-AVERAGE('The List'!R2:R665))/STDEV('The List'!R2:R665)</f>
        <v>0.95230671589045701</v>
      </c>
      <c r="F73" s="54">
        <f>(VLOOKUP($A73,'The List'!$B1:$AH665,18,FALSE)-AVERAGE('The List'!S2:S665))/STDEV('The List'!S2:S665)</f>
        <v>1.1325754158919243</v>
      </c>
      <c r="G73" s="54">
        <f>(VLOOKUP($A73,'The List'!$B1:$AH665,19,FALSE)-AVERAGE('The List'!T2:T665))/STDEV('The List'!T2:T665)</f>
        <v>1.1250426824231823</v>
      </c>
      <c r="H73" s="54">
        <f>(VLOOKUP($A73,'The List'!$B1:$AH665,20,FALSE)-AVERAGE('The List'!U2:U665))/STDEV('The List'!U2:U665)</f>
        <v>1.2135241269668295</v>
      </c>
      <c r="I73" s="54">
        <f>(VLOOKUP($A73,'The List'!$B1:$AH665,21,FALSE)-AVERAGE('The List'!V2:V665))/STDEV('The List'!V2:V665)</f>
        <v>1.108592541487933</v>
      </c>
      <c r="J73" s="54">
        <f>(VLOOKUP($A73,'The List'!$B1:$AH665,22,FALSE)-AVERAGE('The List'!W2:W665))/STDEV('The List'!W2:W665)</f>
        <v>1.6352195880645048</v>
      </c>
      <c r="K73" s="54">
        <f>(VLOOKUP($A73,'The List'!$B1:$AH665,23,FALSE)-AVERAGE('The List'!X2:X665))/STDEV('The List'!X2:X665)</f>
        <v>1.0659663686223519</v>
      </c>
      <c r="L73" s="54">
        <f>(VLOOKUP($A73,'The List'!$B1:$AH665,24,FALSE)-AVERAGE('The List'!Y2:Y665))/STDEV('The List'!Y2:Y665)</f>
        <v>1.2244579147840384</v>
      </c>
      <c r="M73" s="54">
        <f>(VLOOKUP($A73,'The List'!$B1:$AH665,25,FALSE)-AVERAGE('The List'!Z2:Z665))/STDEV('The List'!Z2:Z665)</f>
        <v>2.2363216424312484</v>
      </c>
      <c r="N73" s="54">
        <f>(VLOOKUP($A73,'The List'!$B1:$AH665,26,FALSE)-AVERAGE('The List'!AA2:AA665))/STDEV('The List'!AA2:AA665)</f>
        <v>-0.11810513576862076</v>
      </c>
      <c r="O73" s="54">
        <f>(VLOOKUP($A73,'The List'!$B1:$AH665,27,FALSE)-AVERAGE('The List'!AB2:AB665))/STDEV('The List'!AB2:AB665)</f>
        <v>5.7016926313429778E-2</v>
      </c>
      <c r="P73" s="54">
        <f>(VLOOKUP($A73,'The List'!$B1:$AH665,28,FALSE)-AVERAGE('The List'!AC2:AC665))/STDEV('The List'!AC2:AC665)</f>
        <v>-6.5822890513623E-2</v>
      </c>
      <c r="Q73" s="54">
        <f>(VLOOKUP($A73,'The List'!$B1:$AH665,29,FALSE)-AVERAGE('The List'!AD2:AD665))/STDEV('The List'!AD2:AD665)</f>
        <v>-0.50755215307208501</v>
      </c>
      <c r="R73" s="54">
        <f>(VLOOKUP($A73,'The List'!$B1:$AH665,30,FALSE)-AVERAGE('The List'!AE2:AE665))/STDEV('The List'!AE2:AE665)</f>
        <v>1.1903793203046384</v>
      </c>
      <c r="S73" s="54">
        <f>(VLOOKUP($A73,'The List'!$B1:$AH665,31,FALSE)-AVERAGE('The List'!AF2:AF665))/STDEV('The List'!AF2:AF665)</f>
        <v>3.4981282531181086</v>
      </c>
      <c r="T73" s="54">
        <f>(VLOOKUP($A73,'The List'!$B1:$AH665,32,FALSE)-AVERAGE('The List'!AG2:AG665))/STDEV('The List'!AG2:AG665)</f>
        <v>2.8839984546445168</v>
      </c>
      <c r="U73" s="54">
        <f>(VLOOKUP($A73,'The List'!$B1:$AH665,33,FALSE)-AVERAGE('The List'!AH2:AH665))/STDEV('The List'!AH2:AH665)</f>
        <v>1.2725351306347972</v>
      </c>
      <c r="V73" s="54"/>
      <c r="W73" s="64"/>
      <c r="X73" s="56"/>
      <c r="Y73" s="56"/>
      <c r="Z73" s="56"/>
      <c r="AA73" s="56"/>
      <c r="AB73" s="56"/>
      <c r="AC73" s="59"/>
      <c r="AD73" s="60"/>
      <c r="AE73" s="54"/>
    </row>
    <row r="74" spans="1:31" ht="21.25" customHeight="1" x14ac:dyDescent="0.15">
      <c r="A74" s="9" t="s">
        <v>204</v>
      </c>
      <c r="B74" s="65" t="str">
        <f>VLOOKUP(A74,'Player Data'!A1:B667,2,FALSE)</f>
        <v>TOR</v>
      </c>
      <c r="C74" s="51">
        <f>((E74)*Settings!$C$12)+(F74*Settings!$C$2)+(G74*Settings!$C$3)+(H74*Settings!$C$4)+(I74*Settings!$C$5)+(K74*Settings!$C$9)+(N74*Settings!$C$6)+(J74*Settings!$C$8)+(O74*Settings!$C$7)+(P74*Settings!$C$14)+(Q74*Settings!$C$15)+(R74*Settings!$C$16)+(S74*Settings!$C$17)+(T74*Settings!$C$18)+(U74*Settings!$C$19)+(L74*Settings!$C$10)+(Settings!$C$11*M74)</f>
        <v>7.57815305165113</v>
      </c>
      <c r="D74" s="56">
        <f>IF(Settings!$E$12="YES",VLOOKUP(A74,'Player Data'!A1:E667,5,FALSE),82)</f>
        <v>81.099999999999994</v>
      </c>
      <c r="E74" s="54">
        <f>(VLOOKUP($A74,'The List'!$B1:$AH665,17,FALSE)-AVERAGE('The List'!R2:R665))/STDEV('The List'!R2:R665)</f>
        <v>0.30757837572016694</v>
      </c>
      <c r="F74" s="54">
        <f>(VLOOKUP($A74,'The List'!$B1:$AH665,18,FALSE)-AVERAGE('The List'!S2:S665))/STDEV('The List'!S2:S665)</f>
        <v>1.5024504824704576</v>
      </c>
      <c r="G74" s="54">
        <f>(VLOOKUP($A74,'The List'!$B1:$AH665,19,FALSE)-AVERAGE('The List'!T2:T665))/STDEV('The List'!T2:T665)</f>
        <v>1.1275373790516343</v>
      </c>
      <c r="H74" s="54">
        <f>(VLOOKUP($A74,'The List'!$B1:$AH665,20,FALSE)-AVERAGE('The List'!U2:U665))/STDEV('The List'!U2:U665)</f>
        <v>1.3831992731783178</v>
      </c>
      <c r="I74" s="54">
        <f>(VLOOKUP($A74,'The List'!$B1:$AH665,21,FALSE)-AVERAGE('The List'!V2:V665))/STDEV('The List'!V2:V665)</f>
        <v>2.2510888406784981</v>
      </c>
      <c r="J74" s="54">
        <f>(VLOOKUP($A74,'The List'!$B1:$AH665,22,FALSE)-AVERAGE('The List'!W2:W665))/STDEV('The List'!W2:W665)</f>
        <v>2.216448829827939</v>
      </c>
      <c r="K74" s="54">
        <f>(VLOOKUP($A74,'The List'!$B1:$AH665,23,FALSE)-AVERAGE('The List'!X2:X665))/STDEV('The List'!X2:X665)</f>
        <v>1.7567887755604521</v>
      </c>
      <c r="L74" s="54">
        <f>(VLOOKUP($A74,'The List'!$B1:$AH665,24,FALSE)-AVERAGE('The List'!Y2:Y665))/STDEV('The List'!Y2:Y665)</f>
        <v>-0.56837841433559566</v>
      </c>
      <c r="M74" s="54">
        <f>(VLOOKUP($A74,'The List'!$B1:$AH665,25,FALSE)-AVERAGE('The List'!Z2:Z665))/STDEV('The List'!Z2:Z665)</f>
        <v>-0.74187643397917458</v>
      </c>
      <c r="N74" s="54">
        <f>(VLOOKUP($A74,'The List'!$B1:$AH665,26,FALSE)-AVERAGE('The List'!AA2:AA665))/STDEV('The List'!AA2:AA665)</f>
        <v>-0.64827233266792794</v>
      </c>
      <c r="O74" s="54">
        <f>(VLOOKUP($A74,'The List'!$B1:$AH665,27,FALSE)-AVERAGE('The List'!AB2:AB665))/STDEV('The List'!AB2:AB665)</f>
        <v>0.62822743315820606</v>
      </c>
      <c r="P74" s="54">
        <f>(VLOOKUP($A74,'The List'!$B1:$AH665,28,FALSE)-AVERAGE('The List'!AC2:AC665))/STDEV('The List'!AC2:AC665)</f>
        <v>1.5885599065580176</v>
      </c>
      <c r="Q74" s="54">
        <f>(VLOOKUP($A74,'The List'!$B1:$AH665,29,FALSE)-AVERAGE('The List'!AD2:AD665))/STDEV('The List'!AD2:AD665)</f>
        <v>-2.672237560838181E-2</v>
      </c>
      <c r="R74" s="54">
        <f>(VLOOKUP($A74,'The List'!$B1:$AH665,30,FALSE)-AVERAGE('The List'!AE2:AE665))/STDEV('The List'!AE2:AE665)</f>
        <v>1.6371231290983403</v>
      </c>
      <c r="S74" s="54">
        <f>(VLOOKUP($A74,'The List'!$B1:$AH665,31,FALSE)-AVERAGE('The List'!AF2:AF665))/STDEV('The List'!AF2:AF665)</f>
        <v>3.3312592793724352</v>
      </c>
      <c r="T74" s="54">
        <f>(VLOOKUP($A74,'The List'!$B1:$AH665,32,FALSE)-AVERAGE('The List'!AG2:AG665))/STDEV('The List'!AG2:AG665)</f>
        <v>2.2257872126216145</v>
      </c>
      <c r="U74" s="54">
        <f>(VLOOKUP($A74,'The List'!$B1:$AH665,33,FALSE)-AVERAGE('The List'!AH2:AH665))/STDEV('The List'!AH2:AH665)</f>
        <v>1.4563971101765862</v>
      </c>
      <c r="V74" s="54"/>
      <c r="W74" s="56"/>
      <c r="X74" s="54"/>
      <c r="Y74" s="54"/>
      <c r="Z74" s="54"/>
      <c r="AA74" s="54"/>
      <c r="AB74" s="54"/>
      <c r="AC74" s="54"/>
      <c r="AD74" s="54"/>
      <c r="AE74" s="54"/>
    </row>
    <row r="75" spans="1:31" ht="21.25" customHeight="1" x14ac:dyDescent="0.15">
      <c r="A75" s="9" t="s">
        <v>259</v>
      </c>
      <c r="B75" s="65" t="str">
        <f>VLOOKUP(A75,'Player Data'!A1:B667,2,FALSE)</f>
        <v>UTA</v>
      </c>
      <c r="C75" s="51">
        <f>((E75)*Settings!$C$12)+(F75*Settings!$C$2)+(G75*Settings!$C$3)+(H75*Settings!$C$4)+(I75*Settings!$C$5)+(K75*Settings!$C$9)+(N75*Settings!$C$6)+(J75*Settings!$C$8)+(O75*Settings!$C$7)+(P75*Settings!$C$14)+(Q75*Settings!$C$15)+(R75*Settings!$C$16)+(S75*Settings!$C$17)+(T75*Settings!$C$18)+(U75*Settings!$C$19)+(L75*Settings!$C$10)+(Settings!$C$11*M75)</f>
        <v>4.1890248373705932</v>
      </c>
      <c r="D75" s="56">
        <f>IF(Settings!$E$12="YES",VLOOKUP(A75,'Player Data'!A1:E667,5,FALSE),82)</f>
        <v>75.474999999999994</v>
      </c>
      <c r="E75" s="54">
        <f>(VLOOKUP($A75,'The List'!$B1:$AH665,17,FALSE)-AVERAGE('The List'!R2:R665))/STDEV('The List'!R2:R665)</f>
        <v>0.20616267983426137</v>
      </c>
      <c r="F75" s="54">
        <f>(VLOOKUP($A75,'The List'!$B1:$AH665,18,FALSE)-AVERAGE('The List'!S2:S665))/STDEV('The List'!S2:S665)</f>
        <v>1.4555846561528383</v>
      </c>
      <c r="G75" s="54">
        <f>(VLOOKUP($A75,'The List'!$B1:$AH665,19,FALSE)-AVERAGE('The List'!T2:T665))/STDEV('The List'!T2:T665)</f>
        <v>0.5940080022468861</v>
      </c>
      <c r="H75" s="54">
        <f>(VLOOKUP($A75,'The List'!$B1:$AH665,20,FALSE)-AVERAGE('The List'!U2:U665))/STDEV('The List'!U2:U665)</f>
        <v>1.0305447850590279</v>
      </c>
      <c r="I75" s="54">
        <f>(VLOOKUP($A75,'The List'!$B1:$AH665,21,FALSE)-AVERAGE('The List'!V2:V665))/STDEV('The List'!V2:V665)</f>
        <v>1.1201822431765156</v>
      </c>
      <c r="J75" s="54">
        <f>(VLOOKUP($A75,'The List'!$B1:$AH665,22,FALSE)-AVERAGE('The List'!W2:W665))/STDEV('The List'!W2:W665)</f>
        <v>3.3414043559687174</v>
      </c>
      <c r="K75" s="54">
        <f>(VLOOKUP($A75,'The List'!$B1:$AH665,23,FALSE)-AVERAGE('The List'!X2:X665))/STDEV('The List'!X2:X665)</f>
        <v>1.7058234087410797</v>
      </c>
      <c r="L75" s="54">
        <f>(VLOOKUP($A75,'The List'!$B1:$AH665,24,FALSE)-AVERAGE('The List'!Y2:Y665))/STDEV('The List'!Y2:Y665)</f>
        <v>0.57076511706882793</v>
      </c>
      <c r="M75" s="54">
        <f>(VLOOKUP($A75,'The List'!$B1:$AH665,25,FALSE)-AVERAGE('The List'!Z2:Z665))/STDEV('The List'!Z2:Z665)</f>
        <v>0.60429321971599892</v>
      </c>
      <c r="N75" s="54">
        <f>(VLOOKUP($A75,'The List'!$B1:$AH665,26,FALSE)-AVERAGE('The List'!AA2:AA665))/STDEV('The List'!AA2:AA665)</f>
        <v>-0.5960399377331661</v>
      </c>
      <c r="O75" s="54">
        <f>(VLOOKUP($A75,'The List'!$B1:$AH665,27,FALSE)-AVERAGE('The List'!AB2:AB665))/STDEV('The List'!AB2:AB665)</f>
        <v>-0.58341967239187387</v>
      </c>
      <c r="P75" s="54">
        <f>(VLOOKUP($A75,'The List'!$B1:$AH665,28,FALSE)-AVERAGE('The List'!AC2:AC665))/STDEV('The List'!AC2:AC665)</f>
        <v>-9.053353521356132E-2</v>
      </c>
      <c r="Q75" s="54">
        <f>(VLOOKUP($A75,'The List'!$B1:$AH665,29,FALSE)-AVERAGE('The List'!AD2:AD665))/STDEV('The List'!AD2:AD665)</f>
        <v>-0.16807364345354672</v>
      </c>
      <c r="R75" s="54">
        <f>(VLOOKUP($A75,'The List'!$B1:$AH665,30,FALSE)-AVERAGE('The List'!AE2:AE665))/STDEV('The List'!AE2:AE665)</f>
        <v>1.3445897264236117</v>
      </c>
      <c r="S75" s="54">
        <f>(VLOOKUP($A75,'The List'!$B1:$AH665,31,FALSE)-AVERAGE('The List'!AF2:AF665))/STDEV('The List'!AF2:AF665)</f>
        <v>-0.50331108517971612</v>
      </c>
      <c r="T75" s="54">
        <f>(VLOOKUP($A75,'The List'!$B1:$AH665,32,FALSE)-AVERAGE('The List'!AG2:AG665))/STDEV('The List'!AG2:AG665)</f>
        <v>-0.45329713451496229</v>
      </c>
      <c r="U75" s="54">
        <f>(VLOOKUP($A75,'The List'!$B1:$AH665,33,FALSE)-AVERAGE('The List'!AH2:AH665))/STDEV('The List'!AH2:AH665)</f>
        <v>0.14332983351161258</v>
      </c>
      <c r="V75" s="54"/>
      <c r="W75" s="64"/>
      <c r="X75" s="56"/>
      <c r="Y75" s="56"/>
      <c r="Z75" s="56"/>
      <c r="AA75" s="56"/>
      <c r="AB75" s="56"/>
      <c r="AC75" s="59"/>
      <c r="AD75" s="60"/>
      <c r="AE75" s="54"/>
    </row>
    <row r="76" spans="1:31" ht="21.25" customHeight="1" x14ac:dyDescent="0.15">
      <c r="A76" s="9" t="s">
        <v>243</v>
      </c>
      <c r="B76" s="65" t="str">
        <f>VLOOKUP(A76,'Player Data'!A1:B667,2,FALSE)</f>
        <v>ANA</v>
      </c>
      <c r="C76" s="51">
        <f>((E76)*Settings!$C$12)+(F76*Settings!$C$2)+(G76*Settings!$C$3)+(H76*Settings!$C$4)+(I76*Settings!$C$5)+(K76*Settings!$C$9)+(N76*Settings!$C$6)+(J76*Settings!$C$8)+(O76*Settings!$C$7)+(P76*Settings!$C$14)+(Q76*Settings!$C$15)+(R76*Settings!$C$16)+(S76*Settings!$C$17)+(T76*Settings!$C$18)+(U76*Settings!$C$19)+(L76*Settings!$C$10)+(Settings!$C$11*M76)</f>
        <v>1.9358371779552817</v>
      </c>
      <c r="D76" s="56">
        <f>IF(Settings!$E$12="YES",VLOOKUP(A76,'Player Data'!A1:E667,5,FALSE),82)</f>
        <v>78.614999999999995</v>
      </c>
      <c r="E76" s="54">
        <f>(VLOOKUP($A76,'The List'!$B1:$AH665,17,FALSE)-AVERAGE('The List'!R2:R665))/STDEV('The List'!R2:R665)</f>
        <v>0.55635307792068078</v>
      </c>
      <c r="F76" s="54">
        <f>(VLOOKUP($A76,'The List'!$B1:$AH665,18,FALSE)-AVERAGE('The List'!S2:S665))/STDEV('The List'!S2:S665)</f>
        <v>1.3004931029897802</v>
      </c>
      <c r="G76" s="54">
        <f>(VLOOKUP($A76,'The List'!$B1:$AH665,19,FALSE)-AVERAGE('The List'!T2:T665))/STDEV('The List'!T2:T665)</f>
        <v>1.1150385117231412</v>
      </c>
      <c r="H76" s="54">
        <f>(VLOOKUP($A76,'The List'!$B1:$AH665,20,FALSE)-AVERAGE('The List'!U2:U665))/STDEV('The List'!U2:U665)</f>
        <v>1.2836375450007942</v>
      </c>
      <c r="I76" s="54">
        <f>(VLOOKUP($A76,'The List'!$B1:$AH665,21,FALSE)-AVERAGE('The List'!V2:V665))/STDEV('The List'!V2:V665)</f>
        <v>1.0266880950056001</v>
      </c>
      <c r="J76" s="54">
        <f>(VLOOKUP($A76,'The List'!$B1:$AH665,22,FALSE)-AVERAGE('The List'!W2:W665))/STDEV('The List'!W2:W665)</f>
        <v>1.0680199157755794</v>
      </c>
      <c r="K76" s="54">
        <f>(VLOOKUP($A76,'The List'!$B1:$AH665,23,FALSE)-AVERAGE('The List'!X2:X665))/STDEV('The List'!X2:X665)</f>
        <v>0.85065201601694218</v>
      </c>
      <c r="L76" s="54">
        <f>(VLOOKUP($A76,'The List'!$B1:$AH665,24,FALSE)-AVERAGE('The List'!Y2:Y665))/STDEV('The List'!Y2:Y665)</f>
        <v>-0.54675729481914714</v>
      </c>
      <c r="M76" s="54">
        <f>(VLOOKUP($A76,'The List'!$B1:$AH665,25,FALSE)-AVERAGE('The List'!Z2:Z665))/STDEV('The List'!Z2:Z665)</f>
        <v>-0.71984684635468721</v>
      </c>
      <c r="N76" s="54">
        <f>(VLOOKUP($A76,'The List'!$B1:$AH665,26,FALSE)-AVERAGE('The List'!AA2:AA665))/STDEV('The List'!AA2:AA665)</f>
        <v>-0.83589168789766821</v>
      </c>
      <c r="O76" s="54">
        <f>(VLOOKUP($A76,'The List'!$B1:$AH665,27,FALSE)-AVERAGE('The List'!AB2:AB665))/STDEV('The List'!AB2:AB665)</f>
        <v>-1.4971566735225768</v>
      </c>
      <c r="P76" s="54">
        <f>(VLOOKUP($A76,'The List'!$B1:$AH665,28,FALSE)-AVERAGE('The List'!AC2:AC665))/STDEV('The List'!AC2:AC665)</f>
        <v>-1.5211428598825127</v>
      </c>
      <c r="Q76" s="54">
        <f>(VLOOKUP($A76,'The List'!$B1:$AH665,29,FALSE)-AVERAGE('The List'!AD2:AD665))/STDEV('The List'!AD2:AD665)</f>
        <v>-0.33137322395150293</v>
      </c>
      <c r="R76" s="54">
        <f>(VLOOKUP($A76,'The List'!$B1:$AH665,30,FALSE)-AVERAGE('The List'!AE2:AE665))/STDEV('The List'!AE2:AE665)</f>
        <v>0.69562170273168678</v>
      </c>
      <c r="S76" s="54">
        <f>(VLOOKUP($A76,'The List'!$B1:$AH665,31,FALSE)-AVERAGE('The List'!AF2:AF665))/STDEV('The List'!AF2:AF665)</f>
        <v>-0.53629144619919511</v>
      </c>
      <c r="T76" s="54">
        <f>(VLOOKUP($A76,'The List'!$B1:$AH665,32,FALSE)-AVERAGE('The List'!AG2:AG665))/STDEV('The List'!AG2:AG665)</f>
        <v>-0.58662739300087929</v>
      </c>
      <c r="U76" s="54">
        <f>(VLOOKUP($A76,'The List'!$B1:$AH665,33,FALSE)-AVERAGE('The List'!AH2:AH665))/STDEV('The List'!AH2:AH665)</f>
        <v>1.0595180712197452</v>
      </c>
      <c r="V76" s="54"/>
      <c r="W76" s="64"/>
      <c r="X76" s="56"/>
      <c r="Y76" s="56"/>
      <c r="Z76" s="56"/>
      <c r="AA76" s="56"/>
      <c r="AB76" s="56"/>
      <c r="AC76" s="59"/>
      <c r="AD76" s="60"/>
      <c r="AE76" s="54"/>
    </row>
    <row r="77" spans="1:31" ht="21.25" customHeight="1" x14ac:dyDescent="0.15">
      <c r="A77" s="9" t="s">
        <v>258</v>
      </c>
      <c r="B77" s="65" t="str">
        <f>VLOOKUP(A77,'Player Data'!A1:B667,2,FALSE)</f>
        <v>PIT</v>
      </c>
      <c r="C77" s="51">
        <f>((E77)*Settings!$C$12)+(F77*Settings!$C$2)+(G77*Settings!$C$3)+(H77*Settings!$C$4)+(I77*Settings!$C$5)+(K77*Settings!$C$9)+(N77*Settings!$C$6)+(J77*Settings!$C$8)+(O77*Settings!$C$7)+(P77*Settings!$C$14)+(Q77*Settings!$C$15)+(R77*Settings!$C$16)+(S77*Settings!$C$17)+(T77*Settings!$C$18)+(U77*Settings!$C$19)+(L77*Settings!$C$10)+(Settings!$C$11*M77)</f>
        <v>4.3843947180049971</v>
      </c>
      <c r="D77" s="56">
        <f>IF(Settings!$E$12="YES",VLOOKUP(A77,'Player Data'!A1:E667,5,FALSE),82)</f>
        <v>77.930000000000007</v>
      </c>
      <c r="E77" s="54">
        <f>(VLOOKUP($A77,'The List'!$B1:$AH665,17,FALSE)-AVERAGE('The List'!R2:R665))/STDEV('The List'!R2:R665)</f>
        <v>0.49070265476225677</v>
      </c>
      <c r="F77" s="54">
        <f>(VLOOKUP($A77,'The List'!$B1:$AH665,18,FALSE)-AVERAGE('The List'!S2:S665))/STDEV('The List'!S2:S665)</f>
        <v>1.0457699686705921</v>
      </c>
      <c r="G77" s="54">
        <f>(VLOOKUP($A77,'The List'!$B1:$AH665,19,FALSE)-AVERAGE('The List'!T2:T665))/STDEV('The List'!T2:T665)</f>
        <v>1.2440884785038613</v>
      </c>
      <c r="H77" s="54">
        <f>(VLOOKUP($A77,'The List'!$B1:$AH665,20,FALSE)-AVERAGE('The List'!U2:U665))/STDEV('The List'!U2:U665)</f>
        <v>1.2480010580973167</v>
      </c>
      <c r="I77" s="54">
        <f>(VLOOKUP($A77,'The List'!$B1:$AH665,21,FALSE)-AVERAGE('The List'!V2:V665))/STDEV('The List'!V2:V665)</f>
        <v>1.1093369668580926</v>
      </c>
      <c r="J77" s="54">
        <f>(VLOOKUP($A77,'The List'!$B1:$AH665,22,FALSE)-AVERAGE('The List'!W2:W665))/STDEV('The List'!W2:W665)</f>
        <v>1.2733061589480399</v>
      </c>
      <c r="K77" s="54">
        <f>(VLOOKUP($A77,'The List'!$B1:$AH665,23,FALSE)-AVERAGE('The List'!X2:X665))/STDEV('The List'!X2:X665)</f>
        <v>1.4242544999667288</v>
      </c>
      <c r="L77" s="54">
        <f>(VLOOKUP($A77,'The List'!$B1:$AH665,24,FALSE)-AVERAGE('The List'!Y2:Y665))/STDEV('The List'!Y2:Y665)</f>
        <v>-0.56804007329231332</v>
      </c>
      <c r="M77" s="54">
        <f>(VLOOKUP($A77,'The List'!$B1:$AH665,25,FALSE)-AVERAGE('The List'!Z2:Z665))/STDEV('The List'!Z2:Z665)</f>
        <v>-0.74138760431699069</v>
      </c>
      <c r="N77" s="54">
        <f>(VLOOKUP($A77,'The List'!$B1:$AH665,26,FALSE)-AVERAGE('The List'!AA2:AA665))/STDEV('The List'!AA2:AA665)</f>
        <v>-0.65707242425058454</v>
      </c>
      <c r="O77" s="54">
        <f>(VLOOKUP($A77,'The List'!$B1:$AH665,27,FALSE)-AVERAGE('The List'!AB2:AB665))/STDEV('The List'!AB2:AB665)</f>
        <v>-1.1241688007174409</v>
      </c>
      <c r="P77" s="54">
        <f>(VLOOKUP($A77,'The List'!$B1:$AH665,28,FALSE)-AVERAGE('The List'!AC2:AC665))/STDEV('The List'!AC2:AC665)</f>
        <v>0.21801722825630676</v>
      </c>
      <c r="Q77" s="54">
        <f>(VLOOKUP($A77,'The List'!$B1:$AH665,29,FALSE)-AVERAGE('The List'!AD2:AD665))/STDEV('The List'!AD2:AD665)</f>
        <v>1.7265230958533457</v>
      </c>
      <c r="R77" s="54">
        <f>(VLOOKUP($A77,'The List'!$B1:$AH665,30,FALSE)-AVERAGE('The List'!AE2:AE665))/STDEV('The List'!AE2:AE665)</f>
        <v>0.98889656850682983</v>
      </c>
      <c r="S77" s="54">
        <f>(VLOOKUP($A77,'The List'!$B1:$AH665,31,FALSE)-AVERAGE('The List'!AF2:AF665))/STDEV('The List'!AF2:AF665)</f>
        <v>1.2137849681691819</v>
      </c>
      <c r="T77" s="54">
        <f>(VLOOKUP($A77,'The List'!$B1:$AH665,32,FALSE)-AVERAGE('The List'!AG2:AG665))/STDEV('The List'!AG2:AG665)</f>
        <v>1.419779252130918</v>
      </c>
      <c r="U77" s="54">
        <f>(VLOOKUP($A77,'The List'!$B1:$AH665,33,FALSE)-AVERAGE('The List'!AH2:AH665))/STDEV('The List'!AH2:AH665)</f>
        <v>0.95234943310157749</v>
      </c>
      <c r="V77" s="54"/>
      <c r="W77" s="64"/>
      <c r="X77" s="56"/>
      <c r="Y77" s="56"/>
      <c r="Z77" s="56"/>
      <c r="AA77" s="56"/>
      <c r="AB77" s="56"/>
      <c r="AC77" s="59"/>
      <c r="AD77" s="60"/>
      <c r="AE77" s="54"/>
    </row>
    <row r="78" spans="1:31" ht="21.25" customHeight="1" x14ac:dyDescent="0.15">
      <c r="A78" s="9" t="s">
        <v>263</v>
      </c>
      <c r="B78" s="65" t="str">
        <f>VLOOKUP(A78,'Player Data'!A1:B667,2,FALSE)</f>
        <v>UTA</v>
      </c>
      <c r="C78" s="51">
        <f>((E78)*Settings!$C$12)+(F78*Settings!$C$2)+(G78*Settings!$C$3)+(H78*Settings!$C$4)+(I78*Settings!$C$5)+(K78*Settings!$C$9)+(N78*Settings!$C$6)+(J78*Settings!$C$8)+(O78*Settings!$C$7)+(P78*Settings!$C$14)+(Q78*Settings!$C$15)+(R78*Settings!$C$16)+(S78*Settings!$C$17)+(T78*Settings!$C$18)+(U78*Settings!$C$19)+(L78*Settings!$C$10)+(Settings!$C$11*M78)</f>
        <v>2.9378643738990307</v>
      </c>
      <c r="D78" s="56">
        <f>IF(Settings!$E$12="YES",VLOOKUP(A78,'Player Data'!A1:E667,5,FALSE),82)</f>
        <v>76.984999999999999</v>
      </c>
      <c r="E78" s="54">
        <f>(VLOOKUP($A78,'The List'!$B1:$AH665,17,FALSE)-AVERAGE('The List'!R2:R665))/STDEV('The List'!R2:R665)</f>
        <v>0.55538154354942537</v>
      </c>
      <c r="F78" s="54">
        <f>(VLOOKUP($A78,'The List'!$B1:$AH665,18,FALSE)-AVERAGE('The List'!S2:S665))/STDEV('The List'!S2:S665)</f>
        <v>1.0119153791274149</v>
      </c>
      <c r="G78" s="54">
        <f>(VLOOKUP($A78,'The List'!$B1:$AH665,19,FALSE)-AVERAGE('The List'!T2:T665))/STDEV('The List'!T2:T665)</f>
        <v>1.2015542009617255</v>
      </c>
      <c r="H78" s="54">
        <f>(VLOOKUP($A78,'The List'!$B1:$AH665,20,FALSE)-AVERAGE('The List'!U2:U665))/STDEV('The List'!U2:U665)</f>
        <v>1.2061963599362535</v>
      </c>
      <c r="I78" s="54">
        <f>(VLOOKUP($A78,'The List'!$B1:$AH665,21,FALSE)-AVERAGE('The List'!V2:V665))/STDEV('The List'!V2:V665)</f>
        <v>0.39141457711123329</v>
      </c>
      <c r="J78" s="54">
        <f>(VLOOKUP($A78,'The List'!$B1:$AH665,22,FALSE)-AVERAGE('The List'!W2:W665))/STDEV('The List'!W2:W665)</f>
        <v>1.4977584762065626</v>
      </c>
      <c r="K78" s="54">
        <f>(VLOOKUP($A78,'The List'!$B1:$AH665,23,FALSE)-AVERAGE('The List'!X2:X665))/STDEV('The List'!X2:X665)</f>
        <v>0.9977804106705741</v>
      </c>
      <c r="L78" s="54">
        <f>(VLOOKUP($A78,'The List'!$B1:$AH665,24,FALSE)-AVERAGE('The List'!Y2:Y665))/STDEV('The List'!Y2:Y665)</f>
        <v>6.3993274141014383E-2</v>
      </c>
      <c r="M78" s="54">
        <f>(VLOOKUP($A78,'The List'!$B1:$AH665,25,FALSE)-AVERAGE('The List'!Z2:Z665))/STDEV('The List'!Z2:Z665)</f>
        <v>-0.12534691938382264</v>
      </c>
      <c r="N78" s="54">
        <f>(VLOOKUP($A78,'The List'!$B1:$AH665,26,FALSE)-AVERAGE('The List'!AA2:AA665))/STDEV('The List'!AA2:AA665)</f>
        <v>-0.6703568436821401</v>
      </c>
      <c r="O78" s="54">
        <f>(VLOOKUP($A78,'The List'!$B1:$AH665,27,FALSE)-AVERAGE('The List'!AB2:AB665))/STDEV('The List'!AB2:AB665)</f>
        <v>-1.5082040166233364</v>
      </c>
      <c r="P78" s="54">
        <f>(VLOOKUP($A78,'The List'!$B1:$AH665,28,FALSE)-AVERAGE('The List'!AC2:AC665))/STDEV('The List'!AC2:AC665)</f>
        <v>5.556649710223488E-3</v>
      </c>
      <c r="Q78" s="54">
        <f>(VLOOKUP($A78,'The List'!$B1:$AH665,29,FALSE)-AVERAGE('The List'!AD2:AD665))/STDEV('The List'!AD2:AD665)</f>
        <v>-0.889140417513964</v>
      </c>
      <c r="R78" s="54">
        <f>(VLOOKUP($A78,'The List'!$B1:$AH665,30,FALSE)-AVERAGE('The List'!AE2:AE665))/STDEV('The List'!AE2:AE665)</f>
        <v>0.92787701687976765</v>
      </c>
      <c r="S78" s="54">
        <f>(VLOOKUP($A78,'The List'!$B1:$AH665,31,FALSE)-AVERAGE('The List'!AF2:AF665))/STDEV('The List'!AF2:AF665)</f>
        <v>0.12212749910888174</v>
      </c>
      <c r="T78" s="54">
        <f>(VLOOKUP($A78,'The List'!$B1:$AH665,32,FALSE)-AVERAGE('The List'!AG2:AG665))/STDEV('The List'!AG2:AG665)</f>
        <v>0.37968220820336679</v>
      </c>
      <c r="U78" s="54">
        <f>(VLOOKUP($A78,'The List'!$B1:$AH665,33,FALSE)-AVERAGE('The List'!AH2:AH665))/STDEV('The List'!AH2:AH665)</f>
        <v>0.6908732344198304</v>
      </c>
      <c r="V78" s="54"/>
      <c r="W78" s="64"/>
      <c r="X78" s="56"/>
      <c r="Y78" s="56"/>
      <c r="Z78" s="56"/>
      <c r="AA78" s="56"/>
      <c r="AB78" s="56"/>
      <c r="AC78" s="59"/>
      <c r="AD78" s="60"/>
      <c r="AE78" s="54"/>
    </row>
    <row r="79" spans="1:31" ht="21.25" customHeight="1" x14ac:dyDescent="0.15">
      <c r="A79" s="9" t="s">
        <v>216</v>
      </c>
      <c r="B79" s="65" t="str">
        <f>VLOOKUP(A79,'Player Data'!A1:B667,2,FALSE)</f>
        <v>CGY</v>
      </c>
      <c r="C79" s="51">
        <f>((E79)*Settings!$C$12)+(F79*Settings!$C$2)+(G79*Settings!$C$3)+(H79*Settings!$C$4)+(I79*Settings!$C$5)+(K79*Settings!$C$9)+(N79*Settings!$C$6)+(J79*Settings!$C$8)+(O79*Settings!$C$7)+(P79*Settings!$C$14)+(Q79*Settings!$C$15)+(R79*Settings!$C$16)+(S79*Settings!$C$17)+(T79*Settings!$C$18)+(U79*Settings!$C$19)+(L79*Settings!$C$10)+(Settings!$C$11*M79)</f>
        <v>4.6809678501188481</v>
      </c>
      <c r="D79" s="56">
        <f>IF(Settings!$E$12="YES",VLOOKUP(A79,'Player Data'!A1:E667,5,FALSE),82)</f>
        <v>80.930000000000007</v>
      </c>
      <c r="E79" s="54">
        <f>(VLOOKUP($A79,'The List'!$B1:$AH665,17,FALSE)-AVERAGE('The List'!R2:R665))/STDEV('The List'!R2:R665)</f>
        <v>0.5056680627995469</v>
      </c>
      <c r="F79" s="54">
        <f>(VLOOKUP($A79,'The List'!$B1:$AH665,18,FALSE)-AVERAGE('The List'!S2:S665))/STDEV('The List'!S2:S665)</f>
        <v>1.142636828006695</v>
      </c>
      <c r="G79" s="54">
        <f>(VLOOKUP($A79,'The List'!$B1:$AH665,19,FALSE)-AVERAGE('The List'!T2:T665))/STDEV('The List'!T2:T665)</f>
        <v>1.3404596312263495</v>
      </c>
      <c r="H79" s="54">
        <f>(VLOOKUP($A79,'The List'!$B1:$AH665,20,FALSE)-AVERAGE('The List'!U2:U665))/STDEV('The List'!U2:U665)</f>
        <v>1.3518835547258301</v>
      </c>
      <c r="I79" s="54">
        <f>(VLOOKUP($A79,'The List'!$B1:$AH665,21,FALSE)-AVERAGE('The List'!V2:V665))/STDEV('The List'!V2:V665)</f>
        <v>2.2065100297546327</v>
      </c>
      <c r="J79" s="54">
        <f>(VLOOKUP($A79,'The List'!$B1:$AH665,22,FALSE)-AVERAGE('The List'!W2:W665))/STDEV('The List'!W2:W665)</f>
        <v>1.6014715722361643</v>
      </c>
      <c r="K79" s="54">
        <f>(VLOOKUP($A79,'The List'!$B1:$AH665,23,FALSE)-AVERAGE('The List'!X2:X665))/STDEV('The List'!X2:X665)</f>
        <v>1.2754556284749683</v>
      </c>
      <c r="L79" s="54">
        <f>(VLOOKUP($A79,'The List'!$B1:$AH665,24,FALSE)-AVERAGE('The List'!Y2:Y665))/STDEV('The List'!Y2:Y665)</f>
        <v>-0.32754675883278933</v>
      </c>
      <c r="M79" s="54">
        <f>(VLOOKUP($A79,'The List'!$B1:$AH665,25,FALSE)-AVERAGE('The List'!Z2:Z665))/STDEV('The List'!Z2:Z665)</f>
        <v>-0.49104131040283028</v>
      </c>
      <c r="N79" s="54">
        <f>(VLOOKUP($A79,'The List'!$B1:$AH665,26,FALSE)-AVERAGE('The List'!AA2:AA665))/STDEV('The List'!AA2:AA665)</f>
        <v>-0.864990871797094</v>
      </c>
      <c r="O79" s="54">
        <f>(VLOOKUP($A79,'The List'!$B1:$AH665,27,FALSE)-AVERAGE('The List'!AB2:AB665))/STDEV('The List'!AB2:AB665)</f>
        <v>-0.48197343693892913</v>
      </c>
      <c r="P79" s="54">
        <f>(VLOOKUP($A79,'The List'!$B1:$AH665,28,FALSE)-AVERAGE('The List'!AC2:AC665))/STDEV('The List'!AC2:AC665)</f>
        <v>-0.41910339554670278</v>
      </c>
      <c r="Q79" s="54">
        <f>(VLOOKUP($A79,'The List'!$B1:$AH665,29,FALSE)-AVERAGE('The List'!AD2:AD665))/STDEV('The List'!AD2:AD665)</f>
        <v>0.97470223406075918</v>
      </c>
      <c r="R79" s="54">
        <f>(VLOOKUP($A79,'The List'!$B1:$AH665,30,FALSE)-AVERAGE('The List'!AE2:AE665))/STDEV('The List'!AE2:AE665)</f>
        <v>1.0340379762381962</v>
      </c>
      <c r="S79" s="54">
        <f>(VLOOKUP($A79,'The List'!$B1:$AH665,31,FALSE)-AVERAGE('The List'!AF2:AF665))/STDEV('The List'!AF2:AF665)</f>
        <v>2.3371700131533646</v>
      </c>
      <c r="T79" s="54">
        <f>(VLOOKUP($A79,'The List'!$B1:$AH665,32,FALSE)-AVERAGE('The List'!AG2:AG665))/STDEV('The List'!AG2:AG665)</f>
        <v>2.6413626877309282</v>
      </c>
      <c r="U79" s="54">
        <f>(VLOOKUP($A79,'The List'!$B1:$AH665,33,FALSE)-AVERAGE('The List'!AH2:AH665))/STDEV('The List'!AH2:AH665)</f>
        <v>0.97426067361550672</v>
      </c>
      <c r="V79" s="54"/>
      <c r="W79" s="56"/>
      <c r="X79" s="56"/>
      <c r="Y79" s="56"/>
      <c r="Z79" s="56"/>
      <c r="AA79" s="56"/>
      <c r="AB79" s="56"/>
      <c r="AC79" s="59"/>
      <c r="AD79" s="60"/>
      <c r="AE79" s="54"/>
    </row>
    <row r="80" spans="1:31" ht="21.25" customHeight="1" x14ac:dyDescent="0.15">
      <c r="A80" s="9" t="s">
        <v>227</v>
      </c>
      <c r="B80" s="65" t="str">
        <f>VLOOKUP(A80,'Player Data'!A1:B667,2,FALSE)</f>
        <v>SEA</v>
      </c>
      <c r="C80" s="51">
        <f>((E80)*Settings!$C$12)+(F80*Settings!$C$2)+(G80*Settings!$C$3)+(H80*Settings!$C$4)+(I80*Settings!$C$5)+(K80*Settings!$C$9)+(N80*Settings!$C$6)+(J80*Settings!$C$8)+(O80*Settings!$C$7)+(P80*Settings!$C$14)+(Q80*Settings!$C$15)+(R80*Settings!$C$16)+(S80*Settings!$C$17)+(T80*Settings!$C$18)+(U80*Settings!$C$19)+(L80*Settings!$C$10)+(Settings!$C$11*M80)</f>
        <v>4.5424847105712001</v>
      </c>
      <c r="D80" s="56">
        <f>IF(Settings!$E$12="YES",VLOOKUP(A80,'Player Data'!A1:E667,5,FALSE),82)</f>
        <v>80.462500000000006</v>
      </c>
      <c r="E80" s="54">
        <f>(VLOOKUP($A80,'The List'!$B1:$AH665,17,FALSE)-AVERAGE('The List'!R2:R665))/STDEV('The List'!R2:R665)</f>
        <v>0.27372405422607377</v>
      </c>
      <c r="F80" s="54">
        <f>(VLOOKUP($A80,'The List'!$B1:$AH665,18,FALSE)-AVERAGE('The List'!S2:S665))/STDEV('The List'!S2:S665)</f>
        <v>1.9675399974031909</v>
      </c>
      <c r="G80" s="54">
        <f>(VLOOKUP($A80,'The List'!$B1:$AH665,19,FALSE)-AVERAGE('The List'!T2:T665))/STDEV('The List'!T2:T665)</f>
        <v>0.70237227186940054</v>
      </c>
      <c r="H80" s="54">
        <f>(VLOOKUP($A80,'The List'!$B1:$AH665,20,FALSE)-AVERAGE('The List'!U2:U665))/STDEV('The List'!U2:U665)</f>
        <v>1.3305531274021627</v>
      </c>
      <c r="I80" s="54">
        <f>(VLOOKUP($A80,'The List'!$B1:$AH665,21,FALSE)-AVERAGE('The List'!V2:V665))/STDEV('The List'!V2:V665)</f>
        <v>1.5283530974348967</v>
      </c>
      <c r="J80" s="54">
        <f>(VLOOKUP($A80,'The List'!$B1:$AH665,22,FALSE)-AVERAGE('The List'!W2:W665))/STDEV('The List'!W2:W665)</f>
        <v>1.429138854509709</v>
      </c>
      <c r="K80" s="54">
        <f>(VLOOKUP($A80,'The List'!$B1:$AH665,23,FALSE)-AVERAGE('The List'!X2:X665))/STDEV('The List'!X2:X665)</f>
        <v>1.2263125081626978</v>
      </c>
      <c r="L80" s="54">
        <f>(VLOOKUP($A80,'The List'!$B1:$AH665,24,FALSE)-AVERAGE('The List'!Y2:Y665))/STDEV('The List'!Y2:Y665)</f>
        <v>4.339706320166874</v>
      </c>
      <c r="M80" s="54">
        <f>(VLOOKUP($A80,'The List'!$B1:$AH665,25,FALSE)-AVERAGE('The List'!Z2:Z665))/STDEV('The List'!Z2:Z665)</f>
        <v>2.3991896692528756</v>
      </c>
      <c r="N80" s="54">
        <f>(VLOOKUP($A80,'The List'!$B1:$AH665,26,FALSE)-AVERAGE('The List'!AA2:AA665))/STDEV('The List'!AA2:AA665)</f>
        <v>-0.78033391795470464</v>
      </c>
      <c r="O80" s="54">
        <f>(VLOOKUP($A80,'The List'!$B1:$AH665,27,FALSE)-AVERAGE('The List'!AB2:AB665))/STDEV('The List'!AB2:AB665)</f>
        <v>-0.70452494448627401</v>
      </c>
      <c r="P80" s="54">
        <f>(VLOOKUP($A80,'The List'!$B1:$AH665,28,FALSE)-AVERAGE('The List'!AC2:AC665))/STDEV('The List'!AC2:AC665)</f>
        <v>-0.10175924634428113</v>
      </c>
      <c r="Q80" s="54">
        <f>(VLOOKUP($A80,'The List'!$B1:$AH665,29,FALSE)-AVERAGE('The List'!AD2:AD665))/STDEV('The List'!AD2:AD665)</f>
        <v>-0.3070791869121855</v>
      </c>
      <c r="R80" s="54">
        <f>(VLOOKUP($A80,'The List'!$B1:$AH665,30,FALSE)-AVERAGE('The List'!AE2:AE665))/STDEV('The List'!AE2:AE665)</f>
        <v>1.9423603757709031</v>
      </c>
      <c r="S80" s="54">
        <f>(VLOOKUP($A80,'The List'!$B1:$AH665,31,FALSE)-AVERAGE('The List'!AF2:AF665))/STDEV('The List'!AF2:AF665)</f>
        <v>9.8546934632153874E-2</v>
      </c>
      <c r="T80" s="54">
        <f>(VLOOKUP($A80,'The List'!$B1:$AH665,32,FALSE)-AVERAGE('The List'!AG2:AG665))/STDEV('The List'!AG2:AG665)</f>
        <v>0.3478492239946202</v>
      </c>
      <c r="U80" s="54">
        <f>(VLOOKUP($A80,'The List'!$B1:$AH665,33,FALSE)-AVERAGE('The List'!AH2:AH665))/STDEV('The List'!AH2:AH665)</f>
        <v>0.68833405786332857</v>
      </c>
      <c r="V80" s="54"/>
      <c r="W80" s="64"/>
      <c r="X80" s="56"/>
      <c r="Y80" s="56"/>
      <c r="Z80" s="56"/>
      <c r="AA80" s="56"/>
      <c r="AB80" s="56"/>
      <c r="AC80" s="59"/>
      <c r="AD80" s="60"/>
      <c r="AE80" s="54"/>
    </row>
    <row r="81" spans="1:31" ht="21.25" customHeight="1" x14ac:dyDescent="0.15">
      <c r="A81" s="9" t="s">
        <v>201</v>
      </c>
      <c r="B81" s="65" t="str">
        <f>VLOOKUP(A81,'Player Data'!A1:B667,2,FALSE)</f>
        <v>DET</v>
      </c>
      <c r="C81" s="51">
        <f>((E81)*Settings!$C$12)+(F81*Settings!$C$2)+(G81*Settings!$C$3)+(H81*Settings!$C$4)+(I81*Settings!$C$5)+(K81*Settings!$C$9)+(N81*Settings!$C$6)+(J81*Settings!$C$8)+(O81*Settings!$C$7)+(P81*Settings!$C$14)+(Q81*Settings!$C$15)+(R81*Settings!$C$16)+(S81*Settings!$C$17)+(T81*Settings!$C$18)+(U81*Settings!$C$19)+(L81*Settings!$C$10)+(Settings!$C$11*M81)</f>
        <v>4.5238569924196446</v>
      </c>
      <c r="D81" s="56">
        <f>IF(Settings!$E$12="YES",VLOOKUP(A81,'Player Data'!A1:E667,5,FALSE),82)</f>
        <v>82.03</v>
      </c>
      <c r="E81" s="54">
        <f>(VLOOKUP($A81,'The List'!$B1:$AH665,17,FALSE)-AVERAGE('The List'!R2:R665))/STDEV('The List'!R2:R665)</f>
        <v>0.36067116647370856</v>
      </c>
      <c r="F81" s="54">
        <f>(VLOOKUP($A81,'The List'!$B1:$AH665,18,FALSE)-AVERAGE('The List'!S2:S665))/STDEV('The List'!S2:S665)</f>
        <v>1.5042264074128506</v>
      </c>
      <c r="G81" s="54">
        <f>(VLOOKUP($A81,'The List'!$B1:$AH665,19,FALSE)-AVERAGE('The List'!T2:T665))/STDEV('The List'!T2:T665)</f>
        <v>1.1121582443843736</v>
      </c>
      <c r="H81" s="54">
        <f>(VLOOKUP($A81,'The List'!$B1:$AH665,20,FALSE)-AVERAGE('The List'!U2:U665))/STDEV('The List'!U2:U665)</f>
        <v>1.374455208113017</v>
      </c>
      <c r="I81" s="54">
        <f>(VLOOKUP($A81,'The List'!$B1:$AH665,21,FALSE)-AVERAGE('The List'!V2:V665))/STDEV('The List'!V2:V665)</f>
        <v>1.7467563699497166</v>
      </c>
      <c r="J81" s="54">
        <f>(VLOOKUP($A81,'The List'!$B1:$AH665,22,FALSE)-AVERAGE('The List'!W2:W665))/STDEV('The List'!W2:W665)</f>
        <v>1.9718540415022472</v>
      </c>
      <c r="K81" s="54">
        <f>(VLOOKUP($A81,'The List'!$B1:$AH665,23,FALSE)-AVERAGE('The List'!X2:X665))/STDEV('The List'!X2:X665)</f>
        <v>1.4253558610565238</v>
      </c>
      <c r="L81" s="54">
        <f>(VLOOKUP($A81,'The List'!$B1:$AH665,24,FALSE)-AVERAGE('The List'!Y2:Y665))/STDEV('The List'!Y2:Y665)</f>
        <v>-0.56350790688230545</v>
      </c>
      <c r="M81" s="54">
        <f>(VLOOKUP($A81,'The List'!$B1:$AH665,25,FALSE)-AVERAGE('The List'!Z2:Z665))/STDEV('The List'!Z2:Z665)</f>
        <v>-0.73699721643022098</v>
      </c>
      <c r="N81" s="54">
        <f>(VLOOKUP($A81,'The List'!$B1:$AH665,26,FALSE)-AVERAGE('The List'!AA2:AA665))/STDEV('The List'!AA2:AA665)</f>
        <v>-0.70160612020883428</v>
      </c>
      <c r="O81" s="54">
        <f>(VLOOKUP($A81,'The List'!$B1:$AH665,27,FALSE)-AVERAGE('The List'!AB2:AB665))/STDEV('The List'!AB2:AB665)</f>
        <v>-0.33640952735406165</v>
      </c>
      <c r="P81" s="54">
        <f>(VLOOKUP($A81,'The List'!$B1:$AH665,28,FALSE)-AVERAGE('The List'!AC2:AC665))/STDEV('The List'!AC2:AC665)</f>
        <v>-0.5630337701749859</v>
      </c>
      <c r="Q81" s="54">
        <f>(VLOOKUP($A81,'The List'!$B1:$AH665,29,FALSE)-AVERAGE('The List'!AD2:AD665))/STDEV('The List'!AD2:AD665)</f>
        <v>-0.29839814437885287</v>
      </c>
      <c r="R81" s="54">
        <f>(VLOOKUP($A81,'The List'!$B1:$AH665,30,FALSE)-AVERAGE('The List'!AE2:AE665))/STDEV('The List'!AE2:AE665)</f>
        <v>1.2265913390335739</v>
      </c>
      <c r="S81" s="54">
        <f>(VLOOKUP($A81,'The List'!$B1:$AH665,31,FALSE)-AVERAGE('The List'!AF2:AF665))/STDEV('The List'!AF2:AF665)</f>
        <v>-0.49153967191217096</v>
      </c>
      <c r="T81" s="54">
        <f>(VLOOKUP($A81,'The List'!$B1:$AH665,32,FALSE)-AVERAGE('The List'!AG2:AG665))/STDEV('The List'!AG2:AG665)</f>
        <v>-0.51647010777026914</v>
      </c>
      <c r="U81" s="54">
        <f>(VLOOKUP($A81,'The List'!$B1:$AH665,33,FALSE)-AVERAGE('The List'!AH2:AH665))/STDEV('The List'!AH2:AH665)</f>
        <v>0.7852482603374128</v>
      </c>
      <c r="V81" s="54"/>
      <c r="W81" s="56"/>
      <c r="X81" s="54"/>
      <c r="Y81" s="54"/>
      <c r="Z81" s="54"/>
      <c r="AA81" s="54"/>
      <c r="AB81" s="54"/>
      <c r="AC81" s="54"/>
      <c r="AD81" s="54"/>
      <c r="AE81" s="54"/>
    </row>
    <row r="82" spans="1:31" ht="21.25" customHeight="1" x14ac:dyDescent="0.15">
      <c r="A82" s="9" t="s">
        <v>295</v>
      </c>
      <c r="B82" s="65" t="str">
        <f>VLOOKUP(A82,'Player Data'!A1:B667,2,FALSE)</f>
        <v>MTL</v>
      </c>
      <c r="C82" s="51">
        <f>((E82)*Settings!$C$12)+(F82*Settings!$C$2)+(G82*Settings!$C$3)+(H82*Settings!$C$4)+(I82*Settings!$C$5)+(K82*Settings!$C$9)+(N82*Settings!$C$6)+(J82*Settings!$C$8)+(O82*Settings!$C$7)+(P82*Settings!$C$14)+(Q82*Settings!$C$15)+(R82*Settings!$C$16)+(S82*Settings!$C$17)+(T82*Settings!$C$18)+(U82*Settings!$C$19)+(L82*Settings!$C$10)+(Settings!$C$11*M82)</f>
        <v>1.1421230603094681</v>
      </c>
      <c r="D82" s="56">
        <f>IF(Settings!$E$12="YES",VLOOKUP(A82,'Player Data'!A1:E667,5,FALSE),82)</f>
        <v>64.357500000000002</v>
      </c>
      <c r="E82" s="54">
        <f>(VLOOKUP($A82,'The List'!$B1:$AH665,17,FALSE)-AVERAGE('The List'!R2:R665))/STDEV('The List'!R2:R665)</f>
        <v>0.24086057601247027</v>
      </c>
      <c r="F82" s="54">
        <f>(VLOOKUP($A82,'The List'!$B1:$AH665,18,FALSE)-AVERAGE('The List'!S2:S665))/STDEV('The List'!S2:S665)</f>
        <v>1.1596494021525594</v>
      </c>
      <c r="G82" s="54">
        <f>(VLOOKUP($A82,'The List'!$B1:$AH665,19,FALSE)-AVERAGE('The List'!T2:T665))/STDEV('The List'!T2:T665)</f>
        <v>0.50732419914532512</v>
      </c>
      <c r="H82" s="54">
        <f>(VLOOKUP($A82,'The List'!$B1:$AH665,20,FALSE)-AVERAGE('The List'!U2:U665))/STDEV('The List'!U2:U665)</f>
        <v>0.84219262939128881</v>
      </c>
      <c r="I82" s="54">
        <f>(VLOOKUP($A82,'The List'!$B1:$AH665,21,FALSE)-AVERAGE('The List'!V2:V665))/STDEV('The List'!V2:V665)</f>
        <v>0.83908831564523156</v>
      </c>
      <c r="J82" s="54">
        <f>(VLOOKUP($A82,'The List'!$B1:$AH665,22,FALSE)-AVERAGE('The List'!W2:W665))/STDEV('The List'!W2:W665)</f>
        <v>1.2842998367977976</v>
      </c>
      <c r="K82" s="54">
        <f>(VLOOKUP($A82,'The List'!$B1:$AH665,23,FALSE)-AVERAGE('The List'!X2:X665))/STDEV('The List'!X2:X665)</f>
        <v>0.8948120743050928</v>
      </c>
      <c r="L82" s="54">
        <f>(VLOOKUP($A82,'The List'!$B1:$AH665,24,FALSE)-AVERAGE('The List'!Y2:Y665))/STDEV('The List'!Y2:Y665)</f>
        <v>-0.5674092289211744</v>
      </c>
      <c r="M82" s="54">
        <f>(VLOOKUP($A82,'The List'!$B1:$AH665,25,FALSE)-AVERAGE('The List'!Z2:Z665))/STDEV('The List'!Z2:Z665)</f>
        <v>-0.74099386059763539</v>
      </c>
      <c r="N82" s="54">
        <f>(VLOOKUP($A82,'The List'!$B1:$AH665,26,FALSE)-AVERAGE('The List'!AA2:AA665))/STDEV('The List'!AA2:AA665)</f>
        <v>-0.70645514690190259</v>
      </c>
      <c r="O82" s="54">
        <f>(VLOOKUP($A82,'The List'!$B1:$AH665,27,FALSE)-AVERAGE('The List'!AB2:AB665))/STDEV('The List'!AB2:AB665)</f>
        <v>-1.1718997198881504</v>
      </c>
      <c r="P82" s="54">
        <f>(VLOOKUP($A82,'The List'!$B1:$AH665,28,FALSE)-AVERAGE('The List'!AC2:AC665))/STDEV('The List'!AC2:AC665)</f>
        <v>-1.5522957840368379</v>
      </c>
      <c r="Q82" s="54">
        <f>(VLOOKUP($A82,'The List'!$B1:$AH665,29,FALSE)-AVERAGE('The List'!AD2:AD665))/STDEV('The List'!AD2:AD665)</f>
        <v>-0.85213264008078315</v>
      </c>
      <c r="R82" s="54">
        <f>(VLOOKUP($A82,'The List'!$B1:$AH665,30,FALSE)-AVERAGE('The List'!AE2:AE665))/STDEV('The List'!AE2:AE665)</f>
        <v>0.57971431800100048</v>
      </c>
      <c r="S82" s="54">
        <f>(VLOOKUP($A82,'The List'!$B1:$AH665,31,FALSE)-AVERAGE('The List'!AF2:AF665))/STDEV('The List'!AF2:AF665)</f>
        <v>-0.28362280899972053</v>
      </c>
      <c r="T82" s="54">
        <f>(VLOOKUP($A82,'The List'!$B1:$AH665,32,FALSE)-AVERAGE('The List'!AG2:AG665))/STDEV('The List'!AG2:AG665)</f>
        <v>-7.9457034017518968E-2</v>
      </c>
      <c r="U82" s="54">
        <f>(VLOOKUP($A82,'The List'!$B1:$AH665,33,FALSE)-AVERAGE('The List'!AH2:AH665))/STDEV('The List'!AH2:AH665)</f>
        <v>0.40536662421988762</v>
      </c>
      <c r="V82" s="54"/>
      <c r="W82" s="64"/>
      <c r="X82" s="56"/>
      <c r="Y82" s="56"/>
      <c r="Z82" s="56"/>
      <c r="AA82" s="56"/>
      <c r="AB82" s="56"/>
      <c r="AC82" s="59"/>
      <c r="AD82" s="60"/>
      <c r="AE82" s="54"/>
    </row>
    <row r="83" spans="1:31" ht="21.25" customHeight="1" x14ac:dyDescent="0.15">
      <c r="A83" s="9" t="s">
        <v>222</v>
      </c>
      <c r="B83" s="65" t="str">
        <f>VLOOKUP(A83,'Player Data'!A1:B667,2,FALSE)</f>
        <v>NSH</v>
      </c>
      <c r="C83" s="51">
        <f>((E83)*Settings!$C$12)+(F83*Settings!$C$2)+(G83*Settings!$C$3)+(H83*Settings!$C$4)+(I83*Settings!$C$5)+(K83*Settings!$C$9)+(N83*Settings!$C$6)+(J83*Settings!$C$8)+(O83*Settings!$C$7)+(P83*Settings!$C$14)+(Q83*Settings!$C$15)+(R83*Settings!$C$16)+(S83*Settings!$C$17)+(T83*Settings!$C$18)+(U83*Settings!$C$19)+(L83*Settings!$C$10)+(Settings!$C$11*M83)</f>
        <v>4.4848331879568875</v>
      </c>
      <c r="D83" s="56">
        <f>IF(Settings!$E$12="YES",VLOOKUP(A83,'Player Data'!A1:E667,5,FALSE),82)</f>
        <v>80.605000000000004</v>
      </c>
      <c r="E83" s="54">
        <f>(VLOOKUP($A83,'The List'!$B1:$AH665,17,FALSE)-AVERAGE('The List'!R2:R665))/STDEV('The List'!R2:R665)</f>
        <v>0.24270052608974571</v>
      </c>
      <c r="F83" s="54">
        <f>(VLOOKUP($A83,'The List'!$B1:$AH665,18,FALSE)-AVERAGE('The List'!S2:S665))/STDEV('The List'!S2:S665)</f>
        <v>1.9191056465860401</v>
      </c>
      <c r="G83" s="54">
        <f>(VLOOKUP($A83,'The List'!$B1:$AH665,19,FALSE)-AVERAGE('The List'!T2:T665))/STDEV('The List'!T2:T665)</f>
        <v>0.48140204955728499</v>
      </c>
      <c r="H83" s="54">
        <f>(VLOOKUP($A83,'The List'!$B1:$AH665,20,FALSE)-AVERAGE('The List'!U2:U665))/STDEV('The List'!U2:U665)</f>
        <v>1.1713024798915874</v>
      </c>
      <c r="I83" s="54">
        <f>(VLOOKUP($A83,'The List'!$B1:$AH665,21,FALSE)-AVERAGE('The List'!V2:V665))/STDEV('The List'!V2:V665)</f>
        <v>1.9079158782674557</v>
      </c>
      <c r="J83" s="54">
        <f>(VLOOKUP($A83,'The List'!$B1:$AH665,22,FALSE)-AVERAGE('The List'!W2:W665))/STDEV('The List'!W2:W665)</f>
        <v>1.6198111865294467</v>
      </c>
      <c r="K83" s="54">
        <f>(VLOOKUP($A83,'The List'!$B1:$AH665,23,FALSE)-AVERAGE('The List'!X2:X665))/STDEV('The List'!X2:X665)</f>
        <v>1.1958455829292596</v>
      </c>
      <c r="L83" s="54">
        <f>(VLOOKUP($A83,'The List'!$B1:$AH665,24,FALSE)-AVERAGE('The List'!Y2:Y665))/STDEV('The List'!Y2:Y665)</f>
        <v>-0.56977300192016078</v>
      </c>
      <c r="M83" s="54">
        <f>(VLOOKUP($A83,'The List'!$B1:$AH665,25,FALSE)-AVERAGE('The List'!Z2:Z665))/STDEV('The List'!Z2:Z665)</f>
        <v>-0.7434532888401908</v>
      </c>
      <c r="N83" s="54">
        <f>(VLOOKUP($A83,'The List'!$B1:$AH665,26,FALSE)-AVERAGE('The List'!AA2:AA665))/STDEV('The List'!AA2:AA665)</f>
        <v>-1.00264988320245</v>
      </c>
      <c r="O83" s="54">
        <f>(VLOOKUP($A83,'The List'!$B1:$AH665,27,FALSE)-AVERAGE('The List'!AB2:AB665))/STDEV('The List'!AB2:AB665)</f>
        <v>3.8400540615733419E-2</v>
      </c>
      <c r="P83" s="54">
        <f>(VLOOKUP($A83,'The List'!$B1:$AH665,28,FALSE)-AVERAGE('The List'!AC2:AC665))/STDEV('The List'!AC2:AC665)</f>
        <v>-1.6786086180703232E-2</v>
      </c>
      <c r="Q83" s="54">
        <f>(VLOOKUP($A83,'The List'!$B1:$AH665,29,FALSE)-AVERAGE('The List'!AD2:AD665))/STDEV('The List'!AD2:AD665)</f>
        <v>5.8308100896633866E-2</v>
      </c>
      <c r="R83" s="54">
        <f>(VLOOKUP($A83,'The List'!$B1:$AH665,30,FALSE)-AVERAGE('The List'!AE2:AE665))/STDEV('The List'!AE2:AE665)</f>
        <v>1.6810624095735505</v>
      </c>
      <c r="S83" s="54">
        <f>(VLOOKUP($A83,'The List'!$B1:$AH665,31,FALSE)-AVERAGE('The List'!AF2:AF665))/STDEV('The List'!AF2:AF665)</f>
        <v>-0.50977017019047077</v>
      </c>
      <c r="T83" s="54">
        <f>(VLOOKUP($A83,'The List'!$B1:$AH665,32,FALSE)-AVERAGE('The List'!AG2:AG665))/STDEV('The List'!AG2:AG665)</f>
        <v>-0.48910947720791814</v>
      </c>
      <c r="U83" s="54">
        <f>(VLOOKUP($A83,'The List'!$B1:$AH665,33,FALSE)-AVERAGE('The List'!AH2:AH665))/STDEV('The List'!AH2:AH665)</f>
        <v>0.27773689383594669</v>
      </c>
      <c r="V83" s="54"/>
      <c r="W83" s="64"/>
      <c r="X83" s="56"/>
      <c r="Y83" s="56"/>
      <c r="Z83" s="56"/>
      <c r="AA83" s="56"/>
      <c r="AB83" s="56"/>
      <c r="AC83" s="59"/>
      <c r="AD83" s="60"/>
      <c r="AE83" s="54"/>
    </row>
    <row r="84" spans="1:31" ht="21.25" customHeight="1" x14ac:dyDescent="0.15">
      <c r="A84" s="9" t="s">
        <v>239</v>
      </c>
      <c r="B84" s="65" t="str">
        <f>VLOOKUP(A84,'Player Data'!A1:B667,2,FALSE)</f>
        <v>BUF</v>
      </c>
      <c r="C84" s="51">
        <f>((E84)*Settings!$C$12)+(F84*Settings!$C$2)+(G84*Settings!$C$3)+(H84*Settings!$C$4)+(I84*Settings!$C$5)+(K84*Settings!$C$9)+(N84*Settings!$C$6)+(J84*Settings!$C$8)+(O84*Settings!$C$7)+(P84*Settings!$C$14)+(Q84*Settings!$C$15)+(R84*Settings!$C$16)+(S84*Settings!$C$17)+(T84*Settings!$C$18)+(U84*Settings!$C$19)+(L84*Settings!$C$10)+(Settings!$C$11*M84)</f>
        <v>3.8150620862710971</v>
      </c>
      <c r="D84" s="56">
        <f>IF(Settings!$E$12="YES",VLOOKUP(A84,'Player Data'!A1:E667,5,FALSE),82)</f>
        <v>81.06</v>
      </c>
      <c r="E84" s="54">
        <f>(VLOOKUP($A84,'The List'!$B1:$AH665,17,FALSE)-AVERAGE('The List'!R2:R665))/STDEV('The List'!R2:R665)</f>
        <v>0.50793571780054669</v>
      </c>
      <c r="F84" s="54">
        <f>(VLOOKUP($A84,'The List'!$B1:$AH665,18,FALSE)-AVERAGE('The List'!S2:S665))/STDEV('The List'!S2:S665)</f>
        <v>1.3192308637788588</v>
      </c>
      <c r="G84" s="54">
        <f>(VLOOKUP($A84,'The List'!$B1:$AH665,19,FALSE)-AVERAGE('The List'!T2:T665))/STDEV('The List'!T2:T665)</f>
        <v>1.1810132773035142</v>
      </c>
      <c r="H84" s="54">
        <f>(VLOOKUP($A84,'The List'!$B1:$AH665,20,FALSE)-AVERAGE('The List'!U2:U665))/STDEV('The List'!U2:U665)</f>
        <v>1.3331287870187496</v>
      </c>
      <c r="I84" s="54">
        <f>(VLOOKUP($A84,'The List'!$B1:$AH665,21,FALSE)-AVERAGE('The List'!V2:V665))/STDEV('The List'!V2:V665)</f>
        <v>1.4558216393414036</v>
      </c>
      <c r="J84" s="54">
        <f>(VLOOKUP($A84,'The List'!$B1:$AH665,22,FALSE)-AVERAGE('The List'!W2:W665))/STDEV('The List'!W2:W665)</f>
        <v>0.6765816199128627</v>
      </c>
      <c r="K84" s="54">
        <f>(VLOOKUP($A84,'The List'!$B1:$AH665,23,FALSE)-AVERAGE('The List'!X2:X665))/STDEV('The List'!X2:X665)</f>
        <v>1.1112727765464498</v>
      </c>
      <c r="L84" s="54">
        <f>(VLOOKUP($A84,'The List'!$B1:$AH665,24,FALSE)-AVERAGE('The List'!Y2:Y665))/STDEV('The List'!Y2:Y665)</f>
        <v>2.6559009204800614</v>
      </c>
      <c r="M84" s="54">
        <f>(VLOOKUP($A84,'The List'!$B1:$AH665,25,FALSE)-AVERAGE('The List'!Z2:Z665))/STDEV('The List'!Z2:Z665)</f>
        <v>1.7592273884484702</v>
      </c>
      <c r="N84" s="54">
        <f>(VLOOKUP($A84,'The List'!$B1:$AH665,26,FALSE)-AVERAGE('The List'!AA2:AA665))/STDEV('The List'!AA2:AA665)</f>
        <v>-0.79977017205862666</v>
      </c>
      <c r="O84" s="54">
        <f>(VLOOKUP($A84,'The List'!$B1:$AH665,27,FALSE)-AVERAGE('The List'!AB2:AB665))/STDEV('The List'!AB2:AB665)</f>
        <v>4.1254192810607639E-2</v>
      </c>
      <c r="P84" s="54">
        <f>(VLOOKUP($A84,'The List'!$B1:$AH665,28,FALSE)-AVERAGE('The List'!AC2:AC665))/STDEV('The List'!AC2:AC665)</f>
        <v>-0.45250629864050212</v>
      </c>
      <c r="Q84" s="54">
        <f>(VLOOKUP($A84,'The List'!$B1:$AH665,29,FALSE)-AVERAGE('The List'!AD2:AD665))/STDEV('The List'!AD2:AD665)</f>
        <v>0.56200335151576641</v>
      </c>
      <c r="R84" s="54">
        <f>(VLOOKUP($A84,'The List'!$B1:$AH665,30,FALSE)-AVERAGE('The List'!AE2:AE665))/STDEV('The List'!AE2:AE665)</f>
        <v>1.1335335024138662</v>
      </c>
      <c r="S84" s="54">
        <f>(VLOOKUP($A84,'The List'!$B1:$AH665,31,FALSE)-AVERAGE('The List'!AF2:AF665))/STDEV('The List'!AF2:AF665)</f>
        <v>2.2288094363372655</v>
      </c>
      <c r="T84" s="54">
        <f>(VLOOKUP($A84,'The List'!$B1:$AH665,32,FALSE)-AVERAGE('The List'!AG2:AG665))/STDEV('The List'!AG2:AG665)</f>
        <v>2.8047561135275592</v>
      </c>
      <c r="U84" s="54">
        <f>(VLOOKUP($A84,'The List'!$B1:$AH665,33,FALSE)-AVERAGE('The List'!AH2:AH665))/STDEV('The List'!AH2:AH665)</f>
        <v>0.87621328883868754</v>
      </c>
      <c r="V84" s="54"/>
      <c r="W84" s="64"/>
      <c r="X84" s="56"/>
      <c r="Y84" s="56"/>
      <c r="Z84" s="56"/>
      <c r="AA84" s="56"/>
      <c r="AB84" s="56"/>
      <c r="AC84" s="59"/>
      <c r="AD84" s="60"/>
      <c r="AE84" s="54"/>
    </row>
    <row r="85" spans="1:31" ht="21.25" customHeight="1" x14ac:dyDescent="0.15">
      <c r="A85" s="9" t="s">
        <v>159</v>
      </c>
      <c r="B85" s="65" t="str">
        <f>VLOOKUP(A85,'Player Data'!A1:B667,2,FALSE)</f>
        <v>DAL</v>
      </c>
      <c r="C85" s="51">
        <f>((E85)*Settings!$C$12)+(F85*Settings!$C$2)+(G85*Settings!$C$3)+(H85*Settings!$C$4)+(I85*Settings!$C$5)+(K85*Settings!$C$9)+(N85*Settings!$C$6)+(J85*Settings!$C$8)+(O85*Settings!$C$7)+(P85*Settings!$C$14)+(Q85*Settings!$C$15)+(R85*Settings!$C$16)+(S85*Settings!$C$17)+(T85*Settings!$C$18)+(U85*Settings!$C$19)+(L85*Settings!$C$10)+(Settings!$C$11*M85)</f>
        <v>8.1036561012977142</v>
      </c>
      <c r="D85" s="56">
        <f>IF(Settings!$E$12="YES",VLOOKUP(A85,'Player Data'!A1:E667,5,FALSE),82)</f>
        <v>78.465000000000003</v>
      </c>
      <c r="E85" s="54">
        <f>(VLOOKUP($A85,'The List'!$B1:$AH665,17,FALSE)-AVERAGE('The List'!R2:R665))/STDEV('The List'!R2:R665)</f>
        <v>2.1390824590905853</v>
      </c>
      <c r="F85" s="54">
        <f>(VLOOKUP($A85,'The List'!$B1:$AH665,18,FALSE)-AVERAGE('The List'!S2:S665))/STDEV('The List'!S2:S665)</f>
        <v>-0.26554739036409991</v>
      </c>
      <c r="G85" s="54">
        <f>(VLOOKUP($A85,'The List'!$B1:$AH665,19,FALSE)-AVERAGE('The List'!T2:T665))/STDEV('The List'!T2:T665)</f>
        <v>2.4159474869192361</v>
      </c>
      <c r="H85" s="54">
        <f>(VLOOKUP($A85,'The List'!$B1:$AH665,20,FALSE)-AVERAGE('The List'!U2:U665))/STDEV('The List'!U2:U665)</f>
        <v>1.3797353221464892</v>
      </c>
      <c r="I85" s="54">
        <f>(VLOOKUP($A85,'The List'!$B1:$AH665,21,FALSE)-AVERAGE('The List'!V2:V665))/STDEV('The List'!V2:V665)</f>
        <v>0.95248795508326534</v>
      </c>
      <c r="J85" s="54">
        <f>(VLOOKUP($A85,'The List'!$B1:$AH665,22,FALSE)-AVERAGE('The List'!W2:W665))/STDEV('The List'!W2:W665)</f>
        <v>7.8860542251520671E-2</v>
      </c>
      <c r="K85" s="54">
        <f>(VLOOKUP($A85,'The List'!$B1:$AH665,23,FALSE)-AVERAGE('The List'!X2:X665))/STDEV('The List'!X2:X665)</f>
        <v>2.1892780539904235</v>
      </c>
      <c r="L85" s="54">
        <f>(VLOOKUP($A85,'The List'!$B1:$AH665,24,FALSE)-AVERAGE('The List'!Y2:Y665))/STDEV('The List'!Y2:Y665)</f>
        <v>-0.5543532449868972</v>
      </c>
      <c r="M85" s="54">
        <f>(VLOOKUP($A85,'The List'!$B1:$AH665,25,FALSE)-AVERAGE('The List'!Z2:Z665))/STDEV('The List'!Z2:Z665)</f>
        <v>-0.51399583068599297</v>
      </c>
      <c r="N85" s="54">
        <f>(VLOOKUP($A85,'The List'!$B1:$AH665,26,FALSE)-AVERAGE('The List'!AA2:AA665))/STDEV('The List'!AA2:AA665)</f>
        <v>0.99381163800850858</v>
      </c>
      <c r="O85" s="54">
        <f>(VLOOKUP($A85,'The List'!$B1:$AH665,27,FALSE)-AVERAGE('The List'!AB2:AB665))/STDEV('The List'!AB2:AB665)</f>
        <v>-0.59329425778582623</v>
      </c>
      <c r="P85" s="54">
        <f>(VLOOKUP($A85,'The List'!$B1:$AH665,28,FALSE)-AVERAGE('The List'!AC2:AC665))/STDEV('The List'!AC2:AC665)</f>
        <v>1.8176783576603806</v>
      </c>
      <c r="Q85" s="54">
        <f>(VLOOKUP($A85,'The List'!$B1:$AH665,29,FALSE)-AVERAGE('The List'!AD2:AD665))/STDEV('The List'!AD2:AD665)</f>
        <v>-5.7755453215266088E-2</v>
      </c>
      <c r="R85" s="54">
        <f>(VLOOKUP($A85,'The List'!$B1:$AH665,30,FALSE)-AVERAGE('The List'!AE2:AE665))/STDEV('The List'!AE2:AE665)</f>
        <v>-0.17882216067445528</v>
      </c>
      <c r="S85" s="54">
        <f>(VLOOKUP($A85,'The List'!$B1:$AH665,31,FALSE)-AVERAGE('The List'!AF2:AF665))/STDEV('The List'!AF2:AF665)</f>
        <v>-0.57389441068000469</v>
      </c>
      <c r="T85" s="54">
        <f>(VLOOKUP($A85,'The List'!$B1:$AH665,32,FALSE)-AVERAGE('The List'!AG2:AG665))/STDEV('The List'!AG2:AG665)</f>
        <v>-0.62577078713265111</v>
      </c>
      <c r="U85" s="54">
        <f>(VLOOKUP($A85,'The List'!$B1:$AH665,33,FALSE)-AVERAGE('The List'!AH2:AH665))/STDEV('The List'!AH2:AH665)</f>
        <v>-1.2314350945148611</v>
      </c>
      <c r="V85" s="54"/>
      <c r="W85" s="56"/>
      <c r="X85" s="54"/>
      <c r="Y85" s="54"/>
      <c r="Z85" s="54"/>
      <c r="AA85" s="54"/>
      <c r="AB85" s="54"/>
      <c r="AC85" s="54"/>
      <c r="AD85" s="54"/>
      <c r="AE85" s="54"/>
    </row>
    <row r="86" spans="1:31" ht="21.25" customHeight="1" x14ac:dyDescent="0.15">
      <c r="A86" s="9" t="s">
        <v>255</v>
      </c>
      <c r="B86" s="65" t="str">
        <f>VLOOKUP(A86,'Player Data'!A1:B667,2,FALSE)</f>
        <v>WPG</v>
      </c>
      <c r="C86" s="51">
        <f>((E86)*Settings!$C$12)+(F86*Settings!$C$2)+(G86*Settings!$C$3)+(H86*Settings!$C$4)+(I86*Settings!$C$5)+(K86*Settings!$C$9)+(N86*Settings!$C$6)+(J86*Settings!$C$8)+(O86*Settings!$C$7)+(P86*Settings!$C$14)+(Q86*Settings!$C$15)+(R86*Settings!$C$16)+(S86*Settings!$C$17)+(T86*Settings!$C$18)+(U86*Settings!$C$19)+(L86*Settings!$C$10)+(Settings!$C$11*M86)</f>
        <v>4.8059502520906854</v>
      </c>
      <c r="D86" s="56">
        <f>IF(Settings!$E$12="YES",VLOOKUP(A86,'Player Data'!A1:E667,5,FALSE),82)</f>
        <v>74.942499999999995</v>
      </c>
      <c r="E86" s="54">
        <f>(VLOOKUP($A86,'The List'!$B1:$AH665,17,FALSE)-AVERAGE('The List'!R2:R665))/STDEV('The List'!R2:R665)</f>
        <v>0.16245836901215935</v>
      </c>
      <c r="F86" s="54">
        <f>(VLOOKUP($A86,'The List'!$B1:$AH665,18,FALSE)-AVERAGE('The List'!S2:S665))/STDEV('The List'!S2:S665)</f>
        <v>1.0663528148765542</v>
      </c>
      <c r="G86" s="54">
        <f>(VLOOKUP($A86,'The List'!$B1:$AH665,19,FALSE)-AVERAGE('The List'!T2:T665))/STDEV('The List'!T2:T665)</f>
        <v>0.99592080935968685</v>
      </c>
      <c r="H86" s="54">
        <f>(VLOOKUP($A86,'The List'!$B1:$AH665,20,FALSE)-AVERAGE('The List'!U2:U665))/STDEV('The List'!U2:U665)</f>
        <v>1.1032308635406087</v>
      </c>
      <c r="I86" s="54">
        <f>(VLOOKUP($A86,'The List'!$B1:$AH665,21,FALSE)-AVERAGE('The List'!V2:V665))/STDEV('The List'!V2:V665)</f>
        <v>1.6843927243713337</v>
      </c>
      <c r="J86" s="54">
        <f>(VLOOKUP($A86,'The List'!$B1:$AH665,22,FALSE)-AVERAGE('The List'!W2:W665))/STDEV('The List'!W2:W665)</f>
        <v>7.5223442027251966E-2</v>
      </c>
      <c r="K86" s="54">
        <f>(VLOOKUP($A86,'The List'!$B1:$AH665,23,FALSE)-AVERAGE('The List'!X2:X665))/STDEV('The List'!X2:X665)</f>
        <v>0.5400241216706072</v>
      </c>
      <c r="L86" s="54">
        <f>(VLOOKUP($A86,'The List'!$B1:$AH665,24,FALSE)-AVERAGE('The List'!Y2:Y665))/STDEV('The List'!Y2:Y665)</f>
        <v>-0.57380478215670472</v>
      </c>
      <c r="M86" s="54">
        <f>(VLOOKUP($A86,'The List'!$B1:$AH665,25,FALSE)-AVERAGE('The List'!Z2:Z665))/STDEV('The List'!Z2:Z665)</f>
        <v>-0.74749169010289684</v>
      </c>
      <c r="N86" s="54">
        <f>(VLOOKUP($A86,'The List'!$B1:$AH665,26,FALSE)-AVERAGE('The List'!AA2:AA665))/STDEV('The List'!AA2:AA665)</f>
        <v>-0.72695712101473309</v>
      </c>
      <c r="O86" s="54">
        <f>(VLOOKUP($A86,'The List'!$B1:$AH665,27,FALSE)-AVERAGE('The List'!AB2:AB665))/STDEV('The List'!AB2:AB665)</f>
        <v>-1.0936633155576541</v>
      </c>
      <c r="P86" s="54">
        <f>(VLOOKUP($A86,'The List'!$B1:$AH665,28,FALSE)-AVERAGE('The List'!AC2:AC665))/STDEV('The List'!AC2:AC665)</f>
        <v>1.2462169028272354</v>
      </c>
      <c r="Q86" s="54">
        <f>(VLOOKUP($A86,'The List'!$B1:$AH665,29,FALSE)-AVERAGE('The List'!AD2:AD665))/STDEV('The List'!AD2:AD665)</f>
        <v>-0.36446223036644187</v>
      </c>
      <c r="R86" s="54">
        <f>(VLOOKUP($A86,'The List'!$B1:$AH665,30,FALSE)-AVERAGE('The List'!AE2:AE665))/STDEV('The List'!AE2:AE665)</f>
        <v>1.2854925868240135</v>
      </c>
      <c r="S86" s="54">
        <f>(VLOOKUP($A86,'The List'!$B1:$AH665,31,FALSE)-AVERAGE('The List'!AF2:AF665))/STDEV('The List'!AF2:AF665)</f>
        <v>-0.54834203819687166</v>
      </c>
      <c r="T86" s="54">
        <f>(VLOOKUP($A86,'The List'!$B1:$AH665,32,FALSE)-AVERAGE('The List'!AG2:AG665))/STDEV('The List'!AG2:AG665)</f>
        <v>-0.58882393203012295</v>
      </c>
      <c r="U86" s="54">
        <f>(VLOOKUP($A86,'The List'!$B1:$AH665,33,FALSE)-AVERAGE('The List'!AH2:AH665))/STDEV('The List'!AH2:AH665)</f>
        <v>0.68983477828622797</v>
      </c>
      <c r="V86" s="54"/>
      <c r="W86" s="64"/>
      <c r="X86" s="56"/>
      <c r="Y86" s="56"/>
      <c r="Z86" s="56"/>
      <c r="AA86" s="56"/>
      <c r="AB86" s="56"/>
      <c r="AC86" s="59"/>
      <c r="AD86" s="60"/>
      <c r="AE86" s="54"/>
    </row>
    <row r="87" spans="1:31" ht="21.25" customHeight="1" x14ac:dyDescent="0.15">
      <c r="A87" s="9" t="s">
        <v>262</v>
      </c>
      <c r="B87" s="65" t="str">
        <f>VLOOKUP(A87,'Player Data'!A1:B667,2,FALSE)</f>
        <v>UTA</v>
      </c>
      <c r="C87" s="51">
        <f>((E87)*Settings!$C$12)+(F87*Settings!$C$2)+(G87*Settings!$C$3)+(H87*Settings!$C$4)+(I87*Settings!$C$5)+(K87*Settings!$C$9)+(N87*Settings!$C$6)+(J87*Settings!$C$8)+(O87*Settings!$C$7)+(P87*Settings!$C$14)+(Q87*Settings!$C$15)+(R87*Settings!$C$16)+(S87*Settings!$C$17)+(T87*Settings!$C$18)+(U87*Settings!$C$19)+(L87*Settings!$C$10)+(Settings!$C$11*M87)</f>
        <v>3.9323301523548646</v>
      </c>
      <c r="D87" s="56">
        <f>IF(Settings!$E$12="YES",VLOOKUP(A87,'Player Data'!A1:E667,5,FALSE),82)</f>
        <v>80.680000000000007</v>
      </c>
      <c r="E87" s="54">
        <f>(VLOOKUP($A87,'The List'!$B1:$AH665,17,FALSE)-AVERAGE('The List'!R2:R665))/STDEV('The List'!R2:R665)</f>
        <v>0.39701221119447655</v>
      </c>
      <c r="F87" s="54">
        <f>(VLOOKUP($A87,'The List'!$B1:$AH665,18,FALSE)-AVERAGE('The List'!S2:S665))/STDEV('The List'!S2:S665)</f>
        <v>1.4042346056212971</v>
      </c>
      <c r="G87" s="54">
        <f>(VLOOKUP($A87,'The List'!$B1:$AH665,19,FALSE)-AVERAGE('The List'!T2:T665))/STDEV('The List'!T2:T665)</f>
        <v>1.0745837403065905</v>
      </c>
      <c r="H87" s="54">
        <f>(VLOOKUP($A87,'The List'!$B1:$AH665,20,FALSE)-AVERAGE('The List'!U2:U665))/STDEV('The List'!U2:U665)</f>
        <v>1.3056683014310906</v>
      </c>
      <c r="I87" s="54">
        <f>(VLOOKUP($A87,'The List'!$B1:$AH665,21,FALSE)-AVERAGE('The List'!V2:V665))/STDEV('The List'!V2:V665)</f>
        <v>0.7568497127028504</v>
      </c>
      <c r="J87" s="54">
        <f>(VLOOKUP($A87,'The List'!$B1:$AH665,22,FALSE)-AVERAGE('The List'!W2:W665))/STDEV('The List'!W2:W665)</f>
        <v>1.1967380396882645</v>
      </c>
      <c r="K87" s="54">
        <f>(VLOOKUP($A87,'The List'!$B1:$AH665,23,FALSE)-AVERAGE('The List'!X2:X665))/STDEV('The List'!X2:X665)</f>
        <v>1.7909712662969572</v>
      </c>
      <c r="L87" s="54">
        <f>(VLOOKUP($A87,'The List'!$B1:$AH665,24,FALSE)-AVERAGE('The List'!Y2:Y665))/STDEV('The List'!Y2:Y665)</f>
        <v>0.6417951670615295</v>
      </c>
      <c r="M87" s="54">
        <f>(VLOOKUP($A87,'The List'!$B1:$AH665,25,FALSE)-AVERAGE('The List'!Z2:Z665))/STDEV('The List'!Z2:Z665)</f>
        <v>7.8406205841259347E-2</v>
      </c>
      <c r="N87" s="54">
        <f>(VLOOKUP($A87,'The List'!$B1:$AH665,26,FALSE)-AVERAGE('The List'!AA2:AA665))/STDEV('The List'!AA2:AA665)</f>
        <v>-0.80123211697214702</v>
      </c>
      <c r="O87" s="54">
        <f>(VLOOKUP($A87,'The List'!$B1:$AH665,27,FALSE)-AVERAGE('The List'!AB2:AB665))/STDEV('The List'!AB2:AB665)</f>
        <v>-0.69720977561698461</v>
      </c>
      <c r="P87" s="54">
        <f>(VLOOKUP($A87,'The List'!$B1:$AH665,28,FALSE)-AVERAGE('The List'!AC2:AC665))/STDEV('The List'!AC2:AC665)</f>
        <v>-0.29307705560068292</v>
      </c>
      <c r="Q87" s="54">
        <f>(VLOOKUP($A87,'The List'!$B1:$AH665,29,FALSE)-AVERAGE('The List'!AD2:AD665))/STDEV('The List'!AD2:AD665)</f>
        <v>-0.4376929001811859</v>
      </c>
      <c r="R87" s="54">
        <f>(VLOOKUP($A87,'The List'!$B1:$AH665,30,FALSE)-AVERAGE('The List'!AE2:AE665))/STDEV('The List'!AE2:AE665)</f>
        <v>1.2963596149413004</v>
      </c>
      <c r="S87" s="54">
        <f>(VLOOKUP($A87,'The List'!$B1:$AH665,31,FALSE)-AVERAGE('The List'!AF2:AF665))/STDEV('The List'!AF2:AF665)</f>
        <v>0.86553694592242358</v>
      </c>
      <c r="T87" s="54">
        <f>(VLOOKUP($A87,'The List'!$B1:$AH665,32,FALSE)-AVERAGE('The List'!AG2:AG665))/STDEV('The List'!AG2:AG665)</f>
        <v>1.8694795844123744</v>
      </c>
      <c r="U87" s="54">
        <f>(VLOOKUP($A87,'The List'!$B1:$AH665,33,FALSE)-AVERAGE('The List'!AH2:AH665))/STDEV('The List'!AH2:AH665)</f>
        <v>0.49231140680434721</v>
      </c>
      <c r="V87" s="54"/>
      <c r="W87" s="64"/>
      <c r="X87" s="56"/>
      <c r="Y87" s="56"/>
      <c r="Z87" s="56"/>
      <c r="AA87" s="56"/>
      <c r="AB87" s="56"/>
      <c r="AC87" s="59"/>
      <c r="AD87" s="60"/>
      <c r="AE87" s="54"/>
    </row>
    <row r="88" spans="1:31" ht="21.25" customHeight="1" x14ac:dyDescent="0.15">
      <c r="A88" s="9" t="s">
        <v>266</v>
      </c>
      <c r="B88" s="65" t="str">
        <f>VLOOKUP(A88,'Player Data'!A1:B667,2,FALSE)</f>
        <v>CGY</v>
      </c>
      <c r="C88" s="51">
        <f>((E88)*Settings!$C$12)+(F88*Settings!$C$2)+(G88*Settings!$C$3)+(H88*Settings!$C$4)+(I88*Settings!$C$5)+(K88*Settings!$C$9)+(N88*Settings!$C$6)+(J88*Settings!$C$8)+(O88*Settings!$C$7)+(P88*Settings!$C$14)+(Q88*Settings!$C$15)+(R88*Settings!$C$16)+(S88*Settings!$C$17)+(T88*Settings!$C$18)+(U88*Settings!$C$19)+(L88*Settings!$C$10)+(Settings!$C$11*M88)</f>
        <v>2.6752724492476534</v>
      </c>
      <c r="D88" s="56">
        <f>IF(Settings!$E$12="YES",VLOOKUP(A88,'Player Data'!A1:E667,5,FALSE),82)</f>
        <v>81.239999999999995</v>
      </c>
      <c r="E88" s="54">
        <f>(VLOOKUP($A88,'The List'!$B1:$AH665,17,FALSE)-AVERAGE('The List'!R2:R665))/STDEV('The List'!R2:R665)</f>
        <v>0.39408843770893237</v>
      </c>
      <c r="F88" s="54">
        <f>(VLOOKUP($A88,'The List'!$B1:$AH665,18,FALSE)-AVERAGE('The List'!S2:S665))/STDEV('The List'!S2:S665)</f>
        <v>0.34595435343532949</v>
      </c>
      <c r="G88" s="54">
        <f>(VLOOKUP($A88,'The List'!$B1:$AH665,19,FALSE)-AVERAGE('The List'!T2:T665))/STDEV('The List'!T2:T665)</f>
        <v>1.8317447017642485</v>
      </c>
      <c r="H88" s="54">
        <f>(VLOOKUP($A88,'The List'!$B1:$AH665,20,FALSE)-AVERAGE('The List'!U2:U665))/STDEV('The List'!U2:U665)</f>
        <v>1.2948691535123544</v>
      </c>
      <c r="I88" s="54">
        <f>(VLOOKUP($A88,'The List'!$B1:$AH665,21,FALSE)-AVERAGE('The List'!V2:V665))/STDEV('The List'!V2:V665)</f>
        <v>0.49121035381603856</v>
      </c>
      <c r="J88" s="54">
        <f>(VLOOKUP($A88,'The List'!$B1:$AH665,22,FALSE)-AVERAGE('The List'!W2:W665))/STDEV('The List'!W2:W665)</f>
        <v>0.48353051523259583</v>
      </c>
      <c r="K88" s="54">
        <f>(VLOOKUP($A88,'The List'!$B1:$AH665,23,FALSE)-AVERAGE('The List'!X2:X665))/STDEV('The List'!X2:X665)</f>
        <v>1.3472021051862577</v>
      </c>
      <c r="L88" s="54">
        <f>(VLOOKUP($A88,'The List'!$B1:$AH665,24,FALSE)-AVERAGE('The List'!Y2:Y665))/STDEV('The List'!Y2:Y665)</f>
        <v>-0.5175764817120696</v>
      </c>
      <c r="M88" s="54">
        <f>(VLOOKUP($A88,'The List'!$B1:$AH665,25,FALSE)-AVERAGE('The List'!Z2:Z665))/STDEV('The List'!Z2:Z665)</f>
        <v>-0.68779360071876927</v>
      </c>
      <c r="N88" s="54">
        <f>(VLOOKUP($A88,'The List'!$B1:$AH665,26,FALSE)-AVERAGE('The List'!AA2:AA665))/STDEV('The List'!AA2:AA665)</f>
        <v>-0.69755420849210048</v>
      </c>
      <c r="O88" s="54">
        <f>(VLOOKUP($A88,'The List'!$B1:$AH665,27,FALSE)-AVERAGE('The List'!AB2:AB665))/STDEV('The List'!AB2:AB665)</f>
        <v>-0.49708329871281859</v>
      </c>
      <c r="P88" s="54">
        <f>(VLOOKUP($A88,'The List'!$B1:$AH665,28,FALSE)-AVERAGE('The List'!AC2:AC665))/STDEV('The List'!AC2:AC665)</f>
        <v>-0.64328485646212064</v>
      </c>
      <c r="Q88" s="54">
        <f>(VLOOKUP($A88,'The List'!$B1:$AH665,29,FALSE)-AVERAGE('The List'!AD2:AD665))/STDEV('The List'!AD2:AD665)</f>
        <v>0.41680653063074313</v>
      </c>
      <c r="R88" s="54">
        <f>(VLOOKUP($A88,'The List'!$B1:$AH665,30,FALSE)-AVERAGE('The List'!AE2:AE665))/STDEV('The List'!AE2:AE665)</f>
        <v>0.29110743977014586</v>
      </c>
      <c r="S88" s="54">
        <f>(VLOOKUP($A88,'The List'!$B1:$AH665,31,FALSE)-AVERAGE('The List'!AF2:AF665))/STDEV('The List'!AF2:AF665)</f>
        <v>-0.51000957753111353</v>
      </c>
      <c r="T88" s="54">
        <f>(VLOOKUP($A88,'The List'!$B1:$AH665,32,FALSE)-AVERAGE('The List'!AG2:AG665))/STDEV('The List'!AG2:AG665)</f>
        <v>-0.52180836706774114</v>
      </c>
      <c r="U88" s="54">
        <f>(VLOOKUP($A88,'The List'!$B1:$AH665,33,FALSE)-AVERAGE('The List'!AH2:AH665))/STDEV('The List'!AH2:AH665)</f>
        <v>0.56031110681270424</v>
      </c>
      <c r="V88" s="54"/>
      <c r="W88" s="64"/>
      <c r="X88" s="56"/>
      <c r="Y88" s="56"/>
      <c r="Z88" s="56"/>
      <c r="AA88" s="56"/>
      <c r="AB88" s="56"/>
      <c r="AC88" s="59"/>
      <c r="AD88" s="60"/>
      <c r="AE88" s="54"/>
    </row>
    <row r="89" spans="1:31" ht="21.25" customHeight="1" x14ac:dyDescent="0.15">
      <c r="A89" s="9" t="s">
        <v>213</v>
      </c>
      <c r="B89" s="65" t="str">
        <f>VLOOKUP(A89,'Player Data'!A1:B667,2,FALSE)</f>
        <v>CAR</v>
      </c>
      <c r="C89" s="51">
        <f>((E89)*Settings!$C$12)+(F89*Settings!$C$2)+(G89*Settings!$C$3)+(H89*Settings!$C$4)+(I89*Settings!$C$5)+(K89*Settings!$C$9)+(N89*Settings!$C$6)+(J89*Settings!$C$8)+(O89*Settings!$C$7)+(P89*Settings!$C$14)+(Q89*Settings!$C$15)+(R89*Settings!$C$16)+(S89*Settings!$C$17)+(T89*Settings!$C$18)+(U89*Settings!$C$19)+(L89*Settings!$C$10)+(Settings!$C$11*M89)</f>
        <v>6.4987790273516417</v>
      </c>
      <c r="D89" s="56">
        <f>IF(Settings!$E$12="YES",VLOOKUP(A89,'Player Data'!A1:E667,5,FALSE),82)</f>
        <v>80.452500000000001</v>
      </c>
      <c r="E89" s="54">
        <f>(VLOOKUP($A89,'The List'!$B1:$AH665,17,FALSE)-AVERAGE('The List'!R2:R665))/STDEV('The List'!R2:R665)</f>
        <v>0.63206516175587002</v>
      </c>
      <c r="F89" s="54">
        <f>(VLOOKUP($A89,'The List'!$B1:$AH665,18,FALSE)-AVERAGE('The List'!S2:S665))/STDEV('The List'!S2:S665)</f>
        <v>1.7044402818399249</v>
      </c>
      <c r="G89" s="54">
        <f>(VLOOKUP($A89,'The List'!$B1:$AH665,19,FALSE)-AVERAGE('The List'!T2:T665))/STDEV('The List'!T2:T665)</f>
        <v>1.0156602125783869</v>
      </c>
      <c r="H89" s="54">
        <f>(VLOOKUP($A89,'The List'!$B1:$AH665,20,FALSE)-AVERAGE('The List'!U2:U665))/STDEV('The List'!U2:U665)</f>
        <v>1.4055312273156451</v>
      </c>
      <c r="I89" s="54">
        <f>(VLOOKUP($A89,'The List'!$B1:$AH665,21,FALSE)-AVERAGE('The List'!V2:V665))/STDEV('The List'!V2:V665)</f>
        <v>1.004171676974859</v>
      </c>
      <c r="J89" s="54">
        <f>(VLOOKUP($A89,'The List'!$B1:$AH665,22,FALSE)-AVERAGE('The List'!W2:W665))/STDEV('The List'!W2:W665)</f>
        <v>1.7018554424269297</v>
      </c>
      <c r="K89" s="54">
        <f>(VLOOKUP($A89,'The List'!$B1:$AH665,23,FALSE)-AVERAGE('The List'!X2:X665))/STDEV('The List'!X2:X665)</f>
        <v>1.0762760337708277</v>
      </c>
      <c r="L89" s="54">
        <f>(VLOOKUP($A89,'The List'!$B1:$AH665,24,FALSE)-AVERAGE('The List'!Y2:Y665))/STDEV('The List'!Y2:Y665)</f>
        <v>3.6332237697850682</v>
      </c>
      <c r="M89" s="54">
        <f>(VLOOKUP($A89,'The List'!$B1:$AH665,25,FALSE)-AVERAGE('The List'!Z2:Z665))/STDEV('The List'!Z2:Z665)</f>
        <v>2.9128185360465451</v>
      </c>
      <c r="N89" s="54">
        <f>(VLOOKUP($A89,'The List'!$B1:$AH665,26,FALSE)-AVERAGE('The List'!AA2:AA665))/STDEV('The List'!AA2:AA665)</f>
        <v>-0.27782084077407948</v>
      </c>
      <c r="O89" s="54">
        <f>(VLOOKUP($A89,'The List'!$B1:$AH665,27,FALSE)-AVERAGE('The List'!AB2:AB665))/STDEV('The List'!AB2:AB665)</f>
        <v>0.22411620211272776</v>
      </c>
      <c r="P89" s="54">
        <f>(VLOOKUP($A89,'The List'!$B1:$AH665,28,FALSE)-AVERAGE('The List'!AC2:AC665))/STDEV('The List'!AC2:AC665)</f>
        <v>1.9760516629617224</v>
      </c>
      <c r="Q89" s="54">
        <f>(VLOOKUP($A89,'The List'!$B1:$AH665,29,FALSE)-AVERAGE('The List'!AD2:AD665))/STDEV('The List'!AD2:AD665)</f>
        <v>-0.83254124958856202</v>
      </c>
      <c r="R89" s="54">
        <f>(VLOOKUP($A89,'The List'!$B1:$AH665,30,FALSE)-AVERAGE('The List'!AE2:AE665))/STDEV('The List'!AE2:AE665)</f>
        <v>2.1039485515565772</v>
      </c>
      <c r="S89" s="54">
        <f>(VLOOKUP($A89,'The List'!$B1:$AH665,31,FALSE)-AVERAGE('The List'!AF2:AF665))/STDEV('The List'!AF2:AF665)</f>
        <v>-1.7120361370836838E-2</v>
      </c>
      <c r="T89" s="54">
        <f>(VLOOKUP($A89,'The List'!$B1:$AH665,32,FALSE)-AVERAGE('The List'!AG2:AG665))/STDEV('The List'!AG2:AG665)</f>
        <v>0.225345832390662</v>
      </c>
      <c r="U89" s="54">
        <f>(VLOOKUP($A89,'The List'!$B1:$AH665,33,FALSE)-AVERAGE('The List'!AH2:AH665))/STDEV('The List'!AH2:AH665)</f>
        <v>0.62851951517403326</v>
      </c>
      <c r="V89" s="54"/>
      <c r="W89" s="56"/>
      <c r="X89" s="56"/>
      <c r="Y89" s="56"/>
      <c r="Z89" s="56"/>
      <c r="AA89" s="56"/>
      <c r="AB89" s="56"/>
      <c r="AC89" s="59"/>
      <c r="AD89" s="60"/>
      <c r="AE89" s="54"/>
    </row>
    <row r="90" spans="1:31" ht="21.25" customHeight="1" x14ac:dyDescent="0.15">
      <c r="A90" s="9" t="s">
        <v>238</v>
      </c>
      <c r="B90" s="65" t="str">
        <f>VLOOKUP(A90,'Player Data'!A1:B667,2,FALSE)</f>
        <v>BOS</v>
      </c>
      <c r="C90" s="51">
        <f>((E90)*Settings!$C$12)+(F90*Settings!$C$2)+(G90*Settings!$C$3)+(H90*Settings!$C$4)+(I90*Settings!$C$5)+(K90*Settings!$C$9)+(N90*Settings!$C$6)+(J90*Settings!$C$8)+(O90*Settings!$C$7)+(P90*Settings!$C$14)+(Q90*Settings!$C$15)+(R90*Settings!$C$16)+(S90*Settings!$C$17)+(T90*Settings!$C$18)+(U90*Settings!$C$19)+(L90*Settings!$C$10)+(Settings!$C$11*M90)</f>
        <v>5.213668617688537</v>
      </c>
      <c r="D90" s="56">
        <f>IF(Settings!$E$12="YES",VLOOKUP(A90,'Player Data'!A1:E667,5,FALSE),82)</f>
        <v>79.592500000000001</v>
      </c>
      <c r="E90" s="54">
        <f>(VLOOKUP($A90,'The List'!$B1:$AH665,17,FALSE)-AVERAGE('The List'!R2:R665))/STDEV('The List'!R2:R665)</f>
        <v>0.56165576560784647</v>
      </c>
      <c r="F90" s="54">
        <f>(VLOOKUP($A90,'The List'!$B1:$AH665,18,FALSE)-AVERAGE('The List'!S2:S665))/STDEV('The List'!S2:S665)</f>
        <v>1.0588249678897661</v>
      </c>
      <c r="G90" s="54">
        <f>(VLOOKUP($A90,'The List'!$B1:$AH665,19,FALSE)-AVERAGE('The List'!T2:T665))/STDEV('The List'!T2:T665)</f>
        <v>1.1990154259217136</v>
      </c>
      <c r="H90" s="54">
        <f>(VLOOKUP($A90,'The List'!$B1:$AH665,20,FALSE)-AVERAGE('The List'!U2:U665))/STDEV('The List'!U2:U665)</f>
        <v>1.2259422757701017</v>
      </c>
      <c r="I90" s="54">
        <f>(VLOOKUP($A90,'The List'!$B1:$AH665,21,FALSE)-AVERAGE('The List'!V2:V665))/STDEV('The List'!V2:V665)</f>
        <v>1.2195003016755179</v>
      </c>
      <c r="J90" s="54">
        <f>(VLOOKUP($A90,'The List'!$B1:$AH665,22,FALSE)-AVERAGE('The List'!W2:W665))/STDEV('The List'!W2:W665)</f>
        <v>1.0381009112690331</v>
      </c>
      <c r="K90" s="54">
        <f>(VLOOKUP($A90,'The List'!$B1:$AH665,23,FALSE)-AVERAGE('The List'!X2:X665))/STDEV('The List'!X2:X665)</f>
        <v>1.715662695391823</v>
      </c>
      <c r="L90" s="54">
        <f>(VLOOKUP($A90,'The List'!$B1:$AH665,24,FALSE)-AVERAGE('The List'!Y2:Y665))/STDEV('The List'!Y2:Y665)</f>
        <v>2.1910748422681241</v>
      </c>
      <c r="M90" s="54">
        <f>(VLOOKUP($A90,'The List'!$B1:$AH665,25,FALSE)-AVERAGE('The List'!Z2:Z665))/STDEV('The List'!Z2:Z665)</f>
        <v>1.7271063986323048</v>
      </c>
      <c r="N90" s="54">
        <f>(VLOOKUP($A90,'The List'!$B1:$AH665,26,FALSE)-AVERAGE('The List'!AA2:AA665))/STDEV('The List'!AA2:AA665)</f>
        <v>-0.79408047201725218</v>
      </c>
      <c r="O90" s="54">
        <f>(VLOOKUP($A90,'The List'!$B1:$AH665,27,FALSE)-AVERAGE('The List'!AB2:AB665))/STDEV('The List'!AB2:AB665)</f>
        <v>0.22270632062121118</v>
      </c>
      <c r="P90" s="54">
        <f>(VLOOKUP($A90,'The List'!$B1:$AH665,28,FALSE)-AVERAGE('The List'!AC2:AC665))/STDEV('The List'!AC2:AC665)</f>
        <v>0.81474569882696823</v>
      </c>
      <c r="Q90" s="54">
        <f>(VLOOKUP($A90,'The List'!$B1:$AH665,29,FALSE)-AVERAGE('The List'!AD2:AD665))/STDEV('The List'!AD2:AD665)</f>
        <v>2.7770456473491532</v>
      </c>
      <c r="R90" s="54">
        <f>(VLOOKUP($A90,'The List'!$B1:$AH665,30,FALSE)-AVERAGE('The List'!AE2:AE665))/STDEV('The List'!AE2:AE665)</f>
        <v>1.1166485272737017</v>
      </c>
      <c r="S90" s="54">
        <f>(VLOOKUP($A90,'The List'!$B1:$AH665,31,FALSE)-AVERAGE('The List'!AF2:AF665))/STDEV('The List'!AF2:AF665)</f>
        <v>-0.4714278084696481</v>
      </c>
      <c r="T90" s="54">
        <f>(VLOOKUP($A90,'The List'!$B1:$AH665,32,FALSE)-AVERAGE('The List'!AG2:AG665))/STDEV('The List'!AG2:AG665)</f>
        <v>-0.46126994271018362</v>
      </c>
      <c r="U90" s="54">
        <f>(VLOOKUP($A90,'The List'!$B1:$AH665,33,FALSE)-AVERAGE('The List'!AH2:AH665))/STDEV('The List'!AH2:AH665)</f>
        <v>0.57503401042409807</v>
      </c>
      <c r="V90" s="54"/>
      <c r="W90" s="56"/>
      <c r="X90" s="54"/>
      <c r="Y90" s="54"/>
      <c r="Z90" s="54"/>
      <c r="AA90" s="54"/>
      <c r="AB90" s="54"/>
      <c r="AC90" s="54"/>
      <c r="AD90" s="54"/>
      <c r="AE90" s="54"/>
    </row>
    <row r="91" spans="1:31" ht="21.25" customHeight="1" x14ac:dyDescent="0.15">
      <c r="A91" s="9" t="s">
        <v>163</v>
      </c>
      <c r="B91" s="65" t="str">
        <f>VLOOKUP(A91,'Player Data'!A1:B667,2,FALSE)</f>
        <v>TOR</v>
      </c>
      <c r="C91" s="51">
        <f>((E91)*Settings!$C$12)+(F91*Settings!$C$2)+(G91*Settings!$C$3)+(H91*Settings!$C$4)+(I91*Settings!$C$5)+(K91*Settings!$C$9)+(N91*Settings!$C$6)+(J91*Settings!$C$8)+(O91*Settings!$C$7)+(P91*Settings!$C$14)+(Q91*Settings!$C$15)+(R91*Settings!$C$16)+(S91*Settings!$C$17)+(T91*Settings!$C$18)+(U91*Settings!$C$19)+(L91*Settings!$C$10)+(Settings!$C$11*M91)</f>
        <v>7.0010267210841191</v>
      </c>
      <c r="D91" s="56">
        <f>IF(Settings!$E$12="YES",VLOOKUP(A91,'Player Data'!A1:E667,5,FALSE),82)</f>
        <v>77.917500000000004</v>
      </c>
      <c r="E91" s="54">
        <f>(VLOOKUP($A91,'The List'!$B1:$AH665,17,FALSE)-AVERAGE('The List'!R2:R665))/STDEV('The List'!R2:R665)</f>
        <v>2.0673300283537785</v>
      </c>
      <c r="F91" s="54">
        <f>(VLOOKUP($A91,'The List'!$B1:$AH665,18,FALSE)-AVERAGE('The List'!S2:S665))/STDEV('The List'!S2:S665)</f>
        <v>-0.54907702281919124</v>
      </c>
      <c r="G91" s="54">
        <f>(VLOOKUP($A91,'The List'!$B1:$AH665,19,FALSE)-AVERAGE('The List'!T2:T665))/STDEV('The List'!T2:T665)</f>
        <v>2.2460137130731885</v>
      </c>
      <c r="H91" s="54">
        <f>(VLOOKUP($A91,'The List'!$B1:$AH665,20,FALSE)-AVERAGE('The List'!U2:U665))/STDEV('The List'!U2:U665)</f>
        <v>1.1453191983363891</v>
      </c>
      <c r="I91" s="54">
        <f>(VLOOKUP($A91,'The List'!$B1:$AH665,21,FALSE)-AVERAGE('The List'!V2:V665))/STDEV('The List'!V2:V665)</f>
        <v>0.89968755299555525</v>
      </c>
      <c r="J91" s="54">
        <f>(VLOOKUP($A91,'The List'!$B1:$AH665,22,FALSE)-AVERAGE('The List'!W2:W665))/STDEV('The List'!W2:W665)</f>
        <v>-0.29293513581625441</v>
      </c>
      <c r="K91" s="54">
        <f>(VLOOKUP($A91,'The List'!$B1:$AH665,23,FALSE)-AVERAGE('The List'!X2:X665))/STDEV('The List'!X2:X665)</f>
        <v>1.6076048294948864</v>
      </c>
      <c r="L91" s="54">
        <f>(VLOOKUP($A91,'The List'!$B1:$AH665,24,FALSE)-AVERAGE('The List'!Y2:Y665))/STDEV('The List'!Y2:Y665)</f>
        <v>-0.55701765022376704</v>
      </c>
      <c r="M91" s="54">
        <f>(VLOOKUP($A91,'The List'!$B1:$AH665,25,FALSE)-AVERAGE('The List'!Z2:Z665))/STDEV('The List'!Z2:Z665)</f>
        <v>-0.40645118937810121</v>
      </c>
      <c r="N91" s="54">
        <f>(VLOOKUP($A91,'The List'!$B1:$AH665,26,FALSE)-AVERAGE('The List'!AA2:AA665))/STDEV('The List'!AA2:AA665)</f>
        <v>1.635275883218436</v>
      </c>
      <c r="O91" s="54">
        <f>(VLOOKUP($A91,'The List'!$B1:$AH665,27,FALSE)-AVERAGE('The List'!AB2:AB665))/STDEV('The List'!AB2:AB665)</f>
        <v>0.22183060359864151</v>
      </c>
      <c r="P91" s="54">
        <f>(VLOOKUP($A91,'The List'!$B1:$AH665,28,FALSE)-AVERAGE('The List'!AC2:AC665))/STDEV('The List'!AC2:AC665)</f>
        <v>1.1615217651212444</v>
      </c>
      <c r="Q91" s="54">
        <f>(VLOOKUP($A91,'The List'!$B1:$AH665,29,FALSE)-AVERAGE('The List'!AD2:AD665))/STDEV('The List'!AD2:AD665)</f>
        <v>-9.4556530270799008E-2</v>
      </c>
      <c r="R91" s="54">
        <f>(VLOOKUP($A91,'The List'!$B1:$AH665,30,FALSE)-AVERAGE('The List'!AE2:AE665))/STDEV('The List'!AE2:AE665)</f>
        <v>-0.46953705731366369</v>
      </c>
      <c r="S91" s="54">
        <f>(VLOOKUP($A91,'The List'!$B1:$AH665,31,FALSE)-AVERAGE('The List'!AF2:AF665))/STDEV('The List'!AF2:AF665)</f>
        <v>-0.57389441068000469</v>
      </c>
      <c r="T91" s="54">
        <f>(VLOOKUP($A91,'The List'!$B1:$AH665,32,FALSE)-AVERAGE('The List'!AG2:AG665))/STDEV('The List'!AG2:AG665)</f>
        <v>-0.62577078713265111</v>
      </c>
      <c r="U91" s="54">
        <f>(VLOOKUP($A91,'The List'!$B1:$AH665,33,FALSE)-AVERAGE('The List'!AH2:AH665))/STDEV('The List'!AH2:AH665)</f>
        <v>-1.2314350945148611</v>
      </c>
      <c r="V91" s="54"/>
      <c r="W91" s="64"/>
      <c r="X91" s="56"/>
      <c r="Y91" s="56"/>
      <c r="Z91" s="56"/>
      <c r="AA91" s="56"/>
      <c r="AB91" s="56"/>
      <c r="AC91" s="59"/>
      <c r="AD91" s="60"/>
      <c r="AE91" s="54"/>
    </row>
    <row r="92" spans="1:31" ht="21.25" customHeight="1" x14ac:dyDescent="0.15">
      <c r="A92" s="9" t="s">
        <v>225</v>
      </c>
      <c r="B92" s="65" t="str">
        <f>VLOOKUP(A92,'Player Data'!A1:B667,2,FALSE)</f>
        <v>NYR</v>
      </c>
      <c r="C92" s="51">
        <f>((E92)*Settings!$C$12)+(F92*Settings!$C$2)+(G92*Settings!$C$3)+(H92*Settings!$C$4)+(I92*Settings!$C$5)+(K92*Settings!$C$9)+(N92*Settings!$C$6)+(J92*Settings!$C$8)+(O92*Settings!$C$7)+(P92*Settings!$C$14)+(Q92*Settings!$C$15)+(R92*Settings!$C$16)+(S92*Settings!$C$17)+(T92*Settings!$C$18)+(U92*Settings!$C$19)+(L92*Settings!$C$10)+(Settings!$C$11*M92)</f>
        <v>6.1953312374526543</v>
      </c>
      <c r="D92" s="56">
        <f>IF(Settings!$E$12="YES",VLOOKUP(A92,'Player Data'!A1:E667,5,FALSE),82)</f>
        <v>81.517499999999998</v>
      </c>
      <c r="E92" s="54">
        <f>(VLOOKUP($A92,'The List'!$B1:$AH665,17,FALSE)-AVERAGE('The List'!R2:R665))/STDEV('The List'!R2:R665)</f>
        <v>0.53518026694915311</v>
      </c>
      <c r="F92" s="54">
        <f>(VLOOKUP($A92,'The List'!$B1:$AH665,18,FALSE)-AVERAGE('The List'!S2:S665))/STDEV('The List'!S2:S665)</f>
        <v>2.3074801909318121</v>
      </c>
      <c r="G92" s="54">
        <f>(VLOOKUP($A92,'The List'!$B1:$AH665,19,FALSE)-AVERAGE('The List'!T2:T665))/STDEV('The List'!T2:T665)</f>
        <v>0.35903764698112628</v>
      </c>
      <c r="H92" s="54">
        <f>(VLOOKUP($A92,'The List'!$B1:$AH665,20,FALSE)-AVERAGE('The List'!U2:U665))/STDEV('The List'!U2:U665)</f>
        <v>1.2718419969013179</v>
      </c>
      <c r="I92" s="54">
        <f>(VLOOKUP($A92,'The List'!$B1:$AH665,21,FALSE)-AVERAGE('The List'!V2:V665))/STDEV('The List'!V2:V665)</f>
        <v>1.7630719661377185</v>
      </c>
      <c r="J92" s="54">
        <f>(VLOOKUP($A92,'The List'!$B1:$AH665,22,FALSE)-AVERAGE('The List'!W2:W665))/STDEV('The List'!W2:W665)</f>
        <v>3.0568573143575186</v>
      </c>
      <c r="K92" s="54">
        <f>(VLOOKUP($A92,'The List'!$B1:$AH665,23,FALSE)-AVERAGE('The List'!X2:X665))/STDEV('The List'!X2:X665)</f>
        <v>1.5878073053561248</v>
      </c>
      <c r="L92" s="54">
        <f>(VLOOKUP($A92,'The List'!$B1:$AH665,24,FALSE)-AVERAGE('The List'!Y2:Y665))/STDEV('The List'!Y2:Y665)</f>
        <v>4.1928662868434587</v>
      </c>
      <c r="M92" s="54">
        <f>(VLOOKUP($A92,'The List'!$B1:$AH665,25,FALSE)-AVERAGE('The List'!Z2:Z665))/STDEV('The List'!Z2:Z665)</f>
        <v>3.7888200855279313</v>
      </c>
      <c r="N92" s="54">
        <f>(VLOOKUP($A92,'The List'!$B1:$AH665,26,FALSE)-AVERAGE('The List'!AA2:AA665))/STDEV('The List'!AA2:AA665)</f>
        <v>-0.94381880758183168</v>
      </c>
      <c r="O92" s="54">
        <f>(VLOOKUP($A92,'The List'!$B1:$AH665,27,FALSE)-AVERAGE('The List'!AB2:AB665))/STDEV('The List'!AB2:AB665)</f>
        <v>0.3218068597994207</v>
      </c>
      <c r="P92" s="54">
        <f>(VLOOKUP($A92,'The List'!$B1:$AH665,28,FALSE)-AVERAGE('The List'!AC2:AC665))/STDEV('The List'!AC2:AC665)</f>
        <v>1.1217529356277036</v>
      </c>
      <c r="Q92" s="54">
        <f>(VLOOKUP($A92,'The List'!$B1:$AH665,29,FALSE)-AVERAGE('The List'!AD2:AD665))/STDEV('The List'!AD2:AD665)</f>
        <v>-0.32296646779495936</v>
      </c>
      <c r="R92" s="54">
        <f>(VLOOKUP($A92,'The List'!$B1:$AH665,30,FALSE)-AVERAGE('The List'!AE2:AE665))/STDEV('The List'!AE2:AE665)</f>
        <v>2.5450262610154892</v>
      </c>
      <c r="S92" s="54">
        <f>(VLOOKUP($A92,'The List'!$B1:$AH665,31,FALSE)-AVERAGE('The List'!AF2:AF665))/STDEV('The List'!AF2:AF665)</f>
        <v>-0.36758966822130312</v>
      </c>
      <c r="T92" s="54">
        <f>(VLOOKUP($A92,'The List'!$B1:$AH665,32,FALSE)-AVERAGE('The List'!AG2:AG665))/STDEV('The List'!AG2:AG665)</f>
        <v>-0.32793176524594153</v>
      </c>
      <c r="U92" s="54">
        <f>(VLOOKUP($A92,'The List'!$B1:$AH665,33,FALSE)-AVERAGE('The List'!AH2:AH665))/STDEV('The List'!AH2:AH665)</f>
        <v>0.69155258038463552</v>
      </c>
      <c r="V92" s="54"/>
      <c r="W92" s="64"/>
      <c r="X92" s="56"/>
      <c r="Y92" s="56"/>
      <c r="Z92" s="56"/>
      <c r="AA92" s="56"/>
      <c r="AB92" s="56"/>
      <c r="AC92" s="59"/>
      <c r="AD92" s="60"/>
      <c r="AE92" s="54"/>
    </row>
    <row r="93" spans="1:31" ht="21.25" customHeight="1" x14ac:dyDescent="0.15">
      <c r="A93" s="9" t="s">
        <v>241</v>
      </c>
      <c r="B93" s="65" t="str">
        <f>VLOOKUP(A93,'Player Data'!A1:B667,2,FALSE)</f>
        <v>VAN</v>
      </c>
      <c r="C93" s="51">
        <f>((E93)*Settings!$C$12)+(F93*Settings!$C$2)+(G93*Settings!$C$3)+(H93*Settings!$C$4)+(I93*Settings!$C$5)+(K93*Settings!$C$9)+(N93*Settings!$C$6)+(J93*Settings!$C$8)+(O93*Settings!$C$7)+(P93*Settings!$C$14)+(Q93*Settings!$C$15)+(R93*Settings!$C$16)+(S93*Settings!$C$17)+(T93*Settings!$C$18)+(U93*Settings!$C$19)+(L93*Settings!$C$10)+(Settings!$C$11*M93)</f>
        <v>4.9517262490560618</v>
      </c>
      <c r="D93" s="56">
        <f>IF(Settings!$E$12="YES",VLOOKUP(A93,'Player Data'!A1:E667,5,FALSE),82)</f>
        <v>79.652500000000003</v>
      </c>
      <c r="E93" s="54">
        <f>(VLOOKUP($A93,'The List'!$B1:$AH665,17,FALSE)-AVERAGE('The List'!R2:R665))/STDEV('The List'!R2:R665)</f>
        <v>0.28383208178693242</v>
      </c>
      <c r="F93" s="54">
        <f>(VLOOKUP($A93,'The List'!$B1:$AH665,18,FALSE)-AVERAGE('The List'!S2:S665))/STDEV('The List'!S2:S665)</f>
        <v>1.6101748434496126</v>
      </c>
      <c r="G93" s="54">
        <f>(VLOOKUP($A93,'The List'!$B1:$AH665,19,FALSE)-AVERAGE('The List'!T2:T665))/STDEV('The List'!T2:T665)</f>
        <v>0.73093992035685307</v>
      </c>
      <c r="H93" s="54">
        <f>(VLOOKUP($A93,'The List'!$B1:$AH665,20,FALSE)-AVERAGE('The List'!U2:U665))/STDEV('The List'!U2:U665)</f>
        <v>1.1858557940166556</v>
      </c>
      <c r="I93" s="54">
        <f>(VLOOKUP($A93,'The List'!$B1:$AH665,21,FALSE)-AVERAGE('The List'!V2:V665))/STDEV('The List'!V2:V665)</f>
        <v>1.0583286447827496</v>
      </c>
      <c r="J93" s="54">
        <f>(VLOOKUP($A93,'The List'!$B1:$AH665,22,FALSE)-AVERAGE('The List'!W2:W665))/STDEV('The List'!W2:W665)</f>
        <v>2.5852155124913088</v>
      </c>
      <c r="K93" s="54">
        <f>(VLOOKUP($A93,'The List'!$B1:$AH665,23,FALSE)-AVERAGE('The List'!X2:X665))/STDEV('The List'!X2:X665)</f>
        <v>1.4517045650010969</v>
      </c>
      <c r="L93" s="54">
        <f>(VLOOKUP($A93,'The List'!$B1:$AH665,24,FALSE)-AVERAGE('The List'!Y2:Y665))/STDEV('The List'!Y2:Y665)</f>
        <v>-0.57090595292223523</v>
      </c>
      <c r="M93" s="54">
        <f>(VLOOKUP($A93,'The List'!$B1:$AH665,25,FALSE)-AVERAGE('The List'!Z2:Z665))/STDEV('The List'!Z2:Z665)</f>
        <v>-0.74455743665215013</v>
      </c>
      <c r="N93" s="54">
        <f>(VLOOKUP($A93,'The List'!$B1:$AH665,26,FALSE)-AVERAGE('The List'!AA2:AA665))/STDEV('The List'!AA2:AA665)</f>
        <v>-0.8311172292849327</v>
      </c>
      <c r="O93" s="54">
        <f>(VLOOKUP($A93,'The List'!$B1:$AH665,27,FALSE)-AVERAGE('The List'!AB2:AB665))/STDEV('The List'!AB2:AB665)</f>
        <v>-0.81526874974743491</v>
      </c>
      <c r="P93" s="54">
        <f>(VLOOKUP($A93,'The List'!$B1:$AH665,28,FALSE)-AVERAGE('The List'!AC2:AC665))/STDEV('The List'!AC2:AC665)</f>
        <v>0.93169550475068197</v>
      </c>
      <c r="Q93" s="54">
        <f>(VLOOKUP($A93,'The List'!$B1:$AH665,29,FALSE)-AVERAGE('The List'!AD2:AD665))/STDEV('The List'!AD2:AD665)</f>
        <v>-0.7055829638441532</v>
      </c>
      <c r="R93" s="54">
        <f>(VLOOKUP($A93,'The List'!$B1:$AH665,30,FALSE)-AVERAGE('The List'!AE2:AE665))/STDEV('The List'!AE2:AE665)</f>
        <v>1.9516500799948469</v>
      </c>
      <c r="S93" s="54">
        <f>(VLOOKUP($A93,'The List'!$B1:$AH665,31,FALSE)-AVERAGE('The List'!AF2:AF665))/STDEV('The List'!AF2:AF665)</f>
        <v>-0.49763281136958282</v>
      </c>
      <c r="T93" s="54">
        <f>(VLOOKUP($A93,'The List'!$B1:$AH665,32,FALSE)-AVERAGE('The List'!AG2:AG665))/STDEV('The List'!AG2:AG665)</f>
        <v>-0.53614873959041698</v>
      </c>
      <c r="U93" s="54">
        <f>(VLOOKUP($A93,'The List'!$B1:$AH665,33,FALSE)-AVERAGE('The List'!AH2:AH665))/STDEV('The List'!AH2:AH665)</f>
        <v>0.92216681581666216</v>
      </c>
      <c r="V93" s="54"/>
      <c r="W93" s="64"/>
      <c r="X93" s="56"/>
      <c r="Y93" s="56"/>
      <c r="Z93" s="56"/>
      <c r="AA93" s="56"/>
      <c r="AB93" s="56"/>
      <c r="AC93" s="59"/>
      <c r="AD93" s="60"/>
      <c r="AE93" s="54"/>
    </row>
    <row r="94" spans="1:31" ht="21.25" customHeight="1" x14ac:dyDescent="0.15">
      <c r="A94" s="9" t="s">
        <v>256</v>
      </c>
      <c r="B94" s="65" t="str">
        <f>VLOOKUP(A94,'Player Data'!A1:B667,2,FALSE)</f>
        <v>DET</v>
      </c>
      <c r="C94" s="51">
        <f>((E94)*Settings!$C$12)+(F94*Settings!$C$2)+(G94*Settings!$C$3)+(H94*Settings!$C$4)+(I94*Settings!$C$5)+(K94*Settings!$C$9)+(N94*Settings!$C$6)+(J94*Settings!$C$8)+(O94*Settings!$C$7)+(P94*Settings!$C$14)+(Q94*Settings!$C$15)+(R94*Settings!$C$16)+(S94*Settings!$C$17)+(T94*Settings!$C$18)+(U94*Settings!$C$19)+(L94*Settings!$C$10)+(Settings!$C$11*M94)</f>
        <v>2.6586913573416089</v>
      </c>
      <c r="D94" s="56">
        <f>IF(Settings!$E$12="YES",VLOOKUP(A94,'Player Data'!A1:E667,5,FALSE),82)</f>
        <v>74.712500000000006</v>
      </c>
      <c r="E94" s="54">
        <f>(VLOOKUP($A94,'The List'!$B1:$AH665,17,FALSE)-AVERAGE('The List'!R2:R665))/STDEV('The List'!R2:R665)</f>
        <v>0.40990268120354956</v>
      </c>
      <c r="F94" s="54">
        <f>(VLOOKUP($A94,'The List'!$B1:$AH665,18,FALSE)-AVERAGE('The List'!S2:S665))/STDEV('The List'!S2:S665)</f>
        <v>0.85140964213798032</v>
      </c>
      <c r="G94" s="54">
        <f>(VLOOKUP($A94,'The List'!$B1:$AH665,19,FALSE)-AVERAGE('The List'!T2:T665))/STDEV('The List'!T2:T665)</f>
        <v>0.99477723994037981</v>
      </c>
      <c r="H94" s="54">
        <f>(VLOOKUP($A94,'The List'!$B1:$AH665,20,FALSE)-AVERAGE('The List'!U2:U665))/STDEV('The List'!U2:U665)</f>
        <v>1.0048187535516595</v>
      </c>
      <c r="I94" s="54">
        <f>(VLOOKUP($A94,'The List'!$B1:$AH665,21,FALSE)-AVERAGE('The List'!V2:V665))/STDEV('The List'!V2:V665)</f>
        <v>1.3789879565380563</v>
      </c>
      <c r="J94" s="54">
        <f>(VLOOKUP($A94,'The List'!$B1:$AH665,22,FALSE)-AVERAGE('The List'!W2:W665))/STDEV('The List'!W2:W665)</f>
        <v>0.42149845608025216</v>
      </c>
      <c r="K94" s="54">
        <f>(VLOOKUP($A94,'The List'!$B1:$AH665,23,FALSE)-AVERAGE('The List'!X2:X665))/STDEV('The List'!X2:X665)</f>
        <v>1.1389165499987242</v>
      </c>
      <c r="L94" s="54">
        <f>(VLOOKUP($A94,'The List'!$B1:$AH665,24,FALSE)-AVERAGE('The List'!Y2:Y665))/STDEV('The List'!Y2:Y665)</f>
        <v>-0.57414090219536951</v>
      </c>
      <c r="M94" s="54">
        <f>(VLOOKUP($A94,'The List'!$B1:$AH665,25,FALSE)-AVERAGE('The List'!Z2:Z665))/STDEV('The List'!Z2:Z665)</f>
        <v>-0.74773294266326173</v>
      </c>
      <c r="N94" s="54">
        <f>(VLOOKUP($A94,'The List'!$B1:$AH665,26,FALSE)-AVERAGE('The List'!AA2:AA665))/STDEV('The List'!AA2:AA665)</f>
        <v>-1.0333388807842376</v>
      </c>
      <c r="O94" s="54">
        <f>(VLOOKUP($A94,'The List'!$B1:$AH665,27,FALSE)-AVERAGE('The List'!AB2:AB665))/STDEV('The List'!AB2:AB665)</f>
        <v>-1.4497221197117174</v>
      </c>
      <c r="P94" s="54">
        <f>(VLOOKUP($A94,'The List'!$B1:$AH665,28,FALSE)-AVERAGE('The List'!AC2:AC665))/STDEV('The List'!AC2:AC665)</f>
        <v>-0.6720611504892936</v>
      </c>
      <c r="Q94" s="54">
        <f>(VLOOKUP($A94,'The List'!$B1:$AH665,29,FALSE)-AVERAGE('The List'!AD2:AD665))/STDEV('The List'!AD2:AD665)</f>
        <v>-0.82790280412052808</v>
      </c>
      <c r="R94" s="54">
        <f>(VLOOKUP($A94,'The List'!$B1:$AH665,30,FALSE)-AVERAGE('The List'!AE2:AE665))/STDEV('The List'!AE2:AE665)</f>
        <v>0.65109496764814279</v>
      </c>
      <c r="S94" s="54">
        <f>(VLOOKUP($A94,'The List'!$B1:$AH665,31,FALSE)-AVERAGE('The List'!AF2:AF665))/STDEV('The List'!AF2:AF665)</f>
        <v>-0.57082605763178829</v>
      </c>
      <c r="T94" s="54">
        <f>(VLOOKUP($A94,'The List'!$B1:$AH665,32,FALSE)-AVERAGE('The List'!AG2:AG665))/STDEV('The List'!AG2:AG665)</f>
        <v>-0.61974446902892288</v>
      </c>
      <c r="U94" s="54">
        <f>(VLOOKUP($A94,'The List'!$B1:$AH665,33,FALSE)-AVERAGE('The List'!AH2:AH665))/STDEV('The List'!AH2:AH665)</f>
        <v>0.36106550467484788</v>
      </c>
      <c r="V94" s="54"/>
      <c r="W94" s="64"/>
      <c r="X94" s="56"/>
      <c r="Y94" s="56"/>
      <c r="Z94" s="56"/>
      <c r="AA94" s="56"/>
      <c r="AB94" s="56"/>
      <c r="AC94" s="59"/>
      <c r="AD94" s="60"/>
      <c r="AE94" s="54"/>
    </row>
    <row r="95" spans="1:31" ht="21.25" customHeight="1" x14ac:dyDescent="0.15">
      <c r="A95" s="9" t="s">
        <v>268</v>
      </c>
      <c r="B95" s="65" t="str">
        <f>VLOOKUP(A95,'Player Data'!A1:B667,2,FALSE)</f>
        <v>L.A</v>
      </c>
      <c r="C95" s="51">
        <f>((E95)*Settings!$C$12)+(F95*Settings!$C$2)+(G95*Settings!$C$3)+(H95*Settings!$C$4)+(I95*Settings!$C$5)+(K95*Settings!$C$9)+(N95*Settings!$C$6)+(J95*Settings!$C$8)+(O95*Settings!$C$7)+(P95*Settings!$C$14)+(Q95*Settings!$C$15)+(R95*Settings!$C$16)+(S95*Settings!$C$17)+(T95*Settings!$C$18)+(U95*Settings!$C$19)+(L95*Settings!$C$10)+(Settings!$C$11*M95)</f>
        <v>4.4282506236979193</v>
      </c>
      <c r="D95" s="56">
        <f>IF(Settings!$E$12="YES",VLOOKUP(A95,'Player Data'!A1:E667,5,FALSE),82)</f>
        <v>81.752499999999998</v>
      </c>
      <c r="E95" s="54">
        <f>(VLOOKUP($A95,'The List'!$B1:$AH665,17,FALSE)-AVERAGE('The List'!R2:R665))/STDEV('The List'!R2:R665)</f>
        <v>0.7724525452684109</v>
      </c>
      <c r="F95" s="54">
        <f>(VLOOKUP($A95,'The List'!$B1:$AH665,18,FALSE)-AVERAGE('The List'!S2:S665))/STDEV('The List'!S2:S665)</f>
        <v>0.92141690911717389</v>
      </c>
      <c r="G95" s="54">
        <f>(VLOOKUP($A95,'The List'!$B1:$AH665,19,FALSE)-AVERAGE('The List'!T2:T665))/STDEV('The List'!T2:T665)</f>
        <v>1.2963534875257905</v>
      </c>
      <c r="H95" s="54">
        <f>(VLOOKUP($A95,'The List'!$B1:$AH665,20,FALSE)-AVERAGE('The List'!U2:U665))/STDEV('The List'!U2:U665)</f>
        <v>1.2239361909203978</v>
      </c>
      <c r="I95" s="54">
        <f>(VLOOKUP($A95,'The List'!$B1:$AH665,21,FALSE)-AVERAGE('The List'!V2:V665))/STDEV('The List'!V2:V665)</f>
        <v>0.33687787847059691</v>
      </c>
      <c r="J95" s="54">
        <f>(VLOOKUP($A95,'The List'!$B1:$AH665,22,FALSE)-AVERAGE('The List'!W2:W665))/STDEV('The List'!W2:W665)</f>
        <v>1.0422586212618425</v>
      </c>
      <c r="K95" s="54">
        <f>(VLOOKUP($A95,'The List'!$B1:$AH665,23,FALSE)-AVERAGE('The List'!X2:X665))/STDEV('The List'!X2:X665)</f>
        <v>1.1575110244213682</v>
      </c>
      <c r="L95" s="54">
        <f>(VLOOKUP($A95,'The List'!$B1:$AH665,24,FALSE)-AVERAGE('The List'!Y2:Y665))/STDEV('The List'!Y2:Y665)</f>
        <v>0.4189372869003799</v>
      </c>
      <c r="M95" s="54">
        <f>(VLOOKUP($A95,'The List'!$B1:$AH665,25,FALSE)-AVERAGE('The List'!Z2:Z665))/STDEV('The List'!Z2:Z665)</f>
        <v>1.4153310700680231</v>
      </c>
      <c r="N95" s="54">
        <f>(VLOOKUP($A95,'The List'!$B1:$AH665,26,FALSE)-AVERAGE('The List'!AA2:AA665))/STDEV('The List'!AA2:AA665)</f>
        <v>6.1507337770748106E-2</v>
      </c>
      <c r="O95" s="54">
        <f>(VLOOKUP($A95,'The List'!$B1:$AH665,27,FALSE)-AVERAGE('The List'!AB2:AB665))/STDEV('The List'!AB2:AB665)</f>
        <v>-0.89856434290973852</v>
      </c>
      <c r="P95" s="54">
        <f>(VLOOKUP($A95,'The List'!$B1:$AH665,28,FALSE)-AVERAGE('The List'!AC2:AC665))/STDEV('The List'!AC2:AC665)</f>
        <v>0.65458398639224125</v>
      </c>
      <c r="Q95" s="54">
        <f>(VLOOKUP($A95,'The List'!$B1:$AH665,29,FALSE)-AVERAGE('The List'!AD2:AD665))/STDEV('The List'!AD2:AD665)</f>
        <v>-1.3000293972148678</v>
      </c>
      <c r="R95" s="54">
        <f>(VLOOKUP($A95,'The List'!$B1:$AH665,30,FALSE)-AVERAGE('The List'!AE2:AE665))/STDEV('The List'!AE2:AE665)</f>
        <v>1.3043152177600044</v>
      </c>
      <c r="S95" s="54">
        <f>(VLOOKUP($A95,'The List'!$B1:$AH665,31,FALSE)-AVERAGE('The List'!AF2:AF665))/STDEV('The List'!AF2:AF665)</f>
        <v>3.6043100608808514</v>
      </c>
      <c r="T95" s="54">
        <f>(VLOOKUP($A95,'The List'!$B1:$AH665,32,FALSE)-AVERAGE('The List'!AG2:AG665))/STDEV('The List'!AG2:AG665)</f>
        <v>2.8953108031720922</v>
      </c>
      <c r="U95" s="54">
        <f>(VLOOKUP($A95,'The List'!$B1:$AH665,33,FALSE)-AVERAGE('The List'!AH2:AH665))/STDEV('The List'!AH2:AH665)</f>
        <v>1.2977496527343595</v>
      </c>
      <c r="V95" s="54"/>
      <c r="W95" s="64"/>
      <c r="X95" s="56"/>
      <c r="Y95" s="56"/>
      <c r="Z95" s="56"/>
      <c r="AA95" s="56"/>
      <c r="AB95" s="56"/>
      <c r="AC95" s="59"/>
      <c r="AD95" s="60"/>
      <c r="AE95" s="54"/>
    </row>
    <row r="96" spans="1:31" ht="21.25" customHeight="1" x14ac:dyDescent="0.15">
      <c r="A96" s="9" t="s">
        <v>223</v>
      </c>
      <c r="B96" s="65" t="str">
        <f>VLOOKUP(A96,'Player Data'!A1:B667,2,FALSE)</f>
        <v>PIT</v>
      </c>
      <c r="C96" s="51">
        <f>((E96)*Settings!$C$12)+(F96*Settings!$C$2)+(G96*Settings!$C$3)+(H96*Settings!$C$4)+(I96*Settings!$C$5)+(K96*Settings!$C$9)+(N96*Settings!$C$6)+(J96*Settings!$C$8)+(O96*Settings!$C$7)+(P96*Settings!$C$14)+(Q96*Settings!$C$15)+(R96*Settings!$C$16)+(S96*Settings!$C$17)+(T96*Settings!$C$18)+(U96*Settings!$C$19)+(L96*Settings!$C$10)+(Settings!$C$11*M96)</f>
        <v>4.8910898239575085</v>
      </c>
      <c r="D96" s="56">
        <f>IF(Settings!$E$12="YES",VLOOKUP(A96,'Player Data'!A1:E667,5,FALSE),82)</f>
        <v>76.142499999999998</v>
      </c>
      <c r="E96" s="54">
        <f>(VLOOKUP($A96,'The List'!$B1:$AH665,17,FALSE)-AVERAGE('The List'!R2:R665))/STDEV('The List'!R2:R665)</f>
        <v>0.99822306487672163</v>
      </c>
      <c r="F96" s="54">
        <f>(VLOOKUP($A96,'The List'!$B1:$AH665,18,FALSE)-AVERAGE('The List'!S2:S665))/STDEV('The List'!S2:S665)</f>
        <v>1.3044435576796243</v>
      </c>
      <c r="G96" s="54">
        <f>(VLOOKUP($A96,'The List'!$B1:$AH665,19,FALSE)-AVERAGE('The List'!T2:T665))/STDEV('The List'!T2:T665)</f>
        <v>0.68606309524744535</v>
      </c>
      <c r="H96" s="54">
        <f>(VLOOKUP($A96,'The List'!$B1:$AH665,20,FALSE)-AVERAGE('The List'!U2:U665))/STDEV('The List'!U2:U665)</f>
        <v>1.0190153603274701</v>
      </c>
      <c r="I96" s="54">
        <f>(VLOOKUP($A96,'The List'!$B1:$AH665,21,FALSE)-AVERAGE('The List'!V2:V665))/STDEV('The List'!V2:V665)</f>
        <v>1.7790741612584937</v>
      </c>
      <c r="J96" s="54">
        <f>(VLOOKUP($A96,'The List'!$B1:$AH665,22,FALSE)-AVERAGE('The List'!W2:W665))/STDEV('The List'!W2:W665)</f>
        <v>0.72277267420008262</v>
      </c>
      <c r="K96" s="54">
        <f>(VLOOKUP($A96,'The List'!$B1:$AH665,23,FALSE)-AVERAGE('The List'!X2:X665))/STDEV('The List'!X2:X665)</f>
        <v>0.84181008954517311</v>
      </c>
      <c r="L96" s="54">
        <f>(VLOOKUP($A96,'The List'!$B1:$AH665,24,FALSE)-AVERAGE('The List'!Y2:Y665))/STDEV('The List'!Y2:Y665)</f>
        <v>-0.3143739493135807</v>
      </c>
      <c r="M96" s="54">
        <f>(VLOOKUP($A96,'The List'!$B1:$AH665,25,FALSE)-AVERAGE('The List'!Z2:Z665))/STDEV('The List'!Z2:Z665)</f>
        <v>-0.1200213380851643</v>
      </c>
      <c r="N96" s="54">
        <f>(VLOOKUP($A96,'The List'!$B1:$AH665,26,FALSE)-AVERAGE('The List'!AA2:AA665))/STDEV('The List'!AA2:AA665)</f>
        <v>-0.20338609919000553</v>
      </c>
      <c r="O96" s="54">
        <f>(VLOOKUP($A96,'The List'!$B1:$AH665,27,FALSE)-AVERAGE('The List'!AB2:AB665))/STDEV('The List'!AB2:AB665)</f>
        <v>-0.39441655388717023</v>
      </c>
      <c r="P96" s="54">
        <f>(VLOOKUP($A96,'The List'!$B1:$AH665,28,FALSE)-AVERAGE('The List'!AC2:AC665))/STDEV('The List'!AC2:AC665)</f>
        <v>0.48308501941677739</v>
      </c>
      <c r="Q96" s="54">
        <f>(VLOOKUP($A96,'The List'!$B1:$AH665,29,FALSE)-AVERAGE('The List'!AD2:AD665))/STDEV('The List'!AD2:AD665)</f>
        <v>-0.23553018940156636</v>
      </c>
      <c r="R96" s="54">
        <f>(VLOOKUP($A96,'The List'!$B1:$AH665,30,FALSE)-AVERAGE('The List'!AE2:AE665))/STDEV('The List'!AE2:AE665)</f>
        <v>1.2350306862893394</v>
      </c>
      <c r="S96" s="54">
        <f>(VLOOKUP($A96,'The List'!$B1:$AH665,31,FALSE)-AVERAGE('The List'!AF2:AF665))/STDEV('The List'!AF2:AF665)</f>
        <v>-0.55782252838195545</v>
      </c>
      <c r="T96" s="54">
        <f>(VLOOKUP($A96,'The List'!$B1:$AH665,32,FALSE)-AVERAGE('The List'!AG2:AG665))/STDEV('The List'!AG2:AG665)</f>
        <v>-0.59101857820043335</v>
      </c>
      <c r="U96" s="54">
        <f>(VLOOKUP($A96,'The List'!$B1:$AH665,33,FALSE)-AVERAGE('The List'!AH2:AH665))/STDEV('The List'!AH2:AH665)</f>
        <v>0.26318624907417937</v>
      </c>
      <c r="V96" s="54"/>
      <c r="W96" s="64"/>
      <c r="X96" s="56"/>
      <c r="Y96" s="56"/>
      <c r="Z96" s="56"/>
      <c r="AA96" s="56"/>
      <c r="AB96" s="56"/>
      <c r="AC96" s="59"/>
      <c r="AD96" s="60"/>
      <c r="AE96" s="54"/>
    </row>
    <row r="97" spans="1:31" ht="21.25" customHeight="1" x14ac:dyDescent="0.15">
      <c r="A97" s="9" t="s">
        <v>432</v>
      </c>
      <c r="B97" s="65" t="str">
        <f>VLOOKUP(A97,'Player Data'!A1:B667,2,FALSE)</f>
        <v>COL</v>
      </c>
      <c r="C97" s="51">
        <f>((E97)*Settings!$C$12)+(F97*Settings!$C$2)+(G97*Settings!$C$3)+(H97*Settings!$C$4)+(I97*Settings!$C$5)+(K97*Settings!$C$9)+(N97*Settings!$C$6)+(J97*Settings!$C$8)+(O97*Settings!$C$7)+(P97*Settings!$C$14)+(Q97*Settings!$C$15)+(R97*Settings!$C$16)+(S97*Settings!$C$17)+(T97*Settings!$C$18)+(U97*Settings!$C$19)+(L97*Settings!$C$10)+(Settings!$C$11*M97)</f>
        <v>0.45651513668057242</v>
      </c>
      <c r="D97" s="56">
        <f>IF(Settings!$E$12="YES",VLOOKUP(A97,'Player Data'!A1:E667,5,FALSE),82)</f>
        <v>52</v>
      </c>
      <c r="E97" s="54">
        <f>(VLOOKUP($A97,'The List'!$B1:$AH665,17,FALSE)-AVERAGE('The List'!R2:R665))/STDEV('The List'!R2:R665)</f>
        <v>0.4410377809794383</v>
      </c>
      <c r="F97" s="54">
        <f>(VLOOKUP($A97,'The List'!$B1:$AH665,18,FALSE)-AVERAGE('The List'!S2:S665))/STDEV('The List'!S2:S665)</f>
        <v>0.46956322681992962</v>
      </c>
      <c r="G97" s="54">
        <f>(VLOOKUP($A97,'The List'!$B1:$AH665,19,FALSE)-AVERAGE('The List'!T2:T665))/STDEV('The List'!T2:T665)</f>
        <v>-7.1899118885136087E-2</v>
      </c>
      <c r="H97" s="54">
        <f>(VLOOKUP($A97,'The List'!$B1:$AH665,20,FALSE)-AVERAGE('The List'!U2:U665))/STDEV('The List'!U2:U665)</f>
        <v>0.16878541114194548</v>
      </c>
      <c r="I97" s="54">
        <f>(VLOOKUP($A97,'The List'!$B1:$AH665,21,FALSE)-AVERAGE('The List'!V2:V665))/STDEV('The List'!V2:V665)</f>
        <v>-7.9271964465996558E-3</v>
      </c>
      <c r="J97" s="54">
        <f>(VLOOKUP($A97,'The List'!$B1:$AH665,22,FALSE)-AVERAGE('The List'!W2:W665))/STDEV('The List'!W2:W665)</f>
        <v>1.4544422195586939</v>
      </c>
      <c r="K97" s="54">
        <f>(VLOOKUP($A97,'The List'!$B1:$AH665,23,FALSE)-AVERAGE('The List'!X2:X665))/STDEV('The List'!X2:X665)</f>
        <v>0.4409481281629356</v>
      </c>
      <c r="L97" s="54">
        <f>(VLOOKUP($A97,'The List'!$B1:$AH665,24,FALSE)-AVERAGE('The List'!Y2:Y665))/STDEV('The List'!Y2:Y665)</f>
        <v>-0.1236916606073926</v>
      </c>
      <c r="M97" s="54">
        <f>(VLOOKUP($A97,'The List'!$B1:$AH665,25,FALSE)-AVERAGE('The List'!Z2:Z665))/STDEV('The List'!Z2:Z665)</f>
        <v>0.52031631929037891</v>
      </c>
      <c r="N97" s="54">
        <f>(VLOOKUP($A97,'The List'!$B1:$AH665,26,FALSE)-AVERAGE('The List'!AA2:AA665))/STDEV('The List'!AA2:AA665)</f>
        <v>-0.96787515710134098</v>
      </c>
      <c r="O97" s="54">
        <f>(VLOOKUP($A97,'The List'!$B1:$AH665,27,FALSE)-AVERAGE('The List'!AB2:AB665))/STDEV('The List'!AB2:AB665)</f>
        <v>-0.66537571094723147</v>
      </c>
      <c r="P97" s="54">
        <f>(VLOOKUP($A97,'The List'!$B1:$AH665,28,FALSE)-AVERAGE('The List'!AC2:AC665))/STDEV('The List'!AC2:AC665)</f>
        <v>0.5937052541307839</v>
      </c>
      <c r="Q97" s="54">
        <f>(VLOOKUP($A97,'The List'!$B1:$AH665,29,FALSE)-AVERAGE('The List'!AD2:AD665))/STDEV('The List'!AD2:AD665)</f>
        <v>-1.0607398703850583</v>
      </c>
      <c r="R97" s="54">
        <f>(VLOOKUP($A97,'The List'!$B1:$AH665,30,FALSE)-AVERAGE('The List'!AE2:AE665))/STDEV('The List'!AE2:AE665)</f>
        <v>0.45413630807281435</v>
      </c>
      <c r="S97" s="54">
        <f>(VLOOKUP($A97,'The List'!$B1:$AH665,31,FALSE)-AVERAGE('The List'!AF2:AF665))/STDEV('The List'!AF2:AF665)</f>
        <v>-0.5708422701368624</v>
      </c>
      <c r="T97" s="54">
        <f>(VLOOKUP($A97,'The List'!$B1:$AH665,32,FALSE)-AVERAGE('The List'!AG2:AG665))/STDEV('The List'!AG2:AG665)</f>
        <v>-0.60203359715244642</v>
      </c>
      <c r="U97" s="54">
        <f>(VLOOKUP($A97,'The List'!$B1:$AH665,33,FALSE)-AVERAGE('The List'!AH2:AH665))/STDEV('The List'!AH2:AH665)</f>
        <v>-0.68606311166693412</v>
      </c>
      <c r="V97" s="54"/>
      <c r="W97" s="64"/>
      <c r="X97" s="56"/>
      <c r="Y97" s="56"/>
      <c r="Z97" s="56"/>
      <c r="AA97" s="56"/>
      <c r="AB97" s="56"/>
      <c r="AC97" s="59"/>
      <c r="AD97" s="60"/>
      <c r="AE97" s="54"/>
    </row>
    <row r="98" spans="1:31" ht="21.25" customHeight="1" x14ac:dyDescent="0.15">
      <c r="A98" s="9" t="s">
        <v>172</v>
      </c>
      <c r="B98" s="65" t="str">
        <f>VLOOKUP(A98,'Player Data'!A1:B667,2,FALSE)</f>
        <v>WPG</v>
      </c>
      <c r="C98" s="51">
        <f>((E98)*Settings!$C$12)+(F98*Settings!$C$2)+(G98*Settings!$C$3)+(H98*Settings!$C$4)+(I98*Settings!$C$5)+(K98*Settings!$C$9)+(N98*Settings!$C$6)+(J98*Settings!$C$8)+(O98*Settings!$C$7)+(P98*Settings!$C$14)+(Q98*Settings!$C$15)+(R98*Settings!$C$16)+(S98*Settings!$C$17)+(T98*Settings!$C$18)+(U98*Settings!$C$19)+(L98*Settings!$C$10)+(Settings!$C$11*M98)</f>
        <v>6.4213735645775856</v>
      </c>
      <c r="D98" s="56">
        <f>IF(Settings!$E$12="YES",VLOOKUP(A98,'Player Data'!A1:E667,5,FALSE),82)</f>
        <v>81.002499999999998</v>
      </c>
      <c r="E98" s="54">
        <f>(VLOOKUP($A98,'The List'!$B1:$AH665,17,FALSE)-AVERAGE('The List'!R2:R665))/STDEV('The List'!R2:R665)</f>
        <v>1.9988496958937814</v>
      </c>
      <c r="F98" s="54">
        <f>(VLOOKUP($A98,'The List'!$B1:$AH665,18,FALSE)-AVERAGE('The List'!S2:S665))/STDEV('The List'!S2:S665)</f>
        <v>-9.5392890143979905E-2</v>
      </c>
      <c r="G98" s="54">
        <f>(VLOOKUP($A98,'The List'!$B1:$AH665,19,FALSE)-AVERAGE('The List'!T2:T665))/STDEV('The List'!T2:T665)</f>
        <v>1.9669897714266236</v>
      </c>
      <c r="H98" s="54">
        <f>(VLOOKUP($A98,'The List'!$B1:$AH665,20,FALSE)-AVERAGE('The List'!U2:U665))/STDEV('The List'!U2:U665)</f>
        <v>1.1782506452226251</v>
      </c>
      <c r="I98" s="54">
        <f>(VLOOKUP($A98,'The List'!$B1:$AH665,21,FALSE)-AVERAGE('The List'!V2:V665))/STDEV('The List'!V2:V665)</f>
        <v>0.90532128794419864</v>
      </c>
      <c r="J98" s="54">
        <f>(VLOOKUP($A98,'The List'!$B1:$AH665,22,FALSE)-AVERAGE('The List'!W2:W665))/STDEV('The List'!W2:W665)</f>
        <v>7.0388519804476288E-2</v>
      </c>
      <c r="K98" s="54">
        <f>(VLOOKUP($A98,'The List'!$B1:$AH665,23,FALSE)-AVERAGE('The List'!X2:X665))/STDEV('The List'!X2:X665)</f>
        <v>1.2909419350819649</v>
      </c>
      <c r="L98" s="54">
        <f>(VLOOKUP($A98,'The List'!$B1:$AH665,24,FALSE)-AVERAGE('The List'!Y2:Y665))/STDEV('The List'!Y2:Y665)</f>
        <v>-0.57245118816330365</v>
      </c>
      <c r="M98" s="54">
        <f>(VLOOKUP($A98,'The List'!$B1:$AH665,25,FALSE)-AVERAGE('The List'!Z2:Z665))/STDEV('The List'!Z2:Z665)</f>
        <v>-0.73093615416806956</v>
      </c>
      <c r="N98" s="54">
        <f>(VLOOKUP($A98,'The List'!$B1:$AH665,26,FALSE)-AVERAGE('The List'!AA2:AA665))/STDEV('The List'!AA2:AA665)</f>
        <v>1.0863374635593388</v>
      </c>
      <c r="O98" s="54">
        <f>(VLOOKUP($A98,'The List'!$B1:$AH665,27,FALSE)-AVERAGE('The List'!AB2:AB665))/STDEV('The List'!AB2:AB665)</f>
        <v>9.1375629624382226E-2</v>
      </c>
      <c r="P98" s="54">
        <f>(VLOOKUP($A98,'The List'!$B1:$AH665,28,FALSE)-AVERAGE('The List'!AC2:AC665))/STDEV('The List'!AC2:AC665)</f>
        <v>1.2671759967094398</v>
      </c>
      <c r="Q98" s="54">
        <f>(VLOOKUP($A98,'The List'!$B1:$AH665,29,FALSE)-AVERAGE('The List'!AD2:AD665))/STDEV('The List'!AD2:AD665)</f>
        <v>1.0852744264130154</v>
      </c>
      <c r="R98" s="54">
        <f>(VLOOKUP($A98,'The List'!$B1:$AH665,30,FALSE)-AVERAGE('The List'!AE2:AE665))/STDEV('The List'!AE2:AE665)</f>
        <v>4.5961830719000792E-2</v>
      </c>
      <c r="S98" s="54">
        <f>(VLOOKUP($A98,'The List'!$B1:$AH665,31,FALSE)-AVERAGE('The List'!AF2:AF665))/STDEV('The List'!AF2:AF665)</f>
        <v>-0.57389441068000469</v>
      </c>
      <c r="T98" s="54">
        <f>(VLOOKUP($A98,'The List'!$B1:$AH665,32,FALSE)-AVERAGE('The List'!AG2:AG665))/STDEV('The List'!AG2:AG665)</f>
        <v>-0.62577078713265111</v>
      </c>
      <c r="U98" s="54">
        <f>(VLOOKUP($A98,'The List'!$B1:$AH665,33,FALSE)-AVERAGE('The List'!AH2:AH665))/STDEV('The List'!AH2:AH665)</f>
        <v>-1.2314350945148611</v>
      </c>
      <c r="V98" s="54"/>
      <c r="W98" s="56"/>
      <c r="X98" s="54"/>
      <c r="Y98" s="54"/>
      <c r="Z98" s="54"/>
      <c r="AA98" s="54"/>
      <c r="AB98" s="54"/>
      <c r="AC98" s="54"/>
      <c r="AD98" s="54"/>
      <c r="AE98" s="54"/>
    </row>
    <row r="99" spans="1:31" ht="21.25" customHeight="1" x14ac:dyDescent="0.15">
      <c r="A99" s="9" t="s">
        <v>210</v>
      </c>
      <c r="B99" s="65" t="str">
        <f>VLOOKUP(A99,'Player Data'!A1:B667,2,FALSE)</f>
        <v>VGK</v>
      </c>
      <c r="C99" s="51">
        <f>((E99)*Settings!$C$12)+(F99*Settings!$C$2)+(G99*Settings!$C$3)+(H99*Settings!$C$4)+(I99*Settings!$C$5)+(K99*Settings!$C$9)+(N99*Settings!$C$6)+(J99*Settings!$C$8)+(O99*Settings!$C$7)+(P99*Settings!$C$14)+(Q99*Settings!$C$15)+(R99*Settings!$C$16)+(S99*Settings!$C$17)+(T99*Settings!$C$18)+(U99*Settings!$C$19)+(L99*Settings!$C$10)+(Settings!$C$11*M99)</f>
        <v>4.7066587566010352</v>
      </c>
      <c r="D99" s="56">
        <f>IF(Settings!$E$12="YES",VLOOKUP(A99,'Player Data'!A1:E667,5,FALSE),82)</f>
        <v>71.704999999999998</v>
      </c>
      <c r="E99" s="54">
        <f>(VLOOKUP($A99,'The List'!$B1:$AH665,17,FALSE)-AVERAGE('The List'!R2:R665))/STDEV('The List'!R2:R665)</f>
        <v>1.4214037282359095</v>
      </c>
      <c r="F99" s="54">
        <f>(VLOOKUP($A99,'The List'!$B1:$AH665,18,FALSE)-AVERAGE('The List'!S2:S665))/STDEV('The List'!S2:S665)</f>
        <v>-0.31430723110884412</v>
      </c>
      <c r="G99" s="54">
        <f>(VLOOKUP($A99,'The List'!$B1:$AH665,19,FALSE)-AVERAGE('The List'!T2:T665))/STDEV('The List'!T2:T665)</f>
        <v>1.5957307216321532</v>
      </c>
      <c r="H99" s="54">
        <f>(VLOOKUP($A99,'The List'!$B1:$AH665,20,FALSE)-AVERAGE('The List'!U2:U665))/STDEV('The List'!U2:U665)</f>
        <v>0.84817092630163604</v>
      </c>
      <c r="I99" s="54">
        <f>(VLOOKUP($A99,'The List'!$B1:$AH665,21,FALSE)-AVERAGE('The List'!V2:V665))/STDEV('The List'!V2:V665)</f>
        <v>0.52547633286113649</v>
      </c>
      <c r="J99" s="54">
        <f>(VLOOKUP($A99,'The List'!$B1:$AH665,22,FALSE)-AVERAGE('The List'!W2:W665))/STDEV('The List'!W2:W665)</f>
        <v>4.8998256146216357E-3</v>
      </c>
      <c r="K99" s="54">
        <f>(VLOOKUP($A99,'The List'!$B1:$AH665,23,FALSE)-AVERAGE('The List'!X2:X665))/STDEV('The List'!X2:X665)</f>
        <v>1.1468814528480853</v>
      </c>
      <c r="L99" s="54">
        <f>(VLOOKUP($A99,'The List'!$B1:$AH665,24,FALSE)-AVERAGE('The List'!Y2:Y665))/STDEV('The List'!Y2:Y665)</f>
        <v>-0.56998372412988063</v>
      </c>
      <c r="M99" s="54">
        <f>(VLOOKUP($A99,'The List'!$B1:$AH665,25,FALSE)-AVERAGE('The List'!Z2:Z665))/STDEV('The List'!Z2:Z665)</f>
        <v>-0.72358824655244114</v>
      </c>
      <c r="N99" s="54">
        <f>(VLOOKUP($A99,'The List'!$B1:$AH665,26,FALSE)-AVERAGE('The List'!AA2:AA665))/STDEV('The List'!AA2:AA665)</f>
        <v>1.0192543268194285</v>
      </c>
      <c r="O99" s="54">
        <f>(VLOOKUP($A99,'The List'!$B1:$AH665,27,FALSE)-AVERAGE('The List'!AB2:AB665))/STDEV('The List'!AB2:AB665)</f>
        <v>-1.1990594340155498</v>
      </c>
      <c r="P99" s="54">
        <f>(VLOOKUP($A99,'The List'!$B1:$AH665,28,FALSE)-AVERAGE('The List'!AC2:AC665))/STDEV('The List'!AC2:AC665)</f>
        <v>0.73362315354907548</v>
      </c>
      <c r="Q99" s="54">
        <f>(VLOOKUP($A99,'The List'!$B1:$AH665,29,FALSE)-AVERAGE('The List'!AD2:AD665))/STDEV('The List'!AD2:AD665)</f>
        <v>-0.71343041267765073</v>
      </c>
      <c r="R99" s="54">
        <f>(VLOOKUP($A99,'The List'!$B1:$AH665,30,FALSE)-AVERAGE('The List'!AE2:AE665))/STDEV('The List'!AE2:AE665)</f>
        <v>-0.28000996601751721</v>
      </c>
      <c r="S99" s="54">
        <f>(VLOOKUP($A99,'The List'!$B1:$AH665,31,FALSE)-AVERAGE('The List'!AF2:AF665))/STDEV('The List'!AF2:AF665)</f>
        <v>-0.57389441068000469</v>
      </c>
      <c r="T99" s="54">
        <f>(VLOOKUP($A99,'The List'!$B1:$AH665,32,FALSE)-AVERAGE('The List'!AG2:AG665))/STDEV('The List'!AG2:AG665)</f>
        <v>-0.62577078713265111</v>
      </c>
      <c r="U99" s="54">
        <f>(VLOOKUP($A99,'The List'!$B1:$AH665,33,FALSE)-AVERAGE('The List'!AH2:AH665))/STDEV('The List'!AH2:AH665)</f>
        <v>-1.2314350945148611</v>
      </c>
      <c r="V99" s="54"/>
      <c r="W99" s="64"/>
      <c r="X99" s="56"/>
      <c r="Y99" s="56"/>
      <c r="Z99" s="56"/>
      <c r="AA99" s="56"/>
      <c r="AB99" s="56"/>
      <c r="AC99" s="59"/>
      <c r="AD99" s="60"/>
      <c r="AE99" s="54"/>
    </row>
    <row r="100" spans="1:31" ht="21.25" customHeight="1" x14ac:dyDescent="0.15">
      <c r="A100" s="9" t="s">
        <v>234</v>
      </c>
      <c r="B100" s="65" t="str">
        <f>VLOOKUP(A100,'Player Data'!A1:B667,2,FALSE)</f>
        <v>VAN</v>
      </c>
      <c r="C100" s="51">
        <f>((E100)*Settings!$C$12)+(F100*Settings!$C$2)+(G100*Settings!$C$3)+(H100*Settings!$C$4)+(I100*Settings!$C$5)+(K100*Settings!$C$9)+(N100*Settings!$C$6)+(J100*Settings!$C$8)+(O100*Settings!$C$7)+(P100*Settings!$C$14)+(Q100*Settings!$C$15)+(R100*Settings!$C$16)+(S100*Settings!$C$17)+(T100*Settings!$C$18)+(U100*Settings!$C$19)+(L100*Settings!$C$10)+(Settings!$C$11*M100)</f>
        <v>4.9279690609122611</v>
      </c>
      <c r="D100" s="56">
        <f>IF(Settings!$E$12="YES",VLOOKUP(A100,'Player Data'!A1:E667,5,FALSE),82)</f>
        <v>78.7</v>
      </c>
      <c r="E100" s="54">
        <f>(VLOOKUP($A100,'The List'!$B1:$AH665,17,FALSE)-AVERAGE('The List'!R2:R665))/STDEV('The List'!R2:R665)</f>
        <v>0.52140474038164242</v>
      </c>
      <c r="F100" s="54">
        <f>(VLOOKUP($A100,'The List'!$B1:$AH665,18,FALSE)-AVERAGE('The List'!S2:S665))/STDEV('The List'!S2:S665)</f>
        <v>1.5787881192087319</v>
      </c>
      <c r="G100" s="54">
        <f>(VLOOKUP($A100,'The List'!$B1:$AH665,19,FALSE)-AVERAGE('The List'!T2:T665))/STDEV('The List'!T2:T665)</f>
        <v>0.58435763898004645</v>
      </c>
      <c r="H100" s="54">
        <f>(VLOOKUP($A100,'The List'!$B1:$AH665,20,FALSE)-AVERAGE('The List'!U2:U665))/STDEV('The List'!U2:U665)</f>
        <v>1.0805531971381852</v>
      </c>
      <c r="I100" s="54">
        <f>(VLOOKUP($A100,'The List'!$B1:$AH665,21,FALSE)-AVERAGE('The List'!V2:V665))/STDEV('The List'!V2:V665)</f>
        <v>1.4227543155945763</v>
      </c>
      <c r="J100" s="54">
        <f>(VLOOKUP($A100,'The List'!$B1:$AH665,22,FALSE)-AVERAGE('The List'!W2:W665))/STDEV('The List'!W2:W665)</f>
        <v>0.9418282555459242</v>
      </c>
      <c r="K100" s="54">
        <f>(VLOOKUP($A100,'The List'!$B1:$AH665,23,FALSE)-AVERAGE('The List'!X2:X665))/STDEV('The List'!X2:X665)</f>
        <v>1.0196129778285961</v>
      </c>
      <c r="L100" s="54">
        <f>(VLOOKUP($A100,'The List'!$B1:$AH665,24,FALSE)-AVERAGE('The List'!Y2:Y665))/STDEV('The List'!Y2:Y665)</f>
        <v>0.24638620560334681</v>
      </c>
      <c r="M100" s="54">
        <f>(VLOOKUP($A100,'The List'!$B1:$AH665,25,FALSE)-AVERAGE('The List'!Z2:Z665))/STDEV('The List'!Z2:Z665)</f>
        <v>4.7503969527564416E-2</v>
      </c>
      <c r="N100" s="54">
        <f>(VLOOKUP($A100,'The List'!$B1:$AH665,26,FALSE)-AVERAGE('The List'!AA2:AA665))/STDEV('The List'!AA2:AA665)</f>
        <v>-0.50990202553898811</v>
      </c>
      <c r="O100" s="54">
        <f>(VLOOKUP($A100,'The List'!$B1:$AH665,27,FALSE)-AVERAGE('The List'!AB2:AB665))/STDEV('The List'!AB2:AB665)</f>
        <v>0.35152471648170747</v>
      </c>
      <c r="P100" s="54">
        <f>(VLOOKUP($A100,'The List'!$B1:$AH665,28,FALSE)-AVERAGE('The List'!AC2:AC665))/STDEV('The List'!AC2:AC665)</f>
        <v>0.83235803483929771</v>
      </c>
      <c r="Q100" s="54">
        <f>(VLOOKUP($A100,'The List'!$B1:$AH665,29,FALSE)-AVERAGE('The List'!AD2:AD665))/STDEV('The List'!AD2:AD665)</f>
        <v>-0.77238810713784345</v>
      </c>
      <c r="R100" s="54">
        <f>(VLOOKUP($A100,'The List'!$B1:$AH665,30,FALSE)-AVERAGE('The List'!AE2:AE665))/STDEV('The List'!AE2:AE665)</f>
        <v>1.9172456727382077</v>
      </c>
      <c r="S100" s="54">
        <f>(VLOOKUP($A100,'The List'!$B1:$AH665,31,FALSE)-AVERAGE('The List'!AF2:AF665))/STDEV('The List'!AF2:AF665)</f>
        <v>-0.53431431999410994</v>
      </c>
      <c r="T100" s="54">
        <f>(VLOOKUP($A100,'The List'!$B1:$AH665,32,FALSE)-AVERAGE('The List'!AG2:AG665))/STDEV('The List'!AG2:AG665)</f>
        <v>-0.53947144662157098</v>
      </c>
      <c r="U100" s="54">
        <f>(VLOOKUP($A100,'The List'!$B1:$AH665,33,FALSE)-AVERAGE('The List'!AH2:AH665))/STDEV('The List'!AH2:AH665)</f>
        <v>0.25485905026957506</v>
      </c>
      <c r="V100" s="54"/>
      <c r="W100" s="56"/>
      <c r="X100" s="54"/>
      <c r="Y100" s="54"/>
      <c r="Z100" s="54"/>
      <c r="AA100" s="54"/>
      <c r="AB100" s="54"/>
      <c r="AC100" s="54"/>
      <c r="AD100" s="54"/>
      <c r="AE100" s="54"/>
    </row>
    <row r="101" spans="1:31" ht="21.25" customHeight="1" x14ac:dyDescent="0.15">
      <c r="A101" s="9" t="s">
        <v>193</v>
      </c>
      <c r="B101" s="65" t="str">
        <f>VLOOKUP(A101,'Player Data'!A1:B667,2,FALSE)</f>
        <v>CBJ</v>
      </c>
      <c r="C101" s="51">
        <f>((E101)*Settings!$C$12)+(F101*Settings!$C$2)+(G101*Settings!$C$3)+(H101*Settings!$C$4)+(I101*Settings!$C$5)+(K101*Settings!$C$9)+(N101*Settings!$C$6)+(J101*Settings!$C$8)+(O101*Settings!$C$7)+(P101*Settings!$C$14)+(Q101*Settings!$C$15)+(R101*Settings!$C$16)+(S101*Settings!$C$17)+(T101*Settings!$C$18)+(U101*Settings!$C$19)+(L101*Settings!$C$10)+(Settings!$C$11*M101)</f>
        <v>2.6858529919378364</v>
      </c>
      <c r="D101" s="56">
        <f>IF(Settings!$E$12="YES",VLOOKUP(A101,'Player Data'!A1:E667,5,FALSE),82)</f>
        <v>69.012500000000003</v>
      </c>
      <c r="E101" s="54">
        <f>(VLOOKUP($A101,'The List'!$B1:$AH665,17,FALSE)-AVERAGE('The List'!R2:R665))/STDEV('The List'!R2:R665)</f>
        <v>2.1596218122433664</v>
      </c>
      <c r="F101" s="54">
        <f>(VLOOKUP($A101,'The List'!$B1:$AH665,18,FALSE)-AVERAGE('The List'!S2:S665))/STDEV('The List'!S2:S665)</f>
        <v>-0.19653838705322252</v>
      </c>
      <c r="G101" s="54">
        <f>(VLOOKUP($A101,'The List'!$B1:$AH665,19,FALSE)-AVERAGE('The List'!T2:T665))/STDEV('The List'!T2:T665)</f>
        <v>1.3388876761279214</v>
      </c>
      <c r="H101" s="54">
        <f>(VLOOKUP($A101,'The List'!$B1:$AH665,20,FALSE)-AVERAGE('The List'!U2:U665))/STDEV('The List'!U2:U665)</f>
        <v>0.74218849086924688</v>
      </c>
      <c r="I101" s="54">
        <f>(VLOOKUP($A101,'The List'!$B1:$AH665,21,FALSE)-AVERAGE('The List'!V2:V665))/STDEV('The List'!V2:V665)</f>
        <v>1.0773459206158018</v>
      </c>
      <c r="J101" s="54">
        <f>(VLOOKUP($A101,'The List'!$B1:$AH665,22,FALSE)-AVERAGE('The List'!W2:W665))/STDEV('The List'!W2:W665)</f>
        <v>7.5027021426934699E-3</v>
      </c>
      <c r="K101" s="54">
        <f>(VLOOKUP($A101,'The List'!$B1:$AH665,23,FALSE)-AVERAGE('The List'!X2:X665))/STDEV('The List'!X2:X665)</f>
        <v>0.63276412672701132</v>
      </c>
      <c r="L101" s="54">
        <f>(VLOOKUP($A101,'The List'!$B1:$AH665,24,FALSE)-AVERAGE('The List'!Y2:Y665))/STDEV('The List'!Y2:Y665)</f>
        <v>-0.53853190102870097</v>
      </c>
      <c r="M101" s="54">
        <f>(VLOOKUP($A101,'The List'!$B1:$AH665,25,FALSE)-AVERAGE('The List'!Z2:Z665))/STDEV('The List'!Z2:Z665)</f>
        <v>-0.46874374108784828</v>
      </c>
      <c r="N101" s="54">
        <f>(VLOOKUP($A101,'The List'!$B1:$AH665,26,FALSE)-AVERAGE('The List'!AA2:AA665))/STDEV('The List'!AA2:AA665)</f>
        <v>1.3544294406585973</v>
      </c>
      <c r="O101" s="54">
        <f>(VLOOKUP($A101,'The List'!$B1:$AH665,27,FALSE)-AVERAGE('The List'!AB2:AB665))/STDEV('The List'!AB2:AB665)</f>
        <v>-1.1467982716469673</v>
      </c>
      <c r="P101" s="54">
        <f>(VLOOKUP($A101,'The List'!$B1:$AH665,28,FALSE)-AVERAGE('The List'!AC2:AC665))/STDEV('The List'!AC2:AC665)</f>
        <v>-1.5210357851382732</v>
      </c>
      <c r="Q101" s="54">
        <f>(VLOOKUP($A101,'The List'!$B1:$AH665,29,FALSE)-AVERAGE('The List'!AD2:AD665))/STDEV('The List'!AD2:AD665)</f>
        <v>-0.57045093790286039</v>
      </c>
      <c r="R101" s="54">
        <f>(VLOOKUP($A101,'The List'!$B1:$AH665,30,FALSE)-AVERAGE('The List'!AE2:AE665))/STDEV('The List'!AE2:AE665)</f>
        <v>-0.46799864992225126</v>
      </c>
      <c r="S101" s="54">
        <f>(VLOOKUP($A101,'The List'!$B1:$AH665,31,FALSE)-AVERAGE('The List'!AF2:AF665))/STDEV('The List'!AF2:AF665)</f>
        <v>-0.57389441068000469</v>
      </c>
      <c r="T101" s="54">
        <f>(VLOOKUP($A101,'The List'!$B1:$AH665,32,FALSE)-AVERAGE('The List'!AG2:AG665))/STDEV('The List'!AG2:AG665)</f>
        <v>-0.62577078713265111</v>
      </c>
      <c r="U101" s="54">
        <f>(VLOOKUP($A101,'The List'!$B1:$AH665,33,FALSE)-AVERAGE('The List'!AH2:AH665))/STDEV('The List'!AH2:AH665)</f>
        <v>-1.2314350945148611</v>
      </c>
      <c r="V101" s="54"/>
      <c r="W101" s="64"/>
      <c r="X101" s="56"/>
      <c r="Y101" s="56"/>
      <c r="Z101" s="56"/>
      <c r="AA101" s="56"/>
      <c r="AB101" s="56"/>
      <c r="AC101" s="59"/>
      <c r="AD101" s="60"/>
      <c r="AE101" s="54"/>
    </row>
    <row r="102" spans="1:31" ht="21.25" customHeight="1" x14ac:dyDescent="0.15">
      <c r="A102" s="9" t="s">
        <v>304</v>
      </c>
      <c r="B102" s="65" t="str">
        <f>VLOOKUP(A102,'Player Data'!A1:B667,2,FALSE)</f>
        <v>L.A</v>
      </c>
      <c r="C102" s="51">
        <f>((E102)*Settings!$C$12)+(F102*Settings!$C$2)+(G102*Settings!$C$3)+(H102*Settings!$C$4)+(I102*Settings!$C$5)+(K102*Settings!$C$9)+(N102*Settings!$C$6)+(J102*Settings!$C$8)+(O102*Settings!$C$7)+(P102*Settings!$C$14)+(Q102*Settings!$C$15)+(R102*Settings!$C$16)+(S102*Settings!$C$17)+(T102*Settings!$C$18)+(U102*Settings!$C$19)+(L102*Settings!$C$10)+(Settings!$C$11*M102)</f>
        <v>3.2710141463107627</v>
      </c>
      <c r="D102" s="56">
        <f>IF(Settings!$E$12="YES",VLOOKUP(A102,'Player Data'!A1:E667,5,FALSE),82)</f>
        <v>76.712500000000006</v>
      </c>
      <c r="E102" s="54">
        <f>(VLOOKUP($A102,'The List'!$B1:$AH665,17,FALSE)-AVERAGE('The List'!R2:R665))/STDEV('The List'!R2:R665)</f>
        <v>0.48442153342361927</v>
      </c>
      <c r="F102" s="54">
        <f>(VLOOKUP($A102,'The List'!$B1:$AH665,18,FALSE)-AVERAGE('The List'!S2:S665))/STDEV('The List'!S2:S665)</f>
        <v>0.73114718679936708</v>
      </c>
      <c r="G102" s="54">
        <f>(VLOOKUP($A102,'The List'!$B1:$AH665,19,FALSE)-AVERAGE('The List'!T2:T665))/STDEV('The List'!T2:T665)</f>
        <v>1.0753679407994567</v>
      </c>
      <c r="H102" s="54">
        <f>(VLOOKUP($A102,'The List'!$B1:$AH665,20,FALSE)-AVERAGE('The List'!U2:U665))/STDEV('The List'!U2:U665)</f>
        <v>1.0002051077634957</v>
      </c>
      <c r="I102" s="54">
        <f>(VLOOKUP($A102,'The List'!$B1:$AH665,21,FALSE)-AVERAGE('The List'!V2:V665))/STDEV('The List'!V2:V665)</f>
        <v>0.65823363530701784</v>
      </c>
      <c r="J102" s="54">
        <f>(VLOOKUP($A102,'The List'!$B1:$AH665,22,FALSE)-AVERAGE('The List'!W2:W665))/STDEV('The List'!W2:W665)</f>
        <v>1.3318128227669732</v>
      </c>
      <c r="K102" s="54">
        <f>(VLOOKUP($A102,'The List'!$B1:$AH665,23,FALSE)-AVERAGE('The List'!X2:X665))/STDEV('The List'!X2:X665)</f>
        <v>0.8127110874058544</v>
      </c>
      <c r="L102" s="54">
        <f>(VLOOKUP($A102,'The List'!$B1:$AH665,24,FALSE)-AVERAGE('The List'!Y2:Y665))/STDEV('The List'!Y2:Y665)</f>
        <v>-0.13731236958266949</v>
      </c>
      <c r="M102" s="54">
        <f>(VLOOKUP($A102,'The List'!$B1:$AH665,25,FALSE)-AVERAGE('The List'!Z2:Z665))/STDEV('The List'!Z2:Z665)</f>
        <v>-0.30852598566084244</v>
      </c>
      <c r="N102" s="54">
        <f>(VLOOKUP($A102,'The List'!$B1:$AH665,26,FALSE)-AVERAGE('The List'!AA2:AA665))/STDEV('The List'!AA2:AA665)</f>
        <v>-0.95802987309148946</v>
      </c>
      <c r="O102" s="54">
        <f>(VLOOKUP($A102,'The List'!$B1:$AH665,27,FALSE)-AVERAGE('The List'!AB2:AB665))/STDEV('The List'!AB2:AB665)</f>
        <v>-0.42955656827089428</v>
      </c>
      <c r="P102" s="54">
        <f>(VLOOKUP($A102,'The List'!$B1:$AH665,28,FALSE)-AVERAGE('The List'!AC2:AC665))/STDEV('The List'!AC2:AC665)</f>
        <v>0.95158416909055599</v>
      </c>
      <c r="Q102" s="54">
        <f>(VLOOKUP($A102,'The List'!$B1:$AH665,29,FALSE)-AVERAGE('The List'!AD2:AD665))/STDEV('The List'!AD2:AD665)</f>
        <v>0.78377822715705281</v>
      </c>
      <c r="R102" s="54">
        <f>(VLOOKUP($A102,'The List'!$B1:$AH665,30,FALSE)-AVERAGE('The List'!AE2:AE665))/STDEV('The List'!AE2:AE665)</f>
        <v>1.0866687390866949</v>
      </c>
      <c r="S102" s="54">
        <f>(VLOOKUP($A102,'The List'!$B1:$AH665,31,FALSE)-AVERAGE('The List'!AF2:AF665))/STDEV('The List'!AF2:AF665)</f>
        <v>-0.23425792026875372</v>
      </c>
      <c r="T102" s="54">
        <f>(VLOOKUP($A102,'The List'!$B1:$AH665,32,FALSE)-AVERAGE('The List'!AG2:AG665))/STDEV('The List'!AG2:AG665)</f>
        <v>-0.20172205643113386</v>
      </c>
      <c r="U102" s="54">
        <f>(VLOOKUP($A102,'The List'!$B1:$AH665,33,FALSE)-AVERAGE('The List'!AH2:AH665))/STDEV('The List'!AH2:AH665)</f>
        <v>0.85385244872015897</v>
      </c>
      <c r="V102" s="54"/>
      <c r="W102" s="56"/>
      <c r="X102" s="54"/>
      <c r="Y102" s="54"/>
      <c r="Z102" s="54"/>
      <c r="AA102" s="54"/>
      <c r="AB102" s="54"/>
      <c r="AC102" s="54"/>
      <c r="AD102" s="54"/>
      <c r="AE102" s="54"/>
    </row>
    <row r="103" spans="1:31" ht="21.25" customHeight="1" x14ac:dyDescent="0.15">
      <c r="A103" s="9" t="s">
        <v>245</v>
      </c>
      <c r="B103" s="65" t="str">
        <f>VLOOKUP(A103,'Player Data'!A1:B667,2,FALSE)</f>
        <v>BUF</v>
      </c>
      <c r="C103" s="51">
        <f>((E103)*Settings!$C$12)+(F103*Settings!$C$2)+(G103*Settings!$C$3)+(H103*Settings!$C$4)+(I103*Settings!$C$5)+(K103*Settings!$C$9)+(N103*Settings!$C$6)+(J103*Settings!$C$8)+(O103*Settings!$C$7)+(P103*Settings!$C$14)+(Q103*Settings!$C$15)+(R103*Settings!$C$16)+(S103*Settings!$C$17)+(T103*Settings!$C$18)+(U103*Settings!$C$19)+(L103*Settings!$C$10)+(Settings!$C$11*M103)</f>
        <v>3.3579003618020913</v>
      </c>
      <c r="D103" s="56">
        <f>IF(Settings!$E$12="YES",VLOOKUP(A103,'Player Data'!A1:E667,5,FALSE),82)</f>
        <v>80.342500000000001</v>
      </c>
      <c r="E103" s="54">
        <f>(VLOOKUP($A103,'The List'!$B1:$AH665,17,FALSE)-AVERAGE('The List'!R2:R665))/STDEV('The List'!R2:R665)</f>
        <v>0.27218946448889775</v>
      </c>
      <c r="F103" s="54">
        <f>(VLOOKUP($A103,'The List'!$B1:$AH665,18,FALSE)-AVERAGE('The List'!S2:S665))/STDEV('The List'!S2:S665)</f>
        <v>1.5584949443293559</v>
      </c>
      <c r="G103" s="54">
        <f>(VLOOKUP($A103,'The List'!$B1:$AH665,19,FALSE)-AVERAGE('The List'!T2:T665))/STDEV('The List'!T2:T665)</f>
        <v>0.67131377413589066</v>
      </c>
      <c r="H103" s="54">
        <f>(VLOOKUP($A103,'The List'!$B1:$AH665,20,FALSE)-AVERAGE('The List'!U2:U665))/STDEV('The List'!U2:U665)</f>
        <v>1.1253336338547402</v>
      </c>
      <c r="I103" s="54">
        <f>(VLOOKUP($A103,'The List'!$B1:$AH665,21,FALSE)-AVERAGE('The List'!V2:V665))/STDEV('The List'!V2:V665)</f>
        <v>1.5621932960749079</v>
      </c>
      <c r="J103" s="54">
        <f>(VLOOKUP($A103,'The List'!$B1:$AH665,22,FALSE)-AVERAGE('The List'!W2:W665))/STDEV('The List'!W2:W665)</f>
        <v>0.90225262143277174</v>
      </c>
      <c r="K103" s="54">
        <f>(VLOOKUP($A103,'The List'!$B1:$AH665,23,FALSE)-AVERAGE('The List'!X2:X665))/STDEV('The List'!X2:X665)</f>
        <v>0.69666666589641235</v>
      </c>
      <c r="L103" s="54">
        <f>(VLOOKUP($A103,'The List'!$B1:$AH665,24,FALSE)-AVERAGE('The List'!Y2:Y665))/STDEV('The List'!Y2:Y665)</f>
        <v>-0.57807520920460131</v>
      </c>
      <c r="M103" s="54">
        <f>(VLOOKUP($A103,'The List'!$B1:$AH665,25,FALSE)-AVERAGE('The List'!Z2:Z665))/STDEV('The List'!Z2:Z665)</f>
        <v>-0.75188517269672461</v>
      </c>
      <c r="N103" s="54">
        <f>(VLOOKUP($A103,'The List'!$B1:$AH665,26,FALSE)-AVERAGE('The List'!AA2:AA665))/STDEV('The List'!AA2:AA665)</f>
        <v>-1.0778610216298294</v>
      </c>
      <c r="O103" s="54">
        <f>(VLOOKUP($A103,'The List'!$B1:$AH665,27,FALSE)-AVERAGE('The List'!AB2:AB665))/STDEV('The List'!AB2:AB665)</f>
        <v>-1.2777119479431411</v>
      </c>
      <c r="P103" s="54">
        <f>(VLOOKUP($A103,'The List'!$B1:$AH665,28,FALSE)-AVERAGE('The List'!AC2:AC665))/STDEV('The List'!AC2:AC665)</f>
        <v>-5.2907297004646608E-2</v>
      </c>
      <c r="Q103" s="54">
        <f>(VLOOKUP($A103,'The List'!$B1:$AH665,29,FALSE)-AVERAGE('The List'!AD2:AD665))/STDEV('The List'!AD2:AD665)</f>
        <v>-0.36926182087536319</v>
      </c>
      <c r="R103" s="54">
        <f>(VLOOKUP($A103,'The List'!$B1:$AH665,30,FALSE)-AVERAGE('The List'!AE2:AE665))/STDEV('The List'!AE2:AE665)</f>
        <v>1.3507750891870574</v>
      </c>
      <c r="S103" s="54">
        <f>(VLOOKUP($A103,'The List'!$B1:$AH665,31,FALSE)-AVERAGE('The List'!AF2:AF665))/STDEV('The List'!AF2:AF665)</f>
        <v>-0.54882235659966006</v>
      </c>
      <c r="T103" s="54">
        <f>(VLOOKUP($A103,'The List'!$B1:$AH665,32,FALSE)-AVERAGE('The List'!AG2:AG665))/STDEV('The List'!AG2:AG665)</f>
        <v>-0.57330020189246267</v>
      </c>
      <c r="U103" s="54">
        <f>(VLOOKUP($A103,'The List'!$B1:$AH665,33,FALSE)-AVERAGE('The List'!AH2:AH665))/STDEV('The List'!AH2:AH665)</f>
        <v>0.29609887649396816</v>
      </c>
      <c r="V103" s="54"/>
      <c r="W103" s="64"/>
      <c r="X103" s="56"/>
      <c r="Y103" s="56"/>
      <c r="Z103" s="56"/>
      <c r="AA103" s="56"/>
      <c r="AB103" s="56"/>
      <c r="AC103" s="59"/>
      <c r="AD103" s="60"/>
      <c r="AE103" s="54"/>
    </row>
    <row r="104" spans="1:31" ht="21.25" customHeight="1" x14ac:dyDescent="0.15">
      <c r="A104" s="9" t="s">
        <v>287</v>
      </c>
      <c r="B104" s="65" t="str">
        <f>VLOOKUP(A104,'Player Data'!A1:B667,2,FALSE)</f>
        <v>ANA</v>
      </c>
      <c r="C104" s="51">
        <f>((E104)*Settings!$C$12)+(F104*Settings!$C$2)+(G104*Settings!$C$3)+(H104*Settings!$C$4)+(I104*Settings!$C$5)+(K104*Settings!$C$9)+(N104*Settings!$C$6)+(J104*Settings!$C$8)+(O104*Settings!$C$7)+(P104*Settings!$C$14)+(Q104*Settings!$C$15)+(R104*Settings!$C$16)+(S104*Settings!$C$17)+(T104*Settings!$C$18)+(U104*Settings!$C$19)+(L104*Settings!$C$10)+(Settings!$C$11*M104)</f>
        <v>0.91117606919833438</v>
      </c>
      <c r="D104" s="56">
        <f>IF(Settings!$E$12="YES",VLOOKUP(A104,'Player Data'!A1:E667,5,FALSE),82)</f>
        <v>76.760000000000005</v>
      </c>
      <c r="E104" s="54">
        <f>(VLOOKUP($A104,'The List'!$B1:$AH665,17,FALSE)-AVERAGE('The List'!R2:R665))/STDEV('The List'!R2:R665)</f>
        <v>0.30845185466022595</v>
      </c>
      <c r="F104" s="54">
        <f>(VLOOKUP($A104,'The List'!$B1:$AH665,18,FALSE)-AVERAGE('The List'!S2:S665))/STDEV('The List'!S2:S665)</f>
        <v>1.1572318548267739</v>
      </c>
      <c r="G104" s="54">
        <f>(VLOOKUP($A104,'The List'!$B1:$AH665,19,FALSE)-AVERAGE('The List'!T2:T665))/STDEV('The List'!T2:T665)</f>
        <v>0.74471319742265574</v>
      </c>
      <c r="H104" s="54">
        <f>(VLOOKUP($A104,'The List'!$B1:$AH665,20,FALSE)-AVERAGE('The List'!U2:U665))/STDEV('The List'!U2:U665)</f>
        <v>0.98852565508235868</v>
      </c>
      <c r="I104" s="54">
        <f>(VLOOKUP($A104,'The List'!$B1:$AH665,21,FALSE)-AVERAGE('The List'!V2:V665))/STDEV('The List'!V2:V665)</f>
        <v>0.74026984312550226</v>
      </c>
      <c r="J104" s="54">
        <f>(VLOOKUP($A104,'The List'!$B1:$AH665,22,FALSE)-AVERAGE('The List'!W2:W665))/STDEV('The List'!W2:W665)</f>
        <v>1.3898578406420419</v>
      </c>
      <c r="K104" s="54">
        <f>(VLOOKUP($A104,'The List'!$B1:$AH665,23,FALSE)-AVERAGE('The List'!X2:X665))/STDEV('The List'!X2:X665)</f>
        <v>0.90797809771297222</v>
      </c>
      <c r="L104" s="54">
        <f>(VLOOKUP($A104,'The List'!$B1:$AH665,24,FALSE)-AVERAGE('The List'!Y2:Y665))/STDEV('The List'!Y2:Y665)</f>
        <v>1.9611120857754434</v>
      </c>
      <c r="M104" s="54">
        <f>(VLOOKUP($A104,'The List'!$B1:$AH665,25,FALSE)-AVERAGE('The List'!Z2:Z665))/STDEV('The List'!Z2:Z665)</f>
        <v>2.2324823055188268</v>
      </c>
      <c r="N104" s="54">
        <f>(VLOOKUP($A104,'The List'!$B1:$AH665,26,FALSE)-AVERAGE('The List'!AA2:AA665))/STDEV('The List'!AA2:AA665)</f>
        <v>-0.55001077437636336</v>
      </c>
      <c r="O104" s="54">
        <f>(VLOOKUP($A104,'The List'!$B1:$AH665,27,FALSE)-AVERAGE('The List'!AB2:AB665))/STDEV('The List'!AB2:AB665)</f>
        <v>-0.32096387939321724</v>
      </c>
      <c r="P104" s="54">
        <f>(VLOOKUP($A104,'The List'!$B1:$AH665,28,FALSE)-AVERAGE('The List'!AC2:AC665))/STDEV('The List'!AC2:AC665)</f>
        <v>-2.0890061495132066</v>
      </c>
      <c r="Q104" s="54">
        <f>(VLOOKUP($A104,'The List'!$B1:$AH665,29,FALSE)-AVERAGE('The List'!AD2:AD665))/STDEV('The List'!AD2:AD665)</f>
        <v>2.3696556832762821</v>
      </c>
      <c r="R104" s="54">
        <f>(VLOOKUP($A104,'The List'!$B1:$AH665,30,FALSE)-AVERAGE('The List'!AE2:AE665))/STDEV('The List'!AE2:AE665)</f>
        <v>0.58843956614510073</v>
      </c>
      <c r="S104" s="54">
        <f>(VLOOKUP($A104,'The List'!$B1:$AH665,31,FALSE)-AVERAGE('The List'!AF2:AF665))/STDEV('The List'!AF2:AF665)</f>
        <v>1.7146578185148282</v>
      </c>
      <c r="T104" s="54">
        <f>(VLOOKUP($A104,'The List'!$B1:$AH665,32,FALSE)-AVERAGE('The List'!AG2:AG665))/STDEV('The List'!AG2:AG665)</f>
        <v>2.283810542623335</v>
      </c>
      <c r="U104" s="54">
        <f>(VLOOKUP($A104,'The List'!$B1:$AH665,33,FALSE)-AVERAGE('The List'!AH2:AH665))/STDEV('The List'!AH2:AH665)</f>
        <v>0.83346734656070842</v>
      </c>
      <c r="V104" s="54"/>
      <c r="W104" s="56"/>
      <c r="X104" s="54"/>
      <c r="Y104" s="54"/>
      <c r="Z104" s="54"/>
      <c r="AA104" s="54"/>
      <c r="AB104" s="54"/>
      <c r="AC104" s="54"/>
      <c r="AD104" s="54"/>
      <c r="AE104" s="54"/>
    </row>
    <row r="105" spans="1:31" ht="21.25" customHeight="1" x14ac:dyDescent="0.15">
      <c r="A105" s="9" t="s">
        <v>275</v>
      </c>
      <c r="B105" s="65" t="str">
        <f>VLOOKUP(A105,'Player Data'!A1:B667,2,FALSE)</f>
        <v>VGK</v>
      </c>
      <c r="C105" s="51">
        <f>((E105)*Settings!$C$12)+(F105*Settings!$C$2)+(G105*Settings!$C$3)+(H105*Settings!$C$4)+(I105*Settings!$C$5)+(K105*Settings!$C$9)+(N105*Settings!$C$6)+(J105*Settings!$C$8)+(O105*Settings!$C$7)+(P105*Settings!$C$14)+(Q105*Settings!$C$15)+(R105*Settings!$C$16)+(S105*Settings!$C$17)+(T105*Settings!$C$18)+(U105*Settings!$C$19)+(L105*Settings!$C$10)+(Settings!$C$11*M105)</f>
        <v>3.7777643276011195</v>
      </c>
      <c r="D105" s="56">
        <f>IF(Settings!$E$12="YES",VLOOKUP(A105,'Player Data'!A1:E667,5,FALSE),82)</f>
        <v>76.647499999999994</v>
      </c>
      <c r="E105" s="54">
        <f>(VLOOKUP($A105,'The List'!$B1:$AH665,17,FALSE)-AVERAGE('The List'!R2:R665))/STDEV('The List'!R2:R665)</f>
        <v>0.75982423316253611</v>
      </c>
      <c r="F105" s="54">
        <f>(VLOOKUP($A105,'The List'!$B1:$AH665,18,FALSE)-AVERAGE('The List'!S2:S665))/STDEV('The List'!S2:S665)</f>
        <v>1.0265894058660139</v>
      </c>
      <c r="G105" s="54">
        <f>(VLOOKUP($A105,'The List'!$B1:$AH665,19,FALSE)-AVERAGE('The List'!T2:T665))/STDEV('The List'!T2:T665)</f>
        <v>0.82544462484882142</v>
      </c>
      <c r="H105" s="54">
        <f>(VLOOKUP($A105,'The List'!$B1:$AH665,20,FALSE)-AVERAGE('The List'!U2:U665))/STDEV('The List'!U2:U665)</f>
        <v>0.9792812079031783</v>
      </c>
      <c r="I105" s="54">
        <f>(VLOOKUP($A105,'The List'!$B1:$AH665,21,FALSE)-AVERAGE('The List'!V2:V665))/STDEV('The List'!V2:V665)</f>
        <v>0.75950844489136016</v>
      </c>
      <c r="J105" s="54">
        <f>(VLOOKUP($A105,'The List'!$B1:$AH665,22,FALSE)-AVERAGE('The List'!W2:W665))/STDEV('The List'!W2:W665)</f>
        <v>1.5771627061373308</v>
      </c>
      <c r="K105" s="54">
        <f>(VLOOKUP($A105,'The List'!$B1:$AH665,23,FALSE)-AVERAGE('The List'!X2:X665))/STDEV('The List'!X2:X665)</f>
        <v>1.4285029208280242</v>
      </c>
      <c r="L105" s="54">
        <f>(VLOOKUP($A105,'The List'!$B1:$AH665,24,FALSE)-AVERAGE('The List'!Y2:Y665))/STDEV('The List'!Y2:Y665)</f>
        <v>0.72883088398072304</v>
      </c>
      <c r="M105" s="54">
        <f>(VLOOKUP($A105,'The List'!$B1:$AH665,25,FALSE)-AVERAGE('The List'!Z2:Z665))/STDEV('The List'!Z2:Z665)</f>
        <v>0.38096667746081725</v>
      </c>
      <c r="N105" s="54">
        <f>(VLOOKUP($A105,'The List'!$B1:$AH665,26,FALSE)-AVERAGE('The List'!AA2:AA665))/STDEV('The List'!AA2:AA665)</f>
        <v>-0.19311100943239262</v>
      </c>
      <c r="O105" s="54">
        <f>(VLOOKUP($A105,'The List'!$B1:$AH665,27,FALSE)-AVERAGE('The List'!AB2:AB665))/STDEV('The List'!AB2:AB665)</f>
        <v>-0.21764552406213836</v>
      </c>
      <c r="P105" s="54">
        <f>(VLOOKUP($A105,'The List'!$B1:$AH665,28,FALSE)-AVERAGE('The List'!AC2:AC665))/STDEV('The List'!AC2:AC665)</f>
        <v>-6.9170059400707792E-2</v>
      </c>
      <c r="Q105" s="54">
        <f>(VLOOKUP($A105,'The List'!$B1:$AH665,29,FALSE)-AVERAGE('The List'!AD2:AD665))/STDEV('The List'!AD2:AD665)</f>
        <v>-0.16976956142886518</v>
      </c>
      <c r="R105" s="54">
        <f>(VLOOKUP($A105,'The List'!$B1:$AH665,30,FALSE)-AVERAGE('The List'!AE2:AE665))/STDEV('The List'!AE2:AE665)</f>
        <v>1.0290936300422229</v>
      </c>
      <c r="S105" s="54">
        <f>(VLOOKUP($A105,'The List'!$B1:$AH665,31,FALSE)-AVERAGE('The List'!AF2:AF665))/STDEV('The List'!AF2:AF665)</f>
        <v>3.0228356424251435</v>
      </c>
      <c r="T105" s="54">
        <f>(VLOOKUP($A105,'The List'!$B1:$AH665,32,FALSE)-AVERAGE('The List'!AG2:AG665))/STDEV('The List'!AG2:AG665)</f>
        <v>2.5004667420724753</v>
      </c>
      <c r="U105" s="54">
        <f>(VLOOKUP($A105,'The List'!$B1:$AH665,33,FALSE)-AVERAGE('The List'!AH2:AH665))/STDEV('The List'!AH2:AH665)</f>
        <v>1.263122089068746</v>
      </c>
      <c r="V105" s="54"/>
      <c r="W105" s="56"/>
      <c r="X105" s="54"/>
      <c r="Y105" s="54"/>
      <c r="Z105" s="54"/>
      <c r="AA105" s="54"/>
      <c r="AB105" s="54"/>
      <c r="AC105" s="54"/>
      <c r="AD105" s="54"/>
      <c r="AE105" s="54"/>
    </row>
    <row r="106" spans="1:31" ht="21.25" customHeight="1" x14ac:dyDescent="0.15">
      <c r="A106" s="9" t="s">
        <v>200</v>
      </c>
      <c r="B106" s="65" t="str">
        <f>VLOOKUP(A106,'Player Data'!A1:B667,2,FALSE)</f>
        <v>UTA</v>
      </c>
      <c r="C106" s="51">
        <f>((E106)*Settings!$C$12)+(F106*Settings!$C$2)+(G106*Settings!$C$3)+(H106*Settings!$C$4)+(I106*Settings!$C$5)+(K106*Settings!$C$9)+(N106*Settings!$C$6)+(J106*Settings!$C$8)+(O106*Settings!$C$7)+(P106*Settings!$C$14)+(Q106*Settings!$C$15)+(R106*Settings!$C$16)+(S106*Settings!$C$17)+(T106*Settings!$C$18)+(U106*Settings!$C$19)+(L106*Settings!$C$10)+(Settings!$C$11*M106)</f>
        <v>4.9131578262993951</v>
      </c>
      <c r="D106" s="56">
        <f>IF(Settings!$E$12="YES",VLOOKUP(A106,'Player Data'!A1:E667,5,FALSE),82)</f>
        <v>72.697500000000005</v>
      </c>
      <c r="E106" s="54">
        <f>(VLOOKUP($A106,'The List'!$B1:$AH665,17,FALSE)-AVERAGE('The List'!R2:R665))/STDEV('The List'!R2:R665)</f>
        <v>2.0288513540906767</v>
      </c>
      <c r="F106" s="54">
        <f>(VLOOKUP($A106,'The List'!$B1:$AH665,18,FALSE)-AVERAGE('The List'!S2:S665))/STDEV('The List'!S2:S665)</f>
        <v>-0.50916371130550997</v>
      </c>
      <c r="G106" s="54">
        <f>(VLOOKUP($A106,'The List'!$B1:$AH665,19,FALSE)-AVERAGE('The List'!T2:T665))/STDEV('The List'!T2:T665)</f>
        <v>1.7254750898811493</v>
      </c>
      <c r="H106" s="54">
        <f>(VLOOKUP($A106,'The List'!$B1:$AH665,20,FALSE)-AVERAGE('The List'!U2:U665))/STDEV('The List'!U2:U665)</f>
        <v>0.84017794174402372</v>
      </c>
      <c r="I106" s="54">
        <f>(VLOOKUP($A106,'The List'!$B1:$AH665,21,FALSE)-AVERAGE('The List'!V2:V665))/STDEV('The List'!V2:V665)</f>
        <v>0.18588548593796372</v>
      </c>
      <c r="J106" s="54">
        <f>(VLOOKUP($A106,'The List'!$B1:$AH665,22,FALSE)-AVERAGE('The List'!W2:W665))/STDEV('The List'!W2:W665)</f>
        <v>-3.2805336178648441E-2</v>
      </c>
      <c r="K106" s="54">
        <f>(VLOOKUP($A106,'The List'!$B1:$AH665,23,FALSE)-AVERAGE('The List'!X2:X665))/STDEV('The List'!X2:X665)</f>
        <v>1.7810774211259512</v>
      </c>
      <c r="L106" s="54">
        <f>(VLOOKUP($A106,'The List'!$B1:$AH665,24,FALSE)-AVERAGE('The List'!Y2:Y665))/STDEV('The List'!Y2:Y665)</f>
        <v>-0.51578991503205851</v>
      </c>
      <c r="M106" s="54">
        <f>(VLOOKUP($A106,'The List'!$B1:$AH665,25,FALSE)-AVERAGE('The List'!Z2:Z665))/STDEV('The List'!Z2:Z665)</f>
        <v>-1.2496684939505603E-2</v>
      </c>
      <c r="N106" s="54">
        <f>(VLOOKUP($A106,'The List'!$B1:$AH665,26,FALSE)-AVERAGE('The List'!AA2:AA665))/STDEV('The List'!AA2:AA665)</f>
        <v>1.6875068189212179</v>
      </c>
      <c r="O106" s="54">
        <f>(VLOOKUP($A106,'The List'!$B1:$AH665,27,FALSE)-AVERAGE('The List'!AB2:AB665))/STDEV('The List'!AB2:AB665)</f>
        <v>0.12322912580355781</v>
      </c>
      <c r="P106" s="54">
        <f>(VLOOKUP($A106,'The List'!$B1:$AH665,28,FALSE)-AVERAGE('The List'!AC2:AC665))/STDEV('The List'!AC2:AC665)</f>
        <v>4.2376721738622537E-2</v>
      </c>
      <c r="Q106" s="54">
        <f>(VLOOKUP($A106,'The List'!$B1:$AH665,29,FALSE)-AVERAGE('The List'!AD2:AD665))/STDEV('The List'!AD2:AD665)</f>
        <v>1.1408581371620949</v>
      </c>
      <c r="R106" s="54">
        <f>(VLOOKUP($A106,'The List'!$B1:$AH665,30,FALSE)-AVERAGE('The List'!AE2:AE665))/STDEV('The List'!AE2:AE665)</f>
        <v>-0.50078397460121205</v>
      </c>
      <c r="S106" s="54">
        <f>(VLOOKUP($A106,'The List'!$B1:$AH665,31,FALSE)-AVERAGE('The List'!AF2:AF665))/STDEV('The List'!AF2:AF665)</f>
        <v>-0.57389441068000469</v>
      </c>
      <c r="T106" s="54">
        <f>(VLOOKUP($A106,'The List'!$B1:$AH665,32,FALSE)-AVERAGE('The List'!AG2:AG665))/STDEV('The List'!AG2:AG665)</f>
        <v>-0.62577078713265111</v>
      </c>
      <c r="U106" s="54">
        <f>(VLOOKUP($A106,'The List'!$B1:$AH665,33,FALSE)-AVERAGE('The List'!AH2:AH665))/STDEV('The List'!AH2:AH665)</f>
        <v>-1.2314350945148611</v>
      </c>
      <c r="V106" s="54"/>
      <c r="W106" s="56"/>
      <c r="X106" s="54"/>
      <c r="Y106" s="54"/>
      <c r="Z106" s="54"/>
      <c r="AA106" s="54"/>
      <c r="AB106" s="54"/>
      <c r="AC106" s="54"/>
      <c r="AD106" s="54"/>
      <c r="AE106" s="54"/>
    </row>
    <row r="107" spans="1:31" ht="21.25" customHeight="1" x14ac:dyDescent="0.15">
      <c r="A107" s="9" t="s">
        <v>182</v>
      </c>
      <c r="B107" s="65" t="str">
        <f>VLOOKUP(A107,'Player Data'!A1:B667,2,FALSE)</f>
        <v>BOS</v>
      </c>
      <c r="C107" s="51">
        <f>((E107)*Settings!$C$12)+(F107*Settings!$C$2)+(G107*Settings!$C$3)+(H107*Settings!$C$4)+(I107*Settings!$C$5)+(K107*Settings!$C$9)+(N107*Settings!$C$6)+(J107*Settings!$C$8)+(O107*Settings!$C$7)+(P107*Settings!$C$14)+(Q107*Settings!$C$15)+(R107*Settings!$C$16)+(S107*Settings!$C$17)+(T107*Settings!$C$18)+(U107*Settings!$C$19)+(L107*Settings!$C$10)+(Settings!$C$11*M107)</f>
        <v>6.1747533023781171</v>
      </c>
      <c r="D107" s="56">
        <f>IF(Settings!$E$12="YES",VLOOKUP(A107,'Player Data'!A1:E667,5,FALSE),82)</f>
        <v>78.147499999999994</v>
      </c>
      <c r="E107" s="54">
        <f>(VLOOKUP($A107,'The List'!$B1:$AH665,17,FALSE)-AVERAGE('The List'!R2:R665))/STDEV('The List'!R2:R665)</f>
        <v>2.167171752606178</v>
      </c>
      <c r="F107" s="54">
        <f>(VLOOKUP($A107,'The List'!$B1:$AH665,18,FALSE)-AVERAGE('The List'!S2:S665))/STDEV('The List'!S2:S665)</f>
        <v>-0.23737142317954876</v>
      </c>
      <c r="G107" s="54">
        <f>(VLOOKUP($A107,'The List'!$B1:$AH665,19,FALSE)-AVERAGE('The List'!T2:T665))/STDEV('The List'!T2:T665)</f>
        <v>1.7721370412914936</v>
      </c>
      <c r="H107" s="54">
        <f>(VLOOKUP($A107,'The List'!$B1:$AH665,20,FALSE)-AVERAGE('The List'!U2:U665))/STDEV('The List'!U2:U665)</f>
        <v>0.99270015156111258</v>
      </c>
      <c r="I107" s="54">
        <f>(VLOOKUP($A107,'The List'!$B1:$AH665,21,FALSE)-AVERAGE('The List'!V2:V665))/STDEV('The List'!V2:V665)</f>
        <v>0.21438553400023139</v>
      </c>
      <c r="J107" s="54">
        <f>(VLOOKUP($A107,'The List'!$B1:$AH665,22,FALSE)-AVERAGE('The List'!W2:W665))/STDEV('The List'!W2:W665)</f>
        <v>-5.6719572306321658E-2</v>
      </c>
      <c r="K107" s="54">
        <f>(VLOOKUP($A107,'The List'!$B1:$AH665,23,FALSE)-AVERAGE('The List'!X2:X665))/STDEV('The List'!X2:X665)</f>
        <v>1.2734602059092355</v>
      </c>
      <c r="L107" s="54">
        <f>(VLOOKUP($A107,'The List'!$B1:$AH665,24,FALSE)-AVERAGE('The List'!Y2:Y665))/STDEV('The List'!Y2:Y665)</f>
        <v>-0.52170853152234886</v>
      </c>
      <c r="M107" s="54">
        <f>(VLOOKUP($A107,'The List'!$B1:$AH665,25,FALSE)-AVERAGE('The List'!Z2:Z665))/STDEV('The List'!Z2:Z665)</f>
        <v>-0.60116088448720162</v>
      </c>
      <c r="N107" s="54">
        <f>(VLOOKUP($A107,'The List'!$B1:$AH665,26,FALSE)-AVERAGE('The List'!AA2:AA665))/STDEV('The List'!AA2:AA665)</f>
        <v>2.1635002825696672</v>
      </c>
      <c r="O107" s="54">
        <f>(VLOOKUP($A107,'The List'!$B1:$AH665,27,FALSE)-AVERAGE('The List'!AB2:AB665))/STDEV('The List'!AB2:AB665)</f>
        <v>1.0262144404899964</v>
      </c>
      <c r="P107" s="54">
        <f>(VLOOKUP($A107,'The List'!$B1:$AH665,28,FALSE)-AVERAGE('The List'!AC2:AC665))/STDEV('The List'!AC2:AC665)</f>
        <v>0.98864166178703794</v>
      </c>
      <c r="Q107" s="54">
        <f>(VLOOKUP($A107,'The List'!$B1:$AH665,29,FALSE)-AVERAGE('The List'!AD2:AD665))/STDEV('The List'!AD2:AD665)</f>
        <v>2.3675744128234055</v>
      </c>
      <c r="R107" s="54">
        <f>(VLOOKUP($A107,'The List'!$B1:$AH665,30,FALSE)-AVERAGE('The List'!AE2:AE665))/STDEV('The List'!AE2:AE665)</f>
        <v>-0.17920241907691775</v>
      </c>
      <c r="S107" s="54">
        <f>(VLOOKUP($A107,'The List'!$B1:$AH665,31,FALSE)-AVERAGE('The List'!AF2:AF665))/STDEV('The List'!AF2:AF665)</f>
        <v>-0.57389441068000469</v>
      </c>
      <c r="T107" s="54">
        <f>(VLOOKUP($A107,'The List'!$B1:$AH665,32,FALSE)-AVERAGE('The List'!AG2:AG665))/STDEV('The List'!AG2:AG665)</f>
        <v>-0.62577078713265111</v>
      </c>
      <c r="U107" s="54">
        <f>(VLOOKUP($A107,'The List'!$B1:$AH665,33,FALSE)-AVERAGE('The List'!AH2:AH665))/STDEV('The List'!AH2:AH665)</f>
        <v>-1.2314350945148611</v>
      </c>
      <c r="V107" s="54"/>
      <c r="W107" s="64"/>
      <c r="X107" s="56"/>
      <c r="Y107" s="56"/>
      <c r="Z107" s="56"/>
      <c r="AA107" s="56"/>
      <c r="AB107" s="56"/>
      <c r="AC107" s="59"/>
      <c r="AD107" s="60"/>
      <c r="AE107" s="54"/>
    </row>
    <row r="108" spans="1:31" ht="21.25" customHeight="1" x14ac:dyDescent="0.15">
      <c r="A108" s="9" t="s">
        <v>300</v>
      </c>
      <c r="B108" s="65" t="str">
        <f>VLOOKUP(A108,'Player Data'!A1:B667,2,FALSE)</f>
        <v>PIT</v>
      </c>
      <c r="C108" s="51">
        <f>((E108)*Settings!$C$12)+(F108*Settings!$C$2)+(G108*Settings!$C$3)+(H108*Settings!$C$4)+(I108*Settings!$C$5)+(K108*Settings!$C$9)+(N108*Settings!$C$6)+(J108*Settings!$C$8)+(O108*Settings!$C$7)+(P108*Settings!$C$14)+(Q108*Settings!$C$15)+(R108*Settings!$C$16)+(S108*Settings!$C$17)+(T108*Settings!$C$18)+(U108*Settings!$C$19)+(L108*Settings!$C$10)+(Settings!$C$11*M108)</f>
        <v>2.6247847621562221</v>
      </c>
      <c r="D108" s="56">
        <f>IF(Settings!$E$12="YES",VLOOKUP(A108,'Player Data'!A1:E667,5,FALSE),82)</f>
        <v>81.552499999999995</v>
      </c>
      <c r="E108" s="54">
        <f>(VLOOKUP($A108,'The List'!$B1:$AH665,17,FALSE)-AVERAGE('The List'!R2:R665))/STDEV('The List'!R2:R665)</f>
        <v>8.2944168917411423E-2</v>
      </c>
      <c r="F108" s="54">
        <f>(VLOOKUP($A108,'The List'!$B1:$AH665,18,FALSE)-AVERAGE('The List'!S2:S665))/STDEV('The List'!S2:S665)</f>
        <v>0.75978074151905972</v>
      </c>
      <c r="G108" s="54">
        <f>(VLOOKUP($A108,'The List'!$B1:$AH665,19,FALSE)-AVERAGE('The List'!T2:T665))/STDEV('The List'!T2:T665)</f>
        <v>0.77657849331341078</v>
      </c>
      <c r="H108" s="54">
        <f>(VLOOKUP($A108,'The List'!$B1:$AH665,20,FALSE)-AVERAGE('The List'!U2:U665))/STDEV('The List'!U2:U665)</f>
        <v>0.82765537218974439</v>
      </c>
      <c r="I108" s="54">
        <f>(VLOOKUP($A108,'The List'!$B1:$AH665,21,FALSE)-AVERAGE('The List'!V2:V665))/STDEV('The List'!V2:V665)</f>
        <v>0.80285510334024812</v>
      </c>
      <c r="J108" s="54">
        <f>(VLOOKUP($A108,'The List'!$B1:$AH665,22,FALSE)-AVERAGE('The List'!W2:W665))/STDEV('The List'!W2:W665)</f>
        <v>1.4352680111858491</v>
      </c>
      <c r="K108" s="54">
        <f>(VLOOKUP($A108,'The List'!$B1:$AH665,23,FALSE)-AVERAGE('The List'!X2:X665))/STDEV('The List'!X2:X665)</f>
        <v>1.2156476289953932</v>
      </c>
      <c r="L108" s="54">
        <f>(VLOOKUP($A108,'The List'!$B1:$AH665,24,FALSE)-AVERAGE('The List'!Y2:Y665))/STDEV('The List'!Y2:Y665)</f>
        <v>-0.57049286022549395</v>
      </c>
      <c r="M108" s="54">
        <f>(VLOOKUP($A108,'The List'!$B1:$AH665,25,FALSE)-AVERAGE('The List'!Z2:Z665))/STDEV('The List'!Z2:Z665)</f>
        <v>-0.74406505693813352</v>
      </c>
      <c r="N108" s="54">
        <f>(VLOOKUP($A108,'The List'!$B1:$AH665,26,FALSE)-AVERAGE('The List'!AA2:AA665))/STDEV('The List'!AA2:AA665)</f>
        <v>-0.99677574863736429</v>
      </c>
      <c r="O108" s="54">
        <f>(VLOOKUP($A108,'The List'!$B1:$AH665,27,FALSE)-AVERAGE('The List'!AB2:AB665))/STDEV('The List'!AB2:AB665)</f>
        <v>-0.57574408456324877</v>
      </c>
      <c r="P108" s="54">
        <f>(VLOOKUP($A108,'The List'!$B1:$AH665,28,FALSE)-AVERAGE('The List'!AC2:AC665))/STDEV('The List'!AC2:AC665)</f>
        <v>6.6698543625474463E-2</v>
      </c>
      <c r="Q108" s="54">
        <f>(VLOOKUP($A108,'The List'!$B1:$AH665,29,FALSE)-AVERAGE('The List'!AD2:AD665))/STDEV('The List'!AD2:AD665)</f>
        <v>2.0962479269826906</v>
      </c>
      <c r="R108" s="54">
        <f>(VLOOKUP($A108,'The List'!$B1:$AH665,30,FALSE)-AVERAGE('The List'!AE2:AE665))/STDEV('The List'!AE2:AE665)</f>
        <v>0.71677096654680417</v>
      </c>
      <c r="S108" s="54">
        <f>(VLOOKUP($A108,'The List'!$B1:$AH665,31,FALSE)-AVERAGE('The List'!AF2:AF665))/STDEV('The List'!AF2:AF665)</f>
        <v>-0.53729153678605424</v>
      </c>
      <c r="T108" s="54">
        <f>(VLOOKUP($A108,'The List'!$B1:$AH665,32,FALSE)-AVERAGE('The List'!AG2:AG665))/STDEV('The List'!AG2:AG665)</f>
        <v>-0.55672968650899757</v>
      </c>
      <c r="U108" s="54">
        <f>(VLOOKUP($A108,'The List'!$B1:$AH665,33,FALSE)-AVERAGE('The List'!AH2:AH665))/STDEV('The List'!AH2:AH665)</f>
        <v>0.40306783587553136</v>
      </c>
      <c r="V108" s="54"/>
      <c r="W108" s="64"/>
      <c r="X108" s="56"/>
      <c r="Y108" s="56"/>
      <c r="Z108" s="56"/>
      <c r="AA108" s="56"/>
      <c r="AB108" s="56"/>
      <c r="AC108" s="59"/>
      <c r="AD108" s="60"/>
      <c r="AE108" s="54"/>
    </row>
    <row r="109" spans="1:31" ht="21.25" customHeight="1" x14ac:dyDescent="0.15">
      <c r="A109" s="9" t="s">
        <v>233</v>
      </c>
      <c r="B109" s="65" t="str">
        <f>VLOOKUP(A109,'Player Data'!A1:B667,2,FALSE)</f>
        <v>MIN</v>
      </c>
      <c r="C109" s="51">
        <f>((E109)*Settings!$C$12)+(F109*Settings!$C$2)+(G109*Settings!$C$3)+(H109*Settings!$C$4)+(I109*Settings!$C$5)+(K109*Settings!$C$9)+(N109*Settings!$C$6)+(J109*Settings!$C$8)+(O109*Settings!$C$7)+(P109*Settings!$C$14)+(Q109*Settings!$C$15)+(R109*Settings!$C$16)+(S109*Settings!$C$17)+(T109*Settings!$C$18)+(U109*Settings!$C$19)+(L109*Settings!$C$10)+(Settings!$C$11*M109)</f>
        <v>5.3823610735208991</v>
      </c>
      <c r="D109" s="56">
        <f>IF(Settings!$E$12="YES",VLOOKUP(A109,'Player Data'!A1:E667,5,FALSE),82)</f>
        <v>80.092500000000001</v>
      </c>
      <c r="E109" s="54">
        <f>(VLOOKUP($A109,'The List'!$B1:$AH665,17,FALSE)-AVERAGE('The List'!R2:R665))/STDEV('The List'!R2:R665)</f>
        <v>0.74654608822589186</v>
      </c>
      <c r="F109" s="54">
        <f>(VLOOKUP($A109,'The List'!$B1:$AH665,18,FALSE)-AVERAGE('The List'!S2:S665))/STDEV('The List'!S2:S665)</f>
        <v>1.256192992296939</v>
      </c>
      <c r="G109" s="54">
        <f>(VLOOKUP($A109,'The List'!$B1:$AH665,19,FALSE)-AVERAGE('The List'!T2:T665))/STDEV('The List'!T2:T665)</f>
        <v>0.77184042974184819</v>
      </c>
      <c r="H109" s="54">
        <f>(VLOOKUP($A109,'The List'!$B1:$AH665,20,FALSE)-AVERAGE('The List'!U2:U665))/STDEV('The List'!U2:U665)</f>
        <v>1.0503557326463344</v>
      </c>
      <c r="I109" s="54">
        <f>(VLOOKUP($A109,'The List'!$B1:$AH665,21,FALSE)-AVERAGE('The List'!V2:V665))/STDEV('The List'!V2:V665)</f>
        <v>1.9546166597194519</v>
      </c>
      <c r="J109" s="54">
        <f>(VLOOKUP($A109,'The List'!$B1:$AH665,22,FALSE)-AVERAGE('The List'!W2:W665))/STDEV('The List'!W2:W665)</f>
        <v>2.2693889184195322</v>
      </c>
      <c r="K109" s="54">
        <f>(VLOOKUP($A109,'The List'!$B1:$AH665,23,FALSE)-AVERAGE('The List'!X2:X665))/STDEV('The List'!X2:X665)</f>
        <v>1.1978403933445918</v>
      </c>
      <c r="L109" s="54">
        <f>(VLOOKUP($A109,'The List'!$B1:$AH665,24,FALSE)-AVERAGE('The List'!Y2:Y665))/STDEV('The List'!Y2:Y665)</f>
        <v>1.3527087117148637</v>
      </c>
      <c r="M109" s="54">
        <f>(VLOOKUP($A109,'The List'!$B1:$AH665,25,FALSE)-AVERAGE('The List'!Z2:Z665))/STDEV('The List'!Z2:Z665)</f>
        <v>0.80156999937269313</v>
      </c>
      <c r="N109" s="54">
        <f>(VLOOKUP($A109,'The List'!$B1:$AH665,26,FALSE)-AVERAGE('The List'!AA2:AA665))/STDEV('The List'!AA2:AA665)</f>
        <v>-0.24362069313979459</v>
      </c>
      <c r="O109" s="54">
        <f>(VLOOKUP($A109,'The List'!$B1:$AH665,27,FALSE)-AVERAGE('The List'!AB2:AB665))/STDEV('The List'!AB2:AB665)</f>
        <v>1.2340295424717027</v>
      </c>
      <c r="P109" s="54">
        <f>(VLOOKUP($A109,'The List'!$B1:$AH665,28,FALSE)-AVERAGE('The List'!AC2:AC665))/STDEV('The List'!AC2:AC665)</f>
        <v>0.44549129155786282</v>
      </c>
      <c r="Q109" s="54">
        <f>(VLOOKUP($A109,'The List'!$B1:$AH665,29,FALSE)-AVERAGE('The List'!AD2:AD665))/STDEV('The List'!AD2:AD665)</f>
        <v>0.79266542895655301</v>
      </c>
      <c r="R109" s="54">
        <f>(VLOOKUP($A109,'The List'!$B1:$AH665,30,FALSE)-AVERAGE('The List'!AE2:AE665))/STDEV('The List'!AE2:AE665)</f>
        <v>1.4689709699078928</v>
      </c>
      <c r="S109" s="54">
        <f>(VLOOKUP($A109,'The List'!$B1:$AH665,31,FALSE)-AVERAGE('The List'!AF2:AF665))/STDEV('The List'!AF2:AF665)</f>
        <v>3.1540881258402287</v>
      </c>
      <c r="T109" s="54">
        <f>(VLOOKUP($A109,'The List'!$B1:$AH665,32,FALSE)-AVERAGE('The List'!AG2:AG665))/STDEV('The List'!AG2:AG665)</f>
        <v>3.486842494614236</v>
      </c>
      <c r="U109" s="54">
        <f>(VLOOKUP($A109,'The List'!$B1:$AH665,33,FALSE)-AVERAGE('The List'!AH2:AH665))/STDEV('The List'!AH2:AH665)</f>
        <v>0.9937459072115864</v>
      </c>
      <c r="V109" s="54"/>
      <c r="W109" s="56"/>
      <c r="X109" s="54"/>
      <c r="Y109" s="54"/>
      <c r="Z109" s="54"/>
      <c r="AA109" s="54"/>
      <c r="AB109" s="54"/>
      <c r="AC109" s="54"/>
      <c r="AD109" s="54"/>
      <c r="AE109" s="54"/>
    </row>
    <row r="110" spans="1:31" ht="21.25" customHeight="1" x14ac:dyDescent="0.15">
      <c r="A110" s="9" t="s">
        <v>236</v>
      </c>
      <c r="B110" s="65" t="str">
        <f>VLOOKUP(A110,'Player Data'!A1:B667,2,FALSE)</f>
        <v>CAR</v>
      </c>
      <c r="C110" s="51">
        <f>((E110)*Settings!$C$12)+(F110*Settings!$C$2)+(G110*Settings!$C$3)+(H110*Settings!$C$4)+(I110*Settings!$C$5)+(K110*Settings!$C$9)+(N110*Settings!$C$6)+(J110*Settings!$C$8)+(O110*Settings!$C$7)+(P110*Settings!$C$14)+(Q110*Settings!$C$15)+(R110*Settings!$C$16)+(S110*Settings!$C$17)+(T110*Settings!$C$18)+(U110*Settings!$C$19)+(L110*Settings!$C$10)+(Settings!$C$11*M110)</f>
        <v>4.6396819903075475</v>
      </c>
      <c r="D110" s="56">
        <f>IF(Settings!$E$12="YES",VLOOKUP(A110,'Player Data'!A1:E667,5,FALSE),82)</f>
        <v>80.742500000000007</v>
      </c>
      <c r="E110" s="54">
        <f>(VLOOKUP($A110,'The List'!$B1:$AH665,17,FALSE)-AVERAGE('The List'!R2:R665))/STDEV('The List'!R2:R665)</f>
        <v>0.16808821523053896</v>
      </c>
      <c r="F110" s="54">
        <f>(VLOOKUP($A110,'The List'!$B1:$AH665,18,FALSE)-AVERAGE('The List'!S2:S665))/STDEV('The List'!S2:S665)</f>
        <v>1.1873967492682007</v>
      </c>
      <c r="G110" s="54">
        <f>(VLOOKUP($A110,'The List'!$B1:$AH665,19,FALSE)-AVERAGE('The List'!T2:T665))/STDEV('The List'!T2:T665)</f>
        <v>0.85397276349035989</v>
      </c>
      <c r="H110" s="54">
        <f>(VLOOKUP($A110,'The List'!$B1:$AH665,20,FALSE)-AVERAGE('The List'!U2:U665))/STDEV('The List'!U2:U665)</f>
        <v>1.0700933674459001</v>
      </c>
      <c r="I110" s="54">
        <f>(VLOOKUP($A110,'The List'!$B1:$AH665,21,FALSE)-AVERAGE('The List'!V2:V665))/STDEV('The List'!V2:V665)</f>
        <v>1.5804772882815155</v>
      </c>
      <c r="J110" s="54">
        <f>(VLOOKUP($A110,'The List'!$B1:$AH665,22,FALSE)-AVERAGE('The List'!W2:W665))/STDEV('The List'!W2:W665)</f>
        <v>1.5529160561127699</v>
      </c>
      <c r="K110" s="54">
        <f>(VLOOKUP($A110,'The List'!$B1:$AH665,23,FALSE)-AVERAGE('The List'!X2:X665))/STDEV('The List'!X2:X665)</f>
        <v>1.0857882288545655</v>
      </c>
      <c r="L110" s="54">
        <f>(VLOOKUP($A110,'The List'!$B1:$AH665,24,FALSE)-AVERAGE('The List'!Y2:Y665))/STDEV('The List'!Y2:Y665)</f>
        <v>-0.49180713495736306</v>
      </c>
      <c r="M110" s="54">
        <f>(VLOOKUP($A110,'The List'!$B1:$AH665,25,FALSE)-AVERAGE('The List'!Z2:Z665))/STDEV('The List'!Z2:Z665)</f>
        <v>-0.632513282545483</v>
      </c>
      <c r="N110" s="54">
        <f>(VLOOKUP($A110,'The List'!$B1:$AH665,26,FALSE)-AVERAGE('The List'!AA2:AA665))/STDEV('The List'!AA2:AA665)</f>
        <v>-0.86350145318387994</v>
      </c>
      <c r="O110" s="54">
        <f>(VLOOKUP($A110,'The List'!$B1:$AH665,27,FALSE)-AVERAGE('The List'!AB2:AB665))/STDEV('The List'!AB2:AB665)</f>
        <v>-0.43109116717401658</v>
      </c>
      <c r="P110" s="54">
        <f>(VLOOKUP($A110,'The List'!$B1:$AH665,28,FALSE)-AVERAGE('The List'!AC2:AC665))/STDEV('The List'!AC2:AC665)</f>
        <v>0.79554841359678607</v>
      </c>
      <c r="Q110" s="54">
        <f>(VLOOKUP($A110,'The List'!$B1:$AH665,29,FALSE)-AVERAGE('The List'!AD2:AD665))/STDEV('The List'!AD2:AD665)</f>
        <v>0.42564851003947174</v>
      </c>
      <c r="R110" s="54">
        <f>(VLOOKUP($A110,'The List'!$B1:$AH665,30,FALSE)-AVERAGE('The List'!AE2:AE665))/STDEV('The List'!AE2:AE665)</f>
        <v>1.5288591423360063</v>
      </c>
      <c r="S110" s="54">
        <f>(VLOOKUP($A110,'The List'!$B1:$AH665,31,FALSE)-AVERAGE('The List'!AF2:AF665))/STDEV('The List'!AF2:AF665)</f>
        <v>-0.22370051249853465</v>
      </c>
      <c r="T110" s="54">
        <f>(VLOOKUP($A110,'The List'!$B1:$AH665,32,FALSE)-AVERAGE('The List'!AG2:AG665))/STDEV('The List'!AG2:AG665)</f>
        <v>-8.1395067770305904E-2</v>
      </c>
      <c r="U110" s="54">
        <f>(VLOOKUP($A110,'The List'!$B1:$AH665,33,FALSE)-AVERAGE('The List'!AH2:AH665))/STDEV('The List'!AH2:AH665)</f>
        <v>0.61016189319719272</v>
      </c>
      <c r="V110" s="54"/>
      <c r="W110" s="56"/>
      <c r="X110" s="54"/>
      <c r="Y110" s="54"/>
      <c r="Z110" s="54"/>
      <c r="AA110" s="54"/>
      <c r="AB110" s="54"/>
      <c r="AC110" s="54"/>
      <c r="AD110" s="54"/>
      <c r="AE110" s="54"/>
    </row>
    <row r="111" spans="1:31" ht="21.25" customHeight="1" x14ac:dyDescent="0.15">
      <c r="A111" s="9" t="s">
        <v>251</v>
      </c>
      <c r="B111" s="65" t="str">
        <f>VLOOKUP(A111,'Player Data'!A1:B667,2,FALSE)</f>
        <v>CGY</v>
      </c>
      <c r="C111" s="51">
        <f>((E111)*Settings!$C$12)+(F111*Settings!$C$2)+(G111*Settings!$C$3)+(H111*Settings!$C$4)+(I111*Settings!$C$5)+(K111*Settings!$C$9)+(N111*Settings!$C$6)+(J111*Settings!$C$8)+(O111*Settings!$C$7)+(P111*Settings!$C$14)+(Q111*Settings!$C$15)+(R111*Settings!$C$16)+(S111*Settings!$C$17)+(T111*Settings!$C$18)+(U111*Settings!$C$19)+(L111*Settings!$C$10)+(Settings!$C$11*M111)</f>
        <v>2.2861546248777014</v>
      </c>
      <c r="D111" s="56">
        <f>IF(Settings!$E$12="YES",VLOOKUP(A111,'Player Data'!A1:E667,5,FALSE),82)</f>
        <v>80.467500000000001</v>
      </c>
      <c r="E111" s="54">
        <f>(VLOOKUP($A111,'The List'!$B1:$AH665,17,FALSE)-AVERAGE('The List'!R2:R665))/STDEV('The List'!R2:R665)</f>
        <v>0.38407649225060436</v>
      </c>
      <c r="F111" s="54">
        <f>(VLOOKUP($A111,'The List'!$B1:$AH665,18,FALSE)-AVERAGE('The List'!S2:S665))/STDEV('The List'!S2:S665)</f>
        <v>1.4428245979297458</v>
      </c>
      <c r="G111" s="54">
        <f>(VLOOKUP($A111,'The List'!$B1:$AH665,19,FALSE)-AVERAGE('The List'!T2:T665))/STDEV('The List'!T2:T665)</f>
        <v>0.60833851717100218</v>
      </c>
      <c r="H111" s="54">
        <f>(VLOOKUP($A111,'The List'!$B1:$AH665,20,FALSE)-AVERAGE('The List'!U2:U665))/STDEV('The List'!U2:U665)</f>
        <v>1.0336447876080819</v>
      </c>
      <c r="I111" s="54">
        <f>(VLOOKUP($A111,'The List'!$B1:$AH665,21,FALSE)-AVERAGE('The List'!V2:V665))/STDEV('The List'!V2:V665)</f>
        <v>0.97361918297075245</v>
      </c>
      <c r="J111" s="54">
        <f>(VLOOKUP($A111,'The List'!$B1:$AH665,22,FALSE)-AVERAGE('The List'!W2:W665))/STDEV('The List'!W2:W665)</f>
        <v>1.2062773013541532</v>
      </c>
      <c r="K111" s="54">
        <f>(VLOOKUP($A111,'The List'!$B1:$AH665,23,FALSE)-AVERAGE('The List'!X2:X665))/STDEV('The List'!X2:X665)</f>
        <v>1.1716815593237138</v>
      </c>
      <c r="L111" s="54">
        <f>(VLOOKUP($A111,'The List'!$B1:$AH665,24,FALSE)-AVERAGE('The List'!Y2:Y665))/STDEV('The List'!Y2:Y665)</f>
        <v>3.3742782280598225</v>
      </c>
      <c r="M111" s="54">
        <f>(VLOOKUP($A111,'The List'!$B1:$AH665,25,FALSE)-AVERAGE('The List'!Z2:Z665))/STDEV('The List'!Z2:Z665)</f>
        <v>4.3713569696499652</v>
      </c>
      <c r="N111" s="54">
        <f>(VLOOKUP($A111,'The List'!$B1:$AH665,26,FALSE)-AVERAGE('The List'!AA2:AA665))/STDEV('The List'!AA2:AA665)</f>
        <v>-0.50174803970130277</v>
      </c>
      <c r="O111" s="54">
        <f>(VLOOKUP($A111,'The List'!$B1:$AH665,27,FALSE)-AVERAGE('The List'!AB2:AB665))/STDEV('The List'!AB2:AB665)</f>
        <v>-1.4110223983717585</v>
      </c>
      <c r="P111" s="54">
        <f>(VLOOKUP($A111,'The List'!$B1:$AH665,28,FALSE)-AVERAGE('The List'!AC2:AC665))/STDEV('The List'!AC2:AC665)</f>
        <v>-1.4085611928162101</v>
      </c>
      <c r="Q111" s="54">
        <f>(VLOOKUP($A111,'The List'!$B1:$AH665,29,FALSE)-AVERAGE('The List'!AD2:AD665))/STDEV('The List'!AD2:AD665)</f>
        <v>-1.062889232865041</v>
      </c>
      <c r="R111" s="54">
        <f>(VLOOKUP($A111,'The List'!$B1:$AH665,30,FALSE)-AVERAGE('The List'!AE2:AE665))/STDEV('The List'!AE2:AE665)</f>
        <v>1.3139721634061368</v>
      </c>
      <c r="S111" s="54">
        <f>(VLOOKUP($A111,'The List'!$B1:$AH665,31,FALSE)-AVERAGE('The List'!AF2:AF665))/STDEV('The List'!AF2:AF665)</f>
        <v>-9.8675098948486223E-3</v>
      </c>
      <c r="T111" s="54">
        <f>(VLOOKUP($A111,'The List'!$B1:$AH665,32,FALSE)-AVERAGE('The List'!AG2:AG665))/STDEV('The List'!AG2:AG665)</f>
        <v>0.37127560435324719</v>
      </c>
      <c r="U111" s="54">
        <f>(VLOOKUP($A111,'The List'!$B1:$AH665,33,FALSE)-AVERAGE('The List'!AH2:AH665))/STDEV('The List'!AH2:AH665)</f>
        <v>0.47147141253628932</v>
      </c>
      <c r="V111" s="54"/>
      <c r="W111" s="64"/>
      <c r="X111" s="56"/>
      <c r="Y111" s="56"/>
      <c r="Z111" s="56"/>
      <c r="AA111" s="56"/>
      <c r="AB111" s="56"/>
      <c r="AC111" s="59"/>
      <c r="AD111" s="60"/>
      <c r="AE111" s="54"/>
    </row>
    <row r="112" spans="1:31" ht="21.25" customHeight="1" x14ac:dyDescent="0.15">
      <c r="A112" s="9" t="s">
        <v>303</v>
      </c>
      <c r="B112" s="65" t="str">
        <f>VLOOKUP(A112,'Player Data'!A1:B667,2,FALSE)</f>
        <v>S.J</v>
      </c>
      <c r="C112" s="51">
        <f>((E112)*Settings!$C$12)+(F112*Settings!$C$2)+(G112*Settings!$C$3)+(H112*Settings!$C$4)+(I112*Settings!$C$5)+(K112*Settings!$C$9)+(N112*Settings!$C$6)+(J112*Settings!$C$8)+(O112*Settings!$C$7)+(P112*Settings!$C$14)+(Q112*Settings!$C$15)+(R112*Settings!$C$16)+(S112*Settings!$C$17)+(T112*Settings!$C$18)+(U112*Settings!$C$19)+(L112*Settings!$C$10)+(Settings!$C$11*M112)</f>
        <v>1.1150049457437559</v>
      </c>
      <c r="D112" s="56">
        <f>IF(Settings!$E$12="YES",VLOOKUP(A112,'Player Data'!A1:E667,5,FALSE),82)</f>
        <v>78</v>
      </c>
      <c r="E112" s="54">
        <f>(VLOOKUP($A112,'The List'!$B1:$AH665,17,FALSE)-AVERAGE('The List'!R2:R665))/STDEV('The List'!R2:R665)</f>
        <v>0.30512874495233616</v>
      </c>
      <c r="F112" s="54">
        <f>(VLOOKUP($A112,'The List'!$B1:$AH665,18,FALSE)-AVERAGE('The List'!S2:S665))/STDEV('The List'!S2:S665)</f>
        <v>1.0245824617050219</v>
      </c>
      <c r="G112" s="54">
        <f>(VLOOKUP($A112,'The List'!$B1:$AH665,19,FALSE)-AVERAGE('The List'!T2:T665))/STDEV('The List'!T2:T665)</f>
        <v>0.77517464152005711</v>
      </c>
      <c r="H112" s="54">
        <f>(VLOOKUP($A112,'The List'!$B1:$AH665,20,FALSE)-AVERAGE('The List'!U2:U665))/STDEV('The List'!U2:U665)</f>
        <v>0.94714847015077608</v>
      </c>
      <c r="I112" s="54">
        <f>(VLOOKUP($A112,'The List'!$B1:$AH665,21,FALSE)-AVERAGE('The List'!V2:V665))/STDEV('The List'!V2:V665)</f>
        <v>0.64356431225396571</v>
      </c>
      <c r="J112" s="54">
        <f>(VLOOKUP($A112,'The List'!$B1:$AH665,22,FALSE)-AVERAGE('The List'!W2:W665))/STDEV('The List'!W2:W665)</f>
        <v>1.1362555856942704</v>
      </c>
      <c r="K112" s="54">
        <f>(VLOOKUP($A112,'The List'!$B1:$AH665,23,FALSE)-AVERAGE('The List'!X2:X665))/STDEV('The List'!X2:X665)</f>
        <v>0.88591443806634185</v>
      </c>
      <c r="L112" s="54">
        <f>(VLOOKUP($A112,'The List'!$B1:$AH665,24,FALSE)-AVERAGE('The List'!Y2:Y665))/STDEV('The List'!Y2:Y665)</f>
        <v>-0.5801829139020841</v>
      </c>
      <c r="M112" s="54">
        <f>(VLOOKUP($A112,'The List'!$B1:$AH665,25,FALSE)-AVERAGE('The List'!Z2:Z665))/STDEV('The List'!Z2:Z665)</f>
        <v>-0.75403666498999722</v>
      </c>
      <c r="N112" s="54">
        <f>(VLOOKUP($A112,'The List'!$B1:$AH665,26,FALSE)-AVERAGE('The List'!AA2:AA665))/STDEV('The List'!AA2:AA665)</f>
        <v>-0.72211609553606304</v>
      </c>
      <c r="O112" s="54">
        <f>(VLOOKUP($A112,'The List'!$B1:$AH665,27,FALSE)-AVERAGE('The List'!AB2:AB665))/STDEV('The List'!AB2:AB665)</f>
        <v>1.0840419204517459E-2</v>
      </c>
      <c r="P112" s="54">
        <f>(VLOOKUP($A112,'The List'!$B1:$AH665,28,FALSE)-AVERAGE('The List'!AC2:AC665))/STDEV('The List'!AC2:AC665)</f>
        <v>-1.4921148122655679</v>
      </c>
      <c r="Q112" s="54">
        <f>(VLOOKUP($A112,'The List'!$B1:$AH665,29,FALSE)-AVERAGE('The List'!AD2:AD665))/STDEV('The List'!AD2:AD665)</f>
        <v>-9.9028195261391769E-2</v>
      </c>
      <c r="R112" s="54">
        <f>(VLOOKUP($A112,'The List'!$B1:$AH665,30,FALSE)-AVERAGE('The List'!AE2:AE665))/STDEV('The List'!AE2:AE665)</f>
        <v>0.34163560407178911</v>
      </c>
      <c r="S112" s="54">
        <f>(VLOOKUP($A112,'The List'!$B1:$AH665,31,FALSE)-AVERAGE('The List'!AF2:AF665))/STDEV('The List'!AF2:AF665)</f>
        <v>0.52565346502005073</v>
      </c>
      <c r="T112" s="54">
        <f>(VLOOKUP($A112,'The List'!$B1:$AH665,32,FALSE)-AVERAGE('The List'!AG2:AG665))/STDEV('The List'!AG2:AG665)</f>
        <v>1.1285216414026455</v>
      </c>
      <c r="U112" s="54">
        <f>(VLOOKUP($A112,'The List'!$B1:$AH665,33,FALSE)-AVERAGE('The List'!AH2:AH665))/STDEV('The List'!AH2:AH665)</f>
        <v>0.58178832443007955</v>
      </c>
      <c r="V112" s="54"/>
      <c r="W112" s="64"/>
      <c r="X112" s="56"/>
      <c r="Y112" s="56"/>
      <c r="Z112" s="56"/>
      <c r="AA112" s="56"/>
      <c r="AB112" s="56"/>
      <c r="AC112" s="59"/>
      <c r="AD112" s="60"/>
      <c r="AE112" s="54"/>
    </row>
    <row r="113" spans="1:31" ht="21.25" customHeight="1" x14ac:dyDescent="0.15">
      <c r="A113" s="9" t="s">
        <v>277</v>
      </c>
      <c r="B113" s="65" t="str">
        <f>VLOOKUP(A113,'Player Data'!A1:B667,2,FALSE)</f>
        <v>NSH</v>
      </c>
      <c r="C113" s="51">
        <f>((E113)*Settings!$C$12)+(F113*Settings!$C$2)+(G113*Settings!$C$3)+(H113*Settings!$C$4)+(I113*Settings!$C$5)+(K113*Settings!$C$9)+(N113*Settings!$C$6)+(J113*Settings!$C$8)+(O113*Settings!$C$7)+(P113*Settings!$C$14)+(Q113*Settings!$C$15)+(R113*Settings!$C$16)+(S113*Settings!$C$17)+(T113*Settings!$C$18)+(U113*Settings!$C$19)+(L113*Settings!$C$10)+(Settings!$C$11*M113)</f>
        <v>4.247121519916301</v>
      </c>
      <c r="D113" s="56">
        <f>IF(Settings!$E$12="YES",VLOOKUP(A113,'Player Data'!A1:E667,5,FALSE),82)</f>
        <v>77.642499999999998</v>
      </c>
      <c r="E113" s="54">
        <f>(VLOOKUP($A113,'The List'!$B1:$AH665,17,FALSE)-AVERAGE('The List'!R2:R665))/STDEV('The List'!R2:R665)</f>
        <v>0.79545322083676118</v>
      </c>
      <c r="F113" s="54">
        <f>(VLOOKUP($A113,'The List'!$B1:$AH665,18,FALSE)-AVERAGE('The List'!S2:S665))/STDEV('The List'!S2:S665)</f>
        <v>1.0676627663072518</v>
      </c>
      <c r="G113" s="54">
        <f>(VLOOKUP($A113,'The List'!$B1:$AH665,19,FALSE)-AVERAGE('The List'!T2:T665))/STDEV('The List'!T2:T665)</f>
        <v>0.9250262528237797</v>
      </c>
      <c r="H113" s="54">
        <f>(VLOOKUP($A113,'The List'!$B1:$AH665,20,FALSE)-AVERAGE('The List'!U2:U665))/STDEV('The List'!U2:U665)</f>
        <v>1.0597967928568426</v>
      </c>
      <c r="I113" s="54">
        <f>(VLOOKUP($A113,'The List'!$B1:$AH665,21,FALSE)-AVERAGE('The List'!V2:V665))/STDEV('The List'!V2:V665)</f>
        <v>0.69178480469934889</v>
      </c>
      <c r="J113" s="54">
        <f>(VLOOKUP($A113,'The List'!$B1:$AH665,22,FALSE)-AVERAGE('The List'!W2:W665))/STDEV('The List'!W2:W665)</f>
        <v>2.0747187974348398</v>
      </c>
      <c r="K113" s="54">
        <f>(VLOOKUP($A113,'The List'!$B1:$AH665,23,FALSE)-AVERAGE('The List'!X2:X665))/STDEV('The List'!X2:X665)</f>
        <v>1.4907084753960098</v>
      </c>
      <c r="L113" s="54">
        <f>(VLOOKUP($A113,'The List'!$B1:$AH665,24,FALSE)-AVERAGE('The List'!Y2:Y665))/STDEV('The List'!Y2:Y665)</f>
        <v>0.1506236744784348</v>
      </c>
      <c r="M113" s="54">
        <f>(VLOOKUP($A113,'The List'!$B1:$AH665,25,FALSE)-AVERAGE('The List'!Z2:Z665))/STDEV('The List'!Z2:Z665)</f>
        <v>6.4094006154842478E-3</v>
      </c>
      <c r="N113" s="54">
        <f>(VLOOKUP($A113,'The List'!$B1:$AH665,26,FALSE)-AVERAGE('The List'!AA2:AA665))/STDEV('The List'!AA2:AA665)</f>
        <v>-0.40798375658659652</v>
      </c>
      <c r="O113" s="54">
        <f>(VLOOKUP($A113,'The List'!$B1:$AH665,27,FALSE)-AVERAGE('The List'!AB2:AB665))/STDEV('The List'!AB2:AB665)</f>
        <v>-1.2743890975181502</v>
      </c>
      <c r="P113" s="54">
        <f>(VLOOKUP($A113,'The List'!$B1:$AH665,28,FALSE)-AVERAGE('The List'!AC2:AC665))/STDEV('The List'!AC2:AC665)</f>
        <v>0.47992297727650729</v>
      </c>
      <c r="Q113" s="54">
        <f>(VLOOKUP($A113,'The List'!$B1:$AH665,29,FALSE)-AVERAGE('The List'!AD2:AD665))/STDEV('The List'!AD2:AD665)</f>
        <v>-0.80919869368656749</v>
      </c>
      <c r="R113" s="54">
        <f>(VLOOKUP($A113,'The List'!$B1:$AH665,30,FALSE)-AVERAGE('The List'!AE2:AE665))/STDEV('The List'!AE2:AE665)</f>
        <v>0.90723774239435451</v>
      </c>
      <c r="S113" s="54">
        <f>(VLOOKUP($A113,'The List'!$B1:$AH665,31,FALSE)-AVERAGE('The List'!AF2:AF665))/STDEV('The List'!AF2:AF665)</f>
        <v>3.3577005648755942</v>
      </c>
      <c r="T113" s="54">
        <f>(VLOOKUP($A113,'The List'!$B1:$AH665,32,FALSE)-AVERAGE('The List'!AG2:AG665))/STDEV('The List'!AG2:AG665)</f>
        <v>2.7796491408927908</v>
      </c>
      <c r="U113" s="54">
        <f>(VLOOKUP($A113,'The List'!$B1:$AH665,33,FALSE)-AVERAGE('The List'!AH2:AH665))/STDEV('The List'!AH2:AH665)</f>
        <v>1.2670275226916172</v>
      </c>
      <c r="V113" s="54"/>
      <c r="W113" s="64"/>
      <c r="X113" s="56"/>
      <c r="Y113" s="56"/>
      <c r="Z113" s="56"/>
      <c r="AA113" s="56"/>
      <c r="AB113" s="56"/>
      <c r="AC113" s="59"/>
      <c r="AD113" s="60"/>
      <c r="AE113" s="54"/>
    </row>
    <row r="114" spans="1:31" ht="21.25" customHeight="1" x14ac:dyDescent="0.15">
      <c r="A114" s="9" t="s">
        <v>260</v>
      </c>
      <c r="B114" s="65" t="str">
        <f>VLOOKUP(A114,'Player Data'!A1:B667,2,FALSE)</f>
        <v>MTL</v>
      </c>
      <c r="C114" s="51">
        <f>((E114)*Settings!$C$12)+(F114*Settings!$C$2)+(G114*Settings!$C$3)+(H114*Settings!$C$4)+(I114*Settings!$C$5)+(K114*Settings!$C$9)+(N114*Settings!$C$6)+(J114*Settings!$C$8)+(O114*Settings!$C$7)+(P114*Settings!$C$14)+(Q114*Settings!$C$15)+(R114*Settings!$C$16)+(S114*Settings!$C$17)+(T114*Settings!$C$18)+(U114*Settings!$C$19)+(L114*Settings!$C$10)+(Settings!$C$11*M114)</f>
        <v>2.8315418102759828</v>
      </c>
      <c r="D114" s="56">
        <f>IF(Settings!$E$12="YES",VLOOKUP(A114,'Player Data'!A1:E667,5,FALSE),82)</f>
        <v>76.217500000000001</v>
      </c>
      <c r="E114" s="54">
        <f>(VLOOKUP($A114,'The List'!$B1:$AH665,17,FALSE)-AVERAGE('The List'!R2:R665))/STDEV('The List'!R2:R665)</f>
        <v>0.65318788213643408</v>
      </c>
      <c r="F114" s="54">
        <f>(VLOOKUP($A114,'The List'!$B1:$AH665,18,FALSE)-AVERAGE('The List'!S2:S665))/STDEV('The List'!S2:S665)</f>
        <v>1.15341515631437</v>
      </c>
      <c r="G114" s="54">
        <f>(VLOOKUP($A114,'The List'!$B1:$AH665,19,FALSE)-AVERAGE('The List'!T2:T665))/STDEV('The List'!T2:T665)</f>
        <v>0.98500763590117002</v>
      </c>
      <c r="H114" s="54">
        <f>(VLOOKUP($A114,'The List'!$B1:$AH665,20,FALSE)-AVERAGE('The List'!U2:U665))/STDEV('The List'!U2:U665)</f>
        <v>1.1360271417844741</v>
      </c>
      <c r="I114" s="54">
        <f>(VLOOKUP($A114,'The List'!$B1:$AH665,21,FALSE)-AVERAGE('The List'!V2:V665))/STDEV('The List'!V2:V665)</f>
        <v>0.58212634004881381</v>
      </c>
      <c r="J114" s="54">
        <f>(VLOOKUP($A114,'The List'!$B1:$AH665,22,FALSE)-AVERAGE('The List'!W2:W665))/STDEV('The List'!W2:W665)</f>
        <v>1.660741281419772</v>
      </c>
      <c r="K114" s="54">
        <f>(VLOOKUP($A114,'The List'!$B1:$AH665,23,FALSE)-AVERAGE('The List'!X2:X665))/STDEV('The List'!X2:X665)</f>
        <v>1.3133764978980538</v>
      </c>
      <c r="L114" s="54">
        <f>(VLOOKUP($A114,'The List'!$B1:$AH665,24,FALSE)-AVERAGE('The List'!Y2:Y665))/STDEV('The List'!Y2:Y665)</f>
        <v>-0.56967941926370158</v>
      </c>
      <c r="M114" s="54">
        <f>(VLOOKUP($A114,'The List'!$B1:$AH665,25,FALSE)-AVERAGE('The List'!Z2:Z665))/STDEV('The List'!Z2:Z665)</f>
        <v>-0.74340664073757823</v>
      </c>
      <c r="N114" s="54">
        <f>(VLOOKUP($A114,'The List'!$B1:$AH665,26,FALSE)-AVERAGE('The List'!AA2:AA665))/STDEV('The List'!AA2:AA665)</f>
        <v>-3.8632979900790988E-2</v>
      </c>
      <c r="O114" s="54">
        <f>(VLOOKUP($A114,'The List'!$B1:$AH665,27,FALSE)-AVERAGE('The List'!AB2:AB665))/STDEV('The List'!AB2:AB665)</f>
        <v>0.88140239281126742</v>
      </c>
      <c r="P114" s="54">
        <f>(VLOOKUP($A114,'The List'!$B1:$AH665,28,FALSE)-AVERAGE('The List'!AC2:AC665))/STDEV('The List'!AC2:AC665)</f>
        <v>-1.1637508399856336</v>
      </c>
      <c r="Q114" s="54">
        <f>(VLOOKUP($A114,'The List'!$B1:$AH665,29,FALSE)-AVERAGE('The List'!AD2:AD665))/STDEV('The List'!AD2:AD665)</f>
        <v>1.4402147943388026</v>
      </c>
      <c r="R114" s="54">
        <f>(VLOOKUP($A114,'The List'!$B1:$AH665,30,FALSE)-AVERAGE('The List'!AE2:AE665))/STDEV('The List'!AE2:AE665)</f>
        <v>0.57507645464814738</v>
      </c>
      <c r="S114" s="54">
        <f>(VLOOKUP($A114,'The List'!$B1:$AH665,31,FALSE)-AVERAGE('The List'!AF2:AF665))/STDEV('The List'!AF2:AF665)</f>
        <v>-0.52416404473883438</v>
      </c>
      <c r="T114" s="54">
        <f>(VLOOKUP($A114,'The List'!$B1:$AH665,32,FALSE)-AVERAGE('The List'!AG2:AG665))/STDEV('The List'!AG2:AG665)</f>
        <v>-0.57287534627802439</v>
      </c>
      <c r="U114" s="54">
        <f>(VLOOKUP($A114,'The List'!$B1:$AH665,33,FALSE)-AVERAGE('The List'!AH2:AH665))/STDEV('The List'!AH2:AH665)</f>
        <v>1.0350941791663146</v>
      </c>
      <c r="V114" s="54"/>
      <c r="W114" s="64"/>
      <c r="X114" s="56"/>
      <c r="Y114" s="56"/>
      <c r="Z114" s="56"/>
      <c r="AA114" s="56"/>
      <c r="AB114" s="56"/>
      <c r="AC114" s="59"/>
      <c r="AD114" s="60"/>
      <c r="AE114" s="54"/>
    </row>
    <row r="115" spans="1:31" ht="21.25" customHeight="1" x14ac:dyDescent="0.15">
      <c r="A115" s="9" t="s">
        <v>270</v>
      </c>
      <c r="B115" s="65" t="str">
        <f>VLOOKUP(A115,'Player Data'!A1:B667,2,FALSE)</f>
        <v>OTT</v>
      </c>
      <c r="C115" s="51">
        <f>((E115)*Settings!$C$12)+(F115*Settings!$C$2)+(G115*Settings!$C$3)+(H115*Settings!$C$4)+(I115*Settings!$C$5)+(K115*Settings!$C$9)+(N115*Settings!$C$6)+(J115*Settings!$C$8)+(O115*Settings!$C$7)+(P115*Settings!$C$14)+(Q115*Settings!$C$15)+(R115*Settings!$C$16)+(S115*Settings!$C$17)+(T115*Settings!$C$18)+(U115*Settings!$C$19)+(L115*Settings!$C$10)+(Settings!$C$11*M115)</f>
        <v>2.3674654476306349</v>
      </c>
      <c r="D115" s="56">
        <f>IF(Settings!$E$12="YES",VLOOKUP(A115,'Player Data'!A1:E667,5,FALSE),82)</f>
        <v>78.430000000000007</v>
      </c>
      <c r="E115" s="54">
        <f>(VLOOKUP($A115,'The List'!$B1:$AH665,17,FALSE)-AVERAGE('The List'!R2:R665))/STDEV('The List'!R2:R665)</f>
        <v>0.1886229862727633</v>
      </c>
      <c r="F115" s="54">
        <f>(VLOOKUP($A115,'The List'!$B1:$AH665,18,FALSE)-AVERAGE('The List'!S2:S665))/STDEV('The List'!S2:S665)</f>
        <v>0.94051423521971611</v>
      </c>
      <c r="G115" s="54">
        <f>(VLOOKUP($A115,'The List'!$B1:$AH665,19,FALSE)-AVERAGE('The List'!T2:T665))/STDEV('The List'!T2:T665)</f>
        <v>0.82981258380076961</v>
      </c>
      <c r="H115" s="54">
        <f>(VLOOKUP($A115,'The List'!$B1:$AH665,20,FALSE)-AVERAGE('The List'!U2:U665))/STDEV('The List'!U2:U665)</f>
        <v>0.94286869947440533</v>
      </c>
      <c r="I115" s="54">
        <f>(VLOOKUP($A115,'The List'!$B1:$AH665,21,FALSE)-AVERAGE('The List'!V2:V665))/STDEV('The List'!V2:V665)</f>
        <v>0.87638946279529151</v>
      </c>
      <c r="J115" s="54">
        <f>(VLOOKUP($A115,'The List'!$B1:$AH665,22,FALSE)-AVERAGE('The List'!W2:W665))/STDEV('The List'!W2:W665)</f>
        <v>0.90091132524333695</v>
      </c>
      <c r="K115" s="54">
        <f>(VLOOKUP($A115,'The List'!$B1:$AH665,23,FALSE)-AVERAGE('The List'!X2:X665))/STDEV('The List'!X2:X665)</f>
        <v>0.88828799972793515</v>
      </c>
      <c r="L115" s="54">
        <f>(VLOOKUP($A115,'The List'!$B1:$AH665,24,FALSE)-AVERAGE('The List'!Y2:Y665))/STDEV('The List'!Y2:Y665)</f>
        <v>-0.55882638218939928</v>
      </c>
      <c r="M115" s="54">
        <f>(VLOOKUP($A115,'The List'!$B1:$AH665,25,FALSE)-AVERAGE('The List'!Z2:Z665))/STDEV('The List'!Z2:Z665)</f>
        <v>-0.73221034004609464</v>
      </c>
      <c r="N115" s="54">
        <f>(VLOOKUP($A115,'The List'!$B1:$AH665,26,FALSE)-AVERAGE('The List'!AA2:AA665))/STDEV('The List'!AA2:AA665)</f>
        <v>-0.78000134725309145</v>
      </c>
      <c r="O115" s="54">
        <f>(VLOOKUP($A115,'The List'!$B1:$AH665,27,FALSE)-AVERAGE('The List'!AB2:AB665))/STDEV('The List'!AB2:AB665)</f>
        <v>6.5915438325729006E-2</v>
      </c>
      <c r="P115" s="54">
        <f>(VLOOKUP($A115,'The List'!$B1:$AH665,28,FALSE)-AVERAGE('The List'!AC2:AC665))/STDEV('The List'!AC2:AC665)</f>
        <v>-0.38753748665998589</v>
      </c>
      <c r="Q115" s="54">
        <f>(VLOOKUP($A115,'The List'!$B1:$AH665,29,FALSE)-AVERAGE('The List'!AD2:AD665))/STDEV('The List'!AD2:AD665)</f>
        <v>-8.844032458870732E-2</v>
      </c>
      <c r="R115" s="54">
        <f>(VLOOKUP($A115,'The List'!$B1:$AH665,30,FALSE)-AVERAGE('The List'!AE2:AE665))/STDEV('The List'!AE2:AE665)</f>
        <v>0.99122500844704065</v>
      </c>
      <c r="S115" s="54">
        <f>(VLOOKUP($A115,'The List'!$B1:$AH665,31,FALSE)-AVERAGE('The List'!AF2:AF665))/STDEV('The List'!AF2:AF665)</f>
        <v>-0.43278522905268019</v>
      </c>
      <c r="T115" s="54">
        <f>(VLOOKUP($A115,'The List'!$B1:$AH665,32,FALSE)-AVERAGE('The List'!AG2:AG665))/STDEV('The List'!AG2:AG665)</f>
        <v>-0.38542758071221478</v>
      </c>
      <c r="U115" s="54">
        <f>(VLOOKUP($A115,'The List'!$B1:$AH665,33,FALSE)-AVERAGE('The List'!AH2:AH665))/STDEV('The List'!AH2:AH665)</f>
        <v>0.51115965458985524</v>
      </c>
      <c r="V115" s="54"/>
      <c r="W115" s="64"/>
      <c r="X115" s="56"/>
      <c r="Y115" s="56"/>
      <c r="Z115" s="56"/>
      <c r="AA115" s="56"/>
      <c r="AB115" s="56"/>
      <c r="AC115" s="59"/>
      <c r="AD115" s="60"/>
      <c r="AE115" s="54"/>
    </row>
    <row r="116" spans="1:31" ht="21.25" customHeight="1" x14ac:dyDescent="0.15">
      <c r="A116" s="9" t="s">
        <v>316</v>
      </c>
      <c r="B116" s="65" t="str">
        <f>VLOOKUP(A116,'Player Data'!A1:B667,2,FALSE)</f>
        <v>ANA</v>
      </c>
      <c r="C116" s="51">
        <f>((E116)*Settings!$C$12)+(F116*Settings!$C$2)+(G116*Settings!$C$3)+(H116*Settings!$C$4)+(I116*Settings!$C$5)+(K116*Settings!$C$9)+(N116*Settings!$C$6)+(J116*Settings!$C$8)+(O116*Settings!$C$7)+(P116*Settings!$C$14)+(Q116*Settings!$C$15)+(R116*Settings!$C$16)+(S116*Settings!$C$17)+(T116*Settings!$C$18)+(U116*Settings!$C$19)+(L116*Settings!$C$10)+(Settings!$C$11*M116)</f>
        <v>0.57680677596721308</v>
      </c>
      <c r="D116" s="56">
        <f>IF(Settings!$E$12="YES",VLOOKUP(A116,'Player Data'!A1:E667,5,FALSE),82)</f>
        <v>72.14</v>
      </c>
      <c r="E116" s="54">
        <f>(VLOOKUP($A116,'The List'!$B1:$AH665,17,FALSE)-AVERAGE('The List'!R2:R665))/STDEV('The List'!R2:R665)</f>
        <v>0.21853778817082936</v>
      </c>
      <c r="F116" s="54">
        <f>(VLOOKUP($A116,'The List'!$B1:$AH665,18,FALSE)-AVERAGE('The List'!S2:S665))/STDEV('The List'!S2:S665)</f>
        <v>0.76743710129183329</v>
      </c>
      <c r="G116" s="54">
        <f>(VLOOKUP($A116,'The List'!$B1:$AH665,19,FALSE)-AVERAGE('The List'!T2:T665))/STDEV('The List'!T2:T665)</f>
        <v>0.81094027189255913</v>
      </c>
      <c r="H116" s="54">
        <f>(VLOOKUP($A116,'The List'!$B1:$AH665,20,FALSE)-AVERAGE('The List'!U2:U665))/STDEV('The List'!U2:U665)</f>
        <v>0.85247614823811846</v>
      </c>
      <c r="I116" s="54">
        <f>(VLOOKUP($A116,'The List'!$B1:$AH665,21,FALSE)-AVERAGE('The List'!V2:V665))/STDEV('The List'!V2:V665)</f>
        <v>0.66892151739114047</v>
      </c>
      <c r="J116" s="54">
        <f>(VLOOKUP($A116,'The List'!$B1:$AH665,22,FALSE)-AVERAGE('The List'!W2:W665))/STDEV('The List'!W2:W665)</f>
        <v>0.82631161753424209</v>
      </c>
      <c r="K116" s="54">
        <f>(VLOOKUP($A116,'The List'!$B1:$AH665,23,FALSE)-AVERAGE('The List'!X2:X665))/STDEV('The List'!X2:X665)</f>
        <v>0.73962392922755438</v>
      </c>
      <c r="L116" s="54">
        <f>(VLOOKUP($A116,'The List'!$B1:$AH665,24,FALSE)-AVERAGE('The List'!Y2:Y665))/STDEV('The List'!Y2:Y665)</f>
        <v>-0.568232577232477</v>
      </c>
      <c r="M116" s="54">
        <f>(VLOOKUP($A116,'The List'!$B1:$AH665,25,FALSE)-AVERAGE('The List'!Z2:Z665))/STDEV('The List'!Z2:Z665)</f>
        <v>-0.74192285493732701</v>
      </c>
      <c r="N116" s="54">
        <f>(VLOOKUP($A116,'The List'!$B1:$AH665,26,FALSE)-AVERAGE('The List'!AA2:AA665))/STDEV('The List'!AA2:AA665)</f>
        <v>-0.84229146624903661</v>
      </c>
      <c r="O116" s="54">
        <f>(VLOOKUP($A116,'The List'!$B1:$AH665,27,FALSE)-AVERAGE('The List'!AB2:AB665))/STDEV('The List'!AB2:AB665)</f>
        <v>-0.98723574159086536</v>
      </c>
      <c r="P116" s="54">
        <f>(VLOOKUP($A116,'The List'!$B1:$AH665,28,FALSE)-AVERAGE('The List'!AC2:AC665))/STDEV('The List'!AC2:AC665)</f>
        <v>-1.5678245775868378</v>
      </c>
      <c r="Q116" s="54">
        <f>(VLOOKUP($A116,'The List'!$B1:$AH665,29,FALSE)-AVERAGE('The List'!AD2:AD665))/STDEV('The List'!AD2:AD665)</f>
        <v>0.70392802631533713</v>
      </c>
      <c r="R116" s="54">
        <f>(VLOOKUP($A116,'The List'!$B1:$AH665,30,FALSE)-AVERAGE('The List'!AE2:AE665))/STDEV('The List'!AE2:AE665)</f>
        <v>0.2968112643549346</v>
      </c>
      <c r="S116" s="54">
        <f>(VLOOKUP($A116,'The List'!$B1:$AH665,31,FALSE)-AVERAGE('The List'!AF2:AF665))/STDEV('The List'!AF2:AF665)</f>
        <v>0.24205590046441133</v>
      </c>
      <c r="T116" s="54">
        <f>(VLOOKUP($A116,'The List'!$B1:$AH665,32,FALSE)-AVERAGE('The List'!AG2:AG665))/STDEV('The List'!AG2:AG665)</f>
        <v>0.65993575576508534</v>
      </c>
      <c r="U116" s="54">
        <f>(VLOOKUP($A116,'The List'!$B1:$AH665,33,FALSE)-AVERAGE('The List'!AH2:AH665))/STDEV('The List'!AH2:AH665)</f>
        <v>0.59535668593596136</v>
      </c>
      <c r="V116" s="54"/>
      <c r="W116" s="64"/>
      <c r="X116" s="56"/>
      <c r="Y116" s="56"/>
      <c r="Z116" s="56"/>
      <c r="AA116" s="56"/>
      <c r="AB116" s="56"/>
      <c r="AC116" s="59"/>
      <c r="AD116" s="60"/>
      <c r="AE116" s="54"/>
    </row>
    <row r="117" spans="1:31" ht="21.25" customHeight="1" x14ac:dyDescent="0.15">
      <c r="A117" s="9" t="s">
        <v>271</v>
      </c>
      <c r="B117" s="65" t="str">
        <f>VLOOKUP(A117,'Player Data'!A1:B667,2,FALSE)</f>
        <v>WSH</v>
      </c>
      <c r="C117" s="51">
        <f>((E117)*Settings!$C$12)+(F117*Settings!$C$2)+(G117*Settings!$C$3)+(H117*Settings!$C$4)+(I117*Settings!$C$5)+(K117*Settings!$C$9)+(N117*Settings!$C$6)+(J117*Settings!$C$8)+(O117*Settings!$C$7)+(P117*Settings!$C$14)+(Q117*Settings!$C$15)+(R117*Settings!$C$16)+(S117*Settings!$C$17)+(T117*Settings!$C$18)+(U117*Settings!$C$19)+(L117*Settings!$C$10)+(Settings!$C$11*M117)</f>
        <v>3.6936452878854547</v>
      </c>
      <c r="D117" s="56">
        <f>IF(Settings!$E$12="YES",VLOOKUP(A117,'Player Data'!A1:E667,5,FALSE),82)</f>
        <v>80.692499999999995</v>
      </c>
      <c r="E117" s="54">
        <f>(VLOOKUP($A117,'The List'!$B1:$AH665,17,FALSE)-AVERAGE('The List'!R2:R665))/STDEV('The List'!R2:R665)</f>
        <v>0.24920794114294992</v>
      </c>
      <c r="F117" s="54">
        <f>(VLOOKUP($A117,'The List'!$B1:$AH665,18,FALSE)-AVERAGE('The List'!S2:S665))/STDEV('The List'!S2:S665)</f>
        <v>1.1506578247964601</v>
      </c>
      <c r="G117" s="54">
        <f>(VLOOKUP($A117,'The List'!$B1:$AH665,19,FALSE)-AVERAGE('The List'!T2:T665))/STDEV('The List'!T2:T665)</f>
        <v>0.78650358999821346</v>
      </c>
      <c r="H117" s="54">
        <f>(VLOOKUP($A117,'The List'!$B1:$AH665,20,FALSE)-AVERAGE('The List'!U2:U665))/STDEV('The List'!U2:U665)</f>
        <v>1.0114916295292307</v>
      </c>
      <c r="I117" s="54">
        <f>(VLOOKUP($A117,'The List'!$B1:$AH665,21,FALSE)-AVERAGE('The List'!V2:V665))/STDEV('The List'!V2:V665)</f>
        <v>0.88993181181494119</v>
      </c>
      <c r="J117" s="54">
        <f>(VLOOKUP($A117,'The List'!$B1:$AH665,22,FALSE)-AVERAGE('The List'!W2:W665))/STDEV('The List'!W2:W665)</f>
        <v>2.1713370760241957</v>
      </c>
      <c r="K117" s="54">
        <f>(VLOOKUP($A117,'The List'!$B1:$AH665,23,FALSE)-AVERAGE('The List'!X2:X665))/STDEV('The List'!X2:X665)</f>
        <v>1.0116837465987307</v>
      </c>
      <c r="L117" s="54">
        <f>(VLOOKUP($A117,'The List'!$B1:$AH665,24,FALSE)-AVERAGE('The List'!Y2:Y665))/STDEV('The List'!Y2:Y665)</f>
        <v>-0.53963614670794857</v>
      </c>
      <c r="M117" s="54">
        <f>(VLOOKUP($A117,'The List'!$B1:$AH665,25,FALSE)-AVERAGE('The List'!Z2:Z665))/STDEV('The List'!Z2:Z665)</f>
        <v>-0.71260651660217345</v>
      </c>
      <c r="N117" s="54">
        <f>(VLOOKUP($A117,'The List'!$B1:$AH665,26,FALSE)-AVERAGE('The List'!AA2:AA665))/STDEV('The List'!AA2:AA665)</f>
        <v>-0.55130790293792753</v>
      </c>
      <c r="O117" s="54">
        <f>(VLOOKUP($A117,'The List'!$B1:$AH665,27,FALSE)-AVERAGE('The List'!AB2:AB665))/STDEV('The List'!AB2:AB665)</f>
        <v>4.9276401364595941E-2</v>
      </c>
      <c r="P117" s="54">
        <f>(VLOOKUP($A117,'The List'!$B1:$AH665,28,FALSE)-AVERAGE('The List'!AC2:AC665))/STDEV('The List'!AC2:AC665)</f>
        <v>0.40617621761503714</v>
      </c>
      <c r="Q117" s="54">
        <f>(VLOOKUP($A117,'The List'!$B1:$AH665,29,FALSE)-AVERAGE('The List'!AD2:AD665))/STDEV('The List'!AD2:AD665)</f>
        <v>2.6277548249117584</v>
      </c>
      <c r="R117" s="54">
        <f>(VLOOKUP($A117,'The List'!$B1:$AH665,30,FALSE)-AVERAGE('The List'!AE2:AE665))/STDEV('The List'!AE2:AE665)</f>
        <v>0.98776463644179591</v>
      </c>
      <c r="S117" s="54">
        <f>(VLOOKUP($A117,'The List'!$B1:$AH665,31,FALSE)-AVERAGE('The List'!AF2:AF665))/STDEV('The List'!AF2:AF665)</f>
        <v>1.7942602414585258</v>
      </c>
      <c r="T117" s="54">
        <f>(VLOOKUP($A117,'The List'!$B1:$AH665,32,FALSE)-AVERAGE('The List'!AG2:AG665))/STDEV('The List'!AG2:AG665)</f>
        <v>2.0263077671103948</v>
      </c>
      <c r="U117" s="54">
        <f>(VLOOKUP($A117,'The List'!$B1:$AH665,33,FALSE)-AVERAGE('The List'!AH2:AH665))/STDEV('The List'!AH2:AH665)</f>
        <v>0.9767085566250151</v>
      </c>
      <c r="V117" s="54"/>
      <c r="W117" s="64"/>
      <c r="X117" s="56"/>
      <c r="Y117" s="56"/>
      <c r="Z117" s="56"/>
      <c r="AA117" s="56"/>
      <c r="AB117" s="56"/>
      <c r="AC117" s="59"/>
      <c r="AD117" s="60"/>
      <c r="AE117" s="54"/>
    </row>
    <row r="118" spans="1:31" ht="21.25" customHeight="1" x14ac:dyDescent="0.15">
      <c r="A118" s="9" t="s">
        <v>335</v>
      </c>
      <c r="B118" s="65" t="str">
        <f>VLOOKUP(A118,'Player Data'!A1:B667,2,FALSE)</f>
        <v>BOS</v>
      </c>
      <c r="C118" s="51">
        <f>((E118)*Settings!$C$12)+(F118*Settings!$C$2)+(G118*Settings!$C$3)+(H118*Settings!$C$4)+(I118*Settings!$C$5)+(K118*Settings!$C$9)+(N118*Settings!$C$6)+(J118*Settings!$C$8)+(O118*Settings!$C$7)+(P118*Settings!$C$14)+(Q118*Settings!$C$15)+(R118*Settings!$C$16)+(S118*Settings!$C$17)+(T118*Settings!$C$18)+(U118*Settings!$C$19)+(L118*Settings!$C$10)+(Settings!$C$11*M118)</f>
        <v>2.4355625820829756</v>
      </c>
      <c r="D118" s="56">
        <f>IF(Settings!$E$12="YES",VLOOKUP(A118,'Player Data'!A1:E667,5,FALSE),82)</f>
        <v>80.12</v>
      </c>
      <c r="E118" s="54">
        <f>(VLOOKUP($A118,'The List'!$B1:$AH665,17,FALSE)-AVERAGE('The List'!R2:R665))/STDEV('The List'!R2:R665)</f>
        <v>0.35274414158696238</v>
      </c>
      <c r="F118" s="54">
        <f>(VLOOKUP($A118,'The List'!$B1:$AH665,18,FALSE)-AVERAGE('The List'!S2:S665))/STDEV('The List'!S2:S665)</f>
        <v>0.71404301700555706</v>
      </c>
      <c r="G118" s="54">
        <f>(VLOOKUP($A118,'The List'!$B1:$AH665,19,FALSE)-AVERAGE('The List'!T2:T665))/STDEV('The List'!T2:T665)</f>
        <v>0.84308006536959423</v>
      </c>
      <c r="H118" s="54">
        <f>(VLOOKUP($A118,'The List'!$B1:$AH665,20,FALSE)-AVERAGE('The List'!U2:U665))/STDEV('The List'!U2:U665)</f>
        <v>0.84816661781466374</v>
      </c>
      <c r="I118" s="54">
        <f>(VLOOKUP($A118,'The List'!$B1:$AH665,21,FALSE)-AVERAGE('The List'!V2:V665))/STDEV('The List'!V2:V665)</f>
        <v>0.38430376219016099</v>
      </c>
      <c r="J118" s="54">
        <f>(VLOOKUP($A118,'The List'!$B1:$AH665,22,FALSE)-AVERAGE('The List'!W2:W665))/STDEV('The List'!W2:W665)</f>
        <v>0.85423239621116387</v>
      </c>
      <c r="K118" s="54">
        <f>(VLOOKUP($A118,'The List'!$B1:$AH665,23,FALSE)-AVERAGE('The List'!X2:X665))/STDEV('The List'!X2:X665)</f>
        <v>0.65332926041978046</v>
      </c>
      <c r="L118" s="54">
        <f>(VLOOKUP($A118,'The List'!$B1:$AH665,24,FALSE)-AVERAGE('The List'!Y2:Y665))/STDEV('The List'!Y2:Y665)</f>
        <v>-0.36112406341693687</v>
      </c>
      <c r="M118" s="54">
        <f>(VLOOKUP($A118,'The List'!$B1:$AH665,25,FALSE)-AVERAGE('The List'!Z2:Z665))/STDEV('The List'!Z2:Z665)</f>
        <v>-0.19682380475491926</v>
      </c>
      <c r="N118" s="54">
        <f>(VLOOKUP($A118,'The List'!$B1:$AH665,26,FALSE)-AVERAGE('The List'!AA2:AA665))/STDEV('The List'!AA2:AA665)</f>
        <v>-0.78350462719650371</v>
      </c>
      <c r="O118" s="54">
        <f>(VLOOKUP($A118,'The List'!$B1:$AH665,27,FALSE)-AVERAGE('The List'!AB2:AB665))/STDEV('The List'!AB2:AB665)</f>
        <v>0.16780294309115593</v>
      </c>
      <c r="P118" s="54">
        <f>(VLOOKUP($A118,'The List'!$B1:$AH665,28,FALSE)-AVERAGE('The List'!AC2:AC665))/STDEV('The List'!AC2:AC665)</f>
        <v>0.62431110429438674</v>
      </c>
      <c r="Q118" s="54">
        <f>(VLOOKUP($A118,'The List'!$B1:$AH665,29,FALSE)-AVERAGE('The List'!AD2:AD665))/STDEV('The List'!AD2:AD665)</f>
        <v>-0.65543925153402316</v>
      </c>
      <c r="R118" s="54">
        <f>(VLOOKUP($A118,'The List'!$B1:$AH665,30,FALSE)-AVERAGE('The List'!AE2:AE665))/STDEV('The List'!AE2:AE665)</f>
        <v>0.77195846300856585</v>
      </c>
      <c r="S118" s="54">
        <f>(VLOOKUP($A118,'The List'!$B1:$AH665,31,FALSE)-AVERAGE('The List'!AF2:AF665))/STDEV('The List'!AF2:AF665)</f>
        <v>1.64560642330313</v>
      </c>
      <c r="T118" s="54">
        <f>(VLOOKUP($A118,'The List'!$B1:$AH665,32,FALSE)-AVERAGE('The List'!AG2:AG665))/STDEV('The List'!AG2:AG665)</f>
        <v>1.6861852925487384</v>
      </c>
      <c r="U118" s="54">
        <f>(VLOOKUP($A118,'The List'!$B1:$AH665,33,FALSE)-AVERAGE('The List'!AH2:AH665))/STDEV('The List'!AH2:AH665)</f>
        <v>1.0587669749123612</v>
      </c>
      <c r="V118" s="54"/>
      <c r="W118" s="64"/>
      <c r="X118" s="56"/>
      <c r="Y118" s="56"/>
      <c r="Z118" s="56"/>
      <c r="AA118" s="56"/>
      <c r="AB118" s="56"/>
      <c r="AC118" s="59"/>
      <c r="AD118" s="60"/>
      <c r="AE118" s="54"/>
    </row>
    <row r="119" spans="1:31" ht="21.25" customHeight="1" x14ac:dyDescent="0.15">
      <c r="A119" s="9" t="s">
        <v>319</v>
      </c>
      <c r="B119" s="65" t="str">
        <f>VLOOKUP(A119,'Player Data'!A1:B667,2,FALSE)</f>
        <v>CBJ</v>
      </c>
      <c r="C119" s="51">
        <f>((E119)*Settings!$C$12)+(F119*Settings!$C$2)+(G119*Settings!$C$3)+(H119*Settings!$C$4)+(I119*Settings!$C$5)+(K119*Settings!$C$9)+(N119*Settings!$C$6)+(J119*Settings!$C$8)+(O119*Settings!$C$7)+(P119*Settings!$C$14)+(Q119*Settings!$C$15)+(R119*Settings!$C$16)+(S119*Settings!$C$17)+(T119*Settings!$C$18)+(U119*Settings!$C$19)+(L119*Settings!$C$10)+(Settings!$C$11*M119)</f>
        <v>-4.7440966549971986E-2</v>
      </c>
      <c r="D119" s="56">
        <f>IF(Settings!$E$12="YES",VLOOKUP(A119,'Player Data'!A1:E667,5,FALSE),82)</f>
        <v>71.709999999999994</v>
      </c>
      <c r="E119" s="54">
        <f>(VLOOKUP($A119,'The List'!$B1:$AH665,17,FALSE)-AVERAGE('The List'!R2:R665))/STDEV('The List'!R2:R665)</f>
        <v>0.24322356586513144</v>
      </c>
      <c r="F119" s="54">
        <f>(VLOOKUP($A119,'The List'!$B1:$AH665,18,FALSE)-AVERAGE('The List'!S2:S665))/STDEV('The List'!S2:S665)</f>
        <v>0.88954138877600952</v>
      </c>
      <c r="G119" s="54">
        <f>(VLOOKUP($A119,'The List'!$B1:$AH665,19,FALSE)-AVERAGE('The List'!T2:T665))/STDEV('The List'!T2:T665)</f>
        <v>0.4822626307048361</v>
      </c>
      <c r="H119" s="54">
        <f>(VLOOKUP($A119,'The List'!$B1:$AH665,20,FALSE)-AVERAGE('The List'!U2:U665))/STDEV('The List'!U2:U665)</f>
        <v>0.70385105488088973</v>
      </c>
      <c r="I119" s="54">
        <f>(VLOOKUP($A119,'The List'!$B1:$AH665,21,FALSE)-AVERAGE('The List'!V2:V665))/STDEV('The List'!V2:V665)</f>
        <v>0.92433461088857272</v>
      </c>
      <c r="J119" s="54">
        <f>(VLOOKUP($A119,'The List'!$B1:$AH665,22,FALSE)-AVERAGE('The List'!W2:W665))/STDEV('The List'!W2:W665)</f>
        <v>0.46310500036085778</v>
      </c>
      <c r="K119" s="54">
        <f>(VLOOKUP($A119,'The List'!$B1:$AH665,23,FALSE)-AVERAGE('The List'!X2:X665))/STDEV('The List'!X2:X665)</f>
        <v>0.40128916342436588</v>
      </c>
      <c r="L119" s="54">
        <f>(VLOOKUP($A119,'The List'!$B1:$AH665,24,FALSE)-AVERAGE('The List'!Y2:Y665))/STDEV('The List'!Y2:Y665)</f>
        <v>-0.55899406770835669</v>
      </c>
      <c r="M119" s="54">
        <f>(VLOOKUP($A119,'The List'!$B1:$AH665,25,FALSE)-AVERAGE('The List'!Z2:Z665))/STDEV('The List'!Z2:Z665)</f>
        <v>-0.73250672936513406</v>
      </c>
      <c r="N119" s="54">
        <f>(VLOOKUP($A119,'The List'!$B1:$AH665,26,FALSE)-AVERAGE('The List'!AA2:AA665))/STDEV('The List'!AA2:AA665)</f>
        <v>-0.62927457162078093</v>
      </c>
      <c r="O119" s="54">
        <f>(VLOOKUP($A119,'The List'!$B1:$AH665,27,FALSE)-AVERAGE('The List'!AB2:AB665))/STDEV('The List'!AB2:AB665)</f>
        <v>5.7465241455616121E-2</v>
      </c>
      <c r="P119" s="54">
        <f>(VLOOKUP($A119,'The List'!$B1:$AH665,28,FALSE)-AVERAGE('The List'!AC2:AC665))/STDEV('The List'!AC2:AC665)</f>
        <v>-2.1155941887229752</v>
      </c>
      <c r="Q119" s="54">
        <f>(VLOOKUP($A119,'The List'!$B1:$AH665,29,FALSE)-AVERAGE('The List'!AD2:AD665))/STDEV('The List'!AD2:AD665)</f>
        <v>-0.23688731332042567</v>
      </c>
      <c r="R119" s="54">
        <f>(VLOOKUP($A119,'The List'!$B1:$AH665,30,FALSE)-AVERAGE('The List'!AE2:AE665))/STDEV('The List'!AE2:AE665)</f>
        <v>0.30290697174033149</v>
      </c>
      <c r="S119" s="54">
        <f>(VLOOKUP($A119,'The List'!$B1:$AH665,31,FALSE)-AVERAGE('The List'!AF2:AF665))/STDEV('The List'!AF2:AF665)</f>
        <v>0.78978493087598167</v>
      </c>
      <c r="T119" s="54">
        <f>(VLOOKUP($A119,'The List'!$B1:$AH665,32,FALSE)-AVERAGE('The List'!AG2:AG665))/STDEV('The List'!AG2:AG665)</f>
        <v>1.2488136655646396</v>
      </c>
      <c r="U119" s="54">
        <f>(VLOOKUP($A119,'The List'!$B1:$AH665,33,FALSE)-AVERAGE('The List'!AH2:AH665))/STDEV('The List'!AH2:AH665)</f>
        <v>0.74599605752330578</v>
      </c>
      <c r="V119" s="54"/>
      <c r="W119" s="64"/>
      <c r="X119" s="56"/>
      <c r="Y119" s="56"/>
      <c r="Z119" s="56"/>
      <c r="AA119" s="56"/>
      <c r="AB119" s="56"/>
      <c r="AC119" s="59"/>
      <c r="AD119" s="60"/>
      <c r="AE119" s="54"/>
    </row>
    <row r="120" spans="1:31" ht="21.25" customHeight="1" x14ac:dyDescent="0.15">
      <c r="A120" s="9" t="s">
        <v>346</v>
      </c>
      <c r="B120" s="65" t="str">
        <f>VLOOKUP(A120,'Player Data'!A1:B667,2,FALSE)</f>
        <v>ANA</v>
      </c>
      <c r="C120" s="51">
        <f>((E120)*Settings!$C$12)+(F120*Settings!$C$2)+(G120*Settings!$C$3)+(H120*Settings!$C$4)+(I120*Settings!$C$5)+(K120*Settings!$C$9)+(N120*Settings!$C$6)+(J120*Settings!$C$8)+(O120*Settings!$C$7)+(P120*Settings!$C$14)+(Q120*Settings!$C$15)+(R120*Settings!$C$16)+(S120*Settings!$C$17)+(T120*Settings!$C$18)+(U120*Settings!$C$19)+(L120*Settings!$C$10)+(Settings!$C$11*M120)</f>
        <v>0.49307890585374703</v>
      </c>
      <c r="D120" s="56">
        <f>IF(Settings!$E$12="YES",VLOOKUP(A120,'Player Data'!A1:E667,5,FALSE),82)</f>
        <v>70.825000000000003</v>
      </c>
      <c r="E120" s="54">
        <f>(VLOOKUP($A120,'The List'!$B1:$AH665,17,FALSE)-AVERAGE('The List'!R2:R665))/STDEV('The List'!R2:R665)</f>
        <v>0.59939803816375148</v>
      </c>
      <c r="F120" s="54">
        <f>(VLOOKUP($A120,'The List'!$B1:$AH665,18,FALSE)-AVERAGE('The List'!S2:S665))/STDEV('The List'!S2:S665)</f>
        <v>0.7534864959302443</v>
      </c>
      <c r="G120" s="54">
        <f>(VLOOKUP($A120,'The List'!$B1:$AH665,19,FALSE)-AVERAGE('The List'!T2:T665))/STDEV('The List'!T2:T665)</f>
        <v>0.52041187385046239</v>
      </c>
      <c r="H120" s="54">
        <f>(VLOOKUP($A120,'The List'!$B1:$AH665,20,FALSE)-AVERAGE('The List'!U2:U665))/STDEV('The List'!U2:U665)</f>
        <v>0.66570046392773663</v>
      </c>
      <c r="I120" s="54">
        <f>(VLOOKUP($A120,'The List'!$B1:$AH665,21,FALSE)-AVERAGE('The List'!V2:V665))/STDEV('The List'!V2:V665)</f>
        <v>0.44853514856705973</v>
      </c>
      <c r="J120" s="54">
        <f>(VLOOKUP($A120,'The List'!$B1:$AH665,22,FALSE)-AVERAGE('The List'!W2:W665))/STDEV('The List'!W2:W665)</f>
        <v>0.72595820161040492</v>
      </c>
      <c r="K120" s="54">
        <f>(VLOOKUP($A120,'The List'!$B1:$AH665,23,FALSE)-AVERAGE('The List'!X2:X665))/STDEV('The List'!X2:X665)</f>
        <v>0.83505939763569759</v>
      </c>
      <c r="L120" s="54">
        <f>(VLOOKUP($A120,'The List'!$B1:$AH665,24,FALSE)-AVERAGE('The List'!Y2:Y665))/STDEV('The List'!Y2:Y665)</f>
        <v>-0.37778127897309477</v>
      </c>
      <c r="M120" s="54">
        <f>(VLOOKUP($A120,'The List'!$B1:$AH665,25,FALSE)-AVERAGE('The List'!Z2:Z665))/STDEV('The List'!Z2:Z665)</f>
        <v>-0.54908849498454571</v>
      </c>
      <c r="N120" s="54">
        <f>(VLOOKUP($A120,'The List'!$B1:$AH665,26,FALSE)-AVERAGE('The List'!AA2:AA665))/STDEV('The List'!AA2:AA665)</f>
        <v>-0.75606829731710057</v>
      </c>
      <c r="O120" s="54">
        <f>(VLOOKUP($A120,'The List'!$B1:$AH665,27,FALSE)-AVERAGE('The List'!AB2:AB665))/STDEV('The List'!AB2:AB665)</f>
        <v>-1.074920999162571</v>
      </c>
      <c r="P120" s="54">
        <f>(VLOOKUP($A120,'The List'!$B1:$AH665,28,FALSE)-AVERAGE('The List'!AC2:AC665))/STDEV('The List'!AC2:AC665)</f>
        <v>-1.3083457128126164</v>
      </c>
      <c r="Q120" s="54">
        <f>(VLOOKUP($A120,'The List'!$B1:$AH665,29,FALSE)-AVERAGE('The List'!AD2:AD665))/STDEV('The List'!AD2:AD665)</f>
        <v>-0.38835516098523809</v>
      </c>
      <c r="R120" s="54">
        <f>(VLOOKUP($A120,'The List'!$B1:$AH665,30,FALSE)-AVERAGE('The List'!AE2:AE665))/STDEV('The List'!AE2:AE665)</f>
        <v>0.28637399881031067</v>
      </c>
      <c r="S120" s="54">
        <f>(VLOOKUP($A120,'The List'!$B1:$AH665,31,FALSE)-AVERAGE('The List'!AF2:AF665))/STDEV('The List'!AF2:AF665)</f>
        <v>0.69988111791419449</v>
      </c>
      <c r="T120" s="54">
        <f>(VLOOKUP($A120,'The List'!$B1:$AH665,32,FALSE)-AVERAGE('The List'!AG2:AG665))/STDEV('The List'!AG2:AG665)</f>
        <v>1.9171683227225174</v>
      </c>
      <c r="U120" s="54">
        <f>(VLOOKUP($A120,'The List'!$B1:$AH665,33,FALSE)-AVERAGE('The List'!AH2:AH665))/STDEV('The List'!AH2:AH665)</f>
        <v>0.34422696740253578</v>
      </c>
      <c r="V120" s="54"/>
      <c r="W120" s="56"/>
      <c r="X120" s="56"/>
      <c r="Y120" s="56"/>
      <c r="Z120" s="56"/>
      <c r="AA120" s="56"/>
      <c r="AB120" s="56"/>
      <c r="AC120" s="59"/>
      <c r="AD120" s="60"/>
      <c r="AE120" s="54"/>
    </row>
    <row r="121" spans="1:31" ht="21.25" customHeight="1" x14ac:dyDescent="0.15">
      <c r="A121" s="9" t="s">
        <v>265</v>
      </c>
      <c r="B121" s="65" t="str">
        <f>VLOOKUP(A121,'Player Data'!A1:B667,2,FALSE)</f>
        <v>OTT</v>
      </c>
      <c r="C121" s="51">
        <f>((E121)*Settings!$C$12)+(F121*Settings!$C$2)+(G121*Settings!$C$3)+(H121*Settings!$C$4)+(I121*Settings!$C$5)+(K121*Settings!$C$9)+(N121*Settings!$C$6)+(J121*Settings!$C$8)+(O121*Settings!$C$7)+(P121*Settings!$C$14)+(Q121*Settings!$C$15)+(R121*Settings!$C$16)+(S121*Settings!$C$17)+(T121*Settings!$C$18)+(U121*Settings!$C$19)+(L121*Settings!$C$10)+(Settings!$C$11*M121)</f>
        <v>2.5507572314475628</v>
      </c>
      <c r="D121" s="56">
        <f>IF(Settings!$E$12="YES",VLOOKUP(A121,'Player Data'!A1:E667,5,FALSE),82)</f>
        <v>81.33</v>
      </c>
      <c r="E121" s="54">
        <f>(VLOOKUP($A121,'The List'!$B1:$AH665,17,FALSE)-AVERAGE('The List'!R2:R665))/STDEV('The List'!R2:R665)</f>
        <v>0.74188306693977746</v>
      </c>
      <c r="F121" s="54">
        <f>(VLOOKUP($A121,'The List'!$B1:$AH665,18,FALSE)-AVERAGE('The List'!S2:S665))/STDEV('The List'!S2:S665)</f>
        <v>0.86421080038308584</v>
      </c>
      <c r="G121" s="54">
        <f>(VLOOKUP($A121,'The List'!$B1:$AH665,19,FALSE)-AVERAGE('The List'!T2:T665))/STDEV('The List'!T2:T665)</f>
        <v>0.99072977525642036</v>
      </c>
      <c r="H121" s="54">
        <f>(VLOOKUP($A121,'The List'!$B1:$AH665,20,FALSE)-AVERAGE('The List'!U2:U665))/STDEV('The List'!U2:U665)</f>
        <v>1.0081237853119103</v>
      </c>
      <c r="I121" s="54">
        <f>(VLOOKUP($A121,'The List'!$B1:$AH665,21,FALSE)-AVERAGE('The List'!V2:V665))/STDEV('The List'!V2:V665)</f>
        <v>0.94123318147261104</v>
      </c>
      <c r="J121" s="54">
        <f>(VLOOKUP($A121,'The List'!$B1:$AH665,22,FALSE)-AVERAGE('The List'!W2:W665))/STDEV('The List'!W2:W665)</f>
        <v>0.13966116755793256</v>
      </c>
      <c r="K121" s="54">
        <f>(VLOOKUP($A121,'The List'!$B1:$AH665,23,FALSE)-AVERAGE('The List'!X2:X665))/STDEV('The List'!X2:X665)</f>
        <v>0.70226284097386005</v>
      </c>
      <c r="L121" s="54">
        <f>(VLOOKUP($A121,'The List'!$B1:$AH665,24,FALSE)-AVERAGE('The List'!Y2:Y665))/STDEV('The List'!Y2:Y665)</f>
        <v>1.5818618104645092</v>
      </c>
      <c r="M121" s="54">
        <f>(VLOOKUP($A121,'The List'!$B1:$AH665,25,FALSE)-AVERAGE('The List'!Z2:Z665))/STDEV('The List'!Z2:Z665)</f>
        <v>1.3253239807172781</v>
      </c>
      <c r="N121" s="54">
        <f>(VLOOKUP($A121,'The List'!$B1:$AH665,26,FALSE)-AVERAGE('The List'!AA2:AA665))/STDEV('The List'!AA2:AA665)</f>
        <v>-0.79319571572481229</v>
      </c>
      <c r="O121" s="54">
        <f>(VLOOKUP($A121,'The List'!$B1:$AH665,27,FALSE)-AVERAGE('The List'!AB2:AB665))/STDEV('The List'!AB2:AB665)</f>
        <v>-0.82146360179855971</v>
      </c>
      <c r="P121" s="54">
        <f>(VLOOKUP($A121,'The List'!$B1:$AH665,28,FALSE)-AVERAGE('The List'!AC2:AC665))/STDEV('The List'!AC2:AC665)</f>
        <v>-0.15448365091360239</v>
      </c>
      <c r="Q121" s="54">
        <f>(VLOOKUP($A121,'The List'!$B1:$AH665,29,FALSE)-AVERAGE('The List'!AD2:AD665))/STDEV('The List'!AD2:AD665)</f>
        <v>-0.11693534308694005</v>
      </c>
      <c r="R121" s="54">
        <f>(VLOOKUP($A121,'The List'!$B1:$AH665,30,FALSE)-AVERAGE('The List'!AE2:AE665))/STDEV('The List'!AE2:AE665)</f>
        <v>0.91518163970434208</v>
      </c>
      <c r="S121" s="54">
        <f>(VLOOKUP($A121,'The List'!$B1:$AH665,31,FALSE)-AVERAGE('The List'!AF2:AF665))/STDEV('The List'!AF2:AF665)</f>
        <v>2.7200805198219546</v>
      </c>
      <c r="T121" s="54">
        <f>(VLOOKUP($A121,'The List'!$B1:$AH665,32,FALSE)-AVERAGE('The List'!AG2:AG665))/STDEV('The List'!AG2:AG665)</f>
        <v>1.8457114490968629</v>
      </c>
      <c r="U121" s="54">
        <f>(VLOOKUP($A121,'The List'!$B1:$AH665,33,FALSE)-AVERAGE('The List'!AH2:AH665))/STDEV('The List'!AH2:AH665)</f>
        <v>1.4266136094553648</v>
      </c>
      <c r="V121" s="54"/>
      <c r="W121" s="64"/>
      <c r="X121" s="56"/>
      <c r="Y121" s="56"/>
      <c r="Z121" s="56"/>
      <c r="AA121" s="56"/>
      <c r="AB121" s="56"/>
      <c r="AC121" s="59"/>
      <c r="AD121" s="60"/>
      <c r="AE121" s="54"/>
    </row>
    <row r="122" spans="1:31" ht="21.25" customHeight="1" x14ac:dyDescent="0.15">
      <c r="A122" s="9" t="s">
        <v>215</v>
      </c>
      <c r="B122" s="65" t="str">
        <f>VLOOKUP(A122,'Player Data'!A1:B667,2,FALSE)</f>
        <v>N.J</v>
      </c>
      <c r="C122" s="51">
        <f>((E122)*Settings!$C$12)+(F122*Settings!$C$2)+(G122*Settings!$C$3)+(H122*Settings!$C$4)+(I122*Settings!$C$5)+(K122*Settings!$C$9)+(N122*Settings!$C$6)+(J122*Settings!$C$8)+(O122*Settings!$C$7)+(P122*Settings!$C$14)+(Q122*Settings!$C$15)+(R122*Settings!$C$16)+(S122*Settings!$C$17)+(T122*Settings!$C$18)+(U122*Settings!$C$19)+(L122*Settings!$C$10)+(Settings!$C$11*M122)</f>
        <v>4.4169133005511618</v>
      </c>
      <c r="D122" s="56">
        <f>IF(Settings!$E$12="YES",VLOOKUP(A122,'Player Data'!A1:E667,5,FALSE),82)</f>
        <v>69.025000000000006</v>
      </c>
      <c r="E122" s="54">
        <f>(VLOOKUP($A122,'The List'!$B1:$AH665,17,FALSE)-AVERAGE('The List'!R2:R665))/STDEV('The List'!R2:R665)</f>
        <v>1.4074608154704435</v>
      </c>
      <c r="F122" s="54">
        <f>(VLOOKUP($A122,'The List'!$B1:$AH665,18,FALSE)-AVERAGE('The List'!S2:S665))/STDEV('The List'!S2:S665)</f>
        <v>9.9625381292738818E-2</v>
      </c>
      <c r="G122" s="54">
        <f>(VLOOKUP($A122,'The List'!$B1:$AH665,19,FALSE)-AVERAGE('The List'!T2:T665))/STDEV('The List'!T2:T665)</f>
        <v>0.89640009828770262</v>
      </c>
      <c r="H122" s="54">
        <f>(VLOOKUP($A122,'The List'!$B1:$AH665,20,FALSE)-AVERAGE('The List'!U2:U665))/STDEV('The List'!U2:U665)</f>
        <v>0.6019993352956603</v>
      </c>
      <c r="I122" s="54">
        <f>(VLOOKUP($A122,'The List'!$B1:$AH665,21,FALSE)-AVERAGE('The List'!V2:V665))/STDEV('The List'!V2:V665)</f>
        <v>1.2794815982856231</v>
      </c>
      <c r="J122" s="54">
        <f>(VLOOKUP($A122,'The List'!$B1:$AH665,22,FALSE)-AVERAGE('The List'!W2:W665))/STDEV('The List'!W2:W665)</f>
        <v>0.86602302253264096</v>
      </c>
      <c r="K122" s="54">
        <f>(VLOOKUP($A122,'The List'!$B1:$AH665,23,FALSE)-AVERAGE('The List'!X2:X665))/STDEV('The List'!X2:X665)</f>
        <v>0.98474557038635724</v>
      </c>
      <c r="L122" s="54">
        <f>(VLOOKUP($A122,'The List'!$B1:$AH665,24,FALSE)-AVERAGE('The List'!Y2:Y665))/STDEV('The List'!Y2:Y665)</f>
        <v>-0.56376183469947938</v>
      </c>
      <c r="M122" s="54">
        <f>(VLOOKUP($A122,'The List'!$B1:$AH665,25,FALSE)-AVERAGE('The List'!Z2:Z665))/STDEV('The List'!Z2:Z665)</f>
        <v>-0.70529852078798505</v>
      </c>
      <c r="N122" s="54">
        <f>(VLOOKUP($A122,'The List'!$B1:$AH665,26,FALSE)-AVERAGE('The List'!AA2:AA665))/STDEV('The List'!AA2:AA665)</f>
        <v>0.49107047488727573</v>
      </c>
      <c r="O122" s="54">
        <f>(VLOOKUP($A122,'The List'!$B1:$AH665,27,FALSE)-AVERAGE('The List'!AB2:AB665))/STDEV('The List'!AB2:AB665)</f>
        <v>-0.49702966660798487</v>
      </c>
      <c r="P122" s="54">
        <f>(VLOOKUP($A122,'The List'!$B1:$AH665,28,FALSE)-AVERAGE('The List'!AC2:AC665))/STDEV('The List'!AC2:AC665)</f>
        <v>0.66559017741146409</v>
      </c>
      <c r="Q122" s="54">
        <f>(VLOOKUP($A122,'The List'!$B1:$AH665,29,FALSE)-AVERAGE('The List'!AD2:AD665))/STDEV('The List'!AD2:AD665)</f>
        <v>0.75152655188467987</v>
      </c>
      <c r="R122" s="54">
        <f>(VLOOKUP($A122,'The List'!$B1:$AH665,30,FALSE)-AVERAGE('The List'!AE2:AE665))/STDEV('The List'!AE2:AE665)</f>
        <v>0.11284048052058555</v>
      </c>
      <c r="S122" s="54">
        <f>(VLOOKUP($A122,'The List'!$B1:$AH665,31,FALSE)-AVERAGE('The List'!AF2:AF665))/STDEV('The List'!AF2:AF665)</f>
        <v>-0.57389441068000469</v>
      </c>
      <c r="T122" s="54">
        <f>(VLOOKUP($A122,'The List'!$B1:$AH665,32,FALSE)-AVERAGE('The List'!AG2:AG665))/STDEV('The List'!AG2:AG665)</f>
        <v>-0.62577078713265111</v>
      </c>
      <c r="U122" s="54">
        <f>(VLOOKUP($A122,'The List'!$B1:$AH665,33,FALSE)-AVERAGE('The List'!AH2:AH665))/STDEV('The List'!AH2:AH665)</f>
        <v>-1.2314350945148611</v>
      </c>
      <c r="V122" s="54"/>
      <c r="W122" s="64"/>
      <c r="X122" s="56"/>
      <c r="Y122" s="56"/>
      <c r="Z122" s="56"/>
      <c r="AA122" s="56"/>
      <c r="AB122" s="56"/>
      <c r="AC122" s="59"/>
      <c r="AD122" s="60"/>
      <c r="AE122" s="54"/>
    </row>
    <row r="123" spans="1:31" ht="21.25" customHeight="1" x14ac:dyDescent="0.15">
      <c r="A123" s="9" t="s">
        <v>329</v>
      </c>
      <c r="B123" s="65" t="str">
        <f>VLOOKUP(A123,'Player Data'!A1:B667,2,FALSE)</f>
        <v>WPG</v>
      </c>
      <c r="C123" s="51">
        <f>((E123)*Settings!$C$12)+(F123*Settings!$C$2)+(G123*Settings!$C$3)+(H123*Settings!$C$4)+(I123*Settings!$C$5)+(K123*Settings!$C$9)+(N123*Settings!$C$6)+(J123*Settings!$C$8)+(O123*Settings!$C$7)+(P123*Settings!$C$14)+(Q123*Settings!$C$15)+(R123*Settings!$C$16)+(S123*Settings!$C$17)+(T123*Settings!$C$18)+(U123*Settings!$C$19)+(L123*Settings!$C$10)+(Settings!$C$11*M123)</f>
        <v>2.1667662987696272</v>
      </c>
      <c r="D123" s="56">
        <f>IF(Settings!$E$12="YES",VLOOKUP(A123,'Player Data'!A1:E667,5,FALSE),82)</f>
        <v>67.504999999999995</v>
      </c>
      <c r="E123" s="54">
        <f>(VLOOKUP($A123,'The List'!$B1:$AH665,17,FALSE)-AVERAGE('The List'!R2:R665))/STDEV('The List'!R2:R665)</f>
        <v>-4.1350622806676313E-2</v>
      </c>
      <c r="F123" s="54">
        <f>(VLOOKUP($A123,'The List'!$B1:$AH665,18,FALSE)-AVERAGE('The List'!S2:S665))/STDEV('The List'!S2:S665)</f>
        <v>1.3284772874493098</v>
      </c>
      <c r="G123" s="54">
        <f>(VLOOKUP($A123,'The List'!$B1:$AH665,19,FALSE)-AVERAGE('The List'!T2:T665))/STDEV('The List'!T2:T665)</f>
        <v>-9.2951765794905244E-2</v>
      </c>
      <c r="H123" s="54">
        <f>(VLOOKUP($A123,'The List'!$B1:$AH665,20,FALSE)-AVERAGE('The List'!U2:U665))/STDEV('The List'!U2:U665)</f>
        <v>0.54612780167892816</v>
      </c>
      <c r="I123" s="54">
        <f>(VLOOKUP($A123,'The List'!$B1:$AH665,21,FALSE)-AVERAGE('The List'!V2:V665))/STDEV('The List'!V2:V665)</f>
        <v>0.36335494329244367</v>
      </c>
      <c r="J123" s="54">
        <f>(VLOOKUP($A123,'The List'!$B1:$AH665,22,FALSE)-AVERAGE('The List'!W2:W665))/STDEV('The List'!W2:W665)</f>
        <v>1.7023474858194678</v>
      </c>
      <c r="K123" s="54">
        <f>(VLOOKUP($A123,'The List'!$B1:$AH665,23,FALSE)-AVERAGE('The List'!X2:X665))/STDEV('The List'!X2:X665)</f>
        <v>0.77687469250113228</v>
      </c>
      <c r="L123" s="54">
        <f>(VLOOKUP($A123,'The List'!$B1:$AH665,24,FALSE)-AVERAGE('The List'!Y2:Y665))/STDEV('The List'!Y2:Y665)</f>
        <v>-0.57679864278842718</v>
      </c>
      <c r="M123" s="54">
        <f>(VLOOKUP($A123,'The List'!$B1:$AH665,25,FALSE)-AVERAGE('The List'!Z2:Z665))/STDEV('The List'!Z2:Z665)</f>
        <v>-0.75057519074799783</v>
      </c>
      <c r="N123" s="54">
        <f>(VLOOKUP($A123,'The List'!$B1:$AH665,26,FALSE)-AVERAGE('The List'!AA2:AA665))/STDEV('The List'!AA2:AA665)</f>
        <v>-0.72730115584938859</v>
      </c>
      <c r="O123" s="54">
        <f>(VLOOKUP($A123,'The List'!$B1:$AH665,27,FALSE)-AVERAGE('The List'!AB2:AB665))/STDEV('The List'!AB2:AB665)</f>
        <v>-1.2021538626114301</v>
      </c>
      <c r="P123" s="54">
        <f>(VLOOKUP($A123,'The List'!$B1:$AH665,28,FALSE)-AVERAGE('The List'!AC2:AC665))/STDEV('The List'!AC2:AC665)</f>
        <v>0.51831229717103522</v>
      </c>
      <c r="Q123" s="54">
        <f>(VLOOKUP($A123,'The List'!$B1:$AH665,29,FALSE)-AVERAGE('The List'!AD2:AD665))/STDEV('The List'!AD2:AD665)</f>
        <v>-0.67032691788971666</v>
      </c>
      <c r="R123" s="54">
        <f>(VLOOKUP($A123,'The List'!$B1:$AH665,30,FALSE)-AVERAGE('The List'!AE2:AE665))/STDEV('The List'!AE2:AE665)</f>
        <v>1.5651676863553661</v>
      </c>
      <c r="S123" s="54">
        <f>(VLOOKUP($A123,'The List'!$B1:$AH665,31,FALSE)-AVERAGE('The List'!AF2:AF665))/STDEV('The List'!AF2:AF665)</f>
        <v>-0.31705764193591279</v>
      </c>
      <c r="T123" s="54">
        <f>(VLOOKUP($A123,'The List'!$B1:$AH665,32,FALSE)-AVERAGE('The List'!AG2:AG665))/STDEV('The List'!AG2:AG665)</f>
        <v>-0.30866432585969866</v>
      </c>
      <c r="U123" s="54">
        <f>(VLOOKUP($A123,'The List'!$B1:$AH665,33,FALSE)-AVERAGE('The List'!AH2:AH665))/STDEV('The List'!AH2:AH665)</f>
        <v>0.86644194428890642</v>
      </c>
      <c r="V123" s="54"/>
      <c r="W123" s="56"/>
      <c r="X123" s="54"/>
      <c r="Y123" s="54"/>
      <c r="Z123" s="54"/>
      <c r="AA123" s="54"/>
      <c r="AB123" s="54"/>
      <c r="AC123" s="54"/>
      <c r="AD123" s="54"/>
      <c r="AE123" s="54"/>
    </row>
    <row r="124" spans="1:31" ht="21.25" customHeight="1" x14ac:dyDescent="0.15">
      <c r="A124" s="9" t="s">
        <v>349</v>
      </c>
      <c r="B124" s="65" t="str">
        <f>VLOOKUP(A124,'Player Data'!A1:B667,2,FALSE)</f>
        <v>UTA</v>
      </c>
      <c r="C124" s="51">
        <f>((E124)*Settings!$C$12)+(F124*Settings!$C$2)+(G124*Settings!$C$3)+(H124*Settings!$C$4)+(I124*Settings!$C$5)+(K124*Settings!$C$9)+(N124*Settings!$C$6)+(J124*Settings!$C$8)+(O124*Settings!$C$7)+(P124*Settings!$C$14)+(Q124*Settings!$C$15)+(R124*Settings!$C$16)+(S124*Settings!$C$17)+(T124*Settings!$C$18)+(U124*Settings!$C$19)+(L124*Settings!$C$10)+(Settings!$C$11*M124)</f>
        <v>1.2488194629824925</v>
      </c>
      <c r="D124" s="56">
        <f>IF(Settings!$E$12="YES",VLOOKUP(A124,'Player Data'!A1:E667,5,FALSE),82)</f>
        <v>77.754999999999995</v>
      </c>
      <c r="E124" s="54">
        <f>(VLOOKUP($A124,'The List'!$B1:$AH665,17,FALSE)-AVERAGE('The List'!R2:R665))/STDEV('The List'!R2:R665)</f>
        <v>-0.23357769497510525</v>
      </c>
      <c r="F124" s="54">
        <f>(VLOOKUP($A124,'The List'!$B1:$AH665,18,FALSE)-AVERAGE('The List'!S2:S665))/STDEV('The List'!S2:S665)</f>
        <v>0.2981308774733783</v>
      </c>
      <c r="G124" s="54">
        <f>(VLOOKUP($A124,'The List'!$B1:$AH665,19,FALSE)-AVERAGE('The List'!T2:T665))/STDEV('The List'!T2:T665)</f>
        <v>1.170608138819488</v>
      </c>
      <c r="H124" s="54">
        <f>(VLOOKUP($A124,'The List'!$B1:$AH665,20,FALSE)-AVERAGE('The List'!U2:U665))/STDEV('The List'!U2:U665)</f>
        <v>0.8625281304046124</v>
      </c>
      <c r="I124" s="54">
        <f>(VLOOKUP($A124,'The List'!$B1:$AH665,21,FALSE)-AVERAGE('The List'!V2:V665))/STDEV('The List'!V2:V665)</f>
        <v>-5.0163015922472097E-2</v>
      </c>
      <c r="J124" s="54">
        <f>(VLOOKUP($A124,'The List'!$B1:$AH665,22,FALSE)-AVERAGE('The List'!W2:W665))/STDEV('The List'!W2:W665)</f>
        <v>-0.10187471333839435</v>
      </c>
      <c r="K124" s="54">
        <f>(VLOOKUP($A124,'The List'!$B1:$AH665,23,FALSE)-AVERAGE('The List'!X2:X665))/STDEV('The List'!X2:X665)</f>
        <v>0.56161508671437799</v>
      </c>
      <c r="L124" s="54">
        <f>(VLOOKUP($A124,'The List'!$B1:$AH665,24,FALSE)-AVERAGE('The List'!Y2:Y665))/STDEV('The List'!Y2:Y665)</f>
        <v>-0.5421780304982925</v>
      </c>
      <c r="M124" s="54">
        <f>(VLOOKUP($A124,'The List'!$B1:$AH665,25,FALSE)-AVERAGE('The List'!Z2:Z665))/STDEV('The List'!Z2:Z665)</f>
        <v>-0.61692278510660514</v>
      </c>
      <c r="N124" s="54">
        <f>(VLOOKUP($A124,'The List'!$B1:$AH665,26,FALSE)-AVERAGE('The List'!AA2:AA665))/STDEV('The List'!AA2:AA665)</f>
        <v>-1.0178639600576516</v>
      </c>
      <c r="O124" s="54">
        <f>(VLOOKUP($A124,'The List'!$B1:$AH665,27,FALSE)-AVERAGE('The List'!AB2:AB665))/STDEV('The List'!AB2:AB665)</f>
        <v>-1.2577766818941285</v>
      </c>
      <c r="P124" s="54">
        <f>(VLOOKUP($A124,'The List'!$B1:$AH665,28,FALSE)-AVERAGE('The List'!AC2:AC665))/STDEV('The List'!AC2:AC665)</f>
        <v>0.2864923359553716</v>
      </c>
      <c r="Q124" s="54">
        <f>(VLOOKUP($A124,'The List'!$B1:$AH665,29,FALSE)-AVERAGE('The List'!AD2:AD665))/STDEV('The List'!AD2:AD665)</f>
        <v>-1.126894031428205</v>
      </c>
      <c r="R124" s="54">
        <f>(VLOOKUP($A124,'The List'!$B1:$AH665,30,FALSE)-AVERAGE('The List'!AE2:AE665))/STDEV('The List'!AE2:AE665)</f>
        <v>0.25746081022047296</v>
      </c>
      <c r="S124" s="54">
        <f>(VLOOKUP($A124,'The List'!$B1:$AH665,31,FALSE)-AVERAGE('The List'!AF2:AF665))/STDEV('The List'!AF2:AF665)</f>
        <v>-0.55429288999149684</v>
      </c>
      <c r="T124" s="54">
        <f>(VLOOKUP($A124,'The List'!$B1:$AH665,32,FALSE)-AVERAGE('The List'!AG2:AG665))/STDEV('The List'!AG2:AG665)</f>
        <v>-0.57557065794718709</v>
      </c>
      <c r="U124" s="54">
        <f>(VLOOKUP($A124,'The List'!$B1:$AH665,33,FALSE)-AVERAGE('The List'!AH2:AH665))/STDEV('The List'!AH2:AH665)</f>
        <v>9.876995176162276E-2</v>
      </c>
      <c r="V124" s="54"/>
      <c r="W124" s="64"/>
      <c r="X124" s="56"/>
      <c r="Y124" s="56"/>
      <c r="Z124" s="56"/>
      <c r="AA124" s="56"/>
      <c r="AB124" s="56"/>
      <c r="AC124" s="59"/>
      <c r="AD124" s="60"/>
      <c r="AE124" s="54"/>
    </row>
    <row r="125" spans="1:31" ht="21.25" customHeight="1" x14ac:dyDescent="0.15">
      <c r="A125" s="9" t="s">
        <v>272</v>
      </c>
      <c r="B125" s="65" t="str">
        <f>VLOOKUP(A125,'Player Data'!A1:B667,2,FALSE)</f>
        <v>CHI</v>
      </c>
      <c r="C125" s="51">
        <f>((E125)*Settings!$C$12)+(F125*Settings!$C$2)+(G125*Settings!$C$3)+(H125*Settings!$C$4)+(I125*Settings!$C$5)+(K125*Settings!$C$9)+(N125*Settings!$C$6)+(J125*Settings!$C$8)+(O125*Settings!$C$7)+(P125*Settings!$C$14)+(Q125*Settings!$C$15)+(R125*Settings!$C$16)+(S125*Settings!$C$17)+(T125*Settings!$C$18)+(U125*Settings!$C$19)+(L125*Settings!$C$10)+(Settings!$C$11*M125)</f>
        <v>4.0837809381379886</v>
      </c>
      <c r="D125" s="56">
        <f>IF(Settings!$E$12="YES",VLOOKUP(A125,'Player Data'!A1:E667,5,FALSE),82)</f>
        <v>78.540000000000006</v>
      </c>
      <c r="E125" s="54">
        <f>(VLOOKUP($A125,'The List'!$B1:$AH665,17,FALSE)-AVERAGE('The List'!R2:R665))/STDEV('The List'!R2:R665)</f>
        <v>0.58942344132684665</v>
      </c>
      <c r="F125" s="54">
        <f>(VLOOKUP($A125,'The List'!$B1:$AH665,18,FALSE)-AVERAGE('The List'!S2:S665))/STDEV('The List'!S2:S665)</f>
        <v>0.88376214395727126</v>
      </c>
      <c r="G125" s="54">
        <f>(VLOOKUP($A125,'The List'!$B1:$AH665,19,FALSE)-AVERAGE('The List'!T2:T665))/STDEV('The List'!T2:T665)</f>
        <v>0.74448820118541981</v>
      </c>
      <c r="H125" s="54">
        <f>(VLOOKUP($A125,'The List'!$B1:$AH665,20,FALSE)-AVERAGE('The List'!U2:U665))/STDEV('The List'!U2:U665)</f>
        <v>0.86408093711893841</v>
      </c>
      <c r="I125" s="54">
        <f>(VLOOKUP($A125,'The List'!$B1:$AH665,21,FALSE)-AVERAGE('The List'!V2:V665))/STDEV('The List'!V2:V665)</f>
        <v>0.80426838696273661</v>
      </c>
      <c r="J125" s="54">
        <f>(VLOOKUP($A125,'The List'!$B1:$AH665,22,FALSE)-AVERAGE('The List'!W2:W665))/STDEV('The List'!W2:W665)</f>
        <v>1.5769272071749636</v>
      </c>
      <c r="K125" s="54">
        <f>(VLOOKUP($A125,'The List'!$B1:$AH665,23,FALSE)-AVERAGE('The List'!X2:X665))/STDEV('The List'!X2:X665)</f>
        <v>1.1756583505126887</v>
      </c>
      <c r="L125" s="54">
        <f>(VLOOKUP($A125,'The List'!$B1:$AH665,24,FALSE)-AVERAGE('The List'!Y2:Y665))/STDEV('The List'!Y2:Y665)</f>
        <v>2.3516474319915774</v>
      </c>
      <c r="M125" s="54">
        <f>(VLOOKUP($A125,'The List'!$B1:$AH665,25,FALSE)-AVERAGE('The List'!Z2:Z665))/STDEV('The List'!Z2:Z665)</f>
        <v>3.4548366507488923</v>
      </c>
      <c r="N125" s="54">
        <f>(VLOOKUP($A125,'The List'!$B1:$AH665,26,FALSE)-AVERAGE('The List'!AA2:AA665))/STDEV('The List'!AA2:AA665)</f>
        <v>-0.80400977325359313</v>
      </c>
      <c r="O125" s="54">
        <f>(VLOOKUP($A125,'The List'!$B1:$AH665,27,FALSE)-AVERAGE('The List'!AB2:AB665))/STDEV('The List'!AB2:AB665)</f>
        <v>-1.385630302455424</v>
      </c>
      <c r="P125" s="54">
        <f>(VLOOKUP($A125,'The List'!$B1:$AH665,28,FALSE)-AVERAGE('The List'!AC2:AC665))/STDEV('The List'!AC2:AC665)</f>
        <v>1.2796136287734656</v>
      </c>
      <c r="Q125" s="54">
        <f>(VLOOKUP($A125,'The List'!$B1:$AH665,29,FALSE)-AVERAGE('The List'!AD2:AD665))/STDEV('The List'!AD2:AD665)</f>
        <v>-0.74262974888570599</v>
      </c>
      <c r="R125" s="54">
        <f>(VLOOKUP($A125,'The List'!$B1:$AH665,30,FALSE)-AVERAGE('The List'!AE2:AE665))/STDEV('The List'!AE2:AE665)</f>
        <v>0.56423491764768574</v>
      </c>
      <c r="S125" s="54">
        <f>(VLOOKUP($A125,'The List'!$B1:$AH665,31,FALSE)-AVERAGE('The List'!AF2:AF665))/STDEV('The List'!AF2:AF665)</f>
        <v>-0.22367987544414028</v>
      </c>
      <c r="T125" s="54">
        <f>(VLOOKUP($A125,'The List'!$B1:$AH665,32,FALSE)-AVERAGE('The List'!AG2:AG665))/STDEV('The List'!AG2:AG665)</f>
        <v>-0.30451106427053892</v>
      </c>
      <c r="U125" s="54">
        <f>(VLOOKUP($A125,'The List'!$B1:$AH665,33,FALSE)-AVERAGE('The List'!AH2:AH665))/STDEV('The List'!AH2:AH665)</f>
        <v>1.2025089815750674</v>
      </c>
      <c r="V125" s="54"/>
      <c r="W125" s="56"/>
      <c r="X125" s="54"/>
      <c r="Y125" s="54"/>
      <c r="Z125" s="54"/>
      <c r="AA125" s="54"/>
      <c r="AB125" s="54"/>
      <c r="AC125" s="54"/>
      <c r="AD125" s="54"/>
      <c r="AE125" s="54"/>
    </row>
    <row r="126" spans="1:31" ht="21.25" customHeight="1" x14ac:dyDescent="0.15">
      <c r="A126" s="9" t="s">
        <v>307</v>
      </c>
      <c r="B126" s="65" t="str">
        <f>VLOOKUP(A126,'Player Data'!A1:B667,2,FALSE)</f>
        <v>CGY</v>
      </c>
      <c r="C126" s="51">
        <f>((E126)*Settings!$C$12)+(F126*Settings!$C$2)+(G126*Settings!$C$3)+(H126*Settings!$C$4)+(I126*Settings!$C$5)+(K126*Settings!$C$9)+(N126*Settings!$C$6)+(J126*Settings!$C$8)+(O126*Settings!$C$7)+(P126*Settings!$C$14)+(Q126*Settings!$C$15)+(R126*Settings!$C$16)+(S126*Settings!$C$17)+(T126*Settings!$C$18)+(U126*Settings!$C$19)+(L126*Settings!$C$10)+(Settings!$C$11*M126)</f>
        <v>2.0186182531529004</v>
      </c>
      <c r="D126" s="56">
        <f>IF(Settings!$E$12="YES",VLOOKUP(A126,'Player Data'!A1:E667,5,FALSE),82)</f>
        <v>79.617500000000007</v>
      </c>
      <c r="E126" s="54">
        <f>(VLOOKUP($A126,'The List'!$B1:$AH665,17,FALSE)-AVERAGE('The List'!R2:R665))/STDEV('The List'!R2:R665)</f>
        <v>-0.36776596150926621</v>
      </c>
      <c r="F126" s="54">
        <f>(VLOOKUP($A126,'The List'!$B1:$AH665,18,FALSE)-AVERAGE('The List'!S2:S665))/STDEV('The List'!S2:S665)</f>
        <v>1.3609005647202896</v>
      </c>
      <c r="G126" s="54">
        <f>(VLOOKUP($A126,'The List'!$B1:$AH665,19,FALSE)-AVERAGE('The List'!T2:T665))/STDEV('The List'!T2:T665)</f>
        <v>0.44867808450218472</v>
      </c>
      <c r="H126" s="54">
        <f>(VLOOKUP($A126,'The List'!$B1:$AH665,20,FALSE)-AVERAGE('The List'!U2:U665))/STDEV('The List'!U2:U665)</f>
        <v>0.89724831426014995</v>
      </c>
      <c r="I126" s="54">
        <f>(VLOOKUP($A126,'The List'!$B1:$AH665,21,FALSE)-AVERAGE('The List'!V2:V665))/STDEV('The List'!V2:V665)</f>
        <v>0.10568548501590563</v>
      </c>
      <c r="J126" s="54">
        <f>(VLOOKUP($A126,'The List'!$B1:$AH665,22,FALSE)-AVERAGE('The List'!W2:W665))/STDEV('The List'!W2:W665)</f>
        <v>1.6758390609314906</v>
      </c>
      <c r="K126" s="54">
        <f>(VLOOKUP($A126,'The List'!$B1:$AH665,23,FALSE)-AVERAGE('The List'!X2:X665))/STDEV('The List'!X2:X665)</f>
        <v>1.0534301952477498</v>
      </c>
      <c r="L126" s="54">
        <f>(VLOOKUP($A126,'The List'!$B1:$AH665,24,FALSE)-AVERAGE('The List'!Y2:Y665))/STDEV('The List'!Y2:Y665)</f>
        <v>-0.57969377175981673</v>
      </c>
      <c r="M126" s="54">
        <f>(VLOOKUP($A126,'The List'!$B1:$AH665,25,FALSE)-AVERAGE('The List'!Z2:Z665))/STDEV('The List'!Z2:Z665)</f>
        <v>-0.75353696638367229</v>
      </c>
      <c r="N126" s="54">
        <f>(VLOOKUP($A126,'The List'!$B1:$AH665,26,FALSE)-AVERAGE('The List'!AA2:AA665))/STDEV('The List'!AA2:AA665)</f>
        <v>-1.0373854356393444</v>
      </c>
      <c r="O126" s="54">
        <f>(VLOOKUP($A126,'The List'!$B1:$AH665,27,FALSE)-AVERAGE('The List'!AB2:AB665))/STDEV('The List'!AB2:AB665)</f>
        <v>-1.3986224603224504</v>
      </c>
      <c r="P126" s="54">
        <f>(VLOOKUP($A126,'The List'!$B1:$AH665,28,FALSE)-AVERAGE('The List'!AC2:AC665))/STDEV('The List'!AC2:AC665)</f>
        <v>8.7309359306114637E-2</v>
      </c>
      <c r="Q126" s="54">
        <f>(VLOOKUP($A126,'The List'!$B1:$AH665,29,FALSE)-AVERAGE('The List'!AD2:AD665))/STDEV('The List'!AD2:AD665)</f>
        <v>-1.1825405144830876</v>
      </c>
      <c r="R126" s="54">
        <f>(VLOOKUP($A126,'The List'!$B1:$AH665,30,FALSE)-AVERAGE('The List'!AE2:AE665))/STDEV('The List'!AE2:AE665)</f>
        <v>1.2375755212248534</v>
      </c>
      <c r="S126" s="54">
        <f>(VLOOKUP($A126,'The List'!$B1:$AH665,31,FALSE)-AVERAGE('The List'!AF2:AF665))/STDEV('The List'!AF2:AF665)</f>
        <v>-0.57124117256415918</v>
      </c>
      <c r="T126" s="54">
        <f>(VLOOKUP($A126,'The List'!$B1:$AH665,32,FALSE)-AVERAGE('The List'!AG2:AG665))/STDEV('The List'!AG2:AG665)</f>
        <v>-0.62289726875899554</v>
      </c>
      <c r="U126" s="54">
        <f>(VLOOKUP($A126,'The List'!$B1:$AH665,33,FALSE)-AVERAGE('The List'!AH2:AH665))/STDEV('The List'!AH2:AH665)</f>
        <v>1.0146336998735783</v>
      </c>
      <c r="V126" s="54"/>
      <c r="W126" s="64"/>
      <c r="X126" s="56"/>
      <c r="Y126" s="56"/>
      <c r="Z126" s="56"/>
      <c r="AA126" s="56"/>
      <c r="AB126" s="56"/>
      <c r="AC126" s="59"/>
      <c r="AD126" s="60"/>
      <c r="AE126" s="54"/>
    </row>
    <row r="127" spans="1:31" ht="21.25" customHeight="1" x14ac:dyDescent="0.15">
      <c r="A127" s="9" t="s">
        <v>312</v>
      </c>
      <c r="B127" s="65" t="str">
        <f>VLOOKUP(A127,'Player Data'!A1:B667,2,FALSE)</f>
        <v>SEA</v>
      </c>
      <c r="C127" s="51">
        <f>((E127)*Settings!$C$12)+(F127*Settings!$C$2)+(G127*Settings!$C$3)+(H127*Settings!$C$4)+(I127*Settings!$C$5)+(K127*Settings!$C$9)+(N127*Settings!$C$6)+(J127*Settings!$C$8)+(O127*Settings!$C$7)+(P127*Settings!$C$14)+(Q127*Settings!$C$15)+(R127*Settings!$C$16)+(S127*Settings!$C$17)+(T127*Settings!$C$18)+(U127*Settings!$C$19)+(L127*Settings!$C$10)+(Settings!$C$11*M127)</f>
        <v>2.2454593220099377</v>
      </c>
      <c r="D127" s="56">
        <f>IF(Settings!$E$12="YES",VLOOKUP(A127,'Player Data'!A1:E667,5,FALSE),82)</f>
        <v>80.167500000000004</v>
      </c>
      <c r="E127" s="54">
        <f>(VLOOKUP($A127,'The List'!$B1:$AH665,17,FALSE)-AVERAGE('The List'!R2:R665))/STDEV('The List'!R2:R665)</f>
        <v>0.46418826266606272</v>
      </c>
      <c r="F127" s="54">
        <f>(VLOOKUP($A127,'The List'!$B1:$AH665,18,FALSE)-AVERAGE('The List'!S2:S665))/STDEV('The List'!S2:S665)</f>
        <v>0.97371840274885302</v>
      </c>
      <c r="G127" s="54">
        <f>(VLOOKUP($A127,'The List'!$B1:$AH665,19,FALSE)-AVERAGE('The List'!T2:T665))/STDEV('The List'!T2:T665)</f>
        <v>0.71554103424994586</v>
      </c>
      <c r="H127" s="54">
        <f>(VLOOKUP($A127,'The List'!$B1:$AH665,20,FALSE)-AVERAGE('The List'!U2:U665))/STDEV('The List'!U2:U665)</f>
        <v>0.88699251439239202</v>
      </c>
      <c r="I127" s="54">
        <f>(VLOOKUP($A127,'The List'!$B1:$AH665,21,FALSE)-AVERAGE('The List'!V2:V665))/STDEV('The List'!V2:V665)</f>
        <v>0.32821083905615778</v>
      </c>
      <c r="J127" s="54">
        <f>(VLOOKUP($A127,'The List'!$B1:$AH665,22,FALSE)-AVERAGE('The List'!W2:W665))/STDEV('The List'!W2:W665)</f>
        <v>1.1410304786862155</v>
      </c>
      <c r="K127" s="54">
        <f>(VLOOKUP($A127,'The List'!$B1:$AH665,23,FALSE)-AVERAGE('The List'!X2:X665))/STDEV('The List'!X2:X665)</f>
        <v>0.74394598488700425</v>
      </c>
      <c r="L127" s="54">
        <f>(VLOOKUP($A127,'The List'!$B1:$AH665,24,FALSE)-AVERAGE('The List'!Y2:Y665))/STDEV('The List'!Y2:Y665)</f>
        <v>-0.17741372873136158</v>
      </c>
      <c r="M127" s="54">
        <f>(VLOOKUP($A127,'The List'!$B1:$AH665,25,FALSE)-AVERAGE('The List'!Z2:Z665))/STDEV('The List'!Z2:Z665)</f>
        <v>0.25888160635643759</v>
      </c>
      <c r="N127" s="54">
        <f>(VLOOKUP($A127,'The List'!$B1:$AH665,26,FALSE)-AVERAGE('The List'!AA2:AA665))/STDEV('The List'!AA2:AA665)</f>
        <v>-0.40816821300756984</v>
      </c>
      <c r="O127" s="54">
        <f>(VLOOKUP($A127,'The List'!$B1:$AH665,27,FALSE)-AVERAGE('The List'!AB2:AB665))/STDEV('The List'!AB2:AB665)</f>
        <v>-0.63633002304677078</v>
      </c>
      <c r="P127" s="54">
        <f>(VLOOKUP($A127,'The List'!$B1:$AH665,28,FALSE)-AVERAGE('The List'!AC2:AC665))/STDEV('The List'!AC2:AC665)</f>
        <v>-0.10778872592445347</v>
      </c>
      <c r="Q127" s="54">
        <f>(VLOOKUP($A127,'The List'!$B1:$AH665,29,FALSE)-AVERAGE('The List'!AD2:AD665))/STDEV('The List'!AD2:AD665)</f>
        <v>-1.0183158425908698</v>
      </c>
      <c r="R127" s="54">
        <f>(VLOOKUP($A127,'The List'!$B1:$AH665,30,FALSE)-AVERAGE('The List'!AE2:AE665))/STDEV('The List'!AE2:AE665)</f>
        <v>0.97372041004171517</v>
      </c>
      <c r="S127" s="54">
        <f>(VLOOKUP($A127,'The List'!$B1:$AH665,31,FALSE)-AVERAGE('The List'!AF2:AF665))/STDEV('The List'!AF2:AF665)</f>
        <v>1.9501387989138019</v>
      </c>
      <c r="T127" s="54">
        <f>(VLOOKUP($A127,'The List'!$B1:$AH665,32,FALSE)-AVERAGE('The List'!AG2:AG665))/STDEV('The List'!AG2:AG665)</f>
        <v>2.6584490055809278</v>
      </c>
      <c r="U127" s="54">
        <f>(VLOOKUP($A127,'The List'!$B1:$AH665,33,FALSE)-AVERAGE('The List'!AH2:AH665))/STDEV('The List'!AH2:AH665)</f>
        <v>0.80743279201348872</v>
      </c>
      <c r="V127" s="54"/>
      <c r="W127" s="64"/>
      <c r="X127" s="56"/>
      <c r="Y127" s="56"/>
      <c r="Z127" s="56"/>
      <c r="AA127" s="56"/>
      <c r="AB127" s="56"/>
      <c r="AC127" s="59"/>
      <c r="AD127" s="60"/>
      <c r="AE127" s="54"/>
    </row>
    <row r="128" spans="1:31" ht="21.25" customHeight="1" x14ac:dyDescent="0.15">
      <c r="A128" s="9" t="s">
        <v>264</v>
      </c>
      <c r="B128" s="65" t="str">
        <f>VLOOKUP(A128,'Player Data'!A1:B667,2,FALSE)</f>
        <v>NYR</v>
      </c>
      <c r="C128" s="51">
        <f>((E128)*Settings!$C$12)+(F128*Settings!$C$2)+(G128*Settings!$C$3)+(H128*Settings!$C$4)+(I128*Settings!$C$5)+(K128*Settings!$C$9)+(N128*Settings!$C$6)+(J128*Settings!$C$8)+(O128*Settings!$C$7)+(P128*Settings!$C$14)+(Q128*Settings!$C$15)+(R128*Settings!$C$16)+(S128*Settings!$C$17)+(T128*Settings!$C$18)+(U128*Settings!$C$19)+(L128*Settings!$C$10)+(Settings!$C$11*M128)</f>
        <v>3.2369639719436734</v>
      </c>
      <c r="D128" s="56">
        <f>IF(Settings!$E$12="YES",VLOOKUP(A128,'Player Data'!A1:E667,5,FALSE),82)</f>
        <v>81.592500000000001</v>
      </c>
      <c r="E128" s="54">
        <f>(VLOOKUP($A128,'The List'!$B1:$AH665,17,FALSE)-AVERAGE('The List'!R2:R665))/STDEV('The List'!R2:R665)</f>
        <v>0.30567983154009359</v>
      </c>
      <c r="F128" s="54">
        <f>(VLOOKUP($A128,'The List'!$B1:$AH665,18,FALSE)-AVERAGE('The List'!S2:S665))/STDEV('The List'!S2:S665)</f>
        <v>1.4204981106885737</v>
      </c>
      <c r="G128" s="54">
        <f>(VLOOKUP($A128,'The List'!$B1:$AH665,19,FALSE)-AVERAGE('The List'!T2:T665))/STDEV('The List'!T2:T665)</f>
        <v>0.64902469045396849</v>
      </c>
      <c r="H128" s="54">
        <f>(VLOOKUP($A128,'The List'!$B1:$AH665,20,FALSE)-AVERAGE('The List'!U2:U665))/STDEV('The List'!U2:U665)</f>
        <v>1.048764739209356</v>
      </c>
      <c r="I128" s="54">
        <f>(VLOOKUP($A128,'The List'!$B1:$AH665,21,FALSE)-AVERAGE('The List'!V2:V665))/STDEV('The List'!V2:V665)</f>
        <v>1.2756341800688533</v>
      </c>
      <c r="J128" s="54">
        <f>(VLOOKUP($A128,'The List'!$B1:$AH665,22,FALSE)-AVERAGE('The List'!W2:W665))/STDEV('The List'!W2:W665)</f>
        <v>0.20371085699841157</v>
      </c>
      <c r="K128" s="54">
        <f>(VLOOKUP($A128,'The List'!$B1:$AH665,23,FALSE)-AVERAGE('The List'!X2:X665))/STDEV('The List'!X2:X665)</f>
        <v>-8.7114160730033044E-2</v>
      </c>
      <c r="L128" s="54">
        <f>(VLOOKUP($A128,'The List'!$B1:$AH665,24,FALSE)-AVERAGE('The List'!Y2:Y665))/STDEV('The List'!Y2:Y665)</f>
        <v>-0.56189038400737668</v>
      </c>
      <c r="M128" s="54">
        <f>(VLOOKUP($A128,'The List'!$B1:$AH665,25,FALSE)-AVERAGE('The List'!Z2:Z665))/STDEV('The List'!Z2:Z665)</f>
        <v>-0.73536340643158826</v>
      </c>
      <c r="N128" s="54">
        <f>(VLOOKUP($A128,'The List'!$B1:$AH665,26,FALSE)-AVERAGE('The List'!AA2:AA665))/STDEV('The List'!AA2:AA665)</f>
        <v>-0.93119480607542959</v>
      </c>
      <c r="O128" s="54">
        <f>(VLOOKUP($A128,'The List'!$B1:$AH665,27,FALSE)-AVERAGE('The List'!AB2:AB665))/STDEV('The List'!AB2:AB665)</f>
        <v>4.7982542492907163E-2</v>
      </c>
      <c r="P128" s="54">
        <f>(VLOOKUP($A128,'The List'!$B1:$AH665,28,FALSE)-AVERAGE('The List'!AC2:AC665))/STDEV('The List'!AC2:AC665)</f>
        <v>0.91011595753774066</v>
      </c>
      <c r="Q128" s="54">
        <f>(VLOOKUP($A128,'The List'!$B1:$AH665,29,FALSE)-AVERAGE('The List'!AD2:AD665))/STDEV('The List'!AD2:AD665)</f>
        <v>0.35745286343157995</v>
      </c>
      <c r="R128" s="54">
        <f>(VLOOKUP($A128,'The List'!$B1:$AH665,30,FALSE)-AVERAGE('The List'!AE2:AE665))/STDEV('The List'!AE2:AE665)</f>
        <v>1.6144163921762238</v>
      </c>
      <c r="S128" s="54">
        <f>(VLOOKUP($A128,'The List'!$B1:$AH665,31,FALSE)-AVERAGE('The List'!AF2:AF665))/STDEV('The List'!AF2:AF665)</f>
        <v>-0.47101225995676432</v>
      </c>
      <c r="T128" s="54">
        <f>(VLOOKUP($A128,'The List'!$B1:$AH665,32,FALSE)-AVERAGE('The List'!AG2:AG665))/STDEV('The List'!AG2:AG665)</f>
        <v>-0.37218718623222974</v>
      </c>
      <c r="U128" s="54">
        <f>(VLOOKUP($A128,'The List'!$B1:$AH665,33,FALSE)-AVERAGE('The List'!AH2:AH665))/STDEV('The List'!AH2:AH665)</f>
        <v>0.13505027192392957</v>
      </c>
      <c r="V128" s="54"/>
      <c r="W128" s="64"/>
      <c r="X128" s="56"/>
      <c r="Y128" s="56"/>
      <c r="Z128" s="56"/>
      <c r="AA128" s="56"/>
      <c r="AB128" s="56"/>
      <c r="AC128" s="59"/>
      <c r="AD128" s="60"/>
      <c r="AE128" s="54"/>
    </row>
    <row r="129" spans="1:31" ht="21.25" customHeight="1" x14ac:dyDescent="0.15">
      <c r="A129" s="9" t="s">
        <v>178</v>
      </c>
      <c r="B129" s="65" t="str">
        <f>VLOOKUP(A129,'Player Data'!A1:B667,2,FALSE)</f>
        <v>WSH</v>
      </c>
      <c r="C129" s="51">
        <f>((E129)*Settings!$C$12)+(F129*Settings!$C$2)+(G129*Settings!$C$3)+(H129*Settings!$C$4)+(I129*Settings!$C$5)+(K129*Settings!$C$9)+(N129*Settings!$C$6)+(J129*Settings!$C$8)+(O129*Settings!$C$7)+(P129*Settings!$C$14)+(Q129*Settings!$C$15)+(R129*Settings!$C$16)+(S129*Settings!$C$17)+(T129*Settings!$C$18)+(U129*Settings!$C$19)+(L129*Settings!$C$10)+(Settings!$C$11*M129)</f>
        <v>4.8294514263240789</v>
      </c>
      <c r="D129" s="56">
        <f>IF(Settings!$E$12="YES",VLOOKUP(A129,'Player Data'!A1:E667,5,FALSE),82)</f>
        <v>75.855000000000004</v>
      </c>
      <c r="E129" s="54">
        <f>(VLOOKUP($A129,'The List'!$B1:$AH665,17,FALSE)-AVERAGE('The List'!R2:R665))/STDEV('The List'!R2:R665)</f>
        <v>2.5384259162142002</v>
      </c>
      <c r="F129" s="54">
        <f>(VLOOKUP($A129,'The List'!$B1:$AH665,18,FALSE)-AVERAGE('The List'!S2:S665))/STDEV('The List'!S2:S665)</f>
        <v>-0.1345673350926527</v>
      </c>
      <c r="G129" s="54">
        <f>(VLOOKUP($A129,'The List'!$B1:$AH665,19,FALSE)-AVERAGE('The List'!T2:T665))/STDEV('The List'!T2:T665)</f>
        <v>1.2870476436157039</v>
      </c>
      <c r="H129" s="54">
        <f>(VLOOKUP($A129,'The List'!$B1:$AH665,20,FALSE)-AVERAGE('The List'!U2:U665))/STDEV('The List'!U2:U665)</f>
        <v>0.73816170464853237</v>
      </c>
      <c r="I129" s="54">
        <f>(VLOOKUP($A129,'The List'!$B1:$AH665,21,FALSE)-AVERAGE('The List'!V2:V665))/STDEV('The List'!V2:V665)</f>
        <v>0.73260577014395334</v>
      </c>
      <c r="J129" s="54">
        <f>(VLOOKUP($A129,'The List'!$B1:$AH665,22,FALSE)-AVERAGE('The List'!W2:W665))/STDEV('The List'!W2:W665)</f>
        <v>0.56656651667008451</v>
      </c>
      <c r="K129" s="54">
        <f>(VLOOKUP($A129,'The List'!$B1:$AH665,23,FALSE)-AVERAGE('The List'!X2:X665))/STDEV('The List'!X2:X665)</f>
        <v>1.1264024913935593</v>
      </c>
      <c r="L129" s="54">
        <f>(VLOOKUP($A129,'The List'!$B1:$AH665,24,FALSE)-AVERAGE('The List'!Y2:Y665))/STDEV('The List'!Y2:Y665)</f>
        <v>3.26257254939794E-2</v>
      </c>
      <c r="M129" s="54">
        <f>(VLOOKUP($A129,'The List'!$B1:$AH665,25,FALSE)-AVERAGE('The List'!Z2:Z665))/STDEV('The List'!Z2:Z665)</f>
        <v>0.3733970983582876</v>
      </c>
      <c r="N129" s="54">
        <f>(VLOOKUP($A129,'The List'!$B1:$AH665,26,FALSE)-AVERAGE('The List'!AA2:AA665))/STDEV('The List'!AA2:AA665)</f>
        <v>2.5031675912440932</v>
      </c>
      <c r="O129" s="54">
        <f>(VLOOKUP($A129,'The List'!$B1:$AH665,27,FALSE)-AVERAGE('The List'!AB2:AB665))/STDEV('The List'!AB2:AB665)</f>
        <v>-0.38760119245387381</v>
      </c>
      <c r="P129" s="54">
        <f>(VLOOKUP($A129,'The List'!$B1:$AH665,28,FALSE)-AVERAGE('The List'!AC2:AC665))/STDEV('The List'!AC2:AC665)</f>
        <v>-0.68520473498057821</v>
      </c>
      <c r="Q129" s="54">
        <f>(VLOOKUP($A129,'The List'!$B1:$AH665,29,FALSE)-AVERAGE('The List'!AD2:AD665))/STDEV('The List'!AD2:AD665)</f>
        <v>-0.22728362434002017</v>
      </c>
      <c r="R129" s="54">
        <f>(VLOOKUP($A129,'The List'!$B1:$AH665,30,FALSE)-AVERAGE('The List'!AE2:AE665))/STDEV('The List'!AE2:AE665)</f>
        <v>-0.18293584449630379</v>
      </c>
      <c r="S129" s="54">
        <f>(VLOOKUP($A129,'The List'!$B1:$AH665,31,FALSE)-AVERAGE('The List'!AF2:AF665))/STDEV('The List'!AF2:AF665)</f>
        <v>-0.57389441068000469</v>
      </c>
      <c r="T129" s="54">
        <f>(VLOOKUP($A129,'The List'!$B1:$AH665,32,FALSE)-AVERAGE('The List'!AG2:AG665))/STDEV('The List'!AG2:AG665)</f>
        <v>-0.62577078713265111</v>
      </c>
      <c r="U129" s="54">
        <f>(VLOOKUP($A129,'The List'!$B1:$AH665,33,FALSE)-AVERAGE('The List'!AH2:AH665))/STDEV('The List'!AH2:AH665)</f>
        <v>-1.2314350945148611</v>
      </c>
      <c r="V129" s="54"/>
      <c r="W129" s="56"/>
      <c r="X129" s="54"/>
      <c r="Y129" s="54"/>
      <c r="Z129" s="54"/>
      <c r="AA129" s="54"/>
      <c r="AB129" s="54"/>
      <c r="AC129" s="54"/>
      <c r="AD129" s="54"/>
      <c r="AE129" s="54"/>
    </row>
    <row r="130" spans="1:31" ht="21.25" customHeight="1" x14ac:dyDescent="0.15">
      <c r="A130" s="9" t="s">
        <v>360</v>
      </c>
      <c r="B130" s="65" t="str">
        <f>VLOOKUP(A130,'Player Data'!A1:B667,2,FALSE)</f>
        <v>BUF</v>
      </c>
      <c r="C130" s="51">
        <f>((E130)*Settings!$C$12)+(F130*Settings!$C$2)+(G130*Settings!$C$3)+(H130*Settings!$C$4)+(I130*Settings!$C$5)+(K130*Settings!$C$9)+(N130*Settings!$C$6)+(J130*Settings!$C$8)+(O130*Settings!$C$7)+(P130*Settings!$C$14)+(Q130*Settings!$C$15)+(R130*Settings!$C$16)+(S130*Settings!$C$17)+(T130*Settings!$C$18)+(U130*Settings!$C$19)+(L130*Settings!$C$10)+(Settings!$C$11*M130)</f>
        <v>0.33128872014923388</v>
      </c>
      <c r="D130" s="56">
        <f>IF(Settings!$E$12="YES",VLOOKUP(A130,'Player Data'!A1:E667,5,FALSE),82)</f>
        <v>68.204999999999998</v>
      </c>
      <c r="E130" s="54">
        <f>(VLOOKUP($A130,'The List'!$B1:$AH665,17,FALSE)-AVERAGE('The List'!R2:R665))/STDEV('The List'!R2:R665)</f>
        <v>2.1931456018517485E-2</v>
      </c>
      <c r="F130" s="54">
        <f>(VLOOKUP($A130,'The List'!$B1:$AH665,18,FALSE)-AVERAGE('The List'!S2:S665))/STDEV('The List'!S2:S665)</f>
        <v>0.66022776051319176</v>
      </c>
      <c r="G130" s="54">
        <f>(VLOOKUP($A130,'The List'!$B1:$AH665,19,FALSE)-AVERAGE('The List'!T2:T665))/STDEV('The List'!T2:T665)</f>
        <v>0.31806953996549475</v>
      </c>
      <c r="H130" s="54">
        <f>(VLOOKUP($A130,'The List'!$B1:$AH665,20,FALSE)-AVERAGE('The List'!U2:U665))/STDEV('The List'!U2:U665)</f>
        <v>0.49764396906677016</v>
      </c>
      <c r="I130" s="54">
        <f>(VLOOKUP($A130,'The List'!$B1:$AH665,21,FALSE)-AVERAGE('The List'!V2:V665))/STDEV('The List'!V2:V665)</f>
        <v>0.24894268465985114</v>
      </c>
      <c r="J130" s="54">
        <f>(VLOOKUP($A130,'The List'!$B1:$AH665,22,FALSE)-AVERAGE('The List'!W2:W665))/STDEV('The List'!W2:W665)</f>
        <v>5.9682415446058727E-2</v>
      </c>
      <c r="K130" s="54">
        <f>(VLOOKUP($A130,'The List'!$B1:$AH665,23,FALSE)-AVERAGE('The List'!X2:X665))/STDEV('The List'!X2:X665)</f>
        <v>5.8270156101888571E-2</v>
      </c>
      <c r="L130" s="54">
        <f>(VLOOKUP($A130,'The List'!$B1:$AH665,24,FALSE)-AVERAGE('The List'!Y2:Y665))/STDEV('The List'!Y2:Y665)</f>
        <v>-0.32435159405727687</v>
      </c>
      <c r="M130" s="54">
        <f>(VLOOKUP($A130,'The List'!$B1:$AH665,25,FALSE)-AVERAGE('The List'!Z2:Z665))/STDEV('The List'!Z2:Z665)</f>
        <v>-0.10921466075546143</v>
      </c>
      <c r="N130" s="54">
        <f>(VLOOKUP($A130,'The List'!$B1:$AH665,26,FALSE)-AVERAGE('The List'!AA2:AA665))/STDEV('The List'!AA2:AA665)</f>
        <v>-0.86562583865644516</v>
      </c>
      <c r="O130" s="54">
        <f>(VLOOKUP($A130,'The List'!$B1:$AH665,27,FALSE)-AVERAGE('The List'!AB2:AB665))/STDEV('The List'!AB2:AB665)</f>
        <v>-0.57616405141645066</v>
      </c>
      <c r="P130" s="54">
        <f>(VLOOKUP($A130,'The List'!$B1:$AH665,28,FALSE)-AVERAGE('The List'!AC2:AC665))/STDEV('The List'!AC2:AC665)</f>
        <v>-8.8595582434747341E-2</v>
      </c>
      <c r="Q130" s="54">
        <f>(VLOOKUP($A130,'The List'!$B1:$AH665,29,FALSE)-AVERAGE('The List'!AD2:AD665))/STDEV('The List'!AD2:AD665)</f>
        <v>-0.7389485692265011</v>
      </c>
      <c r="R130" s="54">
        <f>(VLOOKUP($A130,'The List'!$B1:$AH665,30,FALSE)-AVERAGE('The List'!AE2:AE665))/STDEV('The List'!AE2:AE665)</f>
        <v>0.53518677392664959</v>
      </c>
      <c r="S130" s="54">
        <f>(VLOOKUP($A130,'The List'!$B1:$AH665,31,FALSE)-AVERAGE('The List'!AF2:AF665))/STDEV('The List'!AF2:AF665)</f>
        <v>-0.52881831247142508</v>
      </c>
      <c r="T130" s="54">
        <f>(VLOOKUP($A130,'The List'!$B1:$AH665,32,FALSE)-AVERAGE('The List'!AG2:AG665))/STDEV('The List'!AG2:AG665)</f>
        <v>-0.52792008359838394</v>
      </c>
      <c r="U130" s="54">
        <f>(VLOOKUP($A130,'The List'!$B1:$AH665,33,FALSE)-AVERAGE('The List'!AH2:AH665))/STDEV('The List'!AH2:AH665)</f>
        <v>0.25926281749219232</v>
      </c>
      <c r="V130" s="54"/>
      <c r="W130" s="64"/>
      <c r="X130" s="56"/>
      <c r="Y130" s="56"/>
      <c r="Z130" s="56"/>
      <c r="AA130" s="56"/>
      <c r="AB130" s="56"/>
      <c r="AC130" s="59"/>
      <c r="AD130" s="60"/>
      <c r="AE130" s="54"/>
    </row>
    <row r="131" spans="1:31" ht="21.25" customHeight="1" x14ac:dyDescent="0.15">
      <c r="A131" s="9" t="s">
        <v>395</v>
      </c>
      <c r="B131" s="65" t="str">
        <f>VLOOKUP(A131,'Player Data'!A1:B667,2,FALSE)</f>
        <v>COL</v>
      </c>
      <c r="C131" s="51">
        <f>((E131)*Settings!$C$12)+(F131*Settings!$C$2)+(G131*Settings!$C$3)+(H131*Settings!$C$4)+(I131*Settings!$C$5)+(K131*Settings!$C$9)+(N131*Settings!$C$6)+(J131*Settings!$C$8)+(O131*Settings!$C$7)+(P131*Settings!$C$14)+(Q131*Settings!$C$15)+(R131*Settings!$C$16)+(S131*Settings!$C$17)+(T131*Settings!$C$18)+(U131*Settings!$C$19)+(L131*Settings!$C$10)+(Settings!$C$11*M131)</f>
        <v>0.32242287627760291</v>
      </c>
      <c r="D131" s="56">
        <f>IF(Settings!$E$12="YES",VLOOKUP(A131,'Player Data'!A1:E667,5,FALSE),82)</f>
        <v>77.474999999999994</v>
      </c>
      <c r="E131" s="54">
        <f>(VLOOKUP($A131,'The List'!$B1:$AH665,17,FALSE)-AVERAGE('The List'!R2:R665))/STDEV('The List'!R2:R665)</f>
        <v>-1.1291458542358433E-2</v>
      </c>
      <c r="F131" s="54">
        <f>(VLOOKUP($A131,'The List'!$B1:$AH665,18,FALSE)-AVERAGE('The List'!S2:S665))/STDEV('The List'!S2:S665)</f>
        <v>0.29946303977141769</v>
      </c>
      <c r="G131" s="54">
        <f>(VLOOKUP($A131,'The List'!$B1:$AH665,19,FALSE)-AVERAGE('The List'!T2:T665))/STDEV('The List'!T2:T665)</f>
        <v>1.0445899136530559</v>
      </c>
      <c r="H131" s="54">
        <f>(VLOOKUP($A131,'The List'!$B1:$AH665,20,FALSE)-AVERAGE('The List'!U2:U665))/STDEV('The List'!U2:U665)</f>
        <v>0.78486925789633888</v>
      </c>
      <c r="I131" s="54">
        <f>(VLOOKUP($A131,'The List'!$B1:$AH665,21,FALSE)-AVERAGE('The List'!V2:V665))/STDEV('The List'!V2:V665)</f>
        <v>-0.10160359538518007</v>
      </c>
      <c r="J131" s="54">
        <f>(VLOOKUP($A131,'The List'!$B1:$AH665,22,FALSE)-AVERAGE('The List'!W2:W665))/STDEV('The List'!W2:W665)</f>
        <v>-0.14720998532558999</v>
      </c>
      <c r="K131" s="54">
        <f>(VLOOKUP($A131,'The List'!$B1:$AH665,23,FALSE)-AVERAGE('The List'!X2:X665))/STDEV('The List'!X2:X665)</f>
        <v>-7.4236108579491422E-2</v>
      </c>
      <c r="L131" s="54">
        <f>(VLOOKUP($A131,'The List'!$B1:$AH665,24,FALSE)-AVERAGE('The List'!Y2:Y665))/STDEV('The List'!Y2:Y665)</f>
        <v>-0.41726584641951736</v>
      </c>
      <c r="M131" s="54">
        <f>(VLOOKUP($A131,'The List'!$B1:$AH665,25,FALSE)-AVERAGE('The List'!Z2:Z665))/STDEV('The List'!Z2:Z665)</f>
        <v>-0.63581092010109008</v>
      </c>
      <c r="N131" s="54">
        <f>(VLOOKUP($A131,'The List'!$B1:$AH665,26,FALSE)-AVERAGE('The List'!AA2:AA665))/STDEV('The List'!AA2:AA665)</f>
        <v>-0.90574279656159429</v>
      </c>
      <c r="O131" s="54">
        <f>(VLOOKUP($A131,'The List'!$B1:$AH665,27,FALSE)-AVERAGE('The List'!AB2:AB665))/STDEV('The List'!AB2:AB665)</f>
        <v>-1.2733018373002449</v>
      </c>
      <c r="P131" s="54">
        <f>(VLOOKUP($A131,'The List'!$B1:$AH665,28,FALSE)-AVERAGE('The List'!AC2:AC665))/STDEV('The List'!AC2:AC665)</f>
        <v>5.9952423379395076E-2</v>
      </c>
      <c r="Q131" s="54">
        <f>(VLOOKUP($A131,'The List'!$B1:$AH665,29,FALSE)-AVERAGE('The List'!AD2:AD665))/STDEV('The List'!AD2:AD665)</f>
        <v>-0.66143494105413503</v>
      </c>
      <c r="R131" s="54">
        <f>(VLOOKUP($A131,'The List'!$B1:$AH665,30,FALSE)-AVERAGE('The List'!AE2:AE665))/STDEV('The List'!AE2:AE665)</f>
        <v>0.29100693030594571</v>
      </c>
      <c r="S131" s="54">
        <f>(VLOOKUP($A131,'The List'!$B1:$AH665,31,FALSE)-AVERAGE('The List'!AF2:AF665))/STDEV('The List'!AF2:AF665)</f>
        <v>1.6199032883828333</v>
      </c>
      <c r="T131" s="54">
        <f>(VLOOKUP($A131,'The List'!$B1:$AH665,32,FALSE)-AVERAGE('The List'!AG2:AG665))/STDEV('The List'!AG2:AG665)</f>
        <v>2.0779079227981891</v>
      </c>
      <c r="U131" s="54">
        <f>(VLOOKUP($A131,'The List'!$B1:$AH665,33,FALSE)-AVERAGE('The List'!AH2:AH665))/STDEV('The List'!AH2:AH665)</f>
        <v>0.86849053948348398</v>
      </c>
      <c r="V131" s="54"/>
      <c r="W131" s="56"/>
      <c r="X131" s="54"/>
      <c r="Y131" s="54"/>
      <c r="Z131" s="54"/>
      <c r="AA131" s="54"/>
      <c r="AB131" s="54"/>
      <c r="AC131" s="54"/>
      <c r="AD131" s="54"/>
      <c r="AE131" s="54"/>
    </row>
    <row r="132" spans="1:31" ht="21.25" customHeight="1" x14ac:dyDescent="0.15">
      <c r="A132" s="9" t="s">
        <v>294</v>
      </c>
      <c r="B132" s="65" t="str">
        <f>VLOOKUP(A132,'Player Data'!A1:B667,2,FALSE)</f>
        <v>DAL</v>
      </c>
      <c r="C132" s="51">
        <f>((E132)*Settings!$C$12)+(F132*Settings!$C$2)+(G132*Settings!$C$3)+(H132*Settings!$C$4)+(I132*Settings!$C$5)+(K132*Settings!$C$9)+(N132*Settings!$C$6)+(J132*Settings!$C$8)+(O132*Settings!$C$7)+(P132*Settings!$C$14)+(Q132*Settings!$C$15)+(R132*Settings!$C$16)+(S132*Settings!$C$17)+(T132*Settings!$C$18)+(U132*Settings!$C$19)+(L132*Settings!$C$10)+(Settings!$C$11*M132)</f>
        <v>3.2584222978080772</v>
      </c>
      <c r="D132" s="56">
        <f>IF(Settings!$E$12="YES",VLOOKUP(A132,'Player Data'!A1:E667,5,FALSE),82)</f>
        <v>79.762500000000003</v>
      </c>
      <c r="E132" s="54">
        <f>(VLOOKUP($A132,'The List'!$B1:$AH665,17,FALSE)-AVERAGE('The List'!R2:R665))/STDEV('The List'!R2:R665)</f>
        <v>-0.17793829817844872</v>
      </c>
      <c r="F132" s="54">
        <f>(VLOOKUP($A132,'The List'!$B1:$AH665,18,FALSE)-AVERAGE('The List'!S2:S665))/STDEV('The List'!S2:S665)</f>
        <v>0.86612900678867544</v>
      </c>
      <c r="G132" s="54">
        <f>(VLOOKUP($A132,'The List'!$B1:$AH665,19,FALSE)-AVERAGE('The List'!T2:T665))/STDEV('The List'!T2:T665)</f>
        <v>0.71763854872322108</v>
      </c>
      <c r="H132" s="54">
        <f>(VLOOKUP($A132,'The List'!$B1:$AH665,20,FALSE)-AVERAGE('The List'!U2:U665))/STDEV('The List'!U2:U665)</f>
        <v>0.83939069422117607</v>
      </c>
      <c r="I132" s="54">
        <f>(VLOOKUP($A132,'The List'!$B1:$AH665,21,FALSE)-AVERAGE('The List'!V2:V665))/STDEV('The List'!V2:V665)</f>
        <v>0.54459913109291669</v>
      </c>
      <c r="J132" s="54">
        <f>(VLOOKUP($A132,'The List'!$B1:$AH665,22,FALSE)-AVERAGE('The List'!W2:W665))/STDEV('The List'!W2:W665)</f>
        <v>0.6434590710434146</v>
      </c>
      <c r="K132" s="54">
        <f>(VLOOKUP($A132,'The List'!$B1:$AH665,23,FALSE)-AVERAGE('The List'!X2:X665))/STDEV('The List'!X2:X665)</f>
        <v>0.42915646204471569</v>
      </c>
      <c r="L132" s="54">
        <f>(VLOOKUP($A132,'The List'!$B1:$AH665,24,FALSE)-AVERAGE('The List'!Y2:Y665))/STDEV('The List'!Y2:Y665)</f>
        <v>-0.46211445475472845</v>
      </c>
      <c r="M132" s="54">
        <f>(VLOOKUP($A132,'The List'!$B1:$AH665,25,FALSE)-AVERAGE('The List'!Z2:Z665))/STDEV('The List'!Z2:Z665)</f>
        <v>-0.6317650495349928</v>
      </c>
      <c r="N132" s="54">
        <f>(VLOOKUP($A132,'The List'!$B1:$AH665,26,FALSE)-AVERAGE('The List'!AA2:AA665))/STDEV('The List'!AA2:AA665)</f>
        <v>-0.57188508721183484</v>
      </c>
      <c r="O132" s="54">
        <f>(VLOOKUP($A132,'The List'!$B1:$AH665,27,FALSE)-AVERAGE('The List'!AB2:AB665))/STDEV('The List'!AB2:AB665)</f>
        <v>-1.210881158194768</v>
      </c>
      <c r="P132" s="54">
        <f>(VLOOKUP($A132,'The List'!$B1:$AH665,28,FALSE)-AVERAGE('The List'!AC2:AC665))/STDEV('The List'!AC2:AC665)</f>
        <v>1.2727842363703834</v>
      </c>
      <c r="Q132" s="54">
        <f>(VLOOKUP($A132,'The List'!$B1:$AH665,29,FALSE)-AVERAGE('The List'!AD2:AD665))/STDEV('The List'!AD2:AD665)</f>
        <v>-0.51117916563996901</v>
      </c>
      <c r="R132" s="54">
        <f>(VLOOKUP($A132,'The List'!$B1:$AH665,30,FALSE)-AVERAGE('The List'!AE2:AE665))/STDEV('The List'!AE2:AE665)</f>
        <v>0.98280662655332141</v>
      </c>
      <c r="S132" s="54">
        <f>(VLOOKUP($A132,'The List'!$B1:$AH665,31,FALSE)-AVERAGE('The List'!AF2:AF665))/STDEV('The List'!AF2:AF665)</f>
        <v>0.7372932909890989</v>
      </c>
      <c r="T132" s="54">
        <f>(VLOOKUP($A132,'The List'!$B1:$AH665,32,FALSE)-AVERAGE('The List'!AG2:AG665))/STDEV('The List'!AG2:AG665)</f>
        <v>0.52977732936163113</v>
      </c>
      <c r="U132" s="54">
        <f>(VLOOKUP($A132,'The List'!$B1:$AH665,33,FALSE)-AVERAGE('The List'!AH2:AH665))/STDEV('The List'!AH2:AH665)</f>
        <v>1.247590022130378</v>
      </c>
      <c r="V132" s="54"/>
      <c r="W132" s="56"/>
      <c r="X132" s="54"/>
      <c r="Y132" s="54"/>
      <c r="Z132" s="54"/>
      <c r="AA132" s="54"/>
      <c r="AB132" s="54"/>
      <c r="AC132" s="54"/>
      <c r="AD132" s="54"/>
      <c r="AE132" s="54"/>
    </row>
    <row r="133" spans="1:31" ht="21.25" customHeight="1" x14ac:dyDescent="0.15">
      <c r="A133" s="9" t="s">
        <v>367</v>
      </c>
      <c r="B133" s="65" t="str">
        <f>VLOOKUP(A133,'Player Data'!A1:B667,2,FALSE)</f>
        <v>S.J</v>
      </c>
      <c r="C133" s="51">
        <f>((E133)*Settings!$C$12)+(F133*Settings!$C$2)+(G133*Settings!$C$3)+(H133*Settings!$C$4)+(I133*Settings!$C$5)+(K133*Settings!$C$9)+(N133*Settings!$C$6)+(J133*Settings!$C$8)+(O133*Settings!$C$7)+(P133*Settings!$C$14)+(Q133*Settings!$C$15)+(R133*Settings!$C$16)+(S133*Settings!$C$17)+(T133*Settings!$C$18)+(U133*Settings!$C$19)+(L133*Settings!$C$10)+(Settings!$C$11*M133)</f>
        <v>-4.5481037456036155E-2</v>
      </c>
      <c r="D133" s="56">
        <f>IF(Settings!$E$12="YES",VLOOKUP(A133,'Player Data'!A1:E667,5,FALSE),82)</f>
        <v>68.040000000000006</v>
      </c>
      <c r="E133" s="54">
        <f>(VLOOKUP($A133,'The List'!$B1:$AH665,17,FALSE)-AVERAGE('The List'!R2:R665))/STDEV('The List'!R2:R665)</f>
        <v>0.3183467946349498</v>
      </c>
      <c r="F133" s="54">
        <f>(VLOOKUP($A133,'The List'!$B1:$AH665,18,FALSE)-AVERAGE('The List'!S2:S665))/STDEV('The List'!S2:S665)</f>
        <v>0.45685602184567126</v>
      </c>
      <c r="G133" s="54">
        <f>(VLOOKUP($A133,'The List'!$B1:$AH665,19,FALSE)-AVERAGE('The List'!T2:T665))/STDEV('The List'!T2:T665)</f>
        <v>0.41262586451157668</v>
      </c>
      <c r="H133" s="54">
        <f>(VLOOKUP($A133,'The List'!$B1:$AH665,20,FALSE)-AVERAGE('The List'!U2:U665))/STDEV('The List'!U2:U665)</f>
        <v>0.46392664107458537</v>
      </c>
      <c r="I133" s="54">
        <f>(VLOOKUP($A133,'The List'!$B1:$AH665,21,FALSE)-AVERAGE('The List'!V2:V665))/STDEV('The List'!V2:V665)</f>
        <v>0.36724871337464776</v>
      </c>
      <c r="J133" s="54">
        <f>(VLOOKUP($A133,'The List'!$B1:$AH665,22,FALSE)-AVERAGE('The List'!W2:W665))/STDEV('The List'!W2:W665)</f>
        <v>0.46728436540315549</v>
      </c>
      <c r="K133" s="54">
        <f>(VLOOKUP($A133,'The List'!$B1:$AH665,23,FALSE)-AVERAGE('The List'!X2:X665))/STDEV('The List'!X2:X665)</f>
        <v>0.75955607424280669</v>
      </c>
      <c r="L133" s="54">
        <f>(VLOOKUP($A133,'The List'!$B1:$AH665,24,FALSE)-AVERAGE('The List'!Y2:Y665))/STDEV('The List'!Y2:Y665)</f>
        <v>0.23743268072110768</v>
      </c>
      <c r="M133" s="54">
        <f>(VLOOKUP($A133,'The List'!$B1:$AH665,25,FALSE)-AVERAGE('The List'!Z2:Z665))/STDEV('The List'!Z2:Z665)</f>
        <v>-7.4362009973989757E-2</v>
      </c>
      <c r="N133" s="54">
        <f>(VLOOKUP($A133,'The List'!$B1:$AH665,26,FALSE)-AVERAGE('The List'!AA2:AA665))/STDEV('The List'!AA2:AA665)</f>
        <v>-0.37937667913280571</v>
      </c>
      <c r="O133" s="54">
        <f>(VLOOKUP($A133,'The List'!$B1:$AH665,27,FALSE)-AVERAGE('The List'!AB2:AB665))/STDEV('The List'!AB2:AB665)</f>
        <v>-4.0793065032584831E-3</v>
      </c>
      <c r="P133" s="54">
        <f>(VLOOKUP($A133,'The List'!$B1:$AH665,28,FALSE)-AVERAGE('The List'!AC2:AC665))/STDEV('The List'!AC2:AC665)</f>
        <v>-1.6623910322979329</v>
      </c>
      <c r="Q133" s="54">
        <f>(VLOOKUP($A133,'The List'!$B1:$AH665,29,FALSE)-AVERAGE('The List'!AD2:AD665))/STDEV('The List'!AD2:AD665)</f>
        <v>-0.89663395901090437</v>
      </c>
      <c r="R133" s="54">
        <f>(VLOOKUP($A133,'The List'!$B1:$AH665,30,FALSE)-AVERAGE('The List'!AE2:AE665))/STDEV('The List'!AE2:AE665)</f>
        <v>-4.758638102383269E-2</v>
      </c>
      <c r="S133" s="54">
        <f>(VLOOKUP($A133,'The List'!$B1:$AH665,31,FALSE)-AVERAGE('The List'!AF2:AF665))/STDEV('The List'!AF2:AF665)</f>
        <v>1.8785330678300027</v>
      </c>
      <c r="T133" s="54">
        <f>(VLOOKUP($A133,'The List'!$B1:$AH665,32,FALSE)-AVERAGE('The List'!AG2:AG665))/STDEV('The List'!AG2:AG665)</f>
        <v>2.2065752078784007</v>
      </c>
      <c r="U133" s="54">
        <f>(VLOOKUP($A133,'The List'!$B1:$AH665,33,FALSE)-AVERAGE('The List'!AH2:AH665))/STDEV('The List'!AH2:AH665)</f>
        <v>0.94185016758713724</v>
      </c>
      <c r="V133" s="54"/>
      <c r="W133" s="64"/>
      <c r="X133" s="56"/>
      <c r="Y133" s="56"/>
      <c r="Z133" s="56"/>
      <c r="AA133" s="56"/>
      <c r="AB133" s="56"/>
      <c r="AC133" s="59"/>
      <c r="AD133" s="60"/>
      <c r="AE133" s="54"/>
    </row>
    <row r="134" spans="1:31" ht="21.25" customHeight="1" x14ac:dyDescent="0.15">
      <c r="A134" s="9" t="s">
        <v>231</v>
      </c>
      <c r="B134" s="65" t="str">
        <f>VLOOKUP(A134,'Player Data'!A1:B667,2,FALSE)</f>
        <v>PHI</v>
      </c>
      <c r="C134" s="51">
        <f>((E134)*Settings!$C$12)+(F134*Settings!$C$2)+(G134*Settings!$C$3)+(H134*Settings!$C$4)+(I134*Settings!$C$5)+(K134*Settings!$C$9)+(N134*Settings!$C$6)+(J134*Settings!$C$8)+(O134*Settings!$C$7)+(P134*Settings!$C$14)+(Q134*Settings!$C$15)+(R134*Settings!$C$16)+(S134*Settings!$C$17)+(T134*Settings!$C$18)+(U134*Settings!$C$19)+(L134*Settings!$C$10)+(Settings!$C$11*M134)</f>
        <v>3.1888434956215974</v>
      </c>
      <c r="D134" s="56">
        <f>IF(Settings!$E$12="YES",VLOOKUP(A134,'Player Data'!A1:E667,5,FALSE),82)</f>
        <v>78.732500000000002</v>
      </c>
      <c r="E134" s="54">
        <f>(VLOOKUP($A134,'The List'!$B1:$AH665,17,FALSE)-AVERAGE('The List'!R2:R665))/STDEV('The List'!R2:R665)</f>
        <v>0.16105928826511548</v>
      </c>
      <c r="F134" s="54">
        <f>(VLOOKUP($A134,'The List'!$B1:$AH665,18,FALSE)-AVERAGE('The List'!S2:S665))/STDEV('The List'!S2:S665)</f>
        <v>1.3802583995906033</v>
      </c>
      <c r="G134" s="54">
        <f>(VLOOKUP($A134,'The List'!$B1:$AH665,19,FALSE)-AVERAGE('The List'!T2:T665))/STDEV('The List'!T2:T665)</f>
        <v>0.2548126815093284</v>
      </c>
      <c r="H134" s="54">
        <f>(VLOOKUP($A134,'The List'!$B1:$AH665,20,FALSE)-AVERAGE('The List'!U2:U665))/STDEV('The List'!U2:U665)</f>
        <v>0.78564605441590885</v>
      </c>
      <c r="I134" s="54">
        <f>(VLOOKUP($A134,'The List'!$B1:$AH665,21,FALSE)-AVERAGE('The List'!V2:V665))/STDEV('The List'!V2:V665)</f>
        <v>2.2754300888729095</v>
      </c>
      <c r="J134" s="54">
        <f>(VLOOKUP($A134,'The List'!$B1:$AH665,22,FALSE)-AVERAGE('The List'!W2:W665))/STDEV('The List'!W2:W665)</f>
        <v>0.95563571195631658</v>
      </c>
      <c r="K134" s="54">
        <f>(VLOOKUP($A134,'The List'!$B1:$AH665,23,FALSE)-AVERAGE('The List'!X2:X665))/STDEV('The List'!X2:X665)</f>
        <v>0.3189639512342205</v>
      </c>
      <c r="L134" s="54">
        <f>(VLOOKUP($A134,'The List'!$B1:$AH665,24,FALSE)-AVERAGE('The List'!Y2:Y665))/STDEV('The List'!Y2:Y665)</f>
        <v>-0.56447233579599265</v>
      </c>
      <c r="M134" s="54">
        <f>(VLOOKUP($A134,'The List'!$B1:$AH665,25,FALSE)-AVERAGE('The List'!Z2:Z665))/STDEV('The List'!Z2:Z665)</f>
        <v>-0.73797387906806855</v>
      </c>
      <c r="N134" s="54">
        <f>(VLOOKUP($A134,'The List'!$B1:$AH665,26,FALSE)-AVERAGE('The List'!AA2:AA665))/STDEV('The List'!AA2:AA665)</f>
        <v>-0.31555351706080759</v>
      </c>
      <c r="O134" s="54">
        <f>(VLOOKUP($A134,'The List'!$B1:$AH665,27,FALSE)-AVERAGE('The List'!AB2:AB665))/STDEV('The List'!AB2:AB665)</f>
        <v>1.0022510184476499</v>
      </c>
      <c r="P134" s="54">
        <f>(VLOOKUP($A134,'The List'!$B1:$AH665,28,FALSE)-AVERAGE('The List'!AC2:AC665))/STDEV('The List'!AC2:AC665)</f>
        <v>-0.72506810852465686</v>
      </c>
      <c r="Q134" s="54">
        <f>(VLOOKUP($A134,'The List'!$B1:$AH665,29,FALSE)-AVERAGE('The List'!AD2:AD665))/STDEV('The List'!AD2:AD665)</f>
        <v>-1.0078325021253638</v>
      </c>
      <c r="R134" s="54">
        <f>(VLOOKUP($A134,'The List'!$B1:$AH665,30,FALSE)-AVERAGE('The List'!AE2:AE665))/STDEV('The List'!AE2:AE665)</f>
        <v>1.249805183807422</v>
      </c>
      <c r="S134" s="54">
        <f>(VLOOKUP($A134,'The List'!$B1:$AH665,31,FALSE)-AVERAGE('The List'!AF2:AF665))/STDEV('The List'!AF2:AF665)</f>
        <v>-0.45610954397951531</v>
      </c>
      <c r="T134" s="54">
        <f>(VLOOKUP($A134,'The List'!$B1:$AH665,32,FALSE)-AVERAGE('The List'!AG2:AG665))/STDEV('The List'!AG2:AG665)</f>
        <v>-0.49856806939811821</v>
      </c>
      <c r="U134" s="54">
        <f>(VLOOKUP($A134,'The List'!$B1:$AH665,33,FALSE)-AVERAGE('The List'!AH2:AH665))/STDEV('The List'!AH2:AH665)</f>
        <v>1.0178453178767723</v>
      </c>
      <c r="V134" s="54"/>
      <c r="W134" s="64"/>
      <c r="X134" s="56"/>
      <c r="Y134" s="56"/>
      <c r="Z134" s="56"/>
      <c r="AA134" s="56"/>
      <c r="AB134" s="56"/>
      <c r="AC134" s="59"/>
      <c r="AD134" s="60"/>
      <c r="AE134" s="54"/>
    </row>
    <row r="135" spans="1:31" ht="21.25" customHeight="1" x14ac:dyDescent="0.15">
      <c r="A135" s="9" t="s">
        <v>286</v>
      </c>
      <c r="B135" s="65" t="str">
        <f>VLOOKUP(A135,'Player Data'!A1:B667,2,FALSE)</f>
        <v>DAL</v>
      </c>
      <c r="C135" s="51">
        <f>((E135)*Settings!$C$12)+(F135*Settings!$C$2)+(G135*Settings!$C$3)+(H135*Settings!$C$4)+(I135*Settings!$C$5)+(K135*Settings!$C$9)+(N135*Settings!$C$6)+(J135*Settings!$C$8)+(O135*Settings!$C$7)+(P135*Settings!$C$14)+(Q135*Settings!$C$15)+(R135*Settings!$C$16)+(S135*Settings!$C$17)+(T135*Settings!$C$18)+(U135*Settings!$C$19)+(L135*Settings!$C$10)+(Settings!$C$11*M135)</f>
        <v>4.3005870489617699</v>
      </c>
      <c r="D135" s="56">
        <f>IF(Settings!$E$12="YES",VLOOKUP(A135,'Player Data'!A1:E667,5,FALSE),82)</f>
        <v>82.03</v>
      </c>
      <c r="E135" s="54">
        <f>(VLOOKUP($A135,'The List'!$B1:$AH665,17,FALSE)-AVERAGE('The List'!R2:R665))/STDEV('The List'!R2:R665)</f>
        <v>-0.32187410376978243</v>
      </c>
      <c r="F135" s="54">
        <f>(VLOOKUP($A135,'The List'!$B1:$AH665,18,FALSE)-AVERAGE('The List'!S2:S665))/STDEV('The List'!S2:S665)</f>
        <v>0.76488185164745048</v>
      </c>
      <c r="G135" s="54">
        <f>(VLOOKUP($A135,'The List'!$B1:$AH665,19,FALSE)-AVERAGE('The List'!T2:T665))/STDEV('The List'!T2:T665)</f>
        <v>0.86258240039120515</v>
      </c>
      <c r="H135" s="54">
        <f>(VLOOKUP($A135,'The List'!$B1:$AH665,20,FALSE)-AVERAGE('The List'!U2:U665))/STDEV('The List'!U2:U665)</f>
        <v>0.88338733135113079</v>
      </c>
      <c r="I135" s="54">
        <f>(VLOOKUP($A135,'The List'!$B1:$AH665,21,FALSE)-AVERAGE('The List'!V2:V665))/STDEV('The List'!V2:V665)</f>
        <v>0.59163324862232347</v>
      </c>
      <c r="J135" s="54">
        <f>(VLOOKUP($A135,'The List'!$B1:$AH665,22,FALSE)-AVERAGE('The List'!W2:W665))/STDEV('The List'!W2:W665)</f>
        <v>1.1284267245364601</v>
      </c>
      <c r="K135" s="54">
        <f>(VLOOKUP($A135,'The List'!$B1:$AH665,23,FALSE)-AVERAGE('The List'!X2:X665))/STDEV('The List'!X2:X665)</f>
        <v>1.1681417103325107</v>
      </c>
      <c r="L135" s="54">
        <f>(VLOOKUP($A135,'The List'!$B1:$AH665,24,FALSE)-AVERAGE('The List'!Y2:Y665))/STDEV('The List'!Y2:Y665)</f>
        <v>1.5327161265793112</v>
      </c>
      <c r="M135" s="54">
        <f>(VLOOKUP($A135,'The List'!$B1:$AH665,25,FALSE)-AVERAGE('The List'!Z2:Z665))/STDEV('The List'!Z2:Z665)</f>
        <v>1.8747332131787262</v>
      </c>
      <c r="N135" s="54">
        <f>(VLOOKUP($A135,'The List'!$B1:$AH665,26,FALSE)-AVERAGE('The List'!AA2:AA665))/STDEV('The List'!AA2:AA665)</f>
        <v>-0.42407174348415155</v>
      </c>
      <c r="O135" s="54">
        <f>(VLOOKUP($A135,'The List'!$B1:$AH665,27,FALSE)-AVERAGE('The List'!AB2:AB665))/STDEV('The List'!AB2:AB665)</f>
        <v>0.35161101194896643</v>
      </c>
      <c r="P135" s="54">
        <f>(VLOOKUP($A135,'The List'!$B1:$AH665,28,FALSE)-AVERAGE('The List'!AC2:AC665))/STDEV('The List'!AC2:AC665)</f>
        <v>1.3374195814524321</v>
      </c>
      <c r="Q135" s="54">
        <f>(VLOOKUP($A135,'The List'!$B1:$AH665,29,FALSE)-AVERAGE('The List'!AD2:AD665))/STDEV('The List'!AD2:AD665)</f>
        <v>1.0072141915484751</v>
      </c>
      <c r="R135" s="54">
        <f>(VLOOKUP($A135,'The List'!$B1:$AH665,30,FALSE)-AVERAGE('The List'!AE2:AE665))/STDEV('The List'!AE2:AE665)</f>
        <v>0.87887973514437367</v>
      </c>
      <c r="S135" s="54">
        <f>(VLOOKUP($A135,'The List'!$B1:$AH665,31,FALSE)-AVERAGE('The List'!AF2:AF665))/STDEV('The List'!AF2:AF665)</f>
        <v>1.6371121937481257</v>
      </c>
      <c r="T135" s="54">
        <f>(VLOOKUP($A135,'The List'!$B1:$AH665,32,FALSE)-AVERAGE('The List'!AG2:AG665))/STDEV('The List'!AG2:AG665)</f>
        <v>0.9850346757839189</v>
      </c>
      <c r="U135" s="54">
        <f>(VLOOKUP($A135,'The List'!$B1:$AH665,33,FALSE)-AVERAGE('The List'!AH2:AH665))/STDEV('The List'!AH2:AH665)</f>
        <v>1.4588932474165768</v>
      </c>
      <c r="V135" s="54"/>
      <c r="W135" s="56"/>
      <c r="X135" s="54"/>
      <c r="Y135" s="54"/>
      <c r="Z135" s="54"/>
      <c r="AA135" s="54"/>
      <c r="AB135" s="54"/>
      <c r="AC135" s="54"/>
      <c r="AD135" s="54"/>
      <c r="AE135" s="54"/>
    </row>
    <row r="136" spans="1:31" ht="21.25" customHeight="1" x14ac:dyDescent="0.15">
      <c r="A136" s="9" t="s">
        <v>261</v>
      </c>
      <c r="B136" s="65" t="str">
        <f>VLOOKUP(A136,'Player Data'!A1:B667,2,FALSE)</f>
        <v>S.J</v>
      </c>
      <c r="C136" s="51">
        <f>((E136)*Settings!$C$12)+(F136*Settings!$C$2)+(G136*Settings!$C$3)+(H136*Settings!$C$4)+(I136*Settings!$C$5)+(K136*Settings!$C$9)+(N136*Settings!$C$6)+(J136*Settings!$C$8)+(O136*Settings!$C$7)+(P136*Settings!$C$14)+(Q136*Settings!$C$15)+(R136*Settings!$C$16)+(S136*Settings!$C$17)+(T136*Settings!$C$18)+(U136*Settings!$C$19)+(L136*Settings!$C$10)+(Settings!$C$11*M136)</f>
        <v>3.419993548211687</v>
      </c>
      <c r="D136" s="56">
        <f>IF(Settings!$E$12="YES",VLOOKUP(A136,'Player Data'!A1:E667,5,FALSE),82)</f>
        <v>80.697500000000005</v>
      </c>
      <c r="E136" s="54">
        <f>(VLOOKUP($A136,'The List'!$B1:$AH665,17,FALSE)-AVERAGE('The List'!R2:R665))/STDEV('The List'!R2:R665)</f>
        <v>0.10029511760008866</v>
      </c>
      <c r="F136" s="54">
        <f>(VLOOKUP($A136,'The List'!$B1:$AH665,18,FALSE)-AVERAGE('The List'!S2:S665))/STDEV('The List'!S2:S665)</f>
        <v>1.4217534795423428</v>
      </c>
      <c r="G136" s="54">
        <f>(VLOOKUP($A136,'The List'!$B1:$AH665,19,FALSE)-AVERAGE('The List'!T2:T665))/STDEV('The List'!T2:T665)</f>
        <v>0.28633672225092865</v>
      </c>
      <c r="H136" s="54">
        <f>(VLOOKUP($A136,'The List'!$B1:$AH665,20,FALSE)-AVERAGE('The List'!U2:U665))/STDEV('The List'!U2:U665)</f>
        <v>0.82408574251134237</v>
      </c>
      <c r="I136" s="54">
        <f>(VLOOKUP($A136,'The List'!$B1:$AH665,21,FALSE)-AVERAGE('The List'!V2:V665))/STDEV('The List'!V2:V665)</f>
        <v>1.7053832591322786</v>
      </c>
      <c r="J136" s="54">
        <f>(VLOOKUP($A136,'The List'!$B1:$AH665,22,FALSE)-AVERAGE('The List'!W2:W665))/STDEV('The List'!W2:W665)</f>
        <v>1.6063153593726995</v>
      </c>
      <c r="K136" s="54">
        <f>(VLOOKUP($A136,'The List'!$B1:$AH665,23,FALSE)-AVERAGE('The List'!X2:X665))/STDEV('The List'!X2:X665)</f>
        <v>1.0248869701123766</v>
      </c>
      <c r="L136" s="54">
        <f>(VLOOKUP($A136,'The List'!$B1:$AH665,24,FALSE)-AVERAGE('The List'!Y2:Y665))/STDEV('The List'!Y2:Y665)</f>
        <v>-0.56990141646346626</v>
      </c>
      <c r="M136" s="54">
        <f>(VLOOKUP($A136,'The List'!$B1:$AH665,25,FALSE)-AVERAGE('The List'!Z2:Z665))/STDEV('The List'!Z2:Z665)</f>
        <v>-0.74233493317535892</v>
      </c>
      <c r="N136" s="54">
        <f>(VLOOKUP($A136,'The List'!$B1:$AH665,26,FALSE)-AVERAGE('The List'!AA2:AA665))/STDEV('The List'!AA2:AA665)</f>
        <v>-1.1551726393164343</v>
      </c>
      <c r="O136" s="54">
        <f>(VLOOKUP($A136,'The List'!$B1:$AH665,27,FALSE)-AVERAGE('The List'!AB2:AB665))/STDEV('The List'!AB2:AB665)</f>
        <v>-0.33791036322125684</v>
      </c>
      <c r="P136" s="54">
        <f>(VLOOKUP($A136,'The List'!$B1:$AH665,28,FALSE)-AVERAGE('The List'!AC2:AC665))/STDEV('The List'!AC2:AC665)</f>
        <v>0.13680575649019461</v>
      </c>
      <c r="Q136" s="54">
        <f>(VLOOKUP($A136,'The List'!$B1:$AH665,29,FALSE)-AVERAGE('The List'!AD2:AD665))/STDEV('The List'!AD2:AD665)</f>
        <v>-0.733802678202639</v>
      </c>
      <c r="R136" s="54">
        <f>(VLOOKUP($A136,'The List'!$B1:$AH665,30,FALSE)-AVERAGE('The List'!AE2:AE665))/STDEV('The List'!AE2:AE665)</f>
        <v>0.61392817516181397</v>
      </c>
      <c r="S136" s="54">
        <f>(VLOOKUP($A136,'The List'!$B1:$AH665,31,FALSE)-AVERAGE('The List'!AF2:AF665))/STDEV('The List'!AF2:AF665)</f>
        <v>-0.43361465779309816</v>
      </c>
      <c r="T136" s="54">
        <f>(VLOOKUP($A136,'The List'!$B1:$AH665,32,FALSE)-AVERAGE('The List'!AG2:AG665))/STDEV('The List'!AG2:AG665)</f>
        <v>-0.46778310566164866</v>
      </c>
      <c r="U136" s="54">
        <f>(VLOOKUP($A136,'The List'!$B1:$AH665,33,FALSE)-AVERAGE('The List'!AH2:AH665))/STDEV('The List'!AH2:AH665)</f>
        <v>0.97031517531655842</v>
      </c>
      <c r="V136" s="54"/>
      <c r="W136" s="64"/>
      <c r="X136" s="56"/>
      <c r="Y136" s="56"/>
      <c r="Z136" s="56"/>
      <c r="AA136" s="56"/>
      <c r="AB136" s="56"/>
      <c r="AC136" s="59"/>
      <c r="AD136" s="60"/>
      <c r="AE136" s="54"/>
    </row>
    <row r="137" spans="1:31" ht="21.25" customHeight="1" x14ac:dyDescent="0.15">
      <c r="A137" s="9" t="s">
        <v>250</v>
      </c>
      <c r="B137" s="65" t="str">
        <f>VLOOKUP(A137,'Player Data'!A1:B667,2,FALSE)</f>
        <v>SEA</v>
      </c>
      <c r="C137" s="51">
        <f>((E137)*Settings!$C$12)+(F137*Settings!$C$2)+(G137*Settings!$C$3)+(H137*Settings!$C$4)+(I137*Settings!$C$5)+(K137*Settings!$C$9)+(N137*Settings!$C$6)+(J137*Settings!$C$8)+(O137*Settings!$C$7)+(P137*Settings!$C$14)+(Q137*Settings!$C$15)+(R137*Settings!$C$16)+(S137*Settings!$C$17)+(T137*Settings!$C$18)+(U137*Settings!$C$19)+(L137*Settings!$C$10)+(Settings!$C$11*M137)</f>
        <v>2.7883350683000572</v>
      </c>
      <c r="D137" s="56">
        <f>IF(Settings!$E$12="YES",VLOOKUP(A137,'Player Data'!A1:E667,5,FALSE),82)</f>
        <v>76.91</v>
      </c>
      <c r="E137" s="54">
        <f>(VLOOKUP($A137,'The List'!$B1:$AH665,17,FALSE)-AVERAGE('The List'!R2:R665))/STDEV('The List'!R2:R665)</f>
        <v>1.5892785355868317</v>
      </c>
      <c r="F137" s="54">
        <f>(VLOOKUP($A137,'The List'!$B1:$AH665,18,FALSE)-AVERAGE('The List'!S2:S665))/STDEV('The List'!S2:S665)</f>
        <v>-0.16870014157440838</v>
      </c>
      <c r="G137" s="54">
        <f>(VLOOKUP($A137,'The List'!$B1:$AH665,19,FALSE)-AVERAGE('The List'!T2:T665))/STDEV('The List'!T2:T665)</f>
        <v>1.2604666900928658</v>
      </c>
      <c r="H137" s="54">
        <f>(VLOOKUP($A137,'The List'!$B1:$AH665,20,FALSE)-AVERAGE('The List'!U2:U665))/STDEV('The List'!U2:U665)</f>
        <v>0.70613845490547855</v>
      </c>
      <c r="I137" s="54">
        <f>(VLOOKUP($A137,'The List'!$B1:$AH665,21,FALSE)-AVERAGE('The List'!V2:V665))/STDEV('The List'!V2:V665)</f>
        <v>0.22089270466929811</v>
      </c>
      <c r="J137" s="54">
        <f>(VLOOKUP($A137,'The List'!$B1:$AH665,22,FALSE)-AVERAGE('The List'!W2:W665))/STDEV('The List'!W2:W665)</f>
        <v>-0.13759794386212956</v>
      </c>
      <c r="K137" s="54">
        <f>(VLOOKUP($A137,'The List'!$B1:$AH665,23,FALSE)-AVERAGE('The List'!X2:X665))/STDEV('The List'!X2:X665)</f>
        <v>0.65307956901323938</v>
      </c>
      <c r="L137" s="54">
        <f>(VLOOKUP($A137,'The List'!$B1:$AH665,24,FALSE)-AVERAGE('The List'!Y2:Y665))/STDEV('The List'!Y2:Y665)</f>
        <v>-0.56672022062628646</v>
      </c>
      <c r="M137" s="54">
        <f>(VLOOKUP($A137,'The List'!$B1:$AH665,25,FALSE)-AVERAGE('The List'!Z2:Z665))/STDEV('The List'!Z2:Z665)</f>
        <v>-0.56322670510958905</v>
      </c>
      <c r="N137" s="54">
        <f>(VLOOKUP($A137,'The List'!$B1:$AH665,26,FALSE)-AVERAGE('The List'!AA2:AA665))/STDEV('The List'!AA2:AA665)</f>
        <v>0.54204629779118074</v>
      </c>
      <c r="O137" s="54">
        <f>(VLOOKUP($A137,'The List'!$B1:$AH665,27,FALSE)-AVERAGE('The List'!AB2:AB665))/STDEV('The List'!AB2:AB665)</f>
        <v>-0.39887962599824273</v>
      </c>
      <c r="P137" s="54">
        <f>(VLOOKUP($A137,'The List'!$B1:$AH665,28,FALSE)-AVERAGE('The List'!AC2:AC665))/STDEV('The List'!AC2:AC665)</f>
        <v>0.28054994830788138</v>
      </c>
      <c r="Q137" s="54">
        <f>(VLOOKUP($A137,'The List'!$B1:$AH665,29,FALSE)-AVERAGE('The List'!AD2:AD665))/STDEV('The List'!AD2:AD665)</f>
        <v>1.7619655351737049</v>
      </c>
      <c r="R137" s="54">
        <f>(VLOOKUP($A137,'The List'!$B1:$AH665,30,FALSE)-AVERAGE('The List'!AE2:AE665))/STDEV('The List'!AE2:AE665)</f>
        <v>-0.13975132932671466</v>
      </c>
      <c r="S137" s="54">
        <f>(VLOOKUP($A137,'The List'!$B1:$AH665,31,FALSE)-AVERAGE('The List'!AF2:AF665))/STDEV('The List'!AF2:AF665)</f>
        <v>-0.57389441068000469</v>
      </c>
      <c r="T137" s="54">
        <f>(VLOOKUP($A137,'The List'!$B1:$AH665,32,FALSE)-AVERAGE('The List'!AG2:AG665))/STDEV('The List'!AG2:AG665)</f>
        <v>-0.62577078713265111</v>
      </c>
      <c r="U137" s="54">
        <f>(VLOOKUP($A137,'The List'!$B1:$AH665,33,FALSE)-AVERAGE('The List'!AH2:AH665))/STDEV('The List'!AH2:AH665)</f>
        <v>-1.2314350945148611</v>
      </c>
      <c r="V137" s="54"/>
      <c r="W137" s="64"/>
      <c r="X137" s="56"/>
      <c r="Y137" s="56"/>
      <c r="Z137" s="56"/>
      <c r="AA137" s="56"/>
      <c r="AB137" s="56"/>
      <c r="AC137" s="59"/>
      <c r="AD137" s="60"/>
      <c r="AE137" s="54"/>
    </row>
    <row r="138" spans="1:31" ht="21.25" customHeight="1" x14ac:dyDescent="0.15">
      <c r="A138" s="9" t="s">
        <v>681</v>
      </c>
      <c r="B138" s="65" t="str">
        <f>VLOOKUP(A138,'Player Data'!A1:B667,2,FALSE)</f>
        <v>COL</v>
      </c>
      <c r="C138" s="51">
        <f>((E138)*Settings!$C$12)+(F138*Settings!$C$2)+(G138*Settings!$C$3)+(H138*Settings!$C$4)+(I138*Settings!$C$5)+(K138*Settings!$C$9)+(N138*Settings!$C$6)+(J138*Settings!$C$8)+(O138*Settings!$C$7)+(P138*Settings!$C$14)+(Q138*Settings!$C$15)+(R138*Settings!$C$16)+(S138*Settings!$C$17)+(T138*Settings!$C$18)+(U138*Settings!$C$19)+(L138*Settings!$C$10)+(Settings!$C$11*M138)</f>
        <v>-2.9778723321068439</v>
      </c>
      <c r="D138" s="56">
        <f>IF(Settings!$E$12="YES",VLOOKUP(A138,'Player Data'!A1:E667,5,FALSE),82)</f>
        <v>41</v>
      </c>
      <c r="E138" s="54">
        <f>(VLOOKUP($A138,'The List'!$B1:$AH665,17,FALSE)-AVERAGE('The List'!R2:R665))/STDEV('The List'!R2:R665)</f>
        <v>-0.28838875954308618</v>
      </c>
      <c r="F138" s="54">
        <f>(VLOOKUP($A138,'The List'!$B1:$AH665,18,FALSE)-AVERAGE('The List'!S2:S665))/STDEV('The List'!S2:S665)</f>
        <v>-4.5250851122127268E-2</v>
      </c>
      <c r="G138" s="54">
        <f>(VLOOKUP($A138,'The List'!$B1:$AH665,19,FALSE)-AVERAGE('The List'!T2:T665))/STDEV('The List'!T2:T665)</f>
        <v>-0.61817674261613575</v>
      </c>
      <c r="H138" s="54">
        <f>(VLOOKUP($A138,'The List'!$B1:$AH665,20,FALSE)-AVERAGE('The List'!U2:U665))/STDEV('The List'!U2:U665)</f>
        <v>-0.40449117885761332</v>
      </c>
      <c r="I138" s="54">
        <f>(VLOOKUP($A138,'The List'!$B1:$AH665,21,FALSE)-AVERAGE('The List'!V2:V665))/STDEV('The List'!V2:V665)</f>
        <v>-0.79554330455223243</v>
      </c>
      <c r="J138" s="54">
        <f>(VLOOKUP($A138,'The List'!$B1:$AH665,22,FALSE)-AVERAGE('The List'!W2:W665))/STDEV('The List'!W2:W665)</f>
        <v>-0.28648294489127907</v>
      </c>
      <c r="K138" s="54">
        <f>(VLOOKUP($A138,'The List'!$B1:$AH665,23,FALSE)-AVERAGE('The List'!X2:X665))/STDEV('The List'!X2:X665)</f>
        <v>-0.43025530359596004</v>
      </c>
      <c r="L138" s="54">
        <f>(VLOOKUP($A138,'The List'!$B1:$AH665,24,FALSE)-AVERAGE('The List'!Y2:Y665))/STDEV('The List'!Y2:Y665)</f>
        <v>-0.5801829139020841</v>
      </c>
      <c r="M138" s="54">
        <f>(VLOOKUP($A138,'The List'!$B1:$AH665,25,FALSE)-AVERAGE('The List'!Z2:Z665))/STDEV('The List'!Z2:Z665)</f>
        <v>-0.75403666498999722</v>
      </c>
      <c r="N138" s="54">
        <f>(VLOOKUP($A138,'The List'!$B1:$AH665,26,FALSE)-AVERAGE('The List'!AA2:AA665))/STDEV('The List'!AA2:AA665)</f>
        <v>-1.0607634293267962</v>
      </c>
      <c r="O138" s="54">
        <f>(VLOOKUP($A138,'The List'!$B1:$AH665,27,FALSE)-AVERAGE('The List'!AB2:AB665))/STDEV('The List'!AB2:AB665)</f>
        <v>-0.95309065563567741</v>
      </c>
      <c r="P138" s="54">
        <f>(VLOOKUP($A138,'The List'!$B1:$AH665,28,FALSE)-AVERAGE('The List'!AC2:AC665))/STDEV('The List'!AC2:AC665)</f>
        <v>-2.7882700893592141E-2</v>
      </c>
      <c r="Q138" s="54">
        <f>(VLOOKUP($A138,'The List'!$B1:$AH665,29,FALSE)-AVERAGE('The List'!AD2:AD665))/STDEV('The List'!AD2:AD665)</f>
        <v>-0.3724883083645707</v>
      </c>
      <c r="R138" s="54">
        <f>(VLOOKUP($A138,'The List'!$B1:$AH665,30,FALSE)-AVERAGE('The List'!AE2:AE665))/STDEV('The List'!AE2:AE665)</f>
        <v>-3.9580375356587864E-2</v>
      </c>
      <c r="S138" s="54">
        <f>(VLOOKUP($A138,'The List'!$B1:$AH665,31,FALSE)-AVERAGE('The List'!AF2:AF665))/STDEV('The List'!AF2:AF665)</f>
        <v>0.1534393282584971</v>
      </c>
      <c r="T138" s="54">
        <f>(VLOOKUP($A138,'The List'!$B1:$AH665,32,FALSE)-AVERAGE('The List'!AG2:AG665))/STDEV('The List'!AG2:AG665)</f>
        <v>9.8212719067810057E-3</v>
      </c>
      <c r="U138" s="54">
        <f>(VLOOKUP($A138,'The List'!$B1:$AH665,33,FALSE)-AVERAGE('The List'!AH2:AH665))/STDEV('The List'!AH2:AH665)</f>
        <v>1.257100476079634</v>
      </c>
      <c r="V138" s="54"/>
      <c r="W138" s="56"/>
      <c r="X138" s="54"/>
      <c r="Y138" s="54"/>
      <c r="Z138" s="54"/>
      <c r="AA138" s="54"/>
      <c r="AB138" s="54"/>
      <c r="AC138" s="54"/>
      <c r="AD138" s="54"/>
      <c r="AE138" s="54"/>
    </row>
    <row r="139" spans="1:31" ht="21.25" customHeight="1" x14ac:dyDescent="0.15">
      <c r="A139" s="9" t="s">
        <v>377</v>
      </c>
      <c r="B139" s="65" t="str">
        <f>VLOOKUP(A139,'Player Data'!A1:B667,2,FALSE)</f>
        <v>COL</v>
      </c>
      <c r="C139" s="51">
        <f>((E139)*Settings!$C$12)+(F139*Settings!$C$2)+(G139*Settings!$C$3)+(H139*Settings!$C$4)+(I139*Settings!$C$5)+(K139*Settings!$C$9)+(N139*Settings!$C$6)+(J139*Settings!$C$8)+(O139*Settings!$C$7)+(P139*Settings!$C$14)+(Q139*Settings!$C$15)+(R139*Settings!$C$16)+(S139*Settings!$C$17)+(T139*Settings!$C$18)+(U139*Settings!$C$19)+(L139*Settings!$C$10)+(Settings!$C$11*M139)</f>
        <v>1.0581369274314361</v>
      </c>
      <c r="D139" s="56">
        <f>IF(Settings!$E$12="YES",VLOOKUP(A139,'Player Data'!A1:E667,5,FALSE),82)</f>
        <v>73.397499999999994</v>
      </c>
      <c r="E139" s="54">
        <f>(VLOOKUP($A139,'The List'!$B1:$AH665,17,FALSE)-AVERAGE('The List'!R2:R665))/STDEV('The List'!R2:R665)</f>
        <v>3.724469279568856E-2</v>
      </c>
      <c r="F139" s="54">
        <f>(VLOOKUP($A139,'The List'!$B1:$AH665,18,FALSE)-AVERAGE('The List'!S2:S665))/STDEV('The List'!S2:S665)</f>
        <v>0.17001169995956056</v>
      </c>
      <c r="G139" s="54">
        <f>(VLOOKUP($A139,'The List'!$B1:$AH665,19,FALSE)-AVERAGE('The List'!T2:T665))/STDEV('The List'!T2:T665)</f>
        <v>0.97508064254044258</v>
      </c>
      <c r="H139" s="54">
        <f>(VLOOKUP($A139,'The List'!$B1:$AH665,20,FALSE)-AVERAGE('The List'!U2:U665))/STDEV('The List'!U2:U665)</f>
        <v>0.68285830489958554</v>
      </c>
      <c r="I139" s="54">
        <f>(VLOOKUP($A139,'The List'!$B1:$AH665,21,FALSE)-AVERAGE('The List'!V2:V665))/STDEV('The List'!V2:V665)</f>
        <v>-0.25020764946230978</v>
      </c>
      <c r="J139" s="54">
        <f>(VLOOKUP($A139,'The List'!$B1:$AH665,22,FALSE)-AVERAGE('The List'!W2:W665))/STDEV('The List'!W2:W665)</f>
        <v>0.26225039707940367</v>
      </c>
      <c r="K139" s="54">
        <f>(VLOOKUP($A139,'The List'!$B1:$AH665,23,FALSE)-AVERAGE('The List'!X2:X665))/STDEV('The List'!X2:X665)</f>
        <v>0.86567430966014536</v>
      </c>
      <c r="L139" s="54">
        <f>(VLOOKUP($A139,'The List'!$B1:$AH665,24,FALSE)-AVERAGE('The List'!Y2:Y665))/STDEV('The List'!Y2:Y665)</f>
        <v>-0.57491813572653105</v>
      </c>
      <c r="M139" s="54">
        <f>(VLOOKUP($A139,'The List'!$B1:$AH665,25,FALSE)-AVERAGE('The List'!Z2:Z665))/STDEV('The List'!Z2:Z665)</f>
        <v>-0.74852833831720611</v>
      </c>
      <c r="N139" s="54">
        <f>(VLOOKUP($A139,'The List'!$B1:$AH665,26,FALSE)-AVERAGE('The List'!AA2:AA665))/STDEV('The List'!AA2:AA665)</f>
        <v>-0.82659491390094231</v>
      </c>
      <c r="O139" s="54">
        <f>(VLOOKUP($A139,'The List'!$B1:$AH665,27,FALSE)-AVERAGE('The List'!AB2:AB665))/STDEV('The List'!AB2:AB665)</f>
        <v>-1.0485626628861733</v>
      </c>
      <c r="P139" s="54">
        <f>(VLOOKUP($A139,'The List'!$B1:$AH665,28,FALSE)-AVERAGE('The List'!AC2:AC665))/STDEV('The List'!AC2:AC665)</f>
        <v>0.12417283863453966</v>
      </c>
      <c r="Q139" s="54">
        <f>(VLOOKUP($A139,'The List'!$B1:$AH665,29,FALSE)-AVERAGE('The List'!AD2:AD665))/STDEV('The List'!AD2:AD665)</f>
        <v>-0.32244137223309888</v>
      </c>
      <c r="R139" s="54">
        <f>(VLOOKUP($A139,'The List'!$B1:$AH665,30,FALSE)-AVERAGE('The List'!AE2:AE665))/STDEV('The List'!AE2:AE665)</f>
        <v>0.16686058525475739</v>
      </c>
      <c r="S139" s="54">
        <f>(VLOOKUP($A139,'The List'!$B1:$AH665,31,FALSE)-AVERAGE('The List'!AF2:AF665))/STDEV('The List'!AF2:AF665)</f>
        <v>-0.27329482335493382</v>
      </c>
      <c r="T139" s="54">
        <f>(VLOOKUP($A139,'The List'!$B1:$AH665,32,FALSE)-AVERAGE('The List'!AG2:AG665))/STDEV('The List'!AG2:AG665)</f>
        <v>-0.29360577904894303</v>
      </c>
      <c r="U139" s="54">
        <f>(VLOOKUP($A139,'The List'!$B1:$AH665,33,FALSE)-AVERAGE('The List'!AH2:AH665))/STDEV('The List'!AH2:AH665)</f>
        <v>0.99186386538818805</v>
      </c>
      <c r="V139" s="54"/>
      <c r="W139" s="56"/>
      <c r="X139" s="54"/>
      <c r="Y139" s="54"/>
      <c r="Z139" s="54"/>
      <c r="AA139" s="54"/>
      <c r="AB139" s="54"/>
      <c r="AC139" s="54"/>
      <c r="AD139" s="54"/>
      <c r="AE139" s="54"/>
    </row>
    <row r="140" spans="1:31" ht="21.25" customHeight="1" x14ac:dyDescent="0.15">
      <c r="A140" s="9" t="s">
        <v>289</v>
      </c>
      <c r="B140" s="65" t="str">
        <f>VLOOKUP(A140,'Player Data'!A1:B667,2,FALSE)</f>
        <v>MIN</v>
      </c>
      <c r="C140" s="51">
        <f>((E140)*Settings!$C$12)+(F140*Settings!$C$2)+(G140*Settings!$C$3)+(H140*Settings!$C$4)+(I140*Settings!$C$5)+(K140*Settings!$C$9)+(N140*Settings!$C$6)+(J140*Settings!$C$8)+(O140*Settings!$C$7)+(P140*Settings!$C$14)+(Q140*Settings!$C$15)+(R140*Settings!$C$16)+(S140*Settings!$C$17)+(T140*Settings!$C$18)+(U140*Settings!$C$19)+(L140*Settings!$C$10)+(Settings!$C$11*M140)</f>
        <v>2.6542178331785822</v>
      </c>
      <c r="D140" s="56">
        <f>IF(Settings!$E$12="YES",VLOOKUP(A140,'Player Data'!A1:E667,5,FALSE),82)</f>
        <v>77.972499999999997</v>
      </c>
      <c r="E140" s="54">
        <f>(VLOOKUP($A140,'The List'!$B1:$AH665,17,FALSE)-AVERAGE('The List'!R2:R665))/STDEV('The List'!R2:R665)</f>
        <v>1.0093141044654703E-2</v>
      </c>
      <c r="F140" s="54">
        <f>(VLOOKUP($A140,'The List'!$B1:$AH665,18,FALSE)-AVERAGE('The List'!S2:S665))/STDEV('The List'!S2:S665)</f>
        <v>-1.8310865003176986E-2</v>
      </c>
      <c r="G140" s="54">
        <f>(VLOOKUP($A140,'The List'!$B1:$AH665,19,FALSE)-AVERAGE('The List'!T2:T665))/STDEV('The List'!T2:T665)</f>
        <v>1.1359972923535036</v>
      </c>
      <c r="H140" s="54">
        <f>(VLOOKUP($A140,'The List'!$B1:$AH665,20,FALSE)-AVERAGE('The List'!U2:U665))/STDEV('The List'!U2:U665)</f>
        <v>0.69719503500760194</v>
      </c>
      <c r="I140" s="54">
        <f>(VLOOKUP($A140,'The List'!$B1:$AH665,21,FALSE)-AVERAGE('The List'!V2:V665))/STDEV('The List'!V2:V665)</f>
        <v>0.49991996449837339</v>
      </c>
      <c r="J140" s="54">
        <f>(VLOOKUP($A140,'The List'!$B1:$AH665,22,FALSE)-AVERAGE('The List'!W2:W665))/STDEV('The List'!W2:W665)</f>
        <v>0.4986030215286143</v>
      </c>
      <c r="K140" s="54">
        <f>(VLOOKUP($A140,'The List'!$B1:$AH665,23,FALSE)-AVERAGE('The List'!X2:X665))/STDEV('The List'!X2:X665)</f>
        <v>1.4438715437010361</v>
      </c>
      <c r="L140" s="54">
        <f>(VLOOKUP($A140,'The List'!$B1:$AH665,24,FALSE)-AVERAGE('The List'!Y2:Y665))/STDEV('The List'!Y2:Y665)</f>
        <v>-0.56300330143523869</v>
      </c>
      <c r="M140" s="54">
        <f>(VLOOKUP($A140,'The List'!$B1:$AH665,25,FALSE)-AVERAGE('The List'!Z2:Z665))/STDEV('The List'!Z2:Z665)</f>
        <v>-0.73515988520668862</v>
      </c>
      <c r="N140" s="54">
        <f>(VLOOKUP($A140,'The List'!$B1:$AH665,26,FALSE)-AVERAGE('The List'!AA2:AA665))/STDEV('The List'!AA2:AA665)</f>
        <v>-0.43451305324048745</v>
      </c>
      <c r="O140" s="54">
        <f>(VLOOKUP($A140,'The List'!$B1:$AH665,27,FALSE)-AVERAGE('The List'!AB2:AB665))/STDEV('The List'!AB2:AB665)</f>
        <v>-1.1557773475604822</v>
      </c>
      <c r="P140" s="54">
        <f>(VLOOKUP($A140,'The List'!$B1:$AH665,28,FALSE)-AVERAGE('The List'!AC2:AC665))/STDEV('The List'!AC2:AC665)</f>
        <v>2.725295086933343E-2</v>
      </c>
      <c r="Q140" s="54">
        <f>(VLOOKUP($A140,'The List'!$B1:$AH665,29,FALSE)-AVERAGE('The List'!AD2:AD665))/STDEV('The List'!AD2:AD665)</f>
        <v>-0.38682494706358195</v>
      </c>
      <c r="R140" s="54">
        <f>(VLOOKUP($A140,'The List'!$B1:$AH665,30,FALSE)-AVERAGE('The List'!AE2:AE665))/STDEV('The List'!AE2:AE665)</f>
        <v>0.11851901557484651</v>
      </c>
      <c r="S140" s="54">
        <f>(VLOOKUP($A140,'The List'!$B1:$AH665,31,FALSE)-AVERAGE('The List'!AF2:AF665))/STDEV('The List'!AF2:AF665)</f>
        <v>-0.4499996025123818</v>
      </c>
      <c r="T140" s="54">
        <f>(VLOOKUP($A140,'The List'!$B1:$AH665,32,FALSE)-AVERAGE('The List'!AG2:AG665))/STDEV('The List'!AG2:AG665)</f>
        <v>-0.41634625013022186</v>
      </c>
      <c r="U140" s="54">
        <f>(VLOOKUP($A140,'The List'!$B1:$AH665,33,FALSE)-AVERAGE('The List'!AH2:AH665))/STDEV('The List'!AH2:AH665)</f>
        <v>0.51932303258241419</v>
      </c>
      <c r="V140" s="54"/>
      <c r="W140" s="64"/>
      <c r="X140" s="56"/>
      <c r="Y140" s="56"/>
      <c r="Z140" s="56"/>
      <c r="AA140" s="56"/>
      <c r="AB140" s="56"/>
      <c r="AC140" s="59"/>
      <c r="AD140" s="60"/>
      <c r="AE140" s="54"/>
    </row>
    <row r="141" spans="1:31" ht="21.25" customHeight="1" x14ac:dyDescent="0.15">
      <c r="A141" s="9" t="s">
        <v>332</v>
      </c>
      <c r="B141" s="65" t="str">
        <f>VLOOKUP(A141,'Player Data'!A1:B667,2,FALSE)</f>
        <v>COL</v>
      </c>
      <c r="C141" s="51">
        <f>((E141)*Settings!$C$12)+(F141*Settings!$C$2)+(G141*Settings!$C$3)+(H141*Settings!$C$4)+(I141*Settings!$C$5)+(K141*Settings!$C$9)+(N141*Settings!$C$6)+(J141*Settings!$C$8)+(O141*Settings!$C$7)+(P141*Settings!$C$14)+(Q141*Settings!$C$15)+(R141*Settings!$C$16)+(S141*Settings!$C$17)+(T141*Settings!$C$18)+(U141*Settings!$C$19)+(L141*Settings!$C$10)+(Settings!$C$11*M141)</f>
        <v>2.8012813514233388</v>
      </c>
      <c r="D141" s="56">
        <f>IF(Settings!$E$12="YES",VLOOKUP(A141,'Player Data'!A1:E667,5,FALSE),82)</f>
        <v>72.1875</v>
      </c>
      <c r="E141" s="54">
        <f>(VLOOKUP($A141,'The List'!$B1:$AH665,17,FALSE)-AVERAGE('The List'!R2:R665))/STDEV('The List'!R2:R665)</f>
        <v>0.35088987016377449</v>
      </c>
      <c r="F141" s="54">
        <f>(VLOOKUP($A141,'The List'!$B1:$AH665,18,FALSE)-AVERAGE('The List'!S2:S665))/STDEV('The List'!S2:S665)</f>
        <v>0.86720623671262287</v>
      </c>
      <c r="G141" s="54">
        <f>(VLOOKUP($A141,'The List'!$B1:$AH665,19,FALSE)-AVERAGE('The List'!T2:T665))/STDEV('The List'!T2:T665)</f>
        <v>0.36741813931016798</v>
      </c>
      <c r="H141" s="54">
        <f>(VLOOKUP($A141,'The List'!$B1:$AH665,20,FALSE)-AVERAGE('The List'!U2:U665))/STDEV('The List'!U2:U665)</f>
        <v>0.6223737799478346</v>
      </c>
      <c r="I141" s="54">
        <f>(VLOOKUP($A141,'The List'!$B1:$AH665,21,FALSE)-AVERAGE('The List'!V2:V665))/STDEV('The List'!V2:V665)</f>
        <v>0.54706181589719027</v>
      </c>
      <c r="J141" s="54">
        <f>(VLOOKUP($A141,'The List'!$B1:$AH665,22,FALSE)-AVERAGE('The List'!W2:W665))/STDEV('The List'!W2:W665)</f>
        <v>1.1870068468876864</v>
      </c>
      <c r="K141" s="54">
        <f>(VLOOKUP($A141,'The List'!$B1:$AH665,23,FALSE)-AVERAGE('The List'!X2:X665))/STDEV('The List'!X2:X665)</f>
        <v>0.68287260745513234</v>
      </c>
      <c r="L141" s="54">
        <f>(VLOOKUP($A141,'The List'!$B1:$AH665,24,FALSE)-AVERAGE('The List'!Y2:Y665))/STDEV('The List'!Y2:Y665)</f>
        <v>0.68045697100830149</v>
      </c>
      <c r="M141" s="54">
        <f>(VLOOKUP($A141,'The List'!$B1:$AH665,25,FALSE)-AVERAGE('The List'!Z2:Z665))/STDEV('The List'!Z2:Z665)</f>
        <v>9.822014795695605E-2</v>
      </c>
      <c r="N141" s="54">
        <f>(VLOOKUP($A141,'The List'!$B1:$AH665,26,FALSE)-AVERAGE('The List'!AA2:AA665))/STDEV('The List'!AA2:AA665)</f>
        <v>-0.68887915742780581</v>
      </c>
      <c r="O141" s="54">
        <f>(VLOOKUP($A141,'The List'!$B1:$AH665,27,FALSE)-AVERAGE('The List'!AB2:AB665))/STDEV('The List'!AB2:AB665)</f>
        <v>-0.17790138586990181</v>
      </c>
      <c r="P141" s="54">
        <f>(VLOOKUP($A141,'The List'!$B1:$AH665,28,FALSE)-AVERAGE('The List'!AC2:AC665))/STDEV('The List'!AC2:AC665)</f>
        <v>1.025601709476031</v>
      </c>
      <c r="Q141" s="54">
        <f>(VLOOKUP($A141,'The List'!$B1:$AH665,29,FALSE)-AVERAGE('The List'!AD2:AD665))/STDEV('The List'!AD2:AD665)</f>
        <v>-0.27951500566491044</v>
      </c>
      <c r="R141" s="54">
        <f>(VLOOKUP($A141,'The List'!$B1:$AH665,30,FALSE)-AVERAGE('The List'!AE2:AE665))/STDEV('The List'!AE2:AE665)</f>
        <v>0.835483665196183</v>
      </c>
      <c r="S141" s="54">
        <f>(VLOOKUP($A141,'The List'!$B1:$AH665,31,FALSE)-AVERAGE('The List'!AF2:AF665))/STDEV('The List'!AF2:AF665)</f>
        <v>-0.52579647159863818</v>
      </c>
      <c r="T141" s="54">
        <f>(VLOOKUP($A141,'The List'!$B1:$AH665,32,FALSE)-AVERAGE('The List'!AG2:AG665))/STDEV('The List'!AG2:AG665)</f>
        <v>-0.45627538525640216</v>
      </c>
      <c r="U141" s="54">
        <f>(VLOOKUP($A141,'The List'!$B1:$AH665,33,FALSE)-AVERAGE('The List'!AH2:AH665))/STDEV('The List'!AH2:AH665)</f>
        <v>-0.18043790880609417</v>
      </c>
      <c r="V141" s="54"/>
      <c r="W141" s="56"/>
      <c r="X141" s="56"/>
      <c r="Y141" s="56"/>
      <c r="Z141" s="56"/>
      <c r="AA141" s="56"/>
      <c r="AB141" s="56"/>
      <c r="AC141" s="59"/>
      <c r="AD141" s="60"/>
      <c r="AE141" s="54"/>
    </row>
    <row r="142" spans="1:31" ht="21.25" customHeight="1" x14ac:dyDescent="0.15">
      <c r="A142" s="9" t="s">
        <v>318</v>
      </c>
      <c r="B142" s="65" t="str">
        <f>VLOOKUP(A142,'Player Data'!A1:B667,2,FALSE)</f>
        <v>VGK</v>
      </c>
      <c r="C142" s="51">
        <f>((E142)*Settings!$C$12)+(F142*Settings!$C$2)+(G142*Settings!$C$3)+(H142*Settings!$C$4)+(I142*Settings!$C$5)+(K142*Settings!$C$9)+(N142*Settings!$C$6)+(J142*Settings!$C$8)+(O142*Settings!$C$7)+(P142*Settings!$C$14)+(Q142*Settings!$C$15)+(R142*Settings!$C$16)+(S142*Settings!$C$17)+(T142*Settings!$C$18)+(U142*Settings!$C$19)+(L142*Settings!$C$10)+(Settings!$C$11*M142)</f>
        <v>2.7752504672382341</v>
      </c>
      <c r="D142" s="56">
        <f>IF(Settings!$E$12="YES",VLOOKUP(A142,'Player Data'!A1:E667,5,FALSE),82)</f>
        <v>78.400000000000006</v>
      </c>
      <c r="E142" s="54">
        <f>(VLOOKUP($A142,'The List'!$B1:$AH665,17,FALSE)-AVERAGE('The List'!R2:R665))/STDEV('The List'!R2:R665)</f>
        <v>0.25764300494187936</v>
      </c>
      <c r="F142" s="54">
        <f>(VLOOKUP($A142,'The List'!$B1:$AH665,18,FALSE)-AVERAGE('The List'!S2:S665))/STDEV('The List'!S2:S665)</f>
        <v>0.73452629667285607</v>
      </c>
      <c r="G142" s="54">
        <f>(VLOOKUP($A142,'The List'!$B1:$AH665,19,FALSE)-AVERAGE('The List'!T2:T665))/STDEV('The List'!T2:T665)</f>
        <v>0.58186468816685066</v>
      </c>
      <c r="H142" s="54">
        <f>(VLOOKUP($A142,'The List'!$B1:$AH665,20,FALSE)-AVERAGE('The List'!U2:U665))/STDEV('The List'!U2:U665)</f>
        <v>0.69524780518096796</v>
      </c>
      <c r="I142" s="54">
        <f>(VLOOKUP($A142,'The List'!$B1:$AH665,21,FALSE)-AVERAGE('The List'!V2:V665))/STDEV('The List'!V2:V665)</f>
        <v>0.70831826612833781</v>
      </c>
      <c r="J142" s="54">
        <f>(VLOOKUP($A142,'The List'!$B1:$AH665,22,FALSE)-AVERAGE('The List'!W2:W665))/STDEV('The List'!W2:W665)</f>
        <v>0.39575325633514846</v>
      </c>
      <c r="K142" s="54">
        <f>(VLOOKUP($A142,'The List'!$B1:$AH665,23,FALSE)-AVERAGE('The List'!X2:X665))/STDEV('The List'!X2:X665)</f>
        <v>0.29721109780900989</v>
      </c>
      <c r="L142" s="54">
        <f>(VLOOKUP($A142,'The List'!$B1:$AH665,24,FALSE)-AVERAGE('The List'!Y2:Y665))/STDEV('The List'!Y2:Y665)</f>
        <v>2.0285439641239154</v>
      </c>
      <c r="M142" s="54">
        <f>(VLOOKUP($A142,'The List'!$B1:$AH665,25,FALSE)-AVERAGE('The List'!Z2:Z665))/STDEV('The List'!Z2:Z665)</f>
        <v>2.6005054086768502</v>
      </c>
      <c r="N142" s="54">
        <f>(VLOOKUP($A142,'The List'!$B1:$AH665,26,FALSE)-AVERAGE('The List'!AA2:AA665))/STDEV('The List'!AA2:AA665)</f>
        <v>-0.34774900158663252</v>
      </c>
      <c r="O142" s="54">
        <f>(VLOOKUP($A142,'The List'!$B1:$AH665,27,FALSE)-AVERAGE('The List'!AB2:AB665))/STDEV('The List'!AB2:AB665)</f>
        <v>-0.87392259856939047</v>
      </c>
      <c r="P142" s="54">
        <f>(VLOOKUP($A142,'The List'!$B1:$AH665,28,FALSE)-AVERAGE('The List'!AC2:AC665))/STDEV('The List'!AC2:AC665)</f>
        <v>0.80107912004781168</v>
      </c>
      <c r="Q142" s="54">
        <f>(VLOOKUP($A142,'The List'!$B1:$AH665,29,FALSE)-AVERAGE('The List'!AD2:AD665))/STDEV('The List'!AD2:AD665)</f>
        <v>-1.167954324556423</v>
      </c>
      <c r="R142" s="54">
        <f>(VLOOKUP($A142,'The List'!$B1:$AH665,30,FALSE)-AVERAGE('The List'!AE2:AE665))/STDEV('The List'!AE2:AE665)</f>
        <v>0.74395542029643824</v>
      </c>
      <c r="S142" s="54">
        <f>(VLOOKUP($A142,'The List'!$B1:$AH665,31,FALSE)-AVERAGE('The List'!AF2:AF665))/STDEV('The List'!AF2:AF665)</f>
        <v>2.3539717012891903</v>
      </c>
      <c r="T142" s="54">
        <f>(VLOOKUP($A142,'The List'!$B1:$AH665,32,FALSE)-AVERAGE('The List'!AG2:AG665))/STDEV('The List'!AG2:AG665)</f>
        <v>1.9324529343322019</v>
      </c>
      <c r="U142" s="54">
        <f>(VLOOKUP($A142,'The List'!$B1:$AH665,33,FALSE)-AVERAGE('The List'!AH2:AH665))/STDEV('The List'!AH2:AH665)</f>
        <v>1.2572488721222148</v>
      </c>
      <c r="V142" s="54"/>
      <c r="W142" s="64"/>
      <c r="X142" s="56"/>
      <c r="Y142" s="56"/>
      <c r="Z142" s="56"/>
      <c r="AA142" s="56"/>
      <c r="AB142" s="56"/>
      <c r="AC142" s="59"/>
      <c r="AD142" s="60"/>
      <c r="AE142" s="54"/>
    </row>
    <row r="143" spans="1:31" ht="21.25" customHeight="1" x14ac:dyDescent="0.15">
      <c r="A143" s="9" t="s">
        <v>327</v>
      </c>
      <c r="B143" s="65" t="str">
        <f>VLOOKUP(A143,'Player Data'!A1:B667,2,FALSE)</f>
        <v>EDM</v>
      </c>
      <c r="C143" s="51">
        <f>((E143)*Settings!$C$12)+(F143*Settings!$C$2)+(G143*Settings!$C$3)+(H143*Settings!$C$4)+(I143*Settings!$C$5)+(K143*Settings!$C$9)+(N143*Settings!$C$6)+(J143*Settings!$C$8)+(O143*Settings!$C$7)+(P143*Settings!$C$14)+(Q143*Settings!$C$15)+(R143*Settings!$C$16)+(S143*Settings!$C$17)+(T143*Settings!$C$18)+(U143*Settings!$C$19)+(L143*Settings!$C$10)+(Settings!$C$11*M143)</f>
        <v>1.172910887468666</v>
      </c>
      <c r="D143" s="56">
        <f>IF(Settings!$E$12="YES",VLOOKUP(A143,'Player Data'!A1:E667,5,FALSE),82)</f>
        <v>79.997500000000002</v>
      </c>
      <c r="E143" s="54">
        <f>(VLOOKUP($A143,'The List'!$B1:$AH665,17,FALSE)-AVERAGE('The List'!R2:R665))/STDEV('The List'!R2:R665)</f>
        <v>-0.63202896212676263</v>
      </c>
      <c r="F143" s="54">
        <f>(VLOOKUP($A143,'The List'!$B1:$AH665,18,FALSE)-AVERAGE('The List'!S2:S665))/STDEV('The List'!S2:S665)</f>
        <v>1.0944098297140026</v>
      </c>
      <c r="G143" s="54">
        <f>(VLOOKUP($A143,'The List'!$B1:$AH665,19,FALSE)-AVERAGE('The List'!T2:T665))/STDEV('The List'!T2:T665)</f>
        <v>0.38556493995467728</v>
      </c>
      <c r="H143" s="54">
        <f>(VLOOKUP($A143,'The List'!$B1:$AH665,20,FALSE)-AVERAGE('The List'!U2:U665))/STDEV('The List'!U2:U665)</f>
        <v>0.73691879638125934</v>
      </c>
      <c r="I143" s="54">
        <f>(VLOOKUP($A143,'The List'!$B1:$AH665,21,FALSE)-AVERAGE('The List'!V2:V665))/STDEV('The List'!V2:V665)</f>
        <v>0.98627284571260854</v>
      </c>
      <c r="J143" s="54">
        <f>(VLOOKUP($A143,'The List'!$B1:$AH665,22,FALSE)-AVERAGE('The List'!W2:W665))/STDEV('The List'!W2:W665)</f>
        <v>0.1045601057955487</v>
      </c>
      <c r="K143" s="54">
        <f>(VLOOKUP($A143,'The List'!$B1:$AH665,23,FALSE)-AVERAGE('The List'!X2:X665))/STDEV('The List'!X2:X665)</f>
        <v>-0.19122227988283935</v>
      </c>
      <c r="L143" s="54">
        <f>(VLOOKUP($A143,'The List'!$B1:$AH665,24,FALSE)-AVERAGE('The List'!Y2:Y665))/STDEV('The List'!Y2:Y665)</f>
        <v>-0.55176766245514841</v>
      </c>
      <c r="M143" s="54">
        <f>(VLOOKUP($A143,'The List'!$B1:$AH665,25,FALSE)-AVERAGE('The List'!Z2:Z665))/STDEV('The List'!Z2:Z665)</f>
        <v>-0.72493168567488531</v>
      </c>
      <c r="N143" s="54">
        <f>(VLOOKUP($A143,'The List'!$B1:$AH665,26,FALSE)-AVERAGE('The List'!AA2:AA665))/STDEV('The List'!AA2:AA665)</f>
        <v>-1.1367109041670791</v>
      </c>
      <c r="O143" s="54">
        <f>(VLOOKUP($A143,'The List'!$B1:$AH665,27,FALSE)-AVERAGE('The List'!AB2:AB665))/STDEV('The List'!AB2:AB665)</f>
        <v>-1.2443366427774227</v>
      </c>
      <c r="P143" s="54">
        <f>(VLOOKUP($A143,'The List'!$B1:$AH665,28,FALSE)-AVERAGE('The List'!AC2:AC665))/STDEV('The List'!AC2:AC665)</f>
        <v>3.4596456137296297E-2</v>
      </c>
      <c r="Q143" s="54">
        <f>(VLOOKUP($A143,'The List'!$B1:$AH665,29,FALSE)-AVERAGE('The List'!AD2:AD665))/STDEV('The List'!AD2:AD665)</f>
        <v>-0.48769410024501214</v>
      </c>
      <c r="R143" s="54">
        <f>(VLOOKUP($A143,'The List'!$B1:$AH665,30,FALSE)-AVERAGE('The List'!AE2:AE665))/STDEV('The List'!AE2:AE665)</f>
        <v>1.2413843748719842</v>
      </c>
      <c r="S143" s="54">
        <f>(VLOOKUP($A143,'The List'!$B1:$AH665,31,FALSE)-AVERAGE('The List'!AF2:AF665))/STDEV('The List'!AF2:AF665)</f>
        <v>-0.24914108614912997</v>
      </c>
      <c r="T143" s="54">
        <f>(VLOOKUP($A143,'The List'!$B1:$AH665,32,FALSE)-AVERAGE('The List'!AG2:AG665))/STDEV('The List'!AG2:AG665)</f>
        <v>-0.17832887647327722</v>
      </c>
      <c r="U143" s="54">
        <f>(VLOOKUP($A143,'The List'!$B1:$AH665,33,FALSE)-AVERAGE('The List'!AH2:AH665))/STDEV('The List'!AH2:AH665)</f>
        <v>0.74345432854926818</v>
      </c>
      <c r="V143" s="54"/>
      <c r="W143" s="64"/>
      <c r="X143" s="56"/>
      <c r="Y143" s="56"/>
      <c r="Z143" s="56"/>
      <c r="AA143" s="56"/>
      <c r="AB143" s="56"/>
      <c r="AC143" s="59"/>
      <c r="AD143" s="60"/>
      <c r="AE143" s="54"/>
    </row>
    <row r="144" spans="1:31" ht="21.25" customHeight="1" x14ac:dyDescent="0.15">
      <c r="A144" s="9" t="s">
        <v>333</v>
      </c>
      <c r="B144" s="65" t="str">
        <f>VLOOKUP(A144,'Player Data'!A1:B667,2,FALSE)</f>
        <v>S.J</v>
      </c>
      <c r="C144" s="51">
        <f>((E144)*Settings!$C$12)+(F144*Settings!$C$2)+(G144*Settings!$C$3)+(H144*Settings!$C$4)+(I144*Settings!$C$5)+(K144*Settings!$C$9)+(N144*Settings!$C$6)+(J144*Settings!$C$8)+(O144*Settings!$C$7)+(P144*Settings!$C$14)+(Q144*Settings!$C$15)+(R144*Settings!$C$16)+(S144*Settings!$C$17)+(T144*Settings!$C$18)+(U144*Settings!$C$19)+(L144*Settings!$C$10)+(Settings!$C$11*M144)</f>
        <v>-0.16093640400905329</v>
      </c>
      <c r="D144" s="56">
        <f>IF(Settings!$E$12="YES",VLOOKUP(A144,'Player Data'!A1:E667,5,FALSE),82)</f>
        <v>79.849999999999994</v>
      </c>
      <c r="E144" s="54">
        <f>(VLOOKUP($A144,'The List'!$B1:$AH665,17,FALSE)-AVERAGE('The List'!R2:R665))/STDEV('The List'!R2:R665)</f>
        <v>0.2536530828160708</v>
      </c>
      <c r="F144" s="54">
        <f>(VLOOKUP($A144,'The List'!$B1:$AH665,18,FALSE)-AVERAGE('The List'!S2:S665))/STDEV('The List'!S2:S665)</f>
        <v>0.65666035277917745</v>
      </c>
      <c r="G144" s="54">
        <f>(VLOOKUP($A144,'The List'!$B1:$AH665,19,FALSE)-AVERAGE('The List'!T2:T665))/STDEV('The List'!T2:T665)</f>
        <v>0.64691611403925342</v>
      </c>
      <c r="H144" s="54">
        <f>(VLOOKUP($A144,'The List'!$B1:$AH665,20,FALSE)-AVERAGE('The List'!U2:U665))/STDEV('The List'!U2:U665)</f>
        <v>0.70025462560163076</v>
      </c>
      <c r="I144" s="54">
        <f>(VLOOKUP($A144,'The List'!$B1:$AH665,21,FALSE)-AVERAGE('The List'!V2:V665))/STDEV('The List'!V2:V665)</f>
        <v>2.9123125110372936E-2</v>
      </c>
      <c r="J144" s="54">
        <f>(VLOOKUP($A144,'The List'!$B1:$AH665,22,FALSE)-AVERAGE('The List'!W2:W665))/STDEV('The List'!W2:W665)</f>
        <v>1.7407989561720583</v>
      </c>
      <c r="K144" s="54">
        <f>(VLOOKUP($A144,'The List'!$B1:$AH665,23,FALSE)-AVERAGE('The List'!X2:X665))/STDEV('The List'!X2:X665)</f>
        <v>1.2970180659414956</v>
      </c>
      <c r="L144" s="54">
        <f>(VLOOKUP($A144,'The List'!$B1:$AH665,24,FALSE)-AVERAGE('The List'!Y2:Y665))/STDEV('The List'!Y2:Y665)</f>
        <v>-0.48660729550176807</v>
      </c>
      <c r="M144" s="54">
        <f>(VLOOKUP($A144,'The List'!$B1:$AH665,25,FALSE)-AVERAGE('The List'!Z2:Z665))/STDEV('The List'!Z2:Z665)</f>
        <v>-0.41487107357877073</v>
      </c>
      <c r="N144" s="54">
        <f>(VLOOKUP($A144,'The List'!$B1:$AH665,26,FALSE)-AVERAGE('The List'!AA2:AA665))/STDEV('The List'!AA2:AA665)</f>
        <v>-6.4571394638687524E-2</v>
      </c>
      <c r="O144" s="54">
        <f>(VLOOKUP($A144,'The List'!$B1:$AH665,27,FALSE)-AVERAGE('The List'!AB2:AB665))/STDEV('The List'!AB2:AB665)</f>
        <v>-1.0624625924902722</v>
      </c>
      <c r="P144" s="54">
        <f>(VLOOKUP($A144,'The List'!$B1:$AH665,28,FALSE)-AVERAGE('The List'!AC2:AC665))/STDEV('The List'!AC2:AC665)</f>
        <v>-2.7260826672406653</v>
      </c>
      <c r="Q144" s="54">
        <f>(VLOOKUP($A144,'The List'!$B1:$AH665,29,FALSE)-AVERAGE('The List'!AD2:AD665))/STDEV('The List'!AD2:AD665)</f>
        <v>3.4507979031526491E-2</v>
      </c>
      <c r="R144" s="54">
        <f>(VLOOKUP($A144,'The List'!$B1:$AH665,30,FALSE)-AVERAGE('The List'!AE2:AE665))/STDEV('The List'!AE2:AE665)</f>
        <v>8.9395504716605761E-2</v>
      </c>
      <c r="S144" s="54">
        <f>(VLOOKUP($A144,'The List'!$B1:$AH665,31,FALSE)-AVERAGE('The List'!AF2:AF665))/STDEV('The List'!AF2:AF665)</f>
        <v>-0.24768541123991758</v>
      </c>
      <c r="T144" s="54">
        <f>(VLOOKUP($A144,'The List'!$B1:$AH665,32,FALSE)-AVERAGE('The List'!AG2:AG665))/STDEV('The List'!AG2:AG665)</f>
        <v>0.12049996566432</v>
      </c>
      <c r="U144" s="54">
        <f>(VLOOKUP($A144,'The List'!$B1:$AH665,33,FALSE)-AVERAGE('The List'!AH2:AH665))/STDEV('The List'!AH2:AH665)</f>
        <v>0.2072569766629852</v>
      </c>
      <c r="V144" s="54"/>
      <c r="W144" s="64"/>
      <c r="X144" s="56"/>
      <c r="Y144" s="56"/>
      <c r="Z144" s="56"/>
      <c r="AA144" s="56"/>
      <c r="AB144" s="56"/>
      <c r="AC144" s="59"/>
      <c r="AD144" s="60"/>
      <c r="AE144" s="54"/>
    </row>
    <row r="145" spans="1:31" ht="21.25" customHeight="1" x14ac:dyDescent="0.15">
      <c r="A145" s="9" t="s">
        <v>309</v>
      </c>
      <c r="B145" s="65" t="str">
        <f>VLOOKUP(A145,'Player Data'!A1:B667,2,FALSE)</f>
        <v>STL</v>
      </c>
      <c r="C145" s="51">
        <f>((E145)*Settings!$C$12)+(F145*Settings!$C$2)+(G145*Settings!$C$3)+(H145*Settings!$C$4)+(I145*Settings!$C$5)+(K145*Settings!$C$9)+(N145*Settings!$C$6)+(J145*Settings!$C$8)+(O145*Settings!$C$7)+(P145*Settings!$C$14)+(Q145*Settings!$C$15)+(R145*Settings!$C$16)+(S145*Settings!$C$17)+(T145*Settings!$C$18)+(U145*Settings!$C$19)+(L145*Settings!$C$10)+(Settings!$C$11*M145)</f>
        <v>0.88808862255828669</v>
      </c>
      <c r="D145" s="56">
        <f>IF(Settings!$E$12="YES",VLOOKUP(A145,'Player Data'!A1:E667,5,FALSE),82)</f>
        <v>74.63</v>
      </c>
      <c r="E145" s="54">
        <f>(VLOOKUP($A145,'The List'!$B1:$AH665,17,FALSE)-AVERAGE('The List'!R2:R665))/STDEV('The List'!R2:R665)</f>
        <v>0.19641882532191191</v>
      </c>
      <c r="F145" s="54">
        <f>(VLOOKUP($A145,'The List'!$B1:$AH665,18,FALSE)-AVERAGE('The List'!S2:S665))/STDEV('The List'!S2:S665)</f>
        <v>1.5403393044387654</v>
      </c>
      <c r="G145" s="54">
        <f>(VLOOKUP($A145,'The List'!$B1:$AH665,19,FALSE)-AVERAGE('The List'!T2:T665))/STDEV('The List'!T2:T665)</f>
        <v>-0.25027336141459033</v>
      </c>
      <c r="H145" s="54">
        <f>(VLOOKUP($A145,'The List'!$B1:$AH665,20,FALSE)-AVERAGE('The List'!U2:U665))/STDEV('The List'!U2:U665)</f>
        <v>0.54472360223422955</v>
      </c>
      <c r="I145" s="54">
        <f>(VLOOKUP($A145,'The List'!$B1:$AH665,21,FALSE)-AVERAGE('The List'!V2:V665))/STDEV('The List'!V2:V665)</f>
        <v>0.43057837858212145</v>
      </c>
      <c r="J145" s="54">
        <f>(VLOOKUP($A145,'The List'!$B1:$AH665,22,FALSE)-AVERAGE('The List'!W2:W665))/STDEV('The List'!W2:W665)</f>
        <v>1.861583971443566</v>
      </c>
      <c r="K145" s="54">
        <f>(VLOOKUP($A145,'The List'!$B1:$AH665,23,FALSE)-AVERAGE('The List'!X2:X665))/STDEV('The List'!X2:X665)</f>
        <v>1.0979992068023516</v>
      </c>
      <c r="L145" s="54">
        <f>(VLOOKUP($A145,'The List'!$B1:$AH665,24,FALSE)-AVERAGE('The List'!Y2:Y665))/STDEV('The List'!Y2:Y665)</f>
        <v>-0.36744827958731718</v>
      </c>
      <c r="M145" s="54">
        <f>(VLOOKUP($A145,'The List'!$B1:$AH665,25,FALSE)-AVERAGE('The List'!Z2:Z665))/STDEV('The List'!Z2:Z665)</f>
        <v>-0.53457701678320291</v>
      </c>
      <c r="N145" s="54">
        <f>(VLOOKUP($A145,'The List'!$B1:$AH665,26,FALSE)-AVERAGE('The List'!AA2:AA665))/STDEV('The List'!AA2:AA665)</f>
        <v>-0.45875426931310281</v>
      </c>
      <c r="O145" s="54">
        <f>(VLOOKUP($A145,'The List'!$B1:$AH665,27,FALSE)-AVERAGE('The List'!AB2:AB665))/STDEV('The List'!AB2:AB665)</f>
        <v>0.94973261894048522</v>
      </c>
      <c r="P145" s="54">
        <f>(VLOOKUP($A145,'The List'!$B1:$AH665,28,FALSE)-AVERAGE('The List'!AC2:AC665))/STDEV('The List'!AC2:AC665)</f>
        <v>-1.4718006365372587</v>
      </c>
      <c r="Q145" s="54">
        <f>(VLOOKUP($A145,'The List'!$B1:$AH665,29,FALSE)-AVERAGE('The List'!AD2:AD665))/STDEV('The List'!AD2:AD665)</f>
        <v>-0.14356509603440443</v>
      </c>
      <c r="R145" s="54">
        <f>(VLOOKUP($A145,'The List'!$B1:$AH665,30,FALSE)-AVERAGE('The List'!AE2:AE665))/STDEV('The List'!AE2:AE665)</f>
        <v>0.94579613521686234</v>
      </c>
      <c r="S145" s="54">
        <f>(VLOOKUP($A145,'The List'!$B1:$AH665,31,FALSE)-AVERAGE('The List'!AF2:AF665))/STDEV('The List'!AF2:AF665)</f>
        <v>-0.51435245541974928</v>
      </c>
      <c r="T145" s="54">
        <f>(VLOOKUP($A145,'The List'!$B1:$AH665,32,FALSE)-AVERAGE('The List'!AG2:AG665))/STDEV('The List'!AG2:AG665)</f>
        <v>-0.52028216074909606</v>
      </c>
      <c r="U145" s="54">
        <f>(VLOOKUP($A145,'The List'!$B1:$AH665,33,FALSE)-AVERAGE('The List'!AH2:AH665))/STDEV('The List'!AH2:AH665)</f>
        <v>0.46910478659521698</v>
      </c>
      <c r="V145" s="54"/>
      <c r="W145" s="56"/>
      <c r="X145" s="54"/>
      <c r="Y145" s="54"/>
      <c r="Z145" s="54"/>
      <c r="AA145" s="54"/>
      <c r="AB145" s="54"/>
      <c r="AC145" s="54"/>
      <c r="AD145" s="54"/>
      <c r="AE145" s="54"/>
    </row>
    <row r="146" spans="1:31" ht="21.25" customHeight="1" x14ac:dyDescent="0.15">
      <c r="A146" s="9" t="s">
        <v>383</v>
      </c>
      <c r="B146" s="65" t="str">
        <f>VLOOKUP(A146,'Player Data'!A1:B667,2,FALSE)</f>
        <v>NYI</v>
      </c>
      <c r="C146" s="51">
        <f>((E146)*Settings!$C$12)+(F146*Settings!$C$2)+(G146*Settings!$C$3)+(H146*Settings!$C$4)+(I146*Settings!$C$5)+(K146*Settings!$C$9)+(N146*Settings!$C$6)+(J146*Settings!$C$8)+(O146*Settings!$C$7)+(P146*Settings!$C$14)+(Q146*Settings!$C$15)+(R146*Settings!$C$16)+(S146*Settings!$C$17)+(T146*Settings!$C$18)+(U146*Settings!$C$19)+(L146*Settings!$C$10)+(Settings!$C$11*M146)</f>
        <v>1.1872880205471681</v>
      </c>
      <c r="D146" s="56">
        <f>IF(Settings!$E$12="YES",VLOOKUP(A146,'Player Data'!A1:E667,5,FALSE),82)</f>
        <v>71.107500000000002</v>
      </c>
      <c r="E146" s="54">
        <f>(VLOOKUP($A146,'The List'!$B1:$AH665,17,FALSE)-AVERAGE('The List'!R2:R665))/STDEV('The List'!R2:R665)</f>
        <v>-9.8006440700608058E-2</v>
      </c>
      <c r="F146" s="54">
        <f>(VLOOKUP($A146,'The List'!$B1:$AH665,18,FALSE)-AVERAGE('The List'!S2:S665))/STDEV('The List'!S2:S665)</f>
        <v>0.9490269350046957</v>
      </c>
      <c r="G146" s="54">
        <f>(VLOOKUP($A146,'The List'!$B1:$AH665,19,FALSE)-AVERAGE('The List'!T2:T665))/STDEV('The List'!T2:T665)</f>
        <v>-9.7346054025832362E-3</v>
      </c>
      <c r="H146" s="54">
        <f>(VLOOKUP($A146,'The List'!$B1:$AH665,20,FALSE)-AVERAGE('The List'!U2:U665))/STDEV('The List'!U2:U665)</f>
        <v>0.42533211551740552</v>
      </c>
      <c r="I146" s="54">
        <f>(VLOOKUP($A146,'The List'!$B1:$AH665,21,FALSE)-AVERAGE('The List'!V2:V665))/STDEV('The List'!V2:V665)</f>
        <v>0.19495320573231123</v>
      </c>
      <c r="J146" s="54">
        <f>(VLOOKUP($A146,'The List'!$B1:$AH665,22,FALSE)-AVERAGE('The List'!W2:W665))/STDEV('The List'!W2:W665)</f>
        <v>0.93181386734244598</v>
      </c>
      <c r="K146" s="54">
        <f>(VLOOKUP($A146,'The List'!$B1:$AH665,23,FALSE)-AVERAGE('The List'!X2:X665))/STDEV('The List'!X2:X665)</f>
        <v>0.69604107252789271</v>
      </c>
      <c r="L146" s="54">
        <f>(VLOOKUP($A146,'The List'!$B1:$AH665,24,FALSE)-AVERAGE('The List'!Y2:Y665))/STDEV('The List'!Y2:Y665)</f>
        <v>-0.53075161701683038</v>
      </c>
      <c r="M146" s="54">
        <f>(VLOOKUP($A146,'The List'!$B1:$AH665,25,FALSE)-AVERAGE('The List'!Z2:Z665))/STDEV('The List'!Z2:Z665)</f>
        <v>-0.70353293579401477</v>
      </c>
      <c r="N146" s="54">
        <f>(VLOOKUP($A146,'The List'!$B1:$AH665,26,FALSE)-AVERAGE('The List'!AA2:AA665))/STDEV('The List'!AA2:AA665)</f>
        <v>-0.76587719280988176</v>
      </c>
      <c r="O146" s="54">
        <f>(VLOOKUP($A146,'The List'!$B1:$AH665,27,FALSE)-AVERAGE('The List'!AB2:AB665))/STDEV('The List'!AB2:AB665)</f>
        <v>-0.82407399373115864</v>
      </c>
      <c r="P146" s="54">
        <f>(VLOOKUP($A146,'The List'!$B1:$AH665,28,FALSE)-AVERAGE('The List'!AC2:AC665))/STDEV('The List'!AC2:AC665)</f>
        <v>0.12287860549473337</v>
      </c>
      <c r="Q146" s="54">
        <f>(VLOOKUP($A146,'The List'!$B1:$AH665,29,FALSE)-AVERAGE('The List'!AD2:AD665))/STDEV('The List'!AD2:AD665)</f>
        <v>-0.63694934593206698</v>
      </c>
      <c r="R146" s="54">
        <f>(VLOOKUP($A146,'The List'!$B1:$AH665,30,FALSE)-AVERAGE('The List'!AE2:AE665))/STDEV('The List'!AE2:AE665)</f>
        <v>1.0274668043815387</v>
      </c>
      <c r="S146" s="54">
        <f>(VLOOKUP($A146,'The List'!$B1:$AH665,31,FALSE)-AVERAGE('The List'!AF2:AF665))/STDEV('The List'!AF2:AF665)</f>
        <v>-0.50704066065073006</v>
      </c>
      <c r="T146" s="54">
        <f>(VLOOKUP($A146,'The List'!$B1:$AH665,32,FALSE)-AVERAGE('The List'!AG2:AG665))/STDEV('The List'!AG2:AG665)</f>
        <v>-0.50295753373125607</v>
      </c>
      <c r="U146" s="54">
        <f>(VLOOKUP($A146,'The List'!$B1:$AH665,33,FALSE)-AVERAGE('The List'!AH2:AH665))/STDEV('The List'!AH2:AH665)</f>
        <v>0.43077857534746961</v>
      </c>
      <c r="V146" s="54"/>
      <c r="W146" s="56"/>
      <c r="X146" s="54"/>
      <c r="Y146" s="54"/>
      <c r="Z146" s="54"/>
      <c r="AA146" s="54"/>
      <c r="AB146" s="54"/>
      <c r="AC146" s="54"/>
      <c r="AD146" s="54"/>
      <c r="AE146" s="54"/>
    </row>
    <row r="147" spans="1:31" ht="21.25" customHeight="1" x14ac:dyDescent="0.15">
      <c r="A147" s="9" t="s">
        <v>330</v>
      </c>
      <c r="B147" s="65" t="str">
        <f>VLOOKUP(A147,'Player Data'!A1:B667,2,FALSE)</f>
        <v>PHI</v>
      </c>
      <c r="C147" s="51">
        <f>((E147)*Settings!$C$12)+(F147*Settings!$C$2)+(G147*Settings!$C$3)+(H147*Settings!$C$4)+(I147*Settings!$C$5)+(K147*Settings!$C$9)+(N147*Settings!$C$6)+(J147*Settings!$C$8)+(O147*Settings!$C$7)+(P147*Settings!$C$14)+(Q147*Settings!$C$15)+(R147*Settings!$C$16)+(S147*Settings!$C$17)+(T147*Settings!$C$18)+(U147*Settings!$C$19)+(L147*Settings!$C$10)+(Settings!$C$11*M147)</f>
        <v>0.6560762621968752</v>
      </c>
      <c r="D147" s="56">
        <f>IF(Settings!$E$12="YES",VLOOKUP(A147,'Player Data'!A1:E667,5,FALSE),82)</f>
        <v>76</v>
      </c>
      <c r="E147" s="54">
        <f>(VLOOKUP($A147,'The List'!$B1:$AH665,17,FALSE)-AVERAGE('The List'!R2:R665))/STDEV('The List'!R2:R665)</f>
        <v>-0.24340078960701028</v>
      </c>
      <c r="F147" s="54">
        <f>(VLOOKUP($A147,'The List'!$B1:$AH665,18,FALSE)-AVERAGE('The List'!S2:S665))/STDEV('The List'!S2:S665)</f>
        <v>0.7700681649936284</v>
      </c>
      <c r="G147" s="54">
        <f>(VLOOKUP($A147,'The List'!$B1:$AH665,19,FALSE)-AVERAGE('The List'!T2:T665))/STDEV('The List'!T2:T665)</f>
        <v>0.34825449406555009</v>
      </c>
      <c r="H147" s="54">
        <f>(VLOOKUP($A147,'The List'!$B1:$AH665,20,FALSE)-AVERAGE('The List'!U2:U665))/STDEV('The List'!U2:U665)</f>
        <v>0.56631820777583053</v>
      </c>
      <c r="I147" s="54">
        <f>(VLOOKUP($A147,'The List'!$B1:$AH665,21,FALSE)-AVERAGE('The List'!V2:V665))/STDEV('The List'!V2:V665)</f>
        <v>0.41840242248105169</v>
      </c>
      <c r="J147" s="54">
        <f>(VLOOKUP($A147,'The List'!$B1:$AH665,22,FALSE)-AVERAGE('The List'!W2:W665))/STDEV('The List'!W2:W665)</f>
        <v>0.83819081777604432</v>
      </c>
      <c r="K147" s="54">
        <f>(VLOOKUP($A147,'The List'!$B1:$AH665,23,FALSE)-AVERAGE('The List'!X2:X665))/STDEV('The List'!X2:X665)</f>
        <v>0.55130783767455238</v>
      </c>
      <c r="L147" s="54">
        <f>(VLOOKUP($A147,'The List'!$B1:$AH665,24,FALSE)-AVERAGE('The List'!Y2:Y665))/STDEV('The List'!Y2:Y665)</f>
        <v>-0.5801829139020841</v>
      </c>
      <c r="M147" s="54">
        <f>(VLOOKUP($A147,'The List'!$B1:$AH665,25,FALSE)-AVERAGE('The List'!Z2:Z665))/STDEV('The List'!Z2:Z665)</f>
        <v>-0.75403666498999722</v>
      </c>
      <c r="N147" s="54">
        <f>(VLOOKUP($A147,'The List'!$B1:$AH665,26,FALSE)-AVERAGE('The List'!AA2:AA665))/STDEV('The List'!AA2:AA665)</f>
        <v>-0.76908456513174006</v>
      </c>
      <c r="O147" s="54">
        <f>(VLOOKUP($A147,'The List'!$B1:$AH665,27,FALSE)-AVERAGE('The List'!AB2:AB665))/STDEV('The List'!AB2:AB665)</f>
        <v>-3.9593558555055128E-2</v>
      </c>
      <c r="P147" s="54">
        <f>(VLOOKUP($A147,'The List'!$B1:$AH665,28,FALSE)-AVERAGE('The List'!AC2:AC665))/STDEV('The List'!AC2:AC665)</f>
        <v>-0.66287209188616747</v>
      </c>
      <c r="Q147" s="54">
        <f>(VLOOKUP($A147,'The List'!$B1:$AH665,29,FALSE)-AVERAGE('The List'!AD2:AD665))/STDEV('The List'!AD2:AD665)</f>
        <v>-0.15738810970442871</v>
      </c>
      <c r="R147" s="54">
        <f>(VLOOKUP($A147,'The List'!$B1:$AH665,30,FALSE)-AVERAGE('The List'!AE2:AE665))/STDEV('The List'!AE2:AE665)</f>
        <v>0.68209344374870307</v>
      </c>
      <c r="S147" s="54">
        <f>(VLOOKUP($A147,'The List'!$B1:$AH665,31,FALSE)-AVERAGE('The List'!AF2:AF665))/STDEV('The List'!AF2:AF665)</f>
        <v>-0.57389441068000469</v>
      </c>
      <c r="T147" s="54">
        <f>(VLOOKUP($A147,'The List'!$B1:$AH665,32,FALSE)-AVERAGE('The List'!AG2:AG665))/STDEV('The List'!AG2:AG665)</f>
        <v>-0.62577078713265111</v>
      </c>
      <c r="U147" s="54">
        <f>(VLOOKUP($A147,'The List'!$B1:$AH665,33,FALSE)-AVERAGE('The List'!AH2:AH665))/STDEV('The List'!AH2:AH665)</f>
        <v>-1.2314350945148611</v>
      </c>
      <c r="V147" s="54"/>
      <c r="W147" s="64"/>
      <c r="X147" s="56"/>
      <c r="Y147" s="56"/>
      <c r="Z147" s="56"/>
      <c r="AA147" s="56"/>
      <c r="AB147" s="56"/>
      <c r="AC147" s="59"/>
      <c r="AD147" s="60"/>
      <c r="AE147" s="54"/>
    </row>
    <row r="148" spans="1:31" ht="21.25" customHeight="1" x14ac:dyDescent="0.15">
      <c r="A148" s="9" t="s">
        <v>169</v>
      </c>
      <c r="B148" s="65" t="str">
        <f>VLOOKUP(A148,'Player Data'!A1:B667,2,FALSE)</f>
        <v>DET</v>
      </c>
      <c r="C148" s="51">
        <f>((E148)*Settings!$C$12)+(F148*Settings!$C$2)+(G148*Settings!$C$3)+(H148*Settings!$C$4)+(I148*Settings!$C$5)+(K148*Settings!$C$9)+(N148*Settings!$C$6)+(J148*Settings!$C$8)+(O148*Settings!$C$7)+(P148*Settings!$C$14)+(Q148*Settings!$C$15)+(R148*Settings!$C$16)+(S148*Settings!$C$17)+(T148*Settings!$C$18)+(U148*Settings!$C$19)+(L148*Settings!$C$10)+(Settings!$C$11*M148)</f>
        <v>4.7527940934766502</v>
      </c>
      <c r="D148" s="56">
        <f>IF(Settings!$E$12="YES",VLOOKUP(A148,'Player Data'!A1:E667,5,FALSE),82)</f>
        <v>82.03</v>
      </c>
      <c r="E148" s="54">
        <f>(VLOOKUP($A148,'The List'!$B1:$AH665,17,FALSE)-AVERAGE('The List'!R2:R665))/STDEV('The List'!R2:R665)</f>
        <v>2.1791579840872424</v>
      </c>
      <c r="F148" s="54">
        <f>(VLOOKUP($A148,'The List'!$B1:$AH665,18,FALSE)-AVERAGE('The List'!S2:S665))/STDEV('The List'!S2:S665)</f>
        <v>-0.42220793462278083</v>
      </c>
      <c r="G148" s="54">
        <f>(VLOOKUP($A148,'The List'!$B1:$AH665,19,FALSE)-AVERAGE('The List'!T2:T665))/STDEV('The List'!T2:T665)</f>
        <v>1.4950442007969003</v>
      </c>
      <c r="H148" s="54">
        <f>(VLOOKUP($A148,'The List'!$B1:$AH665,20,FALSE)-AVERAGE('The List'!U2:U665))/STDEV('The List'!U2:U665)</f>
        <v>0.73659293677054627</v>
      </c>
      <c r="I148" s="54">
        <f>(VLOOKUP($A148,'The List'!$B1:$AH665,21,FALSE)-AVERAGE('The List'!V2:V665))/STDEV('The List'!V2:V665)</f>
        <v>0.52899506091974435</v>
      </c>
      <c r="J148" s="54">
        <f>(VLOOKUP($A148,'The List'!$B1:$AH665,22,FALSE)-AVERAGE('The List'!W2:W665))/STDEV('The List'!W2:W665)</f>
        <v>5.9032707434427033E-2</v>
      </c>
      <c r="K148" s="54">
        <f>(VLOOKUP($A148,'The List'!$B1:$AH665,23,FALSE)-AVERAGE('The List'!X2:X665))/STDEV('The List'!X2:X665)</f>
        <v>1.3622222592646347</v>
      </c>
      <c r="L148" s="54">
        <f>(VLOOKUP($A148,'The List'!$B1:$AH665,24,FALSE)-AVERAGE('The List'!Y2:Y665))/STDEV('The List'!Y2:Y665)</f>
        <v>-0.14144844402682488</v>
      </c>
      <c r="M148" s="54">
        <f>(VLOOKUP($A148,'The List'!$B1:$AH665,25,FALSE)-AVERAGE('The List'!Z2:Z665))/STDEV('The List'!Z2:Z665)</f>
        <v>0.5398760879543083</v>
      </c>
      <c r="N148" s="54">
        <f>(VLOOKUP($A148,'The List'!$B1:$AH665,26,FALSE)-AVERAGE('The List'!AA2:AA665))/STDEV('The List'!AA2:AA665)</f>
        <v>3.1327599759658051</v>
      </c>
      <c r="O148" s="54">
        <f>(VLOOKUP($A148,'The List'!$B1:$AH665,27,FALSE)-AVERAGE('The List'!AB2:AB665))/STDEV('The List'!AB2:AB665)</f>
        <v>2.1635302231098188</v>
      </c>
      <c r="P148" s="54">
        <f>(VLOOKUP($A148,'The List'!$B1:$AH665,28,FALSE)-AVERAGE('The List'!AC2:AC665))/STDEV('The List'!AC2:AC665)</f>
        <v>-1.3440194688476537</v>
      </c>
      <c r="Q148" s="54">
        <f>(VLOOKUP($A148,'The List'!$B1:$AH665,29,FALSE)-AVERAGE('The List'!AD2:AD665))/STDEV('The List'!AD2:AD665)</f>
        <v>1.1089276423854892</v>
      </c>
      <c r="R148" s="54">
        <f>(VLOOKUP($A148,'The List'!$B1:$AH665,30,FALSE)-AVERAGE('The List'!AE2:AE665))/STDEV('The List'!AE2:AE665)</f>
        <v>-0.4716738289680254</v>
      </c>
      <c r="S148" s="54">
        <f>(VLOOKUP($A148,'The List'!$B1:$AH665,31,FALSE)-AVERAGE('The List'!AF2:AF665))/STDEV('The List'!AF2:AF665)</f>
        <v>-0.57389441068000469</v>
      </c>
      <c r="T148" s="54">
        <f>(VLOOKUP($A148,'The List'!$B1:$AH665,32,FALSE)-AVERAGE('The List'!AG2:AG665))/STDEV('The List'!AG2:AG665)</f>
        <v>-0.62577078713265111</v>
      </c>
      <c r="U148" s="54">
        <f>(VLOOKUP($A148,'The List'!$B1:$AH665,33,FALSE)-AVERAGE('The List'!AH2:AH665))/STDEV('The List'!AH2:AH665)</f>
        <v>-1.2314350945148611</v>
      </c>
      <c r="V148" s="54"/>
      <c r="W148" s="64"/>
      <c r="X148" s="56"/>
      <c r="Y148" s="56"/>
      <c r="Z148" s="56"/>
      <c r="AA148" s="56"/>
      <c r="AB148" s="56"/>
      <c r="AC148" s="59"/>
      <c r="AD148" s="60"/>
      <c r="AE148" s="54"/>
    </row>
    <row r="149" spans="1:31" ht="21.25" customHeight="1" x14ac:dyDescent="0.15">
      <c r="A149" s="9" t="s">
        <v>306</v>
      </c>
      <c r="B149" s="65" t="str">
        <f>VLOOKUP(A149,'Player Data'!A1:B667,2,FALSE)</f>
        <v>CHI</v>
      </c>
      <c r="C149" s="51">
        <f>((E149)*Settings!$C$12)+(F149*Settings!$C$2)+(G149*Settings!$C$3)+(H149*Settings!$C$4)+(I149*Settings!$C$5)+(K149*Settings!$C$9)+(N149*Settings!$C$6)+(J149*Settings!$C$8)+(O149*Settings!$C$7)+(P149*Settings!$C$14)+(Q149*Settings!$C$15)+(R149*Settings!$C$16)+(S149*Settings!$C$17)+(T149*Settings!$C$18)+(U149*Settings!$C$19)+(L149*Settings!$C$10)+(Settings!$C$11*M149)</f>
        <v>2.4330419985330338</v>
      </c>
      <c r="D149" s="56">
        <f>IF(Settings!$E$12="YES",VLOOKUP(A149,'Player Data'!A1:E667,5,FALSE),82)</f>
        <v>75.875</v>
      </c>
      <c r="E149" s="54">
        <f>(VLOOKUP($A149,'The List'!$B1:$AH665,17,FALSE)-AVERAGE('The List'!R2:R665))/STDEV('The List'!R2:R665)</f>
        <v>0.30140405526146219</v>
      </c>
      <c r="F149" s="54">
        <f>(VLOOKUP($A149,'The List'!$B1:$AH665,18,FALSE)-AVERAGE('The List'!S2:S665))/STDEV('The List'!S2:S665)</f>
        <v>0.87762813856178268</v>
      </c>
      <c r="G149" s="54">
        <f>(VLOOKUP($A149,'The List'!$B1:$AH665,19,FALSE)-AVERAGE('The List'!T2:T665))/STDEV('The List'!T2:T665)</f>
        <v>0.43052706013583275</v>
      </c>
      <c r="H149" s="54">
        <f>(VLOOKUP($A149,'The List'!$B1:$AH665,20,FALSE)-AVERAGE('The List'!U2:U665))/STDEV('The List'!U2:U665)</f>
        <v>0.66630521805937248</v>
      </c>
      <c r="I149" s="54">
        <f>(VLOOKUP($A149,'The List'!$B1:$AH665,21,FALSE)-AVERAGE('The List'!V2:V665))/STDEV('The List'!V2:V665)</f>
        <v>0.8112884495805579</v>
      </c>
      <c r="J149" s="54">
        <f>(VLOOKUP($A149,'The List'!$B1:$AH665,22,FALSE)-AVERAGE('The List'!W2:W665))/STDEV('The List'!W2:W665)</f>
        <v>1.3011943302495932</v>
      </c>
      <c r="K149" s="54">
        <f>(VLOOKUP($A149,'The List'!$B1:$AH665,23,FALSE)-AVERAGE('The List'!X2:X665))/STDEV('The List'!X2:X665)</f>
        <v>0.6948781710624784</v>
      </c>
      <c r="L149" s="54">
        <f>(VLOOKUP($A149,'The List'!$B1:$AH665,24,FALSE)-AVERAGE('The List'!Y2:Y665))/STDEV('The List'!Y2:Y665)</f>
        <v>-0.56472803131123595</v>
      </c>
      <c r="M149" s="54">
        <f>(VLOOKUP($A149,'The List'!$B1:$AH665,25,FALSE)-AVERAGE('The List'!Z2:Z665))/STDEV('The List'!Z2:Z665)</f>
        <v>-0.73630989328336538</v>
      </c>
      <c r="N149" s="54">
        <f>(VLOOKUP($A149,'The List'!$B1:$AH665,26,FALSE)-AVERAGE('The List'!AA2:AA665))/STDEV('The List'!AA2:AA665)</f>
        <v>-0.58052830607016237</v>
      </c>
      <c r="O149" s="54">
        <f>(VLOOKUP($A149,'The List'!$B1:$AH665,27,FALSE)-AVERAGE('The List'!AB2:AB665))/STDEV('The List'!AB2:AB665)</f>
        <v>-2.3189500135050028E-2</v>
      </c>
      <c r="P149" s="54">
        <f>(VLOOKUP($A149,'The List'!$B1:$AH665,28,FALSE)-AVERAGE('The List'!AC2:AC665))/STDEV('The List'!AC2:AC665)</f>
        <v>0.19924848526254432</v>
      </c>
      <c r="Q149" s="54">
        <f>(VLOOKUP($A149,'The List'!$B1:$AH665,29,FALSE)-AVERAGE('The List'!AD2:AD665))/STDEV('The List'!AD2:AD665)</f>
        <v>0.46678315868943865</v>
      </c>
      <c r="R149" s="54">
        <f>(VLOOKUP($A149,'The List'!$B1:$AH665,30,FALSE)-AVERAGE('The List'!AE2:AE665))/STDEV('The List'!AE2:AE665)</f>
        <v>0.55914663831244937</v>
      </c>
      <c r="S149" s="54">
        <f>(VLOOKUP($A149,'The List'!$B1:$AH665,31,FALSE)-AVERAGE('The List'!AF2:AF665))/STDEV('The List'!AF2:AF665)</f>
        <v>-0.55162033622324569</v>
      </c>
      <c r="T149" s="54">
        <f>(VLOOKUP($A149,'The List'!$B1:$AH665,32,FALSE)-AVERAGE('The List'!AG2:AG665))/STDEV('The List'!AG2:AG665)</f>
        <v>-0.56371596961572679</v>
      </c>
      <c r="U149" s="54">
        <f>(VLOOKUP($A149,'The List'!$B1:$AH665,33,FALSE)-AVERAGE('The List'!AH2:AH665))/STDEV('The List'!AH2:AH665)</f>
        <v>2.1045722112615569E-2</v>
      </c>
      <c r="V149" s="54"/>
      <c r="W149" s="64"/>
      <c r="X149" s="56"/>
      <c r="Y149" s="56"/>
      <c r="Z149" s="56"/>
      <c r="AA149" s="56"/>
      <c r="AB149" s="56"/>
      <c r="AC149" s="59"/>
      <c r="AD149" s="60"/>
      <c r="AE149" s="54"/>
    </row>
    <row r="150" spans="1:31" ht="21.25" customHeight="1" x14ac:dyDescent="0.15">
      <c r="A150" s="9" t="s">
        <v>325</v>
      </c>
      <c r="B150" s="65" t="str">
        <f>VLOOKUP(A150,'Player Data'!A1:B667,2,FALSE)</f>
        <v>STL</v>
      </c>
      <c r="C150" s="51">
        <f>((E150)*Settings!$C$12)+(F150*Settings!$C$2)+(G150*Settings!$C$3)+(H150*Settings!$C$4)+(I150*Settings!$C$5)+(K150*Settings!$C$9)+(N150*Settings!$C$6)+(J150*Settings!$C$8)+(O150*Settings!$C$7)+(P150*Settings!$C$14)+(Q150*Settings!$C$15)+(R150*Settings!$C$16)+(S150*Settings!$C$17)+(T150*Settings!$C$18)+(U150*Settings!$C$19)+(L150*Settings!$C$10)+(Settings!$C$11*M150)</f>
        <v>0.46686530647678781</v>
      </c>
      <c r="D150" s="56">
        <f>IF(Settings!$E$12="YES",VLOOKUP(A150,'Player Data'!A1:E667,5,FALSE),82)</f>
        <v>80.03</v>
      </c>
      <c r="E150" s="54">
        <f>(VLOOKUP($A150,'The List'!$B1:$AH665,17,FALSE)-AVERAGE('The List'!R2:R665))/STDEV('The List'!R2:R665)</f>
        <v>0.25985194561299479</v>
      </c>
      <c r="F150" s="54">
        <f>(VLOOKUP($A150,'The List'!$B1:$AH665,18,FALSE)-AVERAGE('The List'!S2:S665))/STDEV('The List'!S2:S665)</f>
        <v>0.59159024156514606</v>
      </c>
      <c r="G150" s="54">
        <f>(VLOOKUP($A150,'The List'!$B1:$AH665,19,FALSE)-AVERAGE('The List'!T2:T665))/STDEV('The List'!T2:T665)</f>
        <v>0.64523771405339969</v>
      </c>
      <c r="H150" s="54">
        <f>(VLOOKUP($A150,'The List'!$B1:$AH665,20,FALSE)-AVERAGE('The List'!U2:U665))/STDEV('The List'!U2:U665)</f>
        <v>0.66963478625970874</v>
      </c>
      <c r="I150" s="54">
        <f>(VLOOKUP($A150,'The List'!$B1:$AH665,21,FALSE)-AVERAGE('The List'!V2:V665))/STDEV('The List'!V2:V665)</f>
        <v>0.41960499913266192</v>
      </c>
      <c r="J150" s="54">
        <f>(VLOOKUP($A150,'The List'!$B1:$AH665,22,FALSE)-AVERAGE('The List'!W2:W665))/STDEV('The List'!W2:W665)</f>
        <v>0.71194003974175235</v>
      </c>
      <c r="K150" s="54">
        <f>(VLOOKUP($A150,'The List'!$B1:$AH665,23,FALSE)-AVERAGE('The List'!X2:X665))/STDEV('The List'!X2:X665)</f>
        <v>0.67611808672965168</v>
      </c>
      <c r="L150" s="54">
        <f>(VLOOKUP($A150,'The List'!$B1:$AH665,24,FALSE)-AVERAGE('The List'!Y2:Y665))/STDEV('The List'!Y2:Y665)</f>
        <v>0.2538743277366059</v>
      </c>
      <c r="M150" s="54">
        <f>(VLOOKUP($A150,'The List'!$B1:$AH665,25,FALSE)-AVERAGE('The List'!Z2:Z665))/STDEV('The List'!Z2:Z665)</f>
        <v>-0.16889062197795537</v>
      </c>
      <c r="N150" s="54">
        <f>(VLOOKUP($A150,'The List'!$B1:$AH665,26,FALSE)-AVERAGE('The List'!AA2:AA665))/STDEV('The List'!AA2:AA665)</f>
        <v>-0.50280704937744247</v>
      </c>
      <c r="O150" s="54">
        <f>(VLOOKUP($A150,'The List'!$B1:$AH665,27,FALSE)-AVERAGE('The List'!AB2:AB665))/STDEV('The List'!AB2:AB665)</f>
        <v>1.1175390489074375</v>
      </c>
      <c r="P150" s="54">
        <f>(VLOOKUP($A150,'The List'!$B1:$AH665,28,FALSE)-AVERAGE('The List'!AC2:AC665))/STDEV('The List'!AC2:AC665)</f>
        <v>-1.3628786856266291</v>
      </c>
      <c r="Q150" s="54">
        <f>(VLOOKUP($A150,'The List'!$B1:$AH665,29,FALSE)-AVERAGE('The List'!AD2:AD665))/STDEV('The List'!AD2:AD665)</f>
        <v>0.85532053189122492</v>
      </c>
      <c r="R150" s="54">
        <f>(VLOOKUP($A150,'The List'!$B1:$AH665,30,FALSE)-AVERAGE('The List'!AE2:AE665))/STDEV('The List'!AE2:AE665)</f>
        <v>0.21263006156294534</v>
      </c>
      <c r="S150" s="54">
        <f>(VLOOKUP($A150,'The List'!$B1:$AH665,31,FALSE)-AVERAGE('The List'!AF2:AF665))/STDEV('The List'!AF2:AF665)</f>
        <v>1.5036168936280581</v>
      </c>
      <c r="T150" s="54">
        <f>(VLOOKUP($A150,'The List'!$B1:$AH665,32,FALSE)-AVERAGE('The List'!AG2:AG665))/STDEV('The List'!AG2:AG665)</f>
        <v>1.7374288498463688</v>
      </c>
      <c r="U150" s="54">
        <f>(VLOOKUP($A150,'The List'!$B1:$AH665,33,FALSE)-AVERAGE('The List'!AH2:AH665))/STDEV('The List'!AH2:AH665)</f>
        <v>0.95903041334008188</v>
      </c>
      <c r="V150" s="54"/>
      <c r="W150" s="64"/>
      <c r="X150" s="56"/>
      <c r="Y150" s="56"/>
      <c r="Z150" s="56"/>
      <c r="AA150" s="56"/>
      <c r="AB150" s="56"/>
      <c r="AC150" s="59"/>
      <c r="AD150" s="60"/>
      <c r="AE150" s="54"/>
    </row>
    <row r="151" spans="1:31" ht="21.25" customHeight="1" x14ac:dyDescent="0.15">
      <c r="A151" s="9" t="s">
        <v>435</v>
      </c>
      <c r="B151" s="65" t="str">
        <f>VLOOKUP(A151,'Player Data'!A1:B667,2,FALSE)</f>
        <v>DAL</v>
      </c>
      <c r="C151" s="51">
        <f>((E151)*Settings!$C$12)+(F151*Settings!$C$2)+(G151*Settings!$C$3)+(H151*Settings!$C$4)+(I151*Settings!$C$5)+(K151*Settings!$C$9)+(N151*Settings!$C$6)+(J151*Settings!$C$8)+(O151*Settings!$C$7)+(P151*Settings!$C$14)+(Q151*Settings!$C$15)+(R151*Settings!$C$16)+(S151*Settings!$C$17)+(T151*Settings!$C$18)+(U151*Settings!$C$19)+(L151*Settings!$C$10)+(Settings!$C$11*M151)</f>
        <v>1.4996457398489653</v>
      </c>
      <c r="D151" s="56">
        <f>IF(Settings!$E$12="YES",VLOOKUP(A151,'Player Data'!A1:E667,5,FALSE),82)</f>
        <v>70.3</v>
      </c>
      <c r="E151" s="54">
        <f>(VLOOKUP($A151,'The List'!$B1:$AH665,17,FALSE)-AVERAGE('The List'!R2:R665))/STDEV('The List'!R2:R665)</f>
        <v>-0.49008935528342618</v>
      </c>
      <c r="F151" s="54">
        <f>(VLOOKUP($A151,'The List'!$B1:$AH665,18,FALSE)-AVERAGE('The List'!S2:S665))/STDEV('The List'!S2:S665)</f>
        <v>0.55883165567713855</v>
      </c>
      <c r="G151" s="54">
        <f>(VLOOKUP($A151,'The List'!$B1:$AH665,19,FALSE)-AVERAGE('The List'!T2:T665))/STDEV('The List'!T2:T665)</f>
        <v>0.19724318437702695</v>
      </c>
      <c r="H151" s="54">
        <f>(VLOOKUP($A151,'The List'!$B1:$AH665,20,FALSE)-AVERAGE('The List'!U2:U665))/STDEV('The List'!U2:U665)</f>
        <v>0.37651465901650083</v>
      </c>
      <c r="I151" s="54">
        <f>(VLOOKUP($A151,'The List'!$B1:$AH665,21,FALSE)-AVERAGE('The List'!V2:V665))/STDEV('The List'!V2:V665)</f>
        <v>0.22149240037783283</v>
      </c>
      <c r="J151" s="54">
        <f>(VLOOKUP($A151,'The List'!$B1:$AH665,22,FALSE)-AVERAGE('The List'!W2:W665))/STDEV('The List'!W2:W665)</f>
        <v>0.28170253638894532</v>
      </c>
      <c r="K151" s="54">
        <f>(VLOOKUP($A151,'The List'!$B1:$AH665,23,FALSE)-AVERAGE('The List'!X2:X665))/STDEV('The List'!X2:X665)</f>
        <v>6.5236011251100526E-2</v>
      </c>
      <c r="L151" s="54">
        <f>(VLOOKUP($A151,'The List'!$B1:$AH665,24,FALSE)-AVERAGE('The List'!Y2:Y665))/STDEV('The List'!Y2:Y665)</f>
        <v>-0.57127418778552175</v>
      </c>
      <c r="M151" s="54">
        <f>(VLOOKUP($A151,'The List'!$B1:$AH665,25,FALSE)-AVERAGE('The List'!Z2:Z665))/STDEV('The List'!Z2:Z665)</f>
        <v>-0.74498762990200129</v>
      </c>
      <c r="N151" s="54">
        <f>(VLOOKUP($A151,'The List'!$B1:$AH665,26,FALSE)-AVERAGE('The List'!AA2:AA665))/STDEV('The List'!AA2:AA665)</f>
        <v>-0.77297113418535679</v>
      </c>
      <c r="O151" s="54">
        <f>(VLOOKUP($A151,'The List'!$B1:$AH665,27,FALSE)-AVERAGE('The List'!AB2:AB665))/STDEV('The List'!AB2:AB665)</f>
        <v>-0.47871748493400373</v>
      </c>
      <c r="P151" s="54">
        <f>(VLOOKUP($A151,'The List'!$B1:$AH665,28,FALSE)-AVERAGE('The List'!AC2:AC665))/STDEV('The List'!AC2:AC665)</f>
        <v>1.2298136223512235</v>
      </c>
      <c r="Q151" s="54">
        <f>(VLOOKUP($A151,'The List'!$B1:$AH665,29,FALSE)-AVERAGE('The List'!AD2:AD665))/STDEV('The List'!AD2:AD665)</f>
        <v>-0.73189476680351773</v>
      </c>
      <c r="R151" s="54">
        <f>(VLOOKUP($A151,'The List'!$B1:$AH665,30,FALSE)-AVERAGE('The List'!AE2:AE665))/STDEV('The List'!AE2:AE665)</f>
        <v>0.66737595203532052</v>
      </c>
      <c r="S151" s="54">
        <f>(VLOOKUP($A151,'The List'!$B1:$AH665,31,FALSE)-AVERAGE('The List'!AF2:AF665))/STDEV('The List'!AF2:AF665)</f>
        <v>-0.41417423344743731</v>
      </c>
      <c r="T151" s="54">
        <f>(VLOOKUP($A151,'The List'!$B1:$AH665,32,FALSE)-AVERAGE('The List'!AG2:AG665))/STDEV('The List'!AG2:AG665)</f>
        <v>-0.53310595683096018</v>
      </c>
      <c r="U151" s="54">
        <f>(VLOOKUP($A151,'The List'!$B1:$AH665,33,FALSE)-AVERAGE('The List'!AH2:AH665))/STDEV('The List'!AH2:AH665)</f>
        <v>1.7017204361313674</v>
      </c>
      <c r="V151" s="54"/>
      <c r="W151" s="64"/>
      <c r="X151" s="56"/>
      <c r="Y151" s="56"/>
      <c r="Z151" s="56"/>
      <c r="AA151" s="56"/>
      <c r="AB151" s="56"/>
      <c r="AC151" s="59"/>
      <c r="AD151" s="60"/>
      <c r="AE151" s="54"/>
    </row>
    <row r="152" spans="1:31" ht="21.25" customHeight="1" x14ac:dyDescent="0.15">
      <c r="A152" s="9" t="s">
        <v>440</v>
      </c>
      <c r="B152" s="65" t="str">
        <f>VLOOKUP(A152,'Player Data'!A1:B667,2,FALSE)</f>
        <v>NSH</v>
      </c>
      <c r="C152" s="51">
        <f>((E152)*Settings!$C$12)+(F152*Settings!$C$2)+(G152*Settings!$C$3)+(H152*Settings!$C$4)+(I152*Settings!$C$5)+(K152*Settings!$C$9)+(N152*Settings!$C$6)+(J152*Settings!$C$8)+(O152*Settings!$C$7)+(P152*Settings!$C$14)+(Q152*Settings!$C$15)+(R152*Settings!$C$16)+(S152*Settings!$C$17)+(T152*Settings!$C$18)+(U152*Settings!$C$19)+(L152*Settings!$C$10)+(Settings!$C$11*M152)</f>
        <v>0.80973035586659659</v>
      </c>
      <c r="D152" s="56">
        <f>IF(Settings!$E$12="YES",VLOOKUP(A152,'Player Data'!A1:E667,5,FALSE),82)</f>
        <v>70.314999999999998</v>
      </c>
      <c r="E152" s="54">
        <f>(VLOOKUP($A152,'The List'!$B1:$AH665,17,FALSE)-AVERAGE('The List'!R2:R665))/STDEV('The List'!R2:R665)</f>
        <v>-0.39903122623211146</v>
      </c>
      <c r="F152" s="54">
        <f>(VLOOKUP($A152,'The List'!$B1:$AH665,18,FALSE)-AVERAGE('The List'!S2:S665))/STDEV('The List'!S2:S665)</f>
        <v>0.47856046090189536</v>
      </c>
      <c r="G152" s="54">
        <f>(VLOOKUP($A152,'The List'!$B1:$AH665,19,FALSE)-AVERAGE('The List'!T2:T665))/STDEV('The List'!T2:T665)</f>
        <v>0.41872742833690285</v>
      </c>
      <c r="H152" s="54">
        <f>(VLOOKUP($A152,'The List'!$B1:$AH665,20,FALSE)-AVERAGE('The List'!U2:U665))/STDEV('The List'!U2:U665)</f>
        <v>0.47758175453539597</v>
      </c>
      <c r="I152" s="54">
        <f>(VLOOKUP($A152,'The List'!$B1:$AH665,21,FALSE)-AVERAGE('The List'!V2:V665))/STDEV('The List'!V2:V665)</f>
        <v>-0.16655324834486462</v>
      </c>
      <c r="J152" s="54">
        <f>(VLOOKUP($A152,'The List'!$B1:$AH665,22,FALSE)-AVERAGE('The List'!W2:W665))/STDEV('The List'!W2:W665)</f>
        <v>0.51931320577413587</v>
      </c>
      <c r="K152" s="54">
        <f>(VLOOKUP($A152,'The List'!$B1:$AH665,23,FALSE)-AVERAGE('The List'!X2:X665))/STDEV('The List'!X2:X665)</f>
        <v>0.25133860662978275</v>
      </c>
      <c r="L152" s="54">
        <f>(VLOOKUP($A152,'The List'!$B1:$AH665,24,FALSE)-AVERAGE('The List'!Y2:Y665))/STDEV('The List'!Y2:Y665)</f>
        <v>-0.56188220977317926</v>
      </c>
      <c r="M152" s="54">
        <f>(VLOOKUP($A152,'The List'!$B1:$AH665,25,FALSE)-AVERAGE('The List'!Z2:Z665))/STDEV('The List'!Z2:Z665)</f>
        <v>-0.73527778735144955</v>
      </c>
      <c r="N152" s="54">
        <f>(VLOOKUP($A152,'The List'!$B1:$AH665,26,FALSE)-AVERAGE('The List'!AA2:AA665))/STDEV('The List'!AA2:AA665)</f>
        <v>-0.74551125851322753</v>
      </c>
      <c r="O152" s="54">
        <f>(VLOOKUP($A152,'The List'!$B1:$AH665,27,FALSE)-AVERAGE('The List'!AB2:AB665))/STDEV('The List'!AB2:AB665)</f>
        <v>-1.5814435073979185</v>
      </c>
      <c r="P152" s="54">
        <f>(VLOOKUP($A152,'The List'!$B1:$AH665,28,FALSE)-AVERAGE('The List'!AC2:AC665))/STDEV('The List'!AC2:AC665)</f>
        <v>0.57316836685610772</v>
      </c>
      <c r="Q152" s="54">
        <f>(VLOOKUP($A152,'The List'!$B1:$AH665,29,FALSE)-AVERAGE('The List'!AD2:AD665))/STDEV('The List'!AD2:AD665)</f>
        <v>-1.3710085335665239</v>
      </c>
      <c r="R152" s="54">
        <f>(VLOOKUP($A152,'The List'!$B1:$AH665,30,FALSE)-AVERAGE('The List'!AE2:AE665))/STDEV('The List'!AE2:AE665)</f>
        <v>0.37183847372522755</v>
      </c>
      <c r="S152" s="54">
        <f>(VLOOKUP($A152,'The List'!$B1:$AH665,31,FALSE)-AVERAGE('The List'!AF2:AF665))/STDEV('The List'!AF2:AF665)</f>
        <v>0.55071208989679532</v>
      </c>
      <c r="T152" s="54">
        <f>(VLOOKUP($A152,'The List'!$B1:$AH665,32,FALSE)-AVERAGE('The List'!AG2:AG665))/STDEV('The List'!AG2:AG665)</f>
        <v>0.94843183299630751</v>
      </c>
      <c r="U152" s="54">
        <f>(VLOOKUP($A152,'The List'!$B1:$AH665,33,FALSE)-AVERAGE('The List'!AH2:AH665))/STDEV('The List'!AH2:AH665)</f>
        <v>0.72582469556116547</v>
      </c>
      <c r="V152" s="54"/>
      <c r="W152" s="64"/>
      <c r="X152" s="56"/>
      <c r="Y152" s="56"/>
      <c r="Z152" s="56"/>
      <c r="AA152" s="56"/>
      <c r="AB152" s="56"/>
      <c r="AC152" s="59"/>
      <c r="AD152" s="60"/>
      <c r="AE152" s="54"/>
    </row>
    <row r="153" spans="1:31" ht="21.25" customHeight="1" x14ac:dyDescent="0.15">
      <c r="A153" s="9" t="s">
        <v>370</v>
      </c>
      <c r="B153" s="65" t="str">
        <f>VLOOKUP(A153,'Player Data'!A1:B667,2,FALSE)</f>
        <v>TOR</v>
      </c>
      <c r="C153" s="51">
        <f>((E153)*Settings!$C$12)+(F153*Settings!$C$2)+(G153*Settings!$C$3)+(H153*Settings!$C$4)+(I153*Settings!$C$5)+(K153*Settings!$C$9)+(N153*Settings!$C$6)+(J153*Settings!$C$8)+(O153*Settings!$C$7)+(P153*Settings!$C$14)+(Q153*Settings!$C$15)+(R153*Settings!$C$16)+(S153*Settings!$C$17)+(T153*Settings!$C$18)+(U153*Settings!$C$19)+(L153*Settings!$C$10)+(Settings!$C$11*M153)</f>
        <v>1.9786279862742457</v>
      </c>
      <c r="D153" s="56">
        <f>IF(Settings!$E$12="YES",VLOOKUP(A153,'Player Data'!A1:E667,5,FALSE),82)</f>
        <v>79.849999999999994</v>
      </c>
      <c r="E153" s="54">
        <f>(VLOOKUP($A153,'The List'!$B1:$AH665,17,FALSE)-AVERAGE('The List'!R2:R665))/STDEV('The List'!R2:R665)</f>
        <v>-0.14292688805856213</v>
      </c>
      <c r="F153" s="54">
        <f>(VLOOKUP($A153,'The List'!$B1:$AH665,18,FALSE)-AVERAGE('The List'!S2:S665))/STDEV('The List'!S2:S665)</f>
        <v>0.75001707267114148</v>
      </c>
      <c r="G153" s="54">
        <f>(VLOOKUP($A153,'The List'!$B1:$AH665,19,FALSE)-AVERAGE('The List'!T2:T665))/STDEV('The List'!T2:T665)</f>
        <v>0.46386241375668558</v>
      </c>
      <c r="H153" s="54">
        <f>(VLOOKUP($A153,'The List'!$B1:$AH665,20,FALSE)-AVERAGE('The List'!U2:U665))/STDEV('The List'!U2:U665)</f>
        <v>0.62900305175382287</v>
      </c>
      <c r="I153" s="54">
        <f>(VLOOKUP($A153,'The List'!$B1:$AH665,21,FALSE)-AVERAGE('The List'!V2:V665))/STDEV('The List'!V2:V665)</f>
        <v>0.20386249778499779</v>
      </c>
      <c r="J153" s="54">
        <f>(VLOOKUP($A153,'The List'!$B1:$AH665,22,FALSE)-AVERAGE('The List'!W2:W665))/STDEV('The List'!W2:W665)</f>
        <v>-0.25232327581664565</v>
      </c>
      <c r="K153" s="54">
        <f>(VLOOKUP($A153,'The List'!$B1:$AH665,23,FALSE)-AVERAGE('The List'!X2:X665))/STDEV('The List'!X2:X665)</f>
        <v>-0.1141002355602992</v>
      </c>
      <c r="L153" s="54">
        <f>(VLOOKUP($A153,'The List'!$B1:$AH665,24,FALSE)-AVERAGE('The List'!Y2:Y665))/STDEV('The List'!Y2:Y665)</f>
        <v>-0.37881118988604456</v>
      </c>
      <c r="M153" s="54">
        <f>(VLOOKUP($A153,'The List'!$B1:$AH665,25,FALSE)-AVERAGE('The List'!Z2:Z665))/STDEV('The List'!Z2:Z665)</f>
        <v>-0.54972662911975989</v>
      </c>
      <c r="N153" s="54">
        <f>(VLOOKUP($A153,'The List'!$B1:$AH665,26,FALSE)-AVERAGE('The List'!AA2:AA665))/STDEV('The List'!AA2:AA665)</f>
        <v>-0.70531904746082985</v>
      </c>
      <c r="O153" s="54">
        <f>(VLOOKUP($A153,'The List'!$B1:$AH665,27,FALSE)-AVERAGE('The List'!AB2:AB665))/STDEV('The List'!AB2:AB665)</f>
        <v>1.7589299234183251</v>
      </c>
      <c r="P153" s="54">
        <f>(VLOOKUP($A153,'The List'!$B1:$AH665,28,FALSE)-AVERAGE('The List'!AC2:AC665))/STDEV('The List'!AC2:AC665)</f>
        <v>1.3803052850825497</v>
      </c>
      <c r="Q153" s="54">
        <f>(VLOOKUP($A153,'The List'!$B1:$AH665,29,FALSE)-AVERAGE('The List'!AD2:AD665))/STDEV('The List'!AD2:AD665)</f>
        <v>1.0068015437261699</v>
      </c>
      <c r="R153" s="54">
        <f>(VLOOKUP($A153,'The List'!$B1:$AH665,30,FALSE)-AVERAGE('The List'!AE2:AE665))/STDEV('The List'!AE2:AE665)</f>
        <v>0.86446884917112765</v>
      </c>
      <c r="S153" s="54">
        <f>(VLOOKUP($A153,'The List'!$B1:$AH665,31,FALSE)-AVERAGE('The List'!AF2:AF665))/STDEV('The List'!AF2:AF665)</f>
        <v>-0.57389441068000469</v>
      </c>
      <c r="T153" s="54">
        <f>(VLOOKUP($A153,'The List'!$B1:$AH665,32,FALSE)-AVERAGE('The List'!AG2:AG665))/STDEV('The List'!AG2:AG665)</f>
        <v>-0.61969719316786176</v>
      </c>
      <c r="U153" s="54">
        <f>(VLOOKUP($A153,'The List'!$B1:$AH665,33,FALSE)-AVERAGE('The List'!AH2:AH665))/STDEV('The List'!AH2:AH665)</f>
        <v>-1.2314350945148611</v>
      </c>
      <c r="V153" s="54"/>
      <c r="W153" s="56"/>
      <c r="X153" s="54"/>
      <c r="Y153" s="54"/>
      <c r="Z153" s="54"/>
      <c r="AA153" s="54"/>
      <c r="AB153" s="54"/>
      <c r="AC153" s="54"/>
      <c r="AD153" s="54"/>
      <c r="AE153" s="54"/>
    </row>
    <row r="154" spans="1:31" ht="21.25" customHeight="1" x14ac:dyDescent="0.15">
      <c r="A154" s="9" t="s">
        <v>394</v>
      </c>
      <c r="B154" s="65" t="str">
        <f>VLOOKUP(A154,'Player Data'!A1:B667,2,FALSE)</f>
        <v>CBJ</v>
      </c>
      <c r="C154" s="51">
        <f>((E154)*Settings!$C$12)+(F154*Settings!$C$2)+(G154*Settings!$C$3)+(H154*Settings!$C$4)+(I154*Settings!$C$5)+(K154*Settings!$C$9)+(N154*Settings!$C$6)+(J154*Settings!$C$8)+(O154*Settings!$C$7)+(P154*Settings!$C$14)+(Q154*Settings!$C$15)+(R154*Settings!$C$16)+(S154*Settings!$C$17)+(T154*Settings!$C$18)+(U154*Settings!$C$19)+(L154*Settings!$C$10)+(Settings!$C$11*M154)</f>
        <v>0.92833488053030999</v>
      </c>
      <c r="D154" s="56">
        <f>IF(Settings!$E$12="YES",VLOOKUP(A154,'Player Data'!A1:E667,5,FALSE),82)</f>
        <v>72.67</v>
      </c>
      <c r="E154" s="54">
        <f>(VLOOKUP($A154,'The List'!$B1:$AH665,17,FALSE)-AVERAGE('The List'!R2:R665))/STDEV('The List'!R2:R665)</f>
        <v>0.26633682893399852</v>
      </c>
      <c r="F154" s="54">
        <f>(VLOOKUP($A154,'The List'!$B1:$AH665,18,FALSE)-AVERAGE('The List'!S2:S665))/STDEV('The List'!S2:S665)</f>
        <v>0.55273667435950469</v>
      </c>
      <c r="G154" s="54">
        <f>(VLOOKUP($A154,'The List'!$B1:$AH665,19,FALSE)-AVERAGE('The List'!T2:T665))/STDEV('The List'!T2:T665)</f>
        <v>0.2768582149049974</v>
      </c>
      <c r="H154" s="54">
        <f>(VLOOKUP($A154,'The List'!$B1:$AH665,20,FALSE)-AVERAGE('The List'!U2:U665))/STDEV('The List'!U2:U665)</f>
        <v>0.42318961085080342</v>
      </c>
      <c r="I154" s="54">
        <f>(VLOOKUP($A154,'The List'!$B1:$AH665,21,FALSE)-AVERAGE('The List'!V2:V665))/STDEV('The List'!V2:V665)</f>
        <v>0.24177114476598277</v>
      </c>
      <c r="J154" s="54">
        <f>(VLOOKUP($A154,'The List'!$B1:$AH665,22,FALSE)-AVERAGE('The List'!W2:W665))/STDEV('The List'!W2:W665)</f>
        <v>0.85054332392825427</v>
      </c>
      <c r="K154" s="54">
        <f>(VLOOKUP($A154,'The List'!$B1:$AH665,23,FALSE)-AVERAGE('The List'!X2:X665))/STDEV('The List'!X2:X665)</f>
        <v>0.68411450278808061</v>
      </c>
      <c r="L154" s="54">
        <f>(VLOOKUP($A154,'The List'!$B1:$AH665,24,FALSE)-AVERAGE('The List'!Y2:Y665))/STDEV('The List'!Y2:Y665)</f>
        <v>1.6079301792507705</v>
      </c>
      <c r="M154" s="54">
        <f>(VLOOKUP($A154,'The List'!$B1:$AH665,25,FALSE)-AVERAGE('The List'!Z2:Z665))/STDEV('The List'!Z2:Z665)</f>
        <v>0.68540877077013884</v>
      </c>
      <c r="N154" s="54">
        <f>(VLOOKUP($A154,'The List'!$B1:$AH665,26,FALSE)-AVERAGE('The List'!AA2:AA665))/STDEV('The List'!AA2:AA665)</f>
        <v>-0.65184727231023509</v>
      </c>
      <c r="O154" s="54">
        <f>(VLOOKUP($A154,'The List'!$B1:$AH665,27,FALSE)-AVERAGE('The List'!AB2:AB665))/STDEV('The List'!AB2:AB665)</f>
        <v>-1.201127448121375</v>
      </c>
      <c r="P154" s="54">
        <f>(VLOOKUP($A154,'The List'!$B1:$AH665,28,FALSE)-AVERAGE('The List'!AC2:AC665))/STDEV('The List'!AC2:AC665)</f>
        <v>-0.17529838397802039</v>
      </c>
      <c r="Q154" s="54">
        <f>(VLOOKUP($A154,'The List'!$B1:$AH665,29,FALSE)-AVERAGE('The List'!AD2:AD665))/STDEV('The List'!AD2:AD665)</f>
        <v>-0.87753937008711902</v>
      </c>
      <c r="R154" s="54">
        <f>(VLOOKUP($A154,'The List'!$B1:$AH665,30,FALSE)-AVERAGE('The List'!AE2:AE665))/STDEV('The List'!AE2:AE665)</f>
        <v>6.3841063761426023E-2</v>
      </c>
      <c r="S154" s="54">
        <f>(VLOOKUP($A154,'The List'!$B1:$AH665,31,FALSE)-AVERAGE('The List'!AF2:AF665))/STDEV('The List'!AF2:AF665)</f>
        <v>2.2962870405244744</v>
      </c>
      <c r="T154" s="54">
        <f>(VLOOKUP($A154,'The List'!$B1:$AH665,32,FALSE)-AVERAGE('The List'!AG2:AG665))/STDEV('The List'!AG2:AG665)</f>
        <v>1.9202025080031213</v>
      </c>
      <c r="U154" s="54">
        <f>(VLOOKUP($A154,'The List'!$B1:$AH665,33,FALSE)-AVERAGE('The List'!AH2:AH665))/STDEV('The List'!AH2:AH665)</f>
        <v>1.240290466036061</v>
      </c>
      <c r="V154" s="54"/>
      <c r="W154" s="56"/>
      <c r="X154" s="54"/>
      <c r="Y154" s="54"/>
      <c r="Z154" s="54"/>
      <c r="AA154" s="54"/>
      <c r="AB154" s="54"/>
      <c r="AC154" s="54"/>
      <c r="AD154" s="54"/>
      <c r="AE154" s="54"/>
    </row>
    <row r="155" spans="1:31" ht="21.25" customHeight="1" x14ac:dyDescent="0.15">
      <c r="A155" s="9" t="s">
        <v>314</v>
      </c>
      <c r="B155" s="65" t="str">
        <f>VLOOKUP(A155,'Player Data'!A1:B667,2,FALSE)</f>
        <v>DAL</v>
      </c>
      <c r="C155" s="51">
        <f>((E155)*Settings!$C$12)+(F155*Settings!$C$2)+(G155*Settings!$C$3)+(H155*Settings!$C$4)+(I155*Settings!$C$5)+(K155*Settings!$C$9)+(N155*Settings!$C$6)+(J155*Settings!$C$8)+(O155*Settings!$C$7)+(P155*Settings!$C$14)+(Q155*Settings!$C$15)+(R155*Settings!$C$16)+(S155*Settings!$C$17)+(T155*Settings!$C$18)+(U155*Settings!$C$19)+(L155*Settings!$C$10)+(Settings!$C$11*M155)</f>
        <v>2.1460392235091388</v>
      </c>
      <c r="D155" s="56">
        <f>IF(Settings!$E$12="YES",VLOOKUP(A155,'Player Data'!A1:E667,5,FALSE),82)</f>
        <v>78.62</v>
      </c>
      <c r="E155" s="54">
        <f>(VLOOKUP($A155,'The List'!$B1:$AH665,17,FALSE)-AVERAGE('The List'!R2:R665))/STDEV('The List'!R2:R665)</f>
        <v>-4.8004415629618387E-2</v>
      </c>
      <c r="F155" s="54">
        <f>(VLOOKUP($A155,'The List'!$B1:$AH665,18,FALSE)-AVERAGE('The List'!S2:S665))/STDEV('The List'!S2:S665)</f>
        <v>0.85168304164705699</v>
      </c>
      <c r="G155" s="54">
        <f>(VLOOKUP($A155,'The List'!$B1:$AH665,19,FALSE)-AVERAGE('The List'!T2:T665))/STDEV('The List'!T2:T665)</f>
        <v>0.3289592902332919</v>
      </c>
      <c r="H155" s="54">
        <f>(VLOOKUP($A155,'The List'!$B1:$AH665,20,FALSE)-AVERAGE('The List'!U2:U665))/STDEV('The List'!U2:U665)</f>
        <v>0.59143264216855262</v>
      </c>
      <c r="I155" s="54">
        <f>(VLOOKUP($A155,'The List'!$B1:$AH665,21,FALSE)-AVERAGE('The List'!V2:V665))/STDEV('The List'!V2:V665)</f>
        <v>0.77099920007584199</v>
      </c>
      <c r="J155" s="54">
        <f>(VLOOKUP($A155,'The List'!$B1:$AH665,22,FALSE)-AVERAGE('The List'!W2:W665))/STDEV('The List'!W2:W665)</f>
        <v>0.32485177107308794</v>
      </c>
      <c r="K155" s="54">
        <f>(VLOOKUP($A155,'The List'!$B1:$AH665,23,FALSE)-AVERAGE('The List'!X2:X665))/STDEV('The List'!X2:X665)</f>
        <v>0.12396095754550832</v>
      </c>
      <c r="L155" s="54">
        <f>(VLOOKUP($A155,'The List'!$B1:$AH665,24,FALSE)-AVERAGE('The List'!Y2:Y665))/STDEV('The List'!Y2:Y665)</f>
        <v>0.15540927937500082</v>
      </c>
      <c r="M155" s="54">
        <f>(VLOOKUP($A155,'The List'!$B1:$AH665,25,FALSE)-AVERAGE('The List'!Z2:Z665))/STDEV('The List'!Z2:Z665)</f>
        <v>0.66993022581319228</v>
      </c>
      <c r="N155" s="54">
        <f>(VLOOKUP($A155,'The List'!$B1:$AH665,26,FALSE)-AVERAGE('The List'!AA2:AA665))/STDEV('The List'!AA2:AA665)</f>
        <v>-0.89128104490840887</v>
      </c>
      <c r="O155" s="54">
        <f>(VLOOKUP($A155,'The List'!$B1:$AH665,27,FALSE)-AVERAGE('The List'!AB2:AB665))/STDEV('The List'!AB2:AB665)</f>
        <v>-0.33018789385511355</v>
      </c>
      <c r="P155" s="54">
        <f>(VLOOKUP($A155,'The List'!$B1:$AH665,28,FALSE)-AVERAGE('The List'!AC2:AC665))/STDEV('The List'!AC2:AC665)</f>
        <v>0.96171777891584787</v>
      </c>
      <c r="Q155" s="54">
        <f>(VLOOKUP($A155,'The List'!$B1:$AH665,29,FALSE)-AVERAGE('The List'!AD2:AD665))/STDEV('The List'!AD2:AD665)</f>
        <v>-0.26885618611666223</v>
      </c>
      <c r="R155" s="54">
        <f>(VLOOKUP($A155,'The List'!$B1:$AH665,30,FALSE)-AVERAGE('The List'!AE2:AE665))/STDEV('The List'!AE2:AE665)</f>
        <v>0.96797831608399498</v>
      </c>
      <c r="S155" s="54">
        <f>(VLOOKUP($A155,'The List'!$B1:$AH665,31,FALSE)-AVERAGE('The List'!AF2:AF665))/STDEV('The List'!AF2:AF665)</f>
        <v>1.4311756549711587</v>
      </c>
      <c r="T155" s="54">
        <f>(VLOOKUP($A155,'The List'!$B1:$AH665,32,FALSE)-AVERAGE('The List'!AG2:AG665))/STDEV('The List'!AG2:AG665)</f>
        <v>1.0733337715172895</v>
      </c>
      <c r="U155" s="54">
        <f>(VLOOKUP($A155,'The List'!$B1:$AH665,33,FALSE)-AVERAGE('The List'!AH2:AH665))/STDEV('The List'!AH2:AH665)</f>
        <v>1.2915584426890694</v>
      </c>
      <c r="V155" s="54"/>
      <c r="W155" s="56"/>
      <c r="X155" s="54"/>
      <c r="Y155" s="54"/>
      <c r="Z155" s="54"/>
      <c r="AA155" s="54"/>
      <c r="AB155" s="54"/>
      <c r="AC155" s="54"/>
      <c r="AD155" s="54"/>
      <c r="AE155" s="54"/>
    </row>
    <row r="156" spans="1:31" ht="21.25" customHeight="1" x14ac:dyDescent="0.15">
      <c r="A156" s="9" t="s">
        <v>220</v>
      </c>
      <c r="B156" s="65" t="str">
        <f>VLOOKUP(A156,'Player Data'!A1:B667,2,FALSE)</f>
        <v>MIN</v>
      </c>
      <c r="C156" s="51">
        <f>((E156)*Settings!$C$12)+(F156*Settings!$C$2)+(G156*Settings!$C$3)+(H156*Settings!$C$4)+(I156*Settings!$C$5)+(K156*Settings!$C$9)+(N156*Settings!$C$6)+(J156*Settings!$C$8)+(O156*Settings!$C$7)+(P156*Settings!$C$14)+(Q156*Settings!$C$15)+(R156*Settings!$C$16)+(S156*Settings!$C$17)+(T156*Settings!$C$18)+(U156*Settings!$C$19)+(L156*Settings!$C$10)+(Settings!$C$11*M156)</f>
        <v>3.8239960079233266</v>
      </c>
      <c r="D156" s="56">
        <f>IF(Settings!$E$12="YES",VLOOKUP(A156,'Player Data'!A1:E667,5,FALSE),82)</f>
        <v>80.680000000000007</v>
      </c>
      <c r="E156" s="54">
        <f>(VLOOKUP($A156,'The List'!$B1:$AH665,17,FALSE)-AVERAGE('The List'!R2:R665))/STDEV('The List'!R2:R665)</f>
        <v>2.0346965863114219</v>
      </c>
      <c r="F156" s="54">
        <f>(VLOOKUP($A156,'The List'!$B1:$AH665,18,FALSE)-AVERAGE('The List'!S2:S665))/STDEV('The List'!S2:S665)</f>
        <v>-0.42303396308253527</v>
      </c>
      <c r="G156" s="54">
        <f>(VLOOKUP($A156,'The List'!$B1:$AH665,19,FALSE)-AVERAGE('The List'!T2:T665))/STDEV('The List'!T2:T665)</f>
        <v>1.3490950868139588</v>
      </c>
      <c r="H156" s="54">
        <f>(VLOOKUP($A156,'The List'!$B1:$AH665,20,FALSE)-AVERAGE('The List'!U2:U665))/STDEV('The List'!U2:U665)</f>
        <v>0.64557486134447251</v>
      </c>
      <c r="I156" s="54">
        <f>(VLOOKUP($A156,'The List'!$B1:$AH665,21,FALSE)-AVERAGE('The List'!V2:V665))/STDEV('The List'!V2:V665)</f>
        <v>0.17492542626646351</v>
      </c>
      <c r="J156" s="54">
        <f>(VLOOKUP($A156,'The List'!$B1:$AH665,22,FALSE)-AVERAGE('The List'!W2:W665))/STDEV('The List'!W2:W665)</f>
        <v>-5.627935701289094E-2</v>
      </c>
      <c r="K156" s="54">
        <f>(VLOOKUP($A156,'The List'!$B1:$AH665,23,FALSE)-AVERAGE('The List'!X2:X665))/STDEV('The List'!X2:X665)</f>
        <v>1.0223062572386483</v>
      </c>
      <c r="L156" s="54">
        <f>(VLOOKUP($A156,'The List'!$B1:$AH665,24,FALSE)-AVERAGE('The List'!Y2:Y665))/STDEV('The List'!Y2:Y665)</f>
        <v>-0.51250123037168704</v>
      </c>
      <c r="M156" s="54">
        <f>(VLOOKUP($A156,'The List'!$B1:$AH665,25,FALSE)-AVERAGE('The List'!Z2:Z665))/STDEV('The List'!Z2:Z665)</f>
        <v>-0.57903662495733865</v>
      </c>
      <c r="N156" s="54">
        <f>(VLOOKUP($A156,'The List'!$B1:$AH665,26,FALSE)-AVERAGE('The List'!AA2:AA665))/STDEV('The List'!AA2:AA665)</f>
        <v>1.7599190495076851</v>
      </c>
      <c r="O156" s="54">
        <f>(VLOOKUP($A156,'The List'!$B1:$AH665,27,FALSE)-AVERAGE('The List'!AB2:AB665))/STDEV('The List'!AB2:AB665)</f>
        <v>-0.48413437089200717</v>
      </c>
      <c r="P156" s="54">
        <f>(VLOOKUP($A156,'The List'!$B1:$AH665,28,FALSE)-AVERAGE('The List'!AC2:AC665))/STDEV('The List'!AC2:AC665)</f>
        <v>-5.9215848820893861E-2</v>
      </c>
      <c r="Q156" s="54">
        <f>(VLOOKUP($A156,'The List'!$B1:$AH665,29,FALSE)-AVERAGE('The List'!AD2:AD665))/STDEV('The List'!AD2:AD665)</f>
        <v>-0.11465140876451489</v>
      </c>
      <c r="R156" s="54">
        <f>(VLOOKUP($A156,'The List'!$B1:$AH665,30,FALSE)-AVERAGE('The List'!AE2:AE665))/STDEV('The List'!AE2:AE665)</f>
        <v>-0.3103216628071031</v>
      </c>
      <c r="S156" s="54">
        <f>(VLOOKUP($A156,'The List'!$B1:$AH665,31,FALSE)-AVERAGE('The List'!AF2:AF665))/STDEV('The List'!AF2:AF665)</f>
        <v>-0.57389441068000469</v>
      </c>
      <c r="T156" s="54">
        <f>(VLOOKUP($A156,'The List'!$B1:$AH665,32,FALSE)-AVERAGE('The List'!AG2:AG665))/STDEV('The List'!AG2:AG665)</f>
        <v>-0.62577078713265111</v>
      </c>
      <c r="U156" s="54">
        <f>(VLOOKUP($A156,'The List'!$B1:$AH665,33,FALSE)-AVERAGE('The List'!AH2:AH665))/STDEV('The List'!AH2:AH665)</f>
        <v>-1.2314350945148611</v>
      </c>
      <c r="V156" s="54"/>
      <c r="W156" s="64"/>
      <c r="X156" s="56"/>
      <c r="Y156" s="56"/>
      <c r="Z156" s="56"/>
      <c r="AA156" s="56"/>
      <c r="AB156" s="56"/>
      <c r="AC156" s="59"/>
      <c r="AD156" s="60"/>
      <c r="AE156" s="54"/>
    </row>
    <row r="157" spans="1:31" ht="21.25" customHeight="1" x14ac:dyDescent="0.15">
      <c r="A157" s="9" t="s">
        <v>209</v>
      </c>
      <c r="B157" s="65" t="str">
        <f>VLOOKUP(A157,'Player Data'!A1:B667,2,FALSE)</f>
        <v>MTL</v>
      </c>
      <c r="C157" s="51">
        <f>((E157)*Settings!$C$12)+(F157*Settings!$C$2)+(G157*Settings!$C$3)+(H157*Settings!$C$4)+(I157*Settings!$C$5)+(K157*Settings!$C$9)+(N157*Settings!$C$6)+(J157*Settings!$C$8)+(O157*Settings!$C$7)+(P157*Settings!$C$14)+(Q157*Settings!$C$15)+(R157*Settings!$C$16)+(S157*Settings!$C$17)+(T157*Settings!$C$18)+(U157*Settings!$C$19)+(L157*Settings!$C$10)+(Settings!$C$11*M157)</f>
        <v>2.9091611680354394</v>
      </c>
      <c r="D157" s="56">
        <f>IF(Settings!$E$12="YES",VLOOKUP(A157,'Player Data'!A1:E667,5,FALSE),82)</f>
        <v>76.555000000000007</v>
      </c>
      <c r="E157" s="54">
        <f>(VLOOKUP($A157,'The List'!$B1:$AH665,17,FALSE)-AVERAGE('The List'!R2:R665))/STDEV('The List'!R2:R665)</f>
        <v>2.075878370328621</v>
      </c>
      <c r="F157" s="54">
        <f>(VLOOKUP($A157,'The List'!$B1:$AH665,18,FALSE)-AVERAGE('The List'!S2:S665))/STDEV('The List'!S2:S665)</f>
        <v>-0.24113058059822948</v>
      </c>
      <c r="G157" s="54">
        <f>(VLOOKUP($A157,'The List'!$B1:$AH665,19,FALSE)-AVERAGE('The List'!T2:T665))/STDEV('The List'!T2:T665)</f>
        <v>1.0219936919837012</v>
      </c>
      <c r="H157" s="54">
        <f>(VLOOKUP($A157,'The List'!$B1:$AH665,20,FALSE)-AVERAGE('The List'!U2:U665))/STDEV('The List'!U2:U665)</f>
        <v>0.52511023676129998</v>
      </c>
      <c r="I157" s="54">
        <f>(VLOOKUP($A157,'The List'!$B1:$AH665,21,FALSE)-AVERAGE('The List'!V2:V665))/STDEV('The List'!V2:V665)</f>
        <v>0.55885706723254203</v>
      </c>
      <c r="J157" s="54">
        <f>(VLOOKUP($A157,'The List'!$B1:$AH665,22,FALSE)-AVERAGE('The List'!W2:W665))/STDEV('The List'!W2:W665)</f>
        <v>-0.22965424881396176</v>
      </c>
      <c r="K157" s="54">
        <f>(VLOOKUP($A157,'The List'!$B1:$AH665,23,FALSE)-AVERAGE('The List'!X2:X665))/STDEV('The List'!X2:X665)</f>
        <v>0.76491850981738974</v>
      </c>
      <c r="L157" s="54">
        <f>(VLOOKUP($A157,'The List'!$B1:$AH665,24,FALSE)-AVERAGE('The List'!Y2:Y665))/STDEV('The List'!Y2:Y665)</f>
        <v>1.4972589252382569</v>
      </c>
      <c r="M157" s="54">
        <f>(VLOOKUP($A157,'The List'!$B1:$AH665,25,FALSE)-AVERAGE('The List'!Z2:Z665))/STDEV('The List'!Z2:Z665)</f>
        <v>1.3552860424802553</v>
      </c>
      <c r="N157" s="54">
        <f>(VLOOKUP($A157,'The List'!$B1:$AH665,26,FALSE)-AVERAGE('The List'!AA2:AA665))/STDEV('The List'!AA2:AA665)</f>
        <v>2.1191777771759064</v>
      </c>
      <c r="O157" s="54">
        <f>(VLOOKUP($A157,'The List'!$B1:$AH665,27,FALSE)-AVERAGE('The List'!AB2:AB665))/STDEV('The List'!AB2:AB665)</f>
        <v>-0.42236362926612941</v>
      </c>
      <c r="P157" s="54">
        <f>(VLOOKUP($A157,'The List'!$B1:$AH665,28,FALSE)-AVERAGE('The List'!AC2:AC665))/STDEV('The List'!AC2:AC665)</f>
        <v>-1.3146552975758703</v>
      </c>
      <c r="Q157" s="54">
        <f>(VLOOKUP($A157,'The List'!$B1:$AH665,29,FALSE)-AVERAGE('The List'!AD2:AD665))/STDEV('The List'!AD2:AD665)</f>
        <v>1.2080467639333958</v>
      </c>
      <c r="R157" s="54">
        <f>(VLOOKUP($A157,'The List'!$B1:$AH665,30,FALSE)-AVERAGE('The List'!AE2:AE665))/STDEV('The List'!AE2:AE665)</f>
        <v>-0.46237261858006867</v>
      </c>
      <c r="S157" s="54">
        <f>(VLOOKUP($A157,'The List'!$B1:$AH665,31,FALSE)-AVERAGE('The List'!AF2:AF665))/STDEV('The List'!AF2:AF665)</f>
        <v>-0.57389441068000469</v>
      </c>
      <c r="T157" s="54">
        <f>(VLOOKUP($A157,'The List'!$B1:$AH665,32,FALSE)-AVERAGE('The List'!AG2:AG665))/STDEV('The List'!AG2:AG665)</f>
        <v>-0.62577078713265111</v>
      </c>
      <c r="U157" s="54">
        <f>(VLOOKUP($A157,'The List'!$B1:$AH665,33,FALSE)-AVERAGE('The List'!AH2:AH665))/STDEV('The List'!AH2:AH665)</f>
        <v>-1.2314350945148611</v>
      </c>
      <c r="V157" s="54"/>
      <c r="W157" s="64"/>
      <c r="X157" s="56"/>
      <c r="Y157" s="56"/>
      <c r="Z157" s="56"/>
      <c r="AA157" s="56"/>
      <c r="AB157" s="56"/>
      <c r="AC157" s="59"/>
      <c r="AD157" s="60"/>
      <c r="AE157" s="54"/>
    </row>
    <row r="158" spans="1:31" ht="21.25" customHeight="1" x14ac:dyDescent="0.15">
      <c r="A158" s="9" t="s">
        <v>398</v>
      </c>
      <c r="B158" s="65" t="str">
        <f>VLOOKUP(A158,'Player Data'!A1:B667,2,FALSE)</f>
        <v>CHI</v>
      </c>
      <c r="C158" s="51">
        <f>((E158)*Settings!$C$12)+(F158*Settings!$C$2)+(G158*Settings!$C$3)+(H158*Settings!$C$4)+(I158*Settings!$C$5)+(K158*Settings!$C$9)+(N158*Settings!$C$6)+(J158*Settings!$C$8)+(O158*Settings!$C$7)+(P158*Settings!$C$14)+(Q158*Settings!$C$15)+(R158*Settings!$C$16)+(S158*Settings!$C$17)+(T158*Settings!$C$18)+(U158*Settings!$C$19)+(L158*Settings!$C$10)+(Settings!$C$11*M158)</f>
        <v>-0.40568259377402904</v>
      </c>
      <c r="D158" s="56">
        <f>IF(Settings!$E$12="YES",VLOOKUP(A158,'Player Data'!A1:E667,5,FALSE),82)</f>
        <v>66.262500000000003</v>
      </c>
      <c r="E158" s="54">
        <f>(VLOOKUP($A158,'The List'!$B1:$AH665,17,FALSE)-AVERAGE('The List'!R2:R665))/STDEV('The List'!R2:R665)</f>
        <v>9.1698674780078773E-2</v>
      </c>
      <c r="F158" s="54">
        <f>(VLOOKUP($A158,'The List'!$B1:$AH665,18,FALSE)-AVERAGE('The List'!S2:S665))/STDEV('The List'!S2:S665)</f>
        <v>0.32321218856555622</v>
      </c>
      <c r="G158" s="54">
        <f>(VLOOKUP($A158,'The List'!$B1:$AH665,19,FALSE)-AVERAGE('The List'!T2:T665))/STDEV('The List'!T2:T665)</f>
        <v>0.10751540244218667</v>
      </c>
      <c r="H158" s="54">
        <f>(VLOOKUP($A158,'The List'!$B1:$AH665,20,FALSE)-AVERAGE('The List'!U2:U665))/STDEV('The List'!U2:U665)</f>
        <v>0.21368841351650744</v>
      </c>
      <c r="I158" s="54">
        <f>(VLOOKUP($A158,'The List'!$B1:$AH665,21,FALSE)-AVERAGE('The List'!V2:V665))/STDEV('The List'!V2:V665)</f>
        <v>0.57027450295293869</v>
      </c>
      <c r="J158" s="54">
        <f>(VLOOKUP($A158,'The List'!$B1:$AH665,22,FALSE)-AVERAGE('The List'!W2:W665))/STDEV('The List'!W2:W665)</f>
        <v>0.62981076577070505</v>
      </c>
      <c r="K158" s="54">
        <f>(VLOOKUP($A158,'The List'!$B1:$AH665,23,FALSE)-AVERAGE('The List'!X2:X665))/STDEV('The List'!X2:X665)</f>
        <v>0.42888961852577756</v>
      </c>
      <c r="L158" s="54">
        <f>(VLOOKUP($A158,'The List'!$B1:$AH665,24,FALSE)-AVERAGE('The List'!Y2:Y665))/STDEV('The List'!Y2:Y665)</f>
        <v>-0.57460913680872805</v>
      </c>
      <c r="M158" s="54">
        <f>(VLOOKUP($A158,'The List'!$B1:$AH665,25,FALSE)-AVERAGE('The List'!Z2:Z665))/STDEV('The List'!Z2:Z665)</f>
        <v>-0.74825332931666544</v>
      </c>
      <c r="N158" s="54">
        <f>(VLOOKUP($A158,'The List'!$B1:$AH665,26,FALSE)-AVERAGE('The List'!AA2:AA665))/STDEV('The List'!AA2:AA665)</f>
        <v>-0.78810594674094914</v>
      </c>
      <c r="O158" s="54">
        <f>(VLOOKUP($A158,'The List'!$B1:$AH665,27,FALSE)-AVERAGE('The List'!AB2:AB665))/STDEV('The List'!AB2:AB665)</f>
        <v>-0.89145949704866245</v>
      </c>
      <c r="P158" s="54">
        <f>(VLOOKUP($A158,'The List'!$B1:$AH665,28,FALSE)-AVERAGE('The List'!AC2:AC665))/STDEV('The List'!AC2:AC665)</f>
        <v>-1.0474683595195391</v>
      </c>
      <c r="Q158" s="54">
        <f>(VLOOKUP($A158,'The List'!$B1:$AH665,29,FALSE)-AVERAGE('The List'!AD2:AD665))/STDEV('The List'!AD2:AD665)</f>
        <v>-0.10177641928541244</v>
      </c>
      <c r="R158" s="54">
        <f>(VLOOKUP($A158,'The List'!$B1:$AH665,30,FALSE)-AVERAGE('The List'!AE2:AE665))/STDEV('The List'!AE2:AE665)</f>
        <v>9.9247593625022945E-2</v>
      </c>
      <c r="S158" s="54">
        <f>(VLOOKUP($A158,'The List'!$B1:$AH665,31,FALSE)-AVERAGE('The List'!AF2:AF665))/STDEV('The List'!AF2:AF665)</f>
        <v>-0.49687442579763397</v>
      </c>
      <c r="T158" s="54">
        <f>(VLOOKUP($A158,'The List'!$B1:$AH665,32,FALSE)-AVERAGE('The List'!AG2:AG665))/STDEV('The List'!AG2:AG665)</f>
        <v>-0.53442301918351753</v>
      </c>
      <c r="U158" s="54">
        <f>(VLOOKUP($A158,'The List'!$B1:$AH665,33,FALSE)-AVERAGE('The List'!AH2:AH665))/STDEV('The List'!AH2:AH665)</f>
        <v>0.91179500972664407</v>
      </c>
      <c r="V158" s="54"/>
      <c r="W158" s="56"/>
      <c r="X158" s="54"/>
      <c r="Y158" s="54"/>
      <c r="Z158" s="54"/>
      <c r="AA158" s="54"/>
      <c r="AB158" s="54"/>
      <c r="AC158" s="54"/>
      <c r="AD158" s="54"/>
      <c r="AE158" s="54"/>
    </row>
    <row r="159" spans="1:31" ht="21.25" customHeight="1" x14ac:dyDescent="0.15">
      <c r="A159" s="9" t="s">
        <v>378</v>
      </c>
      <c r="B159" s="65" t="str">
        <f>VLOOKUP(A159,'Player Data'!A1:B667,2,FALSE)</f>
        <v>EDM</v>
      </c>
      <c r="C159" s="51">
        <f>((E159)*Settings!$C$12)+(F159*Settings!$C$2)+(G159*Settings!$C$3)+(H159*Settings!$C$4)+(I159*Settings!$C$5)+(K159*Settings!$C$9)+(N159*Settings!$C$6)+(J159*Settings!$C$8)+(O159*Settings!$C$7)+(P159*Settings!$C$14)+(Q159*Settings!$C$15)+(R159*Settings!$C$16)+(S159*Settings!$C$17)+(T159*Settings!$C$18)+(U159*Settings!$C$19)+(L159*Settings!$C$10)+(Settings!$C$11*M159)</f>
        <v>1.1670874836919278</v>
      </c>
      <c r="D159" s="56">
        <f>IF(Settings!$E$12="YES",VLOOKUP(A159,'Player Data'!A1:E667,5,FALSE),82)</f>
        <v>68.382499999999993</v>
      </c>
      <c r="E159" s="54">
        <f>(VLOOKUP($A159,'The List'!$B1:$AH665,17,FALSE)-AVERAGE('The List'!R2:R665))/STDEV('The List'!R2:R665)</f>
        <v>-0.60502272452228956</v>
      </c>
      <c r="F159" s="54">
        <f>(VLOOKUP($A159,'The List'!$B1:$AH665,18,FALSE)-AVERAGE('The List'!S2:S665))/STDEV('The List'!S2:S665)</f>
        <v>0.46675084283785645</v>
      </c>
      <c r="G159" s="54">
        <f>(VLOOKUP($A159,'The List'!$B1:$AH665,19,FALSE)-AVERAGE('The List'!T2:T665))/STDEV('The List'!T2:T665)</f>
        <v>9.8173455766094778E-2</v>
      </c>
      <c r="H159" s="54">
        <f>(VLOOKUP($A159,'The List'!$B1:$AH665,20,FALSE)-AVERAGE('The List'!U2:U665))/STDEV('The List'!U2:U665)</f>
        <v>0.27313168065728771</v>
      </c>
      <c r="I159" s="54">
        <f>(VLOOKUP($A159,'The List'!$B1:$AH665,21,FALSE)-AVERAGE('The List'!V2:V665))/STDEV('The List'!V2:V665)</f>
        <v>0.70985207967168262</v>
      </c>
      <c r="J159" s="54">
        <f>(VLOOKUP($A159,'The List'!$B1:$AH665,22,FALSE)-AVERAGE('The List'!W2:W665))/STDEV('The List'!W2:W665)</f>
        <v>-6.4689920938003229E-2</v>
      </c>
      <c r="K159" s="54">
        <f>(VLOOKUP($A159,'The List'!$B1:$AH665,23,FALSE)-AVERAGE('The List'!X2:X665))/STDEV('The List'!X2:X665)</f>
        <v>-8.3461055497139142E-2</v>
      </c>
      <c r="L159" s="54">
        <f>(VLOOKUP($A159,'The List'!$B1:$AH665,24,FALSE)-AVERAGE('The List'!Y2:Y665))/STDEV('The List'!Y2:Y665)</f>
        <v>-0.50724383269578621</v>
      </c>
      <c r="M159" s="54">
        <f>(VLOOKUP($A159,'The List'!$B1:$AH665,25,FALSE)-AVERAGE('The List'!Z2:Z665))/STDEV('The List'!Z2:Z665)</f>
        <v>-0.70058268808227375</v>
      </c>
      <c r="N159" s="54">
        <f>(VLOOKUP($A159,'The List'!$B1:$AH665,26,FALSE)-AVERAGE('The List'!AA2:AA665))/STDEV('The List'!AA2:AA665)</f>
        <v>-0.49916963095510769</v>
      </c>
      <c r="O159" s="54">
        <f>(VLOOKUP($A159,'The List'!$B1:$AH665,27,FALSE)-AVERAGE('The List'!AB2:AB665))/STDEV('The List'!AB2:AB665)</f>
        <v>-1.2702622133285337</v>
      </c>
      <c r="P159" s="54">
        <f>(VLOOKUP($A159,'The List'!$B1:$AH665,28,FALSE)-AVERAGE('The List'!AC2:AC665))/STDEV('The List'!AC2:AC665)</f>
        <v>0.47494179186854091</v>
      </c>
      <c r="Q159" s="54">
        <f>(VLOOKUP($A159,'The List'!$B1:$AH665,29,FALSE)-AVERAGE('The List'!AD2:AD665))/STDEV('The List'!AD2:AD665)</f>
        <v>-0.62590352959950879</v>
      </c>
      <c r="R159" s="54">
        <f>(VLOOKUP($A159,'The List'!$B1:$AH665,30,FALSE)-AVERAGE('The List'!AE2:AE665))/STDEV('The List'!AE2:AE665)</f>
        <v>0.59084245327243112</v>
      </c>
      <c r="S159" s="54">
        <f>(VLOOKUP($A159,'The List'!$B1:$AH665,31,FALSE)-AVERAGE('The List'!AF2:AF665))/STDEV('The List'!AF2:AF665)</f>
        <v>-0.50742678494389171</v>
      </c>
      <c r="T159" s="54">
        <f>(VLOOKUP($A159,'The List'!$B1:$AH665,32,FALSE)-AVERAGE('The List'!AG2:AG665))/STDEV('The List'!AG2:AG665)</f>
        <v>-0.50810689992400915</v>
      </c>
      <c r="U159" s="54">
        <f>(VLOOKUP($A159,'The List'!$B1:$AH665,33,FALSE)-AVERAGE('The List'!AH2:AH665))/STDEV('The List'!AH2:AH665)</f>
        <v>0.46996004715871648</v>
      </c>
      <c r="V159" s="54"/>
      <c r="W159" s="64"/>
      <c r="X159" s="56"/>
      <c r="Y159" s="56"/>
      <c r="Z159" s="56"/>
      <c r="AA159" s="56"/>
      <c r="AB159" s="56"/>
      <c r="AC159" s="59"/>
      <c r="AD159" s="60"/>
      <c r="AE159" s="54"/>
    </row>
    <row r="160" spans="1:31" ht="21.25" customHeight="1" x14ac:dyDescent="0.15">
      <c r="A160" s="9" t="s">
        <v>299</v>
      </c>
      <c r="B160" s="65" t="str">
        <f>VLOOKUP(A160,'Player Data'!A1:B667,2,FALSE)</f>
        <v>CBJ</v>
      </c>
      <c r="C160" s="51">
        <f>((E160)*Settings!$C$12)+(F160*Settings!$C$2)+(G160*Settings!$C$3)+(H160*Settings!$C$4)+(I160*Settings!$C$5)+(K160*Settings!$C$9)+(N160*Settings!$C$6)+(J160*Settings!$C$8)+(O160*Settings!$C$7)+(P160*Settings!$C$14)+(Q160*Settings!$C$15)+(R160*Settings!$C$16)+(S160*Settings!$C$17)+(T160*Settings!$C$18)+(U160*Settings!$C$19)+(L160*Settings!$C$10)+(Settings!$C$11*M160)</f>
        <v>0.95832395621363253</v>
      </c>
      <c r="D160" s="56">
        <f>IF(Settings!$E$12="YES",VLOOKUP(A160,'Player Data'!A1:E667,5,FALSE),82)</f>
        <v>73.545000000000002</v>
      </c>
      <c r="E160" s="54">
        <f>(VLOOKUP($A160,'The List'!$B1:$AH665,17,FALSE)-AVERAGE('The List'!R2:R665))/STDEV('The List'!R2:R665)</f>
        <v>0.87498366327702792</v>
      </c>
      <c r="F160" s="54">
        <f>(VLOOKUP($A160,'The List'!$B1:$AH665,18,FALSE)-AVERAGE('The List'!S2:S665))/STDEV('The List'!S2:S665)</f>
        <v>1.16034282972505</v>
      </c>
      <c r="G160" s="54">
        <f>(VLOOKUP($A160,'The List'!$B1:$AH665,19,FALSE)-AVERAGE('The List'!T2:T665))/STDEV('The List'!T2:T665)</f>
        <v>-0.18347268980061282</v>
      </c>
      <c r="H160" s="54">
        <f>(VLOOKUP($A160,'The List'!$B1:$AH665,20,FALSE)-AVERAGE('The List'!U2:U665))/STDEV('The List'!U2:U665)</f>
        <v>0.41348411494256976</v>
      </c>
      <c r="I160" s="54">
        <f>(VLOOKUP($A160,'The List'!$B1:$AH665,21,FALSE)-AVERAGE('The List'!V2:V665))/STDEV('The List'!V2:V665)</f>
        <v>1.0944583268524937</v>
      </c>
      <c r="J160" s="54">
        <f>(VLOOKUP($A160,'The List'!$B1:$AH665,22,FALSE)-AVERAGE('The List'!W2:W665))/STDEV('The List'!W2:W665)</f>
        <v>0.99392374921037518</v>
      </c>
      <c r="K160" s="54">
        <f>(VLOOKUP($A160,'The List'!$B1:$AH665,23,FALSE)-AVERAGE('The List'!X2:X665))/STDEV('The List'!X2:X665)</f>
        <v>0.271021484286111</v>
      </c>
      <c r="L160" s="54">
        <f>(VLOOKUP($A160,'The List'!$B1:$AH665,24,FALSE)-AVERAGE('The List'!Y2:Y665))/STDEV('The List'!Y2:Y665)</f>
        <v>-0.25501554322939685</v>
      </c>
      <c r="M160" s="54">
        <f>(VLOOKUP($A160,'The List'!$B1:$AH665,25,FALSE)-AVERAGE('The List'!Z2:Z665))/STDEV('The List'!Z2:Z665)</f>
        <v>-0.39250325296888383</v>
      </c>
      <c r="N160" s="54">
        <f>(VLOOKUP($A160,'The List'!$B1:$AH665,26,FALSE)-AVERAGE('The List'!AA2:AA665))/STDEV('The List'!AA2:AA665)</f>
        <v>0.37569226166637781</v>
      </c>
      <c r="O160" s="54">
        <f>(VLOOKUP($A160,'The List'!$B1:$AH665,27,FALSE)-AVERAGE('The List'!AB2:AB665))/STDEV('The List'!AB2:AB665)</f>
        <v>0.79839671916009303</v>
      </c>
      <c r="P160" s="54">
        <f>(VLOOKUP($A160,'The List'!$B1:$AH665,28,FALSE)-AVERAGE('The List'!AC2:AC665))/STDEV('The List'!AC2:AC665)</f>
        <v>-1.7597182565157869</v>
      </c>
      <c r="Q160" s="54">
        <f>(VLOOKUP($A160,'The List'!$B1:$AH665,29,FALSE)-AVERAGE('The List'!AD2:AD665))/STDEV('The List'!AD2:AD665)</f>
        <v>0.27774488248786383</v>
      </c>
      <c r="R160" s="54">
        <f>(VLOOKUP($A160,'The List'!$B1:$AH665,30,FALSE)-AVERAGE('The List'!AE2:AE665))/STDEV('The List'!AE2:AE665)</f>
        <v>0.49512337962119457</v>
      </c>
      <c r="S160" s="54">
        <f>(VLOOKUP($A160,'The List'!$B1:$AH665,31,FALSE)-AVERAGE('The List'!AF2:AF665))/STDEV('The List'!AF2:AF665)</f>
        <v>3.1671914918373267</v>
      </c>
      <c r="T160" s="54">
        <f>(VLOOKUP($A160,'The List'!$B1:$AH665,32,FALSE)-AVERAGE('The List'!AG2:AG665))/STDEV('The List'!AG2:AG665)</f>
        <v>2.7275892155859749</v>
      </c>
      <c r="U160" s="54">
        <f>(VLOOKUP($A160,'The List'!$B1:$AH665,33,FALSE)-AVERAGE('The List'!AH2:AH665))/STDEV('The List'!AH2:AH665)</f>
        <v>1.228540418641624</v>
      </c>
      <c r="V160" s="54"/>
      <c r="W160" s="64"/>
      <c r="X160" s="56"/>
      <c r="Y160" s="56"/>
      <c r="Z160" s="56"/>
      <c r="AA160" s="56"/>
      <c r="AB160" s="56"/>
      <c r="AC160" s="59"/>
      <c r="AD160" s="60"/>
      <c r="AE160" s="54"/>
    </row>
    <row r="161" spans="1:31" ht="21.25" customHeight="1" x14ac:dyDescent="0.15">
      <c r="A161" s="9" t="s">
        <v>173</v>
      </c>
      <c r="B161" s="65" t="str">
        <f>VLOOKUP(A161,'Player Data'!A1:B667,2,FALSE)</f>
        <v>CGY</v>
      </c>
      <c r="C161" s="51">
        <f>((E161)*Settings!$C$12)+(F161*Settings!$C$2)+(G161*Settings!$C$3)+(H161*Settings!$C$4)+(I161*Settings!$C$5)+(K161*Settings!$C$9)+(N161*Settings!$C$6)+(J161*Settings!$C$8)+(O161*Settings!$C$7)+(P161*Settings!$C$14)+(Q161*Settings!$C$15)+(R161*Settings!$C$16)+(S161*Settings!$C$17)+(T161*Settings!$C$18)+(U161*Settings!$C$19)+(L161*Settings!$C$10)+(Settings!$C$11*M161)</f>
        <v>5.0232485794818071</v>
      </c>
      <c r="D161" s="56">
        <f>IF(Settings!$E$12="YES",VLOOKUP(A161,'Player Data'!A1:E667,5,FALSE),82)</f>
        <v>81.692499999999995</v>
      </c>
      <c r="E161" s="54">
        <f>(VLOOKUP($A161,'The List'!$B1:$AH665,17,FALSE)-AVERAGE('The List'!R2:R665))/STDEV('The List'!R2:R665)</f>
        <v>1.9015077183016504</v>
      </c>
      <c r="F161" s="54">
        <f>(VLOOKUP($A161,'The List'!$B1:$AH665,18,FALSE)-AVERAGE('The List'!S2:S665))/STDEV('The List'!S2:S665)</f>
        <v>-0.14250228749112051</v>
      </c>
      <c r="G161" s="54">
        <f>(VLOOKUP($A161,'The List'!$B1:$AH665,19,FALSE)-AVERAGE('The List'!T2:T665))/STDEV('The List'!T2:T665)</f>
        <v>1.1246954515267358</v>
      </c>
      <c r="H161" s="54">
        <f>(VLOOKUP($A161,'The List'!$B1:$AH665,20,FALSE)-AVERAGE('The List'!U2:U665))/STDEV('The List'!U2:U665)</f>
        <v>0.63372505156004488</v>
      </c>
      <c r="I161" s="54">
        <f>(VLOOKUP($A161,'The List'!$B1:$AH665,21,FALSE)-AVERAGE('The List'!V2:V665))/STDEV('The List'!V2:V665)</f>
        <v>1.1800546874171585</v>
      </c>
      <c r="J161" s="54">
        <f>(VLOOKUP($A161,'The List'!$B1:$AH665,22,FALSE)-AVERAGE('The List'!W2:W665))/STDEV('The List'!W2:W665)</f>
        <v>0.12575895395583706</v>
      </c>
      <c r="K161" s="54">
        <f>(VLOOKUP($A161,'The List'!$B1:$AH665,23,FALSE)-AVERAGE('The List'!X2:X665))/STDEV('The List'!X2:X665)</f>
        <v>0.9792612031233181</v>
      </c>
      <c r="L161" s="54">
        <f>(VLOOKUP($A161,'The List'!$B1:$AH665,24,FALSE)-AVERAGE('The List'!Y2:Y665))/STDEV('The List'!Y2:Y665)</f>
        <v>-0.25741008980654539</v>
      </c>
      <c r="M161" s="54">
        <f>(VLOOKUP($A161,'The List'!$B1:$AH665,25,FALSE)-AVERAGE('The List'!Z2:Z665))/STDEV('The List'!Z2:Z665)</f>
        <v>0.95493719535079491</v>
      </c>
      <c r="N161" s="54">
        <f>(VLOOKUP($A161,'The List'!$B1:$AH665,26,FALSE)-AVERAGE('The List'!AA2:AA665))/STDEV('The List'!AA2:AA665)</f>
        <v>2.4574194861137393</v>
      </c>
      <c r="O161" s="54">
        <f>(VLOOKUP($A161,'The List'!$B1:$AH665,27,FALSE)-AVERAGE('The List'!AB2:AB665))/STDEV('The List'!AB2:AB665)</f>
        <v>1.8044748340608971</v>
      </c>
      <c r="P161" s="54">
        <f>(VLOOKUP($A161,'The List'!$B1:$AH665,28,FALSE)-AVERAGE('The List'!AC2:AC665))/STDEV('The List'!AC2:AC665)</f>
        <v>-0.57567996120802467</v>
      </c>
      <c r="Q161" s="54">
        <f>(VLOOKUP($A161,'The List'!$B1:$AH665,29,FALSE)-AVERAGE('The List'!AD2:AD665))/STDEV('The List'!AD2:AD665)</f>
        <v>1.3545024744483634</v>
      </c>
      <c r="R161" s="54">
        <f>(VLOOKUP($A161,'The List'!$B1:$AH665,30,FALSE)-AVERAGE('The List'!AE2:AE665))/STDEV('The List'!AE2:AE665)</f>
        <v>-0.16439317166242151</v>
      </c>
      <c r="S161" s="54">
        <f>(VLOOKUP($A161,'The List'!$B1:$AH665,31,FALSE)-AVERAGE('The List'!AF2:AF665))/STDEV('The List'!AF2:AF665)</f>
        <v>-0.57389441068000469</v>
      </c>
      <c r="T161" s="54">
        <f>(VLOOKUP($A161,'The List'!$B1:$AH665,32,FALSE)-AVERAGE('The List'!AG2:AG665))/STDEV('The List'!AG2:AG665)</f>
        <v>-0.62577078713265111</v>
      </c>
      <c r="U161" s="54">
        <f>(VLOOKUP($A161,'The List'!$B1:$AH665,33,FALSE)-AVERAGE('The List'!AH2:AH665))/STDEV('The List'!AH2:AH665)</f>
        <v>-1.2314350945148611</v>
      </c>
      <c r="V161" s="54"/>
      <c r="W161" s="64"/>
      <c r="X161" s="56"/>
      <c r="Y161" s="56"/>
      <c r="Z161" s="56"/>
      <c r="AA161" s="56"/>
      <c r="AB161" s="56"/>
      <c r="AC161" s="59"/>
      <c r="AD161" s="60"/>
      <c r="AE161" s="54"/>
    </row>
    <row r="162" spans="1:31" ht="21.25" customHeight="1" x14ac:dyDescent="0.15">
      <c r="A162" s="9" t="s">
        <v>390</v>
      </c>
      <c r="B162" s="65" t="str">
        <f>VLOOKUP(A162,'Player Data'!A1:B667,2,FALSE)</f>
        <v>NSH</v>
      </c>
      <c r="C162" s="51">
        <f>((E162)*Settings!$C$12)+(F162*Settings!$C$2)+(G162*Settings!$C$3)+(H162*Settings!$C$4)+(I162*Settings!$C$5)+(K162*Settings!$C$9)+(N162*Settings!$C$6)+(J162*Settings!$C$8)+(O162*Settings!$C$7)+(P162*Settings!$C$14)+(Q162*Settings!$C$15)+(R162*Settings!$C$16)+(S162*Settings!$C$17)+(T162*Settings!$C$18)+(U162*Settings!$C$19)+(L162*Settings!$C$10)+(Settings!$C$11*M162)</f>
        <v>0.89367947337735676</v>
      </c>
      <c r="D162" s="56">
        <f>IF(Settings!$E$12="YES",VLOOKUP(A162,'Player Data'!A1:E667,5,FALSE),82)</f>
        <v>77.59</v>
      </c>
      <c r="E162" s="54">
        <f>(VLOOKUP($A162,'The List'!$B1:$AH665,17,FALSE)-AVERAGE('The List'!R2:R665))/STDEV('The List'!R2:R665)</f>
        <v>-9.275028674365686E-2</v>
      </c>
      <c r="F162" s="54">
        <f>(VLOOKUP($A162,'The List'!$B1:$AH665,18,FALSE)-AVERAGE('The List'!S2:S665))/STDEV('The List'!S2:S665)</f>
        <v>0.23728618738868407</v>
      </c>
      <c r="G162" s="54">
        <f>(VLOOKUP($A162,'The List'!$B1:$AH665,19,FALSE)-AVERAGE('The List'!T2:T665))/STDEV('The List'!T2:T665)</f>
        <v>0.66187054274314572</v>
      </c>
      <c r="H162" s="54">
        <f>(VLOOKUP($A162,'The List'!$B1:$AH665,20,FALSE)-AVERAGE('The List'!U2:U665))/STDEV('The List'!U2:U665)</f>
        <v>0.51891667406186903</v>
      </c>
      <c r="I162" s="54">
        <f>(VLOOKUP($A162,'The List'!$B1:$AH665,21,FALSE)-AVERAGE('The List'!V2:V665))/STDEV('The List'!V2:V665)</f>
        <v>-1.0627511278941036E-2</v>
      </c>
      <c r="J162" s="54">
        <f>(VLOOKUP($A162,'The List'!$B1:$AH665,22,FALSE)-AVERAGE('The List'!W2:W665))/STDEV('The List'!W2:W665)</f>
        <v>-0.10536791604240475</v>
      </c>
      <c r="K162" s="54">
        <f>(VLOOKUP($A162,'The List'!$B1:$AH665,23,FALSE)-AVERAGE('The List'!X2:X665))/STDEV('The List'!X2:X665)</f>
        <v>0.18914743205958737</v>
      </c>
      <c r="L162" s="54">
        <f>(VLOOKUP($A162,'The List'!$B1:$AH665,24,FALSE)-AVERAGE('The List'!Y2:Y665))/STDEV('The List'!Y2:Y665)</f>
        <v>0.77349057815880151</v>
      </c>
      <c r="M162" s="54">
        <f>(VLOOKUP($A162,'The List'!$B1:$AH665,25,FALSE)-AVERAGE('The List'!Z2:Z665))/STDEV('The List'!Z2:Z665)</f>
        <v>0.41311051917385749</v>
      </c>
      <c r="N162" s="54">
        <f>(VLOOKUP($A162,'The List'!$B1:$AH665,26,FALSE)-AVERAGE('The List'!AA2:AA665))/STDEV('The List'!AA2:AA665)</f>
        <v>-0.65417106548143567</v>
      </c>
      <c r="O162" s="54">
        <f>(VLOOKUP($A162,'The List'!$B1:$AH665,27,FALSE)-AVERAGE('The List'!AB2:AB665))/STDEV('The List'!AB2:AB665)</f>
        <v>-1.0288024115678955</v>
      </c>
      <c r="P162" s="54">
        <f>(VLOOKUP($A162,'The List'!$B1:$AH665,28,FALSE)-AVERAGE('The List'!AC2:AC665))/STDEV('The List'!AC2:AC665)</f>
        <v>0.47017388794631648</v>
      </c>
      <c r="Q162" s="54">
        <f>(VLOOKUP($A162,'The List'!$B1:$AH665,29,FALSE)-AVERAGE('The List'!AD2:AD665))/STDEV('The List'!AD2:AD665)</f>
        <v>-0.99826325023882723</v>
      </c>
      <c r="R162" s="54">
        <f>(VLOOKUP($A162,'The List'!$B1:$AH665,30,FALSE)-AVERAGE('The List'!AE2:AE665))/STDEV('The List'!AE2:AE665)</f>
        <v>0.15255895571560199</v>
      </c>
      <c r="S162" s="54">
        <f>(VLOOKUP($A162,'The List'!$B1:$AH665,31,FALSE)-AVERAGE('The List'!AF2:AF665))/STDEV('The List'!AF2:AF665)</f>
        <v>-0.50385576388429942</v>
      </c>
      <c r="T162" s="54">
        <f>(VLOOKUP($A162,'The List'!$B1:$AH665,32,FALSE)-AVERAGE('The List'!AG2:AG665))/STDEV('The List'!AG2:AG665)</f>
        <v>-0.52322056096218594</v>
      </c>
      <c r="U162" s="54">
        <f>(VLOOKUP($A162,'The List'!$B1:$AH665,33,FALSE)-AVERAGE('The List'!AH2:AH665))/STDEV('The List'!AH2:AH665)</f>
        <v>0.67595009887833712</v>
      </c>
      <c r="V162" s="54"/>
      <c r="W162" s="64"/>
      <c r="X162" s="56"/>
      <c r="Y162" s="56"/>
      <c r="Z162" s="56"/>
      <c r="AA162" s="56"/>
      <c r="AB162" s="56"/>
      <c r="AC162" s="59"/>
      <c r="AD162" s="60"/>
      <c r="AE162" s="54"/>
    </row>
    <row r="163" spans="1:31" ht="21.25" customHeight="1" x14ac:dyDescent="0.15">
      <c r="A163" s="9" t="s">
        <v>406</v>
      </c>
      <c r="B163" s="65" t="str">
        <f>VLOOKUP(A163,'Player Data'!A1:B667,2,FALSE)</f>
        <v>WPG</v>
      </c>
      <c r="C163" s="51">
        <f>((E163)*Settings!$C$12)+(F163*Settings!$C$2)+(G163*Settings!$C$3)+(H163*Settings!$C$4)+(I163*Settings!$C$5)+(K163*Settings!$C$9)+(N163*Settings!$C$6)+(J163*Settings!$C$8)+(O163*Settings!$C$7)+(P163*Settings!$C$14)+(Q163*Settings!$C$15)+(R163*Settings!$C$16)+(S163*Settings!$C$17)+(T163*Settings!$C$18)+(U163*Settings!$C$19)+(L163*Settings!$C$10)+(Settings!$C$11*M163)</f>
        <v>1.246458230020782</v>
      </c>
      <c r="D163" s="56">
        <f>IF(Settings!$E$12="YES",VLOOKUP(A163,'Player Data'!A1:E667,5,FALSE),82)</f>
        <v>72.715000000000003</v>
      </c>
      <c r="E163" s="54">
        <f>(VLOOKUP($A163,'The List'!$B1:$AH665,17,FALSE)-AVERAGE('The List'!R2:R665))/STDEV('The List'!R2:R665)</f>
        <v>-0.47095212287910831</v>
      </c>
      <c r="F163" s="54">
        <f>(VLOOKUP($A163,'The List'!$B1:$AH665,18,FALSE)-AVERAGE('The List'!S2:S665))/STDEV('The List'!S2:S665)</f>
        <v>0.49123872399736956</v>
      </c>
      <c r="G163" s="54">
        <f>(VLOOKUP($A163,'The List'!$B1:$AH665,19,FALSE)-AVERAGE('The List'!T2:T665))/STDEV('The List'!T2:T665)</f>
        <v>0.22170487474757716</v>
      </c>
      <c r="H163" s="54">
        <f>(VLOOKUP($A163,'The List'!$B1:$AH665,20,FALSE)-AVERAGE('The List'!U2:U665))/STDEV('The List'!U2:U665)</f>
        <v>0.36098254377292649</v>
      </c>
      <c r="I163" s="54">
        <f>(VLOOKUP($A163,'The List'!$B1:$AH665,21,FALSE)-AVERAGE('The List'!V2:V665))/STDEV('The List'!V2:V665)</f>
        <v>0.29609243711198441</v>
      </c>
      <c r="J163" s="54">
        <f>(VLOOKUP($A163,'The List'!$B1:$AH665,22,FALSE)-AVERAGE('The List'!W2:W665))/STDEV('The List'!W2:W665)</f>
        <v>0.47857154968259735</v>
      </c>
      <c r="K163" s="54">
        <f>(VLOOKUP($A163,'The List'!$B1:$AH665,23,FALSE)-AVERAGE('The List'!X2:X665))/STDEV('The List'!X2:X665)</f>
        <v>0.30713114070660341</v>
      </c>
      <c r="L163" s="54">
        <f>(VLOOKUP($A163,'The List'!$B1:$AH665,24,FALSE)-AVERAGE('The List'!Y2:Y665))/STDEV('The List'!Y2:Y665)</f>
        <v>-0.57769605867808671</v>
      </c>
      <c r="M163" s="54">
        <f>(VLOOKUP($A163,'The List'!$B1:$AH665,25,FALSE)-AVERAGE('The List'!Z2:Z665))/STDEV('The List'!Z2:Z665)</f>
        <v>-0.75151141340284178</v>
      </c>
      <c r="N163" s="54">
        <f>(VLOOKUP($A163,'The List'!$B1:$AH665,26,FALSE)-AVERAGE('The List'!AA2:AA665))/STDEV('The List'!AA2:AA665)</f>
        <v>-0.87778600206419022</v>
      </c>
      <c r="O163" s="54">
        <f>(VLOOKUP($A163,'The List'!$B1:$AH665,27,FALSE)-AVERAGE('The List'!AB2:AB665))/STDEV('The List'!AB2:AB665)</f>
        <v>-1.0382083111201086</v>
      </c>
      <c r="P163" s="54">
        <f>(VLOOKUP($A163,'The List'!$B1:$AH665,28,FALSE)-AVERAGE('The List'!AC2:AC665))/STDEV('The List'!AC2:AC665)</f>
        <v>0.80807705552143783</v>
      </c>
      <c r="Q163" s="54">
        <f>(VLOOKUP($A163,'The List'!$B1:$AH665,29,FALSE)-AVERAGE('The List'!AD2:AD665))/STDEV('The List'!AD2:AD665)</f>
        <v>-0.95772251751300974</v>
      </c>
      <c r="R163" s="54">
        <f>(VLOOKUP($A163,'The List'!$B1:$AH665,30,FALSE)-AVERAGE('The List'!AE2:AE665))/STDEV('The List'!AE2:AE665)</f>
        <v>0.6718715501088186</v>
      </c>
      <c r="S163" s="54">
        <f>(VLOOKUP($A163,'The List'!$B1:$AH665,31,FALSE)-AVERAGE('The List'!AF2:AF665))/STDEV('The List'!AF2:AF665)</f>
        <v>-0.42985709716054649</v>
      </c>
      <c r="T163" s="54">
        <f>(VLOOKUP($A163,'The List'!$B1:$AH665,32,FALSE)-AVERAGE('The List'!AG2:AG665))/STDEV('The List'!AG2:AG665)</f>
        <v>-0.27910539948574625</v>
      </c>
      <c r="U163" s="54">
        <f>(VLOOKUP($A163,'The List'!$B1:$AH665,33,FALSE)-AVERAGE('The List'!AH2:AH665))/STDEV('The List'!AH2:AH665)</f>
        <v>0.15789655093553251</v>
      </c>
      <c r="V163" s="54"/>
      <c r="W163" s="64"/>
      <c r="X163" s="56"/>
      <c r="Y163" s="56"/>
      <c r="Z163" s="56"/>
      <c r="AA163" s="56"/>
      <c r="AB163" s="56"/>
      <c r="AC163" s="59"/>
      <c r="AD163" s="60"/>
      <c r="AE163" s="54"/>
    </row>
    <row r="164" spans="1:31" ht="21.25" customHeight="1" x14ac:dyDescent="0.15">
      <c r="A164" s="9" t="s">
        <v>242</v>
      </c>
      <c r="B164" s="65" t="str">
        <f>VLOOKUP(A164,'Player Data'!A1:B667,2,FALSE)</f>
        <v>L.A</v>
      </c>
      <c r="C164" s="51">
        <f>((E164)*Settings!$C$12)+(F164*Settings!$C$2)+(G164*Settings!$C$3)+(H164*Settings!$C$4)+(I164*Settings!$C$5)+(K164*Settings!$C$9)+(N164*Settings!$C$6)+(J164*Settings!$C$8)+(O164*Settings!$C$7)+(P164*Settings!$C$14)+(Q164*Settings!$C$15)+(R164*Settings!$C$16)+(S164*Settings!$C$17)+(T164*Settings!$C$18)+(U164*Settings!$C$19)+(L164*Settings!$C$10)+(Settings!$C$11*M164)</f>
        <v>4.0797981770347391</v>
      </c>
      <c r="D164" s="56">
        <f>IF(Settings!$E$12="YES",VLOOKUP(A164,'Player Data'!A1:E667,5,FALSE),82)</f>
        <v>77.592500000000001</v>
      </c>
      <c r="E164" s="54">
        <f>(VLOOKUP($A164,'The List'!$B1:$AH665,17,FALSE)-AVERAGE('The List'!R2:R665))/STDEV('The List'!R2:R665)</f>
        <v>2.3894662684457804</v>
      </c>
      <c r="F164" s="54">
        <f>(VLOOKUP($A164,'The List'!$B1:$AH665,18,FALSE)-AVERAGE('The List'!S2:S665))/STDEV('The List'!S2:S665)</f>
        <v>-0.26328008422834048</v>
      </c>
      <c r="G164" s="54">
        <f>(VLOOKUP($A164,'The List'!$B1:$AH665,19,FALSE)-AVERAGE('The List'!T2:T665))/STDEV('The List'!T2:T665)</f>
        <v>0.96942352157946776</v>
      </c>
      <c r="H164" s="54">
        <f>(VLOOKUP($A164,'The List'!$B1:$AH665,20,FALSE)-AVERAGE('The List'!U2:U665))/STDEV('The List'!U2:U665)</f>
        <v>0.48239320276842951</v>
      </c>
      <c r="I164" s="54">
        <f>(VLOOKUP($A164,'The List'!$B1:$AH665,21,FALSE)-AVERAGE('The List'!V2:V665))/STDEV('The List'!V2:V665)</f>
        <v>5.9078585356292221E-2</v>
      </c>
      <c r="J164" s="54">
        <f>(VLOOKUP($A164,'The List'!$B1:$AH665,22,FALSE)-AVERAGE('The List'!W2:W665))/STDEV('The List'!W2:W665)</f>
        <v>0.42887334184550041</v>
      </c>
      <c r="K164" s="54">
        <f>(VLOOKUP($A164,'The List'!$B1:$AH665,23,FALSE)-AVERAGE('The List'!X2:X665))/STDEV('The List'!X2:X665)</f>
        <v>1.1905343239011799</v>
      </c>
      <c r="L164" s="54">
        <f>(VLOOKUP($A164,'The List'!$B1:$AH665,24,FALSE)-AVERAGE('The List'!Y2:Y665))/STDEV('The List'!Y2:Y665)</f>
        <v>-0.53702407096108729</v>
      </c>
      <c r="M164" s="54">
        <f>(VLOOKUP($A164,'The List'!$B1:$AH665,25,FALSE)-AVERAGE('The List'!Z2:Z665))/STDEV('The List'!Z2:Z665)</f>
        <v>-0.64043566056192958</v>
      </c>
      <c r="N164" s="54">
        <f>(VLOOKUP($A164,'The List'!$B1:$AH665,26,FALSE)-AVERAGE('The List'!AA2:AA665))/STDEV('The List'!AA2:AA665)</f>
        <v>1.4113503199956383</v>
      </c>
      <c r="O164" s="54">
        <f>(VLOOKUP($A164,'The List'!$B1:$AH665,27,FALSE)-AVERAGE('The List'!AB2:AB665))/STDEV('The List'!AB2:AB665)</f>
        <v>0.20597286576719193</v>
      </c>
      <c r="P164" s="54">
        <f>(VLOOKUP($A164,'The List'!$B1:$AH665,28,FALSE)-AVERAGE('The List'!AC2:AC665))/STDEV('The List'!AC2:AC665)</f>
        <v>0.71269151043050194</v>
      </c>
      <c r="Q164" s="54">
        <f>(VLOOKUP($A164,'The List'!$B1:$AH665,29,FALSE)-AVERAGE('The List'!AD2:AD665))/STDEV('The List'!AD2:AD665)</f>
        <v>0.67549013895661125</v>
      </c>
      <c r="R164" s="54">
        <f>(VLOOKUP($A164,'The List'!$B1:$AH665,30,FALSE)-AVERAGE('The List'!AE2:AE665))/STDEV('The List'!AE2:AE665)</f>
        <v>-5.0840640752433129E-2</v>
      </c>
      <c r="S164" s="54">
        <f>(VLOOKUP($A164,'The List'!$B1:$AH665,31,FALSE)-AVERAGE('The List'!AF2:AF665))/STDEV('The List'!AF2:AF665)</f>
        <v>-0.57389441068000469</v>
      </c>
      <c r="T164" s="54">
        <f>(VLOOKUP($A164,'The List'!$B1:$AH665,32,FALSE)-AVERAGE('The List'!AG2:AG665))/STDEV('The List'!AG2:AG665)</f>
        <v>-0.62577078713265111</v>
      </c>
      <c r="U164" s="54">
        <f>(VLOOKUP($A164,'The List'!$B1:$AH665,33,FALSE)-AVERAGE('The List'!AH2:AH665))/STDEV('The List'!AH2:AH665)</f>
        <v>-1.2314350945148611</v>
      </c>
      <c r="V164" s="54"/>
      <c r="W164" s="64"/>
      <c r="X164" s="56"/>
      <c r="Y164" s="56"/>
      <c r="Z164" s="56"/>
      <c r="AA164" s="56"/>
      <c r="AB164" s="56"/>
      <c r="AC164" s="59"/>
      <c r="AD164" s="60"/>
      <c r="AE164" s="54"/>
    </row>
    <row r="165" spans="1:31" ht="21.25" customHeight="1" x14ac:dyDescent="0.15">
      <c r="A165" s="9" t="s">
        <v>431</v>
      </c>
      <c r="B165" s="65" t="str">
        <f>VLOOKUP(A165,'Player Data'!A1:B667,2,FALSE)</f>
        <v>SEA</v>
      </c>
      <c r="C165" s="51">
        <f>((E165)*Settings!$C$12)+(F165*Settings!$C$2)+(G165*Settings!$C$3)+(H165*Settings!$C$4)+(I165*Settings!$C$5)+(K165*Settings!$C$9)+(N165*Settings!$C$6)+(J165*Settings!$C$8)+(O165*Settings!$C$7)+(P165*Settings!$C$14)+(Q165*Settings!$C$15)+(R165*Settings!$C$16)+(S165*Settings!$C$17)+(T165*Settings!$C$18)+(U165*Settings!$C$19)+(L165*Settings!$C$10)+(Settings!$C$11*M165)</f>
        <v>-0.11021747224107603</v>
      </c>
      <c r="D165" s="56">
        <f>IF(Settings!$E$12="YES",VLOOKUP(A165,'Player Data'!A1:E667,5,FALSE),82)</f>
        <v>80.349999999999994</v>
      </c>
      <c r="E165" s="54">
        <f>(VLOOKUP($A165,'The List'!$B1:$AH665,17,FALSE)-AVERAGE('The List'!R2:R665))/STDEV('The List'!R2:R665)</f>
        <v>0.21016888123136263</v>
      </c>
      <c r="F165" s="54">
        <f>(VLOOKUP($A165,'The List'!$B1:$AH665,18,FALSE)-AVERAGE('The List'!S2:S665))/STDEV('The List'!S2:S665)</f>
        <v>0.11329127528327811</v>
      </c>
      <c r="G165" s="54">
        <f>(VLOOKUP($A165,'The List'!$B1:$AH665,19,FALSE)-AVERAGE('The List'!T2:T665))/STDEV('The List'!T2:T665)</f>
        <v>0.81560300518436912</v>
      </c>
      <c r="H165" s="54">
        <f>(VLOOKUP($A165,'The List'!$B1:$AH665,20,FALSE)-AVERAGE('The List'!U2:U665))/STDEV('The List'!U2:U665)</f>
        <v>0.55803159582110984</v>
      </c>
      <c r="I165" s="54">
        <f>(VLOOKUP($A165,'The List'!$B1:$AH665,21,FALSE)-AVERAGE('The List'!V2:V665))/STDEV('The List'!V2:V665)</f>
        <v>-0.44021005462360013</v>
      </c>
      <c r="J165" s="54">
        <f>(VLOOKUP($A165,'The List'!$B1:$AH665,22,FALSE)-AVERAGE('The List'!W2:W665))/STDEV('The List'!W2:W665)</f>
        <v>3.0094144585826769E-2</v>
      </c>
      <c r="K165" s="54">
        <f>(VLOOKUP($A165,'The List'!$B1:$AH665,23,FALSE)-AVERAGE('The List'!X2:X665))/STDEV('The List'!X2:X665)</f>
        <v>9.3748676519247301E-2</v>
      </c>
      <c r="L165" s="54">
        <f>(VLOOKUP($A165,'The List'!$B1:$AH665,24,FALSE)-AVERAGE('The List'!Y2:Y665))/STDEV('The List'!Y2:Y665)</f>
        <v>2.1301715902107561</v>
      </c>
      <c r="M165" s="54">
        <f>(VLOOKUP($A165,'The List'!$B1:$AH665,25,FALSE)-AVERAGE('The List'!Z2:Z665))/STDEV('The List'!Z2:Z665)</f>
        <v>2.4050799340727904</v>
      </c>
      <c r="N165" s="54">
        <f>(VLOOKUP($A165,'The List'!$B1:$AH665,26,FALSE)-AVERAGE('The List'!AA2:AA665))/STDEV('The List'!AA2:AA665)</f>
        <v>-0.47518722907055699</v>
      </c>
      <c r="O165" s="54">
        <f>(VLOOKUP($A165,'The List'!$B1:$AH665,27,FALSE)-AVERAGE('The List'!AB2:AB665))/STDEV('The List'!AB2:AB665)</f>
        <v>-0.7392782183128801</v>
      </c>
      <c r="P165" s="54">
        <f>(VLOOKUP($A165,'The List'!$B1:$AH665,28,FALSE)-AVERAGE('The List'!AC2:AC665))/STDEV('The List'!AC2:AC665)</f>
        <v>-0.21746314553381341</v>
      </c>
      <c r="Q165" s="54">
        <f>(VLOOKUP($A165,'The List'!$B1:$AH665,29,FALSE)-AVERAGE('The List'!AD2:AD665))/STDEV('The List'!AD2:AD665)</f>
        <v>-0.86918792296021297</v>
      </c>
      <c r="R165" s="54">
        <f>(VLOOKUP($A165,'The List'!$B1:$AH665,30,FALSE)-AVERAGE('The List'!AE2:AE665))/STDEV('The List'!AE2:AE665)</f>
        <v>0.13509493868576186</v>
      </c>
      <c r="S165" s="54">
        <f>(VLOOKUP($A165,'The List'!$B1:$AH665,31,FALSE)-AVERAGE('The List'!AF2:AF665))/STDEV('The List'!AF2:AF665)</f>
        <v>2.2778307111059206</v>
      </c>
      <c r="T165" s="54">
        <f>(VLOOKUP($A165,'The List'!$B1:$AH665,32,FALSE)-AVERAGE('The List'!AG2:AG665))/STDEV('The List'!AG2:AG665)</f>
        <v>1.915282706043739</v>
      </c>
      <c r="U165" s="54">
        <f>(VLOOKUP($A165,'The List'!$B1:$AH665,33,FALSE)-AVERAGE('The List'!AH2:AH665))/STDEV('The List'!AH2:AH665)</f>
        <v>1.2352125722522411</v>
      </c>
      <c r="V165" s="54"/>
      <c r="W165" s="64"/>
      <c r="X165" s="56"/>
      <c r="Y165" s="56"/>
      <c r="Z165" s="56"/>
      <c r="AA165" s="56"/>
      <c r="AB165" s="56"/>
      <c r="AC165" s="59"/>
      <c r="AD165" s="60"/>
      <c r="AE165" s="54"/>
    </row>
    <row r="166" spans="1:31" ht="21.25" customHeight="1" x14ac:dyDescent="0.15">
      <c r="A166" s="9" t="s">
        <v>368</v>
      </c>
      <c r="B166" s="65" t="str">
        <f>VLOOKUP(A166,'Player Data'!A1:B667,2,FALSE)</f>
        <v>OTT</v>
      </c>
      <c r="C166" s="51">
        <f>((E166)*Settings!$C$12)+(F166*Settings!$C$2)+(G166*Settings!$C$3)+(H166*Settings!$C$4)+(I166*Settings!$C$5)+(K166*Settings!$C$9)+(N166*Settings!$C$6)+(J166*Settings!$C$8)+(O166*Settings!$C$7)+(P166*Settings!$C$14)+(Q166*Settings!$C$15)+(R166*Settings!$C$16)+(S166*Settings!$C$17)+(T166*Settings!$C$18)+(U166*Settings!$C$19)+(L166*Settings!$C$10)+(Settings!$C$11*M166)</f>
        <v>1.1673909272184766</v>
      </c>
      <c r="D166" s="56">
        <f>IF(Settings!$E$12="YES",VLOOKUP(A166,'Player Data'!A1:E667,5,FALSE),82)</f>
        <v>72.752499999999998</v>
      </c>
      <c r="E166" s="54">
        <f>(VLOOKUP($A166,'The List'!$B1:$AH665,17,FALSE)-AVERAGE('The List'!R2:R665))/STDEV('The List'!R2:R665)</f>
        <v>0.40804454599191026</v>
      </c>
      <c r="F166" s="54">
        <f>(VLOOKUP($A166,'The List'!$B1:$AH665,18,FALSE)-AVERAGE('The List'!S2:S665))/STDEV('The List'!S2:S665)</f>
        <v>0.57391183188999295</v>
      </c>
      <c r="G166" s="54">
        <f>(VLOOKUP($A166,'The List'!$B1:$AH665,19,FALSE)-AVERAGE('The List'!T2:T665))/STDEV('The List'!T2:T665)</f>
        <v>0.11210588782754727</v>
      </c>
      <c r="H166" s="54">
        <f>(VLOOKUP($A166,'The List'!$B1:$AH665,20,FALSE)-AVERAGE('The List'!U2:U665))/STDEV('The List'!U2:U665)</f>
        <v>0.33049426765671175</v>
      </c>
      <c r="I166" s="54">
        <f>(VLOOKUP($A166,'The List'!$B1:$AH665,21,FALSE)-AVERAGE('The List'!V2:V665))/STDEV('The List'!V2:V665)</f>
        <v>0.81673346113796352</v>
      </c>
      <c r="J166" s="54">
        <f>(VLOOKUP($A166,'The List'!$B1:$AH665,22,FALSE)-AVERAGE('The List'!W2:W665))/STDEV('The List'!W2:W665)</f>
        <v>0.82634007256923403</v>
      </c>
      <c r="K166" s="54">
        <f>(VLOOKUP($A166,'The List'!$B1:$AH665,23,FALSE)-AVERAGE('The List'!X2:X665))/STDEV('The List'!X2:X665)</f>
        <v>0.25845146446917122</v>
      </c>
      <c r="L166" s="54">
        <f>(VLOOKUP($A166,'The List'!$B1:$AH665,24,FALSE)-AVERAGE('The List'!Y2:Y665))/STDEV('The List'!Y2:Y665)</f>
        <v>-0.32751001946098646</v>
      </c>
      <c r="M166" s="54">
        <f>(VLOOKUP($A166,'The List'!$B1:$AH665,25,FALSE)-AVERAGE('The List'!Z2:Z665))/STDEV('The List'!Z2:Z665)</f>
        <v>-0.49625662877530297</v>
      </c>
      <c r="N166" s="54">
        <f>(VLOOKUP($A166,'The List'!$B1:$AH665,26,FALSE)-AVERAGE('The List'!AA2:AA665))/STDEV('The List'!AA2:AA665)</f>
        <v>-0.35999475464580871</v>
      </c>
      <c r="O166" s="54">
        <f>(VLOOKUP($A166,'The List'!$B1:$AH665,27,FALSE)-AVERAGE('The List'!AB2:AB665))/STDEV('The List'!AB2:AB665)</f>
        <v>-0.51001502467828941</v>
      </c>
      <c r="P166" s="54">
        <f>(VLOOKUP($A166,'The List'!$B1:$AH665,28,FALSE)-AVERAGE('The List'!AC2:AC665))/STDEV('The List'!AC2:AC665)</f>
        <v>-0.23381696346038974</v>
      </c>
      <c r="Q166" s="54">
        <f>(VLOOKUP($A166,'The List'!$B1:$AH665,29,FALSE)-AVERAGE('The List'!AD2:AD665))/STDEV('The List'!AD2:AD665)</f>
        <v>-0.43729195551305083</v>
      </c>
      <c r="R166" s="54">
        <f>(VLOOKUP($A166,'The List'!$B1:$AH665,30,FALSE)-AVERAGE('The List'!AE2:AE665))/STDEV('The List'!AE2:AE665)</f>
        <v>0.62587210135905968</v>
      </c>
      <c r="S166" s="54">
        <f>(VLOOKUP($A166,'The List'!$B1:$AH665,31,FALSE)-AVERAGE('The List'!AF2:AF665))/STDEV('The List'!AF2:AF665)</f>
        <v>1.6211664422297383</v>
      </c>
      <c r="T166" s="54">
        <f>(VLOOKUP($A166,'The List'!$B1:$AH665,32,FALSE)-AVERAGE('The List'!AG2:AG665))/STDEV('The List'!AG2:AG665)</f>
        <v>1.6082388398808756</v>
      </c>
      <c r="U166" s="54">
        <f>(VLOOKUP($A166,'The List'!$B1:$AH665,33,FALSE)-AVERAGE('The List'!AH2:AH665))/STDEV('The List'!AH2:AH665)</f>
        <v>1.0850779799315422</v>
      </c>
      <c r="V166" s="54"/>
      <c r="W166" s="56"/>
      <c r="X166" s="54"/>
      <c r="Y166" s="54"/>
      <c r="Z166" s="54"/>
      <c r="AA166" s="54"/>
      <c r="AB166" s="54"/>
      <c r="AC166" s="54"/>
      <c r="AD166" s="54"/>
      <c r="AE166" s="54"/>
    </row>
    <row r="167" spans="1:31" ht="21.25" customHeight="1" x14ac:dyDescent="0.15">
      <c r="A167" s="9" t="s">
        <v>342</v>
      </c>
      <c r="B167" s="65" t="str">
        <f>VLOOKUP(A167,'Player Data'!A1:B667,2,FALSE)</f>
        <v>DET</v>
      </c>
      <c r="C167" s="51">
        <f>((E167)*Settings!$C$12)+(F167*Settings!$C$2)+(G167*Settings!$C$3)+(H167*Settings!$C$4)+(I167*Settings!$C$5)+(K167*Settings!$C$9)+(N167*Settings!$C$6)+(J167*Settings!$C$8)+(O167*Settings!$C$7)+(P167*Settings!$C$14)+(Q167*Settings!$C$15)+(R167*Settings!$C$16)+(S167*Settings!$C$17)+(T167*Settings!$C$18)+(U167*Settings!$C$19)+(L167*Settings!$C$10)+(Settings!$C$11*M167)</f>
        <v>0.82526111785169343</v>
      </c>
      <c r="D167" s="56">
        <f>IF(Settings!$E$12="YES",VLOOKUP(A167,'Player Data'!A1:E667,5,FALSE),82)</f>
        <v>78.477500000000006</v>
      </c>
      <c r="E167" s="54">
        <f>(VLOOKUP($A167,'The List'!$B1:$AH665,17,FALSE)-AVERAGE('The List'!R2:R665))/STDEV('The List'!R2:R665)</f>
        <v>-0.56230039849327718</v>
      </c>
      <c r="F167" s="54">
        <f>(VLOOKUP($A167,'The List'!$B1:$AH665,18,FALSE)-AVERAGE('The List'!S2:S665))/STDEV('The List'!S2:S665)</f>
        <v>0.5070192032299834</v>
      </c>
      <c r="G167" s="54">
        <f>(VLOOKUP($A167,'The List'!$B1:$AH665,19,FALSE)-AVERAGE('The List'!T2:T665))/STDEV('The List'!T2:T665)</f>
        <v>0.39725945176796423</v>
      </c>
      <c r="H167" s="54">
        <f>(VLOOKUP($A167,'The List'!$B1:$AH665,20,FALSE)-AVERAGE('The List'!U2:U665))/STDEV('The List'!U2:U665)</f>
        <v>0.47718478512297496</v>
      </c>
      <c r="I167" s="54">
        <f>(VLOOKUP($A167,'The List'!$B1:$AH665,21,FALSE)-AVERAGE('The List'!V2:V665))/STDEV('The List'!V2:V665)</f>
        <v>0.4139960580666085</v>
      </c>
      <c r="J167" s="54">
        <f>(VLOOKUP($A167,'The List'!$B1:$AH665,22,FALSE)-AVERAGE('The List'!W2:W665))/STDEV('The List'!W2:W665)</f>
        <v>4.4572461343692932E-3</v>
      </c>
      <c r="K167" s="54">
        <f>(VLOOKUP($A167,'The List'!$B1:$AH665,23,FALSE)-AVERAGE('The List'!X2:X665))/STDEV('The List'!X2:X665)</f>
        <v>0.18288069464167117</v>
      </c>
      <c r="L167" s="54">
        <f>(VLOOKUP($A167,'The List'!$B1:$AH665,24,FALSE)-AVERAGE('The List'!Y2:Y665))/STDEV('The List'!Y2:Y665)</f>
        <v>-0.57392318077290805</v>
      </c>
      <c r="M167" s="54">
        <f>(VLOOKUP($A167,'The List'!$B1:$AH665,25,FALSE)-AVERAGE('The List'!Z2:Z665))/STDEV('The List'!Z2:Z665)</f>
        <v>-0.74754353696180631</v>
      </c>
      <c r="N167" s="54">
        <f>(VLOOKUP($A167,'The List'!$B1:$AH665,26,FALSE)-AVERAGE('The List'!AA2:AA665))/STDEV('The List'!AA2:AA665)</f>
        <v>-0.65536636034285589</v>
      </c>
      <c r="O167" s="54">
        <f>(VLOOKUP($A167,'The List'!$B1:$AH665,27,FALSE)-AVERAGE('The List'!AB2:AB665))/STDEV('The List'!AB2:AB665)</f>
        <v>-0.20088256685272662</v>
      </c>
      <c r="P167" s="54">
        <f>(VLOOKUP($A167,'The List'!$B1:$AH665,28,FALSE)-AVERAGE('The List'!AC2:AC665))/STDEV('The List'!AC2:AC665)</f>
        <v>-2.0527929511677895E-2</v>
      </c>
      <c r="Q167" s="54">
        <f>(VLOOKUP($A167,'The List'!$B1:$AH665,29,FALSE)-AVERAGE('The List'!AD2:AD665))/STDEV('The List'!AD2:AD665)</f>
        <v>-1.1402445611579843</v>
      </c>
      <c r="R167" s="54">
        <f>(VLOOKUP($A167,'The List'!$B1:$AH665,30,FALSE)-AVERAGE('The List'!AE2:AE665))/STDEV('The List'!AE2:AE665)</f>
        <v>0.3474945418105207</v>
      </c>
      <c r="S167" s="54">
        <f>(VLOOKUP($A167,'The List'!$B1:$AH665,31,FALSE)-AVERAGE('The List'!AF2:AF665))/STDEV('The List'!AF2:AF665)</f>
        <v>-0.56336804315873201</v>
      </c>
      <c r="T167" s="54">
        <f>(VLOOKUP($A167,'The List'!$B1:$AH665,32,FALSE)-AVERAGE('The List'!AG2:AG665))/STDEV('The List'!AG2:AG665)</f>
        <v>-0.60292612709218552</v>
      </c>
      <c r="U167" s="54">
        <f>(VLOOKUP($A167,'The List'!$B1:$AH665,33,FALSE)-AVERAGE('The List'!AH2:AH665))/STDEV('The List'!AH2:AH665)</f>
        <v>0.25951961136263224</v>
      </c>
      <c r="V167" s="54"/>
      <c r="W167" s="56"/>
      <c r="X167" s="54"/>
      <c r="Y167" s="54"/>
      <c r="Z167" s="54"/>
      <c r="AA167" s="54"/>
      <c r="AB167" s="54"/>
      <c r="AC167" s="54"/>
      <c r="AD167" s="54"/>
      <c r="AE167" s="54"/>
    </row>
    <row r="168" spans="1:31" ht="21.25" customHeight="1" x14ac:dyDescent="0.15">
      <c r="A168" s="9" t="s">
        <v>338</v>
      </c>
      <c r="B168" s="65" t="str">
        <f>VLOOKUP(A168,'Player Data'!A1:B667,2,FALSE)</f>
        <v>SEA</v>
      </c>
      <c r="C168" s="51">
        <f>((E168)*Settings!$C$12)+(F168*Settings!$C$2)+(G168*Settings!$C$3)+(H168*Settings!$C$4)+(I168*Settings!$C$5)+(K168*Settings!$C$9)+(N168*Settings!$C$6)+(J168*Settings!$C$8)+(O168*Settings!$C$7)+(P168*Settings!$C$14)+(Q168*Settings!$C$15)+(R168*Settings!$C$16)+(S168*Settings!$C$17)+(T168*Settings!$C$18)+(U168*Settings!$C$19)+(L168*Settings!$C$10)+(Settings!$C$11*M168)</f>
        <v>1.1149460985860089</v>
      </c>
      <c r="D168" s="56">
        <f>IF(Settings!$E$12="YES",VLOOKUP(A168,'Player Data'!A1:E667,5,FALSE),82)</f>
        <v>81.02</v>
      </c>
      <c r="E168" s="54">
        <f>(VLOOKUP($A168,'The List'!$B1:$AH665,17,FALSE)-AVERAGE('The List'!R2:R665))/STDEV('The List'!R2:R665)</f>
        <v>9.4044878202943577E-2</v>
      </c>
      <c r="F168" s="54">
        <f>(VLOOKUP($A168,'The List'!$B1:$AH665,18,FALSE)-AVERAGE('The List'!S2:S665))/STDEV('The List'!S2:S665)</f>
        <v>0.40216539161493842</v>
      </c>
      <c r="G168" s="54">
        <f>(VLOOKUP($A168,'The List'!$B1:$AH665,19,FALSE)-AVERAGE('The List'!T2:T665))/STDEV('The List'!T2:T665)</f>
        <v>0.56316162707566919</v>
      </c>
      <c r="H168" s="54">
        <f>(VLOOKUP($A168,'The List'!$B1:$AH665,20,FALSE)-AVERAGE('The List'!U2:U665))/STDEV('The List'!U2:U665)</f>
        <v>0.53255832287471327</v>
      </c>
      <c r="I168" s="54">
        <f>(VLOOKUP($A168,'The List'!$B1:$AH665,21,FALSE)-AVERAGE('The List'!V2:V665))/STDEV('The List'!V2:V665)</f>
        <v>0.61588686637842216</v>
      </c>
      <c r="J168" s="54">
        <f>(VLOOKUP($A168,'The List'!$B1:$AH665,22,FALSE)-AVERAGE('The List'!W2:W665))/STDEV('The List'!W2:W665)</f>
        <v>0.36757440573794714</v>
      </c>
      <c r="K168" s="54">
        <f>(VLOOKUP($A168,'The List'!$B1:$AH665,23,FALSE)-AVERAGE('The List'!X2:X665))/STDEV('The List'!X2:X665)</f>
        <v>0.23351073242781778</v>
      </c>
      <c r="L168" s="54">
        <f>(VLOOKUP($A168,'The List'!$B1:$AH665,24,FALSE)-AVERAGE('The List'!Y2:Y665))/STDEV('The List'!Y2:Y665)</f>
        <v>-0.56324423923064482</v>
      </c>
      <c r="M168" s="54">
        <f>(VLOOKUP($A168,'The List'!$B1:$AH665,25,FALSE)-AVERAGE('The List'!Z2:Z665))/STDEV('The List'!Z2:Z665)</f>
        <v>-0.73621212782478129</v>
      </c>
      <c r="N168" s="54">
        <f>(VLOOKUP($A168,'The List'!$B1:$AH665,26,FALSE)-AVERAGE('The List'!AA2:AA665))/STDEV('The List'!AA2:AA665)</f>
        <v>-0.91027836202381684</v>
      </c>
      <c r="O168" s="54">
        <f>(VLOOKUP($A168,'The List'!$B1:$AH665,27,FALSE)-AVERAGE('The List'!AB2:AB665))/STDEV('The List'!AB2:AB665)</f>
        <v>-1.1148188473642018</v>
      </c>
      <c r="P168" s="54">
        <f>(VLOOKUP($A168,'The List'!$B1:$AH665,28,FALSE)-AVERAGE('The List'!AC2:AC665))/STDEV('The List'!AC2:AC665)</f>
        <v>0.21049984311297823</v>
      </c>
      <c r="Q168" s="54">
        <f>(VLOOKUP($A168,'The List'!$B1:$AH665,29,FALSE)-AVERAGE('The List'!AD2:AD665))/STDEV('The List'!AD2:AD665)</f>
        <v>-0.57206521531879462</v>
      </c>
      <c r="R168" s="54">
        <f>(VLOOKUP($A168,'The List'!$B1:$AH665,30,FALSE)-AVERAGE('The List'!AE2:AE665))/STDEV('The List'!AE2:AE665)</f>
        <v>0.41664951110464193</v>
      </c>
      <c r="S168" s="54">
        <f>(VLOOKUP($A168,'The List'!$B1:$AH665,31,FALSE)-AVERAGE('The List'!AF2:AF665))/STDEV('The List'!AF2:AF665)</f>
        <v>-0.4448929577554836</v>
      </c>
      <c r="T168" s="54">
        <f>(VLOOKUP($A168,'The List'!$B1:$AH665,32,FALSE)-AVERAGE('The List'!AG2:AG665))/STDEV('The List'!AG2:AG665)</f>
        <v>-0.41925213931740068</v>
      </c>
      <c r="U168" s="54">
        <f>(VLOOKUP($A168,'The List'!$B1:$AH665,33,FALSE)-AVERAGE('The List'!AH2:AH665))/STDEV('The List'!AH2:AH665)</f>
        <v>0.57809004686436183</v>
      </c>
      <c r="V168" s="54"/>
      <c r="W168" s="56"/>
      <c r="X168" s="56"/>
      <c r="Y168" s="56"/>
      <c r="Z168" s="56"/>
      <c r="AA168" s="56"/>
      <c r="AB168" s="56"/>
      <c r="AC168" s="59"/>
      <c r="AD168" s="60"/>
      <c r="AE168" s="54"/>
    </row>
    <row r="169" spans="1:31" ht="21.25" customHeight="1" x14ac:dyDescent="0.15">
      <c r="A169" s="9" t="s">
        <v>397</v>
      </c>
      <c r="B169" s="65" t="str">
        <f>VLOOKUP(A169,'Player Data'!A1:B667,2,FALSE)</f>
        <v>DAL</v>
      </c>
      <c r="C169" s="51">
        <f>((E169)*Settings!$C$12)+(F169*Settings!$C$2)+(G169*Settings!$C$3)+(H169*Settings!$C$4)+(I169*Settings!$C$5)+(K169*Settings!$C$9)+(N169*Settings!$C$6)+(J169*Settings!$C$8)+(O169*Settings!$C$7)+(P169*Settings!$C$14)+(Q169*Settings!$C$15)+(R169*Settings!$C$16)+(S169*Settings!$C$17)+(T169*Settings!$C$18)+(U169*Settings!$C$19)+(L169*Settings!$C$10)+(Settings!$C$11*M169)</f>
        <v>1.4968802146094455</v>
      </c>
      <c r="D169" s="56">
        <f>IF(Settings!$E$12="YES",VLOOKUP(A169,'Player Data'!A1:E667,5,FALSE),82)</f>
        <v>77.127499999999998</v>
      </c>
      <c r="E169" s="54">
        <f>(VLOOKUP($A169,'The List'!$B1:$AH665,17,FALSE)-AVERAGE('The List'!R2:R665))/STDEV('The List'!R2:R665)</f>
        <v>-0.49063903985813456</v>
      </c>
      <c r="F169" s="54">
        <f>(VLOOKUP($A169,'The List'!$B1:$AH665,18,FALSE)-AVERAGE('The List'!S2:S665))/STDEV('The List'!S2:S665)</f>
        <v>0.4713548949199437</v>
      </c>
      <c r="G169" s="54">
        <f>(VLOOKUP($A169,'The List'!$B1:$AH665,19,FALSE)-AVERAGE('The List'!T2:T665))/STDEV('The List'!T2:T665)</f>
        <v>0.31293102575565523</v>
      </c>
      <c r="H169" s="54">
        <f>(VLOOKUP($A169,'The List'!$B1:$AH665,20,FALSE)-AVERAGE('The List'!U2:U665))/STDEV('The List'!U2:U665)</f>
        <v>0.40860096755341108</v>
      </c>
      <c r="I169" s="54">
        <f>(VLOOKUP($A169,'The List'!$B1:$AH665,21,FALSE)-AVERAGE('The List'!V2:V665))/STDEV('The List'!V2:V665)</f>
        <v>0.26558857865332564</v>
      </c>
      <c r="J169" s="54">
        <f>(VLOOKUP($A169,'The List'!$B1:$AH665,22,FALSE)-AVERAGE('The List'!W2:W665))/STDEV('The List'!W2:W665)</f>
        <v>0.29183772077139486</v>
      </c>
      <c r="K169" s="54">
        <f>(VLOOKUP($A169,'The List'!$B1:$AH665,23,FALSE)-AVERAGE('The List'!X2:X665))/STDEV('The List'!X2:X665)</f>
        <v>-2.0365267291492416E-2</v>
      </c>
      <c r="L169" s="54">
        <f>(VLOOKUP($A169,'The List'!$B1:$AH665,24,FALSE)-AVERAGE('The List'!Y2:Y665))/STDEV('The List'!Y2:Y665)</f>
        <v>-0.56212873150823239</v>
      </c>
      <c r="M169" s="54">
        <f>(VLOOKUP($A169,'The List'!$B1:$AH665,25,FALSE)-AVERAGE('The List'!Z2:Z665))/STDEV('The List'!Z2:Z665)</f>
        <v>-0.73544330735543817</v>
      </c>
      <c r="N169" s="54">
        <f>(VLOOKUP($A169,'The List'!$B1:$AH665,26,FALSE)-AVERAGE('The List'!AA2:AA665))/STDEV('The List'!AA2:AA665)</f>
        <v>-0.74024186912459822</v>
      </c>
      <c r="O169" s="54">
        <f>(VLOOKUP($A169,'The List'!$B1:$AH665,27,FALSE)-AVERAGE('The List'!AB2:AB665))/STDEV('The List'!AB2:AB665)</f>
        <v>0.10189401536393256</v>
      </c>
      <c r="P169" s="54">
        <f>(VLOOKUP($A169,'The List'!$B1:$AH665,28,FALSE)-AVERAGE('The List'!AC2:AC665))/STDEV('The List'!AC2:AC665)</f>
        <v>1.2076128516966116</v>
      </c>
      <c r="Q169" s="54">
        <f>(VLOOKUP($A169,'The List'!$B1:$AH665,29,FALSE)-AVERAGE('The List'!AD2:AD665))/STDEV('The List'!AD2:AD665)</f>
        <v>1.4208953653366243</v>
      </c>
      <c r="R169" s="54">
        <f>(VLOOKUP($A169,'The List'!$B1:$AH665,30,FALSE)-AVERAGE('The List'!AE2:AE665))/STDEV('The List'!AE2:AE665)</f>
        <v>0.57758391982129209</v>
      </c>
      <c r="S169" s="54">
        <f>(VLOOKUP($A169,'The List'!$B1:$AH665,31,FALSE)-AVERAGE('The List'!AF2:AF665))/STDEV('The List'!AF2:AF665)</f>
        <v>-0.54249886251129287</v>
      </c>
      <c r="T169" s="54">
        <f>(VLOOKUP($A169,'The List'!$B1:$AH665,32,FALSE)-AVERAGE('The List'!AG2:AG665))/STDEV('The List'!AG2:AG665)</f>
        <v>-0.57552914438849112</v>
      </c>
      <c r="U169" s="54">
        <f>(VLOOKUP($A169,'The List'!$B1:$AH665,33,FALSE)-AVERAGE('The List'!AH2:AH665))/STDEV('The List'!AH2:AH665)</f>
        <v>0.57851290529627331</v>
      </c>
      <c r="V169" s="54"/>
      <c r="W169" s="64"/>
      <c r="X169" s="56"/>
      <c r="Y169" s="56"/>
      <c r="Z169" s="56"/>
      <c r="AA169" s="56"/>
      <c r="AB169" s="56"/>
      <c r="AC169" s="59"/>
      <c r="AD169" s="60"/>
      <c r="AE169" s="54"/>
    </row>
    <row r="170" spans="1:31" ht="21.25" customHeight="1" x14ac:dyDescent="0.15">
      <c r="A170" s="9" t="s">
        <v>296</v>
      </c>
      <c r="B170" s="65" t="str">
        <f>VLOOKUP(A170,'Player Data'!A1:B667,2,FALSE)</f>
        <v>L.A</v>
      </c>
      <c r="C170" s="51">
        <f>((E170)*Settings!$C$12)+(F170*Settings!$C$2)+(G170*Settings!$C$3)+(H170*Settings!$C$4)+(I170*Settings!$C$5)+(K170*Settings!$C$9)+(N170*Settings!$C$6)+(J170*Settings!$C$8)+(O170*Settings!$C$7)+(P170*Settings!$C$14)+(Q170*Settings!$C$15)+(R170*Settings!$C$16)+(S170*Settings!$C$17)+(T170*Settings!$C$18)+(U170*Settings!$C$19)+(L170*Settings!$C$10)+(Settings!$C$11*M170)</f>
        <v>2.4876153539267287</v>
      </c>
      <c r="D170" s="56">
        <f>IF(Settings!$E$12="YES",VLOOKUP(A170,'Player Data'!A1:E667,5,FALSE),82)</f>
        <v>78.767499999999998</v>
      </c>
      <c r="E170" s="54">
        <f>(VLOOKUP($A170,'The List'!$B1:$AH665,17,FALSE)-AVERAGE('The List'!R2:R665))/STDEV('The List'!R2:R665)</f>
        <v>0.13381498892163193</v>
      </c>
      <c r="F170" s="54">
        <f>(VLOOKUP($A170,'The List'!$B1:$AH665,18,FALSE)-AVERAGE('The List'!S2:S665))/STDEV('The List'!S2:S665)</f>
        <v>0.79030043363661029</v>
      </c>
      <c r="G170" s="54">
        <f>(VLOOKUP($A170,'The List'!$B1:$AH665,19,FALSE)-AVERAGE('The List'!T2:T665))/STDEV('The List'!T2:T665)</f>
        <v>0.14943325700455828</v>
      </c>
      <c r="H170" s="54">
        <f>(VLOOKUP($A170,'The List'!$B1:$AH665,20,FALSE)-AVERAGE('The List'!U2:U665))/STDEV('The List'!U2:U665)</f>
        <v>0.45203556803292561</v>
      </c>
      <c r="I170" s="54">
        <f>(VLOOKUP($A170,'The List'!$B1:$AH665,21,FALSE)-AVERAGE('The List'!V2:V665))/STDEV('The List'!V2:V665)</f>
        <v>1.3525457478517986</v>
      </c>
      <c r="J170" s="54">
        <f>(VLOOKUP($A170,'The List'!$B1:$AH665,22,FALSE)-AVERAGE('The List'!W2:W665))/STDEV('The List'!W2:W665)</f>
        <v>-0.20816409745536726</v>
      </c>
      <c r="K170" s="54">
        <f>(VLOOKUP($A170,'The List'!$B1:$AH665,23,FALSE)-AVERAGE('The List'!X2:X665))/STDEV('The List'!X2:X665)</f>
        <v>-0.19410125490455474</v>
      </c>
      <c r="L170" s="54">
        <f>(VLOOKUP($A170,'The List'!$B1:$AH665,24,FALSE)-AVERAGE('The List'!Y2:Y665))/STDEV('The List'!Y2:Y665)</f>
        <v>2.8721916631883233</v>
      </c>
      <c r="M170" s="54">
        <f>(VLOOKUP($A170,'The List'!$B1:$AH665,25,FALSE)-AVERAGE('The List'!Z2:Z665))/STDEV('The List'!Z2:Z665)</f>
        <v>2.0359633321608031</v>
      </c>
      <c r="N170" s="54">
        <f>(VLOOKUP($A170,'The List'!$B1:$AH665,26,FALSE)-AVERAGE('The List'!AA2:AA665))/STDEV('The List'!AA2:AA665)</f>
        <v>-0.40200835364008614</v>
      </c>
      <c r="O170" s="54">
        <f>(VLOOKUP($A170,'The List'!$B1:$AH665,27,FALSE)-AVERAGE('The List'!AB2:AB665))/STDEV('The List'!AB2:AB665)</f>
        <v>-0.18209658796803191</v>
      </c>
      <c r="P170" s="54">
        <f>(VLOOKUP($A170,'The List'!$B1:$AH665,28,FALSE)-AVERAGE('The List'!AC2:AC665))/STDEV('The List'!AC2:AC665)</f>
        <v>0.79144552397840218</v>
      </c>
      <c r="Q170" s="54">
        <f>(VLOOKUP($A170,'The List'!$B1:$AH665,29,FALSE)-AVERAGE('The List'!AD2:AD665))/STDEV('The List'!AD2:AD665)</f>
        <v>-0.46896577675328593</v>
      </c>
      <c r="R170" s="54">
        <f>(VLOOKUP($A170,'The List'!$B1:$AH665,30,FALSE)-AVERAGE('The List'!AE2:AE665))/STDEV('The List'!AE2:AE665)</f>
        <v>1.1543331878459948</v>
      </c>
      <c r="S170" s="54">
        <f>(VLOOKUP($A170,'The List'!$B1:$AH665,31,FALSE)-AVERAGE('The List'!AF2:AF665))/STDEV('The List'!AF2:AF665)</f>
        <v>-0.49310978758735163</v>
      </c>
      <c r="T170" s="54">
        <f>(VLOOKUP($A170,'The List'!$B1:$AH665,32,FALSE)-AVERAGE('The List'!AG2:AG665))/STDEV('The List'!AG2:AG665)</f>
        <v>-0.45964032537635563</v>
      </c>
      <c r="U170" s="54">
        <f>(VLOOKUP($A170,'The List'!$B1:$AH665,33,FALSE)-AVERAGE('The List'!AH2:AH665))/STDEV('The List'!AH2:AH665)</f>
        <v>0.31388533210053898</v>
      </c>
      <c r="V170" s="54"/>
      <c r="W170" s="56"/>
      <c r="X170" s="54"/>
      <c r="Y170" s="54"/>
      <c r="Z170" s="54"/>
      <c r="AA170" s="54"/>
      <c r="AB170" s="54"/>
      <c r="AC170" s="54"/>
      <c r="AD170" s="54"/>
      <c r="AE170" s="54"/>
    </row>
    <row r="171" spans="1:31" ht="21.25" customHeight="1" x14ac:dyDescent="0.15">
      <c r="A171" s="9" t="s">
        <v>450</v>
      </c>
      <c r="B171" s="65" t="str">
        <f>VLOOKUP(A171,'Player Data'!A1:B667,2,FALSE)</f>
        <v>S.J</v>
      </c>
      <c r="C171" s="51">
        <f>((E171)*Settings!$C$12)+(F171*Settings!$C$2)+(G171*Settings!$C$3)+(H171*Settings!$C$4)+(I171*Settings!$C$5)+(K171*Settings!$C$9)+(N171*Settings!$C$6)+(J171*Settings!$C$8)+(O171*Settings!$C$7)+(P171*Settings!$C$14)+(Q171*Settings!$C$15)+(R171*Settings!$C$16)+(S171*Settings!$C$17)+(T171*Settings!$C$18)+(U171*Settings!$C$19)+(L171*Settings!$C$10)+(Settings!$C$11*M171)</f>
        <v>-1.2929853480373787</v>
      </c>
      <c r="D171" s="56">
        <f>IF(Settings!$E$12="YES",VLOOKUP(A171,'Player Data'!A1:E667,5,FALSE),82)</f>
        <v>74</v>
      </c>
      <c r="E171" s="54">
        <f>(VLOOKUP($A171,'The List'!$B1:$AH665,17,FALSE)-AVERAGE('The List'!R2:R665))/STDEV('The List'!R2:R665)</f>
        <v>-0.24340078960701028</v>
      </c>
      <c r="F171" s="54">
        <f>(VLOOKUP($A171,'The List'!$B1:$AH665,18,FALSE)-AVERAGE('The List'!S2:S665))/STDEV('The List'!S2:S665)</f>
        <v>0.25417921074496447</v>
      </c>
      <c r="G171" s="54">
        <f>(VLOOKUP($A171,'The List'!$B1:$AH665,19,FALSE)-AVERAGE('The List'!T2:T665))/STDEV('The List'!T2:T665)</f>
        <v>0.33265649017877191</v>
      </c>
      <c r="H171" s="54">
        <f>(VLOOKUP($A171,'The List'!$B1:$AH665,20,FALSE)-AVERAGE('The List'!U2:U665))/STDEV('The List'!U2:U665)</f>
        <v>0.32213491843938902</v>
      </c>
      <c r="I171" s="54">
        <f>(VLOOKUP($A171,'The List'!$B1:$AH665,21,FALSE)-AVERAGE('The List'!V2:V665))/STDEV('The List'!V2:V665)</f>
        <v>-1.2249369734978333E-2</v>
      </c>
      <c r="J171" s="54">
        <f>(VLOOKUP($A171,'The List'!$B1:$AH665,22,FALSE)-AVERAGE('The List'!W2:W665))/STDEV('The List'!W2:W665)</f>
        <v>0.3952481525038532</v>
      </c>
      <c r="K171" s="54">
        <f>(VLOOKUP($A171,'The List'!$B1:$AH665,23,FALSE)-AVERAGE('The List'!X2:X665))/STDEV('The List'!X2:X665)</f>
        <v>0.3430391792133094</v>
      </c>
      <c r="L171" s="54">
        <f>(VLOOKUP($A171,'The List'!$B1:$AH665,24,FALSE)-AVERAGE('The List'!Y2:Y665))/STDEV('The List'!Y2:Y665)</f>
        <v>-0.5801829139020841</v>
      </c>
      <c r="M171" s="54">
        <f>(VLOOKUP($A171,'The List'!$B1:$AH665,25,FALSE)-AVERAGE('The List'!Z2:Z665))/STDEV('The List'!Z2:Z665)</f>
        <v>-0.75403666498999722</v>
      </c>
      <c r="N171" s="54">
        <f>(VLOOKUP($A171,'The List'!$B1:$AH665,26,FALSE)-AVERAGE('The List'!AA2:AA665))/STDEV('The List'!AA2:AA665)</f>
        <v>-0.78937676801530987</v>
      </c>
      <c r="O171" s="54">
        <f>(VLOOKUP($A171,'The List'!$B1:$AH665,27,FALSE)-AVERAGE('The List'!AB2:AB665))/STDEV('The List'!AB2:AB665)</f>
        <v>-9.0027536314627718E-2</v>
      </c>
      <c r="P171" s="54">
        <f>(VLOOKUP($A171,'The List'!$B1:$AH665,28,FALSE)-AVERAGE('The List'!AC2:AC665))/STDEV('The List'!AC2:AC665)</f>
        <v>-1.4212340904241363</v>
      </c>
      <c r="Q171" s="54">
        <f>(VLOOKUP($A171,'The List'!$B1:$AH665,29,FALSE)-AVERAGE('The List'!AD2:AD665))/STDEV('The List'!AD2:AD665)</f>
        <v>-0.21574802414746588</v>
      </c>
      <c r="R171" s="54">
        <f>(VLOOKUP($A171,'The List'!$B1:$AH665,30,FALSE)-AVERAGE('The List'!AE2:AE665))/STDEV('The List'!AE2:AE665)</f>
        <v>-0.1865375821851025</v>
      </c>
      <c r="S171" s="54">
        <f>(VLOOKUP($A171,'The List'!$B1:$AH665,31,FALSE)-AVERAGE('The List'!AF2:AF665))/STDEV('The List'!AF2:AF665)</f>
        <v>0.12154612608755162</v>
      </c>
      <c r="T171" s="54">
        <f>(VLOOKUP($A171,'The List'!$B1:$AH665,32,FALSE)-AVERAGE('The List'!AG2:AG665))/STDEV('The List'!AG2:AG665)</f>
        <v>0.48378168903497248</v>
      </c>
      <c r="U171" s="54">
        <f>(VLOOKUP($A171,'The List'!$B1:$AH665,33,FALSE)-AVERAGE('The List'!AH2:AH665))/STDEV('The List'!AH2:AH665)</f>
        <v>0.58178832443007955</v>
      </c>
      <c r="V171" s="54"/>
      <c r="W171" s="64"/>
      <c r="X171" s="56"/>
      <c r="Y171" s="56"/>
      <c r="Z171" s="56"/>
      <c r="AA171" s="56"/>
      <c r="AB171" s="56"/>
      <c r="AC171" s="59"/>
      <c r="AD171" s="60"/>
      <c r="AE171" s="54"/>
    </row>
    <row r="172" spans="1:31" ht="21.25" customHeight="1" x14ac:dyDescent="0.15">
      <c r="A172" s="9" t="s">
        <v>358</v>
      </c>
      <c r="B172" s="65" t="str">
        <f>VLOOKUP(A172,'Player Data'!A1:B667,2,FALSE)</f>
        <v>N.J</v>
      </c>
      <c r="C172" s="51">
        <f>((E172)*Settings!$C$12)+(F172*Settings!$C$2)+(G172*Settings!$C$3)+(H172*Settings!$C$4)+(I172*Settings!$C$5)+(K172*Settings!$C$9)+(N172*Settings!$C$6)+(J172*Settings!$C$8)+(O172*Settings!$C$7)+(P172*Settings!$C$14)+(Q172*Settings!$C$15)+(R172*Settings!$C$16)+(S172*Settings!$C$17)+(T172*Settings!$C$18)+(U172*Settings!$C$19)+(L172*Settings!$C$10)+(Settings!$C$11*M172)</f>
        <v>1.5909705641444649</v>
      </c>
      <c r="D172" s="56">
        <f>IF(Settings!$E$12="YES",VLOOKUP(A172,'Player Data'!A1:E667,5,FALSE),82)</f>
        <v>82.03</v>
      </c>
      <c r="E172" s="54">
        <f>(VLOOKUP($A172,'The List'!$B1:$AH665,17,FALSE)-AVERAGE('The List'!R2:R665))/STDEV('The List'!R2:R665)</f>
        <v>0.16769244774293537</v>
      </c>
      <c r="F172" s="54">
        <f>(VLOOKUP($A172,'The List'!$B1:$AH665,18,FALSE)-AVERAGE('The List'!S2:S665))/STDEV('The List'!S2:S665)</f>
        <v>1.1989730839339594</v>
      </c>
      <c r="G172" s="54">
        <f>(VLOOKUP($A172,'The List'!$B1:$AH665,19,FALSE)-AVERAGE('The List'!T2:T665))/STDEV('The List'!T2:T665)</f>
        <v>0.14419178137698738</v>
      </c>
      <c r="H172" s="54">
        <f>(VLOOKUP($A172,'The List'!$B1:$AH665,20,FALSE)-AVERAGE('The List'!U2:U665))/STDEV('The List'!U2:U665)</f>
        <v>0.63454146228043784</v>
      </c>
      <c r="I172" s="54">
        <f>(VLOOKUP($A172,'The List'!$B1:$AH665,21,FALSE)-AVERAGE('The List'!V2:V665))/STDEV('The List'!V2:V665)</f>
        <v>0.30417698591303499</v>
      </c>
      <c r="J172" s="54">
        <f>(VLOOKUP($A172,'The List'!$B1:$AH665,22,FALSE)-AVERAGE('The List'!W2:W665))/STDEV('The List'!W2:W665)</f>
        <v>0.25666792126537424</v>
      </c>
      <c r="K172" s="54">
        <f>(VLOOKUP($A172,'The List'!$B1:$AH665,23,FALSE)-AVERAGE('The List'!X2:X665))/STDEV('The List'!X2:X665)</f>
        <v>1.4882273810781185E-2</v>
      </c>
      <c r="L172" s="54">
        <f>(VLOOKUP($A172,'The List'!$B1:$AH665,24,FALSE)-AVERAGE('The List'!Y2:Y665))/STDEV('The List'!Y2:Y665)</f>
        <v>0.9331293173094416</v>
      </c>
      <c r="M172" s="54">
        <f>(VLOOKUP($A172,'The List'!$B1:$AH665,25,FALSE)-AVERAGE('The List'!Z2:Z665))/STDEV('The List'!Z2:Z665)</f>
        <v>0.7923784240040509</v>
      </c>
      <c r="N172" s="54">
        <f>(VLOOKUP($A172,'The List'!$B1:$AH665,26,FALSE)-AVERAGE('The List'!AA2:AA665))/STDEV('The List'!AA2:AA665)</f>
        <v>-0.37748126184545705</v>
      </c>
      <c r="O172" s="54">
        <f>(VLOOKUP($A172,'The List'!$B1:$AH665,27,FALSE)-AVERAGE('The List'!AB2:AB665))/STDEV('The List'!AB2:AB665)</f>
        <v>-1.1875669353047003</v>
      </c>
      <c r="P172" s="54">
        <f>(VLOOKUP($A172,'The List'!$B1:$AH665,28,FALSE)-AVERAGE('The List'!AC2:AC665))/STDEV('The List'!AC2:AC665)</f>
        <v>0.30622770095515905</v>
      </c>
      <c r="Q172" s="54">
        <f>(VLOOKUP($A172,'The List'!$B1:$AH665,29,FALSE)-AVERAGE('The List'!AD2:AD665))/STDEV('The List'!AD2:AD665)</f>
        <v>-0.66982995375766907</v>
      </c>
      <c r="R172" s="54">
        <f>(VLOOKUP($A172,'The List'!$B1:$AH665,30,FALSE)-AVERAGE('The List'!AE2:AE665))/STDEV('The List'!AE2:AE665)</f>
        <v>1.1774785185639012</v>
      </c>
      <c r="S172" s="54">
        <f>(VLOOKUP($A172,'The List'!$B1:$AH665,31,FALSE)-AVERAGE('The List'!AF2:AF665))/STDEV('The List'!AF2:AF665)</f>
        <v>4.2658006257421742E-2</v>
      </c>
      <c r="T172" s="54">
        <f>(VLOOKUP($A172,'The List'!$B1:$AH665,32,FALSE)-AVERAGE('The List'!AG2:AG665))/STDEV('The List'!AG2:AG665)</f>
        <v>0.28731485135739532</v>
      </c>
      <c r="U172" s="54">
        <f>(VLOOKUP($A172,'The List'!$B1:$AH665,33,FALSE)-AVERAGE('The List'!AH2:AH665))/STDEV('The List'!AH2:AH665)</f>
        <v>0.66338790199832054</v>
      </c>
      <c r="V172" s="54"/>
      <c r="W172" s="56"/>
      <c r="X172" s="54"/>
      <c r="Y172" s="54"/>
      <c r="Z172" s="54"/>
      <c r="AA172" s="54"/>
      <c r="AB172" s="54"/>
      <c r="AC172" s="54"/>
      <c r="AD172" s="54"/>
      <c r="AE172" s="54"/>
    </row>
    <row r="173" spans="1:31" ht="21.25" customHeight="1" x14ac:dyDescent="0.15">
      <c r="A173" s="9" t="s">
        <v>232</v>
      </c>
      <c r="B173" s="65" t="str">
        <f>VLOOKUP(A173,'Player Data'!A1:B667,2,FALSE)</f>
        <v>STL</v>
      </c>
      <c r="C173" s="51">
        <f>((E173)*Settings!$C$12)+(F173*Settings!$C$2)+(G173*Settings!$C$3)+(H173*Settings!$C$4)+(I173*Settings!$C$5)+(K173*Settings!$C$9)+(N173*Settings!$C$6)+(J173*Settings!$C$8)+(O173*Settings!$C$7)+(P173*Settings!$C$14)+(Q173*Settings!$C$15)+(R173*Settings!$C$16)+(S173*Settings!$C$17)+(T173*Settings!$C$18)+(U173*Settings!$C$19)+(L173*Settings!$C$10)+(Settings!$C$11*M173)</f>
        <v>2.0942633103639832</v>
      </c>
      <c r="D173" s="56">
        <f>IF(Settings!$E$12="YES",VLOOKUP(A173,'Player Data'!A1:E667,5,FALSE),82)</f>
        <v>77.525000000000006</v>
      </c>
      <c r="E173" s="54">
        <f>(VLOOKUP($A173,'The List'!$B1:$AH665,17,FALSE)-AVERAGE('The List'!R2:R665))/STDEV('The List'!R2:R665)</f>
        <v>1.6997030846217085</v>
      </c>
      <c r="F173" s="54">
        <f>(VLOOKUP($A173,'The List'!$B1:$AH665,18,FALSE)-AVERAGE('The List'!S2:S665))/STDEV('The List'!S2:S665)</f>
        <v>-0.4281137810277863</v>
      </c>
      <c r="G173" s="54">
        <f>(VLOOKUP($A173,'The List'!$B1:$AH665,19,FALSE)-AVERAGE('The List'!T2:T665))/STDEV('The List'!T2:T665)</f>
        <v>0.96688706002518154</v>
      </c>
      <c r="H173" s="54">
        <f>(VLOOKUP($A173,'The List'!$B1:$AH665,20,FALSE)-AVERAGE('The List'!U2:U665))/STDEV('The List'!U2:U665)</f>
        <v>0.40589316715288065</v>
      </c>
      <c r="I173" s="54">
        <f>(VLOOKUP($A173,'The List'!$B1:$AH665,21,FALSE)-AVERAGE('The List'!V2:V665))/STDEV('The List'!V2:V665)</f>
        <v>0.69844862784189254</v>
      </c>
      <c r="J173" s="54">
        <f>(VLOOKUP($A173,'The List'!$B1:$AH665,22,FALSE)-AVERAGE('The List'!W2:W665))/STDEV('The List'!W2:W665)</f>
        <v>-0.1549760909741742</v>
      </c>
      <c r="K173" s="54">
        <f>(VLOOKUP($A173,'The List'!$B1:$AH665,23,FALSE)-AVERAGE('The List'!X2:X665))/STDEV('The List'!X2:X665)</f>
        <v>0.49485343926672221</v>
      </c>
      <c r="L173" s="54">
        <f>(VLOOKUP($A173,'The List'!$B1:$AH665,24,FALSE)-AVERAGE('The List'!Y2:Y665))/STDEV('The List'!Y2:Y665)</f>
        <v>-0.53011672058473003</v>
      </c>
      <c r="M173" s="54">
        <f>(VLOOKUP($A173,'The List'!$B1:$AH665,25,FALSE)-AVERAGE('The List'!Z2:Z665))/STDEV('The List'!Z2:Z665)</f>
        <v>-0.19326263013144912</v>
      </c>
      <c r="N173" s="54">
        <f>(VLOOKUP($A173,'The List'!$B1:$AH665,26,FALSE)-AVERAGE('The List'!AA2:AA665))/STDEV('The List'!AA2:AA665)</f>
        <v>1.4532874273101375</v>
      </c>
      <c r="O173" s="54">
        <f>(VLOOKUP($A173,'The List'!$B1:$AH665,27,FALSE)-AVERAGE('The List'!AB2:AB665))/STDEV('The List'!AB2:AB665)</f>
        <v>0.28784782119256891</v>
      </c>
      <c r="P173" s="54">
        <f>(VLOOKUP($A173,'The List'!$B1:$AH665,28,FALSE)-AVERAGE('The List'!AC2:AC665))/STDEV('The List'!AC2:AC665)</f>
        <v>-1.0910994630521644</v>
      </c>
      <c r="Q173" s="54">
        <f>(VLOOKUP($A173,'The List'!$B1:$AH665,29,FALSE)-AVERAGE('The List'!AD2:AD665))/STDEV('The List'!AD2:AD665)</f>
        <v>0.12959679698912938</v>
      </c>
      <c r="R173" s="54">
        <f>(VLOOKUP($A173,'The List'!$B1:$AH665,30,FALSE)-AVERAGE('The List'!AE2:AE665))/STDEV('The List'!AE2:AE665)</f>
        <v>-0.57536797057123967</v>
      </c>
      <c r="S173" s="54">
        <f>(VLOOKUP($A173,'The List'!$B1:$AH665,31,FALSE)-AVERAGE('The List'!AF2:AF665))/STDEV('The List'!AF2:AF665)</f>
        <v>-0.57389441068000469</v>
      </c>
      <c r="T173" s="54">
        <f>(VLOOKUP($A173,'The List'!$B1:$AH665,32,FALSE)-AVERAGE('The List'!AG2:AG665))/STDEV('The List'!AG2:AG665)</f>
        <v>-0.62577078713265111</v>
      </c>
      <c r="U173" s="54">
        <f>(VLOOKUP($A173,'The List'!$B1:$AH665,33,FALSE)-AVERAGE('The List'!AH2:AH665))/STDEV('The List'!AH2:AH665)</f>
        <v>-1.2314350945148611</v>
      </c>
      <c r="V173" s="54"/>
      <c r="W173" s="56"/>
      <c r="X173" s="56"/>
      <c r="Y173" s="56"/>
      <c r="Z173" s="56"/>
      <c r="AA173" s="56"/>
      <c r="AB173" s="56"/>
      <c r="AC173" s="59"/>
      <c r="AD173" s="60"/>
      <c r="AE173" s="54"/>
    </row>
    <row r="174" spans="1:31" ht="21.25" customHeight="1" x14ac:dyDescent="0.15">
      <c r="A174" s="9" t="s">
        <v>354</v>
      </c>
      <c r="B174" s="65" t="str">
        <f>VLOOKUP(A174,'Player Data'!A1:B667,2,FALSE)</f>
        <v>FLA</v>
      </c>
      <c r="C174" s="51">
        <f>((E174)*Settings!$C$12)+(F174*Settings!$C$2)+(G174*Settings!$C$3)+(H174*Settings!$C$4)+(I174*Settings!$C$5)+(K174*Settings!$C$9)+(N174*Settings!$C$6)+(J174*Settings!$C$8)+(O174*Settings!$C$7)+(P174*Settings!$C$14)+(Q174*Settings!$C$15)+(R174*Settings!$C$16)+(S174*Settings!$C$17)+(T174*Settings!$C$18)+(U174*Settings!$C$19)+(L174*Settings!$C$10)+(Settings!$C$11*M174)</f>
        <v>2.9947150475357969</v>
      </c>
      <c r="D174" s="56">
        <f>IF(Settings!$E$12="YES",VLOOKUP(A174,'Player Data'!A1:E667,5,FALSE),82)</f>
        <v>76.010000000000005</v>
      </c>
      <c r="E174" s="54">
        <f>(VLOOKUP($A174,'The List'!$B1:$AH665,17,FALSE)-AVERAGE('The List'!R2:R665))/STDEV('The List'!R2:R665)</f>
        <v>-4.775467232892773E-2</v>
      </c>
      <c r="F174" s="54">
        <f>(VLOOKUP($A174,'The List'!$B1:$AH665,18,FALSE)-AVERAGE('The List'!S2:S665))/STDEV('The List'!S2:S665)</f>
        <v>0.73377445414119713</v>
      </c>
      <c r="G174" s="54">
        <f>(VLOOKUP($A174,'The List'!$B1:$AH665,19,FALSE)-AVERAGE('The List'!T2:T665))/STDEV('The List'!T2:T665)</f>
        <v>5.009086191163431E-2</v>
      </c>
      <c r="H174" s="54">
        <f>(VLOOKUP($A174,'The List'!$B1:$AH665,20,FALSE)-AVERAGE('The List'!U2:U665))/STDEV('The List'!U2:U665)</f>
        <v>0.36464461026855194</v>
      </c>
      <c r="I174" s="54">
        <f>(VLOOKUP($A174,'The List'!$B1:$AH665,21,FALSE)-AVERAGE('The List'!V2:V665))/STDEV('The List'!V2:V665)</f>
        <v>1.0336173011465715</v>
      </c>
      <c r="J174" s="54">
        <f>(VLOOKUP($A174,'The List'!$B1:$AH665,22,FALSE)-AVERAGE('The List'!W2:W665))/STDEV('The List'!W2:W665)</f>
        <v>0.39846420617156897</v>
      </c>
      <c r="K174" s="54">
        <f>(VLOOKUP($A174,'The List'!$B1:$AH665,23,FALSE)-AVERAGE('The List'!X2:X665))/STDEV('The List'!X2:X665)</f>
        <v>0.16542293227112945</v>
      </c>
      <c r="L174" s="54">
        <f>(VLOOKUP($A174,'The List'!$B1:$AH665,24,FALSE)-AVERAGE('The List'!Y2:Y665))/STDEV('The List'!Y2:Y665)</f>
        <v>-0.39384113460414116</v>
      </c>
      <c r="M174" s="54">
        <f>(VLOOKUP($A174,'The List'!$B1:$AH665,25,FALSE)-AVERAGE('The List'!Z2:Z665))/STDEV('The List'!Z2:Z665)</f>
        <v>-0.39175533884443747</v>
      </c>
      <c r="N174" s="54">
        <f>(VLOOKUP($A174,'The List'!$B1:$AH665,26,FALSE)-AVERAGE('The List'!AA2:AA665))/STDEV('The List'!AA2:AA665)</f>
        <v>-0.49965392017204779</v>
      </c>
      <c r="O174" s="54">
        <f>(VLOOKUP($A174,'The List'!$B1:$AH665,27,FALSE)-AVERAGE('The List'!AB2:AB665))/STDEV('The List'!AB2:AB665)</f>
        <v>1.5751680831749697</v>
      </c>
      <c r="P174" s="54">
        <f>(VLOOKUP($A174,'The List'!$B1:$AH665,28,FALSE)-AVERAGE('The List'!AC2:AC665))/STDEV('The List'!AC2:AC665)</f>
        <v>1.5114634182373121</v>
      </c>
      <c r="Q174" s="54">
        <f>(VLOOKUP($A174,'The List'!$B1:$AH665,29,FALSE)-AVERAGE('The List'!AD2:AD665))/STDEV('The List'!AD2:AD665)</f>
        <v>2.3359564545713378</v>
      </c>
      <c r="R174" s="54">
        <f>(VLOOKUP($A174,'The List'!$B1:$AH665,30,FALSE)-AVERAGE('The List'!AE2:AE665))/STDEV('The List'!AE2:AE665)</f>
        <v>0.98551498862008635</v>
      </c>
      <c r="S174" s="54">
        <f>(VLOOKUP($A174,'The List'!$B1:$AH665,31,FALSE)-AVERAGE('The List'!AF2:AF665))/STDEV('The List'!AF2:AF665)</f>
        <v>1.5680127971789688</v>
      </c>
      <c r="T174" s="54">
        <f>(VLOOKUP($A174,'The List'!$B1:$AH665,32,FALSE)-AVERAGE('The List'!AG2:AG665))/STDEV('The List'!AG2:AG665)</f>
        <v>2.0174071935010849</v>
      </c>
      <c r="U174" s="54">
        <f>(VLOOKUP($A174,'The List'!$B1:$AH665,33,FALSE)-AVERAGE('The List'!AH2:AH665))/STDEV('The List'!AH2:AH665)</f>
        <v>0.86701840210314629</v>
      </c>
      <c r="V174" s="54"/>
      <c r="W174" s="64"/>
      <c r="X174" s="56"/>
      <c r="Y174" s="56"/>
      <c r="Z174" s="56"/>
      <c r="AA174" s="56"/>
      <c r="AB174" s="56"/>
      <c r="AC174" s="59"/>
      <c r="AD174" s="60"/>
      <c r="AE174" s="54"/>
    </row>
    <row r="175" spans="1:31" ht="21.25" customHeight="1" x14ac:dyDescent="0.15">
      <c r="A175" s="9" t="s">
        <v>385</v>
      </c>
      <c r="B175" s="65" t="str">
        <f>VLOOKUP(A175,'Player Data'!A1:B667,2,FALSE)</f>
        <v>T.B</v>
      </c>
      <c r="C175" s="51">
        <f>((E175)*Settings!$C$12)+(F175*Settings!$C$2)+(G175*Settings!$C$3)+(H175*Settings!$C$4)+(I175*Settings!$C$5)+(K175*Settings!$C$9)+(N175*Settings!$C$6)+(J175*Settings!$C$8)+(O175*Settings!$C$7)+(P175*Settings!$C$14)+(Q175*Settings!$C$15)+(R175*Settings!$C$16)+(S175*Settings!$C$17)+(T175*Settings!$C$18)+(U175*Settings!$C$19)+(L175*Settings!$C$10)+(Settings!$C$11*M175)</f>
        <v>1.2823408516641532</v>
      </c>
      <c r="D175" s="56">
        <f>IF(Settings!$E$12="YES",VLOOKUP(A175,'Player Data'!A1:E667,5,FALSE),82)</f>
        <v>77.597499999999997</v>
      </c>
      <c r="E175" s="54">
        <f>(VLOOKUP($A175,'The List'!$B1:$AH665,17,FALSE)-AVERAGE('The List'!R2:R665))/STDEV('The List'!R2:R665)</f>
        <v>0.46453418280392822</v>
      </c>
      <c r="F175" s="54">
        <f>(VLOOKUP($A175,'The List'!$B1:$AH665,18,FALSE)-AVERAGE('The List'!S2:S665))/STDEV('The List'!S2:S665)</f>
        <v>0.52831389656766903</v>
      </c>
      <c r="G175" s="54">
        <f>(VLOOKUP($A175,'The List'!$B1:$AH665,19,FALSE)-AVERAGE('The List'!T2:T665))/STDEV('The List'!T2:T665)</f>
        <v>0.23882029435773167</v>
      </c>
      <c r="H175" s="54">
        <f>(VLOOKUP($A175,'The List'!$B1:$AH665,20,FALSE)-AVERAGE('The List'!U2:U665))/STDEV('The List'!U2:U665)</f>
        <v>0.38846460997621357</v>
      </c>
      <c r="I175" s="54">
        <f>(VLOOKUP($A175,'The List'!$B1:$AH665,21,FALSE)-AVERAGE('The List'!V2:V665))/STDEV('The List'!V2:V665)</f>
        <v>0.12628273637446744</v>
      </c>
      <c r="J175" s="54">
        <f>(VLOOKUP($A175,'The List'!$B1:$AH665,22,FALSE)-AVERAGE('The List'!W2:W665))/STDEV('The List'!W2:W665)</f>
        <v>0.1764928039417179</v>
      </c>
      <c r="K175" s="54">
        <f>(VLOOKUP($A175,'The List'!$B1:$AH665,23,FALSE)-AVERAGE('The List'!X2:X665))/STDEV('The List'!X2:X665)</f>
        <v>-5.3624028442862813E-2</v>
      </c>
      <c r="L175" s="54">
        <f>(VLOOKUP($A175,'The List'!$B1:$AH665,24,FALSE)-AVERAGE('The List'!Y2:Y665))/STDEV('The List'!Y2:Y665)</f>
        <v>2.6938340377732626</v>
      </c>
      <c r="M175" s="54">
        <f>(VLOOKUP($A175,'The List'!$B1:$AH665,25,FALSE)-AVERAGE('The List'!Z2:Z665))/STDEV('The List'!Z2:Z665)</f>
        <v>1.3389921063465728</v>
      </c>
      <c r="N175" s="54">
        <f>(VLOOKUP($A175,'The List'!$B1:$AH665,26,FALSE)-AVERAGE('The List'!AA2:AA665))/STDEV('The List'!AA2:AA665)</f>
        <v>7.6830291578095927E-2</v>
      </c>
      <c r="O175" s="54">
        <f>(VLOOKUP($A175,'The List'!$B1:$AH665,27,FALSE)-AVERAGE('The List'!AB2:AB665))/STDEV('The List'!AB2:AB665)</f>
        <v>-0.63869098794943513</v>
      </c>
      <c r="P175" s="54">
        <f>(VLOOKUP($A175,'The List'!$B1:$AH665,28,FALSE)-AVERAGE('The List'!AC2:AC665))/STDEV('The List'!AC2:AC665)</f>
        <v>0.36571766122905203</v>
      </c>
      <c r="Q175" s="54">
        <f>(VLOOKUP($A175,'The List'!$B1:$AH665,29,FALSE)-AVERAGE('The List'!AD2:AD665))/STDEV('The List'!AD2:AD665)</f>
        <v>0.21650490695302696</v>
      </c>
      <c r="R175" s="54">
        <f>(VLOOKUP($A175,'The List'!$B1:$AH665,30,FALSE)-AVERAGE('The List'!AE2:AE665))/STDEV('The List'!AE2:AE665)</f>
        <v>0.6078832633646849</v>
      </c>
      <c r="S175" s="54">
        <f>(VLOOKUP($A175,'The List'!$B1:$AH665,31,FALSE)-AVERAGE('The List'!AF2:AF665))/STDEV('The List'!AF2:AF665)</f>
        <v>1.7025983055441565</v>
      </c>
      <c r="T175" s="54">
        <f>(VLOOKUP($A175,'The List'!$B1:$AH665,32,FALSE)-AVERAGE('The List'!AG2:AG665))/STDEV('The List'!AG2:AG665)</f>
        <v>1.887298089451241</v>
      </c>
      <c r="U175" s="54">
        <f>(VLOOKUP($A175,'The List'!$B1:$AH665,33,FALSE)-AVERAGE('The List'!AH2:AH665))/STDEV('The List'!AH2:AH665)</f>
        <v>0.99297867408986984</v>
      </c>
      <c r="V175" s="54"/>
      <c r="W175" s="56"/>
      <c r="X175" s="54"/>
      <c r="Y175" s="54"/>
      <c r="Z175" s="54"/>
      <c r="AA175" s="54"/>
      <c r="AB175" s="54"/>
      <c r="AC175" s="54"/>
      <c r="AD175" s="54"/>
      <c r="AE175" s="54"/>
    </row>
    <row r="176" spans="1:31" ht="21.25" customHeight="1" x14ac:dyDescent="0.15">
      <c r="A176" s="9" t="s">
        <v>381</v>
      </c>
      <c r="B176" s="65" t="str">
        <f>VLOOKUP(A176,'Player Data'!A1:B667,2,FALSE)</f>
        <v>BOS</v>
      </c>
      <c r="C176" s="51">
        <f>((E176)*Settings!$C$12)+(F176*Settings!$C$2)+(G176*Settings!$C$3)+(H176*Settings!$C$4)+(I176*Settings!$C$5)+(K176*Settings!$C$9)+(N176*Settings!$C$6)+(J176*Settings!$C$8)+(O176*Settings!$C$7)+(P176*Settings!$C$14)+(Q176*Settings!$C$15)+(R176*Settings!$C$16)+(S176*Settings!$C$17)+(T176*Settings!$C$18)+(U176*Settings!$C$19)+(L176*Settings!$C$10)+(Settings!$C$11*M176)</f>
        <v>1.0910397135720407</v>
      </c>
      <c r="D176" s="56">
        <f>IF(Settings!$E$12="YES",VLOOKUP(A176,'Player Data'!A1:E667,5,FALSE),82)</f>
        <v>82.03</v>
      </c>
      <c r="E176" s="54">
        <f>(VLOOKUP($A176,'The List'!$B1:$AH665,17,FALSE)-AVERAGE('The List'!R2:R665))/STDEV('The List'!R2:R665)</f>
        <v>0.15693623198686749</v>
      </c>
      <c r="F176" s="54">
        <f>(VLOOKUP($A176,'The List'!$B1:$AH665,18,FALSE)-AVERAGE('The List'!S2:S665))/STDEV('The List'!S2:S665)</f>
        <v>0.48984363844053608</v>
      </c>
      <c r="G176" s="54">
        <f>(VLOOKUP($A176,'The List'!$B1:$AH665,19,FALSE)-AVERAGE('The List'!T2:T665))/STDEV('The List'!T2:T665)</f>
        <v>0.44076023191143193</v>
      </c>
      <c r="H176" s="54">
        <f>(VLOOKUP($A176,'The List'!$B1:$AH665,20,FALSE)-AVERAGE('The List'!U2:U665))/STDEV('The List'!U2:U665)</f>
        <v>0.49639410494196268</v>
      </c>
      <c r="I176" s="54">
        <f>(VLOOKUP($A176,'The List'!$B1:$AH665,21,FALSE)-AVERAGE('The List'!V2:V665))/STDEV('The List'!V2:V665)</f>
        <v>0.10482647534672471</v>
      </c>
      <c r="J176" s="54">
        <f>(VLOOKUP($A176,'The List'!$B1:$AH665,22,FALSE)-AVERAGE('The List'!W2:W665))/STDEV('The List'!W2:W665)</f>
        <v>0.37359876659450869</v>
      </c>
      <c r="K176" s="54">
        <f>(VLOOKUP($A176,'The List'!$B1:$AH665,23,FALSE)-AVERAGE('The List'!X2:X665))/STDEV('The List'!X2:X665)</f>
        <v>-1.5820000589072437E-2</v>
      </c>
      <c r="L176" s="54">
        <f>(VLOOKUP($A176,'The List'!$B1:$AH665,24,FALSE)-AVERAGE('The List'!Y2:Y665))/STDEV('The List'!Y2:Y665)</f>
        <v>0.74675609272962795</v>
      </c>
      <c r="M176" s="54">
        <f>(VLOOKUP($A176,'The List'!$B1:$AH665,25,FALSE)-AVERAGE('The List'!Z2:Z665))/STDEV('The List'!Z2:Z665)</f>
        <v>2.8586655694041565</v>
      </c>
      <c r="N176" s="54">
        <f>(VLOOKUP($A176,'The List'!$B1:$AH665,26,FALSE)-AVERAGE('The List'!AA2:AA665))/STDEV('The List'!AA2:AA665)</f>
        <v>-0.20830851123975266</v>
      </c>
      <c r="O176" s="54">
        <f>(VLOOKUP($A176,'The List'!$B1:$AH665,27,FALSE)-AVERAGE('The List'!AB2:AB665))/STDEV('The List'!AB2:AB665)</f>
        <v>0.39852335063275685</v>
      </c>
      <c r="P176" s="54">
        <f>(VLOOKUP($A176,'The List'!$B1:$AH665,28,FALSE)-AVERAGE('The List'!AC2:AC665))/STDEV('The List'!AC2:AC665)</f>
        <v>0.27973787970217318</v>
      </c>
      <c r="Q176" s="54">
        <f>(VLOOKUP($A176,'The List'!$B1:$AH665,29,FALSE)-AVERAGE('The List'!AD2:AD665))/STDEV('The List'!AD2:AD665)</f>
        <v>-2.9748033167577501E-2</v>
      </c>
      <c r="R176" s="54">
        <f>(VLOOKUP($A176,'The List'!$B1:$AH665,30,FALSE)-AVERAGE('The List'!AE2:AE665))/STDEV('The List'!AE2:AE665)</f>
        <v>0.54781883502748352</v>
      </c>
      <c r="S176" s="54">
        <f>(VLOOKUP($A176,'The List'!$B1:$AH665,31,FALSE)-AVERAGE('The List'!AF2:AF665))/STDEV('The List'!AF2:AF665)</f>
        <v>2.7109977215317764</v>
      </c>
      <c r="T176" s="54">
        <f>(VLOOKUP($A176,'The List'!$B1:$AH665,32,FALSE)-AVERAGE('The List'!AG2:AG665))/STDEV('The List'!AG2:AG665)</f>
        <v>2.689542447039774</v>
      </c>
      <c r="U176" s="54">
        <f>(VLOOKUP($A176,'The List'!$B1:$AH665,33,FALSE)-AVERAGE('The List'!AH2:AH665))/STDEV('The List'!AH2:AH665)</f>
        <v>1.0945578006585244</v>
      </c>
      <c r="V176" s="54"/>
      <c r="W176" s="56"/>
      <c r="X176" s="54"/>
      <c r="Y176" s="54"/>
      <c r="Z176" s="54"/>
      <c r="AA176" s="54"/>
      <c r="AB176" s="54"/>
      <c r="AC176" s="54"/>
      <c r="AD176" s="54"/>
      <c r="AE176" s="54"/>
    </row>
    <row r="177" spans="1:31" ht="21.25" customHeight="1" x14ac:dyDescent="0.15">
      <c r="A177" s="9" t="s">
        <v>331</v>
      </c>
      <c r="B177" s="65" t="str">
        <f>VLOOKUP(A177,'Player Data'!A1:B667,2,FALSE)</f>
        <v>WSH</v>
      </c>
      <c r="C177" s="51">
        <f>((E177)*Settings!$C$12)+(F177*Settings!$C$2)+(G177*Settings!$C$3)+(H177*Settings!$C$4)+(I177*Settings!$C$5)+(K177*Settings!$C$9)+(N177*Settings!$C$6)+(J177*Settings!$C$8)+(O177*Settings!$C$7)+(P177*Settings!$C$14)+(Q177*Settings!$C$15)+(R177*Settings!$C$16)+(S177*Settings!$C$17)+(T177*Settings!$C$18)+(U177*Settings!$C$19)+(L177*Settings!$C$10)+(Settings!$C$11*M177)</f>
        <v>0.75904554732348395</v>
      </c>
      <c r="D177" s="56">
        <f>IF(Settings!$E$12="YES",VLOOKUP(A177,'Player Data'!A1:E667,5,FALSE),82)</f>
        <v>73.472499999999997</v>
      </c>
      <c r="E177" s="54">
        <f>(VLOOKUP($A177,'The List'!$B1:$AH665,17,FALSE)-AVERAGE('The List'!R2:R665))/STDEV('The List'!R2:R665)</f>
        <v>0.41329447387888929</v>
      </c>
      <c r="F177" s="54">
        <f>(VLOOKUP($A177,'The List'!$B1:$AH665,18,FALSE)-AVERAGE('The List'!S2:S665))/STDEV('The List'!S2:S665)</f>
        <v>0.74144201196383441</v>
      </c>
      <c r="G177" s="54">
        <f>(VLOOKUP($A177,'The List'!$B1:$AH665,19,FALSE)-AVERAGE('The List'!T2:T665))/STDEV('The List'!T2:T665)</f>
        <v>-0.11446141685524834</v>
      </c>
      <c r="H177" s="54">
        <f>(VLOOKUP($A177,'The List'!$B1:$AH665,20,FALSE)-AVERAGE('The List'!U2:U665))/STDEV('The List'!U2:U665)</f>
        <v>0.26593366218869047</v>
      </c>
      <c r="I177" s="54">
        <f>(VLOOKUP($A177,'The List'!$B1:$AH665,21,FALSE)-AVERAGE('The List'!V2:V665))/STDEV('The List'!V2:V665)</f>
        <v>0.52128482756566741</v>
      </c>
      <c r="J177" s="54">
        <f>(VLOOKUP($A177,'The List'!$B1:$AH665,22,FALSE)-AVERAGE('The List'!W2:W665))/STDEV('The List'!W2:W665)</f>
        <v>0.71585639735525186</v>
      </c>
      <c r="K177" s="54">
        <f>(VLOOKUP($A177,'The List'!$B1:$AH665,23,FALSE)-AVERAGE('The List'!X2:X665))/STDEV('The List'!X2:X665)</f>
        <v>0.3010034852309616</v>
      </c>
      <c r="L177" s="54">
        <f>(VLOOKUP($A177,'The List'!$B1:$AH665,24,FALSE)-AVERAGE('The List'!Y2:Y665))/STDEV('The List'!Y2:Y665)</f>
        <v>2.3257019560250907</v>
      </c>
      <c r="M177" s="54">
        <f>(VLOOKUP($A177,'The List'!$B1:$AH665,25,FALSE)-AVERAGE('The List'!Z2:Z665))/STDEV('The List'!Z2:Z665)</f>
        <v>1.365144903363545</v>
      </c>
      <c r="N177" s="54">
        <f>(VLOOKUP($A177,'The List'!$B1:$AH665,26,FALSE)-AVERAGE('The List'!AA2:AA665))/STDEV('The List'!AA2:AA665)</f>
        <v>3.1367518216734745E-2</v>
      </c>
      <c r="O177" s="54">
        <f>(VLOOKUP($A177,'The List'!$B1:$AH665,27,FALSE)-AVERAGE('The List'!AB2:AB665))/STDEV('The List'!AB2:AB665)</f>
        <v>2.4414850240734332</v>
      </c>
      <c r="P177" s="54">
        <f>(VLOOKUP($A177,'The List'!$B1:$AH665,28,FALSE)-AVERAGE('The List'!AC2:AC665))/STDEV('The List'!AC2:AC665)</f>
        <v>-0.72159087879846584</v>
      </c>
      <c r="Q177" s="54">
        <f>(VLOOKUP($A177,'The List'!$B1:$AH665,29,FALSE)-AVERAGE('The List'!AD2:AD665))/STDEV('The List'!AD2:AD665)</f>
        <v>3.8206942778541735</v>
      </c>
      <c r="R177" s="54">
        <f>(VLOOKUP($A177,'The List'!$B1:$AH665,30,FALSE)-AVERAGE('The List'!AE2:AE665))/STDEV('The List'!AE2:AE665)</f>
        <v>0.61501349225165325</v>
      </c>
      <c r="S177" s="54">
        <f>(VLOOKUP($A177,'The List'!$B1:$AH665,31,FALSE)-AVERAGE('The List'!AF2:AF665))/STDEV('The List'!AF2:AF665)</f>
        <v>-0.47040627640026494</v>
      </c>
      <c r="T177" s="54">
        <f>(VLOOKUP($A177,'The List'!$B1:$AH665,32,FALSE)-AVERAGE('The List'!AG2:AG665))/STDEV('The List'!AG2:AG665)</f>
        <v>-0.44513527313076151</v>
      </c>
      <c r="U177" s="54">
        <f>(VLOOKUP($A177,'The List'!$B1:$AH665,33,FALSE)-AVERAGE('The List'!AH2:AH665))/STDEV('The List'!AH2:AH665)</f>
        <v>0.48496417061268271</v>
      </c>
      <c r="V177" s="54"/>
      <c r="W177" s="64"/>
      <c r="X177" s="56"/>
      <c r="Y177" s="56"/>
      <c r="Z177" s="56"/>
      <c r="AA177" s="56"/>
      <c r="AB177" s="56"/>
      <c r="AC177" s="59"/>
      <c r="AD177" s="60"/>
      <c r="AE177" s="54"/>
    </row>
    <row r="178" spans="1:31" ht="21.25" customHeight="1" x14ac:dyDescent="0.15">
      <c r="A178" s="9" t="s">
        <v>419</v>
      </c>
      <c r="B178" s="65" t="str">
        <f>VLOOKUP(A178,'Player Data'!A1:B667,2,FALSE)</f>
        <v>VGK</v>
      </c>
      <c r="C178" s="51">
        <f>((E178)*Settings!$C$12)+(F178*Settings!$C$2)+(G178*Settings!$C$3)+(H178*Settings!$C$4)+(I178*Settings!$C$5)+(K178*Settings!$C$9)+(N178*Settings!$C$6)+(J178*Settings!$C$8)+(O178*Settings!$C$7)+(P178*Settings!$C$14)+(Q178*Settings!$C$15)+(R178*Settings!$C$16)+(S178*Settings!$C$17)+(T178*Settings!$C$18)+(U178*Settings!$C$19)+(L178*Settings!$C$10)+(Settings!$C$11*M178)</f>
        <v>0.49419179327905288</v>
      </c>
      <c r="D178" s="56">
        <f>IF(Settings!$E$12="YES",VLOOKUP(A178,'Player Data'!A1:E667,5,FALSE),82)</f>
        <v>81.93</v>
      </c>
      <c r="E178" s="54">
        <f>(VLOOKUP($A178,'The List'!$B1:$AH665,17,FALSE)-AVERAGE('The List'!R2:R665))/STDEV('The List'!R2:R665)</f>
        <v>-0.17362392158794376</v>
      </c>
      <c r="F178" s="54">
        <f>(VLOOKUP($A178,'The List'!$B1:$AH665,18,FALSE)-AVERAGE('The List'!S2:S665))/STDEV('The List'!S2:S665)</f>
        <v>0.55947866828371362</v>
      </c>
      <c r="G178" s="54">
        <f>(VLOOKUP($A178,'The List'!$B1:$AH665,19,FALSE)-AVERAGE('The List'!T2:T665))/STDEV('The List'!T2:T665)</f>
        <v>0.35998679805173078</v>
      </c>
      <c r="H178" s="54">
        <f>(VLOOKUP($A178,'The List'!$B1:$AH665,20,FALSE)-AVERAGE('The List'!U2:U665))/STDEV('The List'!U2:U665)</f>
        <v>0.47788169185962631</v>
      </c>
      <c r="I178" s="54">
        <f>(VLOOKUP($A178,'The List'!$B1:$AH665,21,FALSE)-AVERAGE('The List'!V2:V665))/STDEV('The List'!V2:V665)</f>
        <v>-0.16055374654851126</v>
      </c>
      <c r="J178" s="54">
        <f>(VLOOKUP($A178,'The List'!$B1:$AH665,22,FALSE)-AVERAGE('The List'!W2:W665))/STDEV('The List'!W2:W665)</f>
        <v>0.13492671854091731</v>
      </c>
      <c r="K178" s="54">
        <f>(VLOOKUP($A178,'The List'!$B1:$AH665,23,FALSE)-AVERAGE('The List'!X2:X665))/STDEV('The List'!X2:X665)</f>
        <v>-0.12264152606096314</v>
      </c>
      <c r="L178" s="54">
        <f>(VLOOKUP($A178,'The List'!$B1:$AH665,24,FALSE)-AVERAGE('The List'!Y2:Y665))/STDEV('The List'!Y2:Y665)</f>
        <v>-0.56295956417787929</v>
      </c>
      <c r="M178" s="54">
        <f>(VLOOKUP($A178,'The List'!$B1:$AH665,25,FALSE)-AVERAGE('The List'!Z2:Z665))/STDEV('The List'!Z2:Z665)</f>
        <v>-0.73425183192080101</v>
      </c>
      <c r="N178" s="54">
        <f>(VLOOKUP($A178,'The List'!$B1:$AH665,26,FALSE)-AVERAGE('The List'!AA2:AA665))/STDEV('The List'!AA2:AA665)</f>
        <v>-0.56980366283602057</v>
      </c>
      <c r="O178" s="54">
        <f>(VLOOKUP($A178,'The List'!$B1:$AH665,27,FALSE)-AVERAGE('The List'!AB2:AB665))/STDEV('The List'!AB2:AB665)</f>
        <v>1.5673462786563006</v>
      </c>
      <c r="P178" s="54">
        <f>(VLOOKUP($A178,'The List'!$B1:$AH665,28,FALSE)-AVERAGE('The List'!AC2:AC665))/STDEV('The List'!AC2:AC665)</f>
        <v>0.42772526238910341</v>
      </c>
      <c r="Q178" s="54">
        <f>(VLOOKUP($A178,'The List'!$B1:$AH665,29,FALSE)-AVERAGE('The List'!AD2:AD665))/STDEV('The List'!AD2:AD665)</f>
        <v>0.44056248284201049</v>
      </c>
      <c r="R178" s="54">
        <f>(VLOOKUP($A178,'The List'!$B1:$AH665,30,FALSE)-AVERAGE('The List'!AE2:AE665))/STDEV('The List'!AE2:AE665)</f>
        <v>0.57305822099930315</v>
      </c>
      <c r="S178" s="54">
        <f>(VLOOKUP($A178,'The List'!$B1:$AH665,31,FALSE)-AVERAGE('The List'!AF2:AF665))/STDEV('The List'!AF2:AF665)</f>
        <v>-0.31840599108594625</v>
      </c>
      <c r="T178" s="54">
        <f>(VLOOKUP($A178,'The List'!$B1:$AH665,32,FALSE)-AVERAGE('The List'!AG2:AG665))/STDEV('The List'!AG2:AG665)</f>
        <v>-0.22859248468570548</v>
      </c>
      <c r="U178" s="54">
        <f>(VLOOKUP($A178,'The List'!$B1:$AH665,33,FALSE)-AVERAGE('The List'!AH2:AH665))/STDEV('The List'!AH2:AH665)</f>
        <v>0.61010115656343689</v>
      </c>
      <c r="V178" s="54"/>
      <c r="W178" s="64"/>
      <c r="X178" s="56"/>
      <c r="Y178" s="56"/>
      <c r="Z178" s="56"/>
      <c r="AA178" s="56"/>
      <c r="AB178" s="56"/>
      <c r="AC178" s="59"/>
      <c r="AD178" s="60"/>
      <c r="AE178" s="54"/>
    </row>
    <row r="179" spans="1:31" ht="21.25" customHeight="1" x14ac:dyDescent="0.15">
      <c r="A179" s="9" t="s">
        <v>405</v>
      </c>
      <c r="B179" s="65" t="str">
        <f>VLOOKUP(A179,'Player Data'!A1:B667,2,FALSE)</f>
        <v>PHI</v>
      </c>
      <c r="C179" s="51">
        <f>((E179)*Settings!$C$12)+(F179*Settings!$C$2)+(G179*Settings!$C$3)+(H179*Settings!$C$4)+(I179*Settings!$C$5)+(K179*Settings!$C$9)+(N179*Settings!$C$6)+(J179*Settings!$C$8)+(O179*Settings!$C$7)+(P179*Settings!$C$14)+(Q179*Settings!$C$15)+(R179*Settings!$C$16)+(S179*Settings!$C$17)+(T179*Settings!$C$18)+(U179*Settings!$C$19)+(L179*Settings!$C$10)+(Settings!$C$11*M179)</f>
        <v>0.35505398782540676</v>
      </c>
      <c r="D179" s="56">
        <f>IF(Settings!$E$12="YES",VLOOKUP(A179,'Player Data'!A1:E667,5,FALSE),82)</f>
        <v>77.239999999999995</v>
      </c>
      <c r="E179" s="54">
        <f>(VLOOKUP($A179,'The List'!$B1:$AH665,17,FALSE)-AVERAGE('The List'!R2:R665))/STDEV('The List'!R2:R665)</f>
        <v>-0.17817042156625623</v>
      </c>
      <c r="F179" s="54">
        <f>(VLOOKUP($A179,'The List'!$B1:$AH665,18,FALSE)-AVERAGE('The List'!S2:S665))/STDEV('The List'!S2:S665)</f>
        <v>0.28353844318136995</v>
      </c>
      <c r="G179" s="54">
        <f>(VLOOKUP($A179,'The List'!$B1:$AH665,19,FALSE)-AVERAGE('The List'!T2:T665))/STDEV('The List'!T2:T665)</f>
        <v>0.36300820099102094</v>
      </c>
      <c r="H179" s="54">
        <f>(VLOOKUP($A179,'The List'!$B1:$AH665,20,FALSE)-AVERAGE('The List'!U2:U665))/STDEV('The List'!U2:U665)</f>
        <v>0.3543302041719375</v>
      </c>
      <c r="I179" s="54">
        <f>(VLOOKUP($A179,'The List'!$B1:$AH665,21,FALSE)-AVERAGE('The List'!V2:V665))/STDEV('The List'!V2:V665)</f>
        <v>0.25127267235023393</v>
      </c>
      <c r="J179" s="54">
        <f>(VLOOKUP($A179,'The List'!$B1:$AH665,22,FALSE)-AVERAGE('The List'!W2:W665))/STDEV('The List'!W2:W665)</f>
        <v>-2.0614939577110478E-3</v>
      </c>
      <c r="K179" s="54">
        <f>(VLOOKUP($A179,'The List'!$B1:$AH665,23,FALSE)-AVERAGE('The List'!X2:X665))/STDEV('The List'!X2:X665)</f>
        <v>0.12270376109336403</v>
      </c>
      <c r="L179" s="54">
        <f>(VLOOKUP($A179,'The List'!$B1:$AH665,24,FALSE)-AVERAGE('The List'!Y2:Y665))/STDEV('The List'!Y2:Y665)</f>
        <v>-0.55855415265795694</v>
      </c>
      <c r="M179" s="54">
        <f>(VLOOKUP($A179,'The List'!$B1:$AH665,25,FALSE)-AVERAGE('The List'!Z2:Z665))/STDEV('The List'!Z2:Z665)</f>
        <v>-0.73199405696435027</v>
      </c>
      <c r="N179" s="54">
        <f>(VLOOKUP($A179,'The List'!$B1:$AH665,26,FALSE)-AVERAGE('The List'!AA2:AA665))/STDEV('The List'!AA2:AA665)</f>
        <v>-0.27182751695721624</v>
      </c>
      <c r="O179" s="54">
        <f>(VLOOKUP($A179,'The List'!$B1:$AH665,27,FALSE)-AVERAGE('The List'!AB2:AB665))/STDEV('The List'!AB2:AB665)</f>
        <v>-0.47188086165753901</v>
      </c>
      <c r="P179" s="54">
        <f>(VLOOKUP($A179,'The List'!$B1:$AH665,28,FALSE)-AVERAGE('The List'!AC2:AC665))/STDEV('The List'!AC2:AC665)</f>
        <v>-0.39364157283336587</v>
      </c>
      <c r="Q179" s="54">
        <f>(VLOOKUP($A179,'The List'!$B1:$AH665,29,FALSE)-AVERAGE('The List'!AD2:AD665))/STDEV('The List'!AD2:AD665)</f>
        <v>-0.51128041365519561</v>
      </c>
      <c r="R179" s="54">
        <f>(VLOOKUP($A179,'The List'!$B1:$AH665,30,FALSE)-AVERAGE('The List'!AE2:AE665))/STDEV('The List'!AE2:AE665)</f>
        <v>0.22943356933633369</v>
      </c>
      <c r="S179" s="54">
        <f>(VLOOKUP($A179,'The List'!$B1:$AH665,31,FALSE)-AVERAGE('The List'!AF2:AF665))/STDEV('The List'!AF2:AF665)</f>
        <v>1.4981590523293289</v>
      </c>
      <c r="T179" s="54">
        <f>(VLOOKUP($A179,'The List'!$B1:$AH665,32,FALSE)-AVERAGE('The List'!AG2:AG665))/STDEV('The List'!AG2:AG665)</f>
        <v>1.7817674968735371</v>
      </c>
      <c r="U179" s="54">
        <f>(VLOOKUP($A179,'The List'!$B1:$AH665,33,FALSE)-AVERAGE('The List'!AH2:AH665))/STDEV('The List'!AH2:AH665)</f>
        <v>0.93502037322801457</v>
      </c>
      <c r="V179" s="54"/>
      <c r="W179" s="64"/>
      <c r="X179" s="56"/>
      <c r="Y179" s="56"/>
      <c r="Z179" s="56"/>
      <c r="AA179" s="56"/>
      <c r="AB179" s="56"/>
      <c r="AC179" s="59"/>
      <c r="AD179" s="60"/>
      <c r="AE179" s="54"/>
    </row>
    <row r="180" spans="1:31" ht="21.25" customHeight="1" x14ac:dyDescent="0.15">
      <c r="A180" s="9" t="s">
        <v>230</v>
      </c>
      <c r="B180" s="65" t="str">
        <f>VLOOKUP(A180,'Player Data'!A1:B667,2,FALSE)</f>
        <v>VGK</v>
      </c>
      <c r="C180" s="51">
        <f>((E180)*Settings!$C$12)+(F180*Settings!$C$2)+(G180*Settings!$C$3)+(H180*Settings!$C$4)+(I180*Settings!$C$5)+(K180*Settings!$C$9)+(N180*Settings!$C$6)+(J180*Settings!$C$8)+(O180*Settings!$C$7)+(P180*Settings!$C$14)+(Q180*Settings!$C$15)+(R180*Settings!$C$16)+(S180*Settings!$C$17)+(T180*Settings!$C$18)+(U180*Settings!$C$19)+(L180*Settings!$C$10)+(Settings!$C$11*M180)</f>
        <v>3.3875034069513332</v>
      </c>
      <c r="D180" s="56">
        <f>IF(Settings!$E$12="YES",VLOOKUP(A180,'Player Data'!A1:E667,5,FALSE),82)</f>
        <v>81.4375</v>
      </c>
      <c r="E180" s="54">
        <f>(VLOOKUP($A180,'The List'!$B1:$AH665,17,FALSE)-AVERAGE('The List'!R2:R665))/STDEV('The List'!R2:R665)</f>
        <v>1.8338937331975933</v>
      </c>
      <c r="F180" s="54">
        <f>(VLOOKUP($A180,'The List'!$B1:$AH665,18,FALSE)-AVERAGE('The List'!S2:S665))/STDEV('The List'!S2:S665)</f>
        <v>-0.27567210059099234</v>
      </c>
      <c r="G180" s="54">
        <f>(VLOOKUP($A180,'The List'!$B1:$AH665,19,FALSE)-AVERAGE('The List'!T2:T665))/STDEV('The List'!T2:T665)</f>
        <v>0.93512222738596307</v>
      </c>
      <c r="H180" s="54">
        <f>(VLOOKUP($A180,'The List'!$B1:$AH665,20,FALSE)-AVERAGE('The List'!U2:U665))/STDEV('The List'!U2:U665)</f>
        <v>0.4554574099005364</v>
      </c>
      <c r="I180" s="54">
        <f>(VLOOKUP($A180,'The List'!$B1:$AH665,21,FALSE)-AVERAGE('The List'!V2:V665))/STDEV('The List'!V2:V665)</f>
        <v>0.67730104651545819</v>
      </c>
      <c r="J180" s="54">
        <f>(VLOOKUP($A180,'The List'!$B1:$AH665,22,FALSE)-AVERAGE('The List'!W2:W665))/STDEV('The List'!W2:W665)</f>
        <v>2.3556395843371016E-2</v>
      </c>
      <c r="K180" s="54">
        <f>(VLOOKUP($A180,'The List'!$B1:$AH665,23,FALSE)-AVERAGE('The List'!X2:X665))/STDEV('The List'!X2:X665)</f>
        <v>0.37429088403543087</v>
      </c>
      <c r="L180" s="54">
        <f>(VLOOKUP($A180,'The List'!$B1:$AH665,24,FALSE)-AVERAGE('The List'!Y2:Y665))/STDEV('The List'!Y2:Y665)</f>
        <v>-0.53218154634056469</v>
      </c>
      <c r="M180" s="54">
        <f>(VLOOKUP($A180,'The List'!$B1:$AH665,25,FALSE)-AVERAGE('The List'!Z2:Z665))/STDEV('The List'!Z2:Z665)</f>
        <v>0.58115861227348042</v>
      </c>
      <c r="N180" s="54">
        <f>(VLOOKUP($A180,'The List'!$B1:$AH665,26,FALSE)-AVERAGE('The List'!AA2:AA665))/STDEV('The List'!AA2:AA665)</f>
        <v>1.4265618680381849</v>
      </c>
      <c r="O180" s="54">
        <f>(VLOOKUP($A180,'The List'!$B1:$AH665,27,FALSE)-AVERAGE('The List'!AB2:AB665))/STDEV('The List'!AB2:AB665)</f>
        <v>-0.38299024460640713</v>
      </c>
      <c r="P180" s="54">
        <f>(VLOOKUP($A180,'The List'!$B1:$AH665,28,FALSE)-AVERAGE('The List'!AC2:AC665))/STDEV('The List'!AC2:AC665)</f>
        <v>0.24989948156728861</v>
      </c>
      <c r="Q180" s="54">
        <f>(VLOOKUP($A180,'The List'!$B1:$AH665,29,FALSE)-AVERAGE('The List'!AD2:AD665))/STDEV('The List'!AD2:AD665)</f>
        <v>-0.14162453909380252</v>
      </c>
      <c r="R180" s="54">
        <f>(VLOOKUP($A180,'The List'!$B1:$AH665,30,FALSE)-AVERAGE('The List'!AE2:AE665))/STDEV('The List'!AE2:AE665)</f>
        <v>-0.24229088544075963</v>
      </c>
      <c r="S180" s="54">
        <f>(VLOOKUP($A180,'The List'!$B1:$AH665,31,FALSE)-AVERAGE('The List'!AF2:AF665))/STDEV('The List'!AF2:AF665)</f>
        <v>-0.57389441068000469</v>
      </c>
      <c r="T180" s="54">
        <f>(VLOOKUP($A180,'The List'!$B1:$AH665,32,FALSE)-AVERAGE('The List'!AG2:AG665))/STDEV('The List'!AG2:AG665)</f>
        <v>-0.62577078713265111</v>
      </c>
      <c r="U180" s="54">
        <f>(VLOOKUP($A180,'The List'!$B1:$AH665,33,FALSE)-AVERAGE('The List'!AH2:AH665))/STDEV('The List'!AH2:AH665)</f>
        <v>-1.2314350945148611</v>
      </c>
      <c r="V180" s="54"/>
      <c r="W180" s="64"/>
      <c r="X180" s="56"/>
      <c r="Y180" s="56"/>
      <c r="Z180" s="56"/>
      <c r="AA180" s="56"/>
      <c r="AB180" s="56"/>
      <c r="AC180" s="59"/>
      <c r="AD180" s="60"/>
      <c r="AE180" s="54"/>
    </row>
    <row r="181" spans="1:31" ht="21.25" customHeight="1" x14ac:dyDescent="0.15">
      <c r="A181" s="9" t="s">
        <v>212</v>
      </c>
      <c r="B181" s="65" t="str">
        <f>VLOOKUP(A181,'Player Data'!A1:B667,2,FALSE)</f>
        <v>CHI</v>
      </c>
      <c r="C181" s="51">
        <f>((E181)*Settings!$C$12)+(F181*Settings!$C$2)+(G181*Settings!$C$3)+(H181*Settings!$C$4)+(I181*Settings!$C$5)+(K181*Settings!$C$9)+(N181*Settings!$C$6)+(J181*Settings!$C$8)+(O181*Settings!$C$7)+(P181*Settings!$C$14)+(Q181*Settings!$C$15)+(R181*Settings!$C$16)+(S181*Settings!$C$17)+(T181*Settings!$C$18)+(U181*Settings!$C$19)+(L181*Settings!$C$10)+(Settings!$C$11*M181)</f>
        <v>2.4311373946315138</v>
      </c>
      <c r="D181" s="56">
        <f>IF(Settings!$E$12="YES",VLOOKUP(A181,'Player Data'!A1:E667,5,FALSE),82)</f>
        <v>77.592500000000001</v>
      </c>
      <c r="E181" s="54">
        <f>(VLOOKUP($A181,'The List'!$B1:$AH665,17,FALSE)-AVERAGE('The List'!R2:R665))/STDEV('The List'!R2:R665)</f>
        <v>2.4603837981946639</v>
      </c>
      <c r="F181" s="54">
        <f>(VLOOKUP($A181,'The List'!$B1:$AH665,18,FALSE)-AVERAGE('The List'!S2:S665))/STDEV('The List'!S2:S665)</f>
        <v>-0.35101663734276983</v>
      </c>
      <c r="G181" s="54">
        <f>(VLOOKUP($A181,'The List'!$B1:$AH665,19,FALSE)-AVERAGE('The List'!T2:T665))/STDEV('The List'!T2:T665)</f>
        <v>0.82565572700709622</v>
      </c>
      <c r="H181" s="54">
        <f>(VLOOKUP($A181,'The List'!$B1:$AH665,20,FALSE)-AVERAGE('The List'!U2:U665))/STDEV('The List'!U2:U665)</f>
        <v>0.35322488470339858</v>
      </c>
      <c r="I181" s="54">
        <f>(VLOOKUP($A181,'The List'!$B1:$AH665,21,FALSE)-AVERAGE('The List'!V2:V665))/STDEV('The List'!V2:V665)</f>
        <v>1.025612933746576</v>
      </c>
      <c r="J181" s="54">
        <f>(VLOOKUP($A181,'The List'!$B1:$AH665,22,FALSE)-AVERAGE('The List'!W2:W665))/STDEV('The List'!W2:W665)</f>
        <v>-9.1051892352102815E-2</v>
      </c>
      <c r="K181" s="54">
        <f>(VLOOKUP($A181,'The List'!$B1:$AH665,23,FALSE)-AVERAGE('The List'!X2:X665))/STDEV('The List'!X2:X665)</f>
        <v>0.71722534367836477</v>
      </c>
      <c r="L181" s="54">
        <f>(VLOOKUP($A181,'The List'!$B1:$AH665,24,FALSE)-AVERAGE('The List'!Y2:Y665))/STDEV('The List'!Y2:Y665)</f>
        <v>-0.51913063208468901</v>
      </c>
      <c r="M181" s="54">
        <f>(VLOOKUP($A181,'The List'!$B1:$AH665,25,FALSE)-AVERAGE('The List'!Z2:Z665))/STDEV('The List'!Z2:Z665)</f>
        <v>-4.0931321870920301E-2</v>
      </c>
      <c r="N181" s="54">
        <f>(VLOOKUP($A181,'The List'!$B1:$AH665,26,FALSE)-AVERAGE('The List'!AA2:AA665))/STDEV('The List'!AA2:AA665)</f>
        <v>1.9738062462013322</v>
      </c>
      <c r="O181" s="54">
        <f>(VLOOKUP($A181,'The List'!$B1:$AH665,27,FALSE)-AVERAGE('The List'!AB2:AB665))/STDEV('The List'!AB2:AB665)</f>
        <v>9.356895477573085E-2</v>
      </c>
      <c r="P181" s="54">
        <f>(VLOOKUP($A181,'The List'!$B1:$AH665,28,FALSE)-AVERAGE('The List'!AC2:AC665))/STDEV('The List'!AC2:AC665)</f>
        <v>-1.7601462186590853</v>
      </c>
      <c r="Q181" s="54">
        <f>(VLOOKUP($A181,'The List'!$B1:$AH665,29,FALSE)-AVERAGE('The List'!AD2:AD665))/STDEV('The List'!AD2:AD665)</f>
        <v>0.30341303404319003</v>
      </c>
      <c r="R181" s="54">
        <f>(VLOOKUP($A181,'The List'!$B1:$AH665,30,FALSE)-AVERAGE('The List'!AE2:AE665))/STDEV('The List'!AE2:AE665)</f>
        <v>-0.46003861186396378</v>
      </c>
      <c r="S181" s="54">
        <f>(VLOOKUP($A181,'The List'!$B1:$AH665,31,FALSE)-AVERAGE('The List'!AF2:AF665))/STDEV('The List'!AF2:AF665)</f>
        <v>-0.57389441068000469</v>
      </c>
      <c r="T181" s="54">
        <f>(VLOOKUP($A181,'The List'!$B1:$AH665,32,FALSE)-AVERAGE('The List'!AG2:AG665))/STDEV('The List'!AG2:AG665)</f>
        <v>-0.62577078713265111</v>
      </c>
      <c r="U181" s="54">
        <f>(VLOOKUP($A181,'The List'!$B1:$AH665,33,FALSE)-AVERAGE('The List'!AH2:AH665))/STDEV('The List'!AH2:AH665)</f>
        <v>-1.2314350945148611</v>
      </c>
      <c r="V181" s="54"/>
      <c r="W181" s="64"/>
      <c r="X181" s="56"/>
      <c r="Y181" s="56"/>
      <c r="Z181" s="56"/>
      <c r="AA181" s="56"/>
      <c r="AB181" s="56"/>
      <c r="AC181" s="59"/>
      <c r="AD181" s="60"/>
      <c r="AE181" s="54"/>
    </row>
    <row r="182" spans="1:31" ht="21.25" customHeight="1" x14ac:dyDescent="0.15">
      <c r="A182" s="9" t="s">
        <v>366</v>
      </c>
      <c r="B182" s="65" t="str">
        <f>VLOOKUP(A182,'Player Data'!A1:B667,2,FALSE)</f>
        <v>S.J</v>
      </c>
      <c r="C182" s="51">
        <f>((E182)*Settings!$C$12)+(F182*Settings!$C$2)+(G182*Settings!$C$3)+(H182*Settings!$C$4)+(I182*Settings!$C$5)+(K182*Settings!$C$9)+(N182*Settings!$C$6)+(J182*Settings!$C$8)+(O182*Settings!$C$7)+(P182*Settings!$C$14)+(Q182*Settings!$C$15)+(R182*Settings!$C$16)+(S182*Settings!$C$17)+(T182*Settings!$C$18)+(U182*Settings!$C$19)+(L182*Settings!$C$10)+(Settings!$C$11*M182)</f>
        <v>-1.6710610074192573</v>
      </c>
      <c r="D182" s="56">
        <f>IF(Settings!$E$12="YES",VLOOKUP(A182,'Player Data'!A1:E667,5,FALSE),82)</f>
        <v>79.11</v>
      </c>
      <c r="E182" s="54">
        <f>(VLOOKUP($A182,'The List'!$B1:$AH665,17,FALSE)-AVERAGE('The List'!R2:R665))/STDEV('The List'!R2:R665)</f>
        <v>0.32276095213367256</v>
      </c>
      <c r="F182" s="54">
        <f>(VLOOKUP($A182,'The List'!$B1:$AH665,18,FALSE)-AVERAGE('The List'!S2:S665))/STDEV('The List'!S2:S665)</f>
        <v>-0.3261471756047693</v>
      </c>
      <c r="G182" s="54">
        <f>(VLOOKUP($A182,'The List'!$B1:$AH665,19,FALSE)-AVERAGE('The List'!T2:T665))/STDEV('The List'!T2:T665)</f>
        <v>0.86371264794949776</v>
      </c>
      <c r="H182" s="54">
        <f>(VLOOKUP($A182,'The List'!$B1:$AH665,20,FALSE)-AVERAGE('The List'!U2:U665))/STDEV('The List'!U2:U665)</f>
        <v>0.3881647249778486</v>
      </c>
      <c r="I182" s="54">
        <f>(VLOOKUP($A182,'The List'!$B1:$AH665,21,FALSE)-AVERAGE('The List'!V2:V665))/STDEV('The List'!V2:V665)</f>
        <v>-0.18542435630392232</v>
      </c>
      <c r="J182" s="54">
        <f>(VLOOKUP($A182,'The List'!$B1:$AH665,22,FALSE)-AVERAGE('The List'!W2:W665))/STDEV('The List'!W2:W665)</f>
        <v>-0.42517496002466287</v>
      </c>
      <c r="K182" s="54">
        <f>(VLOOKUP($A182,'The List'!$B1:$AH665,23,FALSE)-AVERAGE('The List'!X2:X665))/STDEV('The List'!X2:X665)</f>
        <v>0.55307312363588623</v>
      </c>
      <c r="L182" s="54">
        <f>(VLOOKUP($A182,'The List'!$B1:$AH665,24,FALSE)-AVERAGE('The List'!Y2:Y665))/STDEV('The List'!Y2:Y665)</f>
        <v>-0.43469873607017701</v>
      </c>
      <c r="M182" s="54">
        <f>(VLOOKUP($A182,'The List'!$B1:$AH665,25,FALSE)-AVERAGE('The List'!Z2:Z665))/STDEV('The List'!Z2:Z665)</f>
        <v>8.7803782251005807E-3</v>
      </c>
      <c r="N182" s="54">
        <f>(VLOOKUP($A182,'The List'!$B1:$AH665,26,FALSE)-AVERAGE('The List'!AA2:AA665))/STDEV('The List'!AA2:AA665)</f>
        <v>-0.21536755443223091</v>
      </c>
      <c r="O182" s="54">
        <f>(VLOOKUP($A182,'The List'!$B1:$AH665,27,FALSE)-AVERAGE('The List'!AB2:AB665))/STDEV('The List'!AB2:AB665)</f>
        <v>-0.55549512167425252</v>
      </c>
      <c r="P182" s="54">
        <f>(VLOOKUP($A182,'The List'!$B1:$AH665,28,FALSE)-AVERAGE('The List'!AC2:AC665))/STDEV('The List'!AC2:AC665)</f>
        <v>-2.3609076926637189</v>
      </c>
      <c r="Q182" s="54">
        <f>(VLOOKUP($A182,'The List'!$B1:$AH665,29,FALSE)-AVERAGE('The List'!AD2:AD665))/STDEV('The List'!AD2:AD665)</f>
        <v>-0.12031477148992192</v>
      </c>
      <c r="R182" s="54">
        <f>(VLOOKUP($A182,'The List'!$B1:$AH665,30,FALSE)-AVERAGE('The List'!AE2:AE665))/STDEV('The List'!AE2:AE665)</f>
        <v>-0.58439784064755973</v>
      </c>
      <c r="S182" s="54">
        <f>(VLOOKUP($A182,'The List'!$B1:$AH665,31,FALSE)-AVERAGE('The List'!AF2:AF665))/STDEV('The List'!AF2:AF665)</f>
        <v>1.542972078029762</v>
      </c>
      <c r="T182" s="54">
        <f>(VLOOKUP($A182,'The List'!$B1:$AH665,32,FALSE)-AVERAGE('The List'!AG2:AG665))/STDEV('The List'!AG2:AG665)</f>
        <v>1.9994804441520659</v>
      </c>
      <c r="U182" s="54">
        <f>(VLOOKUP($A182,'The List'!$B1:$AH665,33,FALSE)-AVERAGE('The List'!AH2:AH665))/STDEV('The List'!AH2:AH665)</f>
        <v>0.86143572232287469</v>
      </c>
      <c r="V182" s="54"/>
      <c r="W182" s="64"/>
      <c r="X182" s="56"/>
      <c r="Y182" s="56"/>
      <c r="Z182" s="56"/>
      <c r="AA182" s="56"/>
      <c r="AB182" s="56"/>
      <c r="AC182" s="59"/>
      <c r="AD182" s="60"/>
      <c r="AE182" s="54"/>
    </row>
    <row r="183" spans="1:31" ht="21.25" customHeight="1" x14ac:dyDescent="0.15">
      <c r="A183" s="9" t="s">
        <v>322</v>
      </c>
      <c r="B183" s="65" t="str">
        <f>VLOOKUP(A183,'Player Data'!A1:B667,2,FALSE)</f>
        <v>VAN</v>
      </c>
      <c r="C183" s="51">
        <f>((E183)*Settings!$C$12)+(F183*Settings!$C$2)+(G183*Settings!$C$3)+(H183*Settings!$C$4)+(I183*Settings!$C$5)+(K183*Settings!$C$9)+(N183*Settings!$C$6)+(J183*Settings!$C$8)+(O183*Settings!$C$7)+(P183*Settings!$C$14)+(Q183*Settings!$C$15)+(R183*Settings!$C$16)+(S183*Settings!$C$17)+(T183*Settings!$C$18)+(U183*Settings!$C$19)+(L183*Settings!$C$10)+(Settings!$C$11*M183)</f>
        <v>2.7997546364553427</v>
      </c>
      <c r="D183" s="56">
        <f>IF(Settings!$E$12="YES",VLOOKUP(A183,'Player Data'!A1:E667,5,FALSE),82)</f>
        <v>81.392499999999998</v>
      </c>
      <c r="E183" s="54">
        <f>(VLOOKUP($A183,'The List'!$B1:$AH665,17,FALSE)-AVERAGE('The List'!R2:R665))/STDEV('The List'!R2:R665)</f>
        <v>-0.41690486598479326</v>
      </c>
      <c r="F183" s="54">
        <f>(VLOOKUP($A183,'The List'!$B1:$AH665,18,FALSE)-AVERAGE('The List'!S2:S665))/STDEV('The List'!S2:S665)</f>
        <v>0.4654562532260425</v>
      </c>
      <c r="G183" s="54">
        <f>(VLOOKUP($A183,'The List'!$B1:$AH665,19,FALSE)-AVERAGE('The List'!T2:T665))/STDEV('The List'!T2:T665)</f>
        <v>0.37640088504646385</v>
      </c>
      <c r="H183" s="54">
        <f>(VLOOKUP($A183,'The List'!$B1:$AH665,20,FALSE)-AVERAGE('The List'!U2:U665))/STDEV('The List'!U2:U665)</f>
        <v>0.44533810592866485</v>
      </c>
      <c r="I183" s="54">
        <f>(VLOOKUP($A183,'The List'!$B1:$AH665,21,FALSE)-AVERAGE('The List'!V2:V665))/STDEV('The List'!V2:V665)</f>
        <v>1.0007343999213321</v>
      </c>
      <c r="J183" s="54">
        <f>(VLOOKUP($A183,'The List'!$B1:$AH665,22,FALSE)-AVERAGE('The List'!W2:W665))/STDEV('The List'!W2:W665)</f>
        <v>-0.21528187725180795</v>
      </c>
      <c r="K183" s="54">
        <f>(VLOOKUP($A183,'The List'!$B1:$AH665,23,FALSE)-AVERAGE('The List'!X2:X665))/STDEV('The List'!X2:X665)</f>
        <v>1.8301689170146272E-2</v>
      </c>
      <c r="L183" s="54">
        <f>(VLOOKUP($A183,'The List'!$B1:$AH665,24,FALSE)-AVERAGE('The List'!Y2:Y665))/STDEV('The List'!Y2:Y665)</f>
        <v>-0.57396021625747662</v>
      </c>
      <c r="M183" s="54">
        <f>(VLOOKUP($A183,'The List'!$B1:$AH665,25,FALSE)-AVERAGE('The List'!Z2:Z665))/STDEV('The List'!Z2:Z665)</f>
        <v>-0.74763047591393483</v>
      </c>
      <c r="N183" s="54">
        <f>(VLOOKUP($A183,'The List'!$B1:$AH665,26,FALSE)-AVERAGE('The List'!AA2:AA665))/STDEV('The List'!AA2:AA665)</f>
        <v>-0.80996171895406754</v>
      </c>
      <c r="O183" s="54">
        <f>(VLOOKUP($A183,'The List'!$B1:$AH665,27,FALSE)-AVERAGE('The List'!AB2:AB665))/STDEV('The List'!AB2:AB665)</f>
        <v>-0.7580659635800816</v>
      </c>
      <c r="P183" s="54">
        <f>(VLOOKUP($A183,'The List'!$B1:$AH665,28,FALSE)-AVERAGE('The List'!AC2:AC665))/STDEV('The List'!AC2:AC665)</f>
        <v>1.7488231280454256</v>
      </c>
      <c r="Q183" s="54">
        <f>(VLOOKUP($A183,'The List'!$B1:$AH665,29,FALSE)-AVERAGE('The List'!AD2:AD665))/STDEV('The List'!AD2:AD665)</f>
        <v>-0.47101730365608513</v>
      </c>
      <c r="R183" s="54">
        <f>(VLOOKUP($A183,'The List'!$B1:$AH665,30,FALSE)-AVERAGE('The List'!AE2:AE665))/STDEV('The List'!AE2:AE665)</f>
        <v>0.69687228700039561</v>
      </c>
      <c r="S183" s="54">
        <f>(VLOOKUP($A183,'The List'!$B1:$AH665,31,FALSE)-AVERAGE('The List'!AF2:AF665))/STDEV('The List'!AF2:AF665)</f>
        <v>-0.55908183910738529</v>
      </c>
      <c r="T183" s="54">
        <f>(VLOOKUP($A183,'The List'!$B1:$AH665,32,FALSE)-AVERAGE('The List'!AG2:AG665))/STDEV('The List'!AG2:AG665)</f>
        <v>-0.58533797627363404</v>
      </c>
      <c r="U183" s="54">
        <f>(VLOOKUP($A183,'The List'!$B1:$AH665,33,FALSE)-AVERAGE('The List'!AH2:AH665))/STDEV('The List'!AH2:AH665)</f>
        <v>3.9647704354987871E-2</v>
      </c>
      <c r="V183" s="54"/>
      <c r="W183" s="56"/>
      <c r="X183" s="56"/>
      <c r="Y183" s="56"/>
      <c r="Z183" s="56"/>
      <c r="AA183" s="56"/>
      <c r="AB183" s="56"/>
      <c r="AC183" s="59"/>
      <c r="AD183" s="60"/>
      <c r="AE183" s="54"/>
    </row>
    <row r="184" spans="1:31" ht="21.25" customHeight="1" x14ac:dyDescent="0.15">
      <c r="A184" s="9" t="s">
        <v>408</v>
      </c>
      <c r="B184" s="65" t="str">
        <f>VLOOKUP(A184,'Player Data'!A1:B667,2,FALSE)</f>
        <v>ANA</v>
      </c>
      <c r="C184" s="51">
        <f>((E184)*Settings!$C$12)+(F184*Settings!$C$2)+(G184*Settings!$C$3)+(H184*Settings!$C$4)+(I184*Settings!$C$5)+(K184*Settings!$C$9)+(N184*Settings!$C$6)+(J184*Settings!$C$8)+(O184*Settings!$C$7)+(P184*Settings!$C$14)+(Q184*Settings!$C$15)+(R184*Settings!$C$16)+(S184*Settings!$C$17)+(T184*Settings!$C$18)+(U184*Settings!$C$19)+(L184*Settings!$C$10)+(Settings!$C$11*M184)</f>
        <v>-1.3597461967729232</v>
      </c>
      <c r="D184" s="56">
        <f>IF(Settings!$E$12="YES",VLOOKUP(A184,'Player Data'!A1:E667,5,FALSE),82)</f>
        <v>78.657499999999999</v>
      </c>
      <c r="E184" s="54">
        <f>(VLOOKUP($A184,'The List'!$B1:$AH665,17,FALSE)-AVERAGE('The List'!R2:R665))/STDEV('The List'!R2:R665)</f>
        <v>0.14555648421025719</v>
      </c>
      <c r="F184" s="54">
        <f>(VLOOKUP($A184,'The List'!$B1:$AH665,18,FALSE)-AVERAGE('The List'!S2:S665))/STDEV('The List'!S2:S665)</f>
        <v>0.6391304014957655</v>
      </c>
      <c r="G184" s="54">
        <f>(VLOOKUP($A184,'The List'!$B1:$AH665,19,FALSE)-AVERAGE('The List'!T2:T665))/STDEV('The List'!T2:T665)</f>
        <v>0.13182014694418365</v>
      </c>
      <c r="H184" s="54">
        <f>(VLOOKUP($A184,'The List'!$B1:$AH665,20,FALSE)-AVERAGE('The List'!U2:U665))/STDEV('The List'!U2:U665)</f>
        <v>0.37238287103703421</v>
      </c>
      <c r="I184" s="54">
        <f>(VLOOKUP($A184,'The List'!$B1:$AH665,21,FALSE)-AVERAGE('The List'!V2:V665))/STDEV('The List'!V2:V665)</f>
        <v>0.31344529539405086</v>
      </c>
      <c r="J184" s="54">
        <f>(VLOOKUP($A184,'The List'!$B1:$AH665,22,FALSE)-AVERAGE('The List'!W2:W665))/STDEV('The List'!W2:W665)</f>
        <v>0.13402393702372714</v>
      </c>
      <c r="K184" s="54">
        <f>(VLOOKUP($A184,'The List'!$B1:$AH665,23,FALSE)-AVERAGE('The List'!X2:X665))/STDEV('The List'!X2:X665)</f>
        <v>-0.11385369209977507</v>
      </c>
      <c r="L184" s="54">
        <f>(VLOOKUP($A184,'The List'!$B1:$AH665,24,FALSE)-AVERAGE('The List'!Y2:Y665))/STDEV('The List'!Y2:Y665)</f>
        <v>9.9858692672966196E-2</v>
      </c>
      <c r="M184" s="54">
        <f>(VLOOKUP($A184,'The List'!$B1:$AH665,25,FALSE)-AVERAGE('The List'!Z2:Z665))/STDEV('The List'!Z2:Z665)</f>
        <v>5.9873076358313397E-2</v>
      </c>
      <c r="N184" s="54">
        <f>(VLOOKUP($A184,'The List'!$B1:$AH665,26,FALSE)-AVERAGE('The List'!AA2:AA665))/STDEV('The List'!AA2:AA665)</f>
        <v>-0.79728092437802833</v>
      </c>
      <c r="O184" s="54">
        <f>(VLOOKUP($A184,'The List'!$B1:$AH665,27,FALSE)-AVERAGE('The List'!AB2:AB665))/STDEV('The List'!AB2:AB665)</f>
        <v>-0.34121473694870125</v>
      </c>
      <c r="P184" s="54">
        <f>(VLOOKUP($A184,'The List'!$B1:$AH665,28,FALSE)-AVERAGE('The List'!AC2:AC665))/STDEV('The List'!AC2:AC665)</f>
        <v>-1.5330074241291198</v>
      </c>
      <c r="Q184" s="54">
        <f>(VLOOKUP($A184,'The List'!$B1:$AH665,29,FALSE)-AVERAGE('The List'!AD2:AD665))/STDEV('The List'!AD2:AD665)</f>
        <v>1.1184489056078371</v>
      </c>
      <c r="R184" s="54">
        <f>(VLOOKUP($A184,'The List'!$B1:$AH665,30,FALSE)-AVERAGE('The List'!AE2:AE665))/STDEV('The List'!AE2:AE665)</f>
        <v>0.20081750191843284</v>
      </c>
      <c r="S184" s="54">
        <f>(VLOOKUP($A184,'The List'!$B1:$AH665,31,FALSE)-AVERAGE('The List'!AF2:AF665))/STDEV('The List'!AF2:AF665)</f>
        <v>-0.51874960045275786</v>
      </c>
      <c r="T184" s="54">
        <f>(VLOOKUP($A184,'The List'!$B1:$AH665,32,FALSE)-AVERAGE('The List'!AG2:AG665))/STDEV('The List'!AG2:AG665)</f>
        <v>-0.51985151798909013</v>
      </c>
      <c r="U184" s="54">
        <f>(VLOOKUP($A184,'The List'!$B1:$AH665,33,FALSE)-AVERAGE('The List'!AH2:AH665))/STDEV('The List'!AH2:AH665)</f>
        <v>0.38415797848075917</v>
      </c>
      <c r="V184" s="54"/>
      <c r="W184" s="56"/>
      <c r="X184" s="54"/>
      <c r="Y184" s="54"/>
      <c r="Z184" s="54"/>
      <c r="AA184" s="54"/>
      <c r="AB184" s="54"/>
      <c r="AC184" s="54"/>
      <c r="AD184" s="54"/>
      <c r="AE184" s="54"/>
    </row>
    <row r="185" spans="1:31" ht="21.25" customHeight="1" x14ac:dyDescent="0.15">
      <c r="A185" s="9" t="s">
        <v>269</v>
      </c>
      <c r="B185" s="65" t="str">
        <f>VLOOKUP(A185,'Player Data'!A1:B667,2,FALSE)</f>
        <v>DAL</v>
      </c>
      <c r="C185" s="51">
        <f>((E185)*Settings!$C$12)+(F185*Settings!$C$2)+(G185*Settings!$C$3)+(H185*Settings!$C$4)+(I185*Settings!$C$5)+(K185*Settings!$C$9)+(N185*Settings!$C$6)+(J185*Settings!$C$8)+(O185*Settings!$C$7)+(P185*Settings!$C$14)+(Q185*Settings!$C$15)+(R185*Settings!$C$16)+(S185*Settings!$C$17)+(T185*Settings!$C$18)+(U185*Settings!$C$19)+(L185*Settings!$C$10)+(Settings!$C$11*M185)</f>
        <v>3.6271545662984841</v>
      </c>
      <c r="D185" s="56">
        <f>IF(Settings!$E$12="YES",VLOOKUP(A185,'Player Data'!A1:E667,5,FALSE),82)</f>
        <v>74.772499999999994</v>
      </c>
      <c r="E185" s="54">
        <f>(VLOOKUP($A185,'The List'!$B1:$AH665,17,FALSE)-AVERAGE('The List'!R2:R665))/STDEV('The List'!R2:R665)</f>
        <v>1.2050079518152799</v>
      </c>
      <c r="F185" s="54">
        <f>(VLOOKUP($A185,'The List'!$B1:$AH665,18,FALSE)-AVERAGE('The List'!S2:S665))/STDEV('The List'!S2:S665)</f>
        <v>-0.17433121622594513</v>
      </c>
      <c r="G185" s="54">
        <f>(VLOOKUP($A185,'The List'!$B1:$AH665,19,FALSE)-AVERAGE('The List'!T2:T665))/STDEV('The List'!T2:T665)</f>
        <v>0.55456983235818369</v>
      </c>
      <c r="H185" s="54">
        <f>(VLOOKUP($A185,'The List'!$B1:$AH665,20,FALSE)-AVERAGE('The List'!U2:U665))/STDEV('The List'!U2:U665)</f>
        <v>0.26517722390763998</v>
      </c>
      <c r="I185" s="54">
        <f>(VLOOKUP($A185,'The List'!$B1:$AH665,21,FALSE)-AVERAGE('The List'!V2:V665))/STDEV('The List'!V2:V665)</f>
        <v>7.049577468875684E-2</v>
      </c>
      <c r="J185" s="54">
        <f>(VLOOKUP($A185,'The List'!$B1:$AH665,22,FALSE)-AVERAGE('The List'!W2:W665))/STDEV('The List'!W2:W665)</f>
        <v>-0.43175687618441733</v>
      </c>
      <c r="K185" s="54">
        <f>(VLOOKUP($A185,'The List'!$B1:$AH665,23,FALSE)-AVERAGE('The List'!X2:X665))/STDEV('The List'!X2:X665)</f>
        <v>0.16478809333520519</v>
      </c>
      <c r="L185" s="54">
        <f>(VLOOKUP($A185,'The List'!$B1:$AH665,24,FALSE)-AVERAGE('The List'!Y2:Y665))/STDEV('The List'!Y2:Y665)</f>
        <v>0.44794268627702888</v>
      </c>
      <c r="M185" s="54">
        <f>(VLOOKUP($A185,'The List'!$B1:$AH665,25,FALSE)-AVERAGE('The List'!Z2:Z665))/STDEV('The List'!Z2:Z665)</f>
        <v>-1.3817530036921016E-3</v>
      </c>
      <c r="N185" s="54">
        <f>(VLOOKUP($A185,'The List'!$B1:$AH665,26,FALSE)-AVERAGE('The List'!AA2:AA665))/STDEV('The List'!AA2:AA665)</f>
        <v>1.3264133643961455</v>
      </c>
      <c r="O185" s="54">
        <f>(VLOOKUP($A185,'The List'!$B1:$AH665,27,FALSE)-AVERAGE('The List'!AB2:AB665))/STDEV('The List'!AB2:AB665)</f>
        <v>-0.48490994218266387</v>
      </c>
      <c r="P185" s="54">
        <f>(VLOOKUP($A185,'The List'!$B1:$AH665,28,FALSE)-AVERAGE('The List'!AC2:AC665))/STDEV('The List'!AC2:AC665)</f>
        <v>1.685218717746138</v>
      </c>
      <c r="Q185" s="54">
        <f>(VLOOKUP($A185,'The List'!$B1:$AH665,29,FALSE)-AVERAGE('The List'!AD2:AD665))/STDEV('The List'!AD2:AD665)</f>
        <v>-0.61870969345055182</v>
      </c>
      <c r="R185" s="54">
        <f>(VLOOKUP($A185,'The List'!$B1:$AH665,30,FALSE)-AVERAGE('The List'!AE2:AE665))/STDEV('The List'!AE2:AE665)</f>
        <v>-8.5191742998296613E-2</v>
      </c>
      <c r="S185" s="54">
        <f>(VLOOKUP($A185,'The List'!$B1:$AH665,31,FALSE)-AVERAGE('The List'!AF2:AF665))/STDEV('The List'!AF2:AF665)</f>
        <v>-0.57389441068000469</v>
      </c>
      <c r="T185" s="54">
        <f>(VLOOKUP($A185,'The List'!$B1:$AH665,32,FALSE)-AVERAGE('The List'!AG2:AG665))/STDEV('The List'!AG2:AG665)</f>
        <v>-0.62577078713265111</v>
      </c>
      <c r="U185" s="54">
        <f>(VLOOKUP($A185,'The List'!$B1:$AH665,33,FALSE)-AVERAGE('The List'!AH2:AH665))/STDEV('The List'!AH2:AH665)</f>
        <v>-1.2314350945148611</v>
      </c>
      <c r="V185" s="54"/>
      <c r="W185" s="56"/>
      <c r="X185" s="54"/>
      <c r="Y185" s="54"/>
      <c r="Z185" s="54"/>
      <c r="AA185" s="54"/>
      <c r="AB185" s="54"/>
      <c r="AC185" s="54"/>
      <c r="AD185" s="54"/>
      <c r="AE185" s="54"/>
    </row>
    <row r="186" spans="1:31" ht="21.25" customHeight="1" x14ac:dyDescent="0.15">
      <c r="A186" s="9" t="s">
        <v>254</v>
      </c>
      <c r="B186" s="65" t="str">
        <f>VLOOKUP(A186,'Player Data'!A1:B667,2,FALSE)</f>
        <v>SEA</v>
      </c>
      <c r="C186" s="51">
        <f>((E186)*Settings!$C$12)+(F186*Settings!$C$2)+(G186*Settings!$C$3)+(H186*Settings!$C$4)+(I186*Settings!$C$5)+(K186*Settings!$C$9)+(N186*Settings!$C$6)+(J186*Settings!$C$8)+(O186*Settings!$C$7)+(P186*Settings!$C$14)+(Q186*Settings!$C$15)+(R186*Settings!$C$16)+(S186*Settings!$C$17)+(T186*Settings!$C$18)+(U186*Settings!$C$19)+(L186*Settings!$C$10)+(Settings!$C$11*M186)</f>
        <v>2.7122491882936326</v>
      </c>
      <c r="D186" s="56">
        <f>IF(Settings!$E$12="YES",VLOOKUP(A186,'Player Data'!A1:E667,5,FALSE),82)</f>
        <v>78.814999999999998</v>
      </c>
      <c r="E186" s="54">
        <f>(VLOOKUP($A186,'The List'!$B1:$AH665,17,FALSE)-AVERAGE('The List'!R2:R665))/STDEV('The List'!R2:R665)</f>
        <v>1.484104389413702</v>
      </c>
      <c r="F186" s="54">
        <f>(VLOOKUP($A186,'The List'!$B1:$AH665,18,FALSE)-AVERAGE('The List'!S2:S665))/STDEV('The List'!S2:S665)</f>
        <v>-0.23743738923968372</v>
      </c>
      <c r="G186" s="54">
        <f>(VLOOKUP($A186,'The List'!$B1:$AH665,19,FALSE)-AVERAGE('The List'!T2:T665))/STDEV('The List'!T2:T665)</f>
        <v>0.76473029666678005</v>
      </c>
      <c r="H186" s="54">
        <f>(VLOOKUP($A186,'The List'!$B1:$AH665,20,FALSE)-AVERAGE('The List'!U2:U665))/STDEV('The List'!U2:U665)</f>
        <v>0.36701393385789916</v>
      </c>
      <c r="I186" s="54">
        <f>(VLOOKUP($A186,'The List'!$B1:$AH665,21,FALSE)-AVERAGE('The List'!V2:V665))/STDEV('The List'!V2:V665)</f>
        <v>0.91300357391208309</v>
      </c>
      <c r="J186" s="54">
        <f>(VLOOKUP($A186,'The List'!$B1:$AH665,22,FALSE)-AVERAGE('The List'!W2:W665))/STDEV('The List'!W2:W665)</f>
        <v>-0.40374471485146091</v>
      </c>
      <c r="K186" s="54">
        <f>(VLOOKUP($A186,'The List'!$B1:$AH665,23,FALSE)-AVERAGE('The List'!X2:X665))/STDEV('The List'!X2:X665)</f>
        <v>0.62408401022817706</v>
      </c>
      <c r="L186" s="54">
        <f>(VLOOKUP($A186,'The List'!$B1:$AH665,24,FALSE)-AVERAGE('The List'!Y2:Y665))/STDEV('The List'!Y2:Y665)</f>
        <v>-0.53680900145621557</v>
      </c>
      <c r="M186" s="54">
        <f>(VLOOKUP($A186,'The List'!$B1:$AH665,25,FALSE)-AVERAGE('The List'!Z2:Z665))/STDEV('The List'!Z2:Z665)</f>
        <v>-0.62447348615784526</v>
      </c>
      <c r="N186" s="54">
        <f>(VLOOKUP($A186,'The List'!$B1:$AH665,26,FALSE)-AVERAGE('The List'!AA2:AA665))/STDEV('The List'!AA2:AA665)</f>
        <v>0.60296457543721316</v>
      </c>
      <c r="O186" s="54">
        <f>(VLOOKUP($A186,'The List'!$B1:$AH665,27,FALSE)-AVERAGE('The List'!AB2:AB665))/STDEV('The List'!AB2:AB665)</f>
        <v>0.30102324583785495</v>
      </c>
      <c r="P186" s="54">
        <f>(VLOOKUP($A186,'The List'!$B1:$AH665,28,FALSE)-AVERAGE('The List'!AC2:AC665))/STDEV('The List'!AC2:AC665)</f>
        <v>4.4904121289062862E-2</v>
      </c>
      <c r="Q186" s="54">
        <f>(VLOOKUP($A186,'The List'!$B1:$AH665,29,FALSE)-AVERAGE('The List'!AD2:AD665))/STDEV('The List'!AD2:AD665)</f>
        <v>0.89659761735905663</v>
      </c>
      <c r="R186" s="54">
        <f>(VLOOKUP($A186,'The List'!$B1:$AH665,30,FALSE)-AVERAGE('The List'!AE2:AE665))/STDEV('The List'!AE2:AE665)</f>
        <v>-0.20674690034362964</v>
      </c>
      <c r="S186" s="54">
        <f>(VLOOKUP($A186,'The List'!$B1:$AH665,31,FALSE)-AVERAGE('The List'!AF2:AF665))/STDEV('The List'!AF2:AF665)</f>
        <v>-0.57389441068000469</v>
      </c>
      <c r="T186" s="54">
        <f>(VLOOKUP($A186,'The List'!$B1:$AH665,32,FALSE)-AVERAGE('The List'!AG2:AG665))/STDEV('The List'!AG2:AG665)</f>
        <v>-0.62577078713265111</v>
      </c>
      <c r="U186" s="54">
        <f>(VLOOKUP($A186,'The List'!$B1:$AH665,33,FALSE)-AVERAGE('The List'!AH2:AH665))/STDEV('The List'!AH2:AH665)</f>
        <v>-1.2314350945148611</v>
      </c>
      <c r="V186" s="54"/>
      <c r="W186" s="64"/>
      <c r="X186" s="56"/>
      <c r="Y186" s="56"/>
      <c r="Z186" s="56"/>
      <c r="AA186" s="56"/>
      <c r="AB186" s="56"/>
      <c r="AC186" s="59"/>
      <c r="AD186" s="60"/>
      <c r="AE186" s="54"/>
    </row>
    <row r="187" spans="1:31" ht="21.25" customHeight="1" x14ac:dyDescent="0.15">
      <c r="A187" s="9" t="s">
        <v>328</v>
      </c>
      <c r="B187" s="65" t="str">
        <f>VLOOKUP(A187,'Player Data'!A1:B667,2,FALSE)</f>
        <v>NYI</v>
      </c>
      <c r="C187" s="51">
        <f>((E187)*Settings!$C$12)+(F187*Settings!$C$2)+(G187*Settings!$C$3)+(H187*Settings!$C$4)+(I187*Settings!$C$5)+(K187*Settings!$C$9)+(N187*Settings!$C$6)+(J187*Settings!$C$8)+(O187*Settings!$C$7)+(P187*Settings!$C$14)+(Q187*Settings!$C$15)+(R187*Settings!$C$16)+(S187*Settings!$C$17)+(T187*Settings!$C$18)+(U187*Settings!$C$19)+(L187*Settings!$C$10)+(Settings!$C$11*M187)</f>
        <v>2.1857738985783604</v>
      </c>
      <c r="D187" s="56">
        <f>IF(Settings!$E$12="YES",VLOOKUP(A187,'Player Data'!A1:E667,5,FALSE),82)</f>
        <v>77.017499999999998</v>
      </c>
      <c r="E187" s="54">
        <f>(VLOOKUP($A187,'The List'!$B1:$AH665,17,FALSE)-AVERAGE('The List'!R2:R665))/STDEV('The List'!R2:R665)</f>
        <v>4.9519665137614306E-2</v>
      </c>
      <c r="F187" s="54">
        <f>(VLOOKUP($A187,'The List'!$B1:$AH665,18,FALSE)-AVERAGE('The List'!S2:S665))/STDEV('The List'!S2:S665)</f>
        <v>0.85395332879392105</v>
      </c>
      <c r="G187" s="54">
        <f>(VLOOKUP($A187,'The List'!$B1:$AH665,19,FALSE)-AVERAGE('The List'!T2:T665))/STDEV('The List'!T2:T665)</f>
        <v>-0.11361082762095359</v>
      </c>
      <c r="H187" s="54">
        <f>(VLOOKUP($A187,'The List'!$B1:$AH665,20,FALSE)-AVERAGE('The List'!U2:U665))/STDEV('The List'!U2:U665)</f>
        <v>0.31760366752167135</v>
      </c>
      <c r="I187" s="54">
        <f>(VLOOKUP($A187,'The List'!$B1:$AH665,21,FALSE)-AVERAGE('The List'!V2:V665))/STDEV('The List'!V2:V665)</f>
        <v>0.93590323745515758</v>
      </c>
      <c r="J187" s="54">
        <f>(VLOOKUP($A187,'The List'!$B1:$AH665,22,FALSE)-AVERAGE('The List'!W2:W665))/STDEV('The List'!W2:W665)</f>
        <v>0.93228595039474149</v>
      </c>
      <c r="K187" s="54">
        <f>(VLOOKUP($A187,'The List'!$B1:$AH665,23,FALSE)-AVERAGE('The List'!X2:X665))/STDEV('The List'!X2:X665)</f>
        <v>0.48346762397114845</v>
      </c>
      <c r="L187" s="54">
        <f>(VLOOKUP($A187,'The List'!$B1:$AH665,24,FALSE)-AVERAGE('The List'!Y2:Y665))/STDEV('The List'!Y2:Y665)</f>
        <v>-0.36904476198008918</v>
      </c>
      <c r="M187" s="54">
        <f>(VLOOKUP($A187,'The List'!$B1:$AH665,25,FALSE)-AVERAGE('The List'!Z2:Z665))/STDEV('The List'!Z2:Z665)</f>
        <v>-0.53859709729770422</v>
      </c>
      <c r="N187" s="54">
        <f>(VLOOKUP($A187,'The List'!$B1:$AH665,26,FALSE)-AVERAGE('The List'!AA2:AA665))/STDEV('The List'!AA2:AA665)</f>
        <v>-0.6911602217930658</v>
      </c>
      <c r="O187" s="54">
        <f>(VLOOKUP($A187,'The List'!$B1:$AH665,27,FALSE)-AVERAGE('The List'!AB2:AB665))/STDEV('The List'!AB2:AB665)</f>
        <v>-0.13723536008516307</v>
      </c>
      <c r="P187" s="54">
        <f>(VLOOKUP($A187,'The List'!$B1:$AH665,28,FALSE)-AVERAGE('The List'!AC2:AC665))/STDEV('The List'!AC2:AC665)</f>
        <v>0.71722075777215222</v>
      </c>
      <c r="Q187" s="54">
        <f>(VLOOKUP($A187,'The List'!$B1:$AH665,29,FALSE)-AVERAGE('The List'!AD2:AD665))/STDEV('The List'!AD2:AD665)</f>
        <v>0.1599177893578482</v>
      </c>
      <c r="R187" s="54">
        <f>(VLOOKUP($A187,'The List'!$B1:$AH665,30,FALSE)-AVERAGE('The List'!AE2:AE665))/STDEV('The List'!AE2:AE665)</f>
        <v>0.93156100417207433</v>
      </c>
      <c r="S187" s="54">
        <f>(VLOOKUP($A187,'The List'!$B1:$AH665,31,FALSE)-AVERAGE('The List'!AF2:AF665))/STDEV('The List'!AF2:AF665)</f>
        <v>-0.51211419083372467</v>
      </c>
      <c r="T187" s="54">
        <f>(VLOOKUP($A187,'The List'!$B1:$AH665,32,FALSE)-AVERAGE('The List'!AG2:AG665))/STDEV('The List'!AG2:AG665)</f>
        <v>-0.50921078748829107</v>
      </c>
      <c r="U187" s="54">
        <f>(VLOOKUP($A187,'The List'!$B1:$AH665,33,FALSE)-AVERAGE('The List'!AH2:AH665))/STDEV('The List'!AH2:AH665)</f>
        <v>0.40280898010876953</v>
      </c>
      <c r="V187" s="54"/>
      <c r="W187" s="64"/>
      <c r="X187" s="56"/>
      <c r="Y187" s="56"/>
      <c r="Z187" s="56"/>
      <c r="AA187" s="56"/>
      <c r="AB187" s="56"/>
      <c r="AC187" s="59"/>
      <c r="AD187" s="60"/>
      <c r="AE187" s="54"/>
    </row>
    <row r="188" spans="1:31" ht="21.25" customHeight="1" x14ac:dyDescent="0.15">
      <c r="A188" s="9" t="s">
        <v>495</v>
      </c>
      <c r="B188" s="65" t="str">
        <f>VLOOKUP(A188,'Player Data'!A1:B667,2,FALSE)</f>
        <v>NYR</v>
      </c>
      <c r="C188" s="51">
        <f>((E188)*Settings!$C$12)+(F188*Settings!$C$2)+(G188*Settings!$C$3)+(H188*Settings!$C$4)+(I188*Settings!$C$5)+(K188*Settings!$C$9)+(N188*Settings!$C$6)+(J188*Settings!$C$8)+(O188*Settings!$C$7)+(P188*Settings!$C$14)+(Q188*Settings!$C$15)+(R188*Settings!$C$16)+(S188*Settings!$C$17)+(T188*Settings!$C$18)+(U188*Settings!$C$19)+(L188*Settings!$C$10)+(Settings!$C$11*M188)</f>
        <v>-0.17472870034901333</v>
      </c>
      <c r="D188" s="56">
        <f>IF(Settings!$E$12="YES",VLOOKUP(A188,'Player Data'!A1:E667,5,FALSE),82)</f>
        <v>66.650000000000006</v>
      </c>
      <c r="E188" s="54">
        <f>(VLOOKUP($A188,'The List'!$B1:$AH665,17,FALSE)-AVERAGE('The List'!R2:R665))/STDEV('The List'!R2:R665)</f>
        <v>-0.33426573212196292</v>
      </c>
      <c r="F188" s="54">
        <f>(VLOOKUP($A188,'The List'!$B1:$AH665,18,FALSE)-AVERAGE('The List'!S2:S665))/STDEV('The List'!S2:S665)</f>
        <v>0.21577400690542292</v>
      </c>
      <c r="G188" s="54">
        <f>(VLOOKUP($A188,'The List'!$B1:$AH665,19,FALSE)-AVERAGE('The List'!T2:T665))/STDEV('The List'!T2:T665)</f>
        <v>-8.4630150609930996E-2</v>
      </c>
      <c r="H188" s="54">
        <f>(VLOOKUP($A188,'The List'!$B1:$AH665,20,FALSE)-AVERAGE('The List'!U2:U665))/STDEV('The List'!U2:U665)</f>
        <v>4.5519460577834035E-2</v>
      </c>
      <c r="I188" s="54">
        <f>(VLOOKUP($A188,'The List'!$B1:$AH665,21,FALSE)-AVERAGE('The List'!V2:V665))/STDEV('The List'!V2:V665)</f>
        <v>0.25552296104700223</v>
      </c>
      <c r="J188" s="54">
        <f>(VLOOKUP($A188,'The List'!$B1:$AH665,22,FALSE)-AVERAGE('The List'!W2:W665))/STDEV('The List'!W2:W665)</f>
        <v>-0.49465446662022722</v>
      </c>
      <c r="K188" s="54">
        <f>(VLOOKUP($A188,'The List'!$B1:$AH665,23,FALSE)-AVERAGE('The List'!X2:X665))/STDEV('The List'!X2:X665)</f>
        <v>-0.51944332654077929</v>
      </c>
      <c r="L188" s="54">
        <f>(VLOOKUP($A188,'The List'!$B1:$AH665,24,FALSE)-AVERAGE('The List'!Y2:Y665))/STDEV('The List'!Y2:Y665)</f>
        <v>0.2060118022327882</v>
      </c>
      <c r="M188" s="54">
        <f>(VLOOKUP($A188,'The List'!$B1:$AH665,25,FALSE)-AVERAGE('The List'!Z2:Z665))/STDEV('The List'!Z2:Z665)</f>
        <v>4.8053681599401904E-2</v>
      </c>
      <c r="N188" s="54">
        <f>(VLOOKUP($A188,'The List'!$B1:$AH665,26,FALSE)-AVERAGE('The List'!AA2:AA665))/STDEV('The List'!AA2:AA665)</f>
        <v>-0.73100207699013031</v>
      </c>
      <c r="O188" s="54">
        <f>(VLOOKUP($A188,'The List'!$B1:$AH665,27,FALSE)-AVERAGE('The List'!AB2:AB665))/STDEV('The List'!AB2:AB665)</f>
        <v>-1.0940412807574156</v>
      </c>
      <c r="P188" s="54">
        <f>(VLOOKUP($A188,'The List'!$B1:$AH665,28,FALSE)-AVERAGE('The List'!AC2:AC665))/STDEV('The List'!AC2:AC665)</f>
        <v>0.68904988583940219</v>
      </c>
      <c r="Q188" s="54">
        <f>(VLOOKUP($A188,'The List'!$B1:$AH665,29,FALSE)-AVERAGE('The List'!AD2:AD665))/STDEV('The List'!AD2:AD665)</f>
        <v>-0.54311902410052615</v>
      </c>
      <c r="R188" s="54">
        <f>(VLOOKUP($A188,'The List'!$B1:$AH665,30,FALSE)-AVERAGE('The List'!AE2:AE665))/STDEV('The List'!AE2:AE665)</f>
        <v>0.35043579416718995</v>
      </c>
      <c r="S188" s="54">
        <f>(VLOOKUP($A188,'The List'!$B1:$AH665,31,FALSE)-AVERAGE('The List'!AF2:AF665))/STDEV('The List'!AF2:AF665)</f>
        <v>0.38653247039971206</v>
      </c>
      <c r="T188" s="54">
        <f>(VLOOKUP($A188,'The List'!$B1:$AH665,32,FALSE)-AVERAGE('The List'!AG2:AG665))/STDEV('The List'!AG2:AG665)</f>
        <v>0.82468714863902326</v>
      </c>
      <c r="U188" s="54">
        <f>(VLOOKUP($A188,'The List'!$B1:$AH665,33,FALSE)-AVERAGE('The List'!AH2:AH665))/STDEV('The List'!AH2:AH665)</f>
        <v>0.64184120259735744</v>
      </c>
      <c r="V188" s="54"/>
      <c r="W188" s="64"/>
      <c r="X188" s="56"/>
      <c r="Y188" s="56"/>
      <c r="Z188" s="56"/>
      <c r="AA188" s="56"/>
      <c r="AB188" s="56"/>
      <c r="AC188" s="59"/>
      <c r="AD188" s="60"/>
      <c r="AE188" s="54"/>
    </row>
    <row r="189" spans="1:31" ht="21.25" customHeight="1" x14ac:dyDescent="0.15">
      <c r="A189" s="9" t="s">
        <v>365</v>
      </c>
      <c r="B189" s="65" t="str">
        <f>VLOOKUP(A189,'Player Data'!A1:B667,2,FALSE)</f>
        <v>L.A</v>
      </c>
      <c r="C189" s="51">
        <f>((E189)*Settings!$C$12)+(F189*Settings!$C$2)+(G189*Settings!$C$3)+(H189*Settings!$C$4)+(I189*Settings!$C$5)+(K189*Settings!$C$9)+(N189*Settings!$C$6)+(J189*Settings!$C$8)+(O189*Settings!$C$7)+(P189*Settings!$C$14)+(Q189*Settings!$C$15)+(R189*Settings!$C$16)+(S189*Settings!$C$17)+(T189*Settings!$C$18)+(U189*Settings!$C$19)+(L189*Settings!$C$10)+(Settings!$C$11*M189)</f>
        <v>2.0268863081538071</v>
      </c>
      <c r="D189" s="56">
        <f>IF(Settings!$E$12="YES",VLOOKUP(A189,'Player Data'!A1:E667,5,FALSE),82)</f>
        <v>81.02</v>
      </c>
      <c r="E189" s="54">
        <f>(VLOOKUP($A189,'The List'!$B1:$AH665,17,FALSE)-AVERAGE('The List'!R2:R665))/STDEV('The List'!R2:R665)</f>
        <v>0.27513345386014659</v>
      </c>
      <c r="F189" s="54">
        <f>(VLOOKUP($A189,'The List'!$B1:$AH665,18,FALSE)-AVERAGE('The List'!S2:S665))/STDEV('The List'!S2:S665)</f>
        <v>0.40121559878244173</v>
      </c>
      <c r="G189" s="54">
        <f>(VLOOKUP($A189,'The List'!$B1:$AH665,19,FALSE)-AVERAGE('The List'!T2:T665))/STDEV('The List'!T2:T665)</f>
        <v>0.35342650713959933</v>
      </c>
      <c r="H189" s="54">
        <f>(VLOOKUP($A189,'The List'!$B1:$AH665,20,FALSE)-AVERAGE('The List'!U2:U665))/STDEV('The List'!U2:U665)</f>
        <v>0.40186929439452557</v>
      </c>
      <c r="I189" s="54">
        <f>(VLOOKUP($A189,'The List'!$B1:$AH665,21,FALSE)-AVERAGE('The List'!V2:V665))/STDEV('The List'!V2:V665)</f>
        <v>0.49487210669858989</v>
      </c>
      <c r="J189" s="54">
        <f>(VLOOKUP($A189,'The List'!$B1:$AH665,22,FALSE)-AVERAGE('The List'!W2:W665))/STDEV('The List'!W2:W665)</f>
        <v>-0.11802022757345344</v>
      </c>
      <c r="K189" s="54">
        <f>(VLOOKUP($A189,'The List'!$B1:$AH665,23,FALSE)-AVERAGE('The List'!X2:X665))/STDEV('The List'!X2:X665)</f>
        <v>3.6272674847281056E-2</v>
      </c>
      <c r="L189" s="54">
        <f>(VLOOKUP($A189,'The List'!$B1:$AH665,24,FALSE)-AVERAGE('The List'!Y2:Y665))/STDEV('The List'!Y2:Y665)</f>
        <v>-0.34737097376234444</v>
      </c>
      <c r="M189" s="54">
        <f>(VLOOKUP($A189,'The List'!$B1:$AH665,25,FALSE)-AVERAGE('The List'!Z2:Z665))/STDEV('The List'!Z2:Z665)</f>
        <v>1.1706616857200376</v>
      </c>
      <c r="N189" s="54">
        <f>(VLOOKUP($A189,'The List'!$B1:$AH665,26,FALSE)-AVERAGE('The List'!AA2:AA665))/STDEV('The List'!AA2:AA665)</f>
        <v>-5.655287962064131E-2</v>
      </c>
      <c r="O189" s="54">
        <f>(VLOOKUP($A189,'The List'!$B1:$AH665,27,FALSE)-AVERAGE('The List'!AB2:AB665))/STDEV('The List'!AB2:AB665)</f>
        <v>-0.22317219905367303</v>
      </c>
      <c r="P189" s="54">
        <f>(VLOOKUP($A189,'The List'!$B1:$AH665,28,FALSE)-AVERAGE('The List'!AC2:AC665))/STDEV('The List'!AC2:AC665)</f>
        <v>0.79765230030653644</v>
      </c>
      <c r="Q189" s="54">
        <f>(VLOOKUP($A189,'The List'!$B1:$AH665,29,FALSE)-AVERAGE('The List'!AD2:AD665))/STDEV('The List'!AD2:AD665)</f>
        <v>0.21051704113384234</v>
      </c>
      <c r="R189" s="54">
        <f>(VLOOKUP($A189,'The List'!$B1:$AH665,30,FALSE)-AVERAGE('The List'!AE2:AE665))/STDEV('The List'!AE2:AE665)</f>
        <v>0.7092652959101875</v>
      </c>
      <c r="S189" s="54">
        <f>(VLOOKUP($A189,'The List'!$B1:$AH665,31,FALSE)-AVERAGE('The List'!AF2:AF665))/STDEV('The List'!AF2:AF665)</f>
        <v>2.5243084442590509</v>
      </c>
      <c r="T189" s="54">
        <f>(VLOOKUP($A189,'The List'!$B1:$AH665,32,FALSE)-AVERAGE('The List'!AG2:AG665))/STDEV('The List'!AG2:AG665)</f>
        <v>2.2824064221019857</v>
      </c>
      <c r="U189" s="54">
        <f>(VLOOKUP($A189,'The List'!$B1:$AH665,33,FALSE)-AVERAGE('The List'!AH2:AH665))/STDEV('The List'!AH2:AH665)</f>
        <v>1.1765648702091678</v>
      </c>
      <c r="V189" s="54"/>
      <c r="W189" s="64"/>
      <c r="X189" s="56"/>
      <c r="Y189" s="56"/>
      <c r="Z189" s="56"/>
      <c r="AA189" s="56"/>
      <c r="AB189" s="56"/>
      <c r="AC189" s="59"/>
      <c r="AD189" s="60"/>
      <c r="AE189" s="54"/>
    </row>
    <row r="190" spans="1:31" ht="21.25" customHeight="1" x14ac:dyDescent="0.15">
      <c r="A190" s="9" t="s">
        <v>465</v>
      </c>
      <c r="B190" s="65" t="str">
        <f>VLOOKUP(A190,'Player Data'!A1:B667,2,FALSE)</f>
        <v>UTA</v>
      </c>
      <c r="C190" s="51">
        <f>((E190)*Settings!$C$12)+(F190*Settings!$C$2)+(G190*Settings!$C$3)+(H190*Settings!$C$4)+(I190*Settings!$C$5)+(K190*Settings!$C$9)+(N190*Settings!$C$6)+(J190*Settings!$C$8)+(O190*Settings!$C$7)+(P190*Settings!$C$14)+(Q190*Settings!$C$15)+(R190*Settings!$C$16)+(S190*Settings!$C$17)+(T190*Settings!$C$18)+(U190*Settings!$C$19)+(L190*Settings!$C$10)+(Settings!$C$11*M190)</f>
        <v>-0.87654081128663464</v>
      </c>
      <c r="D190" s="56">
        <f>IF(Settings!$E$12="YES",VLOOKUP(A190,'Player Data'!A1:E667,5,FALSE),82)</f>
        <v>68</v>
      </c>
      <c r="E190" s="54">
        <f>(VLOOKUP($A190,'The List'!$B1:$AH665,17,FALSE)-AVERAGE('The List'!R2:R665))/STDEV('The List'!R2:R665)</f>
        <v>-0.95078312427824152</v>
      </c>
      <c r="F190" s="54">
        <f>(VLOOKUP($A190,'The List'!$B1:$AH665,18,FALSE)-AVERAGE('The List'!S2:S665))/STDEV('The List'!S2:S665)</f>
        <v>0.48569117742160189</v>
      </c>
      <c r="G190" s="54">
        <f>(VLOOKUP($A190,'The List'!$B1:$AH665,19,FALSE)-AVERAGE('The List'!T2:T665))/STDEV('The List'!T2:T665)</f>
        <v>-0.24133238026192266</v>
      </c>
      <c r="H190" s="54">
        <f>(VLOOKUP($A190,'The List'!$B1:$AH665,20,FALSE)-AVERAGE('The List'!U2:U665))/STDEV('The List'!U2:U665)</f>
        <v>7.0888749085707775E-2</v>
      </c>
      <c r="I190" s="54">
        <f>(VLOOKUP($A190,'The List'!$B1:$AH665,21,FALSE)-AVERAGE('The List'!V2:V665))/STDEV('The List'!V2:V665)</f>
        <v>-6.4630315063183993E-2</v>
      </c>
      <c r="J190" s="54">
        <f>(VLOOKUP($A190,'The List'!$B1:$AH665,22,FALSE)-AVERAGE('The List'!W2:W665))/STDEV('The List'!W2:W665)</f>
        <v>-0.4627064786904912</v>
      </c>
      <c r="K190" s="54">
        <f>(VLOOKUP($A190,'The List'!$B1:$AH665,23,FALSE)-AVERAGE('The List'!X2:X665))/STDEV('The List'!X2:X665)</f>
        <v>-0.58318192259202983</v>
      </c>
      <c r="L190" s="54">
        <f>(VLOOKUP($A190,'The List'!$B1:$AH665,24,FALSE)-AVERAGE('The List'!Y2:Y665))/STDEV('The List'!Y2:Y665)</f>
        <v>-0.5801829139020841</v>
      </c>
      <c r="M190" s="54">
        <f>(VLOOKUP($A190,'The List'!$B1:$AH665,25,FALSE)-AVERAGE('The List'!Z2:Z665))/STDEV('The List'!Z2:Z665)</f>
        <v>-0.75403666498999722</v>
      </c>
      <c r="N190" s="54">
        <f>(VLOOKUP($A190,'The List'!$B1:$AH665,26,FALSE)-AVERAGE('The List'!AA2:AA665))/STDEV('The List'!AA2:AA665)</f>
        <v>-0.69982411669335542</v>
      </c>
      <c r="O190" s="54">
        <f>(VLOOKUP($A190,'The List'!$B1:$AH665,27,FALSE)-AVERAGE('The List'!AB2:AB665))/STDEV('The List'!AB2:AB665)</f>
        <v>-0.57376380622957623</v>
      </c>
      <c r="P190" s="54">
        <f>(VLOOKUP($A190,'The List'!$B1:$AH665,28,FALSE)-AVERAGE('The List'!AC2:AC665))/STDEV('The List'!AC2:AC665)</f>
        <v>0.22673674590225537</v>
      </c>
      <c r="Q190" s="54">
        <f>(VLOOKUP($A190,'The List'!$B1:$AH665,29,FALSE)-AVERAGE('The List'!AD2:AD665))/STDEV('The List'!AD2:AD665)</f>
        <v>-0.91059248592608855</v>
      </c>
      <c r="R190" s="54">
        <f>(VLOOKUP($A190,'The List'!$B1:$AH665,30,FALSE)-AVERAGE('The List'!AE2:AE665))/STDEV('The List'!AE2:AE665)</f>
        <v>0.43362527515321564</v>
      </c>
      <c r="S190" s="54">
        <f>(VLOOKUP($A190,'The List'!$B1:$AH665,31,FALSE)-AVERAGE('The List'!AF2:AF665))/STDEV('The List'!AF2:AF665)</f>
        <v>-0.41155456709099686</v>
      </c>
      <c r="T190" s="54">
        <f>(VLOOKUP($A190,'The List'!$B1:$AH665,32,FALSE)-AVERAGE('The List'!AG2:AG665))/STDEV('The List'!AG2:AG665)</f>
        <v>-0.38403010404381155</v>
      </c>
      <c r="U190" s="54">
        <f>(VLOOKUP($A190,'The List'!$B1:$AH665,33,FALSE)-AVERAGE('The List'!AH2:AH665))/STDEV('The List'!AH2:AH665)</f>
        <v>0.65733930021945353</v>
      </c>
      <c r="V190" s="54"/>
      <c r="W190" s="56"/>
      <c r="X190" s="54"/>
      <c r="Y190" s="54"/>
      <c r="Z190" s="54"/>
      <c r="AA190" s="54"/>
      <c r="AB190" s="54"/>
      <c r="AC190" s="54"/>
      <c r="AD190" s="54"/>
      <c r="AE190" s="54"/>
    </row>
    <row r="191" spans="1:31" ht="21.25" customHeight="1" x14ac:dyDescent="0.15">
      <c r="A191" s="9" t="s">
        <v>337</v>
      </c>
      <c r="B191" s="65" t="str">
        <f>VLOOKUP(A191,'Player Data'!A1:B667,2,FALSE)</f>
        <v>SEA</v>
      </c>
      <c r="C191" s="51">
        <f>((E191)*Settings!$C$12)+(F191*Settings!$C$2)+(G191*Settings!$C$3)+(H191*Settings!$C$4)+(I191*Settings!$C$5)+(K191*Settings!$C$9)+(N191*Settings!$C$6)+(J191*Settings!$C$8)+(O191*Settings!$C$7)+(P191*Settings!$C$14)+(Q191*Settings!$C$15)+(R191*Settings!$C$16)+(S191*Settings!$C$17)+(T191*Settings!$C$18)+(U191*Settings!$C$19)+(L191*Settings!$C$10)+(Settings!$C$11*M191)</f>
        <v>0.8864465057071208</v>
      </c>
      <c r="D191" s="56">
        <f>IF(Settings!$E$12="YES",VLOOKUP(A191,'Player Data'!A1:E667,5,FALSE),82)</f>
        <v>81.692499999999995</v>
      </c>
      <c r="E191" s="54">
        <f>(VLOOKUP($A191,'The List'!$B1:$AH665,17,FALSE)-AVERAGE('The List'!R2:R665))/STDEV('The List'!R2:R665)</f>
        <v>-0.4158039979478142</v>
      </c>
      <c r="F191" s="54">
        <f>(VLOOKUP($A191,'The List'!$B1:$AH665,18,FALSE)-AVERAGE('The List'!S2:S665))/STDEV('The List'!S2:S665)</f>
        <v>0.45325276435599965</v>
      </c>
      <c r="G191" s="54">
        <f>(VLOOKUP($A191,'The List'!$B1:$AH665,19,FALSE)-AVERAGE('The List'!T2:T665))/STDEV('The List'!T2:T665)</f>
        <v>0.33708964940687774</v>
      </c>
      <c r="H191" s="54">
        <f>(VLOOKUP($A191,'The List'!$B1:$AH665,20,FALSE)-AVERAGE('The List'!U2:U665))/STDEV('The List'!U2:U665)</f>
        <v>0.41537655243001803</v>
      </c>
      <c r="I191" s="54">
        <f>(VLOOKUP($A191,'The List'!$B1:$AH665,21,FALSE)-AVERAGE('The List'!V2:V665))/STDEV('The List'!V2:V665)</f>
        <v>0.69235919038142035</v>
      </c>
      <c r="J191" s="54">
        <f>(VLOOKUP($A191,'The List'!$B1:$AH665,22,FALSE)-AVERAGE('The List'!W2:W665))/STDEV('The List'!W2:W665)</f>
        <v>0.61142829971084622</v>
      </c>
      <c r="K191" s="54">
        <f>(VLOOKUP($A191,'The List'!$B1:$AH665,23,FALSE)-AVERAGE('The List'!X2:X665))/STDEV('The List'!X2:X665)</f>
        <v>0.57113564306671416</v>
      </c>
      <c r="L191" s="54">
        <f>(VLOOKUP($A191,'The List'!$B1:$AH665,24,FALSE)-AVERAGE('The List'!Y2:Y665))/STDEV('The List'!Y2:Y665)</f>
        <v>-0.57750631716672984</v>
      </c>
      <c r="M191" s="54">
        <f>(VLOOKUP($A191,'The List'!$B1:$AH665,25,FALSE)-AVERAGE('The List'!Z2:Z665))/STDEV('The List'!Z2:Z665)</f>
        <v>-0.7512740897439425</v>
      </c>
      <c r="N191" s="54">
        <f>(VLOOKUP($A191,'The List'!$B1:$AH665,26,FALSE)-AVERAGE('The List'!AA2:AA665))/STDEV('The List'!AA2:AA665)</f>
        <v>-0.79937979519268121</v>
      </c>
      <c r="O191" s="54">
        <f>(VLOOKUP($A191,'The List'!$B1:$AH665,27,FALSE)-AVERAGE('The List'!AB2:AB665))/STDEV('The List'!AB2:AB665)</f>
        <v>-0.50287920129454344</v>
      </c>
      <c r="P191" s="54">
        <f>(VLOOKUP($A191,'The List'!$B1:$AH665,28,FALSE)-AVERAGE('The List'!AC2:AC665))/STDEV('The List'!AC2:AC665)</f>
        <v>-0.3680109463112099</v>
      </c>
      <c r="Q191" s="54">
        <f>(VLOOKUP($A191,'The List'!$B1:$AH665,29,FALSE)-AVERAGE('The List'!AD2:AD665))/STDEV('The List'!AD2:AD665)</f>
        <v>-1.1454955885318787</v>
      </c>
      <c r="R191" s="54">
        <f>(VLOOKUP($A191,'The List'!$B1:$AH665,30,FALSE)-AVERAGE('The List'!AE2:AE665))/STDEV('The List'!AE2:AE665)</f>
        <v>0.4664424228780123</v>
      </c>
      <c r="S191" s="54">
        <f>(VLOOKUP($A191,'The List'!$B1:$AH665,31,FALSE)-AVERAGE('The List'!AF2:AF665))/STDEV('The List'!AF2:AF665)</f>
        <v>-0.52404451138913</v>
      </c>
      <c r="T191" s="54">
        <f>(VLOOKUP($A191,'The List'!$B1:$AH665,32,FALSE)-AVERAGE('The List'!AG2:AG665))/STDEV('The List'!AG2:AG665)</f>
        <v>-0.52547200616551637</v>
      </c>
      <c r="U191" s="54">
        <f>(VLOOKUP($A191,'The List'!$B1:$AH665,33,FALSE)-AVERAGE('The List'!AH2:AH665))/STDEV('The List'!AH2:AH665)</f>
        <v>0.33621642841652977</v>
      </c>
      <c r="V191" s="54"/>
      <c r="W191" s="56"/>
      <c r="X191" s="54"/>
      <c r="Y191" s="54"/>
      <c r="Z191" s="54"/>
      <c r="AA191" s="54"/>
      <c r="AB191" s="54"/>
      <c r="AC191" s="54"/>
      <c r="AD191" s="54"/>
      <c r="AE191" s="54"/>
    </row>
    <row r="192" spans="1:31" ht="21.25" customHeight="1" x14ac:dyDescent="0.15">
      <c r="A192" s="9" t="s">
        <v>240</v>
      </c>
      <c r="B192" s="65" t="str">
        <f>VLOOKUP(A192,'Player Data'!A1:B667,2,FALSE)</f>
        <v>NSH</v>
      </c>
      <c r="C192" s="51">
        <f>((E192)*Settings!$C$12)+(F192*Settings!$C$2)+(G192*Settings!$C$3)+(H192*Settings!$C$4)+(I192*Settings!$C$5)+(K192*Settings!$C$9)+(N192*Settings!$C$6)+(J192*Settings!$C$8)+(O192*Settings!$C$7)+(P192*Settings!$C$14)+(Q192*Settings!$C$15)+(R192*Settings!$C$16)+(S192*Settings!$C$17)+(T192*Settings!$C$18)+(U192*Settings!$C$19)+(L192*Settings!$C$10)+(Settings!$C$11*M192)</f>
        <v>2.7336969787844998</v>
      </c>
      <c r="D192" s="56">
        <f>IF(Settings!$E$12="YES",VLOOKUP(A192,'Player Data'!A1:E667,5,FALSE),82)</f>
        <v>81.537499999999994</v>
      </c>
      <c r="E192" s="54">
        <f>(VLOOKUP($A192,'The List'!$B1:$AH665,17,FALSE)-AVERAGE('The List'!R2:R665))/STDEV('The List'!R2:R665)</f>
        <v>1.343408112493272</v>
      </c>
      <c r="F192" s="54">
        <f>(VLOOKUP($A192,'The List'!$B1:$AH665,18,FALSE)-AVERAGE('The List'!S2:S665))/STDEV('The List'!S2:S665)</f>
        <v>-1.282897683897264E-2</v>
      </c>
      <c r="G192" s="54">
        <f>(VLOOKUP($A192,'The List'!$B1:$AH665,19,FALSE)-AVERAGE('The List'!T2:T665))/STDEV('The List'!T2:T665)</f>
        <v>0.66971586087632118</v>
      </c>
      <c r="H192" s="54">
        <f>(VLOOKUP($A192,'The List'!$B1:$AH665,20,FALSE)-AVERAGE('The List'!U2:U665))/STDEV('The List'!U2:U665)</f>
        <v>0.41009982668046185</v>
      </c>
      <c r="I192" s="54">
        <f>(VLOOKUP($A192,'The List'!$B1:$AH665,21,FALSE)-AVERAGE('The List'!V2:V665))/STDEV('The List'!V2:V665)</f>
        <v>0.88375565222064134</v>
      </c>
      <c r="J192" s="54">
        <f>(VLOOKUP($A192,'The List'!$B1:$AH665,22,FALSE)-AVERAGE('The List'!W2:W665))/STDEV('The List'!W2:W665)</f>
        <v>3.2972226928884338E-2</v>
      </c>
      <c r="K192" s="54">
        <f>(VLOOKUP($A192,'The List'!$B1:$AH665,23,FALSE)-AVERAGE('The List'!X2:X665))/STDEV('The List'!X2:X665)</f>
        <v>0.5763502687446781</v>
      </c>
      <c r="L192" s="54">
        <f>(VLOOKUP($A192,'The List'!$B1:$AH665,24,FALSE)-AVERAGE('The List'!Y2:Y665))/STDEV('The List'!Y2:Y665)</f>
        <v>0.60621278038046722</v>
      </c>
      <c r="M192" s="54">
        <f>(VLOOKUP($A192,'The List'!$B1:$AH665,25,FALSE)-AVERAGE('The List'!Z2:Z665))/STDEV('The List'!Z2:Z665)</f>
        <v>1.3881078482027316</v>
      </c>
      <c r="N192" s="54">
        <f>(VLOOKUP($A192,'The List'!$B1:$AH665,26,FALSE)-AVERAGE('The List'!AA2:AA665))/STDEV('The List'!AA2:AA665)</f>
        <v>0.66722154832435476</v>
      </c>
      <c r="O192" s="54">
        <f>(VLOOKUP($A192,'The List'!$B1:$AH665,27,FALSE)-AVERAGE('The List'!AB2:AB665))/STDEV('The List'!AB2:AB665)</f>
        <v>-0.25607435378987087</v>
      </c>
      <c r="P192" s="54">
        <f>(VLOOKUP($A192,'The List'!$B1:$AH665,28,FALSE)-AVERAGE('The List'!AC2:AC665))/STDEV('The List'!AC2:AC665)</f>
        <v>-5.0517374542522725E-2</v>
      </c>
      <c r="Q192" s="54">
        <f>(VLOOKUP($A192,'The List'!$B1:$AH665,29,FALSE)-AVERAGE('The List'!AD2:AD665))/STDEV('The List'!AD2:AD665)</f>
        <v>0.79620236985350012</v>
      </c>
      <c r="R192" s="54">
        <f>(VLOOKUP($A192,'The List'!$B1:$AH665,30,FALSE)-AVERAGE('The List'!AE2:AE665))/STDEV('The List'!AE2:AE665)</f>
        <v>-7.4755510348836388E-2</v>
      </c>
      <c r="S192" s="54">
        <f>(VLOOKUP($A192,'The List'!$B1:$AH665,31,FALSE)-AVERAGE('The List'!AF2:AF665))/STDEV('The List'!AF2:AF665)</f>
        <v>-0.57389441068000469</v>
      </c>
      <c r="T192" s="54">
        <f>(VLOOKUP($A192,'The List'!$B1:$AH665,32,FALSE)-AVERAGE('The List'!AG2:AG665))/STDEV('The List'!AG2:AG665)</f>
        <v>-0.62577078713265111</v>
      </c>
      <c r="U192" s="54">
        <f>(VLOOKUP($A192,'The List'!$B1:$AH665,33,FALSE)-AVERAGE('The List'!AH2:AH665))/STDEV('The List'!AH2:AH665)</f>
        <v>-1.2314350945148611</v>
      </c>
      <c r="V192" s="54"/>
      <c r="W192" s="64"/>
      <c r="X192" s="56"/>
      <c r="Y192" s="56"/>
      <c r="Z192" s="56"/>
      <c r="AA192" s="56"/>
      <c r="AB192" s="56"/>
      <c r="AC192" s="59"/>
      <c r="AD192" s="60"/>
      <c r="AE192" s="54"/>
    </row>
    <row r="193" spans="1:31" ht="21.25" customHeight="1" x14ac:dyDescent="0.15">
      <c r="A193" s="9" t="s">
        <v>267</v>
      </c>
      <c r="B193" s="65" t="str">
        <f>VLOOKUP(A193,'Player Data'!A1:B667,2,FALSE)</f>
        <v>COL</v>
      </c>
      <c r="C193" s="51">
        <f>((E193)*Settings!$C$12)+(F193*Settings!$C$2)+(G193*Settings!$C$3)+(H193*Settings!$C$4)+(I193*Settings!$C$5)+(K193*Settings!$C$9)+(N193*Settings!$C$6)+(J193*Settings!$C$8)+(O193*Settings!$C$7)+(P193*Settings!$C$14)+(Q193*Settings!$C$15)+(R193*Settings!$C$16)+(S193*Settings!$C$17)+(T193*Settings!$C$18)+(U193*Settings!$C$19)+(L193*Settings!$C$10)+(Settings!$C$11*M193)</f>
        <v>2.8828491153160316</v>
      </c>
      <c r="D193" s="56">
        <f>IF(Settings!$E$12="YES",VLOOKUP(A193,'Player Data'!A1:E667,5,FALSE),82)</f>
        <v>80.155000000000001</v>
      </c>
      <c r="E193" s="54">
        <f>(VLOOKUP($A193,'The List'!$B1:$AH665,17,FALSE)-AVERAGE('The List'!R2:R665))/STDEV('The List'!R2:R665)</f>
        <v>1.5574955308572145</v>
      </c>
      <c r="F193" s="54">
        <f>(VLOOKUP($A193,'The List'!$B1:$AH665,18,FALSE)-AVERAGE('The List'!S2:S665))/STDEV('The List'!S2:S665)</f>
        <v>-0.42831634410767166</v>
      </c>
      <c r="G193" s="54">
        <f>(VLOOKUP($A193,'The List'!$B1:$AH665,19,FALSE)-AVERAGE('The List'!T2:T665))/STDEV('The List'!T2:T665)</f>
        <v>0.90943356870710357</v>
      </c>
      <c r="H193" s="54">
        <f>(VLOOKUP($A193,'The List'!$B1:$AH665,20,FALSE)-AVERAGE('The List'!U2:U665))/STDEV('The List'!U2:U665)</f>
        <v>0.37011924399448887</v>
      </c>
      <c r="I193" s="54">
        <f>(VLOOKUP($A193,'The List'!$B1:$AH665,21,FALSE)-AVERAGE('The List'!V2:V665))/STDEV('The List'!V2:V665)</f>
        <v>0.25950761822471491</v>
      </c>
      <c r="J193" s="54">
        <f>(VLOOKUP($A193,'The List'!$B1:$AH665,22,FALSE)-AVERAGE('The List'!W2:W665))/STDEV('The List'!W2:W665)</f>
        <v>-0.62708379380638524</v>
      </c>
      <c r="K193" s="54">
        <f>(VLOOKUP($A193,'The List'!$B1:$AH665,23,FALSE)-AVERAGE('The List'!X2:X665))/STDEV('The List'!X2:X665)</f>
        <v>-0.42493690306198956</v>
      </c>
      <c r="L193" s="54">
        <f>(VLOOKUP($A193,'The List'!$B1:$AH665,24,FALSE)-AVERAGE('The List'!Y2:Y665))/STDEV('The List'!Y2:Y665)</f>
        <v>-0.53511040133156651</v>
      </c>
      <c r="M193" s="54">
        <f>(VLOOKUP($A193,'The List'!$B1:$AH665,25,FALSE)-AVERAGE('The List'!Z2:Z665))/STDEV('The List'!Z2:Z665)</f>
        <v>-0.18936745135294436</v>
      </c>
      <c r="N193" s="54">
        <f>(VLOOKUP($A193,'The List'!$B1:$AH665,26,FALSE)-AVERAGE('The List'!AA2:AA665))/STDEV('The List'!AA2:AA665)</f>
        <v>1.1634640952673394</v>
      </c>
      <c r="O193" s="54">
        <f>(VLOOKUP($A193,'The List'!$B1:$AH665,27,FALSE)-AVERAGE('The List'!AB2:AB665))/STDEV('The List'!AB2:AB665)</f>
        <v>-0.26929220687649014</v>
      </c>
      <c r="P193" s="54">
        <f>(VLOOKUP($A193,'The List'!$B1:$AH665,28,FALSE)-AVERAGE('The List'!AC2:AC665))/STDEV('The List'!AC2:AC665)</f>
        <v>1.4036970802865347</v>
      </c>
      <c r="Q193" s="54">
        <f>(VLOOKUP($A193,'The List'!$B1:$AH665,29,FALSE)-AVERAGE('The List'!AD2:AD665))/STDEV('The List'!AD2:AD665)</f>
        <v>-0.64369318454731794</v>
      </c>
      <c r="R193" s="54">
        <f>(VLOOKUP($A193,'The List'!$B1:$AH665,30,FALSE)-AVERAGE('The List'!AE2:AE665))/STDEV('The List'!AE2:AE665)</f>
        <v>-0.40694761109554206</v>
      </c>
      <c r="S193" s="54">
        <f>(VLOOKUP($A193,'The List'!$B1:$AH665,31,FALSE)-AVERAGE('The List'!AF2:AF665))/STDEV('The List'!AF2:AF665)</f>
        <v>-0.57389441068000469</v>
      </c>
      <c r="T193" s="54">
        <f>(VLOOKUP($A193,'The List'!$B1:$AH665,32,FALSE)-AVERAGE('The List'!AG2:AG665))/STDEV('The List'!AG2:AG665)</f>
        <v>-0.62577078713265111</v>
      </c>
      <c r="U193" s="54">
        <f>(VLOOKUP($A193,'The List'!$B1:$AH665,33,FALSE)-AVERAGE('The List'!AH2:AH665))/STDEV('The List'!AH2:AH665)</f>
        <v>-1.2314350945148611</v>
      </c>
      <c r="V193" s="54"/>
      <c r="W193" s="64"/>
      <c r="X193" s="56"/>
      <c r="Y193" s="56"/>
      <c r="Z193" s="56"/>
      <c r="AA193" s="56"/>
      <c r="AB193" s="56"/>
      <c r="AC193" s="59"/>
      <c r="AD193" s="60"/>
      <c r="AE193" s="54"/>
    </row>
    <row r="194" spans="1:31" ht="21.25" customHeight="1" x14ac:dyDescent="0.15">
      <c r="A194" s="9" t="s">
        <v>293</v>
      </c>
      <c r="B194" s="65" t="str">
        <f>VLOOKUP(A194,'Player Data'!A1:B667,2,FALSE)</f>
        <v>ANA</v>
      </c>
      <c r="C194" s="51">
        <f>((E194)*Settings!$C$12)+(F194*Settings!$C$2)+(G194*Settings!$C$3)+(H194*Settings!$C$4)+(I194*Settings!$C$5)+(K194*Settings!$C$9)+(N194*Settings!$C$6)+(J194*Settings!$C$8)+(O194*Settings!$C$7)+(P194*Settings!$C$14)+(Q194*Settings!$C$15)+(R194*Settings!$C$16)+(S194*Settings!$C$17)+(T194*Settings!$C$18)+(U194*Settings!$C$19)+(L194*Settings!$C$10)+(Settings!$C$11*M194)</f>
        <v>0.5250145497715315</v>
      </c>
      <c r="D194" s="56">
        <f>IF(Settings!$E$12="YES",VLOOKUP(A194,'Player Data'!A1:E667,5,FALSE),82)</f>
        <v>80.792500000000004</v>
      </c>
      <c r="E194" s="54">
        <f>(VLOOKUP($A194,'The List'!$B1:$AH665,17,FALSE)-AVERAGE('The List'!R2:R665))/STDEV('The List'!R2:R665)</f>
        <v>-4.8054011541701719E-2</v>
      </c>
      <c r="F194" s="54">
        <f>(VLOOKUP($A194,'The List'!$B1:$AH665,18,FALSE)-AVERAGE('The List'!S2:S665))/STDEV('The List'!S2:S665)</f>
        <v>1.1918066898079951</v>
      </c>
      <c r="G194" s="54">
        <f>(VLOOKUP($A194,'The List'!$B1:$AH665,19,FALSE)-AVERAGE('The List'!T2:T665))/STDEV('The List'!T2:T665)</f>
        <v>-0.25711034555367007</v>
      </c>
      <c r="H194" s="54">
        <f>(VLOOKUP($A194,'The List'!$B1:$AH665,20,FALSE)-AVERAGE('The List'!U2:U665))/STDEV('The List'!U2:U665)</f>
        <v>0.38205281021843635</v>
      </c>
      <c r="I194" s="54">
        <f>(VLOOKUP($A194,'The List'!$B1:$AH665,21,FALSE)-AVERAGE('The List'!V2:V665))/STDEV('The List'!V2:V665)</f>
        <v>1.4897743678663005</v>
      </c>
      <c r="J194" s="54">
        <f>(VLOOKUP($A194,'The List'!$B1:$AH665,22,FALSE)-AVERAGE('The List'!W2:W665))/STDEV('The List'!W2:W665)</f>
        <v>1.0467324517173062</v>
      </c>
      <c r="K194" s="54">
        <f>(VLOOKUP($A194,'The List'!$B1:$AH665,23,FALSE)-AVERAGE('The List'!X2:X665))/STDEV('The List'!X2:X665)</f>
        <v>0.30263305783226147</v>
      </c>
      <c r="L194" s="54">
        <f>(VLOOKUP($A194,'The List'!$B1:$AH665,24,FALSE)-AVERAGE('The List'!Y2:Y665))/STDEV('The List'!Y2:Y665)</f>
        <v>1.8874823434098684</v>
      </c>
      <c r="M194" s="54">
        <f>(VLOOKUP($A194,'The List'!$B1:$AH665,25,FALSE)-AVERAGE('The List'!Z2:Z665))/STDEV('The List'!Z2:Z665)</f>
        <v>1.5503637977998634</v>
      </c>
      <c r="N194" s="54">
        <f>(VLOOKUP($A194,'The List'!$B1:$AH665,26,FALSE)-AVERAGE('The List'!AA2:AA665))/STDEV('The List'!AA2:AA665)</f>
        <v>6.9631093966369378E-2</v>
      </c>
      <c r="O194" s="54">
        <f>(VLOOKUP($A194,'The List'!$B1:$AH665,27,FALSE)-AVERAGE('The List'!AB2:AB665))/STDEV('The List'!AB2:AB665)</f>
        <v>0.60941020395528778</v>
      </c>
      <c r="P194" s="54">
        <f>(VLOOKUP($A194,'The List'!$B1:$AH665,28,FALSE)-AVERAGE('The List'!AC2:AC665))/STDEV('The List'!AC2:AC665)</f>
        <v>-2.2717203141477249</v>
      </c>
      <c r="Q194" s="54">
        <f>(VLOOKUP($A194,'The List'!$B1:$AH665,29,FALSE)-AVERAGE('The List'!AD2:AD665))/STDEV('The List'!AD2:AD665)</f>
        <v>1.4170503168542719</v>
      </c>
      <c r="R194" s="54">
        <f>(VLOOKUP($A194,'The List'!$B1:$AH665,30,FALSE)-AVERAGE('The List'!AE2:AE665))/STDEV('The List'!AE2:AE665)</f>
        <v>0.61430702669660386</v>
      </c>
      <c r="S194" s="54">
        <f>(VLOOKUP($A194,'The List'!$B1:$AH665,31,FALSE)-AVERAGE('The List'!AF2:AF665))/STDEV('The List'!AF2:AF665)</f>
        <v>-0.5285317950198678</v>
      </c>
      <c r="T194" s="54">
        <f>(VLOOKUP($A194,'The List'!$B1:$AH665,32,FALSE)-AVERAGE('The List'!AG2:AG665))/STDEV('The List'!AG2:AG665)</f>
        <v>-0.54915408089522899</v>
      </c>
      <c r="U194" s="54">
        <f>(VLOOKUP($A194,'The List'!$B1:$AH665,33,FALSE)-AVERAGE('The List'!AH2:AH665))/STDEV('The List'!AH2:AH665)</f>
        <v>0.52018681295761338</v>
      </c>
      <c r="V194" s="54"/>
      <c r="W194" s="64"/>
      <c r="X194" s="56"/>
      <c r="Y194" s="56"/>
      <c r="Z194" s="56"/>
      <c r="AA194" s="56"/>
      <c r="AB194" s="56"/>
      <c r="AC194" s="59"/>
      <c r="AD194" s="60"/>
      <c r="AE194" s="54"/>
    </row>
    <row r="195" spans="1:31" ht="21.25" customHeight="1" x14ac:dyDescent="0.15">
      <c r="A195" s="9" t="s">
        <v>244</v>
      </c>
      <c r="B195" s="65" t="str">
        <f>VLOOKUP(A195,'Player Data'!A1:B667,2,FALSE)</f>
        <v>PIT</v>
      </c>
      <c r="C195" s="51">
        <f>((E195)*Settings!$C$12)+(F195*Settings!$C$2)+(G195*Settings!$C$3)+(H195*Settings!$C$4)+(I195*Settings!$C$5)+(K195*Settings!$C$9)+(N195*Settings!$C$6)+(J195*Settings!$C$8)+(O195*Settings!$C$7)+(P195*Settings!$C$14)+(Q195*Settings!$C$15)+(R195*Settings!$C$16)+(S195*Settings!$C$17)+(T195*Settings!$C$18)+(U195*Settings!$C$19)+(L195*Settings!$C$10)+(Settings!$C$11*M195)</f>
        <v>2.6779271867637857</v>
      </c>
      <c r="D195" s="56">
        <f>IF(Settings!$E$12="YES",VLOOKUP(A195,'Player Data'!A1:E667,5,FALSE),82)</f>
        <v>79.155000000000001</v>
      </c>
      <c r="E195" s="54">
        <f>(VLOOKUP($A195,'The List'!$B1:$AH665,17,FALSE)-AVERAGE('The List'!R2:R665))/STDEV('The List'!R2:R665)</f>
        <v>2.1479824139553876</v>
      </c>
      <c r="F195" s="54">
        <f>(VLOOKUP($A195,'The List'!$B1:$AH665,18,FALSE)-AVERAGE('The List'!S2:S665))/STDEV('The List'!S2:S665)</f>
        <v>-0.46837089838442808</v>
      </c>
      <c r="G195" s="54">
        <f>(VLOOKUP($A195,'The List'!$B1:$AH665,19,FALSE)-AVERAGE('The List'!T2:T665))/STDEV('The List'!T2:T665)</f>
        <v>0.86497884591903351</v>
      </c>
      <c r="H195" s="54">
        <f>(VLOOKUP($A195,'The List'!$B1:$AH665,20,FALSE)-AVERAGE('The List'!U2:U665))/STDEV('The List'!U2:U665)</f>
        <v>0.32430366267329425</v>
      </c>
      <c r="I195" s="54">
        <f>(VLOOKUP($A195,'The List'!$B1:$AH665,21,FALSE)-AVERAGE('The List'!V2:V665))/STDEV('The List'!V2:V665)</f>
        <v>0.51127598829628962</v>
      </c>
      <c r="J195" s="54">
        <f>(VLOOKUP($A195,'The List'!$B1:$AH665,22,FALSE)-AVERAGE('The List'!W2:W665))/STDEV('The List'!W2:W665)</f>
        <v>-0.37079800990941514</v>
      </c>
      <c r="K195" s="54">
        <f>(VLOOKUP($A195,'The List'!$B1:$AH665,23,FALSE)-AVERAGE('The List'!X2:X665))/STDEV('The List'!X2:X665)</f>
        <v>6.3283334856933507E-2</v>
      </c>
      <c r="L195" s="54">
        <f>(VLOOKUP($A195,'The List'!$B1:$AH665,24,FALSE)-AVERAGE('The List'!Y2:Y665))/STDEV('The List'!Y2:Y665)</f>
        <v>3.2043905779792006E-2</v>
      </c>
      <c r="M195" s="54">
        <f>(VLOOKUP($A195,'The List'!$B1:$AH665,25,FALSE)-AVERAGE('The List'!Z2:Z665))/STDEV('The List'!Z2:Z665)</f>
        <v>-0.23631067360593269</v>
      </c>
      <c r="N195" s="54">
        <f>(VLOOKUP($A195,'The List'!$B1:$AH665,26,FALSE)-AVERAGE('The List'!AA2:AA665))/STDEV('The List'!AA2:AA665)</f>
        <v>1.7042683340369296</v>
      </c>
      <c r="O195" s="54">
        <f>(VLOOKUP($A195,'The List'!$B1:$AH665,27,FALSE)-AVERAGE('The List'!AB2:AB665))/STDEV('The List'!AB2:AB665)</f>
        <v>1.0092610605333834</v>
      </c>
      <c r="P195" s="54">
        <f>(VLOOKUP($A195,'The List'!$B1:$AH665,28,FALSE)-AVERAGE('The List'!AC2:AC665))/STDEV('The List'!AC2:AC665)</f>
        <v>2.4915820390275195E-3</v>
      </c>
      <c r="Q195" s="54">
        <f>(VLOOKUP($A195,'The List'!$B1:$AH665,29,FALSE)-AVERAGE('The List'!AD2:AD665))/STDEV('The List'!AD2:AD665)</f>
        <v>1.0128888270871561</v>
      </c>
      <c r="R195" s="54">
        <f>(VLOOKUP($A195,'The List'!$B1:$AH665,30,FALSE)-AVERAGE('The List'!AE2:AE665))/STDEV('The List'!AE2:AE665)</f>
        <v>-0.45184474543540742</v>
      </c>
      <c r="S195" s="54">
        <f>(VLOOKUP($A195,'The List'!$B1:$AH665,31,FALSE)-AVERAGE('The List'!AF2:AF665))/STDEV('The List'!AF2:AF665)</f>
        <v>-0.57389441068000469</v>
      </c>
      <c r="T195" s="54">
        <f>(VLOOKUP($A195,'The List'!$B1:$AH665,32,FALSE)-AVERAGE('The List'!AG2:AG665))/STDEV('The List'!AG2:AG665)</f>
        <v>-0.62577064857346398</v>
      </c>
      <c r="U195" s="54">
        <f>(VLOOKUP($A195,'The List'!$B1:$AH665,33,FALSE)-AVERAGE('The List'!AH2:AH665))/STDEV('The List'!AH2:AH665)</f>
        <v>-1.2314350945148611</v>
      </c>
      <c r="V195" s="54"/>
      <c r="W195" s="64"/>
      <c r="X195" s="56"/>
      <c r="Y195" s="56"/>
      <c r="Z195" s="56"/>
      <c r="AA195" s="56"/>
      <c r="AB195" s="56"/>
      <c r="AC195" s="59"/>
      <c r="AD195" s="60"/>
      <c r="AE195" s="54"/>
    </row>
    <row r="196" spans="1:31" ht="21.25" customHeight="1" x14ac:dyDescent="0.15">
      <c r="A196" s="9" t="s">
        <v>506</v>
      </c>
      <c r="B196" s="65" t="str">
        <f>VLOOKUP(A196,'Player Data'!A1:B667,2,FALSE)</f>
        <v>VGK</v>
      </c>
      <c r="C196" s="51">
        <f>((E196)*Settings!$C$12)+(F196*Settings!$C$2)+(G196*Settings!$C$3)+(H196*Settings!$C$4)+(I196*Settings!$C$5)+(K196*Settings!$C$9)+(N196*Settings!$C$6)+(J196*Settings!$C$8)+(O196*Settings!$C$7)+(P196*Settings!$C$14)+(Q196*Settings!$C$15)+(R196*Settings!$C$16)+(S196*Settings!$C$17)+(T196*Settings!$C$18)+(U196*Settings!$C$19)+(L196*Settings!$C$10)+(Settings!$C$11*M196)</f>
        <v>-0.55801671019412191</v>
      </c>
      <c r="D196" s="56">
        <f>IF(Settings!$E$12="YES",VLOOKUP(A196,'Player Data'!A1:E667,5,FALSE),82)</f>
        <v>64.63</v>
      </c>
      <c r="E196" s="54">
        <f>(VLOOKUP($A196,'The List'!$B1:$AH665,17,FALSE)-AVERAGE('The List'!R2:R665))/STDEV('The List'!R2:R665)</f>
        <v>-0.62375454207046899</v>
      </c>
      <c r="F196" s="54">
        <f>(VLOOKUP($A196,'The List'!$B1:$AH665,18,FALSE)-AVERAGE('The List'!S2:S665))/STDEV('The List'!S2:S665)</f>
        <v>0.581209596868005</v>
      </c>
      <c r="G196" s="54">
        <f>(VLOOKUP($A196,'The List'!$B1:$AH665,19,FALSE)-AVERAGE('The List'!T2:T665))/STDEV('The List'!T2:T665)</f>
        <v>-0.48956168771347364</v>
      </c>
      <c r="H196" s="54">
        <f>(VLOOKUP($A196,'The List'!$B1:$AH665,20,FALSE)-AVERAGE('The List'!U2:U665))/STDEV('The List'!U2:U665)</f>
        <v>-3.9857946314189895E-2</v>
      </c>
      <c r="I196" s="54">
        <f>(VLOOKUP($A196,'The List'!$B1:$AH665,21,FALSE)-AVERAGE('The List'!V2:V665))/STDEV('The List'!V2:V665)</f>
        <v>8.6068587479636263E-2</v>
      </c>
      <c r="J196" s="54">
        <f>(VLOOKUP($A196,'The List'!$B1:$AH665,22,FALSE)-AVERAGE('The List'!W2:W665))/STDEV('The List'!W2:W665)</f>
        <v>-0.57121364493682747</v>
      </c>
      <c r="K196" s="54">
        <f>(VLOOKUP($A196,'The List'!$B1:$AH665,23,FALSE)-AVERAGE('The List'!X2:X665))/STDEV('The List'!X2:X665)</f>
        <v>-0.67418310170813556</v>
      </c>
      <c r="L196" s="54">
        <f>(VLOOKUP($A196,'The List'!$B1:$AH665,24,FALSE)-AVERAGE('The List'!Y2:Y665))/STDEV('The List'!Y2:Y665)</f>
        <v>-0.57555203799962917</v>
      </c>
      <c r="M196" s="54">
        <f>(VLOOKUP($A196,'The List'!$B1:$AH665,25,FALSE)-AVERAGE('The List'!Z2:Z665))/STDEV('The List'!Z2:Z665)</f>
        <v>-0.74928828063708508</v>
      </c>
      <c r="N196" s="54">
        <f>(VLOOKUP($A196,'The List'!$B1:$AH665,26,FALSE)-AVERAGE('The List'!AA2:AA665))/STDEV('The List'!AA2:AA665)</f>
        <v>-0.72464474771960585</v>
      </c>
      <c r="O196" s="54">
        <f>(VLOOKUP($A196,'The List'!$B1:$AH665,27,FALSE)-AVERAGE('The List'!AB2:AB665))/STDEV('The List'!AB2:AB665)</f>
        <v>-1.1843542756818477</v>
      </c>
      <c r="P196" s="54">
        <f>(VLOOKUP($A196,'The List'!$B1:$AH665,28,FALSE)-AVERAGE('The List'!AC2:AC665))/STDEV('The List'!AC2:AC665)</f>
        <v>0.66309464259945183</v>
      </c>
      <c r="Q196" s="54">
        <f>(VLOOKUP($A196,'The List'!$B1:$AH665,29,FALSE)-AVERAGE('The List'!AD2:AD665))/STDEV('The List'!AD2:AD665)</f>
        <v>-0.75159984174591543</v>
      </c>
      <c r="R196" s="54">
        <f>(VLOOKUP($A196,'The List'!$B1:$AH665,30,FALSE)-AVERAGE('The List'!AE2:AE665))/STDEV('The List'!AE2:AE665)</f>
        <v>0.59427390308169781</v>
      </c>
      <c r="S196" s="54">
        <f>(VLOOKUP($A196,'The List'!$B1:$AH665,31,FALSE)-AVERAGE('The List'!AF2:AF665))/STDEV('The List'!AF2:AF665)</f>
        <v>-0.56348614814353148</v>
      </c>
      <c r="T196" s="54">
        <f>(VLOOKUP($A196,'The List'!$B1:$AH665,32,FALSE)-AVERAGE('The List'!AG2:AG665))/STDEV('The List'!AG2:AG665)</f>
        <v>-0.60688999926346598</v>
      </c>
      <c r="U196" s="54">
        <f>(VLOOKUP($A196,'The List'!$B1:$AH665,33,FALSE)-AVERAGE('The List'!AH2:AH665))/STDEV('The List'!AH2:AH665)</f>
        <v>0.44407807864390852</v>
      </c>
      <c r="V196" s="54"/>
      <c r="W196" s="56"/>
      <c r="X196" s="54"/>
      <c r="Y196" s="54"/>
      <c r="Z196" s="54"/>
      <c r="AA196" s="54"/>
      <c r="AB196" s="54"/>
      <c r="AC196" s="54"/>
      <c r="AD196" s="54"/>
      <c r="AE196" s="54"/>
    </row>
    <row r="197" spans="1:31" ht="21.25" customHeight="1" x14ac:dyDescent="0.15">
      <c r="A197" s="9" t="s">
        <v>291</v>
      </c>
      <c r="B197" s="65" t="str">
        <f>VLOOKUP(A197,'Player Data'!A1:B667,2,FALSE)</f>
        <v>N.J</v>
      </c>
      <c r="C197" s="51">
        <f>((E197)*Settings!$C$12)+(F197*Settings!$C$2)+(G197*Settings!$C$3)+(H197*Settings!$C$4)+(I197*Settings!$C$5)+(K197*Settings!$C$9)+(N197*Settings!$C$6)+(J197*Settings!$C$8)+(O197*Settings!$C$7)+(P197*Settings!$C$14)+(Q197*Settings!$C$15)+(R197*Settings!$C$16)+(S197*Settings!$C$17)+(T197*Settings!$C$18)+(U197*Settings!$C$19)+(L197*Settings!$C$10)+(Settings!$C$11*M197)</f>
        <v>2.0398699006223686</v>
      </c>
      <c r="D197" s="56">
        <f>IF(Settings!$E$12="YES",VLOOKUP(A197,'Player Data'!A1:E667,5,FALSE),82)</f>
        <v>80.680000000000007</v>
      </c>
      <c r="E197" s="54">
        <f>(VLOOKUP($A197,'The List'!$B1:$AH665,17,FALSE)-AVERAGE('The List'!R2:R665))/STDEV('The List'!R2:R665)</f>
        <v>1.0355644223956844</v>
      </c>
      <c r="F197" s="54">
        <f>(VLOOKUP($A197,'The List'!$B1:$AH665,18,FALSE)-AVERAGE('The List'!S2:S665))/STDEV('The List'!S2:S665)</f>
        <v>-0.44048734817838997</v>
      </c>
      <c r="G197" s="54">
        <f>(VLOOKUP($A197,'The List'!$B1:$AH665,19,FALSE)-AVERAGE('The List'!T2:T665))/STDEV('The List'!T2:T665)</f>
        <v>0.88056374693500084</v>
      </c>
      <c r="H197" s="54">
        <f>(VLOOKUP($A197,'The List'!$B1:$AH665,20,FALSE)-AVERAGE('The List'!U2:U665))/STDEV('The List'!U2:U665)</f>
        <v>0.34665716149397824</v>
      </c>
      <c r="I197" s="54">
        <f>(VLOOKUP($A197,'The List'!$B1:$AH665,21,FALSE)-AVERAGE('The List'!V2:V665))/STDEV('The List'!V2:V665)</f>
        <v>-0.11180192911888068</v>
      </c>
      <c r="J197" s="54">
        <f>(VLOOKUP($A197,'The List'!$B1:$AH665,22,FALSE)-AVERAGE('The List'!W2:W665))/STDEV('The List'!W2:W665)</f>
        <v>0.12546893401812645</v>
      </c>
      <c r="K197" s="54">
        <f>(VLOOKUP($A197,'The List'!$B1:$AH665,23,FALSE)-AVERAGE('The List'!X2:X665))/STDEV('The List'!X2:X665)</f>
        <v>1.1468649763303989</v>
      </c>
      <c r="L197" s="54">
        <f>(VLOOKUP($A197,'The List'!$B1:$AH665,24,FALSE)-AVERAGE('The List'!Y2:Y665))/STDEV('The List'!Y2:Y665)</f>
        <v>-0.56896393842456894</v>
      </c>
      <c r="M197" s="54">
        <f>(VLOOKUP($A197,'The List'!$B1:$AH665,25,FALSE)-AVERAGE('The List'!Z2:Z665))/STDEV('The List'!Z2:Z665)</f>
        <v>-0.72095222427385197</v>
      </c>
      <c r="N197" s="54">
        <f>(VLOOKUP($A197,'The List'!$B1:$AH665,26,FALSE)-AVERAGE('The List'!AA2:AA665))/STDEV('The List'!AA2:AA665)</f>
        <v>0.12577624730108861</v>
      </c>
      <c r="O197" s="54">
        <f>(VLOOKUP($A197,'The List'!$B1:$AH665,27,FALSE)-AVERAGE('The List'!AB2:AB665))/STDEV('The List'!AB2:AB665)</f>
        <v>-1.0167882024363339</v>
      </c>
      <c r="P197" s="54">
        <f>(VLOOKUP($A197,'The List'!$B1:$AH665,28,FALSE)-AVERAGE('The List'!AC2:AC665))/STDEV('The List'!AC2:AC665)</f>
        <v>0.43895420735315088</v>
      </c>
      <c r="Q197" s="54">
        <f>(VLOOKUP($A197,'The List'!$B1:$AH665,29,FALSE)-AVERAGE('The List'!AD2:AD665))/STDEV('The List'!AD2:AD665)</f>
        <v>-6.3966715383256281E-2</v>
      </c>
      <c r="R197" s="54">
        <f>(VLOOKUP($A197,'The List'!$B1:$AH665,30,FALSE)-AVERAGE('The List'!AE2:AE665))/STDEV('The List'!AE2:AE665)</f>
        <v>-0.41021928960023191</v>
      </c>
      <c r="S197" s="54">
        <f>(VLOOKUP($A197,'The List'!$B1:$AH665,31,FALSE)-AVERAGE('The List'!AF2:AF665))/STDEV('The List'!AF2:AF665)</f>
        <v>-0.57389441068000469</v>
      </c>
      <c r="T197" s="54">
        <f>(VLOOKUP($A197,'The List'!$B1:$AH665,32,FALSE)-AVERAGE('The List'!AG2:AG665))/STDEV('The List'!AG2:AG665)</f>
        <v>-0.62577078713265111</v>
      </c>
      <c r="U197" s="54">
        <f>(VLOOKUP($A197,'The List'!$B1:$AH665,33,FALSE)-AVERAGE('The List'!AH2:AH665))/STDEV('The List'!AH2:AH665)</f>
        <v>-1.2314350945148611</v>
      </c>
      <c r="V197" s="54"/>
      <c r="W197" s="56"/>
      <c r="X197" s="54"/>
      <c r="Y197" s="54"/>
      <c r="Z197" s="54"/>
      <c r="AA197" s="54"/>
      <c r="AB197" s="54"/>
      <c r="AC197" s="54"/>
      <c r="AD197" s="54"/>
      <c r="AE197" s="54"/>
    </row>
    <row r="198" spans="1:31" ht="21.25" customHeight="1" x14ac:dyDescent="0.15">
      <c r="A198" s="9" t="s">
        <v>477</v>
      </c>
      <c r="B198" s="65" t="str">
        <f>VLOOKUP(A198,'Player Data'!A1:B667,2,FALSE)</f>
        <v>OTT</v>
      </c>
      <c r="C198" s="51">
        <f>((E198)*Settings!$C$12)+(F198*Settings!$C$2)+(G198*Settings!$C$3)+(H198*Settings!$C$4)+(I198*Settings!$C$5)+(K198*Settings!$C$9)+(N198*Settings!$C$6)+(J198*Settings!$C$8)+(O198*Settings!$C$7)+(P198*Settings!$C$14)+(Q198*Settings!$C$15)+(R198*Settings!$C$16)+(S198*Settings!$C$17)+(T198*Settings!$C$18)+(U198*Settings!$C$19)+(L198*Settings!$C$10)+(Settings!$C$11*M198)</f>
        <v>-0.38754870101591121</v>
      </c>
      <c r="D198" s="56">
        <f>IF(Settings!$E$12="YES",VLOOKUP(A198,'Player Data'!A1:E667,5,FALSE),82)</f>
        <v>67.599999999999994</v>
      </c>
      <c r="E198" s="54">
        <f>(VLOOKUP($A198,'The List'!$B1:$AH665,17,FALSE)-AVERAGE('The List'!R2:R665))/STDEV('The List'!R2:R665)</f>
        <v>-2.8877792458611936E-2</v>
      </c>
      <c r="F198" s="54">
        <f>(VLOOKUP($A198,'The List'!$B1:$AH665,18,FALSE)-AVERAGE('The List'!S2:S665))/STDEV('The List'!S2:S665)</f>
        <v>0.62724273957369592</v>
      </c>
      <c r="G198" s="54">
        <f>(VLOOKUP($A198,'The List'!$B1:$AH665,19,FALSE)-AVERAGE('The List'!T2:T665))/STDEV('The List'!T2:T665)</f>
        <v>-0.43974368739196051</v>
      </c>
      <c r="H198" s="54">
        <f>(VLOOKUP($A198,'The List'!$B1:$AH665,20,FALSE)-AVERAGE('The List'!U2:U665))/STDEV('The List'!U2:U665)</f>
        <v>1.2006084548323697E-2</v>
      </c>
      <c r="I198" s="54">
        <f>(VLOOKUP($A198,'The List'!$B1:$AH665,21,FALSE)-AVERAGE('The List'!V2:V665))/STDEV('The List'!V2:V665)</f>
        <v>0.1635334515313169</v>
      </c>
      <c r="J198" s="54">
        <f>(VLOOKUP($A198,'The List'!$B1:$AH665,22,FALSE)-AVERAGE('The List'!W2:W665))/STDEV('The List'!W2:W665)</f>
        <v>0.92802669676645488</v>
      </c>
      <c r="K198" s="54">
        <f>(VLOOKUP($A198,'The List'!$B1:$AH665,23,FALSE)-AVERAGE('The List'!X2:X665))/STDEV('The List'!X2:X665)</f>
        <v>0.42650364227630438</v>
      </c>
      <c r="L198" s="54">
        <f>(VLOOKUP($A198,'The List'!$B1:$AH665,24,FALSE)-AVERAGE('The List'!Y2:Y665))/STDEV('The List'!Y2:Y665)</f>
        <v>-0.2990771752989429</v>
      </c>
      <c r="M198" s="54">
        <f>(VLOOKUP($A198,'The List'!$B1:$AH665,25,FALSE)-AVERAGE('The List'!Z2:Z665))/STDEV('The List'!Z2:Z665)</f>
        <v>0.27974689534747038</v>
      </c>
      <c r="N198" s="54">
        <f>(VLOOKUP($A198,'The List'!$B1:$AH665,26,FALSE)-AVERAGE('The List'!AA2:AA665))/STDEV('The List'!AA2:AA665)</f>
        <v>-0.61037637077650364</v>
      </c>
      <c r="O198" s="54">
        <f>(VLOOKUP($A198,'The List'!$B1:$AH665,27,FALSE)-AVERAGE('The List'!AB2:AB665))/STDEV('The List'!AB2:AB665)</f>
        <v>0.18203583107905796</v>
      </c>
      <c r="P198" s="54">
        <f>(VLOOKUP($A198,'The List'!$B1:$AH665,28,FALSE)-AVERAGE('The List'!AC2:AC665))/STDEV('The List'!AC2:AC665)</f>
        <v>-0.55470847622876418</v>
      </c>
      <c r="Q198" s="54">
        <f>(VLOOKUP($A198,'The List'!$B1:$AH665,29,FALSE)-AVERAGE('The List'!AD2:AD665))/STDEV('The List'!AD2:AD665)</f>
        <v>-0.52327675900264647</v>
      </c>
      <c r="R198" s="54">
        <f>(VLOOKUP($A198,'The List'!$B1:$AH665,30,FALSE)-AVERAGE('The List'!AE2:AE665))/STDEV('The List'!AE2:AE665)</f>
        <v>0.67902124054339219</v>
      </c>
      <c r="S198" s="54">
        <f>(VLOOKUP($A198,'The List'!$B1:$AH665,31,FALSE)-AVERAGE('The List'!AF2:AF665))/STDEV('The List'!AF2:AF665)</f>
        <v>1.5144987732216177</v>
      </c>
      <c r="T198" s="54">
        <f>(VLOOKUP($A198,'The List'!$B1:$AH665,32,FALSE)-AVERAGE('The List'!AG2:AG665))/STDEV('The List'!AG2:AG665)</f>
        <v>1.4172497178273205</v>
      </c>
      <c r="U198" s="54">
        <f>(VLOOKUP($A198,'The List'!$B1:$AH665,33,FALSE)-AVERAGE('The List'!AH2:AH665))/STDEV('The List'!AH2:AH665)</f>
        <v>1.1298557884374025</v>
      </c>
      <c r="V198" s="54"/>
      <c r="W198" s="64"/>
      <c r="X198" s="56"/>
      <c r="Y198" s="56"/>
      <c r="Z198" s="56"/>
      <c r="AA198" s="56"/>
      <c r="AB198" s="56"/>
      <c r="AC198" s="59"/>
      <c r="AD198" s="60"/>
      <c r="AE198" s="54"/>
    </row>
    <row r="199" spans="1:31" ht="21.25" customHeight="1" x14ac:dyDescent="0.15">
      <c r="A199" s="9" t="s">
        <v>387</v>
      </c>
      <c r="B199" s="65" t="str">
        <f>VLOOKUP(A199,'Player Data'!A1:B667,2,FALSE)</f>
        <v>BOS</v>
      </c>
      <c r="C199" s="51">
        <f>((E199)*Settings!$C$12)+(F199*Settings!$C$2)+(G199*Settings!$C$3)+(H199*Settings!$C$4)+(I199*Settings!$C$5)+(K199*Settings!$C$9)+(N199*Settings!$C$6)+(J199*Settings!$C$8)+(O199*Settings!$C$7)+(P199*Settings!$C$14)+(Q199*Settings!$C$15)+(R199*Settings!$C$16)+(S199*Settings!$C$17)+(T199*Settings!$C$18)+(U199*Settings!$C$19)+(L199*Settings!$C$10)+(Settings!$C$11*M199)</f>
        <v>0.76250654076572089</v>
      </c>
      <c r="D199" s="56">
        <f>IF(Settings!$E$12="YES",VLOOKUP(A199,'Player Data'!A1:E667,5,FALSE),82)</f>
        <v>78.277500000000003</v>
      </c>
      <c r="E199" s="54">
        <f>(VLOOKUP($A199,'The List'!$B1:$AH665,17,FALSE)-AVERAGE('The List'!R2:R665))/STDEV('The List'!R2:R665)</f>
        <v>-0.40507154196959388</v>
      </c>
      <c r="F199" s="54">
        <f>(VLOOKUP($A199,'The List'!$B1:$AH665,18,FALSE)-AVERAGE('The List'!S2:S665))/STDEV('The List'!S2:S665)</f>
        <v>0.31511165666539664</v>
      </c>
      <c r="G199" s="54">
        <f>(VLOOKUP($A199,'The List'!$B1:$AH665,19,FALSE)-AVERAGE('The List'!T2:T665))/STDEV('The List'!T2:T665)</f>
        <v>0.20100963688882684</v>
      </c>
      <c r="H199" s="54">
        <f>(VLOOKUP($A199,'The List'!$B1:$AH665,20,FALSE)-AVERAGE('The List'!U2:U665))/STDEV('The List'!U2:U665)</f>
        <v>0.26807151331453538</v>
      </c>
      <c r="I199" s="54">
        <f>(VLOOKUP($A199,'The List'!$B1:$AH665,21,FALSE)-AVERAGE('The List'!V2:V665))/STDEV('The List'!V2:V665)</f>
        <v>3.6279794185976211E-2</v>
      </c>
      <c r="J199" s="54">
        <f>(VLOOKUP($A199,'The List'!$B1:$AH665,22,FALSE)-AVERAGE('The List'!W2:W665))/STDEV('The List'!W2:W665)</f>
        <v>0.26128951909346321</v>
      </c>
      <c r="K199" s="54">
        <f>(VLOOKUP($A199,'The List'!$B1:$AH665,23,FALSE)-AVERAGE('The List'!X2:X665))/STDEV('The List'!X2:X665)</f>
        <v>0.22479430839432776</v>
      </c>
      <c r="L199" s="54">
        <f>(VLOOKUP($A199,'The List'!$B1:$AH665,24,FALSE)-AVERAGE('The List'!Y2:Y665))/STDEV('The List'!Y2:Y665)</f>
        <v>-0.55971496933062814</v>
      </c>
      <c r="M199" s="54">
        <f>(VLOOKUP($A199,'The List'!$B1:$AH665,25,FALSE)-AVERAGE('The List'!Z2:Z665))/STDEV('The List'!Z2:Z665)</f>
        <v>-0.73310397184229847</v>
      </c>
      <c r="N199" s="54">
        <f>(VLOOKUP($A199,'The List'!$B1:$AH665,26,FALSE)-AVERAGE('The List'!AA2:AA665))/STDEV('The List'!AA2:AA665)</f>
        <v>-0.45796476971609773</v>
      </c>
      <c r="O199" s="54">
        <f>(VLOOKUP($A199,'The List'!$B1:$AH665,27,FALSE)-AVERAGE('The List'!AB2:AB665))/STDEV('The List'!AB2:AB665)</f>
        <v>0.55772434396357917</v>
      </c>
      <c r="P199" s="54">
        <f>(VLOOKUP($A199,'The List'!$B1:$AH665,28,FALSE)-AVERAGE('The List'!AC2:AC665))/STDEV('The List'!AC2:AC665)</f>
        <v>0.44327591434729113</v>
      </c>
      <c r="Q199" s="54">
        <f>(VLOOKUP($A199,'The List'!$B1:$AH665,29,FALSE)-AVERAGE('The List'!AD2:AD665))/STDEV('The List'!AD2:AD665)</f>
        <v>-0.1055525003624503</v>
      </c>
      <c r="R199" s="54">
        <f>(VLOOKUP($A199,'The List'!$B1:$AH665,30,FALSE)-AVERAGE('The List'!AE2:AE665))/STDEV('The List'!AE2:AE665)</f>
        <v>0.37313342045520492</v>
      </c>
      <c r="S199" s="54">
        <f>(VLOOKUP($A199,'The List'!$B1:$AH665,31,FALSE)-AVERAGE('The List'!AF2:AF665))/STDEV('The List'!AF2:AF665)</f>
        <v>1.1088716754386463</v>
      </c>
      <c r="T199" s="54">
        <f>(VLOOKUP($A199,'The List'!$B1:$AH665,32,FALSE)-AVERAGE('The List'!AG2:AG665))/STDEV('The List'!AG2:AG665)</f>
        <v>1.3611939690122223</v>
      </c>
      <c r="U199" s="54">
        <f>(VLOOKUP($A199,'The List'!$B1:$AH665,33,FALSE)-AVERAGE('The List'!AH2:AH665))/STDEV('The List'!AH2:AH665)</f>
        <v>0.91681197044100415</v>
      </c>
      <c r="V199" s="54"/>
      <c r="W199" s="56"/>
      <c r="X199" s="54"/>
      <c r="Y199" s="54"/>
      <c r="Z199" s="54"/>
      <c r="AA199" s="54"/>
      <c r="AB199" s="54"/>
      <c r="AC199" s="54"/>
      <c r="AD199" s="54"/>
      <c r="AE199" s="54"/>
    </row>
    <row r="200" spans="1:31" ht="21.25" customHeight="1" x14ac:dyDescent="0.15">
      <c r="A200" s="9" t="s">
        <v>402</v>
      </c>
      <c r="B200" s="65" t="str">
        <f>VLOOKUP(A200,'Player Data'!A1:B667,2,FALSE)</f>
        <v>WSH</v>
      </c>
      <c r="C200" s="51">
        <f>((E200)*Settings!$C$12)+(F200*Settings!$C$2)+(G200*Settings!$C$3)+(H200*Settings!$C$4)+(I200*Settings!$C$5)+(K200*Settings!$C$9)+(N200*Settings!$C$6)+(J200*Settings!$C$8)+(O200*Settings!$C$7)+(P200*Settings!$C$14)+(Q200*Settings!$C$15)+(R200*Settings!$C$16)+(S200*Settings!$C$17)+(T200*Settings!$C$18)+(U200*Settings!$C$19)+(L200*Settings!$C$10)+(Settings!$C$11*M200)</f>
        <v>-0.14110477836364038</v>
      </c>
      <c r="D200" s="56">
        <f>IF(Settings!$E$12="YES",VLOOKUP(A200,'Player Data'!A1:E667,5,FALSE),82)</f>
        <v>80.787499999999994</v>
      </c>
      <c r="E200" s="54">
        <f>(VLOOKUP($A200,'The List'!$B1:$AH665,17,FALSE)-AVERAGE('The List'!R2:R665))/STDEV('The List'!R2:R665)</f>
        <v>-1.9419849680286896E-2</v>
      </c>
      <c r="F200" s="54">
        <f>(VLOOKUP($A200,'The List'!$B1:$AH665,18,FALSE)-AVERAGE('The List'!S2:S665))/STDEV('The List'!S2:S665)</f>
        <v>0.51918316309355717</v>
      </c>
      <c r="G200" s="54">
        <f>(VLOOKUP($A200,'The List'!$B1:$AH665,19,FALSE)-AVERAGE('The List'!T2:T665))/STDEV('The List'!T2:T665)</f>
        <v>0.14693399759342407</v>
      </c>
      <c r="H200" s="54">
        <f>(VLOOKUP($A200,'The List'!$B1:$AH665,20,FALSE)-AVERAGE('The List'!U2:U665))/STDEV('The List'!U2:U665)</f>
        <v>0.32724770070982095</v>
      </c>
      <c r="I200" s="54">
        <f>(VLOOKUP($A200,'The List'!$B1:$AH665,21,FALSE)-AVERAGE('The List'!V2:V665))/STDEV('The List'!V2:V665)</f>
        <v>0.42572356477992618</v>
      </c>
      <c r="J200" s="54">
        <f>(VLOOKUP($A200,'The List'!$B1:$AH665,22,FALSE)-AVERAGE('The List'!W2:W665))/STDEV('The List'!W2:W665)</f>
        <v>0.24409403892229523</v>
      </c>
      <c r="K200" s="54">
        <f>(VLOOKUP($A200,'The List'!$B1:$AH665,23,FALSE)-AVERAGE('The List'!X2:X665))/STDEV('The List'!X2:X665)</f>
        <v>-0.17332958223181108</v>
      </c>
      <c r="L200" s="54">
        <f>(VLOOKUP($A200,'The List'!$B1:$AH665,24,FALSE)-AVERAGE('The List'!Y2:Y665))/STDEV('The List'!Y2:Y665)</f>
        <v>0.54334453457730691</v>
      </c>
      <c r="M200" s="54">
        <f>(VLOOKUP($A200,'The List'!$B1:$AH665,25,FALSE)-AVERAGE('The List'!Z2:Z665))/STDEV('The List'!Z2:Z665)</f>
        <v>0.52381258732290048</v>
      </c>
      <c r="N200" s="54">
        <f>(VLOOKUP($A200,'The List'!$B1:$AH665,26,FALSE)-AVERAGE('The List'!AA2:AA665))/STDEV('The List'!AA2:AA665)</f>
        <v>-0.74709620128260423</v>
      </c>
      <c r="O200" s="54">
        <f>(VLOOKUP($A200,'The List'!$B1:$AH665,27,FALSE)-AVERAGE('The List'!AB2:AB665))/STDEV('The List'!AB2:AB665)</f>
        <v>-3.1445591318428605E-2</v>
      </c>
      <c r="P200" s="54">
        <f>(VLOOKUP($A200,'The List'!$B1:$AH665,28,FALSE)-AVERAGE('The List'!AC2:AC665))/STDEV('The List'!AC2:AC665)</f>
        <v>-0.31251972031613245</v>
      </c>
      <c r="Q200" s="54">
        <f>(VLOOKUP($A200,'The List'!$B1:$AH665,29,FALSE)-AVERAGE('The List'!AD2:AD665))/STDEV('The List'!AD2:AD665)</f>
        <v>0.29831282823739097</v>
      </c>
      <c r="R200" s="54">
        <f>(VLOOKUP($A200,'The List'!$B1:$AH665,30,FALSE)-AVERAGE('The List'!AE2:AE665))/STDEV('The List'!AE2:AE665)</f>
        <v>0.41255982935601332</v>
      </c>
      <c r="S200" s="54">
        <f>(VLOOKUP($A200,'The List'!$B1:$AH665,31,FALSE)-AVERAGE('The List'!AF2:AF665))/STDEV('The List'!AF2:AF665)</f>
        <v>-0.53600483111479424</v>
      </c>
      <c r="T200" s="54">
        <f>(VLOOKUP($A200,'The List'!$B1:$AH665,32,FALSE)-AVERAGE('The List'!AG2:AG665))/STDEV('The List'!AG2:AG665)</f>
        <v>-0.56975472535531224</v>
      </c>
      <c r="U200" s="54">
        <f>(VLOOKUP($A200,'The List'!$B1:$AH665,33,FALSE)-AVERAGE('The List'!AH2:AH665))/STDEV('The List'!AH2:AH665)</f>
        <v>0.66528936576732045</v>
      </c>
      <c r="V200" s="54"/>
      <c r="W200" s="64"/>
      <c r="X200" s="56"/>
      <c r="Y200" s="56"/>
      <c r="Z200" s="56"/>
      <c r="AA200" s="56"/>
      <c r="AB200" s="56"/>
      <c r="AC200" s="59"/>
      <c r="AD200" s="60"/>
      <c r="AE200" s="54"/>
    </row>
    <row r="201" spans="1:31" ht="21.25" customHeight="1" x14ac:dyDescent="0.15">
      <c r="A201" s="9" t="s">
        <v>362</v>
      </c>
      <c r="B201" s="65" t="str">
        <f>VLOOKUP(A201,'Player Data'!A1:B667,2,FALSE)</f>
        <v>CBJ</v>
      </c>
      <c r="C201" s="51">
        <f>((E201)*Settings!$C$12)+(F201*Settings!$C$2)+(G201*Settings!$C$3)+(H201*Settings!$C$4)+(I201*Settings!$C$5)+(K201*Settings!$C$9)+(N201*Settings!$C$6)+(J201*Settings!$C$8)+(O201*Settings!$C$7)+(P201*Settings!$C$14)+(Q201*Settings!$C$15)+(R201*Settings!$C$16)+(S201*Settings!$C$17)+(T201*Settings!$C$18)+(U201*Settings!$C$19)+(L201*Settings!$C$10)+(Settings!$C$11*M201)</f>
        <v>-0.73046737738088185</v>
      </c>
      <c r="D201" s="56">
        <f>IF(Settings!$E$12="YES",VLOOKUP(A201,'Player Data'!A1:E667,5,FALSE),82)</f>
        <v>75.857500000000002</v>
      </c>
      <c r="E201" s="54">
        <f>(VLOOKUP($A201,'The List'!$B1:$AH665,17,FALSE)-AVERAGE('The List'!R2:R665))/STDEV('The List'!R2:R665)</f>
        <v>-0.24183575852558478</v>
      </c>
      <c r="F201" s="54">
        <f>(VLOOKUP($A201,'The List'!$B1:$AH665,18,FALSE)-AVERAGE('The List'!S2:S665))/STDEV('The List'!S2:S665)</f>
        <v>0.9859079643623333</v>
      </c>
      <c r="G201" s="54">
        <f>(VLOOKUP($A201,'The List'!$B1:$AH665,19,FALSE)-AVERAGE('The List'!T2:T665))/STDEV('The List'!T2:T665)</f>
        <v>-0.41918944811770698</v>
      </c>
      <c r="H201" s="54">
        <f>(VLOOKUP($A201,'The List'!$B1:$AH665,20,FALSE)-AVERAGE('The List'!U2:U665))/STDEV('The List'!U2:U665)</f>
        <v>0.18780181625681841</v>
      </c>
      <c r="I201" s="54">
        <f>(VLOOKUP($A201,'The List'!$B1:$AH665,21,FALSE)-AVERAGE('The List'!V2:V665))/STDEV('The List'!V2:V665)</f>
        <v>0.65022084247614231</v>
      </c>
      <c r="J201" s="54">
        <f>(VLOOKUP($A201,'The List'!$B1:$AH665,22,FALSE)-AVERAGE('The List'!W2:W665))/STDEV('The List'!W2:W665)</f>
        <v>1.1677685639460962</v>
      </c>
      <c r="K201" s="54">
        <f>(VLOOKUP($A201,'The List'!$B1:$AH665,23,FALSE)-AVERAGE('The List'!X2:X665))/STDEV('The List'!X2:X665)</f>
        <v>0.24603623906036215</v>
      </c>
      <c r="L201" s="54">
        <f>(VLOOKUP($A201,'The List'!$B1:$AH665,24,FALSE)-AVERAGE('The List'!Y2:Y665))/STDEV('The List'!Y2:Y665)</f>
        <v>-0.50901897322094669</v>
      </c>
      <c r="M201" s="54">
        <f>(VLOOKUP($A201,'The List'!$B1:$AH665,25,FALSE)-AVERAGE('The List'!Z2:Z665))/STDEV('The List'!Z2:Z665)</f>
        <v>-0.68088166683053464</v>
      </c>
      <c r="N201" s="54">
        <f>(VLOOKUP($A201,'The List'!$B1:$AH665,26,FALSE)-AVERAGE('The List'!AA2:AA665))/STDEV('The List'!AA2:AA665)</f>
        <v>-0.59214453770648734</v>
      </c>
      <c r="O201" s="54">
        <f>(VLOOKUP($A201,'The List'!$B1:$AH665,27,FALSE)-AVERAGE('The List'!AB2:AB665))/STDEV('The List'!AB2:AB665)</f>
        <v>-0.86015292576919378</v>
      </c>
      <c r="P201" s="54">
        <f>(VLOOKUP($A201,'The List'!$B1:$AH665,28,FALSE)-AVERAGE('The List'!AC2:AC665))/STDEV('The List'!AC2:AC665)</f>
        <v>-1.6012984374555252</v>
      </c>
      <c r="Q201" s="54">
        <f>(VLOOKUP($A201,'The List'!$B1:$AH665,29,FALSE)-AVERAGE('The List'!AD2:AD665))/STDEV('The List'!AD2:AD665)</f>
        <v>-0.93877905584513011</v>
      </c>
      <c r="R201" s="54">
        <f>(VLOOKUP($A201,'The List'!$B1:$AH665,30,FALSE)-AVERAGE('The List'!AE2:AE665))/STDEV('The List'!AE2:AE665)</f>
        <v>0.3713085169243866</v>
      </c>
      <c r="S201" s="54">
        <f>(VLOOKUP($A201,'The List'!$B1:$AH665,31,FALSE)-AVERAGE('The List'!AF2:AF665))/STDEV('The List'!AF2:AF665)</f>
        <v>-0.4375890376927834</v>
      </c>
      <c r="T201" s="54">
        <f>(VLOOKUP($A201,'The List'!$B1:$AH665,32,FALSE)-AVERAGE('The List'!AG2:AG665))/STDEV('The List'!AG2:AG665)</f>
        <v>-0.42418081627011722</v>
      </c>
      <c r="U201" s="54">
        <f>(VLOOKUP($A201,'The List'!$B1:$AH665,33,FALSE)-AVERAGE('The List'!AH2:AH665))/STDEV('The List'!AH2:AH665)</f>
        <v>0.66487495547381414</v>
      </c>
      <c r="V201" s="54"/>
      <c r="W201" s="56"/>
      <c r="X201" s="54"/>
      <c r="Y201" s="54"/>
      <c r="Z201" s="54"/>
      <c r="AA201" s="54"/>
      <c r="AB201" s="54"/>
      <c r="AC201" s="54"/>
      <c r="AD201" s="54"/>
      <c r="AE201" s="54"/>
    </row>
    <row r="202" spans="1:31" ht="21.25" customHeight="1" x14ac:dyDescent="0.15">
      <c r="A202" s="9" t="s">
        <v>482</v>
      </c>
      <c r="B202" s="65" t="str">
        <f>VLOOKUP(A202,'Player Data'!A1:B667,2,FALSE)</f>
        <v>SEA</v>
      </c>
      <c r="C202" s="51">
        <f>((E202)*Settings!$C$12)+(F202*Settings!$C$2)+(G202*Settings!$C$3)+(H202*Settings!$C$4)+(I202*Settings!$C$5)+(K202*Settings!$C$9)+(N202*Settings!$C$6)+(J202*Settings!$C$8)+(O202*Settings!$C$7)+(P202*Settings!$C$14)+(Q202*Settings!$C$15)+(R202*Settings!$C$16)+(S202*Settings!$C$17)+(T202*Settings!$C$18)+(U202*Settings!$C$19)+(L202*Settings!$C$10)+(Settings!$C$11*M202)</f>
        <v>-0.19104583235465136</v>
      </c>
      <c r="D202" s="56">
        <f>IF(Settings!$E$12="YES",VLOOKUP(A202,'Player Data'!A1:E667,5,FALSE),82)</f>
        <v>75</v>
      </c>
      <c r="E202" s="54">
        <f>(VLOOKUP($A202,'The List'!$B1:$AH665,17,FALSE)-AVERAGE('The List'!R2:R665))/STDEV('The List'!R2:R665)</f>
        <v>-0.77933670213744133</v>
      </c>
      <c r="F202" s="54">
        <f>(VLOOKUP($A202,'The List'!$B1:$AH665,18,FALSE)-AVERAGE('The List'!S2:S665))/STDEV('The List'!S2:S665)</f>
        <v>0.72146862582605686</v>
      </c>
      <c r="G202" s="54">
        <f>(VLOOKUP($A202,'The List'!$B1:$AH665,19,FALSE)-AVERAGE('The List'!T2:T665))/STDEV('The List'!T2:T665)</f>
        <v>-0.2611222490293395</v>
      </c>
      <c r="H202" s="54">
        <f>(VLOOKUP($A202,'The List'!$B1:$AH665,20,FALSE)-AVERAGE('The List'!U2:U665))/STDEV('The List'!U2:U665)</f>
        <v>0.16577018553571118</v>
      </c>
      <c r="I202" s="54">
        <f>(VLOOKUP($A202,'The List'!$B1:$AH665,21,FALSE)-AVERAGE('The List'!V2:V665))/STDEV('The List'!V2:V665)</f>
        <v>-0.14316830615741069</v>
      </c>
      <c r="J202" s="54">
        <f>(VLOOKUP($A202,'The List'!$B1:$AH665,22,FALSE)-AVERAGE('The List'!W2:W665))/STDEV('The List'!W2:W665)</f>
        <v>-1.8006176640856346E-2</v>
      </c>
      <c r="K202" s="54">
        <f>(VLOOKUP($A202,'The List'!$B1:$AH665,23,FALSE)-AVERAGE('The List'!X2:X665))/STDEV('The List'!X2:X665)</f>
        <v>5.4029122757483602E-2</v>
      </c>
      <c r="L202" s="54">
        <f>(VLOOKUP($A202,'The List'!$B1:$AH665,24,FALSE)-AVERAGE('The List'!Y2:Y665))/STDEV('The List'!Y2:Y665)</f>
        <v>-0.57233334670913638</v>
      </c>
      <c r="M202" s="54">
        <f>(VLOOKUP($A202,'The List'!$B1:$AH665,25,FALSE)-AVERAGE('The List'!Z2:Z665))/STDEV('The List'!Z2:Z665)</f>
        <v>-0.74596787561064093</v>
      </c>
      <c r="N202" s="54">
        <f>(VLOOKUP($A202,'The List'!$B1:$AH665,26,FALSE)-AVERAGE('The List'!AA2:AA665))/STDEV('The List'!AA2:AA665)</f>
        <v>-0.51004738650413428</v>
      </c>
      <c r="O202" s="54">
        <f>(VLOOKUP($A202,'The List'!$B1:$AH665,27,FALSE)-AVERAGE('The List'!AB2:AB665))/STDEV('The List'!AB2:AB665)</f>
        <v>-0.72754694061568015</v>
      </c>
      <c r="P202" s="54">
        <f>(VLOOKUP($A202,'The List'!$B1:$AH665,28,FALSE)-AVERAGE('The List'!AC2:AC665))/STDEV('The List'!AC2:AC665)</f>
        <v>-5.2205639247307388E-2</v>
      </c>
      <c r="Q202" s="54">
        <f>(VLOOKUP($A202,'The List'!$B1:$AH665,29,FALSE)-AVERAGE('The List'!AD2:AD665))/STDEV('The List'!AD2:AD665)</f>
        <v>-0.58043143195768576</v>
      </c>
      <c r="R202" s="54">
        <f>(VLOOKUP($A202,'The List'!$B1:$AH665,30,FALSE)-AVERAGE('The List'!AE2:AE665))/STDEV('The List'!AE2:AE665)</f>
        <v>0.72786218298369298</v>
      </c>
      <c r="S202" s="54">
        <f>(VLOOKUP($A202,'The List'!$B1:$AH665,31,FALSE)-AVERAGE('The List'!AF2:AF665))/STDEV('The List'!AF2:AF665)</f>
        <v>1.0340192798697954</v>
      </c>
      <c r="T202" s="54">
        <f>(VLOOKUP($A202,'The List'!$B1:$AH665,32,FALSE)-AVERAGE('The List'!AG2:AG665))/STDEV('The List'!AG2:AG665)</f>
        <v>1.5213357315707858</v>
      </c>
      <c r="U202" s="54">
        <f>(VLOOKUP($A202,'The List'!$B1:$AH665,33,FALSE)-AVERAGE('The List'!AH2:AH665))/STDEV('The List'!AH2:AH665)</f>
        <v>0.77840261711845127</v>
      </c>
      <c r="V202" s="54"/>
      <c r="W202" s="64"/>
      <c r="X202" s="56"/>
      <c r="Y202" s="56"/>
      <c r="Z202" s="56"/>
      <c r="AA202" s="56"/>
      <c r="AB202" s="56"/>
      <c r="AC202" s="59"/>
      <c r="AD202" s="60"/>
      <c r="AE202" s="54"/>
    </row>
    <row r="203" spans="1:31" ht="21.25" customHeight="1" x14ac:dyDescent="0.15">
      <c r="A203" s="9" t="s">
        <v>436</v>
      </c>
      <c r="B203" s="65" t="str">
        <f>VLOOKUP(A203,'Player Data'!A1:B667,2,FALSE)</f>
        <v>VGK</v>
      </c>
      <c r="C203" s="51">
        <f>((E203)*Settings!$C$12)+(F203*Settings!$C$2)+(G203*Settings!$C$3)+(H203*Settings!$C$4)+(I203*Settings!$C$5)+(K203*Settings!$C$9)+(N203*Settings!$C$6)+(J203*Settings!$C$8)+(O203*Settings!$C$7)+(P203*Settings!$C$14)+(Q203*Settings!$C$15)+(R203*Settings!$C$16)+(S203*Settings!$C$17)+(T203*Settings!$C$18)+(U203*Settings!$C$19)+(L203*Settings!$C$10)+(Settings!$C$11*M203)</f>
        <v>-0.67190538985265402</v>
      </c>
      <c r="D203" s="56">
        <f>IF(Settings!$E$12="YES",VLOOKUP(A203,'Player Data'!A1:E667,5,FALSE),82)</f>
        <v>76.867500000000007</v>
      </c>
      <c r="E203" s="54">
        <f>(VLOOKUP($A203,'The List'!$B1:$AH665,17,FALSE)-AVERAGE('The List'!R2:R665))/STDEV('The List'!R2:R665)</f>
        <v>-0.49046344959182542</v>
      </c>
      <c r="F203" s="54">
        <f>(VLOOKUP($A203,'The List'!$B1:$AH665,18,FALSE)-AVERAGE('The List'!S2:S665))/STDEV('The List'!S2:S665)</f>
        <v>0.78269767981128291</v>
      </c>
      <c r="G203" s="54">
        <f>(VLOOKUP($A203,'The List'!$B1:$AH665,19,FALSE)-AVERAGE('The List'!T2:T665))/STDEV('The List'!T2:T665)</f>
        <v>-0.24229885945750093</v>
      </c>
      <c r="H203" s="54">
        <f>(VLOOKUP($A203,'The List'!$B1:$AH665,20,FALSE)-AVERAGE('The List'!U2:U665))/STDEV('The List'!U2:U665)</f>
        <v>0.20529208435036173</v>
      </c>
      <c r="I203" s="54">
        <f>(VLOOKUP($A203,'The List'!$B1:$AH665,21,FALSE)-AVERAGE('The List'!V2:V665))/STDEV('The List'!V2:V665)</f>
        <v>0.22257523671449572</v>
      </c>
      <c r="J203" s="54">
        <f>(VLOOKUP($A203,'The List'!$B1:$AH665,22,FALSE)-AVERAGE('The List'!W2:W665))/STDEV('The List'!W2:W665)</f>
        <v>-0.30388000134488208</v>
      </c>
      <c r="K203" s="54">
        <f>(VLOOKUP($A203,'The List'!$B1:$AH665,23,FALSE)-AVERAGE('The List'!X2:X665))/STDEV('The List'!X2:X665)</f>
        <v>-0.51395499711448478</v>
      </c>
      <c r="L203" s="54">
        <f>(VLOOKUP($A203,'The List'!$B1:$AH665,24,FALSE)-AVERAGE('The List'!Y2:Y665))/STDEV('The List'!Y2:Y665)</f>
        <v>-0.57732811545743279</v>
      </c>
      <c r="M203" s="54">
        <f>(VLOOKUP($A203,'The List'!$B1:$AH665,25,FALSE)-AVERAGE('The List'!Z2:Z665))/STDEV('The List'!Z2:Z665)</f>
        <v>-0.75110744160791532</v>
      </c>
      <c r="N203" s="54">
        <f>(VLOOKUP($A203,'The List'!$B1:$AH665,26,FALSE)-AVERAGE('The List'!AA2:AA665))/STDEV('The List'!AA2:AA665)</f>
        <v>-0.96085481236490011</v>
      </c>
      <c r="O203" s="54">
        <f>(VLOOKUP($A203,'The List'!$B1:$AH665,27,FALSE)-AVERAGE('The List'!AB2:AB665))/STDEV('The List'!AB2:AB665)</f>
        <v>-0.72275050759715165</v>
      </c>
      <c r="P203" s="54">
        <f>(VLOOKUP($A203,'The List'!$B1:$AH665,28,FALSE)-AVERAGE('The List'!AC2:AC665))/STDEV('The List'!AC2:AC665)</f>
        <v>3.9930362558453183E-2</v>
      </c>
      <c r="Q203" s="54">
        <f>(VLOOKUP($A203,'The List'!$B1:$AH665,29,FALSE)-AVERAGE('The List'!AD2:AD665))/STDEV('The List'!AD2:AD665)</f>
        <v>-0.66221053222398263</v>
      </c>
      <c r="R203" s="54">
        <f>(VLOOKUP($A203,'The List'!$B1:$AH665,30,FALSE)-AVERAGE('The List'!AE2:AE665))/STDEV('The List'!AE2:AE665)</f>
        <v>0.79098464622988174</v>
      </c>
      <c r="S203" s="54">
        <f>(VLOOKUP($A203,'The List'!$B1:$AH665,31,FALSE)-AVERAGE('The List'!AF2:AF665))/STDEV('The List'!AF2:AF665)</f>
        <v>-0.53836534409005354</v>
      </c>
      <c r="T203" s="54">
        <f>(VLOOKUP($A203,'The List'!$B1:$AH665,32,FALSE)-AVERAGE('The List'!AG2:AG665))/STDEV('The List'!AG2:AG665)</f>
        <v>-0.50569422982241952</v>
      </c>
      <c r="U203" s="54">
        <f>(VLOOKUP($A203,'The List'!$B1:$AH665,33,FALSE)-AVERAGE('The List'!AH2:AH665))/STDEV('The List'!AH2:AH665)</f>
        <v>-0.14630767333944494</v>
      </c>
      <c r="V203" s="54"/>
      <c r="W203" s="64"/>
      <c r="X203" s="56"/>
      <c r="Y203" s="56"/>
      <c r="Z203" s="56"/>
      <c r="AA203" s="56"/>
      <c r="AB203" s="56"/>
      <c r="AC203" s="59"/>
      <c r="AD203" s="60"/>
      <c r="AE203" s="54"/>
    </row>
    <row r="204" spans="1:31" ht="21.25" customHeight="1" x14ac:dyDescent="0.15">
      <c r="A204" s="9" t="s">
        <v>379</v>
      </c>
      <c r="B204" s="65" t="str">
        <f>VLOOKUP(A204,'Player Data'!A1:B667,2,FALSE)</f>
        <v>PHI</v>
      </c>
      <c r="C204" s="51">
        <f>((E204)*Settings!$C$12)+(F204*Settings!$C$2)+(G204*Settings!$C$3)+(H204*Settings!$C$4)+(I204*Settings!$C$5)+(K204*Settings!$C$9)+(N204*Settings!$C$6)+(J204*Settings!$C$8)+(O204*Settings!$C$7)+(P204*Settings!$C$14)+(Q204*Settings!$C$15)+(R204*Settings!$C$16)+(S204*Settings!$C$17)+(T204*Settings!$C$18)+(U204*Settings!$C$19)+(L204*Settings!$C$10)+(Settings!$C$11*M204)</f>
        <v>-0.63270231504449681</v>
      </c>
      <c r="D204" s="56">
        <f>IF(Settings!$E$12="YES",VLOOKUP(A204,'Player Data'!A1:E667,5,FALSE),82)</f>
        <v>80.13</v>
      </c>
      <c r="E204" s="54">
        <f>(VLOOKUP($A204,'The List'!$B1:$AH665,17,FALSE)-AVERAGE('The List'!R2:R665))/STDEV('The List'!R2:R665)</f>
        <v>-0.41396989839761045</v>
      </c>
      <c r="F204" s="54">
        <f>(VLOOKUP($A204,'The List'!$B1:$AH665,18,FALSE)-AVERAGE('The List'!S2:S665))/STDEV('The List'!S2:S665)</f>
        <v>0.47699547492816874</v>
      </c>
      <c r="G204" s="54">
        <f>(VLOOKUP($A204,'The List'!$B1:$AH665,19,FALSE)-AVERAGE('The List'!T2:T665))/STDEV('The List'!T2:T665)</f>
        <v>0.1078322931356058</v>
      </c>
      <c r="H204" s="54">
        <f>(VLOOKUP($A204,'The List'!$B1:$AH665,20,FALSE)-AVERAGE('The List'!U2:U665))/STDEV('The List'!U2:U665)</f>
        <v>0.28378703401346211</v>
      </c>
      <c r="I204" s="54">
        <f>(VLOOKUP($A204,'The List'!$B1:$AH665,21,FALSE)-AVERAGE('The List'!V2:V665))/STDEV('The List'!V2:V665)</f>
        <v>0.36533254108698887</v>
      </c>
      <c r="J204" s="54">
        <f>(VLOOKUP($A204,'The List'!$B1:$AH665,22,FALSE)-AVERAGE('The List'!W2:W665))/STDEV('The List'!W2:W665)</f>
        <v>-0.3392791692407412</v>
      </c>
      <c r="K204" s="54">
        <f>(VLOOKUP($A204,'The List'!$B1:$AH665,23,FALSE)-AVERAGE('The List'!X2:X665))/STDEV('The List'!X2:X665)</f>
        <v>-0.31054158997317977</v>
      </c>
      <c r="L204" s="54">
        <f>(VLOOKUP($A204,'The List'!$B1:$AH665,24,FALSE)-AVERAGE('The List'!Y2:Y665))/STDEV('The List'!Y2:Y665)</f>
        <v>-0.54008841977173827</v>
      </c>
      <c r="M204" s="54">
        <f>(VLOOKUP($A204,'The List'!$B1:$AH665,25,FALSE)-AVERAGE('The List'!Z2:Z665))/STDEV('The List'!Z2:Z665)</f>
        <v>-0.72306259037996901</v>
      </c>
      <c r="N204" s="54">
        <f>(VLOOKUP($A204,'The List'!$B1:$AH665,26,FALSE)-AVERAGE('The List'!AA2:AA665))/STDEV('The List'!AA2:AA665)</f>
        <v>-0.51884558871497999</v>
      </c>
      <c r="O204" s="54">
        <f>(VLOOKUP($A204,'The List'!$B1:$AH665,27,FALSE)-AVERAGE('The List'!AB2:AB665))/STDEV('The List'!AB2:AB665)</f>
        <v>-0.53405705903806322</v>
      </c>
      <c r="P204" s="54">
        <f>(VLOOKUP($A204,'The List'!$B1:$AH665,28,FALSE)-AVERAGE('The List'!AC2:AC665))/STDEV('The List'!AC2:AC665)</f>
        <v>-0.75347544550710055</v>
      </c>
      <c r="Q204" s="54">
        <f>(VLOOKUP($A204,'The List'!$B1:$AH665,29,FALSE)-AVERAGE('The List'!AD2:AD665))/STDEV('The List'!AD2:AD665)</f>
        <v>8.0954991727594811E-3</v>
      </c>
      <c r="R204" s="54">
        <f>(VLOOKUP($A204,'The List'!$B1:$AH665,30,FALSE)-AVERAGE('The List'!AE2:AE665))/STDEV('The List'!AE2:AE665)</f>
        <v>0.40942305768354076</v>
      </c>
      <c r="S204" s="54">
        <f>(VLOOKUP($A204,'The List'!$B1:$AH665,31,FALSE)-AVERAGE('The List'!AF2:AF665))/STDEV('The List'!AF2:AF665)</f>
        <v>-0.44024263994428775</v>
      </c>
      <c r="T204" s="54">
        <f>(VLOOKUP($A204,'The List'!$B1:$AH665,32,FALSE)-AVERAGE('The List'!AG2:AG665))/STDEV('The List'!AG2:AG665)</f>
        <v>-0.3611518788181618</v>
      </c>
      <c r="U204" s="54">
        <f>(VLOOKUP($A204,'The List'!$B1:$AH665,33,FALSE)-AVERAGE('The List'!AH2:AH665))/STDEV('The List'!AH2:AH665)</f>
        <v>0.3527515251767534</v>
      </c>
      <c r="V204" s="54"/>
      <c r="W204" s="64"/>
      <c r="X204" s="56"/>
      <c r="Y204" s="56"/>
      <c r="Z204" s="56"/>
      <c r="AA204" s="56"/>
      <c r="AB204" s="56"/>
      <c r="AC204" s="59"/>
      <c r="AD204" s="60"/>
      <c r="AE204" s="54"/>
    </row>
    <row r="205" spans="1:31" ht="21.25" customHeight="1" x14ac:dyDescent="0.15">
      <c r="A205" s="9" t="s">
        <v>361</v>
      </c>
      <c r="B205" s="65" t="str">
        <f>VLOOKUP(A205,'Player Data'!A1:B667,2,FALSE)</f>
        <v>FLA</v>
      </c>
      <c r="C205" s="51">
        <f>((E205)*Settings!$C$12)+(F205*Settings!$C$2)+(G205*Settings!$C$3)+(H205*Settings!$C$4)+(I205*Settings!$C$5)+(K205*Settings!$C$9)+(N205*Settings!$C$6)+(J205*Settings!$C$8)+(O205*Settings!$C$7)+(P205*Settings!$C$14)+(Q205*Settings!$C$15)+(R205*Settings!$C$16)+(S205*Settings!$C$17)+(T205*Settings!$C$18)+(U205*Settings!$C$19)+(L205*Settings!$C$10)+(Settings!$C$11*M205)</f>
        <v>1.4588668352971839</v>
      </c>
      <c r="D205" s="56">
        <f>IF(Settings!$E$12="YES",VLOOKUP(A205,'Player Data'!A1:E667,5,FALSE),82)</f>
        <v>78.382499999999993</v>
      </c>
      <c r="E205" s="54">
        <f>(VLOOKUP($A205,'The List'!$B1:$AH665,17,FALSE)-AVERAGE('The List'!R2:R665))/STDEV('The List'!R2:R665)</f>
        <v>-0.18484251617706157</v>
      </c>
      <c r="F205" s="54">
        <f>(VLOOKUP($A205,'The List'!$B1:$AH665,18,FALSE)-AVERAGE('The List'!S2:S665))/STDEV('The List'!S2:S665)</f>
        <v>0.24291211825233655</v>
      </c>
      <c r="G205" s="54">
        <f>(VLOOKUP($A205,'The List'!$B1:$AH665,19,FALSE)-AVERAGE('The List'!T2:T665))/STDEV('The List'!T2:T665)</f>
        <v>0.19946541804836704</v>
      </c>
      <c r="H205" s="54">
        <f>(VLOOKUP($A205,'The List'!$B1:$AH665,20,FALSE)-AVERAGE('The List'!U2:U665))/STDEV('The List'!U2:U665)</f>
        <v>0.23429434445781971</v>
      </c>
      <c r="I205" s="54">
        <f>(VLOOKUP($A205,'The List'!$B1:$AH665,21,FALSE)-AVERAGE('The List'!V2:V665))/STDEV('The List'!V2:V665)</f>
        <v>0.63005936399706564</v>
      </c>
      <c r="J205" s="54">
        <f>(VLOOKUP($A205,'The List'!$B1:$AH665,22,FALSE)-AVERAGE('The List'!W2:W665))/STDEV('The List'!W2:W665)</f>
        <v>-0.31167918193184885</v>
      </c>
      <c r="K205" s="54">
        <f>(VLOOKUP($A205,'The List'!$B1:$AH665,23,FALSE)-AVERAGE('The List'!X2:X665))/STDEV('The List'!X2:X665)</f>
        <v>-8.3420303095749798E-2</v>
      </c>
      <c r="L205" s="54">
        <f>(VLOOKUP($A205,'The List'!$B1:$AH665,24,FALSE)-AVERAGE('The List'!Y2:Y665))/STDEV('The List'!Y2:Y665)</f>
        <v>0.44510037689481258</v>
      </c>
      <c r="M205" s="54">
        <f>(VLOOKUP($A205,'The List'!$B1:$AH665,25,FALSE)-AVERAGE('The List'!Z2:Z665))/STDEV('The List'!Z2:Z665)</f>
        <v>0.65423053996443115</v>
      </c>
      <c r="N205" s="54">
        <f>(VLOOKUP($A205,'The List'!$B1:$AH665,26,FALSE)-AVERAGE('The List'!AA2:AA665))/STDEV('The List'!AA2:AA665)</f>
        <v>-0.60913856475367079</v>
      </c>
      <c r="O205" s="54">
        <f>(VLOOKUP($A205,'The List'!$B1:$AH665,27,FALSE)-AVERAGE('The List'!AB2:AB665))/STDEV('The List'!AB2:AB665)</f>
        <v>-0.78787229607398035</v>
      </c>
      <c r="P205" s="54">
        <f>(VLOOKUP($A205,'The List'!$B1:$AH665,28,FALSE)-AVERAGE('The List'!AC2:AC665))/STDEV('The List'!AC2:AC665)</f>
        <v>1.0789888028488352</v>
      </c>
      <c r="Q205" s="54">
        <f>(VLOOKUP($A205,'The List'!$B1:$AH665,29,FALSE)-AVERAGE('The List'!AD2:AD665))/STDEV('The List'!AD2:AD665)</f>
        <v>0.25666540307982705</v>
      </c>
      <c r="R205" s="54">
        <f>(VLOOKUP($A205,'The List'!$B1:$AH665,30,FALSE)-AVERAGE('The List'!AE2:AE665))/STDEV('The List'!AE2:AE665)</f>
        <v>0.44875816691565112</v>
      </c>
      <c r="S205" s="54">
        <f>(VLOOKUP($A205,'The List'!$B1:$AH665,31,FALSE)-AVERAGE('The List'!AF2:AF665))/STDEV('The List'!AF2:AF665)</f>
        <v>1.5414314435568399</v>
      </c>
      <c r="T205" s="54">
        <f>(VLOOKUP($A205,'The List'!$B1:$AH665,32,FALSE)-AVERAGE('The List'!AG2:AG665))/STDEV('The List'!AG2:AG665)</f>
        <v>1.6492772399388169</v>
      </c>
      <c r="U205" s="54">
        <f>(VLOOKUP($A205,'The List'!$B1:$AH665,33,FALSE)-AVERAGE('The List'!AH2:AH665))/STDEV('The List'!AH2:AH665)</f>
        <v>1.0225254121591221</v>
      </c>
      <c r="V205" s="54"/>
      <c r="W205" s="56"/>
      <c r="X205" s="54"/>
      <c r="Y205" s="54"/>
      <c r="Z205" s="54"/>
      <c r="AA205" s="54"/>
      <c r="AB205" s="54"/>
      <c r="AC205" s="54"/>
      <c r="AD205" s="54"/>
      <c r="AE205" s="54"/>
    </row>
    <row r="206" spans="1:31" ht="21.25" customHeight="1" x14ac:dyDescent="0.15">
      <c r="A206" s="9" t="s">
        <v>400</v>
      </c>
      <c r="B206" s="65" t="str">
        <f>VLOOKUP(A206,'Player Data'!A1:B667,2,FALSE)</f>
        <v>DET</v>
      </c>
      <c r="C206" s="51">
        <f>((E206)*Settings!$C$12)+(F206*Settings!$C$2)+(G206*Settings!$C$3)+(H206*Settings!$C$4)+(I206*Settings!$C$5)+(K206*Settings!$C$9)+(N206*Settings!$C$6)+(J206*Settings!$C$8)+(O206*Settings!$C$7)+(P206*Settings!$C$14)+(Q206*Settings!$C$15)+(R206*Settings!$C$16)+(S206*Settings!$C$17)+(T206*Settings!$C$18)+(U206*Settings!$C$19)+(L206*Settings!$C$10)+(Settings!$C$11*M206)</f>
        <v>-0.71264077041161278</v>
      </c>
      <c r="D206" s="56">
        <f>IF(Settings!$E$12="YES",VLOOKUP(A206,'Player Data'!A1:E667,5,FALSE),82)</f>
        <v>79.942499999999995</v>
      </c>
      <c r="E206" s="54">
        <f>(VLOOKUP($A206,'The List'!$B1:$AH665,17,FALSE)-AVERAGE('The List'!R2:R665))/STDEV('The List'!R2:R665)</f>
        <v>0.27502634177074792</v>
      </c>
      <c r="F206" s="54">
        <f>(VLOOKUP($A206,'The List'!$B1:$AH665,18,FALSE)-AVERAGE('The List'!S2:S665))/STDEV('The List'!S2:S665)</f>
        <v>0.30170179352476162</v>
      </c>
      <c r="G206" s="54">
        <f>(VLOOKUP($A206,'The List'!$B1:$AH665,19,FALSE)-AVERAGE('The List'!T2:T665))/STDEV('The List'!T2:T665)</f>
        <v>0.20736520225325278</v>
      </c>
      <c r="H206" s="54">
        <f>(VLOOKUP($A206,'The List'!$B1:$AH665,20,FALSE)-AVERAGE('The List'!U2:U665))/STDEV('The List'!U2:U665)</f>
        <v>0.26592325654791832</v>
      </c>
      <c r="I206" s="54">
        <f>(VLOOKUP($A206,'The List'!$B1:$AH665,21,FALSE)-AVERAGE('The List'!V2:V665))/STDEV('The List'!V2:V665)</f>
        <v>-0.31316376918221989</v>
      </c>
      <c r="J206" s="54">
        <f>(VLOOKUP($A206,'The List'!$B1:$AH665,22,FALSE)-AVERAGE('The List'!W2:W665))/STDEV('The List'!W2:W665)</f>
        <v>0.20568318707607469</v>
      </c>
      <c r="K206" s="54">
        <f>(VLOOKUP($A206,'The List'!$B1:$AH665,23,FALSE)-AVERAGE('The List'!X2:X665))/STDEV('The List'!X2:X665)</f>
        <v>-2.0626713896496167E-2</v>
      </c>
      <c r="L206" s="54">
        <f>(VLOOKUP($A206,'The List'!$B1:$AH665,24,FALSE)-AVERAGE('The List'!Y2:Y665))/STDEV('The List'!Y2:Y665)</f>
        <v>1.5013190543553765</v>
      </c>
      <c r="M206" s="54">
        <f>(VLOOKUP($A206,'The List'!$B1:$AH665,25,FALSE)-AVERAGE('The List'!Z2:Z665))/STDEV('The List'!Z2:Z665)</f>
        <v>0.61613059030430939</v>
      </c>
      <c r="N206" s="54">
        <f>(VLOOKUP($A206,'The List'!$B1:$AH665,26,FALSE)-AVERAGE('The List'!AA2:AA665))/STDEV('The List'!AA2:AA665)</f>
        <v>-0.11929690689660677</v>
      </c>
      <c r="O206" s="54">
        <f>(VLOOKUP($A206,'The List'!$B1:$AH665,27,FALSE)-AVERAGE('The List'!AB2:AB665))/STDEV('The List'!AB2:AB665)</f>
        <v>-0.94440609988694479</v>
      </c>
      <c r="P206" s="54">
        <f>(VLOOKUP($A206,'The List'!$B1:$AH665,28,FALSE)-AVERAGE('The List'!AC2:AC665))/STDEV('The List'!AC2:AC665)</f>
        <v>-0.76862037621430435</v>
      </c>
      <c r="Q206" s="54">
        <f>(VLOOKUP($A206,'The List'!$B1:$AH665,29,FALSE)-AVERAGE('The List'!AD2:AD665))/STDEV('The List'!AD2:AD665)</f>
        <v>-0.31994639586141427</v>
      </c>
      <c r="R206" s="54">
        <f>(VLOOKUP($A206,'The List'!$B1:$AH665,30,FALSE)-AVERAGE('The List'!AE2:AE665))/STDEV('The List'!AE2:AE665)</f>
        <v>0.16649517023669544</v>
      </c>
      <c r="S206" s="54">
        <f>(VLOOKUP($A206,'The List'!$B1:$AH665,31,FALSE)-AVERAGE('The List'!AF2:AF665))/STDEV('The List'!AF2:AF665)</f>
        <v>1.8239728915089577</v>
      </c>
      <c r="T206" s="54">
        <f>(VLOOKUP($A206,'The List'!$B1:$AH665,32,FALSE)-AVERAGE('The List'!AG2:AG665))/STDEV('The List'!AG2:AG665)</f>
        <v>2.1814995360729807</v>
      </c>
      <c r="U206" s="54">
        <f>(VLOOKUP($A206,'The List'!$B1:$AH665,33,FALSE)-AVERAGE('The List'!AH2:AH665))/STDEV('The List'!AH2:AH665)</f>
        <v>0.92646174796678049</v>
      </c>
      <c r="V206" s="54"/>
      <c r="W206" s="64"/>
      <c r="X206" s="56"/>
      <c r="Y206" s="56"/>
      <c r="Z206" s="56"/>
      <c r="AA206" s="56"/>
      <c r="AB206" s="56"/>
      <c r="AC206" s="59"/>
      <c r="AD206" s="60"/>
      <c r="AE206" s="54"/>
    </row>
    <row r="207" spans="1:31" ht="21.25" customHeight="1" x14ac:dyDescent="0.15">
      <c r="A207" s="9" t="s">
        <v>468</v>
      </c>
      <c r="B207" s="65" t="str">
        <f>VLOOKUP(A207,'Player Data'!A1:B667,2,FALSE)</f>
        <v>BUF</v>
      </c>
      <c r="C207" s="51">
        <f>((E207)*Settings!$C$12)+(F207*Settings!$C$2)+(G207*Settings!$C$3)+(H207*Settings!$C$4)+(I207*Settings!$C$5)+(K207*Settings!$C$9)+(N207*Settings!$C$6)+(J207*Settings!$C$8)+(O207*Settings!$C$7)+(P207*Settings!$C$14)+(Q207*Settings!$C$15)+(R207*Settings!$C$16)+(S207*Settings!$C$17)+(T207*Settings!$C$18)+(U207*Settings!$C$19)+(L207*Settings!$C$10)+(Settings!$C$11*M207)</f>
        <v>-0.92607705378104277</v>
      </c>
      <c r="D207" s="56">
        <f>IF(Settings!$E$12="YES",VLOOKUP(A207,'Player Data'!A1:E667,5,FALSE),82)</f>
        <v>77.465000000000003</v>
      </c>
      <c r="E207" s="54">
        <f>(VLOOKUP($A207,'The List'!$B1:$AH665,17,FALSE)-AVERAGE('The List'!R2:R665))/STDEV('The List'!R2:R665)</f>
        <v>-0.46253678053200287</v>
      </c>
      <c r="F207" s="54">
        <f>(VLOOKUP($A207,'The List'!$B1:$AH665,18,FALSE)-AVERAGE('The List'!S2:S665))/STDEV('The List'!S2:S665)</f>
        <v>0.25064297793191931</v>
      </c>
      <c r="G207" s="54">
        <f>(VLOOKUP($A207,'The List'!$B1:$AH665,19,FALSE)-AVERAGE('The List'!T2:T665))/STDEV('The List'!T2:T665)</f>
        <v>0.14821239731050981</v>
      </c>
      <c r="H207" s="54">
        <f>(VLOOKUP($A207,'The List'!$B1:$AH665,20,FALSE)-AVERAGE('The List'!U2:U665))/STDEV('The List'!U2:U665)</f>
        <v>0.20597737992054407</v>
      </c>
      <c r="I207" s="54">
        <f>(VLOOKUP($A207,'The List'!$B1:$AH665,21,FALSE)-AVERAGE('The List'!V2:V665))/STDEV('The List'!V2:V665)</f>
        <v>-0.18006803565455487</v>
      </c>
      <c r="J207" s="54">
        <f>(VLOOKUP($A207,'The List'!$B1:$AH665,22,FALSE)-AVERAGE('The List'!W2:W665))/STDEV('The List'!W2:W665)</f>
        <v>-0.36137710505504361</v>
      </c>
      <c r="K207" s="54">
        <f>(VLOOKUP($A207,'The List'!$B1:$AH665,23,FALSE)-AVERAGE('The List'!X2:X665))/STDEV('The List'!X2:X665)</f>
        <v>-0.27606127062745661</v>
      </c>
      <c r="L207" s="54">
        <f>(VLOOKUP($A207,'The List'!$B1:$AH665,24,FALSE)-AVERAGE('The List'!Y2:Y665))/STDEV('The List'!Y2:Y665)</f>
        <v>-0.37078568577822829</v>
      </c>
      <c r="M207" s="54">
        <f>(VLOOKUP($A207,'The List'!$B1:$AH665,25,FALSE)-AVERAGE('The List'!Z2:Z665))/STDEV('The List'!Z2:Z665)</f>
        <v>-0.54310280777872377</v>
      </c>
      <c r="N207" s="54">
        <f>(VLOOKUP($A207,'The List'!$B1:$AH665,26,FALSE)-AVERAGE('The List'!AA2:AA665))/STDEV('The List'!AA2:AA665)</f>
        <v>-0.63732471673575342</v>
      </c>
      <c r="O207" s="54">
        <f>(VLOOKUP($A207,'The List'!$B1:$AH665,27,FALSE)-AVERAGE('The List'!AB2:AB665))/STDEV('The List'!AB2:AB665)</f>
        <v>-0.91469089146549687</v>
      </c>
      <c r="P207" s="54">
        <f>(VLOOKUP($A207,'The List'!$B1:$AH665,28,FALSE)-AVERAGE('The List'!AC2:AC665))/STDEV('The List'!AC2:AC665)</f>
        <v>-0.2314784060057069</v>
      </c>
      <c r="Q207" s="54">
        <f>(VLOOKUP($A207,'The List'!$B1:$AH665,29,FALSE)-AVERAGE('The List'!AD2:AD665))/STDEV('The List'!AD2:AD665)</f>
        <v>0.34264469545042886</v>
      </c>
      <c r="R207" s="54">
        <f>(VLOOKUP($A207,'The List'!$B1:$AH665,30,FALSE)-AVERAGE('The List'!AE2:AE665))/STDEV('The List'!AE2:AE665)</f>
        <v>0.16330124944095384</v>
      </c>
      <c r="S207" s="54">
        <f>(VLOOKUP($A207,'The List'!$B1:$AH665,31,FALSE)-AVERAGE('The List'!AF2:AF665))/STDEV('The List'!AF2:AF665)</f>
        <v>-0.54638222549524362</v>
      </c>
      <c r="T207" s="54">
        <f>(VLOOKUP($A207,'The List'!$B1:$AH665,32,FALSE)-AVERAGE('The List'!AG2:AG665))/STDEV('The List'!AG2:AG665)</f>
        <v>-0.55553913031627689</v>
      </c>
      <c r="U207" s="54">
        <f>(VLOOKUP($A207,'The List'!$B1:$AH665,33,FALSE)-AVERAGE('The List'!AH2:AH665))/STDEV('The List'!AH2:AH665)</f>
        <v>0.10181741941524428</v>
      </c>
      <c r="V207" s="54"/>
      <c r="W207" s="56"/>
      <c r="X207" s="54"/>
      <c r="Y207" s="54"/>
      <c r="Z207" s="54"/>
      <c r="AA207" s="54"/>
      <c r="AB207" s="54"/>
      <c r="AC207" s="54"/>
      <c r="AD207" s="54"/>
      <c r="AE207" s="54"/>
    </row>
    <row r="208" spans="1:31" ht="21.25" customHeight="1" x14ac:dyDescent="0.15">
      <c r="A208" s="9" t="s">
        <v>257</v>
      </c>
      <c r="B208" s="65" t="str">
        <f>VLOOKUP(A208,'Player Data'!A1:B667,2,FALSE)</f>
        <v>FLA</v>
      </c>
      <c r="C208" s="51">
        <f>((E208)*Settings!$C$12)+(F208*Settings!$C$2)+(G208*Settings!$C$3)+(H208*Settings!$C$4)+(I208*Settings!$C$5)+(K208*Settings!$C$9)+(N208*Settings!$C$6)+(J208*Settings!$C$8)+(O208*Settings!$C$7)+(P208*Settings!$C$14)+(Q208*Settings!$C$15)+(R208*Settings!$C$16)+(S208*Settings!$C$17)+(T208*Settings!$C$18)+(U208*Settings!$C$19)+(L208*Settings!$C$10)+(Settings!$C$11*M208)</f>
        <v>3.8473225476139423</v>
      </c>
      <c r="D208" s="56">
        <f>IF(Settings!$E$12="YES",VLOOKUP(A208,'Player Data'!A1:E667,5,FALSE),82)</f>
        <v>80.397499999999994</v>
      </c>
      <c r="E208" s="54">
        <f>(VLOOKUP($A208,'The List'!$B1:$AH665,17,FALSE)-AVERAGE('The List'!R2:R665))/STDEV('The List'!R2:R665)</f>
        <v>1.8680135629459211</v>
      </c>
      <c r="F208" s="54">
        <f>(VLOOKUP($A208,'The List'!$B1:$AH665,18,FALSE)-AVERAGE('The List'!S2:S665))/STDEV('The List'!S2:S665)</f>
        <v>-0.18063634940091663</v>
      </c>
      <c r="G208" s="54">
        <f>(VLOOKUP($A208,'The List'!$B1:$AH665,19,FALSE)-AVERAGE('The List'!T2:T665))/STDEV('The List'!T2:T665)</f>
        <v>0.57437926579497522</v>
      </c>
      <c r="H208" s="54">
        <f>(VLOOKUP($A208,'The List'!$B1:$AH665,20,FALSE)-AVERAGE('The List'!U2:U665))/STDEV('The List'!U2:U665)</f>
        <v>0.27461401318390782</v>
      </c>
      <c r="I208" s="54">
        <f>(VLOOKUP($A208,'The List'!$B1:$AH665,21,FALSE)-AVERAGE('The List'!V2:V665))/STDEV('The List'!V2:V665)</f>
        <v>0.84579814019848365</v>
      </c>
      <c r="J208" s="54">
        <f>(VLOOKUP($A208,'The List'!$B1:$AH665,22,FALSE)-AVERAGE('The List'!W2:W665))/STDEV('The List'!W2:W665)</f>
        <v>-0.43513862056665931</v>
      </c>
      <c r="K208" s="54">
        <f>(VLOOKUP($A208,'The List'!$B1:$AH665,23,FALSE)-AVERAGE('The List'!X2:X665))/STDEV('The List'!X2:X665)</f>
        <v>-0.38710190288501956</v>
      </c>
      <c r="L208" s="54">
        <f>(VLOOKUP($A208,'The List'!$B1:$AH665,24,FALSE)-AVERAGE('The List'!Y2:Y665))/STDEV('The List'!Y2:Y665)</f>
        <v>-0.53138926154865185</v>
      </c>
      <c r="M208" s="54">
        <f>(VLOOKUP($A208,'The List'!$B1:$AH665,25,FALSE)-AVERAGE('The List'!Z2:Z665))/STDEV('The List'!Z2:Z665)</f>
        <v>-8.094654032327965E-2</v>
      </c>
      <c r="N208" s="54">
        <f>(VLOOKUP($A208,'The List'!$B1:$AH665,26,FALSE)-AVERAGE('The List'!AA2:AA665))/STDEV('The List'!AA2:AA665)</f>
        <v>1.1193276954381555</v>
      </c>
      <c r="O208" s="54">
        <f>(VLOOKUP($A208,'The List'!$B1:$AH665,27,FALSE)-AVERAGE('The List'!AB2:AB665))/STDEV('The List'!AB2:AB665)</f>
        <v>0.14825906619874973</v>
      </c>
      <c r="P208" s="54">
        <f>(VLOOKUP($A208,'The List'!$B1:$AH665,28,FALSE)-AVERAGE('The List'!AC2:AC665))/STDEV('The List'!AC2:AC665)</f>
        <v>1.8755556984682642</v>
      </c>
      <c r="Q208" s="54">
        <f>(VLOOKUP($A208,'The List'!$B1:$AH665,29,FALSE)-AVERAGE('The List'!AD2:AD665))/STDEV('The List'!AD2:AD665)</f>
        <v>0.34288056105582621</v>
      </c>
      <c r="R208" s="54">
        <f>(VLOOKUP($A208,'The List'!$B1:$AH665,30,FALSE)-AVERAGE('The List'!AE2:AE665))/STDEV('The List'!AE2:AE665)</f>
        <v>-1.4391096560985249E-2</v>
      </c>
      <c r="S208" s="54">
        <f>(VLOOKUP($A208,'The List'!$B1:$AH665,31,FALSE)-AVERAGE('The List'!AF2:AF665))/STDEV('The List'!AF2:AF665)</f>
        <v>-0.57389441068000469</v>
      </c>
      <c r="T208" s="54">
        <f>(VLOOKUP($A208,'The List'!$B1:$AH665,32,FALSE)-AVERAGE('The List'!AG2:AG665))/STDEV('The List'!AG2:AG665)</f>
        <v>-0.62577078713265111</v>
      </c>
      <c r="U208" s="54">
        <f>(VLOOKUP($A208,'The List'!$B1:$AH665,33,FALSE)-AVERAGE('The List'!AH2:AH665))/STDEV('The List'!AH2:AH665)</f>
        <v>-1.2314350945148611</v>
      </c>
      <c r="V208" s="54"/>
      <c r="W208" s="64"/>
      <c r="X208" s="56"/>
      <c r="Y208" s="56"/>
      <c r="Z208" s="56"/>
      <c r="AA208" s="56"/>
      <c r="AB208" s="56"/>
      <c r="AC208" s="59"/>
      <c r="AD208" s="60"/>
      <c r="AE208" s="54"/>
    </row>
    <row r="209" spans="1:31" ht="21.25" customHeight="1" x14ac:dyDescent="0.15">
      <c r="A209" s="9" t="s">
        <v>229</v>
      </c>
      <c r="B209" s="65" t="str">
        <f>VLOOKUP(A209,'Player Data'!A1:B667,2,FALSE)</f>
        <v>CGY</v>
      </c>
      <c r="C209" s="51">
        <f>((E209)*Settings!$C$12)+(F209*Settings!$C$2)+(G209*Settings!$C$3)+(H209*Settings!$C$4)+(I209*Settings!$C$5)+(K209*Settings!$C$9)+(N209*Settings!$C$6)+(J209*Settings!$C$8)+(O209*Settings!$C$7)+(P209*Settings!$C$14)+(Q209*Settings!$C$15)+(R209*Settings!$C$16)+(S209*Settings!$C$17)+(T209*Settings!$C$18)+(U209*Settings!$C$19)+(L209*Settings!$C$10)+(Settings!$C$11*M209)</f>
        <v>2.5979049547211912</v>
      </c>
      <c r="D209" s="56">
        <f>IF(Settings!$E$12="YES",VLOOKUP(A209,'Player Data'!A1:E667,5,FALSE),82)</f>
        <v>80.907499999999999</v>
      </c>
      <c r="E209" s="54">
        <f>(VLOOKUP($A209,'The List'!$B1:$AH665,17,FALSE)-AVERAGE('The List'!R2:R665))/STDEV('The List'!R2:R665)</f>
        <v>1.8597893013887963</v>
      </c>
      <c r="F209" s="54">
        <f>(VLOOKUP($A209,'The List'!$B1:$AH665,18,FALSE)-AVERAGE('The List'!S2:S665))/STDEV('The List'!S2:S665)</f>
        <v>-0.49967703662926488</v>
      </c>
      <c r="G209" s="54">
        <f>(VLOOKUP($A209,'The List'!$B1:$AH665,19,FALSE)-AVERAGE('The List'!T2:T665))/STDEV('The List'!T2:T665)</f>
        <v>0.82583274966004383</v>
      </c>
      <c r="H209" s="54">
        <f>(VLOOKUP($A209,'The List'!$B1:$AH665,20,FALSE)-AVERAGE('The List'!U2:U665))/STDEV('The List'!U2:U665)</f>
        <v>0.28576160785281829</v>
      </c>
      <c r="I209" s="54">
        <f>(VLOOKUP($A209,'The List'!$B1:$AH665,21,FALSE)-AVERAGE('The List'!V2:V665))/STDEV('The List'!V2:V665)</f>
        <v>0.39049284117134953</v>
      </c>
      <c r="J209" s="54">
        <f>(VLOOKUP($A209,'The List'!$B1:$AH665,22,FALSE)-AVERAGE('The List'!W2:W665))/STDEV('The List'!W2:W665)</f>
        <v>-0.54937940512478944</v>
      </c>
      <c r="K209" s="54">
        <f>(VLOOKUP($A209,'The List'!$B1:$AH665,23,FALSE)-AVERAGE('The List'!X2:X665))/STDEV('The List'!X2:X665)</f>
        <v>0.37999965816371672</v>
      </c>
      <c r="L209" s="54">
        <f>(VLOOKUP($A209,'The List'!$B1:$AH665,24,FALSE)-AVERAGE('The List'!Y2:Y665))/STDEV('The List'!Y2:Y665)</f>
        <v>0.80059241821041482</v>
      </c>
      <c r="M209" s="54">
        <f>(VLOOKUP($A209,'The List'!$B1:$AH665,25,FALSE)-AVERAGE('The List'!Z2:Z665))/STDEV('The List'!Z2:Z665)</f>
        <v>0.67274771299990099</v>
      </c>
      <c r="N209" s="54">
        <f>(VLOOKUP($A209,'The List'!$B1:$AH665,26,FALSE)-AVERAGE('The List'!AA2:AA665))/STDEV('The List'!AA2:AA665)</f>
        <v>2.3979068510385035</v>
      </c>
      <c r="O209" s="54">
        <f>(VLOOKUP($A209,'The List'!$B1:$AH665,27,FALSE)-AVERAGE('The List'!AB2:AB665))/STDEV('The List'!AB2:AB665)</f>
        <v>-0.71093136539828805</v>
      </c>
      <c r="P209" s="54">
        <f>(VLOOKUP($A209,'The List'!$B1:$AH665,28,FALSE)-AVERAGE('The List'!AC2:AC665))/STDEV('The List'!AC2:AC665)</f>
        <v>-0.89665010868315731</v>
      </c>
      <c r="Q209" s="54">
        <f>(VLOOKUP($A209,'The List'!$B1:$AH665,29,FALSE)-AVERAGE('The List'!AD2:AD665))/STDEV('The List'!AD2:AD665)</f>
        <v>0.18196907141165708</v>
      </c>
      <c r="R209" s="54">
        <f>(VLOOKUP($A209,'The List'!$B1:$AH665,30,FALSE)-AVERAGE('The List'!AE2:AE665))/STDEV('The List'!AE2:AE665)</f>
        <v>-0.49746944289935036</v>
      </c>
      <c r="S209" s="54">
        <f>(VLOOKUP($A209,'The List'!$B1:$AH665,31,FALSE)-AVERAGE('The List'!AF2:AF665))/STDEV('The List'!AF2:AF665)</f>
        <v>-0.57389441068000469</v>
      </c>
      <c r="T209" s="54">
        <f>(VLOOKUP($A209,'The List'!$B1:$AH665,32,FALSE)-AVERAGE('The List'!AG2:AG665))/STDEV('The List'!AG2:AG665)</f>
        <v>-0.62577078713265111</v>
      </c>
      <c r="U209" s="54">
        <f>(VLOOKUP($A209,'The List'!$B1:$AH665,33,FALSE)-AVERAGE('The List'!AH2:AH665))/STDEV('The List'!AH2:AH665)</f>
        <v>-1.2314350945148611</v>
      </c>
      <c r="V209" s="54"/>
      <c r="W209" s="56"/>
      <c r="X209" s="56"/>
      <c r="Y209" s="56"/>
      <c r="Z209" s="56"/>
      <c r="AA209" s="56"/>
      <c r="AB209" s="56"/>
      <c r="AC209" s="59"/>
      <c r="AD209" s="60"/>
      <c r="AE209" s="54"/>
    </row>
    <row r="210" spans="1:31" ht="21.25" customHeight="1" x14ac:dyDescent="0.15">
      <c r="A210" s="9" t="s">
        <v>490</v>
      </c>
      <c r="B210" s="65" t="str">
        <f>VLOOKUP(A210,'Player Data'!A1:B667,2,FALSE)</f>
        <v>TOR</v>
      </c>
      <c r="C210" s="51">
        <f>((E210)*Settings!$C$12)+(F210*Settings!$C$2)+(G210*Settings!$C$3)+(H210*Settings!$C$4)+(I210*Settings!$C$5)+(K210*Settings!$C$9)+(N210*Settings!$C$6)+(J210*Settings!$C$8)+(O210*Settings!$C$7)+(P210*Settings!$C$14)+(Q210*Settings!$C$15)+(R210*Settings!$C$16)+(S210*Settings!$C$17)+(T210*Settings!$C$18)+(U210*Settings!$C$19)+(L210*Settings!$C$10)+(Settings!$C$11*M210)</f>
        <v>0.51257451088289963</v>
      </c>
      <c r="D210" s="56">
        <f>IF(Settings!$E$12="YES",VLOOKUP(A210,'Player Data'!A1:E667,5,FALSE),82)</f>
        <v>80.400000000000006</v>
      </c>
      <c r="E210" s="54">
        <f>(VLOOKUP($A210,'The List'!$B1:$AH665,17,FALSE)-AVERAGE('The List'!R2:R665))/STDEV('The List'!R2:R665)</f>
        <v>-0.83383734491814465</v>
      </c>
      <c r="F210" s="54">
        <f>(VLOOKUP($A210,'The List'!$B1:$AH665,18,FALSE)-AVERAGE('The List'!S2:S665))/STDEV('The List'!S2:S665)</f>
        <v>-0.18843013079725501</v>
      </c>
      <c r="G210" s="54">
        <f>(VLOOKUP($A210,'The List'!$B1:$AH665,19,FALSE)-AVERAGE('The List'!T2:T665))/STDEV('The List'!T2:T665)</f>
        <v>0.5578687614700728</v>
      </c>
      <c r="H210" s="54">
        <f>(VLOOKUP($A210,'The List'!$B1:$AH665,20,FALSE)-AVERAGE('The List'!U2:U665))/STDEV('The List'!U2:U665)</f>
        <v>0.26081741753082055</v>
      </c>
      <c r="I210" s="54">
        <f>(VLOOKUP($A210,'The List'!$B1:$AH665,21,FALSE)-AVERAGE('The List'!V2:V665))/STDEV('The List'!V2:V665)</f>
        <v>7.5211050148853396E-3</v>
      </c>
      <c r="J210" s="54">
        <f>(VLOOKUP($A210,'The List'!$B1:$AH665,22,FALSE)-AVERAGE('The List'!W2:W665))/STDEV('The List'!W2:W665)</f>
        <v>-0.19874959138892956</v>
      </c>
      <c r="K210" s="54">
        <f>(VLOOKUP($A210,'The List'!$B1:$AH665,23,FALSE)-AVERAGE('The List'!X2:X665))/STDEV('The List'!X2:X665)</f>
        <v>-0.27432126370018345</v>
      </c>
      <c r="L210" s="54">
        <f>(VLOOKUP($A210,'The List'!$B1:$AH665,24,FALSE)-AVERAGE('The List'!Y2:Y665))/STDEV('The List'!Y2:Y665)</f>
        <v>-0.57615570292709828</v>
      </c>
      <c r="M210" s="54">
        <f>(VLOOKUP($A210,'The List'!$B1:$AH665,25,FALSE)-AVERAGE('The List'!Z2:Z665))/STDEV('The List'!Z2:Z665)</f>
        <v>-0.74979983711152332</v>
      </c>
      <c r="N210" s="54">
        <f>(VLOOKUP($A210,'The List'!$B1:$AH665,26,FALSE)-AVERAGE('The List'!AA2:AA665))/STDEV('The List'!AA2:AA665)</f>
        <v>-1.0112667892339826</v>
      </c>
      <c r="O210" s="54">
        <f>(VLOOKUP($A210,'The List'!$B1:$AH665,27,FALSE)-AVERAGE('The List'!AB2:AB665))/STDEV('The List'!AB2:AB665)</f>
        <v>-0.87660368420207402</v>
      </c>
      <c r="P210" s="54">
        <f>(VLOOKUP($A210,'The List'!$B1:$AH665,28,FALSE)-AVERAGE('The List'!AC2:AC665))/STDEV('The List'!AC2:AC665)</f>
        <v>1.4212028281293625</v>
      </c>
      <c r="Q210" s="54">
        <f>(VLOOKUP($A210,'The List'!$B1:$AH665,29,FALSE)-AVERAGE('The List'!AD2:AD665))/STDEV('The List'!AD2:AD665)</f>
        <v>1.7202997060375125</v>
      </c>
      <c r="R210" s="54">
        <f>(VLOOKUP($A210,'The List'!$B1:$AH665,30,FALSE)-AVERAGE('The List'!AE2:AE665))/STDEV('The List'!AE2:AE665)</f>
        <v>-9.9198152854971883E-2</v>
      </c>
      <c r="S210" s="54">
        <f>(VLOOKUP($A210,'The List'!$B1:$AH665,31,FALSE)-AVERAGE('The List'!AF2:AF665))/STDEV('The List'!AF2:AF665)</f>
        <v>0.56094526069332662</v>
      </c>
      <c r="T210" s="54">
        <f>(VLOOKUP($A210,'The List'!$B1:$AH665,32,FALSE)-AVERAGE('The List'!AG2:AG665))/STDEV('The List'!AG2:AG665)</f>
        <v>0.55552822479988229</v>
      </c>
      <c r="U210" s="54">
        <f>(VLOOKUP($A210,'The List'!$B1:$AH665,33,FALSE)-AVERAGE('The List'!AH2:AH665))/STDEV('The List'!AH2:AH665)</f>
        <v>1.0595469409258806</v>
      </c>
      <c r="V210" s="54"/>
      <c r="W210" s="64"/>
      <c r="X210" s="56"/>
      <c r="Y210" s="56"/>
      <c r="Z210" s="56"/>
      <c r="AA210" s="56"/>
      <c r="AB210" s="56"/>
      <c r="AC210" s="59"/>
      <c r="AD210" s="60"/>
      <c r="AE210" s="54"/>
    </row>
    <row r="211" spans="1:31" ht="21.25" customHeight="1" x14ac:dyDescent="0.15">
      <c r="A211" s="9" t="s">
        <v>297</v>
      </c>
      <c r="B211" s="65" t="str">
        <f>VLOOKUP(A211,'Player Data'!A1:B667,2,FALSE)</f>
        <v>VAN</v>
      </c>
      <c r="C211" s="51">
        <f>((E211)*Settings!$C$12)+(F211*Settings!$C$2)+(G211*Settings!$C$3)+(H211*Settings!$C$4)+(I211*Settings!$C$5)+(K211*Settings!$C$9)+(N211*Settings!$C$6)+(J211*Settings!$C$8)+(O211*Settings!$C$7)+(P211*Settings!$C$14)+(Q211*Settings!$C$15)+(R211*Settings!$C$16)+(S211*Settings!$C$17)+(T211*Settings!$C$18)+(U211*Settings!$C$19)+(L211*Settings!$C$10)+(Settings!$C$11*M211)</f>
        <v>2.2135657842122605</v>
      </c>
      <c r="D211" s="56">
        <f>IF(Settings!$E$12="YES",VLOOKUP(A211,'Player Data'!A1:E667,5,FALSE),82)</f>
        <v>78.977500000000006</v>
      </c>
      <c r="E211" s="54">
        <f>(VLOOKUP($A211,'The List'!$B1:$AH665,17,FALSE)-AVERAGE('The List'!R2:R665))/STDEV('The List'!R2:R665)</f>
        <v>1.5360426551575852</v>
      </c>
      <c r="F211" s="54">
        <f>(VLOOKUP($A211,'The List'!$B1:$AH665,18,FALSE)-AVERAGE('The List'!S2:S665))/STDEV('The List'!S2:S665)</f>
        <v>-0.69888925762392895</v>
      </c>
      <c r="G211" s="54">
        <f>(VLOOKUP($A211,'The List'!$B1:$AH665,19,FALSE)-AVERAGE('The List'!T2:T665))/STDEV('The List'!T2:T665)</f>
        <v>0.8764378097711536</v>
      </c>
      <c r="H211" s="54">
        <f>(VLOOKUP($A211,'The List'!$B1:$AH665,20,FALSE)-AVERAGE('The List'!U2:U665))/STDEV('The List'!U2:U665)</f>
        <v>0.22663877184986603</v>
      </c>
      <c r="I211" s="54">
        <f>(VLOOKUP($A211,'The List'!$B1:$AH665,21,FALSE)-AVERAGE('The List'!V2:V665))/STDEV('The List'!V2:V665)</f>
        <v>0.12707165727435668</v>
      </c>
      <c r="J211" s="54">
        <f>(VLOOKUP($A211,'The List'!$B1:$AH665,22,FALSE)-AVERAGE('The List'!W2:W665))/STDEV('The List'!W2:W665)</f>
        <v>-0.30856103976342625</v>
      </c>
      <c r="K211" s="54">
        <f>(VLOOKUP($A211,'The List'!$B1:$AH665,23,FALSE)-AVERAGE('The List'!X2:X665))/STDEV('The List'!X2:X665)</f>
        <v>-7.4655486152718081E-2</v>
      </c>
      <c r="L211" s="54">
        <f>(VLOOKUP($A211,'The List'!$B1:$AH665,24,FALSE)-AVERAGE('The List'!Y2:Y665))/STDEV('The List'!Y2:Y665)</f>
        <v>-0.54501465793465265</v>
      </c>
      <c r="M211" s="54">
        <f>(VLOOKUP($A211,'The List'!$B1:$AH665,25,FALSE)-AVERAGE('The List'!Z2:Z665))/STDEV('The List'!Z2:Z665)</f>
        <v>-0.64940005634022047</v>
      </c>
      <c r="N211" s="54">
        <f>(VLOOKUP($A211,'The List'!$B1:$AH665,26,FALSE)-AVERAGE('The List'!AA2:AA665))/STDEV('The List'!AA2:AA665)</f>
        <v>0.59807102683167435</v>
      </c>
      <c r="O211" s="54">
        <f>(VLOOKUP($A211,'The List'!$B1:$AH665,27,FALSE)-AVERAGE('The List'!AB2:AB665))/STDEV('The List'!AB2:AB665)</f>
        <v>0.19197801692324951</v>
      </c>
      <c r="P211" s="54">
        <f>(VLOOKUP($A211,'The List'!$B1:$AH665,28,FALSE)-AVERAGE('The List'!AC2:AC665))/STDEV('The List'!AC2:AC665)</f>
        <v>1.3855300341117227</v>
      </c>
      <c r="Q211" s="54">
        <f>(VLOOKUP($A211,'The List'!$B1:$AH665,29,FALSE)-AVERAGE('The List'!AD2:AD665))/STDEV('The List'!AD2:AD665)</f>
        <v>0.21489804834901777</v>
      </c>
      <c r="R211" s="54">
        <f>(VLOOKUP($A211,'The List'!$B1:$AH665,30,FALSE)-AVERAGE('The List'!AE2:AE665))/STDEV('The List'!AE2:AE665)</f>
        <v>-0.57941946091468621</v>
      </c>
      <c r="S211" s="54">
        <f>(VLOOKUP($A211,'The List'!$B1:$AH665,31,FALSE)-AVERAGE('The List'!AF2:AF665))/STDEV('The List'!AF2:AF665)</f>
        <v>-0.57389441068000469</v>
      </c>
      <c r="T211" s="54">
        <f>(VLOOKUP($A211,'The List'!$B1:$AH665,32,FALSE)-AVERAGE('The List'!AG2:AG665))/STDEV('The List'!AG2:AG665)</f>
        <v>-0.62577078713265111</v>
      </c>
      <c r="U211" s="54">
        <f>(VLOOKUP($A211,'The List'!$B1:$AH665,33,FALSE)-AVERAGE('The List'!AH2:AH665))/STDEV('The List'!AH2:AH665)</f>
        <v>-1.2314350945148611</v>
      </c>
      <c r="V211" s="54"/>
      <c r="W211" s="56"/>
      <c r="X211" s="54"/>
      <c r="Y211" s="54"/>
      <c r="Z211" s="54"/>
      <c r="AA211" s="54"/>
      <c r="AB211" s="54"/>
      <c r="AC211" s="54"/>
      <c r="AD211" s="54"/>
      <c r="AE211" s="54"/>
    </row>
    <row r="212" spans="1:31" ht="21.25" customHeight="1" x14ac:dyDescent="0.15">
      <c r="A212" s="9" t="s">
        <v>371</v>
      </c>
      <c r="B212" s="65" t="str">
        <f>VLOOKUP(A212,'Player Data'!A1:B667,2,FALSE)</f>
        <v>PHI</v>
      </c>
      <c r="C212" s="51">
        <f>((E212)*Settings!$C$12)+(F212*Settings!$C$2)+(G212*Settings!$C$3)+(H212*Settings!$C$4)+(I212*Settings!$C$5)+(K212*Settings!$C$9)+(N212*Settings!$C$6)+(J212*Settings!$C$8)+(O212*Settings!$C$7)+(P212*Settings!$C$14)+(Q212*Settings!$C$15)+(R212*Settings!$C$16)+(S212*Settings!$C$17)+(T212*Settings!$C$18)+(U212*Settings!$C$19)+(L212*Settings!$C$10)+(Settings!$C$11*M212)</f>
        <v>0.23165420376082674</v>
      </c>
      <c r="D212" s="56">
        <f>IF(Settings!$E$12="YES",VLOOKUP(A212,'Player Data'!A1:E667,5,FALSE),82)</f>
        <v>78.605000000000004</v>
      </c>
      <c r="E212" s="54">
        <f>(VLOOKUP($A212,'The List'!$B1:$AH665,17,FALSE)-AVERAGE('The List'!R2:R665))/STDEV('The List'!R2:R665)</f>
        <v>-4.2112126229567788E-2</v>
      </c>
      <c r="F212" s="54">
        <f>(VLOOKUP($A212,'The List'!$B1:$AH665,18,FALSE)-AVERAGE('The List'!S2:S665))/STDEV('The List'!S2:S665)</f>
        <v>0.81465075402611764</v>
      </c>
      <c r="G212" s="54">
        <f>(VLOOKUP($A212,'The List'!$B1:$AH665,19,FALSE)-AVERAGE('The List'!T2:T665))/STDEV('The List'!T2:T665)</f>
        <v>-0.24787674109944269</v>
      </c>
      <c r="H212" s="54">
        <f>(VLOOKUP($A212,'The List'!$B1:$AH665,20,FALSE)-AVERAGE('The List'!U2:U665))/STDEV('The List'!U2:U665)</f>
        <v>0.21635209729912944</v>
      </c>
      <c r="I212" s="54">
        <f>(VLOOKUP($A212,'The List'!$B1:$AH665,21,FALSE)-AVERAGE('The List'!V2:V665))/STDEV('The List'!V2:V665)</f>
        <v>0.4976164902249875</v>
      </c>
      <c r="J212" s="54">
        <f>(VLOOKUP($A212,'The List'!$B1:$AH665,22,FALSE)-AVERAGE('The List'!W2:W665))/STDEV('The List'!W2:W665)</f>
        <v>-0.15379306736441684</v>
      </c>
      <c r="K212" s="54">
        <f>(VLOOKUP($A212,'The List'!$B1:$AH665,23,FALSE)-AVERAGE('The List'!X2:X665))/STDEV('The List'!X2:X665)</f>
        <v>-0.16096761159491482</v>
      </c>
      <c r="L212" s="54">
        <f>(VLOOKUP($A212,'The List'!$B1:$AH665,24,FALSE)-AVERAGE('The List'!Y2:Y665))/STDEV('The List'!Y2:Y665)</f>
        <v>-0.46928253171398648</v>
      </c>
      <c r="M212" s="54">
        <f>(VLOOKUP($A212,'The List'!$B1:$AH665,25,FALSE)-AVERAGE('The List'!Z2:Z665))/STDEV('The List'!Z2:Z665)</f>
        <v>-0.6773988429969594</v>
      </c>
      <c r="N212" s="54">
        <f>(VLOOKUP($A212,'The List'!$B1:$AH665,26,FALSE)-AVERAGE('The List'!AA2:AA665))/STDEV('The List'!AA2:AA665)</f>
        <v>-0.38112509173509879</v>
      </c>
      <c r="O212" s="54">
        <f>(VLOOKUP($A212,'The List'!$B1:$AH665,27,FALSE)-AVERAGE('The List'!AB2:AB665))/STDEV('The List'!AB2:AB665)</f>
        <v>6.9401544856879979E-2</v>
      </c>
      <c r="P212" s="54">
        <f>(VLOOKUP($A212,'The List'!$B1:$AH665,28,FALSE)-AVERAGE('The List'!AC2:AC665))/STDEV('The List'!AC2:AC665)</f>
        <v>-0.29064359606082218</v>
      </c>
      <c r="Q212" s="54">
        <f>(VLOOKUP($A212,'The List'!$B1:$AH665,29,FALSE)-AVERAGE('The List'!AD2:AD665))/STDEV('The List'!AD2:AD665)</f>
        <v>0.14646161935611063</v>
      </c>
      <c r="R212" s="54">
        <f>(VLOOKUP($A212,'The List'!$B1:$AH665,30,FALSE)-AVERAGE('The List'!AE2:AE665))/STDEV('The List'!AE2:AE665)</f>
        <v>0.72357240844022175</v>
      </c>
      <c r="S212" s="54">
        <f>(VLOOKUP($A212,'The List'!$B1:$AH665,31,FALSE)-AVERAGE('The List'!AF2:AF665))/STDEV('The List'!AF2:AF665)</f>
        <v>-0.56958129369172028</v>
      </c>
      <c r="T212" s="54">
        <f>(VLOOKUP($A212,'The List'!$B1:$AH665,32,FALSE)-AVERAGE('The List'!AG2:AG665))/STDEV('The List'!AG2:AG665)</f>
        <v>-0.61545873084862102</v>
      </c>
      <c r="U212" s="54">
        <f>(VLOOKUP($A212,'The List'!$B1:$AH665,33,FALSE)-AVERAGE('The List'!AH2:AH665))/STDEV('The List'!AH2:AH665)</f>
        <v>0.16429743503359184</v>
      </c>
      <c r="V212" s="54"/>
      <c r="W212" s="64"/>
      <c r="X212" s="56"/>
      <c r="Y212" s="56"/>
      <c r="Z212" s="56"/>
      <c r="AA212" s="56"/>
      <c r="AB212" s="56"/>
      <c r="AC212" s="59"/>
      <c r="AD212" s="60"/>
      <c r="AE212" s="54"/>
    </row>
    <row r="213" spans="1:31" ht="21.25" customHeight="1" x14ac:dyDescent="0.15">
      <c r="A213" s="9" t="s">
        <v>510</v>
      </c>
      <c r="B213" s="65" t="str">
        <f>VLOOKUP(A213,'Player Data'!A1:B667,2,FALSE)</f>
        <v>MTL</v>
      </c>
      <c r="C213" s="51">
        <f>((E213)*Settings!$C$12)+(F213*Settings!$C$2)+(G213*Settings!$C$3)+(H213*Settings!$C$4)+(I213*Settings!$C$5)+(K213*Settings!$C$9)+(N213*Settings!$C$6)+(J213*Settings!$C$8)+(O213*Settings!$C$7)+(P213*Settings!$C$14)+(Q213*Settings!$C$15)+(R213*Settings!$C$16)+(S213*Settings!$C$17)+(T213*Settings!$C$18)+(U213*Settings!$C$19)+(L213*Settings!$C$10)+(Settings!$C$11*M213)</f>
        <v>-1.838647375127419</v>
      </c>
      <c r="D213" s="56">
        <f>IF(Settings!$E$12="YES",VLOOKUP(A213,'Player Data'!A1:E667,5,FALSE),82)</f>
        <v>76.137500000000003</v>
      </c>
      <c r="E213" s="54">
        <f>(VLOOKUP($A213,'The List'!$B1:$AH665,17,FALSE)-AVERAGE('The List'!R2:R665))/STDEV('The List'!R2:R665)</f>
        <v>-0.3655083329748593</v>
      </c>
      <c r="F213" s="54">
        <f>(VLOOKUP($A213,'The List'!$B1:$AH665,18,FALSE)-AVERAGE('The List'!S2:S665))/STDEV('The List'!S2:S665)</f>
        <v>0.4130945485195639</v>
      </c>
      <c r="G213" s="54">
        <f>(VLOOKUP($A213,'The List'!$B1:$AH665,19,FALSE)-AVERAGE('The List'!T2:T665))/STDEV('The List'!T2:T665)</f>
        <v>-5.9426965773272215E-2</v>
      </c>
      <c r="H213" s="54">
        <f>(VLOOKUP($A213,'The List'!$B1:$AH665,20,FALSE)-AVERAGE('The List'!U2:U665))/STDEV('The List'!U2:U665)</f>
        <v>0.15086362105080556</v>
      </c>
      <c r="I213" s="54">
        <f>(VLOOKUP($A213,'The List'!$B1:$AH665,21,FALSE)-AVERAGE('The List'!V2:V665))/STDEV('The List'!V2:V665)</f>
        <v>-0.25150577475085928</v>
      </c>
      <c r="J213" s="54">
        <f>(VLOOKUP($A213,'The List'!$B1:$AH665,22,FALSE)-AVERAGE('The List'!W2:W665))/STDEV('The List'!W2:W665)</f>
        <v>-0.21227375642556426</v>
      </c>
      <c r="K213" s="54">
        <f>(VLOOKUP($A213,'The List'!$B1:$AH665,23,FALSE)-AVERAGE('The List'!X2:X665))/STDEV('The List'!X2:X665)</f>
        <v>-0.23626837288009214</v>
      </c>
      <c r="L213" s="54">
        <f>(VLOOKUP($A213,'The List'!$B1:$AH665,24,FALSE)-AVERAGE('The List'!Y2:Y665))/STDEV('The List'!Y2:Y665)</f>
        <v>-0.56193186465640343</v>
      </c>
      <c r="M213" s="54">
        <f>(VLOOKUP($A213,'The List'!$B1:$AH665,25,FALSE)-AVERAGE('The List'!Z2:Z665))/STDEV('The List'!Z2:Z665)</f>
        <v>-0.73541837265929655</v>
      </c>
      <c r="N213" s="54">
        <f>(VLOOKUP($A213,'The List'!$B1:$AH665,26,FALSE)-AVERAGE('The List'!AA2:AA665))/STDEV('The List'!AA2:AA665)</f>
        <v>-0.67399691920375293</v>
      </c>
      <c r="O213" s="54">
        <f>(VLOOKUP($A213,'The List'!$B1:$AH665,27,FALSE)-AVERAGE('The List'!AB2:AB665))/STDEV('The List'!AB2:AB665)</f>
        <v>-0.74700330406062976</v>
      </c>
      <c r="P213" s="54">
        <f>(VLOOKUP($A213,'The List'!$B1:$AH665,28,FALSE)-AVERAGE('The List'!AC2:AC665))/STDEV('The List'!AC2:AC665)</f>
        <v>-1.0305438910390063</v>
      </c>
      <c r="Q213" s="54">
        <f>(VLOOKUP($A213,'The List'!$B1:$AH665,29,FALSE)-AVERAGE('The List'!AD2:AD665))/STDEV('The List'!AD2:AD665)</f>
        <v>-0.60670324153290367</v>
      </c>
      <c r="R213" s="54">
        <f>(VLOOKUP($A213,'The List'!$B1:$AH665,30,FALSE)-AVERAGE('The List'!AE2:AE665))/STDEV('The List'!AE2:AE665)</f>
        <v>2.4327269362294197E-2</v>
      </c>
      <c r="S213" s="54">
        <f>(VLOOKUP($A213,'The List'!$B1:$AH665,31,FALSE)-AVERAGE('The List'!AF2:AF665))/STDEV('The List'!AF2:AF665)</f>
        <v>0.60714471896245992</v>
      </c>
      <c r="T213" s="54">
        <f>(VLOOKUP($A213,'The List'!$B1:$AH665,32,FALSE)-AVERAGE('The List'!AG2:AG665))/STDEV('The List'!AG2:AG665)</f>
        <v>1.1242967421130259</v>
      </c>
      <c r="U213" s="54">
        <f>(VLOOKUP($A213,'The List'!$B1:$AH665,33,FALSE)-AVERAGE('The List'!AH2:AH665))/STDEV('The List'!AH2:AH665)</f>
        <v>0.66275562428261858</v>
      </c>
      <c r="V213" s="54"/>
      <c r="W213" s="56"/>
      <c r="X213" s="54"/>
      <c r="Y213" s="54"/>
      <c r="Z213" s="54"/>
      <c r="AA213" s="54"/>
      <c r="AB213" s="54"/>
      <c r="AC213" s="54"/>
      <c r="AD213" s="54"/>
      <c r="AE213" s="54"/>
    </row>
    <row r="214" spans="1:31" ht="21.25" customHeight="1" x14ac:dyDescent="0.15">
      <c r="A214" s="9" t="s">
        <v>517</v>
      </c>
      <c r="B214" s="65" t="str">
        <f>VLOOKUP(A214,'Player Data'!A1:B667,2,FALSE)</f>
        <v>VAN</v>
      </c>
      <c r="C214" s="51">
        <f>((E214)*Settings!$C$12)+(F214*Settings!$C$2)+(G214*Settings!$C$3)+(H214*Settings!$C$4)+(I214*Settings!$C$5)+(K214*Settings!$C$9)+(N214*Settings!$C$6)+(J214*Settings!$C$8)+(O214*Settings!$C$7)+(P214*Settings!$C$14)+(Q214*Settings!$C$15)+(R214*Settings!$C$16)+(S214*Settings!$C$17)+(T214*Settings!$C$18)+(U214*Settings!$C$19)+(L214*Settings!$C$10)+(Settings!$C$11*M214)</f>
        <v>4.5156283971242051E-2</v>
      </c>
      <c r="D214" s="56">
        <f>IF(Settings!$E$12="YES",VLOOKUP(A214,'Player Data'!A1:E667,5,FALSE),82)</f>
        <v>71.637500000000003</v>
      </c>
      <c r="E214" s="54">
        <f>(VLOOKUP($A214,'The List'!$B1:$AH665,17,FALSE)-AVERAGE('The List'!R2:R665))/STDEV('The List'!R2:R665)</f>
        <v>-0.71499543457096493</v>
      </c>
      <c r="F214" s="54">
        <f>(VLOOKUP($A214,'The List'!$B1:$AH665,18,FALSE)-AVERAGE('The List'!S2:S665))/STDEV('The List'!S2:S665)</f>
        <v>0.74290673910539096</v>
      </c>
      <c r="G214" s="54">
        <f>(VLOOKUP($A214,'The List'!$B1:$AH665,19,FALSE)-AVERAGE('The List'!T2:T665))/STDEV('The List'!T2:T665)</f>
        <v>-0.47950196573202652</v>
      </c>
      <c r="H214" s="54">
        <f>(VLOOKUP($A214,'The List'!$B1:$AH665,20,FALSE)-AVERAGE('The List'!U2:U665))/STDEV('The List'!U2:U665)</f>
        <v>3.9888743904508799E-2</v>
      </c>
      <c r="I214" s="54">
        <f>(VLOOKUP($A214,'The List'!$B1:$AH665,21,FALSE)-AVERAGE('The List'!V2:V665))/STDEV('The List'!V2:V665)</f>
        <v>-1.8113022085063032E-2</v>
      </c>
      <c r="J214" s="54">
        <f>(VLOOKUP($A214,'The List'!$B1:$AH665,22,FALSE)-AVERAGE('The List'!W2:W665))/STDEV('The List'!W2:W665)</f>
        <v>-0.43826135506910485</v>
      </c>
      <c r="K214" s="54">
        <f>(VLOOKUP($A214,'The List'!$B1:$AH665,23,FALSE)-AVERAGE('The List'!X2:X665))/STDEV('The List'!X2:X665)</f>
        <v>-0.54235944089273957</v>
      </c>
      <c r="L214" s="54">
        <f>(VLOOKUP($A214,'The List'!$B1:$AH665,24,FALSE)-AVERAGE('The List'!Y2:Y665))/STDEV('The List'!Y2:Y665)</f>
        <v>-0.57570967677762941</v>
      </c>
      <c r="M214" s="54">
        <f>(VLOOKUP($A214,'The List'!$B1:$AH665,25,FALSE)-AVERAGE('The List'!Z2:Z665))/STDEV('The List'!Z2:Z665)</f>
        <v>-0.74944181099243734</v>
      </c>
      <c r="N214" s="54">
        <f>(VLOOKUP($A214,'The List'!$B1:$AH665,26,FALSE)-AVERAGE('The List'!AA2:AA665))/STDEV('The List'!AA2:AA665)</f>
        <v>-1.0166735447116959</v>
      </c>
      <c r="O214" s="54">
        <f>(VLOOKUP($A214,'The List'!$B1:$AH665,27,FALSE)-AVERAGE('The List'!AB2:AB665))/STDEV('The List'!AB2:AB665)</f>
        <v>-9.5287198501371809E-3</v>
      </c>
      <c r="P214" s="54">
        <f>(VLOOKUP($A214,'The List'!$B1:$AH665,28,FALSE)-AVERAGE('The List'!AC2:AC665))/STDEV('The List'!AC2:AC665)</f>
        <v>1.3588975182873761</v>
      </c>
      <c r="Q214" s="54">
        <f>(VLOOKUP($A214,'The List'!$B1:$AH665,29,FALSE)-AVERAGE('The List'!AD2:AD665))/STDEV('The List'!AD2:AD665)</f>
        <v>0.18983799394166298</v>
      </c>
      <c r="R214" s="54">
        <f>(VLOOKUP($A214,'The List'!$B1:$AH665,30,FALSE)-AVERAGE('The List'!AE2:AE665))/STDEV('The List'!AE2:AE665)</f>
        <v>1.0009983065393404</v>
      </c>
      <c r="S214" s="54">
        <f>(VLOOKUP($A214,'The List'!$B1:$AH665,31,FALSE)-AVERAGE('The List'!AF2:AF665))/STDEV('The List'!AF2:AF665)</f>
        <v>-0.5737045077312638</v>
      </c>
      <c r="T214" s="54">
        <f>(VLOOKUP($A214,'The List'!$B1:$AH665,32,FALSE)-AVERAGE('The List'!AG2:AG665))/STDEV('The List'!AG2:AG665)</f>
        <v>-0.62325708380436606</v>
      </c>
      <c r="U214" s="54">
        <f>(VLOOKUP($A214,'The List'!$B1:$AH665,33,FALSE)-AVERAGE('The List'!AH2:AH665))/STDEV('The List'!AH2:AH665)</f>
        <v>-0.89427278928983767</v>
      </c>
      <c r="V214" s="54"/>
      <c r="W214" s="64"/>
      <c r="X214" s="56"/>
      <c r="Y214" s="56"/>
      <c r="Z214" s="56"/>
      <c r="AA214" s="56"/>
      <c r="AB214" s="56"/>
      <c r="AC214" s="59"/>
      <c r="AD214" s="60"/>
      <c r="AE214" s="54"/>
    </row>
    <row r="215" spans="1:31" ht="21.25" customHeight="1" x14ac:dyDescent="0.15">
      <c r="A215" s="9" t="s">
        <v>474</v>
      </c>
      <c r="B215" s="65" t="str">
        <f>VLOOKUP(A215,'Player Data'!A1:B667,2,FALSE)</f>
        <v>CGY</v>
      </c>
      <c r="C215" s="51">
        <f>((E215)*Settings!$C$12)+(F215*Settings!$C$2)+(G215*Settings!$C$3)+(H215*Settings!$C$4)+(I215*Settings!$C$5)+(K215*Settings!$C$9)+(N215*Settings!$C$6)+(J215*Settings!$C$8)+(O215*Settings!$C$7)+(P215*Settings!$C$14)+(Q215*Settings!$C$15)+(R215*Settings!$C$16)+(S215*Settings!$C$17)+(T215*Settings!$C$18)+(U215*Settings!$C$19)+(L215*Settings!$C$10)+(Settings!$C$11*M215)</f>
        <v>-1.3677648427083873</v>
      </c>
      <c r="D215" s="56">
        <f>IF(Settings!$E$12="YES",VLOOKUP(A215,'Player Data'!A1:E667,5,FALSE),82)</f>
        <v>74.144999999999996</v>
      </c>
      <c r="E215" s="54">
        <f>(VLOOKUP($A215,'The List'!$B1:$AH665,17,FALSE)-AVERAGE('The List'!R2:R665))/STDEV('The List'!R2:R665)</f>
        <v>-0.50378424049502202</v>
      </c>
      <c r="F215" s="54">
        <f>(VLOOKUP($A215,'The List'!$B1:$AH665,18,FALSE)-AVERAGE('The List'!S2:S665))/STDEV('The List'!S2:S665)</f>
        <v>0.26299588027536325</v>
      </c>
      <c r="G215" s="54">
        <f>(VLOOKUP($A215,'The List'!$B1:$AH665,19,FALSE)-AVERAGE('The List'!T2:T665))/STDEV('The List'!T2:T665)</f>
        <v>-3.4774245057864084E-2</v>
      </c>
      <c r="H215" s="54">
        <f>(VLOOKUP($A215,'The List'!$B1:$AH665,20,FALSE)-AVERAGE('The List'!U2:U665))/STDEV('The List'!U2:U665)</f>
        <v>9.7947367311666339E-2</v>
      </c>
      <c r="I215" s="54">
        <f>(VLOOKUP($A215,'The List'!$B1:$AH665,21,FALSE)-AVERAGE('The List'!V2:V665))/STDEV('The List'!V2:V665)</f>
        <v>-0.37159912713974841</v>
      </c>
      <c r="J215" s="54">
        <f>(VLOOKUP($A215,'The List'!$B1:$AH665,22,FALSE)-AVERAGE('The List'!W2:W665))/STDEV('The List'!W2:W665)</f>
        <v>-0.25022590216298063</v>
      </c>
      <c r="K215" s="54">
        <f>(VLOOKUP($A215,'The List'!$B1:$AH665,23,FALSE)-AVERAGE('The List'!X2:X665))/STDEV('The List'!X2:X665)</f>
        <v>-0.24776626185570741</v>
      </c>
      <c r="L215" s="54">
        <f>(VLOOKUP($A215,'The List'!$B1:$AH665,24,FALSE)-AVERAGE('The List'!Y2:Y665))/STDEV('The List'!Y2:Y665)</f>
        <v>-0.57832398586845146</v>
      </c>
      <c r="M215" s="54">
        <f>(VLOOKUP($A215,'The List'!$B1:$AH665,25,FALSE)-AVERAGE('The List'!Z2:Z665))/STDEV('The List'!Z2:Z665)</f>
        <v>-0.75214710953771513</v>
      </c>
      <c r="N215" s="54">
        <f>(VLOOKUP($A215,'The List'!$B1:$AH665,26,FALSE)-AVERAGE('The List'!AA2:AA665))/STDEV('The List'!AA2:AA665)</f>
        <v>-0.73971309890632786</v>
      </c>
      <c r="O215" s="54">
        <f>(VLOOKUP($A215,'The List'!$B1:$AH665,27,FALSE)-AVERAGE('The List'!AB2:AB665))/STDEV('The List'!AB2:AB665)</f>
        <v>-1.0524315046739634</v>
      </c>
      <c r="P215" s="54">
        <f>(VLOOKUP($A215,'The List'!$B1:$AH665,28,FALSE)-AVERAGE('The List'!AC2:AC665))/STDEV('The List'!AC2:AC665)</f>
        <v>-0.23690799002410257</v>
      </c>
      <c r="Q215" s="54">
        <f>(VLOOKUP($A215,'The List'!$B1:$AH665,29,FALSE)-AVERAGE('The List'!AD2:AD665))/STDEV('The List'!AD2:AD665)</f>
        <v>-0.30183564788925027</v>
      </c>
      <c r="R215" s="54">
        <f>(VLOOKUP($A215,'The List'!$B1:$AH665,30,FALSE)-AVERAGE('The List'!AE2:AE665))/STDEV('The List'!AE2:AE665)</f>
        <v>0.21374615100518041</v>
      </c>
      <c r="S215" s="54">
        <f>(VLOOKUP($A215,'The List'!$B1:$AH665,31,FALSE)-AVERAGE('The List'!AF2:AF665))/STDEV('The List'!AF2:AF665)</f>
        <v>-0.30019403580649706</v>
      </c>
      <c r="T215" s="54">
        <f>(VLOOKUP($A215,'The List'!$B1:$AH665,32,FALSE)-AVERAGE('The List'!AG2:AG665))/STDEV('The List'!AG2:AG665)</f>
        <v>-0.26929737048110558</v>
      </c>
      <c r="U215" s="54">
        <f>(VLOOKUP($A215,'The List'!$B1:$AH665,33,FALSE)-AVERAGE('The List'!AH2:AH665))/STDEV('The List'!AH2:AH665)</f>
        <v>0.80636186714344493</v>
      </c>
      <c r="V215" s="54"/>
      <c r="W215" s="56"/>
      <c r="X215" s="54"/>
      <c r="Y215" s="54"/>
      <c r="Z215" s="54"/>
      <c r="AA215" s="54"/>
      <c r="AB215" s="54"/>
      <c r="AC215" s="54"/>
      <c r="AD215" s="54"/>
      <c r="AE215" s="54"/>
    </row>
    <row r="216" spans="1:31" ht="21.25" customHeight="1" x14ac:dyDescent="0.15">
      <c r="A216" s="9" t="s">
        <v>355</v>
      </c>
      <c r="B216" s="65" t="str">
        <f>VLOOKUP(A216,'Player Data'!A1:B667,2,FALSE)</f>
        <v>MIN</v>
      </c>
      <c r="C216" s="51">
        <f>((E216)*Settings!$C$12)+(F216*Settings!$C$2)+(G216*Settings!$C$3)+(H216*Settings!$C$4)+(I216*Settings!$C$5)+(K216*Settings!$C$9)+(N216*Settings!$C$6)+(J216*Settings!$C$8)+(O216*Settings!$C$7)+(P216*Settings!$C$14)+(Q216*Settings!$C$15)+(R216*Settings!$C$16)+(S216*Settings!$C$17)+(T216*Settings!$C$18)+(U216*Settings!$C$19)+(L216*Settings!$C$10)+(Settings!$C$11*M216)</f>
        <v>0.8196395980386556</v>
      </c>
      <c r="D216" s="56">
        <f>IF(Settings!$E$12="YES",VLOOKUP(A216,'Player Data'!A1:E667,5,FALSE),82)</f>
        <v>77.447500000000005</v>
      </c>
      <c r="E216" s="54">
        <f>(VLOOKUP($A216,'The List'!$B1:$AH665,17,FALSE)-AVERAGE('The List'!R2:R665))/STDEV('The List'!R2:R665)</f>
        <v>-0.37595287140699202</v>
      </c>
      <c r="F216" s="54">
        <f>(VLOOKUP($A216,'The List'!$B1:$AH665,18,FALSE)-AVERAGE('The List'!S2:S665))/STDEV('The List'!S2:S665)</f>
        <v>0.49659287391913393</v>
      </c>
      <c r="G216" s="54">
        <f>(VLOOKUP($A216,'The List'!$B1:$AH665,19,FALSE)-AVERAGE('The List'!T2:T665))/STDEV('The List'!T2:T665)</f>
        <v>-8.2034233631344017E-2</v>
      </c>
      <c r="H216" s="54">
        <f>(VLOOKUP($A216,'The List'!$B1:$AH665,20,FALSE)-AVERAGE('The List'!U2:U665))/STDEV('The List'!U2:U665)</f>
        <v>0.17477719443501033</v>
      </c>
      <c r="I216" s="54">
        <f>(VLOOKUP($A216,'The List'!$B1:$AH665,21,FALSE)-AVERAGE('The List'!V2:V665))/STDEV('The List'!V2:V665)</f>
        <v>0.59850956159765378</v>
      </c>
      <c r="J216" s="54">
        <f>(VLOOKUP($A216,'The List'!$B1:$AH665,22,FALSE)-AVERAGE('The List'!W2:W665))/STDEV('The List'!W2:W665)</f>
        <v>-7.4492223693182577E-2</v>
      </c>
      <c r="K216" s="54">
        <f>(VLOOKUP($A216,'The List'!$B1:$AH665,23,FALSE)-AVERAGE('The List'!X2:X665))/STDEV('The List'!X2:X665)</f>
        <v>-0.2256206851946333</v>
      </c>
      <c r="L216" s="54">
        <f>(VLOOKUP($A216,'The List'!$B1:$AH665,24,FALSE)-AVERAGE('The List'!Y2:Y665))/STDEV('The List'!Y2:Y665)</f>
        <v>0.41262683144884416</v>
      </c>
      <c r="M216" s="54">
        <f>(VLOOKUP($A216,'The List'!$B1:$AH665,25,FALSE)-AVERAGE('The List'!Z2:Z665))/STDEV('The List'!Z2:Z665)</f>
        <v>0.17600785339849706</v>
      </c>
      <c r="N216" s="54">
        <f>(VLOOKUP($A216,'The List'!$B1:$AH665,26,FALSE)-AVERAGE('The List'!AA2:AA665))/STDEV('The List'!AA2:AA665)</f>
        <v>-0.1690799218766148</v>
      </c>
      <c r="O216" s="54">
        <f>(VLOOKUP($A216,'The List'!$B1:$AH665,27,FALSE)-AVERAGE('The List'!AB2:AB665))/STDEV('The List'!AB2:AB665)</f>
        <v>-0.3806529729487419</v>
      </c>
      <c r="P216" s="54">
        <f>(VLOOKUP($A216,'The List'!$B1:$AH665,28,FALSE)-AVERAGE('The List'!AC2:AC665))/STDEV('The List'!AC2:AC665)</f>
        <v>0.20127200322446018</v>
      </c>
      <c r="Q216" s="54">
        <f>(VLOOKUP($A216,'The List'!$B1:$AH665,29,FALSE)-AVERAGE('The List'!AD2:AD665))/STDEV('The List'!AD2:AD665)</f>
        <v>1.8922385671648949</v>
      </c>
      <c r="R216" s="54">
        <f>(VLOOKUP($A216,'The List'!$B1:$AH665,30,FALSE)-AVERAGE('The List'!AE2:AE665))/STDEV('The List'!AE2:AE665)</f>
        <v>0.66410603482016151</v>
      </c>
      <c r="S216" s="54">
        <f>(VLOOKUP($A216,'The List'!$B1:$AH665,31,FALSE)-AVERAGE('The List'!AF2:AF665))/STDEV('The List'!AF2:AF665)</f>
        <v>1.156074923728744</v>
      </c>
      <c r="T216" s="54">
        <f>(VLOOKUP($A216,'The List'!$B1:$AH665,32,FALSE)-AVERAGE('The List'!AG2:AG665))/STDEV('The List'!AG2:AG665)</f>
        <v>1.6047115139975672</v>
      </c>
      <c r="U216" s="54">
        <f>(VLOOKUP($A216,'The List'!$B1:$AH665,33,FALSE)-AVERAGE('The List'!AH2:AH665))/STDEV('The List'!AH2:AH665)</f>
        <v>0.81770989235981884</v>
      </c>
      <c r="V216" s="54"/>
      <c r="W216" s="64"/>
      <c r="X216" s="56"/>
      <c r="Y216" s="56"/>
      <c r="Z216" s="56"/>
      <c r="AA216" s="56"/>
      <c r="AB216" s="56"/>
      <c r="AC216" s="59"/>
      <c r="AD216" s="60"/>
      <c r="AE216" s="54"/>
    </row>
    <row r="217" spans="1:31" ht="21.25" customHeight="1" x14ac:dyDescent="0.15">
      <c r="A217" s="9" t="s">
        <v>253</v>
      </c>
      <c r="B217" s="65" t="str">
        <f>VLOOKUP(A217,'Player Data'!A1:B667,2,FALSE)</f>
        <v>CAR</v>
      </c>
      <c r="C217" s="51">
        <f>((E217)*Settings!$C$12)+(F217*Settings!$C$2)+(G217*Settings!$C$3)+(H217*Settings!$C$4)+(I217*Settings!$C$5)+(K217*Settings!$C$9)+(N217*Settings!$C$6)+(J217*Settings!$C$8)+(O217*Settings!$C$7)+(P217*Settings!$C$14)+(Q217*Settings!$C$15)+(R217*Settings!$C$16)+(S217*Settings!$C$17)+(T217*Settings!$C$18)+(U217*Settings!$C$19)+(L217*Settings!$C$10)+(Settings!$C$11*M217)</f>
        <v>4.6359948762641139</v>
      </c>
      <c r="D217" s="56">
        <f>IF(Settings!$E$12="YES",VLOOKUP(A217,'Player Data'!A1:E667,5,FALSE),82)</f>
        <v>82.03</v>
      </c>
      <c r="E217" s="54">
        <f>(VLOOKUP($A217,'The List'!$B1:$AH665,17,FALSE)-AVERAGE('The List'!R2:R665))/STDEV('The List'!R2:R665)</f>
        <v>1.4066411099463951</v>
      </c>
      <c r="F217" s="54">
        <f>(VLOOKUP($A217,'The List'!$B1:$AH665,18,FALSE)-AVERAGE('The List'!S2:S665))/STDEV('The List'!S2:S665)</f>
        <v>-0.3436820543315815</v>
      </c>
      <c r="G217" s="54">
        <f>(VLOOKUP($A217,'The List'!$B1:$AH665,19,FALSE)-AVERAGE('The List'!T2:T665))/STDEV('The List'!T2:T665)</f>
        <v>0.70533103505775196</v>
      </c>
      <c r="H217" s="54">
        <f>(VLOOKUP($A217,'The List'!$B1:$AH665,20,FALSE)-AVERAGE('The List'!U2:U665))/STDEV('The List'!U2:U665)</f>
        <v>0.28183040199165665</v>
      </c>
      <c r="I217" s="54">
        <f>(VLOOKUP($A217,'The List'!$B1:$AH665,21,FALSE)-AVERAGE('The List'!V2:V665))/STDEV('The List'!V2:V665)</f>
        <v>0.91351087575476675</v>
      </c>
      <c r="J217" s="54">
        <f>(VLOOKUP($A217,'The List'!$B1:$AH665,22,FALSE)-AVERAGE('The List'!W2:W665))/STDEV('The List'!W2:W665)</f>
        <v>6.1446727591825852E-2</v>
      </c>
      <c r="K217" s="54">
        <f>(VLOOKUP($A217,'The List'!$B1:$AH665,23,FALSE)-AVERAGE('The List'!X2:X665))/STDEV('The List'!X2:X665)</f>
        <v>0.77632982745409174</v>
      </c>
      <c r="L217" s="54">
        <f>(VLOOKUP($A217,'The List'!$B1:$AH665,24,FALSE)-AVERAGE('The List'!Y2:Y665))/STDEV('The List'!Y2:Y665)</f>
        <v>-0.54045187555544949</v>
      </c>
      <c r="M217" s="54">
        <f>(VLOOKUP($A217,'The List'!$B1:$AH665,25,FALSE)-AVERAGE('The List'!Z2:Z665))/STDEV('The List'!Z2:Z665)</f>
        <v>-0.5070617876910084</v>
      </c>
      <c r="N217" s="54">
        <f>(VLOOKUP($A217,'The List'!$B1:$AH665,26,FALSE)-AVERAGE('The List'!AA2:AA665))/STDEV('The List'!AA2:AA665)</f>
        <v>0.81786620634695828</v>
      </c>
      <c r="O217" s="54">
        <f>(VLOOKUP($A217,'The List'!$B1:$AH665,27,FALSE)-AVERAGE('The List'!AB2:AB665))/STDEV('The List'!AB2:AB665)</f>
        <v>-0.77676220915593586</v>
      </c>
      <c r="P217" s="54">
        <f>(VLOOKUP($A217,'The List'!$B1:$AH665,28,FALSE)-AVERAGE('The List'!AC2:AC665))/STDEV('The List'!AC2:AC665)</f>
        <v>1.7666389859821265</v>
      </c>
      <c r="Q217" s="54">
        <f>(VLOOKUP($A217,'The List'!$B1:$AH665,29,FALSE)-AVERAGE('The List'!AD2:AD665))/STDEV('The List'!AD2:AD665)</f>
        <v>7.1473477703059271E-2</v>
      </c>
      <c r="R217" s="54">
        <f>(VLOOKUP($A217,'The List'!$B1:$AH665,30,FALSE)-AVERAGE('The List'!AE2:AE665))/STDEV('The List'!AE2:AE665)</f>
        <v>-0.17410617714643153</v>
      </c>
      <c r="S217" s="54">
        <f>(VLOOKUP($A217,'The List'!$B1:$AH665,31,FALSE)-AVERAGE('The List'!AF2:AF665))/STDEV('The List'!AF2:AF665)</f>
        <v>-0.57342115571136332</v>
      </c>
      <c r="T217" s="54">
        <f>(VLOOKUP($A217,'The List'!$B1:$AH665,32,FALSE)-AVERAGE('The List'!AG2:AG665))/STDEV('The List'!AG2:AG665)</f>
        <v>-0.624806866337692</v>
      </c>
      <c r="U217" s="54">
        <f>(VLOOKUP($A217,'The List'!$B1:$AH665,33,FALSE)-AVERAGE('The List'!AH2:AH665))/STDEV('The List'!AH2:AH665)</f>
        <v>0.32369018294948892</v>
      </c>
      <c r="V217" s="54"/>
      <c r="W217" s="56"/>
      <c r="X217" s="54"/>
      <c r="Y217" s="54"/>
      <c r="Z217" s="54"/>
      <c r="AA217" s="54"/>
      <c r="AB217" s="54"/>
      <c r="AC217" s="54"/>
      <c r="AD217" s="54"/>
      <c r="AE217" s="54"/>
    </row>
    <row r="218" spans="1:31" ht="21.25" customHeight="1" x14ac:dyDescent="0.15">
      <c r="A218" s="9" t="s">
        <v>235</v>
      </c>
      <c r="B218" s="65" t="str">
        <f>VLOOKUP(A218,'Player Data'!A1:B667,2,FALSE)</f>
        <v>VGK</v>
      </c>
      <c r="C218" s="51">
        <f>((E218)*Settings!$C$12)+(F218*Settings!$C$2)+(G218*Settings!$C$3)+(H218*Settings!$C$4)+(I218*Settings!$C$5)+(K218*Settings!$C$9)+(N218*Settings!$C$6)+(J218*Settings!$C$8)+(O218*Settings!$C$7)+(P218*Settings!$C$14)+(Q218*Settings!$C$15)+(R218*Settings!$C$16)+(S218*Settings!$C$17)+(T218*Settings!$C$18)+(U218*Settings!$C$19)+(L218*Settings!$C$10)+(Settings!$C$11*M218)</f>
        <v>3.4957750622318993</v>
      </c>
      <c r="D218" s="56">
        <f>IF(Settings!$E$12="YES",VLOOKUP(A218,'Player Data'!A1:E667,5,FALSE),82)</f>
        <v>77.397499999999994</v>
      </c>
      <c r="E218" s="54">
        <f>(VLOOKUP($A218,'The List'!$B1:$AH665,17,FALSE)-AVERAGE('The List'!R2:R665))/STDEV('The List'!R2:R665)</f>
        <v>1.6249037696384561</v>
      </c>
      <c r="F218" s="54">
        <f>(VLOOKUP($A218,'The List'!$B1:$AH665,18,FALSE)-AVERAGE('The List'!S2:S665))/STDEV('The List'!S2:S665)</f>
        <v>-0.56633590452935612</v>
      </c>
      <c r="G218" s="54">
        <f>(VLOOKUP($A218,'The List'!$B1:$AH665,19,FALSE)-AVERAGE('The List'!T2:T665))/STDEV('The List'!T2:T665)</f>
        <v>0.66551214605616493</v>
      </c>
      <c r="H218" s="54">
        <f>(VLOOKUP($A218,'The List'!$B1:$AH665,20,FALSE)-AVERAGE('The List'!U2:U665))/STDEV('The List'!U2:U665)</f>
        <v>0.15589387447870526</v>
      </c>
      <c r="I218" s="54">
        <f>(VLOOKUP($A218,'The List'!$B1:$AH665,21,FALSE)-AVERAGE('The List'!V2:V665))/STDEV('The List'!V2:V665)</f>
        <v>0.50174721861624827</v>
      </c>
      <c r="J218" s="54">
        <f>(VLOOKUP($A218,'The List'!$B1:$AH665,22,FALSE)-AVERAGE('The List'!W2:W665))/STDEV('The List'!W2:W665)</f>
        <v>-0.49289100498931937</v>
      </c>
      <c r="K218" s="54">
        <f>(VLOOKUP($A218,'The List'!$B1:$AH665,23,FALSE)-AVERAGE('The List'!X2:X665))/STDEV('The List'!X2:X665)</f>
        <v>0.16687012039747065</v>
      </c>
      <c r="L218" s="54">
        <f>(VLOOKUP($A218,'The List'!$B1:$AH665,24,FALSE)-AVERAGE('The List'!Y2:Y665))/STDEV('The List'!Y2:Y665)</f>
        <v>-0.26901533603704925</v>
      </c>
      <c r="M218" s="54">
        <f>(VLOOKUP($A218,'The List'!$B1:$AH665,25,FALSE)-AVERAGE('The List'!Z2:Z665))/STDEV('The List'!Z2:Z665)</f>
        <v>0.90800165107927167</v>
      </c>
      <c r="N218" s="54">
        <f>(VLOOKUP($A218,'The List'!$B1:$AH665,26,FALSE)-AVERAGE('The List'!AA2:AA665))/STDEV('The List'!AA2:AA665)</f>
        <v>2.5227880896106609</v>
      </c>
      <c r="O218" s="54">
        <f>(VLOOKUP($A218,'The List'!$B1:$AH665,27,FALSE)-AVERAGE('The List'!AB2:AB665))/STDEV('The List'!AB2:AB665)</f>
        <v>-0.48550715672670147</v>
      </c>
      <c r="P218" s="54">
        <f>(VLOOKUP($A218,'The List'!$B1:$AH665,28,FALSE)-AVERAGE('The List'!AC2:AC665))/STDEV('The List'!AC2:AC665)</f>
        <v>0.20519339208071039</v>
      </c>
      <c r="Q218" s="54">
        <f>(VLOOKUP($A218,'The List'!$B1:$AH665,29,FALSE)-AVERAGE('The List'!AD2:AD665))/STDEV('The List'!AD2:AD665)</f>
        <v>-0.64155159796145145</v>
      </c>
      <c r="R218" s="54">
        <f>(VLOOKUP($A218,'The List'!$B1:$AH665,30,FALSE)-AVERAGE('The List'!AE2:AE665))/STDEV('The List'!AE2:AE665)</f>
        <v>-0.52606296785761553</v>
      </c>
      <c r="S218" s="54">
        <f>(VLOOKUP($A218,'The List'!$B1:$AH665,31,FALSE)-AVERAGE('The List'!AF2:AF665))/STDEV('The List'!AF2:AF665)</f>
        <v>-0.57362310395779781</v>
      </c>
      <c r="T218" s="54">
        <f>(VLOOKUP($A218,'The List'!$B1:$AH665,32,FALSE)-AVERAGE('The List'!AG2:AG665))/STDEV('The List'!AG2:AG665)</f>
        <v>-0.62524052986317991</v>
      </c>
      <c r="U218" s="54">
        <f>(VLOOKUP($A218,'The List'!$B1:$AH665,33,FALSE)-AVERAGE('The List'!AH2:AH665))/STDEV('The List'!AH2:AH665)</f>
        <v>0.36611347417886392</v>
      </c>
      <c r="V218" s="54"/>
      <c r="W218" s="56"/>
      <c r="X218" s="54"/>
      <c r="Y218" s="54"/>
      <c r="Z218" s="54"/>
      <c r="AA218" s="54"/>
      <c r="AB218" s="54"/>
      <c r="AC218" s="54"/>
      <c r="AD218" s="54"/>
      <c r="AE218" s="54"/>
    </row>
    <row r="219" spans="1:31" ht="21.25" customHeight="1" x14ac:dyDescent="0.15">
      <c r="A219" s="9" t="s">
        <v>280</v>
      </c>
      <c r="B219" s="65" t="str">
        <f>VLOOKUP(A219,'Player Data'!A1:B667,2,FALSE)</f>
        <v>FLA</v>
      </c>
      <c r="C219" s="51">
        <f>((E219)*Settings!$C$12)+(F219*Settings!$C$2)+(G219*Settings!$C$3)+(H219*Settings!$C$4)+(I219*Settings!$C$5)+(K219*Settings!$C$9)+(N219*Settings!$C$6)+(J219*Settings!$C$8)+(O219*Settings!$C$7)+(P219*Settings!$C$14)+(Q219*Settings!$C$15)+(R219*Settings!$C$16)+(S219*Settings!$C$17)+(T219*Settings!$C$18)+(U219*Settings!$C$19)+(L219*Settings!$C$10)+(Settings!$C$11*M219)</f>
        <v>2.865630277960729</v>
      </c>
      <c r="D219" s="56">
        <f>IF(Settings!$E$12="YES",VLOOKUP(A219,'Player Data'!A1:E667,5,FALSE),82)</f>
        <v>72.915000000000006</v>
      </c>
      <c r="E219" s="54">
        <f>(VLOOKUP($A219,'The List'!$B1:$AH665,17,FALSE)-AVERAGE('The List'!R2:R665))/STDEV('The List'!R2:R665)</f>
        <v>1.7860956088028725</v>
      </c>
      <c r="F219" s="54">
        <f>(VLOOKUP($A219,'The List'!$B1:$AH665,18,FALSE)-AVERAGE('The List'!S2:S665))/STDEV('The List'!S2:S665)</f>
        <v>-0.3009205509800103</v>
      </c>
      <c r="G219" s="54">
        <f>(VLOOKUP($A219,'The List'!$B1:$AH665,19,FALSE)-AVERAGE('The List'!T2:T665))/STDEV('The List'!T2:T665)</f>
        <v>0.29535638235417855</v>
      </c>
      <c r="H219" s="54">
        <f>(VLOOKUP($A219,'The List'!$B1:$AH665,20,FALSE)-AVERAGE('The List'!U2:U665))/STDEV('The List'!U2:U665)</f>
        <v>4.6650226451915779E-2</v>
      </c>
      <c r="I219" s="54">
        <f>(VLOOKUP($A219,'The List'!$B1:$AH665,21,FALSE)-AVERAGE('The List'!V2:V665))/STDEV('The List'!V2:V665)</f>
        <v>0.67506432875480038</v>
      </c>
      <c r="J219" s="54">
        <f>(VLOOKUP($A219,'The List'!$B1:$AH665,22,FALSE)-AVERAGE('The List'!W2:W665))/STDEV('The List'!W2:W665)</f>
        <v>-9.2987476860017411E-3</v>
      </c>
      <c r="K219" s="54">
        <f>(VLOOKUP($A219,'The List'!$B1:$AH665,23,FALSE)-AVERAGE('The List'!X2:X665))/STDEV('The List'!X2:X665)</f>
        <v>0.15467085662210875</v>
      </c>
      <c r="L219" s="54">
        <f>(VLOOKUP($A219,'The List'!$B1:$AH665,24,FALSE)-AVERAGE('The List'!Y2:Y665))/STDEV('The List'!Y2:Y665)</f>
        <v>-5.2642690731792438E-2</v>
      </c>
      <c r="M219" s="54">
        <f>(VLOOKUP($A219,'The List'!$B1:$AH665,25,FALSE)-AVERAGE('The List'!Z2:Z665))/STDEV('The List'!Z2:Z665)</f>
        <v>0.20023434047133976</v>
      </c>
      <c r="N219" s="54">
        <f>(VLOOKUP($A219,'The List'!$B1:$AH665,26,FALSE)-AVERAGE('The List'!AA2:AA665))/STDEV('The List'!AA2:AA665)</f>
        <v>0.76894694140726605</v>
      </c>
      <c r="O219" s="54">
        <f>(VLOOKUP($A219,'The List'!$B1:$AH665,27,FALSE)-AVERAGE('The List'!AB2:AB665))/STDEV('The List'!AB2:AB665)</f>
        <v>0.26754714446592215</v>
      </c>
      <c r="P219" s="54">
        <f>(VLOOKUP($A219,'The List'!$B1:$AH665,28,FALSE)-AVERAGE('The List'!AC2:AC665))/STDEV('The List'!AC2:AC665)</f>
        <v>1.2725123198023855</v>
      </c>
      <c r="Q219" s="54">
        <f>(VLOOKUP($A219,'The List'!$B1:$AH665,29,FALSE)-AVERAGE('The List'!AD2:AD665))/STDEV('The List'!AD2:AD665)</f>
        <v>1.1164114108418932</v>
      </c>
      <c r="R219" s="54">
        <f>(VLOOKUP($A219,'The List'!$B1:$AH665,30,FALSE)-AVERAGE('The List'!AE2:AE665))/STDEV('The List'!AE2:AE665)</f>
        <v>-0.14592159099979404</v>
      </c>
      <c r="S219" s="54">
        <f>(VLOOKUP($A219,'The List'!$B1:$AH665,31,FALSE)-AVERAGE('The List'!AF2:AF665))/STDEV('The List'!AF2:AF665)</f>
        <v>-0.57389441068000469</v>
      </c>
      <c r="T219" s="54">
        <f>(VLOOKUP($A219,'The List'!$B1:$AH665,32,FALSE)-AVERAGE('The List'!AG2:AG665))/STDEV('The List'!AG2:AG665)</f>
        <v>-0.62577078713265111</v>
      </c>
      <c r="U219" s="54">
        <f>(VLOOKUP($A219,'The List'!$B1:$AH665,33,FALSE)-AVERAGE('The List'!AH2:AH665))/STDEV('The List'!AH2:AH665)</f>
        <v>-1.2314350945148611</v>
      </c>
      <c r="V219" s="54"/>
      <c r="W219" s="64"/>
      <c r="X219" s="56"/>
      <c r="Y219" s="56"/>
      <c r="Z219" s="56"/>
      <c r="AA219" s="56"/>
      <c r="AB219" s="56"/>
      <c r="AC219" s="59"/>
      <c r="AD219" s="60"/>
      <c r="AE219" s="54"/>
    </row>
    <row r="220" spans="1:31" ht="21.25" customHeight="1" x14ac:dyDescent="0.15">
      <c r="A220" s="9" t="s">
        <v>336</v>
      </c>
      <c r="B220" s="65" t="str">
        <f>VLOOKUP(A220,'Player Data'!A1:B667,2,FALSE)</f>
        <v>CGY</v>
      </c>
      <c r="C220" s="51">
        <f>((E220)*Settings!$C$12)+(F220*Settings!$C$2)+(G220*Settings!$C$3)+(H220*Settings!$C$4)+(I220*Settings!$C$5)+(K220*Settings!$C$9)+(N220*Settings!$C$6)+(J220*Settings!$C$8)+(O220*Settings!$C$7)+(P220*Settings!$C$14)+(Q220*Settings!$C$15)+(R220*Settings!$C$16)+(S220*Settings!$C$17)+(T220*Settings!$C$18)+(U220*Settings!$C$19)+(L220*Settings!$C$10)+(Settings!$C$11*M220)</f>
        <v>0.27581813531274035</v>
      </c>
      <c r="D220" s="56">
        <f>IF(Settings!$E$12="YES",VLOOKUP(A220,'Player Data'!A1:E667,5,FALSE),82)</f>
        <v>81.22</v>
      </c>
      <c r="E220" s="54">
        <f>(VLOOKUP($A220,'The List'!$B1:$AH665,17,FALSE)-AVERAGE('The List'!R2:R665))/STDEV('The List'!R2:R665)</f>
        <v>-7.494753520252459E-2</v>
      </c>
      <c r="F220" s="54">
        <f>(VLOOKUP($A220,'The List'!$B1:$AH665,18,FALSE)-AVERAGE('The List'!S2:S665))/STDEV('The List'!S2:S665)</f>
        <v>0.77168666300757305</v>
      </c>
      <c r="G220" s="54">
        <f>(VLOOKUP($A220,'The List'!$B1:$AH665,19,FALSE)-AVERAGE('The List'!T2:T665))/STDEV('The List'!T2:T665)</f>
        <v>-0.18172212420457648</v>
      </c>
      <c r="H220" s="54">
        <f>(VLOOKUP($A220,'The List'!$B1:$AH665,20,FALSE)-AVERAGE('The List'!U2:U665))/STDEV('The List'!U2:U665)</f>
        <v>0.23790861252507764</v>
      </c>
      <c r="I220" s="54">
        <f>(VLOOKUP($A220,'The List'!$B1:$AH665,21,FALSE)-AVERAGE('The List'!V2:V665))/STDEV('The List'!V2:V665)</f>
        <v>1.0248942120877895</v>
      </c>
      <c r="J220" s="54">
        <f>(VLOOKUP($A220,'The List'!$B1:$AH665,22,FALSE)-AVERAGE('The List'!W2:W665))/STDEV('The List'!W2:W665)</f>
        <v>-0.25476561794875158</v>
      </c>
      <c r="K220" s="54">
        <f>(VLOOKUP($A220,'The List'!$B1:$AH665,23,FALSE)-AVERAGE('The List'!X2:X665))/STDEV('The List'!X2:X665)</f>
        <v>-0.5724522251915618</v>
      </c>
      <c r="L220" s="54">
        <f>(VLOOKUP($A220,'The List'!$B1:$AH665,24,FALSE)-AVERAGE('The List'!Y2:Y665))/STDEV('The List'!Y2:Y665)</f>
        <v>3.0650158535384842</v>
      </c>
      <c r="M220" s="54">
        <f>(VLOOKUP($A220,'The List'!$B1:$AH665,25,FALSE)-AVERAGE('The List'!Z2:Z665))/STDEV('The List'!Z2:Z665)</f>
        <v>2.6657687250535989</v>
      </c>
      <c r="N220" s="54">
        <f>(VLOOKUP($A220,'The List'!$B1:$AH665,26,FALSE)-AVERAGE('The List'!AA2:AA665))/STDEV('The List'!AA2:AA665)</f>
        <v>-0.32778560277219976</v>
      </c>
      <c r="O220" s="54">
        <f>(VLOOKUP($A220,'The List'!$B1:$AH665,27,FALSE)-AVERAGE('The List'!AB2:AB665))/STDEV('The List'!AB2:AB665)</f>
        <v>0.61127797905549341</v>
      </c>
      <c r="P220" s="54">
        <f>(VLOOKUP($A220,'The List'!$B1:$AH665,28,FALSE)-AVERAGE('The List'!AC2:AC665))/STDEV('The List'!AC2:AC665)</f>
        <v>-0.43880278761428426</v>
      </c>
      <c r="Q220" s="54">
        <f>(VLOOKUP($A220,'The List'!$B1:$AH665,29,FALSE)-AVERAGE('The List'!AD2:AD665))/STDEV('The List'!AD2:AD665)</f>
        <v>1.8852688964938795</v>
      </c>
      <c r="R220" s="54">
        <f>(VLOOKUP($A220,'The List'!$B1:$AH665,30,FALSE)-AVERAGE('The List'!AE2:AE665))/STDEV('The List'!AE2:AE665)</f>
        <v>0.68811571249819981</v>
      </c>
      <c r="S220" s="54">
        <f>(VLOOKUP($A220,'The List'!$B1:$AH665,31,FALSE)-AVERAGE('The List'!AF2:AF665))/STDEV('The List'!AF2:AF665)</f>
        <v>-0.46462187236457964</v>
      </c>
      <c r="T220" s="54">
        <f>(VLOOKUP($A220,'The List'!$B1:$AH665,32,FALSE)-AVERAGE('The List'!AG2:AG665))/STDEV('The List'!AG2:AG665)</f>
        <v>-0.43562519977612135</v>
      </c>
      <c r="U220" s="54">
        <f>(VLOOKUP($A220,'The List'!$B1:$AH665,33,FALSE)-AVERAGE('The List'!AH2:AH665))/STDEV('The List'!AH2:AH665)</f>
        <v>0.4882495683862606</v>
      </c>
      <c r="V220" s="54"/>
      <c r="W220" s="56"/>
      <c r="X220" s="54"/>
      <c r="Y220" s="54"/>
      <c r="Z220" s="54"/>
      <c r="AA220" s="54"/>
      <c r="AB220" s="54"/>
      <c r="AC220" s="54"/>
      <c r="AD220" s="54"/>
      <c r="AE220" s="54"/>
    </row>
    <row r="221" spans="1:31" ht="21.25" customHeight="1" x14ac:dyDescent="0.15">
      <c r="A221" s="9" t="s">
        <v>247</v>
      </c>
      <c r="B221" s="65" t="str">
        <f>VLOOKUP(A221,'Player Data'!A1:B667,2,FALSE)</f>
        <v>OTT</v>
      </c>
      <c r="C221" s="51">
        <f>((E221)*Settings!$C$12)+(F221*Settings!$C$2)+(G221*Settings!$C$3)+(H221*Settings!$C$4)+(I221*Settings!$C$5)+(K221*Settings!$C$9)+(N221*Settings!$C$6)+(J221*Settings!$C$8)+(O221*Settings!$C$7)+(P221*Settings!$C$14)+(Q221*Settings!$C$15)+(R221*Settings!$C$16)+(S221*Settings!$C$17)+(T221*Settings!$C$18)+(U221*Settings!$C$19)+(L221*Settings!$C$10)+(Settings!$C$11*M221)</f>
        <v>3.3037304062397528</v>
      </c>
      <c r="D221" s="56">
        <f>IF(Settings!$E$12="YES",VLOOKUP(A221,'Player Data'!A1:E667,5,FALSE),82)</f>
        <v>80.11</v>
      </c>
      <c r="E221" s="54">
        <f>(VLOOKUP($A221,'The List'!$B1:$AH665,17,FALSE)-AVERAGE('The List'!R2:R665))/STDEV('The List'!R2:R665)</f>
        <v>1.8175773865346156</v>
      </c>
      <c r="F221" s="54">
        <f>(VLOOKUP($A221,'The List'!$B1:$AH665,18,FALSE)-AVERAGE('The List'!S2:S665))/STDEV('The List'!S2:S665)</f>
        <v>-0.47992358045406563</v>
      </c>
      <c r="G221" s="54">
        <f>(VLOOKUP($A221,'The List'!$B1:$AH665,19,FALSE)-AVERAGE('The List'!T2:T665))/STDEV('The List'!T2:T665)</f>
        <v>0.66012496484553218</v>
      </c>
      <c r="H221" s="54">
        <f>(VLOOKUP($A221,'The List'!$B1:$AH665,20,FALSE)-AVERAGE('The List'!U2:U665))/STDEV('The List'!U2:U665)</f>
        <v>0.19182664083555559</v>
      </c>
      <c r="I221" s="54">
        <f>(VLOOKUP($A221,'The List'!$B1:$AH665,21,FALSE)-AVERAGE('The List'!V2:V665))/STDEV('The List'!V2:V665)</f>
        <v>0.431128620654534</v>
      </c>
      <c r="J221" s="54">
        <f>(VLOOKUP($A221,'The List'!$B1:$AH665,22,FALSE)-AVERAGE('The List'!W2:W665))/STDEV('The List'!W2:W665)</f>
        <v>5.8817206113150562E-2</v>
      </c>
      <c r="K221" s="54">
        <f>(VLOOKUP($A221,'The List'!$B1:$AH665,23,FALSE)-AVERAGE('The List'!X2:X665))/STDEV('The List'!X2:X665)</f>
        <v>0.92247892272031395</v>
      </c>
      <c r="L221" s="54">
        <f>(VLOOKUP($A221,'The List'!$B1:$AH665,24,FALSE)-AVERAGE('The List'!Y2:Y665))/STDEV('The List'!Y2:Y665)</f>
        <v>-0.53093119731645455</v>
      </c>
      <c r="M221" s="54">
        <f>(VLOOKUP($A221,'The List'!$B1:$AH665,25,FALSE)-AVERAGE('The List'!Z2:Z665))/STDEV('The List'!Z2:Z665)</f>
        <v>-0.62812553958153339</v>
      </c>
      <c r="N221" s="54">
        <f>(VLOOKUP($A221,'The List'!$B1:$AH665,26,FALSE)-AVERAGE('The List'!AA2:AA665))/STDEV('The List'!AA2:AA665)</f>
        <v>1.8408293158238271</v>
      </c>
      <c r="O221" s="54">
        <f>(VLOOKUP($A221,'The List'!$B1:$AH665,27,FALSE)-AVERAGE('The List'!AB2:AB665))/STDEV('The List'!AB2:AB665)</f>
        <v>-0.59605142841067749</v>
      </c>
      <c r="P221" s="54">
        <f>(VLOOKUP($A221,'The List'!$B1:$AH665,28,FALSE)-AVERAGE('The List'!AC2:AC665))/STDEV('The List'!AC2:AC665)</f>
        <v>-7.0907837350389108E-2</v>
      </c>
      <c r="Q221" s="54">
        <f>(VLOOKUP($A221,'The List'!$B1:$AH665,29,FALSE)-AVERAGE('The List'!AD2:AD665))/STDEV('The List'!AD2:AD665)</f>
        <v>-0.5629434989290153</v>
      </c>
      <c r="R221" s="54">
        <f>(VLOOKUP($A221,'The List'!$B1:$AH665,30,FALSE)-AVERAGE('The List'!AE2:AE665))/STDEV('The List'!AE2:AE665)</f>
        <v>-0.42437150859859946</v>
      </c>
      <c r="S221" s="54">
        <f>(VLOOKUP($A221,'The List'!$B1:$AH665,31,FALSE)-AVERAGE('The List'!AF2:AF665))/STDEV('The List'!AF2:AF665)</f>
        <v>-0.57153604010105286</v>
      </c>
      <c r="T221" s="54">
        <f>(VLOOKUP($A221,'The List'!$B1:$AH665,32,FALSE)-AVERAGE('The List'!AG2:AG665))/STDEV('The List'!AG2:AG665)</f>
        <v>-0.62385620467078617</v>
      </c>
      <c r="U221" s="54">
        <f>(VLOOKUP($A221,'The List'!$B1:$AH665,33,FALSE)-AVERAGE('The List'!AH2:AH665))/STDEV('The List'!AH2:AH665)</f>
        <v>1.3394225501461017</v>
      </c>
      <c r="V221" s="54"/>
      <c r="W221" s="56"/>
      <c r="X221" s="54"/>
      <c r="Y221" s="54"/>
      <c r="Z221" s="54"/>
      <c r="AA221" s="54"/>
      <c r="AB221" s="54"/>
      <c r="AC221" s="54"/>
      <c r="AD221" s="54"/>
      <c r="AE221" s="54"/>
    </row>
    <row r="222" spans="1:31" ht="21.25" customHeight="1" x14ac:dyDescent="0.15">
      <c r="A222" s="9" t="s">
        <v>453</v>
      </c>
      <c r="B222" s="65" t="str">
        <f>VLOOKUP(A222,'Player Data'!A1:B667,2,FALSE)</f>
        <v>NSH</v>
      </c>
      <c r="C222" s="51">
        <f>((E222)*Settings!$C$12)+(F222*Settings!$C$2)+(G222*Settings!$C$3)+(H222*Settings!$C$4)+(I222*Settings!$C$5)+(K222*Settings!$C$9)+(N222*Settings!$C$6)+(J222*Settings!$C$8)+(O222*Settings!$C$7)+(P222*Settings!$C$14)+(Q222*Settings!$C$15)+(R222*Settings!$C$16)+(S222*Settings!$C$17)+(T222*Settings!$C$18)+(U222*Settings!$C$19)+(L222*Settings!$C$10)+(Settings!$C$11*M222)</f>
        <v>-0.23203193080323248</v>
      </c>
      <c r="D222" s="56">
        <f>IF(Settings!$E$12="YES",VLOOKUP(A222,'Player Data'!A1:E667,5,FALSE),82)</f>
        <v>71.75</v>
      </c>
      <c r="E222" s="54">
        <f>(VLOOKUP($A222,'The List'!$B1:$AH665,17,FALSE)-AVERAGE('The List'!R2:R665))/STDEV('The List'!R2:R665)</f>
        <v>-0.77413607015109109</v>
      </c>
      <c r="F222" s="54">
        <f>(VLOOKUP($A222,'The List'!$B1:$AH665,18,FALSE)-AVERAGE('The List'!S2:S665))/STDEV('The List'!S2:S665)</f>
        <v>0.21951953156080672</v>
      </c>
      <c r="G222" s="54">
        <f>(VLOOKUP($A222,'The List'!$B1:$AH665,19,FALSE)-AVERAGE('The List'!T2:T665))/STDEV('The List'!T2:T665)</f>
        <v>-0.16204216659440715</v>
      </c>
      <c r="H222" s="54">
        <f>(VLOOKUP($A222,'The List'!$B1:$AH665,20,FALSE)-AVERAGE('The List'!U2:U665))/STDEV('The List'!U2:U665)</f>
        <v>-8.5523508523830175E-4</v>
      </c>
      <c r="I222" s="54">
        <f>(VLOOKUP($A222,'The List'!$B1:$AH665,21,FALSE)-AVERAGE('The List'!V2:V665))/STDEV('The List'!V2:V665)</f>
        <v>0.24540432755503186</v>
      </c>
      <c r="J222" s="54">
        <f>(VLOOKUP($A222,'The List'!$B1:$AH665,22,FALSE)-AVERAGE('The List'!W2:W665))/STDEV('The List'!W2:W665)</f>
        <v>-0.14350881178385691</v>
      </c>
      <c r="K222" s="54">
        <f>(VLOOKUP($A222,'The List'!$B1:$AH665,23,FALSE)-AVERAGE('The List'!X2:X665))/STDEV('The List'!X2:X665)</f>
        <v>-7.4983661218508149E-2</v>
      </c>
      <c r="L222" s="54">
        <f>(VLOOKUP($A222,'The List'!$B1:$AH665,24,FALSE)-AVERAGE('The List'!Y2:Y665))/STDEV('The List'!Y2:Y665)</f>
        <v>-0.57867421471739056</v>
      </c>
      <c r="M222" s="54">
        <f>(VLOOKUP($A222,'The List'!$B1:$AH665,25,FALSE)-AVERAGE('The List'!Z2:Z665))/STDEV('The List'!Z2:Z665)</f>
        <v>-0.75250176840787231</v>
      </c>
      <c r="N222" s="54">
        <f>(VLOOKUP($A222,'The List'!$B1:$AH665,26,FALSE)-AVERAGE('The List'!AA2:AA665))/STDEV('The List'!AA2:AA665)</f>
        <v>-1.011532476163945</v>
      </c>
      <c r="O222" s="54">
        <f>(VLOOKUP($A222,'The List'!$B1:$AH665,27,FALSE)-AVERAGE('The List'!AB2:AB665))/STDEV('The List'!AB2:AB665)</f>
        <v>-1.1962261956750504</v>
      </c>
      <c r="P222" s="54">
        <f>(VLOOKUP($A222,'The List'!$B1:$AH665,28,FALSE)-AVERAGE('The List'!AC2:AC665))/STDEV('The List'!AC2:AC665)</f>
        <v>0.55160251405778926</v>
      </c>
      <c r="Q222" s="54">
        <f>(VLOOKUP($A222,'The List'!$B1:$AH665,29,FALSE)-AVERAGE('The List'!AD2:AD665))/STDEV('The List'!AD2:AD665)</f>
        <v>-0.95939294939196407</v>
      </c>
      <c r="R222" s="54">
        <f>(VLOOKUP($A222,'The List'!$B1:$AH665,30,FALSE)-AVERAGE('The List'!AE2:AE665))/STDEV('The List'!AE2:AE665)</f>
        <v>0.13641192242501451</v>
      </c>
      <c r="S222" s="54">
        <f>(VLOOKUP($A222,'The List'!$B1:$AH665,31,FALSE)-AVERAGE('The List'!AF2:AF665))/STDEV('The List'!AF2:AF665)</f>
        <v>-0.57076356115142635</v>
      </c>
      <c r="T222" s="54">
        <f>(VLOOKUP($A222,'The List'!$B1:$AH665,32,FALSE)-AVERAGE('The List'!AG2:AG665))/STDEV('The List'!AG2:AG665)</f>
        <v>-0.61184420460834799</v>
      </c>
      <c r="U222" s="54">
        <f>(VLOOKUP($A222,'The List'!$B1:$AH665,33,FALSE)-AVERAGE('The List'!AH2:AH665))/STDEV('The List'!AH2:AH665)</f>
        <v>-0.35666785551706354</v>
      </c>
      <c r="V222" s="54"/>
      <c r="W222" s="56"/>
      <c r="X222" s="56"/>
      <c r="Y222" s="56"/>
      <c r="Z222" s="56"/>
      <c r="AA222" s="56"/>
      <c r="AB222" s="56"/>
      <c r="AC222" s="59"/>
      <c r="AD222" s="60"/>
      <c r="AE222" s="54"/>
    </row>
    <row r="223" spans="1:31" ht="21.25" customHeight="1" x14ac:dyDescent="0.15">
      <c r="A223" s="9" t="s">
        <v>282</v>
      </c>
      <c r="B223" s="65" t="str">
        <f>VLOOKUP(A223,'Player Data'!A1:B667,2,FALSE)</f>
        <v>OTT</v>
      </c>
      <c r="C223" s="51">
        <f>((E223)*Settings!$C$12)+(F223*Settings!$C$2)+(G223*Settings!$C$3)+(H223*Settings!$C$4)+(I223*Settings!$C$5)+(K223*Settings!$C$9)+(N223*Settings!$C$6)+(J223*Settings!$C$8)+(O223*Settings!$C$7)+(P223*Settings!$C$14)+(Q223*Settings!$C$15)+(R223*Settings!$C$16)+(S223*Settings!$C$17)+(T223*Settings!$C$18)+(U223*Settings!$C$19)+(L223*Settings!$C$10)+(Settings!$C$11*M223)</f>
        <v>1.4435792322408236</v>
      </c>
      <c r="D223" s="56">
        <f>IF(Settings!$E$12="YES",VLOOKUP(A223,'Player Data'!A1:E667,5,FALSE),82)</f>
        <v>72.302499999999995</v>
      </c>
      <c r="E223" s="54">
        <f>(VLOOKUP($A223,'The List'!$B1:$AH665,17,FALSE)-AVERAGE('The List'!R2:R665))/STDEV('The List'!R2:R665)</f>
        <v>1.5102645240359314</v>
      </c>
      <c r="F223" s="54">
        <f>(VLOOKUP($A223,'The List'!$B1:$AH665,18,FALSE)-AVERAGE('The List'!S2:S665))/STDEV('The List'!S2:S665)</f>
        <v>-0.41159435374597836</v>
      </c>
      <c r="G223" s="54">
        <f>(VLOOKUP($A223,'The List'!$B1:$AH665,19,FALSE)-AVERAGE('The List'!T2:T665))/STDEV('The List'!T2:T665)</f>
        <v>0.31930662276925287</v>
      </c>
      <c r="H223" s="54">
        <f>(VLOOKUP($A223,'The List'!$B1:$AH665,20,FALSE)-AVERAGE('The List'!U2:U665))/STDEV('The List'!U2:U665)</f>
        <v>1.121816832126727E-2</v>
      </c>
      <c r="I223" s="54">
        <f>(VLOOKUP($A223,'The List'!$B1:$AH665,21,FALSE)-AVERAGE('The List'!V2:V665))/STDEV('The List'!V2:V665)</f>
        <v>0.39841574620616366</v>
      </c>
      <c r="J223" s="54">
        <f>(VLOOKUP($A223,'The List'!$B1:$AH665,22,FALSE)-AVERAGE('The List'!W2:W665))/STDEV('The List'!W2:W665)</f>
        <v>-0.2937894860338664</v>
      </c>
      <c r="K223" s="54">
        <f>(VLOOKUP($A223,'The List'!$B1:$AH665,23,FALSE)-AVERAGE('The List'!X2:X665))/STDEV('The List'!X2:X665)</f>
        <v>0.12206641659412031</v>
      </c>
      <c r="L223" s="54">
        <f>(VLOOKUP($A223,'The List'!$B1:$AH665,24,FALSE)-AVERAGE('The List'!Y2:Y665))/STDEV('The List'!Y2:Y665)</f>
        <v>-0.54456437269285207</v>
      </c>
      <c r="M223" s="54">
        <f>(VLOOKUP($A223,'The List'!$B1:$AH665,25,FALSE)-AVERAGE('The List'!Z2:Z665))/STDEV('The List'!Z2:Z665)</f>
        <v>-0.64796276403949382</v>
      </c>
      <c r="N223" s="54">
        <f>(VLOOKUP($A223,'The List'!$B1:$AH665,26,FALSE)-AVERAGE('The List'!AA2:AA665))/STDEV('The List'!AA2:AA665)</f>
        <v>1.2726098435921982</v>
      </c>
      <c r="O223" s="54">
        <f>(VLOOKUP($A223,'The List'!$B1:$AH665,27,FALSE)-AVERAGE('The List'!AB2:AB665))/STDEV('The List'!AB2:AB665)</f>
        <v>-0.44837597246576899</v>
      </c>
      <c r="P223" s="54">
        <f>(VLOOKUP($A223,'The List'!$B1:$AH665,28,FALSE)-AVERAGE('The List'!AC2:AC665))/STDEV('The List'!AC2:AC665)</f>
        <v>-0.25722504317493305</v>
      </c>
      <c r="Q223" s="54">
        <f>(VLOOKUP($A223,'The List'!$B1:$AH665,29,FALSE)-AVERAGE('The List'!AD2:AD665))/STDEV('The List'!AD2:AD665)</f>
        <v>0.44941895715643687</v>
      </c>
      <c r="R223" s="54">
        <f>(VLOOKUP($A223,'The List'!$B1:$AH665,30,FALSE)-AVERAGE('The List'!AE2:AE665))/STDEV('The List'!AE2:AE665)</f>
        <v>-0.35627516937623999</v>
      </c>
      <c r="S223" s="54">
        <f>(VLOOKUP($A223,'The List'!$B1:$AH665,31,FALSE)-AVERAGE('The List'!AF2:AF665))/STDEV('The List'!AF2:AF665)</f>
        <v>-0.57389441068000469</v>
      </c>
      <c r="T223" s="54">
        <f>(VLOOKUP($A223,'The List'!$B1:$AH665,32,FALSE)-AVERAGE('The List'!AG2:AG665))/STDEV('The List'!AG2:AG665)</f>
        <v>-0.62577078713265111</v>
      </c>
      <c r="U223" s="54">
        <f>(VLOOKUP($A223,'The List'!$B1:$AH665,33,FALSE)-AVERAGE('The List'!AH2:AH665))/STDEV('The List'!AH2:AH665)</f>
        <v>-1.2314350945148611</v>
      </c>
      <c r="V223" s="54"/>
      <c r="W223" s="64"/>
      <c r="X223" s="56"/>
      <c r="Y223" s="56"/>
      <c r="Z223" s="56"/>
      <c r="AA223" s="56"/>
      <c r="AB223" s="56"/>
      <c r="AC223" s="59"/>
      <c r="AD223" s="60"/>
      <c r="AE223" s="54"/>
    </row>
    <row r="224" spans="1:31" ht="21.25" customHeight="1" x14ac:dyDescent="0.15">
      <c r="A224" s="9" t="s">
        <v>415</v>
      </c>
      <c r="B224" s="65" t="str">
        <f>VLOOKUP(A224,'Player Data'!A1:B667,2,FALSE)</f>
        <v>NYR</v>
      </c>
      <c r="C224" s="51">
        <f>((E224)*Settings!$C$12)+(F224*Settings!$C$2)+(G224*Settings!$C$3)+(H224*Settings!$C$4)+(I224*Settings!$C$5)+(K224*Settings!$C$9)+(N224*Settings!$C$6)+(J224*Settings!$C$8)+(O224*Settings!$C$7)+(P224*Settings!$C$14)+(Q224*Settings!$C$15)+(R224*Settings!$C$16)+(S224*Settings!$C$17)+(T224*Settings!$C$18)+(U224*Settings!$C$19)+(L224*Settings!$C$10)+(Settings!$C$11*M224)</f>
        <v>-0.32676332374038553</v>
      </c>
      <c r="D224" s="56">
        <f>IF(Settings!$E$12="YES",VLOOKUP(A224,'Player Data'!A1:E667,5,FALSE),82)</f>
        <v>77.814999999999998</v>
      </c>
      <c r="E224" s="54">
        <f>(VLOOKUP($A224,'The List'!$B1:$AH665,17,FALSE)-AVERAGE('The List'!R2:R665))/STDEV('The List'!R2:R665)</f>
        <v>-0.13954603936984658</v>
      </c>
      <c r="F224" s="54">
        <f>(VLOOKUP($A224,'The List'!$B1:$AH665,18,FALSE)-AVERAGE('The List'!S2:S665))/STDEV('The List'!S2:S665)</f>
        <v>0.19333518507882141</v>
      </c>
      <c r="G224" s="54">
        <f>(VLOOKUP($A224,'The List'!$B1:$AH665,19,FALSE)-AVERAGE('The List'!T2:T665))/STDEV('The List'!T2:T665)</f>
        <v>7.1076660568612324E-2</v>
      </c>
      <c r="H224" s="54">
        <f>(VLOOKUP($A224,'The List'!$B1:$AH665,20,FALSE)-AVERAGE('The List'!U2:U665))/STDEV('The List'!U2:U665)</f>
        <v>0.13202263429703609</v>
      </c>
      <c r="I224" s="54">
        <f>(VLOOKUP($A224,'The List'!$B1:$AH665,21,FALSE)-AVERAGE('The List'!V2:V665))/STDEV('The List'!V2:V665)</f>
        <v>0.38912436261653738</v>
      </c>
      <c r="J224" s="54">
        <f>(VLOOKUP($A224,'The List'!$B1:$AH665,22,FALSE)-AVERAGE('The List'!W2:W665))/STDEV('The List'!W2:W665)</f>
        <v>-0.31386245000908264</v>
      </c>
      <c r="K224" s="54">
        <f>(VLOOKUP($A224,'The List'!$B1:$AH665,23,FALSE)-AVERAGE('The List'!X2:X665))/STDEV('The List'!X2:X665)</f>
        <v>-0.3376447591336707</v>
      </c>
      <c r="L224" s="54">
        <f>(VLOOKUP($A224,'The List'!$B1:$AH665,24,FALSE)-AVERAGE('The List'!Y2:Y665))/STDEV('The List'!Y2:Y665)</f>
        <v>2.0199129972538032</v>
      </c>
      <c r="M224" s="54">
        <f>(VLOOKUP($A224,'The List'!$B1:$AH665,25,FALSE)-AVERAGE('The List'!Z2:Z665))/STDEV('The List'!Z2:Z665)</f>
        <v>1.297083248006426</v>
      </c>
      <c r="N224" s="54">
        <f>(VLOOKUP($A224,'The List'!$B1:$AH665,26,FALSE)-AVERAGE('The List'!AA2:AA665))/STDEV('The List'!AA2:AA665)</f>
        <v>-0.78958240544932579</v>
      </c>
      <c r="O224" s="54">
        <f>(VLOOKUP($A224,'The List'!$B1:$AH665,27,FALSE)-AVERAGE('The List'!AB2:AB665))/STDEV('The List'!AB2:AB665)</f>
        <v>-0.64214485787751219</v>
      </c>
      <c r="P224" s="54">
        <f>(VLOOKUP($A224,'The List'!$B1:$AH665,28,FALSE)-AVERAGE('The List'!AC2:AC665))/STDEV('The List'!AC2:AC665)</f>
        <v>0.14692763257863992</v>
      </c>
      <c r="Q224" s="54">
        <f>(VLOOKUP($A224,'The List'!$B1:$AH665,29,FALSE)-AVERAGE('The List'!AD2:AD665))/STDEV('The List'!AD2:AD665)</f>
        <v>-1.0572916591255868</v>
      </c>
      <c r="R224" s="54">
        <f>(VLOOKUP($A224,'The List'!$B1:$AH665,30,FALSE)-AVERAGE('The List'!AE2:AE665))/STDEV('The List'!AE2:AE665)</f>
        <v>0.3268932790453119</v>
      </c>
      <c r="S224" s="54">
        <f>(VLOOKUP($A224,'The List'!$B1:$AH665,31,FALSE)-AVERAGE('The List'!AF2:AF665))/STDEV('The List'!AF2:AF665)</f>
        <v>-0.53990130220498056</v>
      </c>
      <c r="T224" s="54">
        <f>(VLOOKUP($A224,'The List'!$B1:$AH665,32,FALSE)-AVERAGE('The List'!AG2:AG665))/STDEV('The List'!AG2:AG665)</f>
        <v>-0.57728081518366148</v>
      </c>
      <c r="U224" s="54">
        <f>(VLOOKUP($A224,'The List'!$B1:$AH665,33,FALSE)-AVERAGE('The List'!AH2:AH665))/STDEV('The List'!AH2:AH665)</f>
        <v>0.70485075018518983</v>
      </c>
      <c r="V224" s="54"/>
      <c r="W224" s="64"/>
      <c r="X224" s="56"/>
      <c r="Y224" s="56"/>
      <c r="Z224" s="56"/>
      <c r="AA224" s="56"/>
      <c r="AB224" s="56"/>
      <c r="AC224" s="59"/>
      <c r="AD224" s="60"/>
      <c r="AE224" s="54"/>
    </row>
    <row r="225" spans="1:31" ht="21.25" customHeight="1" x14ac:dyDescent="0.15">
      <c r="A225" s="9" t="s">
        <v>364</v>
      </c>
      <c r="B225" s="65" t="str">
        <f>VLOOKUP(A225,'Player Data'!A1:B667,2,FALSE)</f>
        <v>PIT</v>
      </c>
      <c r="C225" s="51">
        <f>((E225)*Settings!$C$12)+(F225*Settings!$C$2)+(G225*Settings!$C$3)+(H225*Settings!$C$4)+(I225*Settings!$C$5)+(K225*Settings!$C$9)+(N225*Settings!$C$6)+(J225*Settings!$C$8)+(O225*Settings!$C$7)+(P225*Settings!$C$14)+(Q225*Settings!$C$15)+(R225*Settings!$C$16)+(S225*Settings!$C$17)+(T225*Settings!$C$18)+(U225*Settings!$C$19)+(L225*Settings!$C$10)+(Settings!$C$11*M225)</f>
        <v>0.95733652029875016</v>
      </c>
      <c r="D225" s="56">
        <f>IF(Settings!$E$12="YES",VLOOKUP(A225,'Player Data'!A1:E667,5,FALSE),82)</f>
        <v>78.7</v>
      </c>
      <c r="E225" s="54">
        <f>(VLOOKUP($A225,'The List'!$B1:$AH665,17,FALSE)-AVERAGE('The List'!R2:R665))/STDEV('The List'!R2:R665)</f>
        <v>-0.27900037999175581</v>
      </c>
      <c r="F225" s="54">
        <f>(VLOOKUP($A225,'The List'!$B1:$AH665,18,FALSE)-AVERAGE('The List'!S2:S665))/STDEV('The List'!S2:S665)</f>
        <v>0.3699583047692282</v>
      </c>
      <c r="G225" s="54">
        <f>(VLOOKUP($A225,'The List'!$B1:$AH665,19,FALSE)-AVERAGE('The List'!T2:T665))/STDEV('The List'!T2:T665)</f>
        <v>-2.6201005118235018E-2</v>
      </c>
      <c r="H225" s="54">
        <f>(VLOOKUP($A225,'The List'!$B1:$AH665,20,FALSE)-AVERAGE('The List'!U2:U665))/STDEV('The List'!U2:U665)</f>
        <v>0.15189133763590695</v>
      </c>
      <c r="I225" s="54">
        <f>(VLOOKUP($A225,'The List'!$B1:$AH665,21,FALSE)-AVERAGE('The List'!V2:V665))/STDEV('The List'!V2:V665)</f>
        <v>0.72695302551213081</v>
      </c>
      <c r="J225" s="54">
        <f>(VLOOKUP($A225,'The List'!$B1:$AH665,22,FALSE)-AVERAGE('The List'!W2:W665))/STDEV('The List'!W2:W665)</f>
        <v>0.55601637848858365</v>
      </c>
      <c r="K225" s="54">
        <f>(VLOOKUP($A225,'The List'!$B1:$AH665,23,FALSE)-AVERAGE('The List'!X2:X665))/STDEV('The List'!X2:X665)</f>
        <v>0.10320266294299005</v>
      </c>
      <c r="L225" s="54">
        <f>(VLOOKUP($A225,'The List'!$B1:$AH665,24,FALSE)-AVERAGE('The List'!Y2:Y665))/STDEV('The List'!Y2:Y665)</f>
        <v>-0.57829932130983308</v>
      </c>
      <c r="M225" s="54">
        <f>(VLOOKUP($A225,'The List'!$B1:$AH665,25,FALSE)-AVERAGE('The List'!Z2:Z665))/STDEV('The List'!Z2:Z665)</f>
        <v>-0.75209078348180824</v>
      </c>
      <c r="N225" s="54">
        <f>(VLOOKUP($A225,'The List'!$B1:$AH665,26,FALSE)-AVERAGE('The List'!AA2:AA665))/STDEV('The List'!AA2:AA665)</f>
        <v>-0.52785489197877278</v>
      </c>
      <c r="O225" s="54">
        <f>(VLOOKUP($A225,'The List'!$B1:$AH665,27,FALSE)-AVERAGE('The List'!AB2:AB665))/STDEV('The List'!AB2:AB665)</f>
        <v>0.43586546003738713</v>
      </c>
      <c r="P225" s="54">
        <f>(VLOOKUP($A225,'The List'!$B1:$AH665,28,FALSE)-AVERAGE('The List'!AC2:AC665))/STDEV('The List'!AC2:AC665)</f>
        <v>0.31127842417140883</v>
      </c>
      <c r="Q225" s="54">
        <f>(VLOOKUP($A225,'The List'!$B1:$AH665,29,FALSE)-AVERAGE('The List'!AD2:AD665))/STDEV('The List'!AD2:AD665)</f>
        <v>-0.93680362856552213</v>
      </c>
      <c r="R225" s="54">
        <f>(VLOOKUP($A225,'The List'!$B1:$AH665,30,FALSE)-AVERAGE('The List'!AE2:AE665))/STDEV('The List'!AE2:AE665)</f>
        <v>0.34584557780177511</v>
      </c>
      <c r="S225" s="54">
        <f>(VLOOKUP($A225,'The List'!$B1:$AH665,31,FALSE)-AVERAGE('The List'!AF2:AF665))/STDEV('The List'!AF2:AF665)</f>
        <v>-0.52927081271894771</v>
      </c>
      <c r="T225" s="54">
        <f>(VLOOKUP($A225,'The List'!$B1:$AH665,32,FALSE)-AVERAGE('The List'!AG2:AG665))/STDEV('The List'!AG2:AG665)</f>
        <v>-0.54876241685637928</v>
      </c>
      <c r="U225" s="54">
        <f>(VLOOKUP($A225,'The List'!$B1:$AH665,33,FALSE)-AVERAGE('The List'!AH2:AH665))/STDEV('The List'!AH2:AH665)</f>
        <v>0.49711012638726648</v>
      </c>
      <c r="V225" s="54"/>
      <c r="W225" s="56"/>
      <c r="X225" s="54"/>
      <c r="Y225" s="54"/>
      <c r="Z225" s="54"/>
      <c r="AA225" s="54"/>
      <c r="AB225" s="54"/>
      <c r="AC225" s="54"/>
      <c r="AD225" s="54"/>
      <c r="AE225" s="54"/>
    </row>
    <row r="226" spans="1:31" ht="21.25" customHeight="1" x14ac:dyDescent="0.15">
      <c r="A226" s="9" t="s">
        <v>457</v>
      </c>
      <c r="B226" s="65" t="str">
        <f>VLOOKUP(A226,'Player Data'!A1:B667,2,FALSE)</f>
        <v>STL</v>
      </c>
      <c r="C226" s="51">
        <f>((E226)*Settings!$C$12)+(F226*Settings!$C$2)+(G226*Settings!$C$3)+(H226*Settings!$C$4)+(I226*Settings!$C$5)+(K226*Settings!$C$9)+(N226*Settings!$C$6)+(J226*Settings!$C$8)+(O226*Settings!$C$7)+(P226*Settings!$C$14)+(Q226*Settings!$C$15)+(R226*Settings!$C$16)+(S226*Settings!$C$17)+(T226*Settings!$C$18)+(U226*Settings!$C$19)+(L226*Settings!$C$10)+(Settings!$C$11*M226)</f>
        <v>-1.65041997386226</v>
      </c>
      <c r="D226" s="56">
        <f>IF(Settings!$E$12="YES",VLOOKUP(A226,'Player Data'!A1:E667,5,FALSE),82)</f>
        <v>80.117500000000007</v>
      </c>
      <c r="E226" s="54">
        <f>(VLOOKUP($A226,'The List'!$B1:$AH665,17,FALSE)-AVERAGE('The List'!R2:R665))/STDEV('The List'!R2:R665)</f>
        <v>-0.22194893152198517</v>
      </c>
      <c r="F226" s="54">
        <f>(VLOOKUP($A226,'The List'!$B1:$AH665,18,FALSE)-AVERAGE('The List'!S2:S665))/STDEV('The List'!S2:S665)</f>
        <v>0.81307632901351923</v>
      </c>
      <c r="G226" s="54">
        <f>(VLOOKUP($A226,'The List'!$B1:$AH665,19,FALSE)-AVERAGE('The List'!T2:T665))/STDEV('The List'!T2:T665)</f>
        <v>-0.30037336392595826</v>
      </c>
      <c r="H226" s="54">
        <f>(VLOOKUP($A226,'The List'!$B1:$AH665,20,FALSE)-AVERAGE('The List'!U2:U665))/STDEV('The List'!U2:U665)</f>
        <v>0.18303309173111434</v>
      </c>
      <c r="I226" s="54">
        <f>(VLOOKUP($A226,'The List'!$B1:$AH665,21,FALSE)-AVERAGE('The List'!V2:V665))/STDEV('The List'!V2:V665)</f>
        <v>0.19811865241813631</v>
      </c>
      <c r="J226" s="54">
        <f>(VLOOKUP($A226,'The List'!$B1:$AH665,22,FALSE)-AVERAGE('The List'!W2:W665))/STDEV('The List'!W2:W665)</f>
        <v>0.32590518632438553</v>
      </c>
      <c r="K226" s="54">
        <f>(VLOOKUP($A226,'The List'!$B1:$AH665,23,FALSE)-AVERAGE('The List'!X2:X665))/STDEV('The List'!X2:X665)</f>
        <v>-0.22362921465445307</v>
      </c>
      <c r="L226" s="54">
        <f>(VLOOKUP($A226,'The List'!$B1:$AH665,24,FALSE)-AVERAGE('The List'!Y2:Y665))/STDEV('The List'!Y2:Y665)</f>
        <v>0.22172179648568524</v>
      </c>
      <c r="M226" s="54">
        <f>(VLOOKUP($A226,'The List'!$B1:$AH665,25,FALSE)-AVERAGE('The List'!Z2:Z665))/STDEV('The List'!Z2:Z665)</f>
        <v>0.13516132174362247</v>
      </c>
      <c r="N226" s="54">
        <f>(VLOOKUP($A226,'The List'!$B1:$AH665,26,FALSE)-AVERAGE('The List'!AA2:AA665))/STDEV('The List'!AA2:AA665)</f>
        <v>-0.98868288731962262</v>
      </c>
      <c r="O226" s="54">
        <f>(VLOOKUP($A226,'The List'!$B1:$AH665,27,FALSE)-AVERAGE('The List'!AB2:AB665))/STDEV('The List'!AB2:AB665)</f>
        <v>-1.3760803144478093</v>
      </c>
      <c r="P226" s="54">
        <f>(VLOOKUP($A226,'The List'!$B1:$AH665,28,FALSE)-AVERAGE('The List'!AC2:AC665))/STDEV('The List'!AC2:AC665)</f>
        <v>-1.1489294893938817</v>
      </c>
      <c r="Q226" s="54">
        <f>(VLOOKUP($A226,'The List'!$B1:$AH665,29,FALSE)-AVERAGE('The List'!AD2:AD665))/STDEV('The List'!AD2:AD665)</f>
        <v>-0.93116505788280002</v>
      </c>
      <c r="R226" s="54">
        <f>(VLOOKUP($A226,'The List'!$B1:$AH665,30,FALSE)-AVERAGE('The List'!AE2:AE665))/STDEV('The List'!AE2:AE665)</f>
        <v>0.3837881595869338</v>
      </c>
      <c r="S226" s="54">
        <f>(VLOOKUP($A226,'The List'!$B1:$AH665,31,FALSE)-AVERAGE('The List'!AF2:AF665))/STDEV('The List'!AF2:AF665)</f>
        <v>-0.52113195340741814</v>
      </c>
      <c r="T226" s="54">
        <f>(VLOOKUP($A226,'The List'!$B1:$AH665,32,FALSE)-AVERAGE('The List'!AG2:AG665))/STDEV('The List'!AG2:AG665)</f>
        <v>-0.55719852360246036</v>
      </c>
      <c r="U226" s="54">
        <f>(VLOOKUP($A226,'The List'!$B1:$AH665,33,FALSE)-AVERAGE('The List'!AH2:AH665))/STDEV('The List'!AH2:AH665)</f>
        <v>0.80875975617977736</v>
      </c>
      <c r="V226" s="54"/>
      <c r="W226" s="56"/>
      <c r="X226" s="54"/>
      <c r="Y226" s="54"/>
      <c r="Z226" s="54"/>
      <c r="AA226" s="54"/>
      <c r="AB226" s="54"/>
      <c r="AC226" s="54"/>
      <c r="AD226" s="54"/>
      <c r="AE226" s="54"/>
    </row>
    <row r="227" spans="1:31" ht="21.25" customHeight="1" x14ac:dyDescent="0.15">
      <c r="A227" s="9" t="s">
        <v>433</v>
      </c>
      <c r="B227" s="65" t="str">
        <f>VLOOKUP(A227,'Player Data'!A1:B667,2,FALSE)</f>
        <v>CHI</v>
      </c>
      <c r="C227" s="51">
        <f>((E227)*Settings!$C$12)+(F227*Settings!$C$2)+(G227*Settings!$C$3)+(H227*Settings!$C$4)+(I227*Settings!$C$5)+(K227*Settings!$C$9)+(N227*Settings!$C$6)+(J227*Settings!$C$8)+(O227*Settings!$C$7)+(P227*Settings!$C$14)+(Q227*Settings!$C$15)+(R227*Settings!$C$16)+(S227*Settings!$C$17)+(T227*Settings!$C$18)+(U227*Settings!$C$19)+(L227*Settings!$C$10)+(Settings!$C$11*M227)</f>
        <v>-2.6765729709752124</v>
      </c>
      <c r="D227" s="56">
        <f>IF(Settings!$E$12="YES",VLOOKUP(A227,'Player Data'!A1:E667,5,FALSE),82)</f>
        <v>77.637500000000003</v>
      </c>
      <c r="E227" s="54">
        <f>(VLOOKUP($A227,'The List'!$B1:$AH665,17,FALSE)-AVERAGE('The List'!R2:R665))/STDEV('The List'!R2:R665)</f>
        <v>-1.9884663080872001E-4</v>
      </c>
      <c r="F227" s="54">
        <f>(VLOOKUP($A227,'The List'!$B1:$AH665,18,FALSE)-AVERAGE('The List'!S2:S665))/STDEV('The List'!S2:S665)</f>
        <v>3.9472741394991954E-2</v>
      </c>
      <c r="G227" s="54">
        <f>(VLOOKUP($A227,'The List'!$B1:$AH665,19,FALSE)-AVERAGE('The List'!T2:T665))/STDEV('The List'!T2:T665)</f>
        <v>0.16894251623023243</v>
      </c>
      <c r="H227" s="54">
        <f>(VLOOKUP($A227,'The List'!$B1:$AH665,20,FALSE)-AVERAGE('The List'!U2:U665))/STDEV('The List'!U2:U665)</f>
        <v>0.12286503915207632</v>
      </c>
      <c r="I227" s="54">
        <f>(VLOOKUP($A227,'The List'!$B1:$AH665,21,FALSE)-AVERAGE('The List'!V2:V665))/STDEV('The List'!V2:V665)</f>
        <v>-0.14738904185180712</v>
      </c>
      <c r="J227" s="54">
        <f>(VLOOKUP($A227,'The List'!$B1:$AH665,22,FALSE)-AVERAGE('The List'!W2:W665))/STDEV('The List'!W2:W665)</f>
        <v>0.20839316971393182</v>
      </c>
      <c r="K227" s="54">
        <f>(VLOOKUP($A227,'The List'!$B1:$AH665,23,FALSE)-AVERAGE('The List'!X2:X665))/STDEV('The List'!X2:X665)</f>
        <v>0.34933211687791693</v>
      </c>
      <c r="L227" s="54">
        <f>(VLOOKUP($A227,'The List'!$B1:$AH665,24,FALSE)-AVERAGE('The List'!Y2:Y665))/STDEV('The List'!Y2:Y665)</f>
        <v>-0.46564271708203381</v>
      </c>
      <c r="M227" s="54">
        <f>(VLOOKUP($A227,'The List'!$B1:$AH665,25,FALSE)-AVERAGE('The List'!Z2:Z665))/STDEV('The List'!Z2:Z665)</f>
        <v>-0.63754092971621912</v>
      </c>
      <c r="N227" s="54">
        <f>(VLOOKUP($A227,'The List'!$B1:$AH665,26,FALSE)-AVERAGE('The List'!AA2:AA665))/STDEV('The List'!AA2:AA665)</f>
        <v>-0.5419687531523224</v>
      </c>
      <c r="O227" s="54">
        <f>(VLOOKUP($A227,'The List'!$B1:$AH665,27,FALSE)-AVERAGE('The List'!AB2:AB665))/STDEV('The List'!AB2:AB665)</f>
        <v>-1.2025520946338781</v>
      </c>
      <c r="P227" s="54">
        <f>(VLOOKUP($A227,'The List'!$B1:$AH665,28,FALSE)-AVERAGE('The List'!AC2:AC665))/STDEV('The List'!AC2:AC665)</f>
        <v>-2.5449625504742244</v>
      </c>
      <c r="Q227" s="54">
        <f>(VLOOKUP($A227,'The List'!$B1:$AH665,29,FALSE)-AVERAGE('The List'!AD2:AD665))/STDEV('The List'!AD2:AD665)</f>
        <v>-0.79453502842672374</v>
      </c>
      <c r="R227" s="54">
        <f>(VLOOKUP($A227,'The List'!$B1:$AH665,30,FALSE)-AVERAGE('The List'!AE2:AE665))/STDEV('The List'!AE2:AE665)</f>
        <v>-0.13611991464159162</v>
      </c>
      <c r="S227" s="54">
        <f>(VLOOKUP($A227,'The List'!$B1:$AH665,31,FALSE)-AVERAGE('The List'!AF2:AF665))/STDEV('The List'!AF2:AF665)</f>
        <v>-5.5177879878746776E-2</v>
      </c>
      <c r="T227" s="54">
        <f>(VLOOKUP($A227,'The List'!$B1:$AH665,32,FALSE)-AVERAGE('The List'!AG2:AG665))/STDEV('The List'!AG2:AG665)</f>
        <v>4.6573760695271131E-2</v>
      </c>
      <c r="U227" s="54">
        <f>(VLOOKUP($A227,'The List'!$B1:$AH665,33,FALSE)-AVERAGE('The List'!AH2:AH665))/STDEV('The List'!AH2:AH665)</f>
        <v>0.81176124170904973</v>
      </c>
      <c r="V227" s="54"/>
      <c r="W227" s="64"/>
      <c r="X227" s="56"/>
      <c r="Y227" s="56"/>
      <c r="Z227" s="56"/>
      <c r="AA227" s="56"/>
      <c r="AB227" s="56"/>
      <c r="AC227" s="59"/>
      <c r="AD227" s="60"/>
      <c r="AE227" s="54"/>
    </row>
    <row r="228" spans="1:31" ht="21.25" customHeight="1" x14ac:dyDescent="0.15">
      <c r="A228" s="9" t="s">
        <v>493</v>
      </c>
      <c r="B228" s="65" t="str">
        <f>VLOOKUP(A228,'Player Data'!A1:B667,2,FALSE)</f>
        <v>ANA</v>
      </c>
      <c r="C228" s="51">
        <f>((E228)*Settings!$C$12)+(F228*Settings!$C$2)+(G228*Settings!$C$3)+(H228*Settings!$C$4)+(I228*Settings!$C$5)+(K228*Settings!$C$9)+(N228*Settings!$C$6)+(J228*Settings!$C$8)+(O228*Settings!$C$7)+(P228*Settings!$C$14)+(Q228*Settings!$C$15)+(R228*Settings!$C$16)+(S228*Settings!$C$17)+(T228*Settings!$C$18)+(U228*Settings!$C$19)+(L228*Settings!$C$10)+(Settings!$C$11*M228)</f>
        <v>-2.2274177721579664</v>
      </c>
      <c r="D228" s="56">
        <f>IF(Settings!$E$12="YES",VLOOKUP(A228,'Player Data'!A1:E667,5,FALSE),82)</f>
        <v>72</v>
      </c>
      <c r="E228" s="54">
        <f>(VLOOKUP($A228,'The List'!$B1:$AH665,17,FALSE)-AVERAGE('The List'!R2:R665))/STDEV('The List'!R2:R665)</f>
        <v>-0.24340078960701028</v>
      </c>
      <c r="F228" s="54">
        <f>(VLOOKUP($A228,'The List'!$B1:$AH665,18,FALSE)-AVERAGE('The List'!S2:S665))/STDEV('The List'!S2:S665)</f>
        <v>0.32182481285029574</v>
      </c>
      <c r="G228" s="54">
        <f>(VLOOKUP($A228,'The List'!$B1:$AH665,19,FALSE)-AVERAGE('The List'!T2:T665))/STDEV('The List'!T2:T665)</f>
        <v>-0.26293229484705632</v>
      </c>
      <c r="H228" s="54">
        <f>(VLOOKUP($A228,'The List'!$B1:$AH665,20,FALSE)-AVERAGE('The List'!U2:U665))/STDEV('The List'!U2:U665)</f>
        <v>-1.7011064285326973E-2</v>
      </c>
      <c r="I228" s="54">
        <f>(VLOOKUP($A228,'The List'!$B1:$AH665,21,FALSE)-AVERAGE('The List'!V2:V665))/STDEV('The List'!V2:V665)</f>
        <v>1.5867336063269826E-2</v>
      </c>
      <c r="J228" s="54">
        <f>(VLOOKUP($A228,'The List'!$B1:$AH665,22,FALSE)-AVERAGE('The List'!W2:W665))/STDEV('The List'!W2:W665)</f>
        <v>0.32856175639994717</v>
      </c>
      <c r="K228" s="54">
        <f>(VLOOKUP($A228,'The List'!$B1:$AH665,23,FALSE)-AVERAGE('The List'!X2:X665))/STDEV('The List'!X2:X665)</f>
        <v>4.6972079439538295E-2</v>
      </c>
      <c r="L228" s="54">
        <f>(VLOOKUP($A228,'The List'!$B1:$AH665,24,FALSE)-AVERAGE('The List'!Y2:Y665))/STDEV('The List'!Y2:Y665)</f>
        <v>-0.5801829139020841</v>
      </c>
      <c r="M228" s="54">
        <f>(VLOOKUP($A228,'The List'!$B1:$AH665,25,FALSE)-AVERAGE('The List'!Z2:Z665))/STDEV('The List'!Z2:Z665)</f>
        <v>-0.75403666498999722</v>
      </c>
      <c r="N228" s="54">
        <f>(VLOOKUP($A228,'The List'!$B1:$AH665,26,FALSE)-AVERAGE('The List'!AA2:AA665))/STDEV('The List'!AA2:AA665)</f>
        <v>-0.80966897089887935</v>
      </c>
      <c r="O228" s="54">
        <f>(VLOOKUP($A228,'The List'!$B1:$AH665,27,FALSE)-AVERAGE('The List'!AB2:AB665))/STDEV('The List'!AB2:AB665)</f>
        <v>-0.14046151407420029</v>
      </c>
      <c r="P228" s="54">
        <f>(VLOOKUP($A228,'The List'!$B1:$AH665,28,FALSE)-AVERAGE('The List'!AC2:AC665))/STDEV('The List'!AC2:AC665)</f>
        <v>-1.5394807347651347</v>
      </c>
      <c r="Q228" s="54">
        <f>(VLOOKUP($A228,'The List'!$B1:$AH665,29,FALSE)-AVERAGE('The List'!AD2:AD665))/STDEV('The List'!AD2:AD665)</f>
        <v>-0.27410793859050309</v>
      </c>
      <c r="R228" s="54">
        <f>(VLOOKUP($A228,'The List'!$B1:$AH665,30,FALSE)-AVERAGE('The List'!AE2:AE665))/STDEV('The List'!AE2:AE665)</f>
        <v>-3.6577406879164345E-2</v>
      </c>
      <c r="S228" s="54">
        <f>(VLOOKUP($A228,'The List'!$B1:$AH665,31,FALSE)-AVERAGE('The List'!AF2:AF665))/STDEV('The List'!AF2:AF665)</f>
        <v>-0.57389441068000469</v>
      </c>
      <c r="T228" s="54">
        <f>(VLOOKUP($A228,'The List'!$B1:$AH665,32,FALSE)-AVERAGE('The List'!AG2:AG665))/STDEV('The List'!AG2:AG665)</f>
        <v>-0.62577078713265111</v>
      </c>
      <c r="U228" s="54">
        <f>(VLOOKUP($A228,'The List'!$B1:$AH665,33,FALSE)-AVERAGE('The List'!AH2:AH665))/STDEV('The List'!AH2:AH665)</f>
        <v>-1.2314350945148611</v>
      </c>
      <c r="V228" s="54"/>
      <c r="W228" s="64"/>
      <c r="X228" s="56"/>
      <c r="Y228" s="56"/>
      <c r="Z228" s="56"/>
      <c r="AA228" s="56"/>
      <c r="AB228" s="56"/>
      <c r="AC228" s="59"/>
      <c r="AD228" s="60"/>
      <c r="AE228" s="54"/>
    </row>
    <row r="229" spans="1:31" ht="21.25" customHeight="1" x14ac:dyDescent="0.15">
      <c r="A229" s="9" t="s">
        <v>434</v>
      </c>
      <c r="B229" s="65" t="str">
        <f>VLOOKUP(A229,'Player Data'!A1:B667,2,FALSE)</f>
        <v>VAN</v>
      </c>
      <c r="C229" s="51">
        <f>((E229)*Settings!$C$12)+(F229*Settings!$C$2)+(G229*Settings!$C$3)+(H229*Settings!$C$4)+(I229*Settings!$C$5)+(K229*Settings!$C$9)+(N229*Settings!$C$6)+(J229*Settings!$C$8)+(O229*Settings!$C$7)+(P229*Settings!$C$14)+(Q229*Settings!$C$15)+(R229*Settings!$C$16)+(S229*Settings!$C$17)+(T229*Settings!$C$18)+(U229*Settings!$C$19)+(L229*Settings!$C$10)+(Settings!$C$11*M229)</f>
        <v>-0.9392460818936168</v>
      </c>
      <c r="D229" s="56">
        <f>IF(Settings!$E$12="YES",VLOOKUP(A229,'Player Data'!A1:E667,5,FALSE),82)</f>
        <v>76.864999999999995</v>
      </c>
      <c r="E229" s="54">
        <f>(VLOOKUP($A229,'The List'!$B1:$AH665,17,FALSE)-AVERAGE('The List'!R2:R665))/STDEV('The List'!R2:R665)</f>
        <v>-1.2385236285692725</v>
      </c>
      <c r="F229" s="54">
        <f>(VLOOKUP($A229,'The List'!$B1:$AH665,18,FALSE)-AVERAGE('The List'!S2:S665))/STDEV('The List'!S2:S665)</f>
        <v>0.41902185022248462</v>
      </c>
      <c r="G229" s="54">
        <f>(VLOOKUP($A229,'The List'!$B1:$AH665,19,FALSE)-AVERAGE('The List'!T2:T665))/STDEV('The List'!T2:T665)</f>
        <v>-0.17069983361729346</v>
      </c>
      <c r="H229" s="54">
        <f>(VLOOKUP($A229,'The List'!$B1:$AH665,20,FALSE)-AVERAGE('The List'!U2:U665))/STDEV('The List'!U2:U665)</f>
        <v>8.4451153827409697E-2</v>
      </c>
      <c r="I229" s="54">
        <f>(VLOOKUP($A229,'The List'!$B1:$AH665,21,FALSE)-AVERAGE('The List'!V2:V665))/STDEV('The List'!V2:V665)</f>
        <v>0.43086458566054248</v>
      </c>
      <c r="J229" s="54">
        <f>(VLOOKUP($A229,'The List'!$B1:$AH665,22,FALSE)-AVERAGE('The List'!W2:W665))/STDEV('The List'!W2:W665)</f>
        <v>-4.2404818179103757E-2</v>
      </c>
      <c r="K229" s="54">
        <f>(VLOOKUP($A229,'The List'!$B1:$AH665,23,FALSE)-AVERAGE('The List'!X2:X665))/STDEV('The List'!X2:X665)</f>
        <v>-7.7228148071756431E-2</v>
      </c>
      <c r="L229" s="54">
        <f>(VLOOKUP($A229,'The List'!$B1:$AH665,24,FALSE)-AVERAGE('The List'!Y2:Y665))/STDEV('The List'!Y2:Y665)</f>
        <v>-0.57582108234728036</v>
      </c>
      <c r="M229" s="54">
        <f>(VLOOKUP($A229,'The List'!$B1:$AH665,25,FALSE)-AVERAGE('The List'!Z2:Z665))/STDEV('The List'!Z2:Z665)</f>
        <v>-0.74957513013843213</v>
      </c>
      <c r="N229" s="54">
        <f>(VLOOKUP($A229,'The List'!$B1:$AH665,26,FALSE)-AVERAGE('The List'!AA2:AA665))/STDEV('The List'!AA2:AA665)</f>
        <v>-1.0594688175581899</v>
      </c>
      <c r="O229" s="54">
        <f>(VLOOKUP($A229,'The List'!$B1:$AH665,27,FALSE)-AVERAGE('The List'!AB2:AB665))/STDEV('The List'!AB2:AB665)</f>
        <v>-0.95921190615421648</v>
      </c>
      <c r="P229" s="54">
        <f>(VLOOKUP($A229,'The List'!$B1:$AH665,28,FALSE)-AVERAGE('The List'!AC2:AC665))/STDEV('The List'!AC2:AC665)</f>
        <v>-0.48173571852940394</v>
      </c>
      <c r="Q229" s="54">
        <f>(VLOOKUP($A229,'The List'!$B1:$AH665,29,FALSE)-AVERAGE('The List'!AD2:AD665))/STDEV('The List'!AD2:AD665)</f>
        <v>-0.93069473980685968</v>
      </c>
      <c r="R229" s="54">
        <f>(VLOOKUP($A229,'The List'!$B1:$AH665,30,FALSE)-AVERAGE('The List'!AE2:AE665))/STDEV('The List'!AE2:AE665)</f>
        <v>0.64597343883156966</v>
      </c>
      <c r="S229" s="54">
        <f>(VLOOKUP($A229,'The List'!$B1:$AH665,31,FALSE)-AVERAGE('The List'!AF2:AF665))/STDEV('The List'!AF2:AF665)</f>
        <v>-0.55206516857863575</v>
      </c>
      <c r="T229" s="54">
        <f>(VLOOKUP($A229,'The List'!$B1:$AH665,32,FALSE)-AVERAGE('The List'!AG2:AG665))/STDEV('The List'!AG2:AG665)</f>
        <v>-0.59437219203231428</v>
      </c>
      <c r="U229" s="54">
        <f>(VLOOKUP($A229,'The List'!$B1:$AH665,33,FALSE)-AVERAGE('The List'!AH2:AH665))/STDEV('The List'!AH2:AH665)</f>
        <v>0.6956350061143084</v>
      </c>
      <c r="V229" s="54"/>
      <c r="W229" s="64"/>
      <c r="X229" s="56"/>
      <c r="Y229" s="56"/>
      <c r="Z229" s="56"/>
      <c r="AA229" s="56"/>
      <c r="AB229" s="56"/>
      <c r="AC229" s="59"/>
      <c r="AD229" s="60"/>
      <c r="AE229" s="54"/>
    </row>
    <row r="230" spans="1:31" ht="21.25" customHeight="1" x14ac:dyDescent="0.15">
      <c r="A230" s="9" t="s">
        <v>660</v>
      </c>
      <c r="B230" s="65" t="str">
        <f>VLOOKUP(A230,'Player Data'!A1:B667,2,FALSE)</f>
        <v>BOS</v>
      </c>
      <c r="C230" s="51">
        <f>((E230)*Settings!$C$12)+(F230*Settings!$C$2)+(G230*Settings!$C$3)+(H230*Settings!$C$4)+(I230*Settings!$C$5)+(K230*Settings!$C$9)+(N230*Settings!$C$6)+(J230*Settings!$C$8)+(O230*Settings!$C$7)+(P230*Settings!$C$14)+(Q230*Settings!$C$15)+(R230*Settings!$C$16)+(S230*Settings!$C$17)+(T230*Settings!$C$18)+(U230*Settings!$C$19)+(L230*Settings!$C$10)+(Settings!$C$11*M230)</f>
        <v>-2.1625605961913106</v>
      </c>
      <c r="D230" s="56">
        <f>IF(Settings!$E$12="YES",VLOOKUP(A230,'Player Data'!A1:E667,5,FALSE),82)</f>
        <v>61.695</v>
      </c>
      <c r="E230" s="54">
        <f>(VLOOKUP($A230,'The List'!$B1:$AH665,17,FALSE)-AVERAGE('The List'!R2:R665))/STDEV('The List'!R2:R665)</f>
        <v>-0.75173256026503499</v>
      </c>
      <c r="F230" s="54">
        <f>(VLOOKUP($A230,'The List'!$B1:$AH665,18,FALSE)-AVERAGE('The List'!S2:S665))/STDEV('The List'!S2:S665)</f>
        <v>-0.16099196006968819</v>
      </c>
      <c r="G230" s="54">
        <f>(VLOOKUP($A230,'The List'!$B1:$AH665,19,FALSE)-AVERAGE('The List'!T2:T665))/STDEV('The List'!T2:T665)</f>
        <v>-0.30509454980236655</v>
      </c>
      <c r="H230" s="54">
        <f>(VLOOKUP($A230,'The List'!$B1:$AH665,20,FALSE)-AVERAGE('The List'!U2:U665))/STDEV('The List'!U2:U665)</f>
        <v>-0.26265936873221307</v>
      </c>
      <c r="I230" s="54">
        <f>(VLOOKUP($A230,'The List'!$B1:$AH665,21,FALSE)-AVERAGE('The List'!V2:V665))/STDEV('The List'!V2:V665)</f>
        <v>-0.72735054127634302</v>
      </c>
      <c r="J230" s="54">
        <f>(VLOOKUP($A230,'The List'!$B1:$AH665,22,FALSE)-AVERAGE('The List'!W2:W665))/STDEV('The List'!W2:W665)</f>
        <v>-0.43955508162148099</v>
      </c>
      <c r="K230" s="54">
        <f>(VLOOKUP($A230,'The List'!$B1:$AH665,23,FALSE)-AVERAGE('The List'!X2:X665))/STDEV('The List'!X2:X665)</f>
        <v>-0.47489961031821315</v>
      </c>
      <c r="L230" s="54">
        <f>(VLOOKUP($A230,'The List'!$B1:$AH665,24,FALSE)-AVERAGE('The List'!Y2:Y665))/STDEV('The List'!Y2:Y665)</f>
        <v>-0.56637482392860938</v>
      </c>
      <c r="M230" s="54">
        <f>(VLOOKUP($A230,'The List'!$B1:$AH665,25,FALSE)-AVERAGE('The List'!Z2:Z665))/STDEV('The List'!Z2:Z665)</f>
        <v>-0.74012762583237746</v>
      </c>
      <c r="N230" s="54">
        <f>(VLOOKUP($A230,'The List'!$B1:$AH665,26,FALSE)-AVERAGE('The List'!AA2:AA665))/STDEV('The List'!AA2:AA665)</f>
        <v>-0.87082337834406265</v>
      </c>
      <c r="O230" s="54">
        <f>(VLOOKUP($A230,'The List'!$B1:$AH665,27,FALSE)-AVERAGE('The List'!AB2:AB665))/STDEV('The List'!AB2:AB665)</f>
        <v>-0.96177302377619234</v>
      </c>
      <c r="P230" s="54">
        <f>(VLOOKUP($A230,'The List'!$B1:$AH665,28,FALSE)-AVERAGE('The List'!AC2:AC665))/STDEV('The List'!AC2:AC665)</f>
        <v>0.37659944361936326</v>
      </c>
      <c r="Q230" s="54">
        <f>(VLOOKUP($A230,'The List'!$B1:$AH665,29,FALSE)-AVERAGE('The List'!AD2:AD665))/STDEV('The List'!AD2:AD665)</f>
        <v>-1.0203974343607944</v>
      </c>
      <c r="R230" s="54">
        <f>(VLOOKUP($A230,'The List'!$B1:$AH665,30,FALSE)-AVERAGE('The List'!AE2:AE665))/STDEV('The List'!AE2:AE665)</f>
        <v>-0.10284331158780328</v>
      </c>
      <c r="S230" s="54">
        <f>(VLOOKUP($A230,'The List'!$B1:$AH665,31,FALSE)-AVERAGE('The List'!AF2:AF665))/STDEV('The List'!AF2:AF665)</f>
        <v>0.48159789463177816</v>
      </c>
      <c r="T230" s="54">
        <f>(VLOOKUP($A230,'The List'!$B1:$AH665,32,FALSE)-AVERAGE('The List'!AG2:AG665))/STDEV('The List'!AG2:AG665)</f>
        <v>0.82055029387007239</v>
      </c>
      <c r="U230" s="54">
        <f>(VLOOKUP($A230,'The List'!$B1:$AH665,33,FALSE)-AVERAGE('The List'!AH2:AH665))/STDEV('The List'!AH2:AH665)</f>
        <v>0.74954718405687482</v>
      </c>
      <c r="V230" s="54"/>
      <c r="W230" s="64"/>
      <c r="X230" s="56"/>
      <c r="Y230" s="56"/>
      <c r="Z230" s="56"/>
      <c r="AA230" s="56"/>
      <c r="AB230" s="56"/>
      <c r="AC230" s="59"/>
      <c r="AD230" s="60"/>
      <c r="AE230" s="54"/>
    </row>
    <row r="231" spans="1:31" ht="21.25" customHeight="1" x14ac:dyDescent="0.15">
      <c r="A231" s="9" t="s">
        <v>469</v>
      </c>
      <c r="B231" s="65" t="str">
        <f>VLOOKUP(A231,'Player Data'!A1:B667,2,FALSE)</f>
        <v>PHI</v>
      </c>
      <c r="C231" s="51">
        <f>((E231)*Settings!$C$12)+(F231*Settings!$C$2)+(G231*Settings!$C$3)+(H231*Settings!$C$4)+(I231*Settings!$C$5)+(K231*Settings!$C$9)+(N231*Settings!$C$6)+(J231*Settings!$C$8)+(O231*Settings!$C$7)+(P231*Settings!$C$14)+(Q231*Settings!$C$15)+(R231*Settings!$C$16)+(S231*Settings!$C$17)+(T231*Settings!$C$18)+(U231*Settings!$C$19)+(L231*Settings!$C$10)+(Settings!$C$11*M231)</f>
        <v>-1.0378968499279229</v>
      </c>
      <c r="D231" s="56">
        <f>IF(Settings!$E$12="YES",VLOOKUP(A231,'Player Data'!A1:E667,5,FALSE),82)</f>
        <v>68.022499999999994</v>
      </c>
      <c r="E231" s="54">
        <f>(VLOOKUP($A231,'The List'!$B1:$AH665,17,FALSE)-AVERAGE('The List'!R2:R665))/STDEV('The List'!R2:R665)</f>
        <v>0.22570970158843645</v>
      </c>
      <c r="F231" s="54">
        <f>(VLOOKUP($A231,'The List'!$B1:$AH665,18,FALSE)-AVERAGE('The List'!S2:S665))/STDEV('The List'!S2:S665)</f>
        <v>-0.24055979599957539</v>
      </c>
      <c r="G231" s="54">
        <f>(VLOOKUP($A231,'The List'!$B1:$AH665,19,FALSE)-AVERAGE('The List'!T2:T665))/STDEV('The List'!T2:T665)</f>
        <v>0.10207093952695832</v>
      </c>
      <c r="H231" s="54">
        <f>(VLOOKUP($A231,'The List'!$B1:$AH665,20,FALSE)-AVERAGE('The List'!U2:U665))/STDEV('The List'!U2:U665)</f>
        <v>-4.5954069304107462E-2</v>
      </c>
      <c r="I231" s="54">
        <f>(VLOOKUP($A231,'The List'!$B1:$AH665,21,FALSE)-AVERAGE('The List'!V2:V665))/STDEV('The List'!V2:V665)</f>
        <v>0.59033305636794053</v>
      </c>
      <c r="J231" s="54">
        <f>(VLOOKUP($A231,'The List'!$B1:$AH665,22,FALSE)-AVERAGE('The List'!W2:W665))/STDEV('The List'!W2:W665)</f>
        <v>-0.1304622761534899</v>
      </c>
      <c r="K231" s="54">
        <f>(VLOOKUP($A231,'The List'!$B1:$AH665,23,FALSE)-AVERAGE('The List'!X2:X665))/STDEV('The List'!X2:X665)</f>
        <v>-0.28357397523525374</v>
      </c>
      <c r="L231" s="54">
        <f>(VLOOKUP($A231,'The List'!$B1:$AH665,24,FALSE)-AVERAGE('The List'!Y2:Y665))/STDEV('The List'!Y2:Y665)</f>
        <v>-0.30815211163286854</v>
      </c>
      <c r="M231" s="54">
        <f>(VLOOKUP($A231,'The List'!$B1:$AH665,25,FALSE)-AVERAGE('The List'!Z2:Z665))/STDEV('The List'!Z2:Z665)</f>
        <v>1.3057475595584771</v>
      </c>
      <c r="N231" s="54">
        <f>(VLOOKUP($A231,'The List'!$B1:$AH665,26,FALSE)-AVERAGE('The List'!AA2:AA665))/STDEV('The List'!AA2:AA665)</f>
        <v>-0.64448766671628865</v>
      </c>
      <c r="O231" s="54">
        <f>(VLOOKUP($A231,'The List'!$B1:$AH665,27,FALSE)-AVERAGE('The List'!AB2:AB665))/STDEV('The List'!AB2:AB665)</f>
        <v>-0.83304880923555358</v>
      </c>
      <c r="P231" s="54">
        <f>(VLOOKUP($A231,'The List'!$B1:$AH665,28,FALSE)-AVERAGE('The List'!AC2:AC665))/STDEV('The List'!AC2:AC665)</f>
        <v>-0.56167940787170401</v>
      </c>
      <c r="Q231" s="54">
        <f>(VLOOKUP($A231,'The List'!$B1:$AH665,29,FALSE)-AVERAGE('The List'!AD2:AD665))/STDEV('The List'!AD2:AD665)</f>
        <v>-0.24492369502823985</v>
      </c>
      <c r="R231" s="54">
        <f>(VLOOKUP($A231,'The List'!$B1:$AH665,30,FALSE)-AVERAGE('The List'!AE2:AE665))/STDEV('The List'!AE2:AE665)</f>
        <v>-0.258179483867712</v>
      </c>
      <c r="S231" s="54">
        <f>(VLOOKUP($A231,'The List'!$B1:$AH665,31,FALSE)-AVERAGE('The List'!AF2:AF665))/STDEV('The List'!AF2:AF665)</f>
        <v>2.4286666460244719</v>
      </c>
      <c r="T231" s="54">
        <f>(VLOOKUP($A231,'The List'!$B1:$AH665,32,FALSE)-AVERAGE('The List'!AG2:AG665))/STDEV('The List'!AG2:AG665)</f>
        <v>2.1032748223548499</v>
      </c>
      <c r="U231" s="54">
        <f>(VLOOKUP($A231,'The List'!$B1:$AH665,33,FALSE)-AVERAGE('The List'!AH2:AH665))/STDEV('The List'!AH2:AH665)</f>
        <v>1.2128943973137924</v>
      </c>
      <c r="V231" s="54"/>
      <c r="W231" s="64"/>
      <c r="X231" s="56"/>
      <c r="Y231" s="56"/>
      <c r="Z231" s="56"/>
      <c r="AA231" s="56"/>
      <c r="AB231" s="56"/>
      <c r="AC231" s="59"/>
      <c r="AD231" s="60"/>
      <c r="AE231" s="54"/>
    </row>
    <row r="232" spans="1:31" ht="21.25" customHeight="1" x14ac:dyDescent="0.15">
      <c r="A232" s="9" t="s">
        <v>417</v>
      </c>
      <c r="B232" s="65" t="str">
        <f>VLOOKUP(A232,'Player Data'!A1:B667,2,FALSE)</f>
        <v>OTT</v>
      </c>
      <c r="C232" s="51">
        <f>((E232)*Settings!$C$12)+(F232*Settings!$C$2)+(G232*Settings!$C$3)+(H232*Settings!$C$4)+(I232*Settings!$C$5)+(K232*Settings!$C$9)+(N232*Settings!$C$6)+(J232*Settings!$C$8)+(O232*Settings!$C$7)+(P232*Settings!$C$14)+(Q232*Settings!$C$15)+(R232*Settings!$C$16)+(S232*Settings!$C$17)+(T232*Settings!$C$18)+(U232*Settings!$C$19)+(L232*Settings!$C$10)+(Settings!$C$11*M232)</f>
        <v>-0.17595335221692576</v>
      </c>
      <c r="D232" s="56">
        <f>IF(Settings!$E$12="YES",VLOOKUP(A232,'Player Data'!A1:E667,5,FALSE),82)</f>
        <v>79.465000000000003</v>
      </c>
      <c r="E232" s="54">
        <f>(VLOOKUP($A232,'The List'!$B1:$AH665,17,FALSE)-AVERAGE('The List'!R2:R665))/STDEV('The List'!R2:R665)</f>
        <v>-0.53462934303458187</v>
      </c>
      <c r="F232" s="54">
        <f>(VLOOKUP($A232,'The List'!$B1:$AH665,18,FALSE)-AVERAGE('The List'!S2:S665))/STDEV('The List'!S2:S665)</f>
        <v>0.22250685897248942</v>
      </c>
      <c r="G232" s="54">
        <f>(VLOOKUP($A232,'The List'!$B1:$AH665,19,FALSE)-AVERAGE('The List'!T2:T665))/STDEV('The List'!T2:T665)</f>
        <v>3.9934343529763057E-2</v>
      </c>
      <c r="H232" s="54">
        <f>(VLOOKUP($A232,'The List'!$B1:$AH665,20,FALSE)-AVERAGE('The List'!U2:U665))/STDEV('The List'!U2:U665)</f>
        <v>0.12594141676779513</v>
      </c>
      <c r="I232" s="54">
        <f>(VLOOKUP($A232,'The List'!$B1:$AH665,21,FALSE)-AVERAGE('The List'!V2:V665))/STDEV('The List'!V2:V665)</f>
        <v>0.29044769477823779</v>
      </c>
      <c r="J232" s="54">
        <f>(VLOOKUP($A232,'The List'!$B1:$AH665,22,FALSE)-AVERAGE('The List'!W2:W665))/STDEV('The List'!W2:W665)</f>
        <v>0.50961773273522581</v>
      </c>
      <c r="K232" s="54">
        <f>(VLOOKUP($A232,'The List'!$B1:$AH665,23,FALSE)-AVERAGE('The List'!X2:X665))/STDEV('The List'!X2:X665)</f>
        <v>0.44867904823116833</v>
      </c>
      <c r="L232" s="54">
        <f>(VLOOKUP($A232,'The List'!$B1:$AH665,24,FALSE)-AVERAGE('The List'!Y2:Y665))/STDEV('The List'!Y2:Y665)</f>
        <v>-0.579373581561479</v>
      </c>
      <c r="M232" s="54">
        <f>(VLOOKUP($A232,'The List'!$B1:$AH665,25,FALSE)-AVERAGE('The List'!Z2:Z665))/STDEV('The List'!Z2:Z665)</f>
        <v>-0.75319234397595147</v>
      </c>
      <c r="N232" s="54">
        <f>(VLOOKUP($A232,'The List'!$B1:$AH665,26,FALSE)-AVERAGE('The List'!AA2:AA665))/STDEV('The List'!AA2:AA665)</f>
        <v>-0.91976960085019599</v>
      </c>
      <c r="O232" s="54">
        <f>(VLOOKUP($A232,'The List'!$B1:$AH665,27,FALSE)-AVERAGE('The List'!AB2:AB665))/STDEV('The List'!AB2:AB665)</f>
        <v>0.32189860872509407</v>
      </c>
      <c r="P232" s="54">
        <f>(VLOOKUP($A232,'The List'!$B1:$AH665,28,FALSE)-AVERAGE('The List'!AC2:AC665))/STDEV('The List'!AC2:AC665)</f>
        <v>-0.25775169687838839</v>
      </c>
      <c r="Q232" s="54">
        <f>(VLOOKUP($A232,'The List'!$B1:$AH665,29,FALSE)-AVERAGE('The List'!AD2:AD665))/STDEV('The List'!AD2:AD665)</f>
        <v>0.60736279463235199</v>
      </c>
      <c r="R232" s="54">
        <f>(VLOOKUP($A232,'The List'!$B1:$AH665,30,FALSE)-AVERAGE('The List'!AE2:AE665))/STDEV('The List'!AE2:AE665)</f>
        <v>0.27566482706273854</v>
      </c>
      <c r="S232" s="54">
        <f>(VLOOKUP($A232,'The List'!$B1:$AH665,31,FALSE)-AVERAGE('The List'!AF2:AF665))/STDEV('The List'!AF2:AF665)</f>
        <v>-0.5352766414643304</v>
      </c>
      <c r="T232" s="54">
        <f>(VLOOKUP($A232,'The List'!$B1:$AH665,32,FALSE)-AVERAGE('The List'!AG2:AG665))/STDEV('The List'!AG2:AG665)</f>
        <v>-0.5347807737280813</v>
      </c>
      <c r="U232" s="54">
        <f>(VLOOKUP($A232,'The List'!$B1:$AH665,33,FALSE)-AVERAGE('The List'!AH2:AH665))/STDEV('The List'!AH2:AH665)</f>
        <v>0.17845542447447549</v>
      </c>
      <c r="V232" s="54"/>
      <c r="W232" s="64"/>
      <c r="X232" s="56"/>
      <c r="Y232" s="56"/>
      <c r="Z232" s="56"/>
      <c r="AA232" s="56"/>
      <c r="AB232" s="56"/>
      <c r="AC232" s="59"/>
      <c r="AD232" s="60"/>
      <c r="AE232" s="54"/>
    </row>
    <row r="233" spans="1:31" ht="21.25" customHeight="1" x14ac:dyDescent="0.15">
      <c r="A233" s="9" t="s">
        <v>500</v>
      </c>
      <c r="B233" s="65" t="str">
        <f>VLOOKUP(A233,'Player Data'!A1:B667,2,FALSE)</f>
        <v>CBJ</v>
      </c>
      <c r="C233" s="51">
        <f>((E233)*Settings!$C$12)+(F233*Settings!$C$2)+(G233*Settings!$C$3)+(H233*Settings!$C$4)+(I233*Settings!$C$5)+(K233*Settings!$C$9)+(N233*Settings!$C$6)+(J233*Settings!$C$8)+(O233*Settings!$C$7)+(P233*Settings!$C$14)+(Q233*Settings!$C$15)+(R233*Settings!$C$16)+(S233*Settings!$C$17)+(T233*Settings!$C$18)+(U233*Settings!$C$19)+(L233*Settings!$C$10)+(Settings!$C$11*M233)</f>
        <v>-3.2598575399060357</v>
      </c>
      <c r="D233" s="56">
        <f>IF(Settings!$E$12="YES",VLOOKUP(A233,'Player Data'!A1:E667,5,FALSE),82)</f>
        <v>67.732500000000002</v>
      </c>
      <c r="E233" s="54">
        <f>(VLOOKUP($A233,'The List'!$B1:$AH665,17,FALSE)-AVERAGE('The List'!R2:R665))/STDEV('The List'!R2:R665)</f>
        <v>-0.58355705489014775</v>
      </c>
      <c r="F233" s="54">
        <f>(VLOOKUP($A233,'The List'!$B1:$AH665,18,FALSE)-AVERAGE('The List'!S2:S665))/STDEV('The List'!S2:S665)</f>
        <v>0.23171510161966966</v>
      </c>
      <c r="G233" s="54">
        <f>(VLOOKUP($A233,'The List'!$B1:$AH665,19,FALSE)-AVERAGE('The List'!T2:T665))/STDEV('The List'!T2:T665)</f>
        <v>-0.40465015840669877</v>
      </c>
      <c r="H233" s="54">
        <f>(VLOOKUP($A233,'The List'!$B1:$AH665,20,FALSE)-AVERAGE('The List'!U2:U665))/STDEV('The List'!U2:U665)</f>
        <v>-0.14598497309676989</v>
      </c>
      <c r="I233" s="54">
        <f>(VLOOKUP($A233,'The List'!$B1:$AH665,21,FALSE)-AVERAGE('The List'!V2:V665))/STDEV('The List'!V2:V665)</f>
        <v>-6.7862483668231277E-2</v>
      </c>
      <c r="J233" s="54">
        <f>(VLOOKUP($A233,'The List'!$B1:$AH665,22,FALSE)-AVERAGE('The List'!W2:W665))/STDEV('The List'!W2:W665)</f>
        <v>-0.29760675536947973</v>
      </c>
      <c r="K233" s="54">
        <f>(VLOOKUP($A233,'The List'!$B1:$AH665,23,FALSE)-AVERAGE('The List'!X2:X665))/STDEV('The List'!X2:X665)</f>
        <v>-0.43914168581912844</v>
      </c>
      <c r="L233" s="54">
        <f>(VLOOKUP($A233,'The List'!$B1:$AH665,24,FALSE)-AVERAGE('The List'!Y2:Y665))/STDEV('The List'!Y2:Y665)</f>
        <v>-0.36034884959568075</v>
      </c>
      <c r="M233" s="54">
        <f>(VLOOKUP($A233,'The List'!$B1:$AH665,25,FALSE)-AVERAGE('The List'!Z2:Z665))/STDEV('The List'!Z2:Z665)</f>
        <v>-0.52917251077468941</v>
      </c>
      <c r="N233" s="54">
        <f>(VLOOKUP($A233,'The List'!$B1:$AH665,26,FALSE)-AVERAGE('The List'!AA2:AA665))/STDEV('The List'!AA2:AA665)</f>
        <v>-0.72544796626426167</v>
      </c>
      <c r="O233" s="54">
        <f>(VLOOKUP($A233,'The List'!$B1:$AH665,27,FALSE)-AVERAGE('The List'!AB2:AB665))/STDEV('The List'!AB2:AB665)</f>
        <v>-0.6389874050231773</v>
      </c>
      <c r="P233" s="54">
        <f>(VLOOKUP($A233,'The List'!$B1:$AH665,28,FALSE)-AVERAGE('The List'!AC2:AC665))/STDEV('The List'!AC2:AC665)</f>
        <v>-1.8544703473673854</v>
      </c>
      <c r="Q233" s="54">
        <f>(VLOOKUP($A233,'The List'!$B1:$AH665,29,FALSE)-AVERAGE('The List'!AD2:AD665))/STDEV('The List'!AD2:AD665)</f>
        <v>-1.0597360002166456</v>
      </c>
      <c r="R233" s="54">
        <f>(VLOOKUP($A233,'The List'!$B1:$AH665,30,FALSE)-AVERAGE('The List'!AE2:AE665))/STDEV('The List'!AE2:AE665)</f>
        <v>-0.16402188020247652</v>
      </c>
      <c r="S233" s="54">
        <f>(VLOOKUP($A233,'The List'!$B1:$AH665,31,FALSE)-AVERAGE('The List'!AF2:AF665))/STDEV('The List'!AF2:AF665)</f>
        <v>-0.56620153980308596</v>
      </c>
      <c r="T233" s="54">
        <f>(VLOOKUP($A233,'The List'!$B1:$AH665,32,FALSE)-AVERAGE('The List'!AG2:AG665))/STDEV('The List'!AG2:AG665)</f>
        <v>-0.5562350958289114</v>
      </c>
      <c r="U233" s="54">
        <f>(VLOOKUP($A233,'The List'!$B1:$AH665,33,FALSE)-AVERAGE('The List'!AH2:AH665))/STDEV('The List'!AH2:AH665)</f>
        <v>-0.75417648004495219</v>
      </c>
      <c r="V233" s="54"/>
      <c r="W233" s="56"/>
      <c r="X233" s="54"/>
      <c r="Y233" s="54"/>
      <c r="Z233" s="54"/>
      <c r="AA233" s="54"/>
      <c r="AB233" s="54"/>
      <c r="AC233" s="54"/>
      <c r="AD233" s="54"/>
      <c r="AE233" s="54"/>
    </row>
    <row r="234" spans="1:31" ht="21.25" customHeight="1" x14ac:dyDescent="0.15">
      <c r="A234" s="9" t="s">
        <v>479</v>
      </c>
      <c r="B234" s="65" t="str">
        <f>VLOOKUP(A234,'Player Data'!A1:B667,2,FALSE)</f>
        <v>CAR</v>
      </c>
      <c r="C234" s="51">
        <f>((E234)*Settings!$C$12)+(F234*Settings!$C$2)+(G234*Settings!$C$3)+(H234*Settings!$C$4)+(I234*Settings!$C$5)+(K234*Settings!$C$9)+(N234*Settings!$C$6)+(J234*Settings!$C$8)+(O234*Settings!$C$7)+(P234*Settings!$C$14)+(Q234*Settings!$C$15)+(R234*Settings!$C$16)+(S234*Settings!$C$17)+(T234*Settings!$C$18)+(U234*Settings!$C$19)+(L234*Settings!$C$10)+(Settings!$C$11*M234)</f>
        <v>0.78305213257355777</v>
      </c>
      <c r="D234" s="56">
        <f>IF(Settings!$E$12="YES",VLOOKUP(A234,'Player Data'!A1:E667,5,FALSE),82)</f>
        <v>79.897499999999994</v>
      </c>
      <c r="E234" s="54">
        <f>(VLOOKUP($A234,'The List'!$B1:$AH665,17,FALSE)-AVERAGE('The List'!R2:R665))/STDEV('The List'!R2:R665)</f>
        <v>-0.45380975658843953</v>
      </c>
      <c r="F234" s="54">
        <f>(VLOOKUP($A234,'The List'!$B1:$AH665,18,FALSE)-AVERAGE('The List'!S2:S665))/STDEV('The List'!S2:S665)</f>
        <v>0.32376249328287149</v>
      </c>
      <c r="G234" s="54">
        <f>(VLOOKUP($A234,'The List'!$B1:$AH665,19,FALSE)-AVERAGE('The List'!T2:T665))/STDEV('The List'!T2:T665)</f>
        <v>-3.8979445390347596E-2</v>
      </c>
      <c r="H234" s="54">
        <f>(VLOOKUP($A234,'The List'!$B1:$AH665,20,FALSE)-AVERAGE('The List'!U2:U665))/STDEV('The List'!U2:U665)</f>
        <v>0.12295701553559693</v>
      </c>
      <c r="I234" s="54">
        <f>(VLOOKUP($A234,'The List'!$B1:$AH665,21,FALSE)-AVERAGE('The List'!V2:V665))/STDEV('The List'!V2:V665)</f>
        <v>0.18750868064517473</v>
      </c>
      <c r="J234" s="54">
        <f>(VLOOKUP($A234,'The List'!$B1:$AH665,22,FALSE)-AVERAGE('The List'!W2:W665))/STDEV('The List'!W2:W665)</f>
        <v>-0.13909305200590741</v>
      </c>
      <c r="K234" s="54">
        <f>(VLOOKUP($A234,'The List'!$B1:$AH665,23,FALSE)-AVERAGE('The List'!X2:X665))/STDEV('The List'!X2:X665)</f>
        <v>-9.6131577673243679E-2</v>
      </c>
      <c r="L234" s="54">
        <f>(VLOOKUP($A234,'The List'!$B1:$AH665,24,FALSE)-AVERAGE('The List'!Y2:Y665))/STDEV('The List'!Y2:Y665)</f>
        <v>-0.27584012266023938</v>
      </c>
      <c r="M234" s="54">
        <f>(VLOOKUP($A234,'The List'!$B1:$AH665,25,FALSE)-AVERAGE('The List'!Z2:Z665))/STDEV('The List'!Z2:Z665)</f>
        <v>-0.30218511517184143</v>
      </c>
      <c r="N234" s="54">
        <f>(VLOOKUP($A234,'The List'!$B1:$AH665,26,FALSE)-AVERAGE('The List'!AA2:AA665))/STDEV('The List'!AA2:AA665)</f>
        <v>-0.76306284686568238</v>
      </c>
      <c r="O234" s="54">
        <f>(VLOOKUP($A234,'The List'!$B1:$AH665,27,FALSE)-AVERAGE('The List'!AB2:AB665))/STDEV('The List'!AB2:AB665)</f>
        <v>-0.20006854192748016</v>
      </c>
      <c r="P234" s="54">
        <f>(VLOOKUP($A234,'The List'!$B1:$AH665,28,FALSE)-AVERAGE('The List'!AC2:AC665))/STDEV('The List'!AC2:AC665)</f>
        <v>1.1699548285747852</v>
      </c>
      <c r="Q234" s="54">
        <f>(VLOOKUP($A234,'The List'!$B1:$AH665,29,FALSE)-AVERAGE('The List'!AD2:AD665))/STDEV('The List'!AD2:AD665)</f>
        <v>0.68940577325167207</v>
      </c>
      <c r="R234" s="54">
        <f>(VLOOKUP($A234,'The List'!$B1:$AH665,30,FALSE)-AVERAGE('The List'!AE2:AE665))/STDEV('The List'!AE2:AE665)</f>
        <v>0.56826901255162332</v>
      </c>
      <c r="S234" s="54">
        <f>(VLOOKUP($A234,'The List'!$B1:$AH665,31,FALSE)-AVERAGE('The List'!AF2:AF665))/STDEV('The List'!AF2:AF665)</f>
        <v>1.2321333191470987</v>
      </c>
      <c r="T234" s="54">
        <f>(VLOOKUP($A234,'The List'!$B1:$AH665,32,FALSE)-AVERAGE('The List'!AG2:AG665))/STDEV('The List'!AG2:AG665)</f>
        <v>1.1887579877404353</v>
      </c>
      <c r="U234" s="54">
        <f>(VLOOKUP($A234,'The List'!$B1:$AH665,33,FALSE)-AVERAGE('The List'!AH2:AH665))/STDEV('The List'!AH2:AH665)</f>
        <v>1.099678920444858</v>
      </c>
      <c r="V234" s="54"/>
      <c r="W234" s="64"/>
      <c r="X234" s="56"/>
      <c r="Y234" s="56"/>
      <c r="Z234" s="56"/>
      <c r="AA234" s="56"/>
      <c r="AB234" s="56"/>
      <c r="AC234" s="59"/>
      <c r="AD234" s="60"/>
      <c r="AE234" s="54"/>
    </row>
    <row r="235" spans="1:31" ht="21.25" customHeight="1" x14ac:dyDescent="0.15">
      <c r="A235" s="9" t="s">
        <v>334</v>
      </c>
      <c r="B235" s="65" t="str">
        <f>VLOOKUP(A235,'Player Data'!A1:B667,2,FALSE)</f>
        <v>ANA</v>
      </c>
      <c r="C235" s="51">
        <f>((E235)*Settings!$C$12)+(F235*Settings!$C$2)+(G235*Settings!$C$3)+(H235*Settings!$C$4)+(I235*Settings!$C$5)+(K235*Settings!$C$9)+(N235*Settings!$C$6)+(J235*Settings!$C$8)+(O235*Settings!$C$7)+(P235*Settings!$C$14)+(Q235*Settings!$C$15)+(R235*Settings!$C$16)+(S235*Settings!$C$17)+(T235*Settings!$C$18)+(U235*Settings!$C$19)+(L235*Settings!$C$10)+(Settings!$C$11*M235)</f>
        <v>-1.5284415258972928</v>
      </c>
      <c r="D235" s="56">
        <f>IF(Settings!$E$12="YES",VLOOKUP(A235,'Player Data'!A1:E667,5,FALSE),82)</f>
        <v>74.144999999999996</v>
      </c>
      <c r="E235" s="54">
        <f>(VLOOKUP($A235,'The List'!$B1:$AH665,17,FALSE)-AVERAGE('The List'!R2:R665))/STDEV('The List'!R2:R665)</f>
        <v>0.8717696503014184</v>
      </c>
      <c r="F235" s="54">
        <f>(VLOOKUP($A235,'The List'!$B1:$AH665,18,FALSE)-AVERAGE('The List'!S2:S665))/STDEV('The List'!S2:S665)</f>
        <v>-0.7865906982347588</v>
      </c>
      <c r="G235" s="54">
        <f>(VLOOKUP($A235,'The List'!$B1:$AH665,19,FALSE)-AVERAGE('The List'!T2:T665))/STDEV('The List'!T2:T665)</f>
        <v>0.56587403485104815</v>
      </c>
      <c r="H235" s="54">
        <f>(VLOOKUP($A235,'The List'!$B1:$AH665,20,FALSE)-AVERAGE('The List'!U2:U665))/STDEV('The List'!U2:U665)</f>
        <v>-6.1032683325940714E-3</v>
      </c>
      <c r="I235" s="54">
        <f>(VLOOKUP($A235,'The List'!$B1:$AH665,21,FALSE)-AVERAGE('The List'!V2:V665))/STDEV('The List'!V2:V665)</f>
        <v>-0.35818331987172497</v>
      </c>
      <c r="J235" s="54">
        <f>(VLOOKUP($A235,'The List'!$B1:$AH665,22,FALSE)-AVERAGE('The List'!W2:W665))/STDEV('The List'!W2:W665)</f>
        <v>-0.59268337840066154</v>
      </c>
      <c r="K235" s="54">
        <f>(VLOOKUP($A235,'The List'!$B1:$AH665,23,FALSE)-AVERAGE('The List'!X2:X665))/STDEV('The List'!X2:X665)</f>
        <v>0.41136702244427892</v>
      </c>
      <c r="L235" s="54">
        <f>(VLOOKUP($A235,'The List'!$B1:$AH665,24,FALSE)-AVERAGE('The List'!Y2:Y665))/STDEV('The List'!Y2:Y665)</f>
        <v>-0.53117624169286681</v>
      </c>
      <c r="M235" s="54">
        <f>(VLOOKUP($A235,'The List'!$B1:$AH665,25,FALSE)-AVERAGE('The List'!Z2:Z665))/STDEV('The List'!Z2:Z665)</f>
        <v>-7.5266768210224808E-2</v>
      </c>
      <c r="N235" s="54">
        <f>(VLOOKUP($A235,'The List'!$B1:$AH665,26,FALSE)-AVERAGE('The List'!AA2:AA665))/STDEV('The List'!AA2:AA665)</f>
        <v>0.5960362607885783</v>
      </c>
      <c r="O235" s="54">
        <f>(VLOOKUP($A235,'The List'!$B1:$AH665,27,FALSE)-AVERAGE('The List'!AB2:AB665))/STDEV('The List'!AB2:AB665)</f>
        <v>0.29749523714811787</v>
      </c>
      <c r="P235" s="54">
        <f>(VLOOKUP($A235,'The List'!$B1:$AH665,28,FALSE)-AVERAGE('The List'!AC2:AC665))/STDEV('The List'!AC2:AC665)</f>
        <v>-1.9569448258747144</v>
      </c>
      <c r="Q235" s="54">
        <f>(VLOOKUP($A235,'The List'!$B1:$AH665,29,FALSE)-AVERAGE('The List'!AD2:AD665))/STDEV('The List'!AD2:AD665)</f>
        <v>-8.1649646952667871E-3</v>
      </c>
      <c r="R235" s="54">
        <f>(VLOOKUP($A235,'The List'!$B1:$AH665,30,FALSE)-AVERAGE('The List'!AE2:AE665))/STDEV('The List'!AE2:AE665)</f>
        <v>-0.86584801723036298</v>
      </c>
      <c r="S235" s="54">
        <f>(VLOOKUP($A235,'The List'!$B1:$AH665,31,FALSE)-AVERAGE('The List'!AF2:AF665))/STDEV('The List'!AF2:AF665)</f>
        <v>-0.57389441068000469</v>
      </c>
      <c r="T235" s="54">
        <f>(VLOOKUP($A235,'The List'!$B1:$AH665,32,FALSE)-AVERAGE('The List'!AG2:AG665))/STDEV('The List'!AG2:AG665)</f>
        <v>-0.62577078713265111</v>
      </c>
      <c r="U235" s="54">
        <f>(VLOOKUP($A235,'The List'!$B1:$AH665,33,FALSE)-AVERAGE('The List'!AH2:AH665))/STDEV('The List'!AH2:AH665)</f>
        <v>-1.2314350945148611</v>
      </c>
      <c r="V235" s="54"/>
      <c r="W235" s="64"/>
      <c r="X235" s="56"/>
      <c r="Y235" s="56"/>
      <c r="Z235" s="56"/>
      <c r="AA235" s="56"/>
      <c r="AB235" s="56"/>
      <c r="AC235" s="59"/>
      <c r="AD235" s="60"/>
      <c r="AE235" s="54"/>
    </row>
    <row r="236" spans="1:31" ht="21.25" customHeight="1" x14ac:dyDescent="0.15">
      <c r="A236" s="9" t="s">
        <v>616</v>
      </c>
      <c r="B236" s="65" t="str">
        <f>VLOOKUP(A236,'Player Data'!A1:B667,2,FALSE)</f>
        <v>MTL</v>
      </c>
      <c r="C236" s="51">
        <f>((E236)*Settings!$C$12)+(F236*Settings!$C$2)+(G236*Settings!$C$3)+(H236*Settings!$C$4)+(I236*Settings!$C$5)+(K236*Settings!$C$9)+(N236*Settings!$C$6)+(J236*Settings!$C$8)+(O236*Settings!$C$7)+(P236*Settings!$C$14)+(Q236*Settings!$C$15)+(R236*Settings!$C$16)+(S236*Settings!$C$17)+(T236*Settings!$C$18)+(U236*Settings!$C$19)+(L236*Settings!$C$10)+(Settings!$C$11*M236)</f>
        <v>-2.4936569962114681</v>
      </c>
      <c r="D236" s="56">
        <f>IF(Settings!$E$12="YES",VLOOKUP(A236,'Player Data'!A1:E667,5,FALSE),82)</f>
        <v>63.33</v>
      </c>
      <c r="E236" s="54">
        <f>(VLOOKUP($A236,'The List'!$B1:$AH665,17,FALSE)-AVERAGE('The List'!R2:R665))/STDEV('The List'!R2:R665)</f>
        <v>-0.33958558499099972</v>
      </c>
      <c r="F236" s="54">
        <f>(VLOOKUP($A236,'The List'!$B1:$AH665,18,FALSE)-AVERAGE('The List'!S2:S665))/STDEV('The List'!S2:S665)</f>
        <v>-0.18224813943237073</v>
      </c>
      <c r="G236" s="54">
        <f>(VLOOKUP($A236,'The List'!$B1:$AH665,19,FALSE)-AVERAGE('The List'!T2:T665))/STDEV('The List'!T2:T665)</f>
        <v>-0.26315138835651153</v>
      </c>
      <c r="H236" s="54">
        <f>(VLOOKUP($A236,'The List'!$B1:$AH665,20,FALSE)-AVERAGE('The List'!U2:U665))/STDEV('The List'!U2:U665)</f>
        <v>-0.24627225099712069</v>
      </c>
      <c r="I236" s="54">
        <f>(VLOOKUP($A236,'The List'!$B1:$AH665,21,FALSE)-AVERAGE('The List'!V2:V665))/STDEV('The List'!V2:V665)</f>
        <v>-0.49735994966746871</v>
      </c>
      <c r="J236" s="54">
        <f>(VLOOKUP($A236,'The List'!$B1:$AH665,22,FALSE)-AVERAGE('The List'!W2:W665))/STDEV('The List'!W2:W665)</f>
        <v>-8.8667603393920283E-2</v>
      </c>
      <c r="K236" s="54">
        <f>(VLOOKUP($A236,'The List'!$B1:$AH665,23,FALSE)-AVERAGE('The List'!X2:X665))/STDEV('The List'!X2:X665)</f>
        <v>-0.14270254882778954</v>
      </c>
      <c r="L236" s="54">
        <f>(VLOOKUP($A236,'The List'!$B1:$AH665,24,FALSE)-AVERAGE('The List'!Y2:Y665))/STDEV('The List'!Y2:Y665)</f>
        <v>-0.37512976484914567</v>
      </c>
      <c r="M236" s="54">
        <f>(VLOOKUP($A236,'The List'!$B1:$AH665,25,FALSE)-AVERAGE('The List'!Z2:Z665))/STDEV('The List'!Z2:Z665)</f>
        <v>0.25459933587209838</v>
      </c>
      <c r="N236" s="54">
        <f>(VLOOKUP($A236,'The List'!$B1:$AH665,26,FALSE)-AVERAGE('The List'!AA2:AA665))/STDEV('The List'!AA2:AA665)</f>
        <v>-0.74221504972170815</v>
      </c>
      <c r="O236" s="54">
        <f>(VLOOKUP($A236,'The List'!$B1:$AH665,27,FALSE)-AVERAGE('The List'!AB2:AB665))/STDEV('The List'!AB2:AB665)</f>
        <v>-0.78469559717191661</v>
      </c>
      <c r="P236" s="54">
        <f>(VLOOKUP($A236,'The List'!$B1:$AH665,28,FALSE)-AVERAGE('The List'!AC2:AC665))/STDEV('The List'!AC2:AC665)</f>
        <v>-0.66597992020561936</v>
      </c>
      <c r="Q236" s="54">
        <f>(VLOOKUP($A236,'The List'!$B1:$AH665,29,FALSE)-AVERAGE('The List'!AD2:AD665))/STDEV('The List'!AD2:AD665)</f>
        <v>0.30505887299747603</v>
      </c>
      <c r="R236" s="54">
        <f>(VLOOKUP($A236,'The List'!$B1:$AH665,30,FALSE)-AVERAGE('The List'!AE2:AE665))/STDEV('The List'!AE2:AE665)</f>
        <v>-0.41856800722886289</v>
      </c>
      <c r="S236" s="54">
        <f>(VLOOKUP($A236,'The List'!$B1:$AH665,31,FALSE)-AVERAGE('The List'!AF2:AF665))/STDEV('The List'!AF2:AF665)</f>
        <v>-1.0246371020541071E-2</v>
      </c>
      <c r="T236" s="54">
        <f>(VLOOKUP($A236,'The List'!$B1:$AH665,32,FALSE)-AVERAGE('The List'!AG2:AG665))/STDEV('The List'!AG2:AG665)</f>
        <v>0.44665817387143447</v>
      </c>
      <c r="U236" s="54">
        <f>(VLOOKUP($A236,'The List'!$B1:$AH665,33,FALSE)-AVERAGE('The List'!AH2:AH665))/STDEV('The List'!AH2:AH665)</f>
        <v>0.39401100531943728</v>
      </c>
      <c r="V236" s="54"/>
      <c r="W236" s="64"/>
      <c r="X236" s="56"/>
      <c r="Y236" s="56"/>
      <c r="Z236" s="56"/>
      <c r="AA236" s="56"/>
      <c r="AB236" s="56"/>
      <c r="AC236" s="59"/>
      <c r="AD236" s="60"/>
      <c r="AE236" s="54"/>
    </row>
    <row r="237" spans="1:31" ht="21.25" customHeight="1" x14ac:dyDescent="0.15">
      <c r="A237" s="9" t="s">
        <v>384</v>
      </c>
      <c r="B237" s="65" t="str">
        <f>VLOOKUP(A237,'Player Data'!A1:B667,2,FALSE)</f>
        <v>SEA</v>
      </c>
      <c r="C237" s="51">
        <f>((E237)*Settings!$C$12)+(F237*Settings!$C$2)+(G237*Settings!$C$3)+(H237*Settings!$C$4)+(I237*Settings!$C$5)+(K237*Settings!$C$9)+(N237*Settings!$C$6)+(J237*Settings!$C$8)+(O237*Settings!$C$7)+(P237*Settings!$C$14)+(Q237*Settings!$C$15)+(R237*Settings!$C$16)+(S237*Settings!$C$17)+(T237*Settings!$C$18)+(U237*Settings!$C$19)+(L237*Settings!$C$10)+(Settings!$C$11*M237)</f>
        <v>8.1275613825809889E-2</v>
      </c>
      <c r="D237" s="56">
        <f>IF(Settings!$E$12="YES",VLOOKUP(A237,'Player Data'!A1:E667,5,FALSE),82)</f>
        <v>78.265000000000001</v>
      </c>
      <c r="E237" s="54">
        <f>(VLOOKUP($A237,'The List'!$B1:$AH665,17,FALSE)-AVERAGE('The List'!R2:R665))/STDEV('The List'!R2:R665)</f>
        <v>-0.46080219464996497</v>
      </c>
      <c r="F237" s="54">
        <f>(VLOOKUP($A237,'The List'!$B1:$AH665,18,FALSE)-AVERAGE('The List'!S2:S665))/STDEV('The List'!S2:S665)</f>
        <v>0.39148856703277174</v>
      </c>
      <c r="G237" s="54">
        <f>(VLOOKUP($A237,'The List'!$B1:$AH665,19,FALSE)-AVERAGE('The List'!T2:T665))/STDEV('The List'!T2:T665)</f>
        <v>-0.15686678423274733</v>
      </c>
      <c r="H237" s="54">
        <f>(VLOOKUP($A237,'The List'!$B1:$AH665,20,FALSE)-AVERAGE('The List'!U2:U665))/STDEV('The List'!U2:U665)</f>
        <v>8.0527069329761766E-2</v>
      </c>
      <c r="I237" s="54">
        <f>(VLOOKUP($A237,'The List'!$B1:$AH665,21,FALSE)-AVERAGE('The List'!V2:V665))/STDEV('The List'!V2:V665)</f>
        <v>0.23581088039315803</v>
      </c>
      <c r="J237" s="54">
        <f>(VLOOKUP($A237,'The List'!$B1:$AH665,22,FALSE)-AVERAGE('The List'!W2:W665))/STDEV('The List'!W2:W665)</f>
        <v>-0.18368492081839327</v>
      </c>
      <c r="K237" s="54">
        <f>(VLOOKUP($A237,'The List'!$B1:$AH665,23,FALSE)-AVERAGE('The List'!X2:X665))/STDEV('The List'!X2:X665)</f>
        <v>-3.0725248742836E-3</v>
      </c>
      <c r="L237" s="54">
        <f>(VLOOKUP($A237,'The List'!$B1:$AH665,24,FALSE)-AVERAGE('The List'!Y2:Y665))/STDEV('The List'!Y2:Y665)</f>
        <v>-0.50247241203437498</v>
      </c>
      <c r="M237" s="54">
        <f>(VLOOKUP($A237,'The List'!$B1:$AH665,25,FALSE)-AVERAGE('The List'!Z2:Z665))/STDEV('The List'!Z2:Z665)</f>
        <v>-0.67453956498558254</v>
      </c>
      <c r="N237" s="54">
        <f>(VLOOKUP($A237,'The List'!$B1:$AH665,26,FALSE)-AVERAGE('The List'!AA2:AA665))/STDEV('The List'!AA2:AA665)</f>
        <v>-4.8950810360063393E-3</v>
      </c>
      <c r="O237" s="54">
        <f>(VLOOKUP($A237,'The List'!$B1:$AH665,27,FALSE)-AVERAGE('The List'!AB2:AB665))/STDEV('The List'!AB2:AB665)</f>
        <v>1.6562523025589972</v>
      </c>
      <c r="P237" s="54">
        <f>(VLOOKUP($A237,'The List'!$B1:$AH665,28,FALSE)-AVERAGE('The List'!AC2:AC665))/STDEV('The List'!AC2:AC665)</f>
        <v>-0.38118944345708261</v>
      </c>
      <c r="Q237" s="54">
        <f>(VLOOKUP($A237,'The List'!$B1:$AH665,29,FALSE)-AVERAGE('The List'!AD2:AD665))/STDEV('The List'!AD2:AD665)</f>
        <v>-0.70888933457299652</v>
      </c>
      <c r="R237" s="54">
        <f>(VLOOKUP($A237,'The List'!$B1:$AH665,30,FALSE)-AVERAGE('The List'!AE2:AE665))/STDEV('The List'!AE2:AE665)</f>
        <v>0.40624321780914929</v>
      </c>
      <c r="S237" s="54">
        <f>(VLOOKUP($A237,'The List'!$B1:$AH665,31,FALSE)-AVERAGE('The List'!AF2:AF665))/STDEV('The List'!AF2:AF665)</f>
        <v>-0.54283281090839364</v>
      </c>
      <c r="T237" s="54">
        <f>(VLOOKUP($A237,'The List'!$B1:$AH665,32,FALSE)-AVERAGE('The List'!AG2:AG665))/STDEV('The List'!AG2:AG665)</f>
        <v>-0.52014444380674763</v>
      </c>
      <c r="U237" s="54">
        <f>(VLOOKUP($A237,'The List'!$B1:$AH665,33,FALSE)-AVERAGE('The List'!AH2:AH665))/STDEV('The List'!AH2:AH665)</f>
        <v>-0.15138139572315315</v>
      </c>
      <c r="V237" s="54"/>
      <c r="W237" s="64"/>
      <c r="X237" s="56"/>
      <c r="Y237" s="56"/>
      <c r="Z237" s="56"/>
      <c r="AA237" s="56"/>
      <c r="AB237" s="56"/>
      <c r="AC237" s="59"/>
      <c r="AD237" s="60"/>
      <c r="AE237" s="54"/>
    </row>
    <row r="238" spans="1:31" ht="21.25" customHeight="1" x14ac:dyDescent="0.15">
      <c r="A238" s="9" t="s">
        <v>460</v>
      </c>
      <c r="B238" s="65" t="str">
        <f>VLOOKUP(A238,'Player Data'!A1:B667,2,FALSE)</f>
        <v>MIN</v>
      </c>
      <c r="C238" s="51">
        <f>((E238)*Settings!$C$12)+(F238*Settings!$C$2)+(G238*Settings!$C$3)+(H238*Settings!$C$4)+(I238*Settings!$C$5)+(K238*Settings!$C$9)+(N238*Settings!$C$6)+(J238*Settings!$C$8)+(O238*Settings!$C$7)+(P238*Settings!$C$14)+(Q238*Settings!$C$15)+(R238*Settings!$C$16)+(S238*Settings!$C$17)+(T238*Settings!$C$18)+(U238*Settings!$C$19)+(L238*Settings!$C$10)+(Settings!$C$11*M238)</f>
        <v>-6.668621301321262E-2</v>
      </c>
      <c r="D238" s="56">
        <f>IF(Settings!$E$12="YES",VLOOKUP(A238,'Player Data'!A1:E667,5,FALSE),82)</f>
        <v>73.842500000000001</v>
      </c>
      <c r="E238" s="54">
        <f>(VLOOKUP($A238,'The List'!$B1:$AH665,17,FALSE)-AVERAGE('The List'!R2:R665))/STDEV('The List'!R2:R665)</f>
        <v>-1.7913082625025691E-2</v>
      </c>
      <c r="F238" s="54">
        <f>(VLOOKUP($A238,'The List'!$B1:$AH665,18,FALSE)-AVERAGE('The List'!S2:S665))/STDEV('The List'!S2:S665)</f>
        <v>0.55619306273608715</v>
      </c>
      <c r="G238" s="54">
        <f>(VLOOKUP($A238,'The List'!$B1:$AH665,19,FALSE)-AVERAGE('The List'!T2:T665))/STDEV('The List'!T2:T665)</f>
        <v>-0.19421479168100739</v>
      </c>
      <c r="H238" s="54">
        <f>(VLOOKUP($A238,'The List'!$B1:$AH665,20,FALSE)-AVERAGE('The List'!U2:U665))/STDEV('The List'!U2:U665)</f>
        <v>0.13219787902664579</v>
      </c>
      <c r="I238" s="54">
        <f>(VLOOKUP($A238,'The List'!$B1:$AH665,21,FALSE)-AVERAGE('The List'!V2:V665))/STDEV('The List'!V2:V665)</f>
        <v>0.38717536304195327</v>
      </c>
      <c r="J238" s="54">
        <f>(VLOOKUP($A238,'The List'!$B1:$AH665,22,FALSE)-AVERAGE('The List'!W2:W665))/STDEV('The List'!W2:W665)</f>
        <v>-6.0847628383888124E-2</v>
      </c>
      <c r="K238" s="54">
        <f>(VLOOKUP($A238,'The List'!$B1:$AH665,23,FALSE)-AVERAGE('The List'!X2:X665))/STDEV('The List'!X2:X665)</f>
        <v>-0.10105802081973954</v>
      </c>
      <c r="L238" s="54">
        <f>(VLOOKUP($A238,'The List'!$B1:$AH665,24,FALSE)-AVERAGE('The List'!Y2:Y665))/STDEV('The List'!Y2:Y665)</f>
        <v>-0.51405271237640127</v>
      </c>
      <c r="M238" s="54">
        <f>(VLOOKUP($A238,'The List'!$B1:$AH665,25,FALSE)-AVERAGE('The List'!Z2:Z665))/STDEV('The List'!Z2:Z665)</f>
        <v>-0.68622380585507015</v>
      </c>
      <c r="N238" s="54">
        <f>(VLOOKUP($A238,'The List'!$B1:$AH665,26,FALSE)-AVERAGE('The List'!AA2:AA665))/STDEV('The List'!AA2:AA665)</f>
        <v>-0.73327774138791846</v>
      </c>
      <c r="O238" s="54">
        <f>(VLOOKUP($A238,'The List'!$B1:$AH665,27,FALSE)-AVERAGE('The List'!AB2:AB665))/STDEV('The List'!AB2:AB665)</f>
        <v>-1.1599226315034925</v>
      </c>
      <c r="P238" s="54">
        <f>(VLOOKUP($A238,'The List'!$B1:$AH665,28,FALSE)-AVERAGE('The List'!AC2:AC665))/STDEV('The List'!AC2:AC665)</f>
        <v>1.8495915097412361E-2</v>
      </c>
      <c r="Q238" s="54">
        <f>(VLOOKUP($A238,'The List'!$B1:$AH665,29,FALSE)-AVERAGE('The List'!AD2:AD665))/STDEV('The List'!AD2:AD665)</f>
        <v>0.15665330125724247</v>
      </c>
      <c r="R238" s="54">
        <f>(VLOOKUP($A238,'The List'!$B1:$AH665,30,FALSE)-AVERAGE('The List'!AE2:AE665))/STDEV('The List'!AE2:AE665)</f>
        <v>0.72725781816350299</v>
      </c>
      <c r="S238" s="54">
        <f>(VLOOKUP($A238,'The List'!$B1:$AH665,31,FALSE)-AVERAGE('The List'!AF2:AF665))/STDEV('The List'!AF2:AF665)</f>
        <v>0.90066215395173521</v>
      </c>
      <c r="T238" s="54">
        <f>(VLOOKUP($A238,'The List'!$B1:$AH665,32,FALSE)-AVERAGE('The List'!AG2:AG665))/STDEV('The List'!AG2:AG665)</f>
        <v>1.2995338115591999</v>
      </c>
      <c r="U238" s="54">
        <f>(VLOOKUP($A238,'The List'!$B1:$AH665,33,FALSE)-AVERAGE('The List'!AH2:AH665))/STDEV('The List'!AH2:AH665)</f>
        <v>0.80355657547571835</v>
      </c>
      <c r="V238" s="54"/>
      <c r="W238" s="64"/>
      <c r="X238" s="56"/>
      <c r="Y238" s="56"/>
      <c r="Z238" s="56"/>
      <c r="AA238" s="56"/>
      <c r="AB238" s="56"/>
      <c r="AC238" s="59"/>
      <c r="AD238" s="60"/>
      <c r="AE238" s="54"/>
    </row>
    <row r="239" spans="1:31" ht="21.25" customHeight="1" x14ac:dyDescent="0.15">
      <c r="A239" s="9" t="s">
        <v>535</v>
      </c>
      <c r="B239" s="65" t="str">
        <f>VLOOKUP(A239,'Player Data'!A1:B667,2,FALSE)</f>
        <v>SEA</v>
      </c>
      <c r="C239" s="51">
        <f>((E239)*Settings!$C$12)+(F239*Settings!$C$2)+(G239*Settings!$C$3)+(H239*Settings!$C$4)+(I239*Settings!$C$5)+(K239*Settings!$C$9)+(N239*Settings!$C$6)+(J239*Settings!$C$8)+(O239*Settings!$C$7)+(P239*Settings!$C$14)+(Q239*Settings!$C$15)+(R239*Settings!$C$16)+(S239*Settings!$C$17)+(T239*Settings!$C$18)+(U239*Settings!$C$19)+(L239*Settings!$C$10)+(Settings!$C$11*M239)</f>
        <v>-1.6087801264295734</v>
      </c>
      <c r="D239" s="56">
        <f>IF(Settings!$E$12="YES",VLOOKUP(A239,'Player Data'!A1:E667,5,FALSE),82)</f>
        <v>71.435000000000002</v>
      </c>
      <c r="E239" s="54">
        <f>(VLOOKUP($A239,'The List'!$B1:$AH665,17,FALSE)-AVERAGE('The List'!R2:R665))/STDEV('The List'!R2:R665)</f>
        <v>-0.64739533914607639</v>
      </c>
      <c r="F239" s="54">
        <f>(VLOOKUP($A239,'The List'!$B1:$AH665,18,FALSE)-AVERAGE('The List'!S2:S665))/STDEV('The List'!S2:S665)</f>
        <v>-6.4520503899065371E-2</v>
      </c>
      <c r="G239" s="54">
        <f>(VLOOKUP($A239,'The List'!$B1:$AH665,19,FALSE)-AVERAGE('The List'!T2:T665))/STDEV('The List'!T2:T665)</f>
        <v>-9.2515840970405452E-2</v>
      </c>
      <c r="H239" s="54">
        <f>(VLOOKUP($A239,'The List'!$B1:$AH665,20,FALSE)-AVERAGE('The List'!U2:U665))/STDEV('The List'!U2:U665)</f>
        <v>-8.6785175161732717E-2</v>
      </c>
      <c r="I239" s="54">
        <f>(VLOOKUP($A239,'The List'!$B1:$AH665,21,FALSE)-AVERAGE('The List'!V2:V665))/STDEV('The List'!V2:V665)</f>
        <v>-0.11008127395358373</v>
      </c>
      <c r="J239" s="54">
        <f>(VLOOKUP($A239,'The List'!$B1:$AH665,22,FALSE)-AVERAGE('The List'!W2:W665))/STDEV('The List'!W2:W665)</f>
        <v>0.35059561944118883</v>
      </c>
      <c r="K239" s="54">
        <f>(VLOOKUP($A239,'The List'!$B1:$AH665,23,FALSE)-AVERAGE('The List'!X2:X665))/STDEV('The List'!X2:X665)</f>
        <v>0.16823672547058668</v>
      </c>
      <c r="L239" s="54">
        <f>(VLOOKUP($A239,'The List'!$B1:$AH665,24,FALSE)-AVERAGE('The List'!Y2:Y665))/STDEV('The List'!Y2:Y665)</f>
        <v>-0.5801829139020841</v>
      </c>
      <c r="M239" s="54">
        <f>(VLOOKUP($A239,'The List'!$B1:$AH665,25,FALSE)-AVERAGE('The List'!Z2:Z665))/STDEV('The List'!Z2:Z665)</f>
        <v>-0.75403666498999722</v>
      </c>
      <c r="N239" s="54">
        <f>(VLOOKUP($A239,'The List'!$B1:$AH665,26,FALSE)-AVERAGE('The List'!AA2:AA665))/STDEV('The List'!AA2:AA665)</f>
        <v>-0.99277617752094316</v>
      </c>
      <c r="O239" s="54">
        <f>(VLOOKUP($A239,'The List'!$B1:$AH665,27,FALSE)-AVERAGE('The List'!AB2:AB665))/STDEV('The List'!AB2:AB665)</f>
        <v>-1.2466252739672774</v>
      </c>
      <c r="P239" s="54">
        <f>(VLOOKUP($A239,'The List'!$B1:$AH665,28,FALSE)-AVERAGE('The List'!AC2:AC665))/STDEV('The List'!AC2:AC665)</f>
        <v>-0.51712305555616245</v>
      </c>
      <c r="Q239" s="54">
        <f>(VLOOKUP($A239,'The List'!$B1:$AH665,29,FALSE)-AVERAGE('The List'!AD2:AD665))/STDEV('The List'!AD2:AD665)</f>
        <v>-0.9185967286428629</v>
      </c>
      <c r="R239" s="54">
        <f>(VLOOKUP($A239,'The List'!$B1:$AH665,30,FALSE)-AVERAGE('The List'!AE2:AE665))/STDEV('The List'!AE2:AE665)</f>
        <v>-3.8211413902936552E-2</v>
      </c>
      <c r="S239" s="54">
        <f>(VLOOKUP($A239,'The List'!$B1:$AH665,31,FALSE)-AVERAGE('The List'!AF2:AF665))/STDEV('The List'!AF2:AF665)</f>
        <v>-0.55867274151935309</v>
      </c>
      <c r="T239" s="54">
        <f>(VLOOKUP($A239,'The List'!$B1:$AH665,32,FALSE)-AVERAGE('The List'!AG2:AG665))/STDEV('The List'!AG2:AG665)</f>
        <v>-0.5894097691851774</v>
      </c>
      <c r="U239" s="54">
        <f>(VLOOKUP($A239,'The List'!$B1:$AH665,33,FALSE)-AVERAGE('The List'!AH2:AH665))/STDEV('The List'!AH2:AH665)</f>
        <v>0.16514342484471001</v>
      </c>
      <c r="V239" s="54"/>
      <c r="W239" s="64"/>
      <c r="X239" s="56"/>
      <c r="Y239" s="56"/>
      <c r="Z239" s="56"/>
      <c r="AA239" s="56"/>
      <c r="AB239" s="56"/>
      <c r="AC239" s="59"/>
      <c r="AD239" s="60"/>
      <c r="AE239" s="54"/>
    </row>
    <row r="240" spans="1:31" ht="21.25" customHeight="1" x14ac:dyDescent="0.15">
      <c r="A240" s="9" t="s">
        <v>524</v>
      </c>
      <c r="B240" s="65" t="str">
        <f>VLOOKUP(A240,'Player Data'!A1:B667,2,FALSE)</f>
        <v>STL</v>
      </c>
      <c r="C240" s="51">
        <f>((E240)*Settings!$C$12)+(F240*Settings!$C$2)+(G240*Settings!$C$3)+(H240*Settings!$C$4)+(I240*Settings!$C$5)+(K240*Settings!$C$9)+(N240*Settings!$C$6)+(J240*Settings!$C$8)+(O240*Settings!$C$7)+(P240*Settings!$C$14)+(Q240*Settings!$C$15)+(R240*Settings!$C$16)+(S240*Settings!$C$17)+(T240*Settings!$C$18)+(U240*Settings!$C$19)+(L240*Settings!$C$10)+(Settings!$C$11*M240)</f>
        <v>0.49166961904138229</v>
      </c>
      <c r="D240" s="56">
        <f>IF(Settings!$E$12="YES",VLOOKUP(A240,'Player Data'!A1:E667,5,FALSE),82)</f>
        <v>66.257499999999993</v>
      </c>
      <c r="E240" s="54">
        <f>(VLOOKUP($A240,'The List'!$B1:$AH665,17,FALSE)-AVERAGE('The List'!R2:R665))/STDEV('The List'!R2:R665)</f>
        <v>-0.27216139418797686</v>
      </c>
      <c r="F240" s="54">
        <f>(VLOOKUP($A240,'The List'!$B1:$AH665,18,FALSE)-AVERAGE('The List'!S2:S665))/STDEV('The List'!S2:S665)</f>
        <v>0.19995387433668993</v>
      </c>
      <c r="G240" s="54">
        <f>(VLOOKUP($A240,'The List'!$B1:$AH665,19,FALSE)-AVERAGE('The List'!T2:T665))/STDEV('The List'!T2:T665)</f>
        <v>-0.48916984915547274</v>
      </c>
      <c r="H240" s="54">
        <f>(VLOOKUP($A240,'The List'!$B1:$AH665,20,FALSE)-AVERAGE('The List'!U2:U665))/STDEV('The List'!U2:U665)</f>
        <v>-0.21291344096700174</v>
      </c>
      <c r="I240" s="54">
        <f>(VLOOKUP($A240,'The List'!$B1:$AH665,21,FALSE)-AVERAGE('The List'!V2:V665))/STDEV('The List'!V2:V665)</f>
        <v>6.1522081738514457E-2</v>
      </c>
      <c r="J240" s="54">
        <f>(VLOOKUP($A240,'The List'!$B1:$AH665,22,FALSE)-AVERAGE('The List'!W2:W665))/STDEV('The List'!W2:W665)</f>
        <v>1.1899696003304221</v>
      </c>
      <c r="K240" s="54">
        <f>(VLOOKUP($A240,'The List'!$B1:$AH665,23,FALSE)-AVERAGE('The List'!X2:X665))/STDEV('The List'!X2:X665)</f>
        <v>0.5766677952680519</v>
      </c>
      <c r="L240" s="54">
        <f>(VLOOKUP($A240,'The List'!$B1:$AH665,24,FALSE)-AVERAGE('The List'!Y2:Y665))/STDEV('The List'!Y2:Y665)</f>
        <v>-0.44375640600303101</v>
      </c>
      <c r="M240" s="54">
        <f>(VLOOKUP($A240,'The List'!$B1:$AH665,25,FALSE)-AVERAGE('The List'!Z2:Z665))/STDEV('The List'!Z2:Z665)</f>
        <v>-0.6141806688374859</v>
      </c>
      <c r="N240" s="54">
        <f>(VLOOKUP($A240,'The List'!$B1:$AH665,26,FALSE)-AVERAGE('The List'!AA2:AA665))/STDEV('The List'!AA2:AA665)</f>
        <v>-0.89165619194182555</v>
      </c>
      <c r="O240" s="54">
        <f>(VLOOKUP($A240,'The List'!$B1:$AH665,27,FALSE)-AVERAGE('The List'!AB2:AB665))/STDEV('The List'!AB2:AB665)</f>
        <v>1.0951840171140479</v>
      </c>
      <c r="P240" s="54">
        <f>(VLOOKUP($A240,'The List'!$B1:$AH665,28,FALSE)-AVERAGE('The List'!AC2:AC665))/STDEV('The List'!AC2:AC665)</f>
        <v>1.0343519087954243</v>
      </c>
      <c r="Q240" s="54">
        <f>(VLOOKUP($A240,'The List'!$B1:$AH665,29,FALSE)-AVERAGE('The List'!AD2:AD665))/STDEV('The List'!AD2:AD665)</f>
        <v>0.64420850307432276</v>
      </c>
      <c r="R240" s="54">
        <f>(VLOOKUP($A240,'The List'!$B1:$AH665,30,FALSE)-AVERAGE('The List'!AE2:AE665))/STDEV('The List'!AE2:AE665)</f>
        <v>-9.0015294197706319E-2</v>
      </c>
      <c r="S240" s="54">
        <f>(VLOOKUP($A240,'The List'!$B1:$AH665,31,FALSE)-AVERAGE('The List'!AF2:AF665))/STDEV('The List'!AF2:AF665)</f>
        <v>-0.30750634126521709</v>
      </c>
      <c r="T240" s="54">
        <f>(VLOOKUP($A240,'The List'!$B1:$AH665,32,FALSE)-AVERAGE('The List'!AG2:AG665))/STDEV('The List'!AG2:AG665)</f>
        <v>-0.30387121624823332</v>
      </c>
      <c r="U240" s="54">
        <f>(VLOOKUP($A240,'The List'!$B1:$AH665,33,FALSE)-AVERAGE('The List'!AH2:AH665))/STDEV('The List'!AH2:AH665)</f>
        <v>0.89070351607679521</v>
      </c>
      <c r="V240" s="54"/>
      <c r="W240" s="56"/>
      <c r="X240" s="54"/>
      <c r="Y240" s="54"/>
      <c r="Z240" s="54"/>
      <c r="AA240" s="54"/>
      <c r="AB240" s="54"/>
      <c r="AC240" s="54"/>
      <c r="AD240" s="54"/>
      <c r="AE240" s="54"/>
    </row>
    <row r="241" spans="1:31" ht="21.25" customHeight="1" x14ac:dyDescent="0.15">
      <c r="A241" s="9" t="s">
        <v>448</v>
      </c>
      <c r="B241" s="65" t="str">
        <f>VLOOKUP(A241,'Player Data'!A1:B667,2,FALSE)</f>
        <v>CAR</v>
      </c>
      <c r="C241" s="51">
        <f>((E241)*Settings!$C$12)+(F241*Settings!$C$2)+(G241*Settings!$C$3)+(H241*Settings!$C$4)+(I241*Settings!$C$5)+(K241*Settings!$C$9)+(N241*Settings!$C$6)+(J241*Settings!$C$8)+(O241*Settings!$C$7)+(P241*Settings!$C$14)+(Q241*Settings!$C$15)+(R241*Settings!$C$16)+(S241*Settings!$C$17)+(T241*Settings!$C$18)+(U241*Settings!$C$19)+(L241*Settings!$C$10)+(Settings!$C$11*M241)</f>
        <v>-0.86510299107699107</v>
      </c>
      <c r="D241" s="56">
        <f>IF(Settings!$E$12="YES",VLOOKUP(A241,'Player Data'!A1:E667,5,FALSE),82)</f>
        <v>77.16</v>
      </c>
      <c r="E241" s="54">
        <f>(VLOOKUP($A241,'The List'!$B1:$AH665,17,FALSE)-AVERAGE('The List'!R2:R665))/STDEV('The List'!R2:R665)</f>
        <v>-0.48376928769508465</v>
      </c>
      <c r="F241" s="54">
        <f>(VLOOKUP($A241,'The List'!$B1:$AH665,18,FALSE)-AVERAGE('The List'!S2:S665))/STDEV('The List'!S2:S665)</f>
        <v>-0.13174354350928758</v>
      </c>
      <c r="G241" s="54">
        <f>(VLOOKUP($A241,'The List'!$B1:$AH665,19,FALSE)-AVERAGE('The List'!T2:T665))/STDEV('The List'!T2:T665)</f>
        <v>0.13041280786192411</v>
      </c>
      <c r="H241" s="54">
        <f>(VLOOKUP($A241,'The List'!$B1:$AH665,20,FALSE)-AVERAGE('The List'!U2:U665))/STDEV('The List'!U2:U665)</f>
        <v>2.1109983750220968E-2</v>
      </c>
      <c r="I241" s="54">
        <f>(VLOOKUP($A241,'The List'!$B1:$AH665,21,FALSE)-AVERAGE('The List'!V2:V665))/STDEV('The List'!V2:V665)</f>
        <v>7.4818046904980062E-2</v>
      </c>
      <c r="J241" s="54">
        <f>(VLOOKUP($A241,'The List'!$B1:$AH665,22,FALSE)-AVERAGE('The List'!W2:W665))/STDEV('The List'!W2:W665)</f>
        <v>-0.30834112020542015</v>
      </c>
      <c r="K241" s="54">
        <f>(VLOOKUP($A241,'The List'!$B1:$AH665,23,FALSE)-AVERAGE('The List'!X2:X665))/STDEV('The List'!X2:X665)</f>
        <v>-0.18967738262649944</v>
      </c>
      <c r="L241" s="54">
        <f>(VLOOKUP($A241,'The List'!$B1:$AH665,24,FALSE)-AVERAGE('The List'!Y2:Y665))/STDEV('The List'!Y2:Y665)</f>
        <v>0.68308480856943155</v>
      </c>
      <c r="M241" s="54">
        <f>(VLOOKUP($A241,'The List'!$B1:$AH665,25,FALSE)-AVERAGE('The List'!Z2:Z665))/STDEV('The List'!Z2:Z665)</f>
        <v>0.26345492426248074</v>
      </c>
      <c r="N241" s="54">
        <f>(VLOOKUP($A241,'The List'!$B1:$AH665,26,FALSE)-AVERAGE('The List'!AA2:AA665))/STDEV('The List'!AA2:AA665)</f>
        <v>-0.70867127128795737</v>
      </c>
      <c r="O241" s="54">
        <f>(VLOOKUP($A241,'The List'!$B1:$AH665,27,FALSE)-AVERAGE('The List'!AB2:AB665))/STDEV('The List'!AB2:AB665)</f>
        <v>-0.96363541875773517</v>
      </c>
      <c r="P241" s="54">
        <f>(VLOOKUP($A241,'The List'!$B1:$AH665,28,FALSE)-AVERAGE('The List'!AC2:AC665))/STDEV('The List'!AC2:AC665)</f>
        <v>-4.0241648420150836E-2</v>
      </c>
      <c r="Q241" s="54">
        <f>(VLOOKUP($A241,'The List'!$B1:$AH665,29,FALSE)-AVERAGE('The List'!AD2:AD665))/STDEV('The List'!AD2:AD665)</f>
        <v>-1.0484214713111877</v>
      </c>
      <c r="R241" s="54">
        <f>(VLOOKUP($A241,'The List'!$B1:$AH665,30,FALSE)-AVERAGE('The List'!AE2:AE665))/STDEV('The List'!AE2:AE665)</f>
        <v>6.1625604225329464E-2</v>
      </c>
      <c r="S241" s="54">
        <f>(VLOOKUP($A241,'The List'!$B1:$AH665,31,FALSE)-AVERAGE('The List'!AF2:AF665))/STDEV('The List'!AF2:AF665)</f>
        <v>0.26962220497600847</v>
      </c>
      <c r="T241" s="54">
        <f>(VLOOKUP($A241,'The List'!$B1:$AH665,32,FALSE)-AVERAGE('The List'!AG2:AG665))/STDEV('The List'!AG2:AG665)</f>
        <v>0.52414603578838814</v>
      </c>
      <c r="U241" s="54">
        <f>(VLOOKUP($A241,'The List'!$B1:$AH665,33,FALSE)-AVERAGE('The List'!AH2:AH665))/STDEV('The List'!AH2:AH665)</f>
        <v>0.75529333675370713</v>
      </c>
      <c r="V241" s="54"/>
      <c r="W241" s="64"/>
      <c r="X241" s="56"/>
      <c r="Y241" s="56"/>
      <c r="Z241" s="56"/>
      <c r="AA241" s="56"/>
      <c r="AB241" s="56"/>
      <c r="AC241" s="59"/>
      <c r="AD241" s="60"/>
      <c r="AE241" s="54"/>
    </row>
    <row r="242" spans="1:31" ht="21.25" customHeight="1" x14ac:dyDescent="0.15">
      <c r="A242" s="9" t="s">
        <v>547</v>
      </c>
      <c r="B242" s="65" t="str">
        <f>VLOOKUP(A242,'Player Data'!A1:B667,2,FALSE)</f>
        <v>TOR</v>
      </c>
      <c r="C242" s="51">
        <f>((E242)*Settings!$C$12)+(F242*Settings!$C$2)+(G242*Settings!$C$3)+(H242*Settings!$C$4)+(I242*Settings!$C$5)+(K242*Settings!$C$9)+(N242*Settings!$C$6)+(J242*Settings!$C$8)+(O242*Settings!$C$7)+(P242*Settings!$C$14)+(Q242*Settings!$C$15)+(R242*Settings!$C$16)+(S242*Settings!$C$17)+(T242*Settings!$C$18)+(U242*Settings!$C$19)+(L242*Settings!$C$10)+(Settings!$C$11*M242)</f>
        <v>-0.35070188685568238</v>
      </c>
      <c r="D242" s="56">
        <f>IF(Settings!$E$12="YES",VLOOKUP(A242,'Player Data'!A1:E667,5,FALSE),82)</f>
        <v>69.89</v>
      </c>
      <c r="E242" s="54">
        <f>(VLOOKUP($A242,'The List'!$B1:$AH665,17,FALSE)-AVERAGE('The List'!R2:R665))/STDEV('The List'!R2:R665)</f>
        <v>-1.069178873401128</v>
      </c>
      <c r="F242" s="54">
        <f>(VLOOKUP($A242,'The List'!$B1:$AH665,18,FALSE)-AVERAGE('The List'!S2:S665))/STDEV('The List'!S2:S665)</f>
        <v>0.27068251259156201</v>
      </c>
      <c r="G242" s="54">
        <f>(VLOOKUP($A242,'The List'!$B1:$AH665,19,FALSE)-AVERAGE('The List'!T2:T665))/STDEV('The List'!T2:T665)</f>
        <v>-0.42212708037995483</v>
      </c>
      <c r="H242" s="54">
        <f>(VLOOKUP($A242,'The List'!$B1:$AH665,20,FALSE)-AVERAGE('The List'!U2:U665))/STDEV('The List'!U2:U665)</f>
        <v>-0.13912658378007306</v>
      </c>
      <c r="I242" s="54">
        <f>(VLOOKUP($A242,'The List'!$B1:$AH665,21,FALSE)-AVERAGE('The List'!V2:V665))/STDEV('The List'!V2:V665)</f>
        <v>-6.1213192854817557E-2</v>
      </c>
      <c r="J242" s="54">
        <f>(VLOOKUP($A242,'The List'!$B1:$AH665,22,FALSE)-AVERAGE('The List'!W2:W665))/STDEV('The List'!W2:W665)</f>
        <v>-0.33308616035398914</v>
      </c>
      <c r="K242" s="54">
        <f>(VLOOKUP($A242,'The List'!$B1:$AH665,23,FALSE)-AVERAGE('The List'!X2:X665))/STDEV('The List'!X2:X665)</f>
        <v>-0.42057502757331994</v>
      </c>
      <c r="L242" s="54">
        <f>(VLOOKUP($A242,'The List'!$B1:$AH665,24,FALSE)-AVERAGE('The List'!Y2:Y665))/STDEV('The List'!Y2:Y665)</f>
        <v>-0.56202214932296168</v>
      </c>
      <c r="M242" s="54">
        <f>(VLOOKUP($A242,'The List'!$B1:$AH665,25,FALSE)-AVERAGE('The List'!Z2:Z665))/STDEV('The List'!Z2:Z665)</f>
        <v>-0.73546095951309298</v>
      </c>
      <c r="N242" s="54">
        <f>(VLOOKUP($A242,'The List'!$B1:$AH665,26,FALSE)-AVERAGE('The List'!AA2:AA665))/STDEV('The List'!AA2:AA665)</f>
        <v>-0.752758793596778</v>
      </c>
      <c r="O242" s="54">
        <f>(VLOOKUP($A242,'The List'!$B1:$AH665,27,FALSE)-AVERAGE('The List'!AB2:AB665))/STDEV('The List'!AB2:AB665)</f>
        <v>-0.60128042635975554</v>
      </c>
      <c r="P242" s="54">
        <f>(VLOOKUP($A242,'The List'!$B1:$AH665,28,FALSE)-AVERAGE('The List'!AC2:AC665))/STDEV('The List'!AC2:AC665)</f>
        <v>1.035289694957626</v>
      </c>
      <c r="Q242" s="54">
        <f>(VLOOKUP($A242,'The List'!$B1:$AH665,29,FALSE)-AVERAGE('The List'!AD2:AD665))/STDEV('The List'!AD2:AD665)</f>
        <v>-1.3506810407335512</v>
      </c>
      <c r="R242" s="54">
        <f>(VLOOKUP($A242,'The List'!$B1:$AH665,30,FALSE)-AVERAGE('The List'!AE2:AE665))/STDEV('The List'!AE2:AE665)</f>
        <v>0.37225266825845815</v>
      </c>
      <c r="S242" s="54">
        <f>(VLOOKUP($A242,'The List'!$B1:$AH665,31,FALSE)-AVERAGE('The List'!AF2:AF665))/STDEV('The List'!AF2:AF665)</f>
        <v>-0.55062019550611052</v>
      </c>
      <c r="T242" s="54">
        <f>(VLOOKUP($A242,'The List'!$B1:$AH665,32,FALSE)-AVERAGE('The List'!AG2:AG665))/STDEV('The List'!AG2:AG665)</f>
        <v>-0.57243124313521965</v>
      </c>
      <c r="U242" s="54">
        <f>(VLOOKUP($A242,'The List'!$B1:$AH665,33,FALSE)-AVERAGE('The List'!AH2:AH665))/STDEV('The List'!AH2:AH665)</f>
        <v>0.2055077965572355</v>
      </c>
      <c r="V242" s="54"/>
      <c r="W242" s="64"/>
      <c r="X242" s="56"/>
      <c r="Y242" s="56"/>
      <c r="Z242" s="56"/>
      <c r="AA242" s="56"/>
      <c r="AB242" s="56"/>
      <c r="AC242" s="59"/>
      <c r="AD242" s="60"/>
      <c r="AE242" s="54"/>
    </row>
    <row r="243" spans="1:31" ht="21.25" customHeight="1" x14ac:dyDescent="0.15">
      <c r="A243" s="9" t="s">
        <v>283</v>
      </c>
      <c r="B243" s="65" t="str">
        <f>VLOOKUP(A243,'Player Data'!A1:B667,2,FALSE)</f>
        <v>WSH</v>
      </c>
      <c r="C243" s="51">
        <f>((E243)*Settings!$C$12)+(F243*Settings!$C$2)+(G243*Settings!$C$3)+(H243*Settings!$C$4)+(I243*Settings!$C$5)+(K243*Settings!$C$9)+(N243*Settings!$C$6)+(J243*Settings!$C$8)+(O243*Settings!$C$7)+(P243*Settings!$C$14)+(Q243*Settings!$C$15)+(R243*Settings!$C$16)+(S243*Settings!$C$17)+(T243*Settings!$C$18)+(U243*Settings!$C$19)+(L243*Settings!$C$10)+(Settings!$C$11*M243)</f>
        <v>1.0861315934355538</v>
      </c>
      <c r="D243" s="56">
        <f>IF(Settings!$E$12="YES",VLOOKUP(A243,'Player Data'!A1:E667,5,FALSE),82)</f>
        <v>73.855000000000004</v>
      </c>
      <c r="E243" s="54">
        <f>(VLOOKUP($A243,'The List'!$B1:$AH665,17,FALSE)-AVERAGE('The List'!R2:R665))/STDEV('The List'!R2:R665)</f>
        <v>0.94531773861440527</v>
      </c>
      <c r="F243" s="54">
        <f>(VLOOKUP($A243,'The List'!$B1:$AH665,18,FALSE)-AVERAGE('The List'!S2:S665))/STDEV('The List'!S2:S665)</f>
        <v>-0.31243101064460865</v>
      </c>
      <c r="G243" s="54">
        <f>(VLOOKUP($A243,'The List'!$B1:$AH665,19,FALSE)-AVERAGE('The List'!T2:T665))/STDEV('The List'!T2:T665)</f>
        <v>0.13285710748915694</v>
      </c>
      <c r="H243" s="54">
        <f>(VLOOKUP($A243,'The List'!$B1:$AH665,20,FALSE)-AVERAGE('The List'!U2:U665))/STDEV('The List'!U2:U665)</f>
        <v>-5.9503011320646754E-2</v>
      </c>
      <c r="I243" s="54">
        <f>(VLOOKUP($A243,'The List'!$B1:$AH665,21,FALSE)-AVERAGE('The List'!V2:V665))/STDEV('The List'!V2:V665)</f>
        <v>0.52877280508187074</v>
      </c>
      <c r="J243" s="54">
        <f>(VLOOKUP($A243,'The List'!$B1:$AH665,22,FALSE)-AVERAGE('The List'!W2:W665))/STDEV('The List'!W2:W665)</f>
        <v>0.31487253257024134</v>
      </c>
      <c r="K243" s="54">
        <f>(VLOOKUP($A243,'The List'!$B1:$AH665,23,FALSE)-AVERAGE('The List'!X2:X665))/STDEV('The List'!X2:X665)</f>
        <v>0.12025093901970912</v>
      </c>
      <c r="L243" s="54">
        <f>(VLOOKUP($A243,'The List'!$B1:$AH665,24,FALSE)-AVERAGE('The List'!Y2:Y665))/STDEV('The List'!Y2:Y665)</f>
        <v>-0.56850808025076482</v>
      </c>
      <c r="M243" s="54">
        <f>(VLOOKUP($A243,'The List'!$B1:$AH665,25,FALSE)-AVERAGE('The List'!Z2:Z665))/STDEV('The List'!Z2:Z665)</f>
        <v>-0.71930221604318156</v>
      </c>
      <c r="N243" s="54">
        <f>(VLOOKUP($A243,'The List'!$B1:$AH665,26,FALSE)-AVERAGE('The List'!AA2:AA665))/STDEV('The List'!AA2:AA665)</f>
        <v>1.3096259847055387</v>
      </c>
      <c r="O243" s="54">
        <f>(VLOOKUP($A243,'The List'!$B1:$AH665,27,FALSE)-AVERAGE('The List'!AB2:AB665))/STDEV('The List'!AB2:AB665)</f>
        <v>-0.46920263236912979</v>
      </c>
      <c r="P243" s="54">
        <f>(VLOOKUP($A243,'The List'!$B1:$AH665,28,FALSE)-AVERAGE('The List'!AC2:AC665))/STDEV('The List'!AC2:AC665)</f>
        <v>-0.69294423221611301</v>
      </c>
      <c r="Q243" s="54">
        <f>(VLOOKUP($A243,'The List'!$B1:$AH665,29,FALSE)-AVERAGE('The List'!AD2:AD665))/STDEV('The List'!AD2:AD665)</f>
        <v>0.64361094078378067</v>
      </c>
      <c r="R243" s="54">
        <f>(VLOOKUP($A243,'The List'!$B1:$AH665,30,FALSE)-AVERAGE('The List'!AE2:AE665))/STDEV('The List'!AE2:AE665)</f>
        <v>-0.34495032803478232</v>
      </c>
      <c r="S243" s="54">
        <f>(VLOOKUP($A243,'The List'!$B1:$AH665,31,FALSE)-AVERAGE('The List'!AF2:AF665))/STDEV('The List'!AF2:AF665)</f>
        <v>-0.57389441068000469</v>
      </c>
      <c r="T243" s="54">
        <f>(VLOOKUP($A243,'The List'!$B1:$AH665,32,FALSE)-AVERAGE('The List'!AG2:AG665))/STDEV('The List'!AG2:AG665)</f>
        <v>-0.62577078713265111</v>
      </c>
      <c r="U243" s="54">
        <f>(VLOOKUP($A243,'The List'!$B1:$AH665,33,FALSE)-AVERAGE('The List'!AH2:AH665))/STDEV('The List'!AH2:AH665)</f>
        <v>-1.2314350945148611</v>
      </c>
      <c r="V243" s="54"/>
      <c r="W243" s="56"/>
      <c r="X243" s="54"/>
      <c r="Y243" s="54"/>
      <c r="Z243" s="54"/>
      <c r="AA243" s="54"/>
      <c r="AB243" s="54"/>
      <c r="AC243" s="54"/>
      <c r="AD243" s="54"/>
      <c r="AE243" s="54"/>
    </row>
    <row r="244" spans="1:31" ht="21.25" customHeight="1" x14ac:dyDescent="0.15">
      <c r="A244" s="9" t="s">
        <v>315</v>
      </c>
      <c r="B244" s="65" t="str">
        <f>VLOOKUP(A244,'Player Data'!A1:B667,2,FALSE)</f>
        <v>CAR</v>
      </c>
      <c r="C244" s="51">
        <f>((E244)*Settings!$C$12)+(F244*Settings!$C$2)+(G244*Settings!$C$3)+(H244*Settings!$C$4)+(I244*Settings!$C$5)+(K244*Settings!$C$9)+(N244*Settings!$C$6)+(J244*Settings!$C$8)+(O244*Settings!$C$7)+(P244*Settings!$C$14)+(Q244*Settings!$C$15)+(R244*Settings!$C$16)+(S244*Settings!$C$17)+(T244*Settings!$C$18)+(U244*Settings!$C$19)+(L244*Settings!$C$10)+(Settings!$C$11*M244)</f>
        <v>0.76132058129948388</v>
      </c>
      <c r="D244" s="56">
        <f>IF(Settings!$E$12="YES",VLOOKUP(A244,'Player Data'!A1:E667,5,FALSE),82)</f>
        <v>80.89</v>
      </c>
      <c r="E244" s="54">
        <f>(VLOOKUP($A244,'The List'!$B1:$AH665,17,FALSE)-AVERAGE('The List'!R2:R665))/STDEV('The List'!R2:R665)</f>
        <v>3.9044783490751633E-2</v>
      </c>
      <c r="F244" s="54">
        <f>(VLOOKUP($A244,'The List'!$B1:$AH665,18,FALSE)-AVERAGE('The List'!S2:S665))/STDEV('The List'!S2:S665)</f>
        <v>-0.47532239896163447</v>
      </c>
      <c r="G244" s="54">
        <f>(VLOOKUP($A244,'The List'!$B1:$AH665,19,FALSE)-AVERAGE('The List'!T2:T665))/STDEV('The List'!T2:T665)</f>
        <v>0.48562683225925024</v>
      </c>
      <c r="H244" s="54">
        <f>(VLOOKUP($A244,'The List'!$B1:$AH665,20,FALSE)-AVERAGE('The List'!U2:U665))/STDEV('The List'!U2:U665)</f>
        <v>8.5544944498599007E-2</v>
      </c>
      <c r="I244" s="54">
        <f>(VLOOKUP($A244,'The List'!$B1:$AH665,21,FALSE)-AVERAGE('The List'!V2:V665))/STDEV('The List'!V2:V665)</f>
        <v>-0.20845940696289722</v>
      </c>
      <c r="J244" s="54">
        <f>(VLOOKUP($A244,'The List'!$B1:$AH665,22,FALSE)-AVERAGE('The List'!W2:W665))/STDEV('The List'!W2:W665)</f>
        <v>-0.13305653376738907</v>
      </c>
      <c r="K244" s="54">
        <f>(VLOOKUP($A244,'The List'!$B1:$AH665,23,FALSE)-AVERAGE('The List'!X2:X665))/STDEV('The List'!X2:X665)</f>
        <v>0.85756981495018247</v>
      </c>
      <c r="L244" s="54">
        <f>(VLOOKUP($A244,'The List'!$B1:$AH665,24,FALSE)-AVERAGE('The List'!Y2:Y665))/STDEV('The List'!Y2:Y665)</f>
        <v>-0.18568065189260638</v>
      </c>
      <c r="M244" s="54">
        <f>(VLOOKUP($A244,'The List'!$B1:$AH665,25,FALSE)-AVERAGE('The List'!Z2:Z665))/STDEV('The List'!Z2:Z665)</f>
        <v>-0.4683387198219231</v>
      </c>
      <c r="N244" s="54">
        <f>(VLOOKUP($A244,'The List'!$B1:$AH665,26,FALSE)-AVERAGE('The List'!AA2:AA665))/STDEV('The List'!AA2:AA665)</f>
        <v>0.27029300071509565</v>
      </c>
      <c r="O244" s="54">
        <f>(VLOOKUP($A244,'The List'!$B1:$AH665,27,FALSE)-AVERAGE('The List'!AB2:AB665))/STDEV('The List'!AB2:AB665)</f>
        <v>-0.91044802437913797</v>
      </c>
      <c r="P244" s="54">
        <f>(VLOOKUP($A244,'The List'!$B1:$AH665,28,FALSE)-AVERAGE('The List'!AC2:AC665))/STDEV('The List'!AC2:AC665)</f>
        <v>-0.16838726070051274</v>
      </c>
      <c r="Q244" s="54">
        <f>(VLOOKUP($A244,'The List'!$B1:$AH665,29,FALSE)-AVERAGE('The List'!AD2:AD665))/STDEV('The List'!AD2:AD665)</f>
        <v>-0.90500184718287013</v>
      </c>
      <c r="R244" s="54">
        <f>(VLOOKUP($A244,'The List'!$B1:$AH665,30,FALSE)-AVERAGE('The List'!AE2:AE665))/STDEV('The List'!AE2:AE665)</f>
        <v>-0.32052512111105075</v>
      </c>
      <c r="S244" s="54">
        <f>(VLOOKUP($A244,'The List'!$B1:$AH665,31,FALSE)-AVERAGE('The List'!AF2:AF665))/STDEV('The List'!AF2:AF665)</f>
        <v>-0.57389441068000469</v>
      </c>
      <c r="T244" s="54">
        <f>(VLOOKUP($A244,'The List'!$B1:$AH665,32,FALSE)-AVERAGE('The List'!AG2:AG665))/STDEV('The List'!AG2:AG665)</f>
        <v>-0.62577078713265111</v>
      </c>
      <c r="U244" s="54">
        <f>(VLOOKUP($A244,'The List'!$B1:$AH665,33,FALSE)-AVERAGE('The List'!AH2:AH665))/STDEV('The List'!AH2:AH665)</f>
        <v>-1.2314350945148611</v>
      </c>
      <c r="V244" s="54"/>
      <c r="W244" s="56"/>
      <c r="X244" s="54"/>
      <c r="Y244" s="54"/>
      <c r="Z244" s="54"/>
      <c r="AA244" s="54"/>
      <c r="AB244" s="54"/>
      <c r="AC244" s="54"/>
      <c r="AD244" s="54"/>
      <c r="AE244" s="54"/>
    </row>
    <row r="245" spans="1:31" ht="21.25" customHeight="1" x14ac:dyDescent="0.15">
      <c r="A245" s="9" t="s">
        <v>488</v>
      </c>
      <c r="B245" s="65" t="str">
        <f>VLOOKUP(A245,'Player Data'!A1:B667,2,FALSE)</f>
        <v>PIT</v>
      </c>
      <c r="C245" s="51">
        <f>((E245)*Settings!$C$12)+(F245*Settings!$C$2)+(G245*Settings!$C$3)+(H245*Settings!$C$4)+(I245*Settings!$C$5)+(K245*Settings!$C$9)+(N245*Settings!$C$6)+(J245*Settings!$C$8)+(O245*Settings!$C$7)+(P245*Settings!$C$14)+(Q245*Settings!$C$15)+(R245*Settings!$C$16)+(S245*Settings!$C$17)+(T245*Settings!$C$18)+(U245*Settings!$C$19)+(L245*Settings!$C$10)+(Settings!$C$11*M245)</f>
        <v>-1.0349920668379098</v>
      </c>
      <c r="D245" s="56">
        <f>IF(Settings!$E$12="YES",VLOOKUP(A245,'Player Data'!A1:E667,5,FALSE),82)</f>
        <v>75</v>
      </c>
      <c r="E245" s="54">
        <f>(VLOOKUP($A245,'The List'!$B1:$AH665,17,FALSE)-AVERAGE('The List'!R2:R665))/STDEV('The List'!R2:R665)</f>
        <v>-0.51766555688668348</v>
      </c>
      <c r="F245" s="54">
        <f>(VLOOKUP($A245,'The List'!$B1:$AH665,18,FALSE)-AVERAGE('The List'!S2:S665))/STDEV('The List'!S2:S665)</f>
        <v>-2.3291507422049326E-2</v>
      </c>
      <c r="G245" s="54">
        <f>(VLOOKUP($A245,'The List'!$B1:$AH665,19,FALSE)-AVERAGE('The List'!T2:T665))/STDEV('The List'!T2:T665)</f>
        <v>-4.9704757880056481E-2</v>
      </c>
      <c r="H245" s="54">
        <f>(VLOOKUP($A245,'The List'!$B1:$AH665,20,FALSE)-AVERAGE('The List'!U2:U665))/STDEV('The List'!U2:U665)</f>
        <v>-4.1456546705846496E-2</v>
      </c>
      <c r="I245" s="54">
        <f>(VLOOKUP($A245,'The List'!$B1:$AH665,21,FALSE)-AVERAGE('The List'!V2:V665))/STDEV('The List'!V2:V665)</f>
        <v>-0.21786105527176883</v>
      </c>
      <c r="J245" s="54">
        <f>(VLOOKUP($A245,'The List'!$B1:$AH665,22,FALSE)-AVERAGE('The List'!W2:W665))/STDEV('The List'!W2:W665)</f>
        <v>6.9332811928318444E-2</v>
      </c>
      <c r="K245" s="54">
        <f>(VLOOKUP($A245,'The List'!$B1:$AH665,23,FALSE)-AVERAGE('The List'!X2:X665))/STDEV('The List'!X2:X665)</f>
        <v>-1.8683046299555117E-3</v>
      </c>
      <c r="L245" s="54">
        <f>(VLOOKUP($A245,'The List'!$B1:$AH665,24,FALSE)-AVERAGE('The List'!Y2:Y665))/STDEV('The List'!Y2:Y665)</f>
        <v>-0.5801829139020841</v>
      </c>
      <c r="M245" s="54">
        <f>(VLOOKUP($A245,'The List'!$B1:$AH665,25,FALSE)-AVERAGE('The List'!Z2:Z665))/STDEV('The List'!Z2:Z665)</f>
        <v>-0.75403666498999722</v>
      </c>
      <c r="N245" s="54">
        <f>(VLOOKUP($A245,'The List'!$B1:$AH665,26,FALSE)-AVERAGE('The List'!AA2:AA665))/STDEV('The List'!AA2:AA665)</f>
        <v>-0.7920557948005007</v>
      </c>
      <c r="O245" s="54">
        <f>(VLOOKUP($A245,'The List'!$B1:$AH665,27,FALSE)-AVERAGE('The List'!AB2:AB665))/STDEV('The List'!AB2:AB665)</f>
        <v>-6.481054743484127E-2</v>
      </c>
      <c r="P245" s="54">
        <f>(VLOOKUP($A245,'The List'!$B1:$AH665,28,FALSE)-AVERAGE('The List'!AC2:AC665))/STDEV('The List'!AC2:AC665)</f>
        <v>4.9789353166421163E-2</v>
      </c>
      <c r="Q245" s="54">
        <f>(VLOOKUP($A245,'The List'!$B1:$AH665,29,FALSE)-AVERAGE('The List'!AD2:AD665))/STDEV('The List'!AD2:AD665)</f>
        <v>-0.1865680669259473</v>
      </c>
      <c r="R245" s="54">
        <f>(VLOOKUP($A245,'The List'!$B1:$AH665,30,FALSE)-AVERAGE('The List'!AE2:AE665))/STDEV('The List'!AE2:AE665)</f>
        <v>-2.8341040795983388E-2</v>
      </c>
      <c r="S245" s="54">
        <f>(VLOOKUP($A245,'The List'!$B1:$AH665,31,FALSE)-AVERAGE('The List'!AF2:AF665))/STDEV('The List'!AF2:AF665)</f>
        <v>-0.57389441068000469</v>
      </c>
      <c r="T245" s="54">
        <f>(VLOOKUP($A245,'The List'!$B1:$AH665,32,FALSE)-AVERAGE('The List'!AG2:AG665))/STDEV('The List'!AG2:AG665)</f>
        <v>-0.62577078713265111</v>
      </c>
      <c r="U245" s="54">
        <f>(VLOOKUP($A245,'The List'!$B1:$AH665,33,FALSE)-AVERAGE('The List'!AH2:AH665))/STDEV('The List'!AH2:AH665)</f>
        <v>-1.2314350945148611</v>
      </c>
      <c r="V245" s="54"/>
      <c r="W245" s="64"/>
      <c r="X245" s="56"/>
      <c r="Y245" s="56"/>
      <c r="Z245" s="56"/>
      <c r="AA245" s="56"/>
      <c r="AB245" s="56"/>
      <c r="AC245" s="59"/>
      <c r="AD245" s="60"/>
      <c r="AE245" s="54"/>
    </row>
    <row r="246" spans="1:31" ht="21.25" customHeight="1" x14ac:dyDescent="0.15">
      <c r="A246" s="9" t="s">
        <v>464</v>
      </c>
      <c r="B246" s="65" t="str">
        <f>VLOOKUP(A246,'Player Data'!A1:B667,2,FALSE)</f>
        <v>EDM</v>
      </c>
      <c r="C246" s="51">
        <f>((E246)*Settings!$C$12)+(F246*Settings!$C$2)+(G246*Settings!$C$3)+(H246*Settings!$C$4)+(I246*Settings!$C$5)+(K246*Settings!$C$9)+(N246*Settings!$C$6)+(J246*Settings!$C$8)+(O246*Settings!$C$7)+(P246*Settings!$C$14)+(Q246*Settings!$C$15)+(R246*Settings!$C$16)+(S246*Settings!$C$17)+(T246*Settings!$C$18)+(U246*Settings!$C$19)+(L246*Settings!$C$10)+(Settings!$C$11*M246)</f>
        <v>-0.27417154640498886</v>
      </c>
      <c r="D246" s="56">
        <f>IF(Settings!$E$12="YES",VLOOKUP(A246,'Player Data'!A1:E667,5,FALSE),82)</f>
        <v>76.88</v>
      </c>
      <c r="E246" s="54">
        <f>(VLOOKUP($A246,'The List'!$B1:$AH665,17,FALSE)-AVERAGE('The List'!R2:R665))/STDEV('The List'!R2:R665)</f>
        <v>-0.25950849077072591</v>
      </c>
      <c r="F246" s="54">
        <f>(VLOOKUP($A246,'The List'!$B1:$AH665,18,FALSE)-AVERAGE('The List'!S2:S665))/STDEV('The List'!S2:S665)</f>
        <v>0.43546287142685597</v>
      </c>
      <c r="G246" s="54">
        <f>(VLOOKUP($A246,'The List'!$B1:$AH665,19,FALSE)-AVERAGE('The List'!T2:T665))/STDEV('The List'!T2:T665)</f>
        <v>-0.33254324321291667</v>
      </c>
      <c r="H246" s="54">
        <f>(VLOOKUP($A246,'The List'!$B1:$AH665,20,FALSE)-AVERAGE('The List'!U2:U665))/STDEV('The List'!U2:U665)</f>
        <v>-8.5894780393070708E-3</v>
      </c>
      <c r="I246" s="54">
        <f>(VLOOKUP($A246,'The List'!$B1:$AH665,21,FALSE)-AVERAGE('The List'!V2:V665))/STDEV('The List'!V2:V665)</f>
        <v>-9.4652187452625297E-2</v>
      </c>
      <c r="J246" s="54">
        <f>(VLOOKUP($A246,'The List'!$B1:$AH665,22,FALSE)-AVERAGE('The List'!W2:W665))/STDEV('The List'!W2:W665)</f>
        <v>-0.11268247428545181</v>
      </c>
      <c r="K246" s="54">
        <f>(VLOOKUP($A246,'The List'!$B1:$AH665,23,FALSE)-AVERAGE('The List'!X2:X665))/STDEV('The List'!X2:X665)</f>
        <v>-0.32177051767545156</v>
      </c>
      <c r="L246" s="54">
        <f>(VLOOKUP($A246,'The List'!$B1:$AH665,24,FALSE)-AVERAGE('The List'!Y2:Y665))/STDEV('The List'!Y2:Y665)</f>
        <v>0.42764663560395649</v>
      </c>
      <c r="M246" s="54">
        <f>(VLOOKUP($A246,'The List'!$B1:$AH665,25,FALSE)-AVERAGE('The List'!Z2:Z665))/STDEV('The List'!Z2:Z665)</f>
        <v>1.4155256672144665</v>
      </c>
      <c r="N246" s="54">
        <f>(VLOOKUP($A246,'The List'!$B1:$AH665,26,FALSE)-AVERAGE('The List'!AA2:AA665))/STDEV('The List'!AA2:AA665)</f>
        <v>-3.7674348299779968E-2</v>
      </c>
      <c r="O246" s="54">
        <f>(VLOOKUP($A246,'The List'!$B1:$AH665,27,FALSE)-AVERAGE('The List'!AB2:AB665))/STDEV('The List'!AB2:AB665)</f>
        <v>-0.31534992559314806</v>
      </c>
      <c r="P246" s="54">
        <f>(VLOOKUP($A246,'The List'!$B1:$AH665,28,FALSE)-AVERAGE('The List'!AC2:AC665))/STDEV('The List'!AC2:AC665)</f>
        <v>7.7005878808928688E-2</v>
      </c>
      <c r="Q246" s="54">
        <f>(VLOOKUP($A246,'The List'!$B1:$AH665,29,FALSE)-AVERAGE('The List'!AD2:AD665))/STDEV('The List'!AD2:AD665)</f>
        <v>-0.61817524391710688</v>
      </c>
      <c r="R246" s="54">
        <f>(VLOOKUP($A246,'The List'!$B1:$AH665,30,FALSE)-AVERAGE('The List'!AE2:AE665))/STDEV('The List'!AE2:AE665)</f>
        <v>0.55841379779190081</v>
      </c>
      <c r="S246" s="54">
        <f>(VLOOKUP($A246,'The List'!$B1:$AH665,31,FALSE)-AVERAGE('The List'!AF2:AF665))/STDEV('The List'!AF2:AF665)</f>
        <v>1.6963218299044029</v>
      </c>
      <c r="T246" s="54">
        <f>(VLOOKUP($A246,'The List'!$B1:$AH665,32,FALSE)-AVERAGE('The List'!AG2:AG665))/STDEV('The List'!AG2:AG665)</f>
        <v>1.5154121016085964</v>
      </c>
      <c r="U246" s="54">
        <f>(VLOOKUP($A246,'The List'!$B1:$AH665,33,FALSE)-AVERAGE('The List'!AH2:AH665))/STDEV('The List'!AH2:AH665)</f>
        <v>1.1711692318498192</v>
      </c>
      <c r="V246" s="54"/>
      <c r="W246" s="64"/>
      <c r="X246" s="56"/>
      <c r="Y246" s="56"/>
      <c r="Z246" s="56"/>
      <c r="AA246" s="56"/>
      <c r="AB246" s="56"/>
      <c r="AC246" s="59"/>
      <c r="AD246" s="60"/>
      <c r="AE246" s="54"/>
    </row>
    <row r="247" spans="1:31" ht="21.25" customHeight="1" x14ac:dyDescent="0.15">
      <c r="A247" s="9" t="s">
        <v>411</v>
      </c>
      <c r="B247" s="65" t="str">
        <f>VLOOKUP(A247,'Player Data'!A1:B667,2,FALSE)</f>
        <v>UTA</v>
      </c>
      <c r="C247" s="51">
        <f>((E247)*Settings!$C$12)+(F247*Settings!$C$2)+(G247*Settings!$C$3)+(H247*Settings!$C$4)+(I247*Settings!$C$5)+(K247*Settings!$C$9)+(N247*Settings!$C$6)+(J247*Settings!$C$8)+(O247*Settings!$C$7)+(P247*Settings!$C$14)+(Q247*Settings!$C$15)+(R247*Settings!$C$16)+(S247*Settings!$C$17)+(T247*Settings!$C$18)+(U247*Settings!$C$19)+(L247*Settings!$C$10)+(Settings!$C$11*M247)</f>
        <v>-0.16880573810616845</v>
      </c>
      <c r="D247" s="56">
        <f>IF(Settings!$E$12="YES",VLOOKUP(A247,'Player Data'!A1:E667,5,FALSE),82)</f>
        <v>79.465000000000003</v>
      </c>
      <c r="E247" s="54">
        <f>(VLOOKUP($A247,'The List'!$B1:$AH665,17,FALSE)-AVERAGE('The List'!R2:R665))/STDEV('The List'!R2:R665)</f>
        <v>-0.26569389931830178</v>
      </c>
      <c r="F247" s="54">
        <f>(VLOOKUP($A247,'The List'!$B1:$AH665,18,FALSE)-AVERAGE('The List'!S2:S665))/STDEV('The List'!S2:S665)</f>
        <v>0.60160541722005012</v>
      </c>
      <c r="G247" s="54">
        <f>(VLOOKUP($A247,'The List'!$B1:$AH665,19,FALSE)-AVERAGE('The List'!T2:T665))/STDEV('The List'!T2:T665)</f>
        <v>-0.37320394130463158</v>
      </c>
      <c r="H247" s="54">
        <f>(VLOOKUP($A247,'The List'!$B1:$AH665,20,FALSE)-AVERAGE('The List'!U2:U665))/STDEV('The List'!U2:U665)</f>
        <v>4.1677626623501822E-2</v>
      </c>
      <c r="I247" s="54">
        <f>(VLOOKUP($A247,'The List'!$B1:$AH665,21,FALSE)-AVERAGE('The List'!V2:V665))/STDEV('The List'!V2:V665)</f>
        <v>0.29612534356650538</v>
      </c>
      <c r="J247" s="54">
        <f>(VLOOKUP($A247,'The List'!$B1:$AH665,22,FALSE)-AVERAGE('The List'!W2:W665))/STDEV('The List'!W2:W665)</f>
        <v>0.25320231707606822</v>
      </c>
      <c r="K247" s="54">
        <f>(VLOOKUP($A247,'The List'!$B1:$AH665,23,FALSE)-AVERAGE('The List'!X2:X665))/STDEV('The List'!X2:X665)</f>
        <v>-0.22906858968514418</v>
      </c>
      <c r="L247" s="54">
        <f>(VLOOKUP($A247,'The List'!$B1:$AH665,24,FALSE)-AVERAGE('The List'!Y2:Y665))/STDEV('The List'!Y2:Y665)</f>
        <v>-7.1455434586863875E-2</v>
      </c>
      <c r="M247" s="54">
        <f>(VLOOKUP($A247,'The List'!$B1:$AH665,25,FALSE)-AVERAGE('The List'!Z2:Z665))/STDEV('The List'!Z2:Z665)</f>
        <v>0.16875010025540507</v>
      </c>
      <c r="N247" s="54">
        <f>(VLOOKUP($A247,'The List'!$B1:$AH665,26,FALSE)-AVERAGE('The List'!AA2:AA665))/STDEV('The List'!AA2:AA665)</f>
        <v>-0.31502547280207194</v>
      </c>
      <c r="O247" s="54">
        <f>(VLOOKUP($A247,'The List'!$B1:$AH665,27,FALSE)-AVERAGE('The List'!AB2:AB665))/STDEV('The List'!AB2:AB665)</f>
        <v>1.497139402540653</v>
      </c>
      <c r="P247" s="54">
        <f>(VLOOKUP($A247,'The List'!$B1:$AH665,28,FALSE)-AVERAGE('The List'!AC2:AC665))/STDEV('The List'!AC2:AC665)</f>
        <v>-0.14923849510087622</v>
      </c>
      <c r="Q247" s="54">
        <f>(VLOOKUP($A247,'The List'!$B1:$AH665,29,FALSE)-AVERAGE('The List'!AD2:AD665))/STDEV('The List'!AD2:AD665)</f>
        <v>0.34330298460769715</v>
      </c>
      <c r="R247" s="54">
        <f>(VLOOKUP($A247,'The List'!$B1:$AH665,30,FALSE)-AVERAGE('The List'!AE2:AE665))/STDEV('The List'!AE2:AE665)</f>
        <v>0.5424967689491641</v>
      </c>
      <c r="S247" s="54">
        <f>(VLOOKUP($A247,'The List'!$B1:$AH665,31,FALSE)-AVERAGE('The List'!AF2:AF665))/STDEV('The List'!AF2:AF665)</f>
        <v>-0.44178841143310565</v>
      </c>
      <c r="T247" s="54">
        <f>(VLOOKUP($A247,'The List'!$B1:$AH665,32,FALSE)-AVERAGE('The List'!AG2:AG665))/STDEV('The List'!AG2:AG665)</f>
        <v>-0.36313654093596043</v>
      </c>
      <c r="U247" s="54">
        <f>(VLOOKUP($A247,'The List'!$B1:$AH665,33,FALSE)-AVERAGE('The List'!AH2:AH665))/STDEV('The List'!AH2:AH665)</f>
        <v>0.34852400291576391</v>
      </c>
      <c r="V247" s="54"/>
      <c r="W247" s="64"/>
      <c r="X247" s="56"/>
      <c r="Y247" s="56"/>
      <c r="Z247" s="56"/>
      <c r="AA247" s="56"/>
      <c r="AB247" s="56"/>
      <c r="AC247" s="59"/>
      <c r="AD247" s="60"/>
      <c r="AE247" s="54"/>
    </row>
    <row r="248" spans="1:31" ht="21.25" customHeight="1" x14ac:dyDescent="0.15">
      <c r="A248" s="9" t="s">
        <v>526</v>
      </c>
      <c r="B248" s="65" t="str">
        <f>VLOOKUP(A248,'Player Data'!A1:B667,2,FALSE)</f>
        <v>NYR</v>
      </c>
      <c r="C248" s="51">
        <f>((E248)*Settings!$C$12)+(F248*Settings!$C$2)+(G248*Settings!$C$3)+(H248*Settings!$C$4)+(I248*Settings!$C$5)+(K248*Settings!$C$9)+(N248*Settings!$C$6)+(J248*Settings!$C$8)+(O248*Settings!$C$7)+(P248*Settings!$C$14)+(Q248*Settings!$C$15)+(R248*Settings!$C$16)+(S248*Settings!$C$17)+(T248*Settings!$C$18)+(U248*Settings!$C$19)+(L248*Settings!$C$10)+(Settings!$C$11*M248)</f>
        <v>-1.0023845917165448</v>
      </c>
      <c r="D248" s="56">
        <f>IF(Settings!$E$12="YES",VLOOKUP(A248,'Player Data'!A1:E667,5,FALSE),82)</f>
        <v>74.402500000000003</v>
      </c>
      <c r="E248" s="54">
        <f>(VLOOKUP($A248,'The List'!$B1:$AH665,17,FALSE)-AVERAGE('The List'!R2:R665))/STDEV('The List'!R2:R665)</f>
        <v>-0.73631873083972421</v>
      </c>
      <c r="F248" s="54">
        <f>(VLOOKUP($A248,'The List'!$B1:$AH665,18,FALSE)-AVERAGE('The List'!S2:S665))/STDEV('The List'!S2:S665)</f>
        <v>0.4242495623963714</v>
      </c>
      <c r="G248" s="54">
        <f>(VLOOKUP($A248,'The List'!$B1:$AH665,19,FALSE)-AVERAGE('The List'!T2:T665))/STDEV('The List'!T2:T665)</f>
        <v>-0.42288265661313956</v>
      </c>
      <c r="H248" s="54">
        <f>(VLOOKUP($A248,'The List'!$B1:$AH665,20,FALSE)-AVERAGE('The List'!U2:U665))/STDEV('The List'!U2:U665)</f>
        <v>-6.979231534140222E-2</v>
      </c>
      <c r="I248" s="54">
        <f>(VLOOKUP($A248,'The List'!$B1:$AH665,21,FALSE)-AVERAGE('The List'!V2:V665))/STDEV('The List'!V2:V665)</f>
        <v>-0.28303792273315281</v>
      </c>
      <c r="J248" s="54">
        <f>(VLOOKUP($A248,'The List'!$B1:$AH665,22,FALSE)-AVERAGE('The List'!W2:W665))/STDEV('The List'!W2:W665)</f>
        <v>-0.37233475408037831</v>
      </c>
      <c r="K248" s="54">
        <f>(VLOOKUP($A248,'The List'!$B1:$AH665,23,FALSE)-AVERAGE('The List'!X2:X665))/STDEV('The List'!X2:X665)</f>
        <v>-0.48567254784334968</v>
      </c>
      <c r="L248" s="54">
        <f>(VLOOKUP($A248,'The List'!$B1:$AH665,24,FALSE)-AVERAGE('The List'!Y2:Y665))/STDEV('The List'!Y2:Y665)</f>
        <v>-0.57444641023703547</v>
      </c>
      <c r="M248" s="54">
        <f>(VLOOKUP($A248,'The List'!$B1:$AH665,25,FALSE)-AVERAGE('The List'!Z2:Z665))/STDEV('The List'!Z2:Z665)</f>
        <v>-0.74815392654125679</v>
      </c>
      <c r="N248" s="54">
        <f>(VLOOKUP($A248,'The List'!$B1:$AH665,26,FALSE)-AVERAGE('The List'!AA2:AA665))/STDEV('The List'!AA2:AA665)</f>
        <v>-0.96189505532624675</v>
      </c>
      <c r="O248" s="54">
        <f>(VLOOKUP($A248,'The List'!$B1:$AH665,27,FALSE)-AVERAGE('The List'!AB2:AB665))/STDEV('The List'!AB2:AB665)</f>
        <v>-1.1420206719318711</v>
      </c>
      <c r="P248" s="54">
        <f>(VLOOKUP($A248,'The List'!$B1:$AH665,28,FALSE)-AVERAGE('The List'!AC2:AC665))/STDEV('The List'!AC2:AC665)</f>
        <v>0.72685402840297275</v>
      </c>
      <c r="Q248" s="54">
        <f>(VLOOKUP($A248,'The List'!$B1:$AH665,29,FALSE)-AVERAGE('The List'!AD2:AD665))/STDEV('The List'!AD2:AD665)</f>
        <v>-0.84327809667026354</v>
      </c>
      <c r="R248" s="54">
        <f>(VLOOKUP($A248,'The List'!$B1:$AH665,30,FALSE)-AVERAGE('The List'!AE2:AE665))/STDEV('The List'!AE2:AE665)</f>
        <v>0.56916559003682188</v>
      </c>
      <c r="S248" s="54">
        <f>(VLOOKUP($A248,'The List'!$B1:$AH665,31,FALSE)-AVERAGE('The List'!AF2:AF665))/STDEV('The List'!AF2:AF665)</f>
        <v>-0.53706265230575378</v>
      </c>
      <c r="T248" s="54">
        <f>(VLOOKUP($A248,'The List'!$B1:$AH665,32,FALSE)-AVERAGE('The List'!AG2:AG665))/STDEV('The List'!AG2:AG665)</f>
        <v>-0.55146736290816545</v>
      </c>
      <c r="U248" s="54">
        <f>(VLOOKUP($A248,'The List'!$B1:$AH665,33,FALSE)-AVERAGE('The List'!AH2:AH665))/STDEV('The List'!AH2:AH665)</f>
        <v>0.33349018763834176</v>
      </c>
      <c r="V248" s="54"/>
      <c r="W248" s="56"/>
      <c r="X248" s="54"/>
      <c r="Y248" s="54"/>
      <c r="Z248" s="54"/>
      <c r="AA248" s="54"/>
      <c r="AB248" s="54"/>
      <c r="AC248" s="54"/>
      <c r="AD248" s="54"/>
      <c r="AE248" s="54"/>
    </row>
    <row r="249" spans="1:31" ht="21.25" customHeight="1" x14ac:dyDescent="0.15">
      <c r="A249" s="9" t="s">
        <v>516</v>
      </c>
      <c r="B249" s="65" t="str">
        <f>VLOOKUP(A249,'Player Data'!A1:B667,2,FALSE)</f>
        <v>CGY</v>
      </c>
      <c r="C249" s="51">
        <f>((E249)*Settings!$C$12)+(F249*Settings!$C$2)+(G249*Settings!$C$3)+(H249*Settings!$C$4)+(I249*Settings!$C$5)+(K249*Settings!$C$9)+(N249*Settings!$C$6)+(J249*Settings!$C$8)+(O249*Settings!$C$7)+(P249*Settings!$C$14)+(Q249*Settings!$C$15)+(R249*Settings!$C$16)+(S249*Settings!$C$17)+(T249*Settings!$C$18)+(U249*Settings!$C$19)+(L249*Settings!$C$10)+(Settings!$C$11*M249)</f>
        <v>-1.3619252919749008</v>
      </c>
      <c r="D249" s="56">
        <f>IF(Settings!$E$12="YES",VLOOKUP(A249,'Player Data'!A1:E667,5,FALSE),82)</f>
        <v>74.047499999999999</v>
      </c>
      <c r="E249" s="54">
        <f>(VLOOKUP($A249,'The List'!$B1:$AH665,17,FALSE)-AVERAGE('The List'!R2:R665))/STDEV('The List'!R2:R665)</f>
        <v>-0.8387842432482524</v>
      </c>
      <c r="F249" s="54">
        <f>(VLOOKUP($A249,'The List'!$B1:$AH665,18,FALSE)-AVERAGE('The List'!S2:S665))/STDEV('The List'!S2:S665)</f>
        <v>0.26418771235336602</v>
      </c>
      <c r="G249" s="54">
        <f>(VLOOKUP($A249,'The List'!$B1:$AH665,19,FALSE)-AVERAGE('The List'!T2:T665))/STDEV('The List'!T2:T665)</f>
        <v>-0.34378683442488073</v>
      </c>
      <c r="H249" s="54">
        <f>(VLOOKUP($A249,'The List'!$B1:$AH665,20,FALSE)-AVERAGE('The List'!U2:U665))/STDEV('The List'!U2:U665)</f>
        <v>-9.3425081548585726E-2</v>
      </c>
      <c r="I249" s="54">
        <f>(VLOOKUP($A249,'The List'!$B1:$AH665,21,FALSE)-AVERAGE('The List'!V2:V665))/STDEV('The List'!V2:V665)</f>
        <v>-0.28642869701861623</v>
      </c>
      <c r="J249" s="54">
        <f>(VLOOKUP($A249,'The List'!$B1:$AH665,22,FALSE)-AVERAGE('The List'!W2:W665))/STDEV('The List'!W2:W665)</f>
        <v>-0.28454742612582301</v>
      </c>
      <c r="K249" s="54">
        <f>(VLOOKUP($A249,'The List'!$B1:$AH665,23,FALSE)-AVERAGE('The List'!X2:X665))/STDEV('The List'!X2:X665)</f>
        <v>-0.36622838871095925</v>
      </c>
      <c r="L249" s="54">
        <f>(VLOOKUP($A249,'The List'!$B1:$AH665,24,FALSE)-AVERAGE('The List'!Y2:Y665))/STDEV('The List'!Y2:Y665)</f>
        <v>-0.57435069005546413</v>
      </c>
      <c r="M249" s="54">
        <f>(VLOOKUP($A249,'The List'!$B1:$AH665,25,FALSE)-AVERAGE('The List'!Z2:Z665))/STDEV('The List'!Z2:Z665)</f>
        <v>-0.74805401814275052</v>
      </c>
      <c r="N249" s="54">
        <f>(VLOOKUP($A249,'The List'!$B1:$AH665,26,FALSE)-AVERAGE('The List'!AA2:AA665))/STDEV('The List'!AA2:AA665)</f>
        <v>-0.85101417258247092</v>
      </c>
      <c r="O249" s="54">
        <f>(VLOOKUP($A249,'The List'!$B1:$AH665,27,FALSE)-AVERAGE('The List'!AB2:AB665))/STDEV('The List'!AB2:AB665)</f>
        <v>-0.60564644754271435</v>
      </c>
      <c r="P249" s="54">
        <f>(VLOOKUP($A249,'The List'!$B1:$AH665,28,FALSE)-AVERAGE('The List'!AC2:AC665))/STDEV('The List'!AC2:AC665)</f>
        <v>0.2213450884086603</v>
      </c>
      <c r="Q249" s="54">
        <f>(VLOOKUP($A249,'The List'!$B1:$AH665,29,FALSE)-AVERAGE('The List'!AD2:AD665))/STDEV('The List'!AD2:AD665)</f>
        <v>-0.42907658382746594</v>
      </c>
      <c r="R249" s="54">
        <f>(VLOOKUP($A249,'The List'!$B1:$AH665,30,FALSE)-AVERAGE('The List'!AE2:AE665))/STDEV('The List'!AE2:AE665)</f>
        <v>0.21485757051465018</v>
      </c>
      <c r="S249" s="54">
        <f>(VLOOKUP($A249,'The List'!$B1:$AH665,31,FALSE)-AVERAGE('The List'!AF2:AF665))/STDEV('The List'!AF2:AF665)</f>
        <v>-0.5495956940101866</v>
      </c>
      <c r="T249" s="54">
        <f>(VLOOKUP($A249,'The List'!$B1:$AH665,32,FALSE)-AVERAGE('The List'!AG2:AG665))/STDEV('The List'!AG2:AG665)</f>
        <v>-0.59268753667583873</v>
      </c>
      <c r="U249" s="54">
        <f>(VLOOKUP($A249,'The List'!$B1:$AH665,33,FALSE)-AVERAGE('The List'!AH2:AH665))/STDEV('The List'!AH2:AH665)</f>
        <v>0.7567014979379536</v>
      </c>
      <c r="V249" s="54"/>
      <c r="W249" s="64"/>
      <c r="X249" s="56"/>
      <c r="Y249" s="56"/>
      <c r="Z249" s="56"/>
      <c r="AA249" s="56"/>
      <c r="AB249" s="56"/>
      <c r="AC249" s="59"/>
      <c r="AD249" s="60"/>
      <c r="AE249" s="54"/>
    </row>
    <row r="250" spans="1:31" ht="21.25" customHeight="1" x14ac:dyDescent="0.15">
      <c r="A250" s="9" t="s">
        <v>305</v>
      </c>
      <c r="B250" s="65" t="str">
        <f>VLOOKUP(A250,'Player Data'!A1:B667,2,FALSE)</f>
        <v>BOS</v>
      </c>
      <c r="C250" s="51">
        <f>((E250)*Settings!$C$12)+(F250*Settings!$C$2)+(G250*Settings!$C$3)+(H250*Settings!$C$4)+(I250*Settings!$C$5)+(K250*Settings!$C$9)+(N250*Settings!$C$6)+(J250*Settings!$C$8)+(O250*Settings!$C$7)+(P250*Settings!$C$14)+(Q250*Settings!$C$15)+(R250*Settings!$C$16)+(S250*Settings!$C$17)+(T250*Settings!$C$18)+(U250*Settings!$C$19)+(L250*Settings!$C$10)+(Settings!$C$11*M250)</f>
        <v>1.7894659200110721</v>
      </c>
      <c r="D250" s="56">
        <f>IF(Settings!$E$12="YES",VLOOKUP(A250,'Player Data'!A1:E667,5,FALSE),82)</f>
        <v>79.057500000000005</v>
      </c>
      <c r="E250" s="54">
        <f>(VLOOKUP($A250,'The List'!$B1:$AH665,17,FALSE)-AVERAGE('The List'!R2:R665))/STDEV('The List'!R2:R665)</f>
        <v>1.7483788674805407</v>
      </c>
      <c r="F250" s="54">
        <f>(VLOOKUP($A250,'The List'!$B1:$AH665,18,FALSE)-AVERAGE('The List'!S2:S665))/STDEV('The List'!S2:S665)</f>
        <v>-0.71050171389373307</v>
      </c>
      <c r="G250" s="54">
        <f>(VLOOKUP($A250,'The List'!$B1:$AH665,19,FALSE)-AVERAGE('The List'!T2:T665))/STDEV('The List'!T2:T665)</f>
        <v>0.52275058029811916</v>
      </c>
      <c r="H250" s="54">
        <f>(VLOOKUP($A250,'The List'!$B1:$AH665,20,FALSE)-AVERAGE('The List'!U2:U665))/STDEV('The List'!U2:U665)</f>
        <v>1.7007018222599838E-3</v>
      </c>
      <c r="I250" s="54">
        <f>(VLOOKUP($A250,'The List'!$B1:$AH665,21,FALSE)-AVERAGE('The List'!V2:V665))/STDEV('The List'!V2:V665)</f>
        <v>-9.0553171086137571E-2</v>
      </c>
      <c r="J250" s="54">
        <f>(VLOOKUP($A250,'The List'!$B1:$AH665,22,FALSE)-AVERAGE('The List'!W2:W665))/STDEV('The List'!W2:W665)</f>
        <v>-0.46955806445613685</v>
      </c>
      <c r="K250" s="54">
        <f>(VLOOKUP($A250,'The List'!$B1:$AH665,23,FALSE)-AVERAGE('The List'!X2:X665))/STDEV('The List'!X2:X665)</f>
        <v>8.1364398856640166E-2</v>
      </c>
      <c r="L250" s="54">
        <f>(VLOOKUP($A250,'The List'!$B1:$AH665,24,FALSE)-AVERAGE('The List'!Y2:Y665))/STDEV('The List'!Y2:Y665)</f>
        <v>-0.53356023904974492</v>
      </c>
      <c r="M250" s="54">
        <f>(VLOOKUP($A250,'The List'!$B1:$AH665,25,FALSE)-AVERAGE('The List'!Z2:Z665))/STDEV('The List'!Z2:Z665)</f>
        <v>-0.46775647399710735</v>
      </c>
      <c r="N250" s="54">
        <f>(VLOOKUP($A250,'The List'!$B1:$AH665,26,FALSE)-AVERAGE('The List'!AA2:AA665))/STDEV('The List'!AA2:AA665)</f>
        <v>1.0647652147612821</v>
      </c>
      <c r="O250" s="54">
        <f>(VLOOKUP($A250,'The List'!$B1:$AH665,27,FALSE)-AVERAGE('The List'!AB2:AB665))/STDEV('The List'!AB2:AB665)</f>
        <v>-0.47948023830999209</v>
      </c>
      <c r="P250" s="54">
        <f>(VLOOKUP($A250,'The List'!$B1:$AH665,28,FALSE)-AVERAGE('The List'!AC2:AC665))/STDEV('The List'!AC2:AC665)</f>
        <v>0.92164061107490125</v>
      </c>
      <c r="Q250" s="54">
        <f>(VLOOKUP($A250,'The List'!$B1:$AH665,29,FALSE)-AVERAGE('The List'!AD2:AD665))/STDEV('The List'!AD2:AD665)</f>
        <v>1.4853630493852232</v>
      </c>
      <c r="R250" s="54">
        <f>(VLOOKUP($A250,'The List'!$B1:$AH665,30,FALSE)-AVERAGE('The List'!AE2:AE665))/STDEV('The List'!AE2:AE665)</f>
        <v>-0.6522066175096326</v>
      </c>
      <c r="S250" s="54">
        <f>(VLOOKUP($A250,'The List'!$B1:$AH665,31,FALSE)-AVERAGE('The List'!AF2:AF665))/STDEV('The List'!AF2:AF665)</f>
        <v>-0.57389441068000469</v>
      </c>
      <c r="T250" s="54">
        <f>(VLOOKUP($A250,'The List'!$B1:$AH665,32,FALSE)-AVERAGE('The List'!AG2:AG665))/STDEV('The List'!AG2:AG665)</f>
        <v>-0.62577078713265111</v>
      </c>
      <c r="U250" s="54">
        <f>(VLOOKUP($A250,'The List'!$B1:$AH665,33,FALSE)-AVERAGE('The List'!AH2:AH665))/STDEV('The List'!AH2:AH665)</f>
        <v>-1.2314350945148611</v>
      </c>
      <c r="V250" s="54"/>
      <c r="W250" s="56"/>
      <c r="X250" s="54"/>
      <c r="Y250" s="54"/>
      <c r="Z250" s="54"/>
      <c r="AA250" s="54"/>
      <c r="AB250" s="54"/>
      <c r="AC250" s="54"/>
      <c r="AD250" s="54"/>
      <c r="AE250" s="54"/>
    </row>
    <row r="251" spans="1:31" ht="21.25" customHeight="1" x14ac:dyDescent="0.15">
      <c r="A251" s="9" t="s">
        <v>589</v>
      </c>
      <c r="B251" s="65" t="str">
        <f>VLOOKUP(A251,'Player Data'!A1:B667,2,FALSE)</f>
        <v>OTT</v>
      </c>
      <c r="C251" s="51">
        <f>((E251)*Settings!$C$12)+(F251*Settings!$C$2)+(G251*Settings!$C$3)+(H251*Settings!$C$4)+(I251*Settings!$C$5)+(K251*Settings!$C$9)+(N251*Settings!$C$6)+(J251*Settings!$C$8)+(O251*Settings!$C$7)+(P251*Settings!$C$14)+(Q251*Settings!$C$15)+(R251*Settings!$C$16)+(S251*Settings!$C$17)+(T251*Settings!$C$18)+(U251*Settings!$C$19)+(L251*Settings!$C$10)+(Settings!$C$11*M251)</f>
        <v>-1.331725864330823</v>
      </c>
      <c r="D251" s="56">
        <f>IF(Settings!$E$12="YES",VLOOKUP(A251,'Player Data'!A1:E667,5,FALSE),82)</f>
        <v>71.13</v>
      </c>
      <c r="E251" s="54">
        <f>(VLOOKUP($A251,'The List'!$B1:$AH665,17,FALSE)-AVERAGE('The List'!R2:R665))/STDEV('The List'!R2:R665)</f>
        <v>-0.34831686361335984</v>
      </c>
      <c r="F251" s="54">
        <f>(VLOOKUP($A251,'The List'!$B1:$AH665,18,FALSE)-AVERAGE('The List'!S2:S665))/STDEV('The List'!S2:S665)</f>
        <v>0.12054810815021934</v>
      </c>
      <c r="G251" s="54">
        <f>(VLOOKUP($A251,'The List'!$B1:$AH665,19,FALSE)-AVERAGE('The List'!T2:T665))/STDEV('The List'!T2:T665)</f>
        <v>-0.35344798327632515</v>
      </c>
      <c r="H251" s="54">
        <f>(VLOOKUP($A251,'The List'!$B1:$AH665,20,FALSE)-AVERAGE('The List'!U2:U665))/STDEV('The List'!U2:U665)</f>
        <v>-0.1647162260622933</v>
      </c>
      <c r="I251" s="54">
        <f>(VLOOKUP($A251,'The List'!$B1:$AH665,21,FALSE)-AVERAGE('The List'!V2:V665))/STDEV('The List'!V2:V665)</f>
        <v>-0.39609130376838314</v>
      </c>
      <c r="J251" s="54">
        <f>(VLOOKUP($A251,'The List'!$B1:$AH665,22,FALSE)-AVERAGE('The List'!W2:W665))/STDEV('The List'!W2:W665)</f>
        <v>3.6276247237252729E-2</v>
      </c>
      <c r="K251" s="54">
        <f>(VLOOKUP($A251,'The List'!$B1:$AH665,23,FALSE)-AVERAGE('The List'!X2:X665))/STDEV('The List'!X2:X665)</f>
        <v>-0.1955188600201346</v>
      </c>
      <c r="L251" s="54">
        <f>(VLOOKUP($A251,'The List'!$B1:$AH665,24,FALSE)-AVERAGE('The List'!Y2:Y665))/STDEV('The List'!Y2:Y665)</f>
        <v>1.5773560346231807</v>
      </c>
      <c r="M251" s="54">
        <f>(VLOOKUP($A251,'The List'!$B1:$AH665,25,FALSE)-AVERAGE('The List'!Z2:Z665))/STDEV('The List'!Z2:Z665)</f>
        <v>0.79621645842605182</v>
      </c>
      <c r="N251" s="54">
        <f>(VLOOKUP($A251,'The List'!$B1:$AH665,26,FALSE)-AVERAGE('The List'!AA2:AA665))/STDEV('The List'!AA2:AA665)</f>
        <v>-0.6040624514130789</v>
      </c>
      <c r="O251" s="54">
        <f>(VLOOKUP($A251,'The List'!$B1:$AH665,27,FALSE)-AVERAGE('The List'!AB2:AB665))/STDEV('The List'!AB2:AB665)</f>
        <v>0.57191761462928836</v>
      </c>
      <c r="P251" s="54">
        <f>(VLOOKUP($A251,'The List'!$B1:$AH665,28,FALSE)-AVERAGE('The List'!AC2:AC665))/STDEV('The List'!AC2:AC665)</f>
        <v>9.6846625996879543E-2</v>
      </c>
      <c r="Q251" s="54">
        <f>(VLOOKUP($A251,'The List'!$B1:$AH665,29,FALSE)-AVERAGE('The List'!AD2:AD665))/STDEV('The List'!AD2:AD665)</f>
        <v>1.5739571760242925</v>
      </c>
      <c r="R251" s="54">
        <f>(VLOOKUP($A251,'The List'!$B1:$AH665,30,FALSE)-AVERAGE('The List'!AE2:AE665))/STDEV('The List'!AE2:AE665)</f>
        <v>0.17405358371670837</v>
      </c>
      <c r="S251" s="54">
        <f>(VLOOKUP($A251,'The List'!$B1:$AH665,31,FALSE)-AVERAGE('The List'!AF2:AF665))/STDEV('The List'!AF2:AF665)</f>
        <v>0.40219841489052932</v>
      </c>
      <c r="T251" s="54">
        <f>(VLOOKUP($A251,'The List'!$B1:$AH665,32,FALSE)-AVERAGE('The List'!AG2:AG665))/STDEV('The List'!AG2:AG665)</f>
        <v>0.74304185003866496</v>
      </c>
      <c r="U251" s="54">
        <f>(VLOOKUP($A251,'The List'!$B1:$AH665,33,FALSE)-AVERAGE('The List'!AH2:AH665))/STDEV('The List'!AH2:AH665)</f>
        <v>0.72379459143734293</v>
      </c>
      <c r="V251" s="54"/>
      <c r="W251" s="64"/>
      <c r="X251" s="56"/>
      <c r="Y251" s="56"/>
      <c r="Z251" s="56"/>
      <c r="AA251" s="56"/>
      <c r="AB251" s="56"/>
      <c r="AC251" s="59"/>
      <c r="AD251" s="60"/>
      <c r="AE251" s="54"/>
    </row>
    <row r="252" spans="1:31" ht="21.25" customHeight="1" x14ac:dyDescent="0.15">
      <c r="A252" s="9" t="s">
        <v>568</v>
      </c>
      <c r="B252" s="65" t="str">
        <f>VLOOKUP(A252,'Player Data'!A1:B667,2,FALSE)</f>
        <v>VGK</v>
      </c>
      <c r="C252" s="51">
        <f>((E252)*Settings!$C$12)+(F252*Settings!$C$2)+(G252*Settings!$C$3)+(H252*Settings!$C$4)+(I252*Settings!$C$5)+(K252*Settings!$C$9)+(N252*Settings!$C$6)+(J252*Settings!$C$8)+(O252*Settings!$C$7)+(P252*Settings!$C$14)+(Q252*Settings!$C$15)+(R252*Settings!$C$16)+(S252*Settings!$C$17)+(T252*Settings!$C$18)+(U252*Settings!$C$19)+(L252*Settings!$C$10)+(Settings!$C$11*M252)</f>
        <v>-2.2934237960117225</v>
      </c>
      <c r="D252" s="56">
        <f>IF(Settings!$E$12="YES",VLOOKUP(A252,'Player Data'!A1:E667,5,FALSE),82)</f>
        <v>74.564999999999998</v>
      </c>
      <c r="E252" s="54">
        <f>(VLOOKUP($A252,'The List'!$B1:$AH665,17,FALSE)-AVERAGE('The List'!R2:R665))/STDEV('The List'!R2:R665)</f>
        <v>-0.93160743419064529</v>
      </c>
      <c r="F252" s="54">
        <f>(VLOOKUP($A252,'The List'!$B1:$AH665,18,FALSE)-AVERAGE('The List'!S2:S665))/STDEV('The List'!S2:S665)</f>
        <v>0.46386205065743252</v>
      </c>
      <c r="G252" s="54">
        <f>(VLOOKUP($A252,'The List'!$B1:$AH665,19,FALSE)-AVERAGE('The List'!T2:T665))/STDEV('The List'!T2:T665)</f>
        <v>-0.49261512503535254</v>
      </c>
      <c r="H252" s="54">
        <f>(VLOOKUP($A252,'The List'!$B1:$AH665,20,FALSE)-AVERAGE('The List'!U2:U665))/STDEV('The List'!U2:U665)</f>
        <v>-9.509434030942028E-2</v>
      </c>
      <c r="I252" s="54">
        <f>(VLOOKUP($A252,'The List'!$B1:$AH665,21,FALSE)-AVERAGE('The List'!V2:V665))/STDEV('The List'!V2:V665)</f>
        <v>-0.1378418889924643</v>
      </c>
      <c r="J252" s="54">
        <f>(VLOOKUP($A252,'The List'!$B1:$AH665,22,FALSE)-AVERAGE('The List'!W2:W665))/STDEV('The List'!W2:W665)</f>
        <v>-0.1041911493118008</v>
      </c>
      <c r="K252" s="54">
        <f>(VLOOKUP($A252,'The List'!$B1:$AH665,23,FALSE)-AVERAGE('The List'!X2:X665))/STDEV('The List'!X2:X665)</f>
        <v>-0.35607186624535664</v>
      </c>
      <c r="L252" s="54">
        <f>(VLOOKUP($A252,'The List'!$B1:$AH665,24,FALSE)-AVERAGE('The List'!Y2:Y665))/STDEV('The List'!Y2:Y665)</f>
        <v>-0.57489821287603515</v>
      </c>
      <c r="M252" s="54">
        <f>(VLOOKUP($A252,'The List'!$B1:$AH665,25,FALSE)-AVERAGE('The List'!Z2:Z665))/STDEV('The List'!Z2:Z665)</f>
        <v>-0.74380000307504268</v>
      </c>
      <c r="N252" s="54">
        <f>(VLOOKUP($A252,'The List'!$B1:$AH665,26,FALSE)-AVERAGE('The List'!AA2:AA665))/STDEV('The List'!AA2:AA665)</f>
        <v>-1.0860776939704722</v>
      </c>
      <c r="O252" s="54">
        <f>(VLOOKUP($A252,'The List'!$B1:$AH665,27,FALSE)-AVERAGE('The List'!AB2:AB665))/STDEV('The List'!AB2:AB665)</f>
        <v>-1.1406334515654539</v>
      </c>
      <c r="P252" s="54">
        <f>(VLOOKUP($A252,'The List'!$B1:$AH665,28,FALSE)-AVERAGE('The List'!AC2:AC665))/STDEV('The List'!AC2:AC665)</f>
        <v>-0.68467927242550919</v>
      </c>
      <c r="Q252" s="54">
        <f>(VLOOKUP($A252,'The List'!$B1:$AH665,29,FALSE)-AVERAGE('The List'!AD2:AD665))/STDEV('The List'!AD2:AD665)</f>
        <v>-1.6146406096721653</v>
      </c>
      <c r="R252" s="54">
        <f>(VLOOKUP($A252,'The List'!$B1:$AH665,30,FALSE)-AVERAGE('The List'!AE2:AE665))/STDEV('The List'!AE2:AE665)</f>
        <v>0.47970870059180121</v>
      </c>
      <c r="S252" s="54">
        <f>(VLOOKUP($A252,'The List'!$B1:$AH665,31,FALSE)-AVERAGE('The List'!AF2:AF665))/STDEV('The List'!AF2:AF665)</f>
        <v>-0.57277458492207656</v>
      </c>
      <c r="T252" s="54">
        <f>(VLOOKUP($A252,'The List'!$B1:$AH665,32,FALSE)-AVERAGE('The List'!AG2:AG665))/STDEV('The List'!AG2:AG665)</f>
        <v>-0.60988966260122834</v>
      </c>
      <c r="U252" s="54">
        <f>(VLOOKUP($A252,'The List'!$B1:$AH665,33,FALSE)-AVERAGE('The List'!AH2:AH665))/STDEV('The List'!AH2:AH665)</f>
        <v>-0.91517213109626849</v>
      </c>
      <c r="V252" s="54"/>
      <c r="W252" s="64"/>
      <c r="X252" s="56"/>
      <c r="Y252" s="56"/>
      <c r="Z252" s="56"/>
      <c r="AA252" s="56"/>
      <c r="AB252" s="56"/>
      <c r="AC252" s="59"/>
      <c r="AD252" s="60"/>
      <c r="AE252" s="54"/>
    </row>
    <row r="253" spans="1:31" ht="21.25" customHeight="1" x14ac:dyDescent="0.15">
      <c r="A253" s="9" t="s">
        <v>502</v>
      </c>
      <c r="B253" s="65" t="str">
        <f>VLOOKUP(A253,'Player Data'!A1:B667,2,FALSE)</f>
        <v>VAN</v>
      </c>
      <c r="C253" s="51">
        <f>((E253)*Settings!$C$12)+(F253*Settings!$C$2)+(G253*Settings!$C$3)+(H253*Settings!$C$4)+(I253*Settings!$C$5)+(K253*Settings!$C$9)+(N253*Settings!$C$6)+(J253*Settings!$C$8)+(O253*Settings!$C$7)+(P253*Settings!$C$14)+(Q253*Settings!$C$15)+(R253*Settings!$C$16)+(S253*Settings!$C$17)+(T253*Settings!$C$18)+(U253*Settings!$C$19)+(L253*Settings!$C$10)+(Settings!$C$11*M253)</f>
        <v>-0.7092409975386863</v>
      </c>
      <c r="D253" s="56">
        <f>IF(Settings!$E$12="YES",VLOOKUP(A253,'Player Data'!A1:E667,5,FALSE),82)</f>
        <v>77.672499999999999</v>
      </c>
      <c r="E253" s="54">
        <f>(VLOOKUP($A253,'The List'!$B1:$AH665,17,FALSE)-AVERAGE('The List'!R2:R665))/STDEV('The List'!R2:R665)</f>
        <v>-0.71384148789766122</v>
      </c>
      <c r="F253" s="54">
        <f>(VLOOKUP($A253,'The List'!$B1:$AH665,18,FALSE)-AVERAGE('The List'!S2:S665))/STDEV('The List'!S2:S665)</f>
        <v>0.23502937226184148</v>
      </c>
      <c r="G253" s="54">
        <f>(VLOOKUP($A253,'The List'!$B1:$AH665,19,FALSE)-AVERAGE('The List'!T2:T665))/STDEV('The List'!T2:T665)</f>
        <v>-0.23901862286128858</v>
      </c>
      <c r="H253" s="54">
        <f>(VLOOKUP($A253,'The List'!$B1:$AH665,20,FALSE)-AVERAGE('The List'!U2:U665))/STDEV('The List'!U2:U665)</f>
        <v>-4.1611982827405095E-2</v>
      </c>
      <c r="I253" s="54">
        <f>(VLOOKUP($A253,'The List'!$B1:$AH665,21,FALSE)-AVERAGE('The List'!V2:V665))/STDEV('The List'!V2:V665)</f>
        <v>-4.8854931193856671E-2</v>
      </c>
      <c r="J253" s="54">
        <f>(VLOOKUP($A253,'The List'!$B1:$AH665,22,FALSE)-AVERAGE('The List'!W2:W665))/STDEV('The List'!W2:W665)</f>
        <v>-0.59851858933591662</v>
      </c>
      <c r="K253" s="54">
        <f>(VLOOKUP($A253,'The List'!$B1:$AH665,23,FALSE)-AVERAGE('The List'!X2:X665))/STDEV('The List'!X2:X665)</f>
        <v>-0.73612912258335961</v>
      </c>
      <c r="L253" s="54">
        <f>(VLOOKUP($A253,'The List'!$B1:$AH665,24,FALSE)-AVERAGE('The List'!Y2:Y665))/STDEV('The List'!Y2:Y665)</f>
        <v>0.82335994782736621</v>
      </c>
      <c r="M253" s="54">
        <f>(VLOOKUP($A253,'The List'!$B1:$AH665,25,FALSE)-AVERAGE('The List'!Z2:Z665))/STDEV('The List'!Z2:Z665)</f>
        <v>0.21549003781231255</v>
      </c>
      <c r="N253" s="54">
        <f>(VLOOKUP($A253,'The List'!$B1:$AH665,26,FALSE)-AVERAGE('The List'!AA2:AA665))/STDEV('The List'!AA2:AA665)</f>
        <v>-0.47504804898053443</v>
      </c>
      <c r="O253" s="54">
        <f>(VLOOKUP($A253,'The List'!$B1:$AH665,27,FALSE)-AVERAGE('The List'!AB2:AB665))/STDEV('The List'!AB2:AB665)</f>
        <v>0.10701585253651011</v>
      </c>
      <c r="P253" s="54">
        <f>(VLOOKUP($A253,'The List'!$B1:$AH665,28,FALSE)-AVERAGE('The List'!AC2:AC665))/STDEV('The List'!AC2:AC665)</f>
        <v>0.55478035581851148</v>
      </c>
      <c r="Q253" s="54">
        <f>(VLOOKUP($A253,'The List'!$B1:$AH665,29,FALSE)-AVERAGE('The List'!AD2:AD665))/STDEV('The List'!AD2:AD665)</f>
        <v>-0.55518037134398013</v>
      </c>
      <c r="R253" s="54">
        <f>(VLOOKUP($A253,'The List'!$B1:$AH665,30,FALSE)-AVERAGE('The List'!AE2:AE665))/STDEV('The List'!AE2:AE665)</f>
        <v>0.44429096648005167</v>
      </c>
      <c r="S253" s="54">
        <f>(VLOOKUP($A253,'The List'!$B1:$AH665,31,FALSE)-AVERAGE('The List'!AF2:AF665))/STDEV('The List'!AF2:AF665)</f>
        <v>-0.53770781877770413</v>
      </c>
      <c r="T253" s="54">
        <f>(VLOOKUP($A253,'The List'!$B1:$AH665,32,FALSE)-AVERAGE('The List'!AG2:AG665))/STDEV('The List'!AG2:AG665)</f>
        <v>-0.53213559686841128</v>
      </c>
      <c r="U253" s="54">
        <f>(VLOOKUP($A253,'The List'!$B1:$AH665,33,FALSE)-AVERAGE('The List'!AH2:AH665))/STDEV('The List'!AH2:AH665)</f>
        <v>8.9103298737275474E-2</v>
      </c>
      <c r="V253" s="54"/>
      <c r="W253" s="64"/>
      <c r="X253" s="56"/>
      <c r="Y253" s="56"/>
      <c r="Z253" s="56"/>
      <c r="AA253" s="56"/>
      <c r="AB253" s="56"/>
      <c r="AC253" s="59"/>
      <c r="AD253" s="60"/>
      <c r="AE253" s="54"/>
    </row>
    <row r="254" spans="1:31" ht="21.25" customHeight="1" x14ac:dyDescent="0.15">
      <c r="A254" s="9" t="s">
        <v>528</v>
      </c>
      <c r="B254" s="65" t="str">
        <f>VLOOKUP(A254,'Player Data'!A1:B667,2,FALSE)</f>
        <v>TOR</v>
      </c>
      <c r="C254" s="51">
        <f>((E254)*Settings!$C$12)+(F254*Settings!$C$2)+(G254*Settings!$C$3)+(H254*Settings!$C$4)+(I254*Settings!$C$5)+(K254*Settings!$C$9)+(N254*Settings!$C$6)+(J254*Settings!$C$8)+(O254*Settings!$C$7)+(P254*Settings!$C$14)+(Q254*Settings!$C$15)+(R254*Settings!$C$16)+(S254*Settings!$C$17)+(T254*Settings!$C$18)+(U254*Settings!$C$19)+(L254*Settings!$C$10)+(Settings!$C$11*M254)</f>
        <v>-0.26414939652630332</v>
      </c>
      <c r="D254" s="56">
        <f>IF(Settings!$E$12="YES",VLOOKUP(A254,'Player Data'!A1:E667,5,FALSE),82)</f>
        <v>69.89</v>
      </c>
      <c r="E254" s="54">
        <f>(VLOOKUP($A254,'The List'!$B1:$AH665,17,FALSE)-AVERAGE('The List'!R2:R665))/STDEV('The List'!R2:R665)</f>
        <v>-0.89975532950386738</v>
      </c>
      <c r="F254" s="54">
        <f>(VLOOKUP($A254,'The List'!$B1:$AH665,18,FALSE)-AVERAGE('The List'!S2:S665))/STDEV('The List'!S2:S665)</f>
        <v>0.37455172198133785</v>
      </c>
      <c r="G254" s="54">
        <f>(VLOOKUP($A254,'The List'!$B1:$AH665,19,FALSE)-AVERAGE('The List'!T2:T665))/STDEV('The List'!T2:T665)</f>
        <v>-0.60389344205739415</v>
      </c>
      <c r="H254" s="54">
        <f>(VLOOKUP($A254,'The List'!$B1:$AH665,20,FALSE)-AVERAGE('The List'!U2:U665))/STDEV('The List'!U2:U665)</f>
        <v>-0.20480022179398197</v>
      </c>
      <c r="I254" s="54">
        <f>(VLOOKUP($A254,'The List'!$B1:$AH665,21,FALSE)-AVERAGE('The List'!V2:V665))/STDEV('The List'!V2:V665)</f>
        <v>0.4247817940896022</v>
      </c>
      <c r="J254" s="54">
        <f>(VLOOKUP($A254,'The List'!$B1:$AH665,22,FALSE)-AVERAGE('The List'!W2:W665))/STDEV('The List'!W2:W665)</f>
        <v>-0.57949785271614884</v>
      </c>
      <c r="K254" s="54">
        <f>(VLOOKUP($A254,'The List'!$B1:$AH665,23,FALSE)-AVERAGE('The List'!X2:X665))/STDEV('The List'!X2:X665)</f>
        <v>-0.72096315296874247</v>
      </c>
      <c r="L254" s="54">
        <f>(VLOOKUP($A254,'The List'!$B1:$AH665,24,FALSE)-AVERAGE('The List'!Y2:Y665))/STDEV('The List'!Y2:Y665)</f>
        <v>-0.33039778521650492</v>
      </c>
      <c r="M254" s="54">
        <f>(VLOOKUP($A254,'The List'!$B1:$AH665,25,FALSE)-AVERAGE('The List'!Z2:Z665))/STDEV('The List'!Z2:Z665)</f>
        <v>-0.49893586291083147</v>
      </c>
      <c r="N254" s="54">
        <f>(VLOOKUP($A254,'The List'!$B1:$AH665,26,FALSE)-AVERAGE('The List'!AA2:AA665))/STDEV('The List'!AA2:AA665)</f>
        <v>-0.8898604334910436</v>
      </c>
      <c r="O254" s="54">
        <f>(VLOOKUP($A254,'The List'!$B1:$AH665,27,FALSE)-AVERAGE('The List'!AB2:AB665))/STDEV('The List'!AB2:AB665)</f>
        <v>1.2428253120571695</v>
      </c>
      <c r="P254" s="54">
        <f>(VLOOKUP($A254,'The List'!$B1:$AH665,28,FALSE)-AVERAGE('The List'!AC2:AC665))/STDEV('The List'!AC2:AC665)</f>
        <v>1.1512341159199369</v>
      </c>
      <c r="Q254" s="54">
        <f>(VLOOKUP($A254,'The List'!$B1:$AH665,29,FALSE)-AVERAGE('The List'!AD2:AD665))/STDEV('The List'!AD2:AD665)</f>
        <v>0.14767251119813496</v>
      </c>
      <c r="R254" s="54">
        <f>(VLOOKUP($A254,'The List'!$B1:$AH665,30,FALSE)-AVERAGE('The List'!AE2:AE665))/STDEV('The List'!AE2:AE665)</f>
        <v>0.47891325528511719</v>
      </c>
      <c r="S254" s="54">
        <f>(VLOOKUP($A254,'The List'!$B1:$AH665,31,FALSE)-AVERAGE('The List'!AF2:AF665))/STDEV('The List'!AF2:AF665)</f>
        <v>-0.53197964814314824</v>
      </c>
      <c r="T254" s="54">
        <f>(VLOOKUP($A254,'The List'!$B1:$AH665,32,FALSE)-AVERAGE('The List'!AG2:AG665))/STDEV('The List'!AG2:AG665)</f>
        <v>-0.59454175996314962</v>
      </c>
      <c r="U254" s="54">
        <f>(VLOOKUP($A254,'The List'!$B1:$AH665,33,FALSE)-AVERAGE('The List'!AH2:AH665))/STDEV('The List'!AH2:AH665)</f>
        <v>1.434319476680441</v>
      </c>
      <c r="V254" s="54"/>
      <c r="W254" s="64"/>
      <c r="X254" s="56"/>
      <c r="Y254" s="56"/>
      <c r="Z254" s="56"/>
      <c r="AA254" s="56"/>
      <c r="AB254" s="56"/>
      <c r="AC254" s="59"/>
      <c r="AD254" s="60"/>
      <c r="AE254" s="54"/>
    </row>
    <row r="255" spans="1:31" ht="21.25" customHeight="1" x14ac:dyDescent="0.15">
      <c r="A255" s="9" t="s">
        <v>608</v>
      </c>
      <c r="B255" s="65" t="str">
        <f>VLOOKUP(A255,'Player Data'!A1:B667,2,FALSE)</f>
        <v>CBJ</v>
      </c>
      <c r="C255" s="51">
        <f>((E255)*Settings!$C$12)+(F255*Settings!$C$2)+(G255*Settings!$C$3)+(H255*Settings!$C$4)+(I255*Settings!$C$5)+(K255*Settings!$C$9)+(N255*Settings!$C$6)+(J255*Settings!$C$8)+(O255*Settings!$C$7)+(P255*Settings!$C$14)+(Q255*Settings!$C$15)+(R255*Settings!$C$16)+(S255*Settings!$C$17)+(T255*Settings!$C$18)+(U255*Settings!$C$19)+(L255*Settings!$C$10)+(Settings!$C$11*M255)</f>
        <v>-3.2888535562802654</v>
      </c>
      <c r="D255" s="56">
        <f>IF(Settings!$E$12="YES",VLOOKUP(A255,'Player Data'!A1:E667,5,FALSE),82)</f>
        <v>70.517499999999998</v>
      </c>
      <c r="E255" s="54">
        <f>(VLOOKUP($A255,'The List'!$B1:$AH665,17,FALSE)-AVERAGE('The List'!R2:R665))/STDEV('The List'!R2:R665)</f>
        <v>-0.79624330524322939</v>
      </c>
      <c r="F255" s="54">
        <f>(VLOOKUP($A255,'The List'!$B1:$AH665,18,FALSE)-AVERAGE('The List'!S2:S665))/STDEV('The List'!S2:S665)</f>
        <v>-6.3074480344231174E-2</v>
      </c>
      <c r="G255" s="54">
        <f>(VLOOKUP($A255,'The List'!$B1:$AH665,19,FALSE)-AVERAGE('The List'!T2:T665))/STDEV('The List'!T2:T665)</f>
        <v>-0.26570590690397067</v>
      </c>
      <c r="H255" s="54">
        <f>(VLOOKUP($A255,'The List'!$B1:$AH665,20,FALSE)-AVERAGE('The List'!U2:U665))/STDEV('The List'!U2:U665)</f>
        <v>-0.19368865781656433</v>
      </c>
      <c r="I255" s="54">
        <f>(VLOOKUP($A255,'The List'!$B1:$AH665,21,FALSE)-AVERAGE('The List'!V2:V665))/STDEV('The List'!V2:V665)</f>
        <v>-0.42703146232307815</v>
      </c>
      <c r="J255" s="54">
        <f>(VLOOKUP($A255,'The List'!$B1:$AH665,22,FALSE)-AVERAGE('The List'!W2:W665))/STDEV('The List'!W2:W665)</f>
        <v>-0.10999236006618496</v>
      </c>
      <c r="K255" s="54">
        <f>(VLOOKUP($A255,'The List'!$B1:$AH665,23,FALSE)-AVERAGE('The List'!X2:X665))/STDEV('The List'!X2:X665)</f>
        <v>-0.11470682278561047</v>
      </c>
      <c r="L255" s="54">
        <f>(VLOOKUP($A255,'The List'!$B1:$AH665,24,FALSE)-AVERAGE('The List'!Y2:Y665))/STDEV('The List'!Y2:Y665)</f>
        <v>-0.5801829139020841</v>
      </c>
      <c r="M255" s="54">
        <f>(VLOOKUP($A255,'The List'!$B1:$AH665,25,FALSE)-AVERAGE('The List'!Z2:Z665))/STDEV('The List'!Z2:Z665)</f>
        <v>-0.75403666498999722</v>
      </c>
      <c r="N255" s="54">
        <f>(VLOOKUP($A255,'The List'!$B1:$AH665,26,FALSE)-AVERAGE('The List'!AA2:AA665))/STDEV('The List'!AA2:AA665)</f>
        <v>-0.88307093946279303</v>
      </c>
      <c r="O255" s="54">
        <f>(VLOOKUP($A255,'The List'!$B1:$AH665,27,FALSE)-AVERAGE('The List'!AB2:AB665))/STDEV('The List'!AB2:AB665)</f>
        <v>-1.3263171233261393</v>
      </c>
      <c r="P255" s="54">
        <f>(VLOOKUP($A255,'The List'!$B1:$AH665,28,FALSE)-AVERAGE('The List'!AC2:AC665))/STDEV('The List'!AC2:AC665)</f>
        <v>-1.5352639444605818</v>
      </c>
      <c r="Q255" s="54">
        <f>(VLOOKUP($A255,'The List'!$B1:$AH665,29,FALSE)-AVERAGE('The List'!AD2:AD665))/STDEV('The List'!AD2:AD665)</f>
        <v>-1.0739956467194836</v>
      </c>
      <c r="R255" s="54">
        <f>(VLOOKUP($A255,'The List'!$B1:$AH665,30,FALSE)-AVERAGE('The List'!AE2:AE665))/STDEV('The List'!AE2:AE665)</f>
        <v>-0.37326520744335673</v>
      </c>
      <c r="S255" s="54">
        <f>(VLOOKUP($A255,'The List'!$B1:$AH665,31,FALSE)-AVERAGE('The List'!AF2:AF665))/STDEV('The List'!AF2:AF665)</f>
        <v>-0.48452950368953879</v>
      </c>
      <c r="T255" s="54">
        <f>(VLOOKUP($A255,'The List'!$B1:$AH665,32,FALSE)-AVERAGE('The List'!AG2:AG665))/STDEV('The List'!AG2:AG665)</f>
        <v>-0.42413916645870159</v>
      </c>
      <c r="U255" s="54">
        <f>(VLOOKUP($A255,'The List'!$B1:$AH665,33,FALSE)-AVERAGE('The List'!AH2:AH665))/STDEV('The List'!AH2:AH665)</f>
        <v>0.22087917248395905</v>
      </c>
      <c r="V255" s="54"/>
      <c r="W255" s="64"/>
      <c r="X255" s="56"/>
      <c r="Y255" s="56"/>
      <c r="Z255" s="56"/>
      <c r="AA255" s="56"/>
      <c r="AB255" s="56"/>
      <c r="AC255" s="59"/>
      <c r="AD255" s="60"/>
      <c r="AE255" s="54"/>
    </row>
    <row r="256" spans="1:31" ht="21.25" customHeight="1" x14ac:dyDescent="0.15">
      <c r="A256" s="9" t="s">
        <v>529</v>
      </c>
      <c r="B256" s="65" t="str">
        <f>VLOOKUP(A256,'Player Data'!A1:B667,2,FALSE)</f>
        <v>DET</v>
      </c>
      <c r="C256" s="51">
        <f>((E256)*Settings!$C$12)+(F256*Settings!$C$2)+(G256*Settings!$C$3)+(H256*Settings!$C$4)+(I256*Settings!$C$5)+(K256*Settings!$C$9)+(N256*Settings!$C$6)+(J256*Settings!$C$8)+(O256*Settings!$C$7)+(P256*Settings!$C$14)+(Q256*Settings!$C$15)+(R256*Settings!$C$16)+(S256*Settings!$C$17)+(T256*Settings!$C$18)+(U256*Settings!$C$19)+(L256*Settings!$C$10)+(Settings!$C$11*M256)</f>
        <v>-1.8172207899368535</v>
      </c>
      <c r="D256" s="56">
        <f>IF(Settings!$E$12="YES",VLOOKUP(A256,'Player Data'!A1:E667,5,FALSE),82)</f>
        <v>77.012500000000003</v>
      </c>
      <c r="E256" s="54">
        <f>(VLOOKUP($A256,'The List'!$B1:$AH665,17,FALSE)-AVERAGE('The List'!R2:R665))/STDEV('The List'!R2:R665)</f>
        <v>-0.43187875248909907</v>
      </c>
      <c r="F256" s="54">
        <f>(VLOOKUP($A256,'The List'!$B1:$AH665,18,FALSE)-AVERAGE('The List'!S2:S665))/STDEV('The List'!S2:S665)</f>
        <v>7.0724296962565811E-2</v>
      </c>
      <c r="G256" s="54">
        <f>(VLOOKUP($A256,'The List'!$B1:$AH665,19,FALSE)-AVERAGE('The List'!T2:T665))/STDEV('The List'!T2:T665)</f>
        <v>-0.15011876033690663</v>
      </c>
      <c r="H256" s="54">
        <f>(VLOOKUP($A256,'The List'!$B1:$AH665,20,FALSE)-AVERAGE('The List'!U2:U665))/STDEV('The List'!U2:U665)</f>
        <v>-6.1084636298819717E-2</v>
      </c>
      <c r="I256" s="54">
        <f>(VLOOKUP($A256,'The List'!$B1:$AH665,21,FALSE)-AVERAGE('The List'!V2:V665))/STDEV('The List'!V2:V665)</f>
        <v>-0.33747518398475373</v>
      </c>
      <c r="J256" s="54">
        <f>(VLOOKUP($A256,'The List'!$B1:$AH665,22,FALSE)-AVERAGE('The List'!W2:W665))/STDEV('The List'!W2:W665)</f>
        <v>-0.68700471742475888</v>
      </c>
      <c r="K256" s="54">
        <f>(VLOOKUP($A256,'The List'!$B1:$AH665,23,FALSE)-AVERAGE('The List'!X2:X665))/STDEV('The List'!X2:X665)</f>
        <v>-0.75528779375052713</v>
      </c>
      <c r="L256" s="54">
        <f>(VLOOKUP($A256,'The List'!$B1:$AH665,24,FALSE)-AVERAGE('The List'!Y2:Y665))/STDEV('The List'!Y2:Y665)</f>
        <v>-0.30566924647902755</v>
      </c>
      <c r="M256" s="54">
        <f>(VLOOKUP($A256,'The List'!$B1:$AH665,25,FALSE)-AVERAGE('The List'!Z2:Z665))/STDEV('The List'!Z2:Z665)</f>
        <v>0.75711349261052507</v>
      </c>
      <c r="N256" s="54">
        <f>(VLOOKUP($A256,'The List'!$B1:$AH665,26,FALSE)-AVERAGE('The List'!AA2:AA665))/STDEV('The List'!AA2:AA665)</f>
        <v>0.12321951611862483</v>
      </c>
      <c r="O256" s="54">
        <f>(VLOOKUP($A256,'The List'!$B1:$AH665,27,FALSE)-AVERAGE('The List'!AB2:AB665))/STDEV('The List'!AB2:AB665)</f>
        <v>0.80206898549753214</v>
      </c>
      <c r="P256" s="54">
        <f>(VLOOKUP($A256,'The List'!$B1:$AH665,28,FALSE)-AVERAGE('The List'!AC2:AC665))/STDEV('The List'!AC2:AC665)</f>
        <v>-0.76828286494585685</v>
      </c>
      <c r="Q256" s="54">
        <f>(VLOOKUP($A256,'The List'!$B1:$AH665,29,FALSE)-AVERAGE('The List'!AD2:AD665))/STDEV('The List'!AD2:AD665)</f>
        <v>1.0273427686946872</v>
      </c>
      <c r="R256" s="54">
        <f>(VLOOKUP($A256,'The List'!$B1:$AH665,30,FALSE)-AVERAGE('The List'!AE2:AE665))/STDEV('The List'!AE2:AE665)</f>
        <v>-3.7125076996486588E-2</v>
      </c>
      <c r="S256" s="54">
        <f>(VLOOKUP($A256,'The List'!$B1:$AH665,31,FALSE)-AVERAGE('The List'!AF2:AF665))/STDEV('The List'!AF2:AF665)</f>
        <v>9.782888193354812E-2</v>
      </c>
      <c r="T256" s="54">
        <f>(VLOOKUP($A256,'The List'!$B1:$AH665,32,FALSE)-AVERAGE('The List'!AG2:AG665))/STDEV('The List'!AG2:AG665)</f>
        <v>0.10188060170094314</v>
      </c>
      <c r="U256" s="54">
        <f>(VLOOKUP($A256,'The List'!$B1:$AH665,33,FALSE)-AVERAGE('The List'!AH2:AH665))/STDEV('The List'!AH2:AH665)</f>
        <v>1.0143852921291074</v>
      </c>
      <c r="V256" s="54"/>
      <c r="W256" s="64"/>
      <c r="X256" s="56"/>
      <c r="Y256" s="56"/>
      <c r="Z256" s="56"/>
      <c r="AA256" s="56"/>
      <c r="AB256" s="56"/>
      <c r="AC256" s="59"/>
      <c r="AD256" s="60"/>
      <c r="AE256" s="54"/>
    </row>
    <row r="257" spans="1:31" ht="21.25" customHeight="1" x14ac:dyDescent="0.15">
      <c r="A257" s="9" t="s">
        <v>523</v>
      </c>
      <c r="B257" s="65" t="str">
        <f>VLOOKUP(A257,'Player Data'!A1:B667,2,FALSE)</f>
        <v>PIT</v>
      </c>
      <c r="C257" s="51">
        <f>((E257)*Settings!$C$12)+(F257*Settings!$C$2)+(G257*Settings!$C$3)+(H257*Settings!$C$4)+(I257*Settings!$C$5)+(K257*Settings!$C$9)+(N257*Settings!$C$6)+(J257*Settings!$C$8)+(O257*Settings!$C$7)+(P257*Settings!$C$14)+(Q257*Settings!$C$15)+(R257*Settings!$C$16)+(S257*Settings!$C$17)+(T257*Settings!$C$18)+(U257*Settings!$C$19)+(L257*Settings!$C$10)+(Settings!$C$11*M257)</f>
        <v>-1.4795595547710969</v>
      </c>
      <c r="D257" s="56">
        <f>IF(Settings!$E$12="YES",VLOOKUP(A257,'Player Data'!A1:E667,5,FALSE),82)</f>
        <v>70.547499999999999</v>
      </c>
      <c r="E257" s="54">
        <f>(VLOOKUP($A257,'The List'!$B1:$AH665,17,FALSE)-AVERAGE('The List'!R2:R665))/STDEV('The List'!R2:R665)</f>
        <v>-0.40276338195472255</v>
      </c>
      <c r="F257" s="54">
        <f>(VLOOKUP($A257,'The List'!$B1:$AH665,18,FALSE)-AVERAGE('The List'!S2:S665))/STDEV('The List'!S2:S665)</f>
        <v>0.15918323555352731</v>
      </c>
      <c r="G257" s="54">
        <f>(VLOOKUP($A257,'The List'!$B1:$AH665,19,FALSE)-AVERAGE('The List'!T2:T665))/STDEV('The List'!T2:T665)</f>
        <v>-0.43389115805802808</v>
      </c>
      <c r="H257" s="54">
        <f>(VLOOKUP($A257,'The List'!$B1:$AH665,20,FALSE)-AVERAGE('The List'!U2:U665))/STDEV('The List'!U2:U665)</f>
        <v>-0.19711445888991275</v>
      </c>
      <c r="I257" s="54">
        <f>(VLOOKUP($A257,'The List'!$B1:$AH665,21,FALSE)-AVERAGE('The List'!V2:V665))/STDEV('The List'!V2:V665)</f>
        <v>7.515854897449703E-2</v>
      </c>
      <c r="J257" s="54">
        <f>(VLOOKUP($A257,'The List'!$B1:$AH665,22,FALSE)-AVERAGE('The List'!W2:W665))/STDEV('The List'!W2:W665)</f>
        <v>-0.72877192791483736</v>
      </c>
      <c r="K257" s="54">
        <f>(VLOOKUP($A257,'The List'!$B1:$AH665,23,FALSE)-AVERAGE('The List'!X2:X665))/STDEV('The List'!X2:X665)</f>
        <v>-0.81429090786119751</v>
      </c>
      <c r="L257" s="54">
        <f>(VLOOKUP($A257,'The List'!$B1:$AH665,24,FALSE)-AVERAGE('The List'!Y2:Y665))/STDEV('The List'!Y2:Y665)</f>
        <v>1.2284219542315047</v>
      </c>
      <c r="M257" s="54">
        <f>(VLOOKUP($A257,'The List'!$B1:$AH665,25,FALSE)-AVERAGE('The List'!Z2:Z665))/STDEV('The List'!Z2:Z665)</f>
        <v>1.4153953867558178</v>
      </c>
      <c r="N257" s="54">
        <f>(VLOOKUP($A257,'The List'!$B1:$AH665,26,FALSE)-AVERAGE('The List'!AA2:AA665))/STDEV('The List'!AA2:AA665)</f>
        <v>-0.39852265168055384</v>
      </c>
      <c r="O257" s="54">
        <f>(VLOOKUP($A257,'The List'!$B1:$AH665,27,FALSE)-AVERAGE('The List'!AB2:AB665))/STDEV('The List'!AB2:AB665)</f>
        <v>-0.66747454448784049</v>
      </c>
      <c r="P257" s="54">
        <f>(VLOOKUP($A257,'The List'!$B1:$AH665,28,FALSE)-AVERAGE('The List'!AC2:AC665))/STDEV('The List'!AC2:AC665)</f>
        <v>-6.7196621699341735E-2</v>
      </c>
      <c r="Q257" s="54">
        <f>(VLOOKUP($A257,'The List'!$B1:$AH665,29,FALSE)-AVERAGE('The List'!AD2:AD665))/STDEV('The List'!AD2:AD665)</f>
        <v>-0.75975998905982012</v>
      </c>
      <c r="R257" s="54">
        <f>(VLOOKUP($A257,'The List'!$B1:$AH665,30,FALSE)-AVERAGE('The List'!AE2:AE665))/STDEV('The List'!AE2:AE665)</f>
        <v>0.14528804925508818</v>
      </c>
      <c r="S257" s="54">
        <f>(VLOOKUP($A257,'The List'!$B1:$AH665,31,FALSE)-AVERAGE('The List'!AF2:AF665))/STDEV('The List'!AF2:AF665)</f>
        <v>-0.46372964612060674</v>
      </c>
      <c r="T257" s="54">
        <f>(VLOOKUP($A257,'The List'!$B1:$AH665,32,FALSE)-AVERAGE('The List'!AG2:AG665))/STDEV('The List'!AG2:AG665)</f>
        <v>-0.48621457061347623</v>
      </c>
      <c r="U257" s="54">
        <f>(VLOOKUP($A257,'The List'!$B1:$AH665,33,FALSE)-AVERAGE('The List'!AH2:AH665))/STDEV('The List'!AH2:AH665)</f>
        <v>0.83751477540783226</v>
      </c>
      <c r="V257" s="54"/>
      <c r="W257" s="64"/>
      <c r="X257" s="56"/>
      <c r="Y257" s="56"/>
      <c r="Z257" s="56"/>
      <c r="AA257" s="56"/>
      <c r="AB257" s="56"/>
      <c r="AC257" s="59"/>
      <c r="AD257" s="60"/>
      <c r="AE257" s="54"/>
    </row>
    <row r="258" spans="1:31" ht="21.25" customHeight="1" x14ac:dyDescent="0.15">
      <c r="A258" s="9" t="s">
        <v>628</v>
      </c>
      <c r="B258" s="65" t="str">
        <f>VLOOKUP(A258,'Player Data'!A1:B667,2,FALSE)</f>
        <v>NSH</v>
      </c>
      <c r="C258" s="51">
        <f>((E258)*Settings!$C$12)+(F258*Settings!$C$2)+(G258*Settings!$C$3)+(H258*Settings!$C$4)+(I258*Settings!$C$5)+(K258*Settings!$C$9)+(N258*Settings!$C$6)+(J258*Settings!$C$8)+(O258*Settings!$C$7)+(P258*Settings!$C$14)+(Q258*Settings!$C$15)+(R258*Settings!$C$16)+(S258*Settings!$C$17)+(T258*Settings!$C$18)+(U258*Settings!$C$19)+(L258*Settings!$C$10)+(Settings!$C$11*M258)</f>
        <v>-2.0637762652566511</v>
      </c>
      <c r="D258" s="56">
        <f>IF(Settings!$E$12="YES",VLOOKUP(A258,'Player Data'!A1:E667,5,FALSE),82)</f>
        <v>67.14</v>
      </c>
      <c r="E258" s="54">
        <f>(VLOOKUP($A258,'The List'!$B1:$AH665,17,FALSE)-AVERAGE('The List'!R2:R665))/STDEV('The List'!R2:R665)</f>
        <v>-1.0453721501596791</v>
      </c>
      <c r="F258" s="54">
        <f>(VLOOKUP($A258,'The List'!$B1:$AH665,18,FALSE)-AVERAGE('The List'!S2:S665))/STDEV('The List'!S2:S665)</f>
        <v>-0.27418174428508613</v>
      </c>
      <c r="G258" s="54">
        <f>(VLOOKUP($A258,'The List'!$B1:$AH665,19,FALSE)-AVERAGE('The List'!T2:T665))/STDEV('The List'!T2:T665)</f>
        <v>-0.23211560119966129</v>
      </c>
      <c r="H258" s="54">
        <f>(VLOOKUP($A258,'The List'!$B1:$AH665,20,FALSE)-AVERAGE('The List'!U2:U665))/STDEV('The List'!U2:U665)</f>
        <v>-0.26878547544951192</v>
      </c>
      <c r="I258" s="54">
        <f>(VLOOKUP($A258,'The List'!$B1:$AH665,21,FALSE)-AVERAGE('The List'!V2:V665))/STDEV('The List'!V2:V665)</f>
        <v>-0.42461392086806166</v>
      </c>
      <c r="J258" s="54">
        <f>(VLOOKUP($A258,'The List'!$B1:$AH665,22,FALSE)-AVERAGE('The List'!W2:W665))/STDEV('The List'!W2:W665)</f>
        <v>-0.40854039521023877</v>
      </c>
      <c r="K258" s="54">
        <f>(VLOOKUP($A258,'The List'!$B1:$AH665,23,FALSE)-AVERAGE('The List'!X2:X665))/STDEV('The List'!X2:X665)</f>
        <v>-0.45906225821184599</v>
      </c>
      <c r="L258" s="54">
        <f>(VLOOKUP($A258,'The List'!$B1:$AH665,24,FALSE)-AVERAGE('The List'!Y2:Y665))/STDEV('The List'!Y2:Y665)</f>
        <v>-0.57971157850354815</v>
      </c>
      <c r="M258" s="54">
        <f>(VLOOKUP($A258,'The List'!$B1:$AH665,25,FALSE)-AVERAGE('The List'!Z2:Z665))/STDEV('The List'!Z2:Z665)</f>
        <v>-0.75356167366243021</v>
      </c>
      <c r="N258" s="54">
        <f>(VLOOKUP($A258,'The List'!$B1:$AH665,26,FALSE)-AVERAGE('The List'!AA2:AA665))/STDEV('The List'!AA2:AA665)</f>
        <v>-0.80559857949172908</v>
      </c>
      <c r="O258" s="54">
        <f>(VLOOKUP($A258,'The List'!$B1:$AH665,27,FALSE)-AVERAGE('The List'!AB2:AB665))/STDEV('The List'!AB2:AB665)</f>
        <v>-1.0172809841202506</v>
      </c>
      <c r="P258" s="54">
        <f>(VLOOKUP($A258,'The List'!$B1:$AH665,28,FALSE)-AVERAGE('The List'!AC2:AC665))/STDEV('The List'!AC2:AC665)</f>
        <v>0.13179583879973306</v>
      </c>
      <c r="Q258" s="54">
        <f>(VLOOKUP($A258,'The List'!$B1:$AH665,29,FALSE)-AVERAGE('The List'!AD2:AD665))/STDEV('The List'!AD2:AD665)</f>
        <v>-1.1756460364582144</v>
      </c>
      <c r="R258" s="54">
        <f>(VLOOKUP($A258,'The List'!$B1:$AH665,30,FALSE)-AVERAGE('The List'!AE2:AE665))/STDEV('The List'!AE2:AE665)</f>
        <v>-0.31228315074572249</v>
      </c>
      <c r="S258" s="54">
        <f>(VLOOKUP($A258,'The List'!$B1:$AH665,31,FALSE)-AVERAGE('The List'!AF2:AF665))/STDEV('The List'!AF2:AF665)</f>
        <v>-0.51054315187398136</v>
      </c>
      <c r="T258" s="54">
        <f>(VLOOKUP($A258,'The List'!$B1:$AH665,32,FALSE)-AVERAGE('The List'!AG2:AG665))/STDEV('The List'!AG2:AG665)</f>
        <v>-0.50194341053734615</v>
      </c>
      <c r="U258" s="54">
        <f>(VLOOKUP($A258,'The List'!$B1:$AH665,33,FALSE)-AVERAGE('The List'!AH2:AH665))/STDEV('The List'!AH2:AH665)</f>
        <v>0.36602927572629212</v>
      </c>
      <c r="V258" s="54"/>
      <c r="W258" s="56"/>
      <c r="X258" s="54"/>
      <c r="Y258" s="54"/>
      <c r="Z258" s="54"/>
      <c r="AA258" s="54"/>
      <c r="AB258" s="54"/>
      <c r="AC258" s="54"/>
      <c r="AD258" s="54"/>
      <c r="AE258" s="54"/>
    </row>
    <row r="259" spans="1:31" ht="21.25" customHeight="1" x14ac:dyDescent="0.15">
      <c r="A259" s="9" t="s">
        <v>491</v>
      </c>
      <c r="B259" s="65" t="str">
        <f>VLOOKUP(A259,'Player Data'!A1:B667,2,FALSE)</f>
        <v>VGK</v>
      </c>
      <c r="C259" s="51">
        <f>((E259)*Settings!$C$12)+(F259*Settings!$C$2)+(G259*Settings!$C$3)+(H259*Settings!$C$4)+(I259*Settings!$C$5)+(K259*Settings!$C$9)+(N259*Settings!$C$6)+(J259*Settings!$C$8)+(O259*Settings!$C$7)+(P259*Settings!$C$14)+(Q259*Settings!$C$15)+(R259*Settings!$C$16)+(S259*Settings!$C$17)+(T259*Settings!$C$18)+(U259*Settings!$C$19)+(L259*Settings!$C$10)+(Settings!$C$11*M259)</f>
        <v>-0.91305216269585288</v>
      </c>
      <c r="D259" s="56">
        <f>IF(Settings!$E$12="YES",VLOOKUP(A259,'Player Data'!A1:E667,5,FALSE),82)</f>
        <v>77.162499999999994</v>
      </c>
      <c r="E259" s="54">
        <f>(VLOOKUP($A259,'The List'!$B1:$AH665,17,FALSE)-AVERAGE('The List'!R2:R665))/STDEV('The List'!R2:R665)</f>
        <v>-0.61256141827681621</v>
      </c>
      <c r="F259" s="54">
        <f>(VLOOKUP($A259,'The List'!$B1:$AH665,18,FALSE)-AVERAGE('The List'!S2:S665))/STDEV('The List'!S2:S665)</f>
        <v>-1.2505490003364515E-2</v>
      </c>
      <c r="G259" s="54">
        <f>(VLOOKUP($A259,'The List'!$B1:$AH665,19,FALSE)-AVERAGE('The List'!T2:T665))/STDEV('The List'!T2:T665)</f>
        <v>-9.5050956827303038E-2</v>
      </c>
      <c r="H259" s="54">
        <f>(VLOOKUP($A259,'The List'!$B1:$AH665,20,FALSE)-AVERAGE('The List'!U2:U665))/STDEV('The List'!U2:U665)</f>
        <v>-6.4716328365977377E-2</v>
      </c>
      <c r="I259" s="54">
        <f>(VLOOKUP($A259,'The List'!$B1:$AH665,21,FALSE)-AVERAGE('The List'!V2:V665))/STDEV('The List'!V2:V665)</f>
        <v>-0.28688005078628753</v>
      </c>
      <c r="J259" s="54">
        <f>(VLOOKUP($A259,'The List'!$B1:$AH665,22,FALSE)-AVERAGE('The List'!W2:W665))/STDEV('The List'!W2:W665)</f>
        <v>-0.42172427425001952</v>
      </c>
      <c r="K259" s="54">
        <f>(VLOOKUP($A259,'The List'!$B1:$AH665,23,FALSE)-AVERAGE('The List'!X2:X665))/STDEV('The List'!X2:X665)</f>
        <v>-0.41990412228044216</v>
      </c>
      <c r="L259" s="54">
        <f>(VLOOKUP($A259,'The List'!$B1:$AH665,24,FALSE)-AVERAGE('The List'!Y2:Y665))/STDEV('The List'!Y2:Y665)</f>
        <v>0.378863951945415</v>
      </c>
      <c r="M259" s="54">
        <f>(VLOOKUP($A259,'The List'!$B1:$AH665,25,FALSE)-AVERAGE('The List'!Z2:Z665))/STDEV('The List'!Z2:Z665)</f>
        <v>0.34901218447654708</v>
      </c>
      <c r="N259" s="54">
        <f>(VLOOKUP($A259,'The List'!$B1:$AH665,26,FALSE)-AVERAGE('The List'!AA2:AA665))/STDEV('The List'!AA2:AA665)</f>
        <v>-0.61540212860757171</v>
      </c>
      <c r="O259" s="54">
        <f>(VLOOKUP($A259,'The List'!$B1:$AH665,27,FALSE)-AVERAGE('The List'!AB2:AB665))/STDEV('The List'!AB2:AB665)</f>
        <v>-0.15795354217085247</v>
      </c>
      <c r="P259" s="54">
        <f>(VLOOKUP($A259,'The List'!$B1:$AH665,28,FALSE)-AVERAGE('The List'!AC2:AC665))/STDEV('The List'!AC2:AC665)</f>
        <v>0.51669058580911609</v>
      </c>
      <c r="Q259" s="54">
        <f>(VLOOKUP($A259,'The List'!$B1:$AH665,29,FALSE)-AVERAGE('The List'!AD2:AD665))/STDEV('The List'!AD2:AD665)</f>
        <v>-6.2267492285586062E-2</v>
      </c>
      <c r="R259" s="54">
        <f>(VLOOKUP($A259,'The List'!$B1:$AH665,30,FALSE)-AVERAGE('The List'!AE2:AE665))/STDEV('The List'!AE2:AE665)</f>
        <v>1.4635969906089809E-2</v>
      </c>
      <c r="S259" s="54">
        <f>(VLOOKUP($A259,'The List'!$B1:$AH665,31,FALSE)-AVERAGE('The List'!AF2:AF665))/STDEV('The List'!AF2:AF665)</f>
        <v>1.2869517409385232</v>
      </c>
      <c r="T259" s="54">
        <f>(VLOOKUP($A259,'The List'!$B1:$AH665,32,FALSE)-AVERAGE('The List'!AG2:AG665))/STDEV('The List'!AG2:AG665)</f>
        <v>1.5401653365567294</v>
      </c>
      <c r="U259" s="54">
        <f>(VLOOKUP($A259,'The List'!$B1:$AH665,33,FALSE)-AVERAGE('The List'!AH2:AH665))/STDEV('The List'!AH2:AH665)</f>
        <v>0.9330335107640757</v>
      </c>
      <c r="V259" s="54"/>
      <c r="W259" s="64"/>
      <c r="X259" s="56"/>
      <c r="Y259" s="56"/>
      <c r="Z259" s="56"/>
      <c r="AA259" s="56"/>
      <c r="AB259" s="56"/>
      <c r="AC259" s="59"/>
      <c r="AD259" s="60"/>
      <c r="AE259" s="54"/>
    </row>
    <row r="260" spans="1:31" ht="21.25" customHeight="1" x14ac:dyDescent="0.15">
      <c r="A260" s="9" t="s">
        <v>407</v>
      </c>
      <c r="B260" s="65" t="str">
        <f>VLOOKUP(A260,'Player Data'!A1:B667,2,FALSE)</f>
        <v>S.J</v>
      </c>
      <c r="C260" s="51">
        <f>((E260)*Settings!$C$12)+(F260*Settings!$C$2)+(G260*Settings!$C$3)+(H260*Settings!$C$4)+(I260*Settings!$C$5)+(K260*Settings!$C$9)+(N260*Settings!$C$6)+(J260*Settings!$C$8)+(O260*Settings!$C$7)+(P260*Settings!$C$14)+(Q260*Settings!$C$15)+(R260*Settings!$C$16)+(S260*Settings!$C$17)+(T260*Settings!$C$18)+(U260*Settings!$C$19)+(L260*Settings!$C$10)+(Settings!$C$11*M260)</f>
        <v>-2.0777636278457345</v>
      </c>
      <c r="D260" s="56">
        <f>IF(Settings!$E$12="YES",VLOOKUP(A260,'Player Data'!A1:E667,5,FALSE),82)</f>
        <v>76.767499999999998</v>
      </c>
      <c r="E260" s="54">
        <f>(VLOOKUP($A260,'The List'!$B1:$AH665,17,FALSE)-AVERAGE('The List'!R2:R665))/STDEV('The List'!R2:R665)</f>
        <v>-0.21287104588756295</v>
      </c>
      <c r="F260" s="54">
        <f>(VLOOKUP($A260,'The List'!$B1:$AH665,18,FALSE)-AVERAGE('The List'!S2:S665))/STDEV('The List'!S2:S665)</f>
        <v>0.20660825937729335</v>
      </c>
      <c r="G260" s="54">
        <f>(VLOOKUP($A260,'The List'!$B1:$AH665,19,FALSE)-AVERAGE('The List'!T2:T665))/STDEV('The List'!T2:T665)</f>
        <v>-0.27254751763265334</v>
      </c>
      <c r="H260" s="54">
        <f>(VLOOKUP($A260,'The List'!$B1:$AH665,20,FALSE)-AVERAGE('The List'!U2:U665))/STDEV('The List'!U2:U665)</f>
        <v>-7.5354058516905867E-2</v>
      </c>
      <c r="I260" s="54">
        <f>(VLOOKUP($A260,'The List'!$B1:$AH665,21,FALSE)-AVERAGE('The List'!V2:V665))/STDEV('The List'!V2:V665)</f>
        <v>0.52058234747772392</v>
      </c>
      <c r="J260" s="54">
        <f>(VLOOKUP($A260,'The List'!$B1:$AH665,22,FALSE)-AVERAGE('The List'!W2:W665))/STDEV('The List'!W2:W665)</f>
        <v>0.31465839755135638</v>
      </c>
      <c r="K260" s="54">
        <f>(VLOOKUP($A260,'The List'!$B1:$AH665,23,FALSE)-AVERAGE('The List'!X2:X665))/STDEV('The List'!X2:X665)</f>
        <v>0.2446555289940153</v>
      </c>
      <c r="L260" s="54">
        <f>(VLOOKUP($A260,'The List'!$B1:$AH665,24,FALSE)-AVERAGE('The List'!Y2:Y665))/STDEV('The List'!Y2:Y665)</f>
        <v>-0.11975936299273113</v>
      </c>
      <c r="M260" s="54">
        <f>(VLOOKUP($A260,'The List'!$B1:$AH665,25,FALSE)-AVERAGE('The List'!Z2:Z665))/STDEV('The List'!Z2:Z665)</f>
        <v>-0.43718974402179511</v>
      </c>
      <c r="N260" s="54">
        <f>(VLOOKUP($A260,'The List'!$B1:$AH665,26,FALSE)-AVERAGE('The List'!AA2:AA665))/STDEV('The List'!AA2:AA665)</f>
        <v>-0.37602155159658085</v>
      </c>
      <c r="O260" s="54">
        <f>(VLOOKUP($A260,'The List'!$B1:$AH665,27,FALSE)-AVERAGE('The List'!AB2:AB665))/STDEV('The List'!AB2:AB665)</f>
        <v>-0.13331225728031554</v>
      </c>
      <c r="P260" s="54">
        <f>(VLOOKUP($A260,'The List'!$B1:$AH665,28,FALSE)-AVERAGE('The List'!AC2:AC665))/STDEV('The List'!AC2:AC665)</f>
        <v>-2.4010406944655331</v>
      </c>
      <c r="Q260" s="54">
        <f>(VLOOKUP($A260,'The List'!$B1:$AH665,29,FALSE)-AVERAGE('The List'!AD2:AD665))/STDEV('The List'!AD2:AD665)</f>
        <v>-0.50957704969238238</v>
      </c>
      <c r="R260" s="54">
        <f>(VLOOKUP($A260,'The List'!$B1:$AH665,30,FALSE)-AVERAGE('The List'!AE2:AE665))/STDEV('The List'!AE2:AE665)</f>
        <v>-0.2191512827708986</v>
      </c>
      <c r="S260" s="54">
        <f>(VLOOKUP($A260,'The List'!$B1:$AH665,31,FALSE)-AVERAGE('The List'!AF2:AF665))/STDEV('The List'!AF2:AF665)</f>
        <v>-0.46268840813406276</v>
      </c>
      <c r="T260" s="54">
        <f>(VLOOKUP($A260,'The List'!$B1:$AH665,32,FALSE)-AVERAGE('The List'!AG2:AG665))/STDEV('The List'!AG2:AG665)</f>
        <v>-0.42458926335678432</v>
      </c>
      <c r="U260" s="54">
        <f>(VLOOKUP($A260,'The List'!$B1:$AH665,33,FALSE)-AVERAGE('The List'!AH2:AH665))/STDEV('The List'!AH2:AH665)</f>
        <v>0.44695375992945269</v>
      </c>
      <c r="V260" s="54"/>
      <c r="W260" s="56"/>
      <c r="X260" s="54"/>
      <c r="Y260" s="54"/>
      <c r="Z260" s="54"/>
      <c r="AA260" s="54"/>
      <c r="AB260" s="54"/>
      <c r="AC260" s="54"/>
      <c r="AD260" s="54"/>
      <c r="AE260" s="54"/>
    </row>
    <row r="261" spans="1:31" ht="21.25" customHeight="1" x14ac:dyDescent="0.15">
      <c r="A261" s="9" t="s">
        <v>311</v>
      </c>
      <c r="B261" s="65" t="str">
        <f>VLOOKUP(A261,'Player Data'!A1:B667,2,FALSE)</f>
        <v>BUF</v>
      </c>
      <c r="C261" s="51">
        <f>((E261)*Settings!$C$12)+(F261*Settings!$C$2)+(G261*Settings!$C$3)+(H261*Settings!$C$4)+(I261*Settings!$C$5)+(K261*Settings!$C$9)+(N261*Settings!$C$6)+(J261*Settings!$C$8)+(O261*Settings!$C$7)+(P261*Settings!$C$14)+(Q261*Settings!$C$15)+(R261*Settings!$C$16)+(S261*Settings!$C$17)+(T261*Settings!$C$18)+(U261*Settings!$C$19)+(L261*Settings!$C$10)+(Settings!$C$11*M261)</f>
        <v>0.49006845000347615</v>
      </c>
      <c r="D261" s="56">
        <f>IF(Settings!$E$12="YES",VLOOKUP(A261,'Player Data'!A1:E667,5,FALSE),82)</f>
        <v>80.152500000000003</v>
      </c>
      <c r="E261" s="54">
        <f>(VLOOKUP($A261,'The List'!$B1:$AH665,17,FALSE)-AVERAGE('The List'!R2:R665))/STDEV('The List'!R2:R665)</f>
        <v>1.5773295061508565</v>
      </c>
      <c r="F261" s="54">
        <f>(VLOOKUP($A261,'The List'!$B1:$AH665,18,FALSE)-AVERAGE('The List'!S2:S665))/STDEV('The List'!S2:S665)</f>
        <v>-0.68497823633061528</v>
      </c>
      <c r="G261" s="54">
        <f>(VLOOKUP($A261,'The List'!$B1:$AH665,19,FALSE)-AVERAGE('The List'!T2:T665))/STDEV('The List'!T2:T665)</f>
        <v>0.48550893678593432</v>
      </c>
      <c r="H261" s="54">
        <f>(VLOOKUP($A261,'The List'!$B1:$AH665,20,FALSE)-AVERAGE('The List'!U2:U665))/STDEV('The List'!U2:U665)</f>
        <v>-9.8268190454735335E-3</v>
      </c>
      <c r="I261" s="54">
        <f>(VLOOKUP($A261,'The List'!$B1:$AH665,21,FALSE)-AVERAGE('The List'!V2:V665))/STDEV('The List'!V2:V665)</f>
        <v>-0.21754833530214068</v>
      </c>
      <c r="J261" s="54">
        <f>(VLOOKUP($A261,'The List'!$B1:$AH665,22,FALSE)-AVERAGE('The List'!W2:W665))/STDEV('The List'!W2:W665)</f>
        <v>-0.68802389319756385</v>
      </c>
      <c r="K261" s="54">
        <f>(VLOOKUP($A261,'The List'!$B1:$AH665,23,FALSE)-AVERAGE('The List'!X2:X665))/STDEV('The List'!X2:X665)</f>
        <v>-0.14681525760817057</v>
      </c>
      <c r="L261" s="54">
        <f>(VLOOKUP($A261,'The List'!$B1:$AH665,24,FALSE)-AVERAGE('The List'!Y2:Y665))/STDEV('The List'!Y2:Y665)</f>
        <v>-0.50721256600829934</v>
      </c>
      <c r="M261" s="54">
        <f>(VLOOKUP($A261,'The List'!$B1:$AH665,25,FALSE)-AVERAGE('The List'!Z2:Z665))/STDEV('The List'!Z2:Z665)</f>
        <v>0.37888026870806685</v>
      </c>
      <c r="N261" s="54">
        <f>(VLOOKUP($A261,'The List'!$B1:$AH665,26,FALSE)-AVERAGE('The List'!AA2:AA665))/STDEV('The List'!AA2:AA665)</f>
        <v>1.1331682641278737</v>
      </c>
      <c r="O261" s="54">
        <f>(VLOOKUP($A261,'The List'!$B1:$AH665,27,FALSE)-AVERAGE('The List'!AB2:AB665))/STDEV('The List'!AB2:AB665)</f>
        <v>-0.78173492448354176</v>
      </c>
      <c r="P261" s="54">
        <f>(VLOOKUP($A261,'The List'!$B1:$AH665,28,FALSE)-AVERAGE('The List'!AC2:AC665))/STDEV('The List'!AC2:AC665)</f>
        <v>-7.9266921669405355E-2</v>
      </c>
      <c r="Q261" s="54">
        <f>(VLOOKUP($A261,'The List'!$B1:$AH665,29,FALSE)-AVERAGE('The List'!AD2:AD665))/STDEV('The List'!AD2:AD665)</f>
        <v>-0.46807782114354113</v>
      </c>
      <c r="R261" s="54">
        <f>(VLOOKUP($A261,'The List'!$B1:$AH665,30,FALSE)-AVERAGE('The List'!AE2:AE665))/STDEV('The List'!AE2:AE665)</f>
        <v>-0.68620293329054882</v>
      </c>
      <c r="S261" s="54">
        <f>(VLOOKUP($A261,'The List'!$B1:$AH665,31,FALSE)-AVERAGE('The List'!AF2:AF665))/STDEV('The List'!AF2:AF665)</f>
        <v>-0.57389441068000469</v>
      </c>
      <c r="T261" s="54">
        <f>(VLOOKUP($A261,'The List'!$B1:$AH665,32,FALSE)-AVERAGE('The List'!AG2:AG665))/STDEV('The List'!AG2:AG665)</f>
        <v>-0.62577078713265111</v>
      </c>
      <c r="U261" s="54">
        <f>(VLOOKUP($A261,'The List'!$B1:$AH665,33,FALSE)-AVERAGE('The List'!AH2:AH665))/STDEV('The List'!AH2:AH665)</f>
        <v>-1.2314350945148611</v>
      </c>
      <c r="V261" s="54"/>
      <c r="W261" s="56"/>
      <c r="X261" s="54"/>
      <c r="Y261" s="54"/>
      <c r="Z261" s="54"/>
      <c r="AA261" s="54"/>
      <c r="AB261" s="54"/>
      <c r="AC261" s="54"/>
      <c r="AD261" s="54"/>
      <c r="AE261" s="54"/>
    </row>
    <row r="262" spans="1:31" ht="21.25" customHeight="1" x14ac:dyDescent="0.15">
      <c r="A262" s="9" t="s">
        <v>393</v>
      </c>
      <c r="B262" s="65" t="str">
        <f>VLOOKUP(A262,'Player Data'!A1:B667,2,FALSE)</f>
        <v>CGY</v>
      </c>
      <c r="C262" s="51">
        <f>((E262)*Settings!$C$12)+(F262*Settings!$C$2)+(G262*Settings!$C$3)+(H262*Settings!$C$4)+(I262*Settings!$C$5)+(K262*Settings!$C$9)+(N262*Settings!$C$6)+(J262*Settings!$C$8)+(O262*Settings!$C$7)+(P262*Settings!$C$14)+(Q262*Settings!$C$15)+(R262*Settings!$C$16)+(S262*Settings!$C$17)+(T262*Settings!$C$18)+(U262*Settings!$C$19)+(L262*Settings!$C$10)+(Settings!$C$11*M262)</f>
        <v>-0.31226850788420274</v>
      </c>
      <c r="D262" s="56">
        <f>IF(Settings!$E$12="YES",VLOOKUP(A262,'Player Data'!A1:E667,5,FALSE),82)</f>
        <v>82.03</v>
      </c>
      <c r="E262" s="54">
        <f>(VLOOKUP($A262,'The List'!$B1:$AH665,17,FALSE)-AVERAGE('The List'!R2:R665))/STDEV('The List'!R2:R665)</f>
        <v>0.40511435400957285</v>
      </c>
      <c r="F262" s="54">
        <f>(VLOOKUP($A262,'The List'!$B1:$AH665,18,FALSE)-AVERAGE('The List'!S2:S665))/STDEV('The List'!S2:S665)</f>
        <v>-8.0480631300514624E-2</v>
      </c>
      <c r="G262" s="54">
        <f>(VLOOKUP($A262,'The List'!$B1:$AH665,19,FALSE)-AVERAGE('The List'!T2:T665))/STDEV('The List'!T2:T665)</f>
        <v>9.6810531521700258E-2</v>
      </c>
      <c r="H262" s="54">
        <f>(VLOOKUP($A262,'The List'!$B1:$AH665,20,FALSE)-AVERAGE('The List'!U2:U665))/STDEV('The List'!U2:U665)</f>
        <v>2.3542511071016563E-2</v>
      </c>
      <c r="I262" s="54">
        <f>(VLOOKUP($A262,'The List'!$B1:$AH665,21,FALSE)-AVERAGE('The List'!V2:V665))/STDEV('The List'!V2:V665)</f>
        <v>1.2039603085595418</v>
      </c>
      <c r="J262" s="54">
        <f>(VLOOKUP($A262,'The List'!$B1:$AH665,22,FALSE)-AVERAGE('The List'!W2:W665))/STDEV('The List'!W2:W665)</f>
        <v>-0.25989943975032204</v>
      </c>
      <c r="K262" s="54">
        <f>(VLOOKUP($A262,'The List'!$B1:$AH665,23,FALSE)-AVERAGE('The List'!X2:X665))/STDEV('The List'!X2:X665)</f>
        <v>-0.33755252087277926</v>
      </c>
      <c r="L262" s="54">
        <f>(VLOOKUP($A262,'The List'!$B1:$AH665,24,FALSE)-AVERAGE('The List'!Y2:Y665))/STDEV('The List'!Y2:Y665)</f>
        <v>0.7313029872308362</v>
      </c>
      <c r="M262" s="54">
        <f>(VLOOKUP($A262,'The List'!$B1:$AH665,25,FALSE)-AVERAGE('The List'!Z2:Z665))/STDEV('The List'!Z2:Z665)</f>
        <v>1.483662886447388</v>
      </c>
      <c r="N262" s="54">
        <f>(VLOOKUP($A262,'The List'!$B1:$AH665,26,FALSE)-AVERAGE('The List'!AA2:AA665))/STDEV('The List'!AA2:AA665)</f>
        <v>-0.7410558374144931</v>
      </c>
      <c r="O262" s="54">
        <f>(VLOOKUP($A262,'The List'!$B1:$AH665,27,FALSE)-AVERAGE('The List'!AB2:AB665))/STDEV('The List'!AB2:AB665)</f>
        <v>-0.33784893982857678</v>
      </c>
      <c r="P262" s="54">
        <f>(VLOOKUP($A262,'The List'!$B1:$AH665,28,FALSE)-AVERAGE('The List'!AC2:AC665))/STDEV('The List'!AC2:AC665)</f>
        <v>-0.4539503583776579</v>
      </c>
      <c r="Q262" s="54">
        <f>(VLOOKUP($A262,'The List'!$B1:$AH665,29,FALSE)-AVERAGE('The List'!AD2:AD665))/STDEV('The List'!AD2:AD665)</f>
        <v>-0.11470535472328236</v>
      </c>
      <c r="R262" s="54">
        <f>(VLOOKUP($A262,'The List'!$B1:$AH665,30,FALSE)-AVERAGE('The List'!AE2:AE665))/STDEV('The List'!AE2:AE665)</f>
        <v>-0.10655609882971441</v>
      </c>
      <c r="S262" s="54">
        <f>(VLOOKUP($A262,'The List'!$B1:$AH665,31,FALSE)-AVERAGE('The List'!AF2:AF665))/STDEV('The List'!AF2:AF665)</f>
        <v>2.945462592122869</v>
      </c>
      <c r="T262" s="54">
        <f>(VLOOKUP($A262,'The List'!$B1:$AH665,32,FALSE)-AVERAGE('The List'!AG2:AG665))/STDEV('The List'!AG2:AG665)</f>
        <v>3.037566722269784</v>
      </c>
      <c r="U262" s="54">
        <f>(VLOOKUP($A262,'The List'!$B1:$AH665,33,FALSE)-AVERAGE('The List'!AH2:AH665))/STDEV('The List'!AH2:AH665)</f>
        <v>1.0595775262692373</v>
      </c>
      <c r="V262" s="54"/>
      <c r="W262" s="64"/>
      <c r="X262" s="56"/>
      <c r="Y262" s="56"/>
      <c r="Z262" s="56"/>
      <c r="AA262" s="56"/>
      <c r="AB262" s="56"/>
      <c r="AC262" s="59"/>
      <c r="AD262" s="60"/>
      <c r="AE262" s="54"/>
    </row>
    <row r="263" spans="1:31" ht="21.25" customHeight="1" x14ac:dyDescent="0.15">
      <c r="A263" s="9" t="s">
        <v>442</v>
      </c>
      <c r="B263" s="65" t="str">
        <f>VLOOKUP(A263,'Player Data'!A1:B667,2,FALSE)</f>
        <v>FLA</v>
      </c>
      <c r="C263" s="51">
        <f>((E263)*Settings!$C$12)+(F263*Settings!$C$2)+(G263*Settings!$C$3)+(H263*Settings!$C$4)+(I263*Settings!$C$5)+(K263*Settings!$C$9)+(N263*Settings!$C$6)+(J263*Settings!$C$8)+(O263*Settings!$C$7)+(P263*Settings!$C$14)+(Q263*Settings!$C$15)+(R263*Settings!$C$16)+(S263*Settings!$C$17)+(T263*Settings!$C$18)+(U263*Settings!$C$19)+(L263*Settings!$C$10)+(Settings!$C$11*M263)</f>
        <v>1.2803729544481706</v>
      </c>
      <c r="D263" s="56">
        <f>IF(Settings!$E$12="YES",VLOOKUP(A263,'Player Data'!A1:E667,5,FALSE),82)</f>
        <v>79.887500000000003</v>
      </c>
      <c r="E263" s="54">
        <f>(VLOOKUP($A263,'The List'!$B1:$AH665,17,FALSE)-AVERAGE('The List'!R2:R665))/STDEV('The List'!R2:R665)</f>
        <v>-0.54740168089209673</v>
      </c>
      <c r="F263" s="54">
        <f>(VLOOKUP($A263,'The List'!$B1:$AH665,18,FALSE)-AVERAGE('The List'!S2:S665))/STDEV('The List'!S2:S665)</f>
        <v>-5.0210236342341251E-2</v>
      </c>
      <c r="G263" s="54">
        <f>(VLOOKUP($A263,'The List'!$B1:$AH665,19,FALSE)-AVERAGE('The List'!T2:T665))/STDEV('The List'!T2:T665)</f>
        <v>2.5163196126450614E-5</v>
      </c>
      <c r="H263" s="54">
        <f>(VLOOKUP($A263,'The List'!$B1:$AH665,20,FALSE)-AVERAGE('The List'!U2:U665))/STDEV('The List'!U2:U665)</f>
        <v>-2.2807311342031344E-2</v>
      </c>
      <c r="I263" s="54">
        <f>(VLOOKUP($A263,'The List'!$B1:$AH665,21,FALSE)-AVERAGE('The List'!V2:V665))/STDEV('The List'!V2:V665)</f>
        <v>0.78916169228589239</v>
      </c>
      <c r="J263" s="54">
        <f>(VLOOKUP($A263,'The List'!$B1:$AH665,22,FALSE)-AVERAGE('The List'!W2:W665))/STDEV('The List'!W2:W665)</f>
        <v>0.18743531370730665</v>
      </c>
      <c r="K263" s="54">
        <f>(VLOOKUP($A263,'The List'!$B1:$AH665,23,FALSE)-AVERAGE('The List'!X2:X665))/STDEV('The List'!X2:X665)</f>
        <v>-1.2878468328862214E-2</v>
      </c>
      <c r="L263" s="54">
        <f>(VLOOKUP($A263,'The List'!$B1:$AH665,24,FALSE)-AVERAGE('The List'!Y2:Y665))/STDEV('The List'!Y2:Y665)</f>
        <v>-0.55429468327439757</v>
      </c>
      <c r="M263" s="54">
        <f>(VLOOKUP($A263,'The List'!$B1:$AH665,25,FALSE)-AVERAGE('The List'!Z2:Z665))/STDEV('The List'!Z2:Z665)</f>
        <v>-0.72689192811572778</v>
      </c>
      <c r="N263" s="54">
        <f>(VLOOKUP($A263,'The List'!$B1:$AH665,26,FALSE)-AVERAGE('The List'!AA2:AA665))/STDEV('The List'!AA2:AA665)</f>
        <v>-0.86306383226371985</v>
      </c>
      <c r="O263" s="54">
        <f>(VLOOKUP($A263,'The List'!$B1:$AH665,27,FALSE)-AVERAGE('The List'!AB2:AB665))/STDEV('The List'!AB2:AB665)</f>
        <v>-0.20763202704016703</v>
      </c>
      <c r="P263" s="54">
        <f>(VLOOKUP($A263,'The List'!$B1:$AH665,28,FALSE)-AVERAGE('The List'!AC2:AC665))/STDEV('The List'!AC2:AC665)</f>
        <v>1.4173386359010751</v>
      </c>
      <c r="Q263" s="54">
        <f>(VLOOKUP($A263,'The List'!$B1:$AH665,29,FALSE)-AVERAGE('The List'!AD2:AD665))/STDEV('The List'!AD2:AD665)</f>
        <v>-0.35723395733424457</v>
      </c>
      <c r="R263" s="54">
        <f>(VLOOKUP($A263,'The List'!$B1:$AH665,30,FALSE)-AVERAGE('The List'!AE2:AE665))/STDEV('The List'!AE2:AE665)</f>
        <v>0.12822955447310833</v>
      </c>
      <c r="S263" s="54">
        <f>(VLOOKUP($A263,'The List'!$B1:$AH665,31,FALSE)-AVERAGE('The List'!AF2:AF665))/STDEV('The List'!AF2:AF665)</f>
        <v>-0.27025273922845333</v>
      </c>
      <c r="T263" s="54">
        <f>(VLOOKUP($A263,'The List'!$B1:$AH665,32,FALSE)-AVERAGE('The List'!AG2:AG665))/STDEV('The List'!AG2:AG665)</f>
        <v>-0.29134038376672078</v>
      </c>
      <c r="U263" s="54">
        <f>(VLOOKUP($A263,'The List'!$B1:$AH665,33,FALSE)-AVERAGE('The List'!AH2:AH665))/STDEV('The List'!AH2:AH665)</f>
        <v>0.99557095490860426</v>
      </c>
      <c r="V263" s="54"/>
      <c r="W263" s="56"/>
      <c r="X263" s="54"/>
      <c r="Y263" s="54"/>
      <c r="Z263" s="54"/>
      <c r="AA263" s="54"/>
      <c r="AB263" s="54"/>
      <c r="AC263" s="54"/>
      <c r="AD263" s="54"/>
      <c r="AE263" s="54"/>
    </row>
    <row r="264" spans="1:31" ht="21.25" customHeight="1" x14ac:dyDescent="0.15">
      <c r="A264" s="9" t="s">
        <v>522</v>
      </c>
      <c r="B264" s="65" t="str">
        <f>VLOOKUP(A264,'Player Data'!A1:B667,2,FALSE)</f>
        <v>N.J</v>
      </c>
      <c r="C264" s="51">
        <f>((E264)*Settings!$C$12)+(F264*Settings!$C$2)+(G264*Settings!$C$3)+(H264*Settings!$C$4)+(I264*Settings!$C$5)+(K264*Settings!$C$9)+(N264*Settings!$C$6)+(J264*Settings!$C$8)+(O264*Settings!$C$7)+(P264*Settings!$C$14)+(Q264*Settings!$C$15)+(R264*Settings!$C$16)+(S264*Settings!$C$17)+(T264*Settings!$C$18)+(U264*Settings!$C$19)+(L264*Settings!$C$10)+(Settings!$C$11*M264)</f>
        <v>-0.24118123217400578</v>
      </c>
      <c r="D264" s="56">
        <f>IF(Settings!$E$12="YES",VLOOKUP(A264,'Player Data'!A1:E667,5,FALSE),82)</f>
        <v>75.040000000000006</v>
      </c>
      <c r="E264" s="54">
        <f>(VLOOKUP($A264,'The List'!$B1:$AH665,17,FALSE)-AVERAGE('The List'!R2:R665))/STDEV('The List'!R2:R665)</f>
        <v>-0.31254015777768973</v>
      </c>
      <c r="F264" s="54">
        <f>(VLOOKUP($A264,'The List'!$B1:$AH665,18,FALSE)-AVERAGE('The List'!S2:S665))/STDEV('The List'!S2:S665)</f>
        <v>-0.1461615724308441</v>
      </c>
      <c r="G264" s="54">
        <f>(VLOOKUP($A264,'The List'!$B1:$AH665,19,FALSE)-AVERAGE('The List'!T2:T665))/STDEV('The List'!T2:T665)</f>
        <v>-9.5491414330508104E-2</v>
      </c>
      <c r="H264" s="54">
        <f>(VLOOKUP($A264,'The List'!$B1:$AH665,20,FALSE)-AVERAGE('The List'!U2:U665))/STDEV('The List'!U2:U665)</f>
        <v>-0.12574291988842048</v>
      </c>
      <c r="I264" s="54">
        <f>(VLOOKUP($A264,'The List'!$B1:$AH665,21,FALSE)-AVERAGE('The List'!V2:V665))/STDEV('The List'!V2:V665)</f>
        <v>-0.23252293897600029</v>
      </c>
      <c r="J264" s="54">
        <f>(VLOOKUP($A264,'The List'!$B1:$AH665,22,FALSE)-AVERAGE('The List'!W2:W665))/STDEV('The List'!W2:W665)</f>
        <v>-0.39889708764996146</v>
      </c>
      <c r="K264" s="54">
        <f>(VLOOKUP($A264,'The List'!$B1:$AH665,23,FALSE)-AVERAGE('The List'!X2:X665))/STDEV('The List'!X2:X665)</f>
        <v>-0.32695606277876033</v>
      </c>
      <c r="L264" s="54">
        <f>(VLOOKUP($A264,'The List'!$B1:$AH665,24,FALSE)-AVERAGE('The List'!Y2:Y665))/STDEV('The List'!Y2:Y665)</f>
        <v>-0.37446872496278005</v>
      </c>
      <c r="M264" s="54">
        <f>(VLOOKUP($A264,'The List'!$B1:$AH665,25,FALSE)-AVERAGE('The List'!Z2:Z665))/STDEV('The List'!Z2:Z665)</f>
        <v>-0.34010997974942803</v>
      </c>
      <c r="N264" s="54">
        <f>(VLOOKUP($A264,'The List'!$B1:$AH665,26,FALSE)-AVERAGE('The List'!AA2:AA665))/STDEV('The List'!AA2:AA665)</f>
        <v>-0.32583381729858613</v>
      </c>
      <c r="O264" s="54">
        <f>(VLOOKUP($A264,'The List'!$B1:$AH665,27,FALSE)-AVERAGE('The List'!AB2:AB665))/STDEV('The List'!AB2:AB665)</f>
        <v>2.1974928607161572E-2</v>
      </c>
      <c r="P264" s="54">
        <f>(VLOOKUP($A264,'The List'!$B1:$AH665,28,FALSE)-AVERAGE('The List'!AC2:AC665))/STDEV('The List'!AC2:AC665)</f>
        <v>0.88578457364069318</v>
      </c>
      <c r="Q264" s="54">
        <f>(VLOOKUP($A264,'The List'!$B1:$AH665,29,FALSE)-AVERAGE('The List'!AD2:AD665))/STDEV('The List'!AD2:AD665)</f>
        <v>-0.64274854935783543</v>
      </c>
      <c r="R264" s="54">
        <f>(VLOOKUP($A264,'The List'!$B1:$AH665,30,FALSE)-AVERAGE('The List'!AE2:AE665))/STDEV('The List'!AE2:AE665)</f>
        <v>-0.12518625074945425</v>
      </c>
      <c r="S264" s="54">
        <f>(VLOOKUP($A264,'The List'!$B1:$AH665,31,FALSE)-AVERAGE('The List'!AF2:AF665))/STDEV('The List'!AF2:AF665)</f>
        <v>-0.56227875594400278</v>
      </c>
      <c r="T264" s="54">
        <f>(VLOOKUP($A264,'The List'!$B1:$AH665,32,FALSE)-AVERAGE('The List'!AG2:AG665))/STDEV('The List'!AG2:AG665)</f>
        <v>-0.54882486320021762</v>
      </c>
      <c r="U264" s="54">
        <f>(VLOOKUP($A264,'The List'!$B1:$AH665,33,FALSE)-AVERAGE('The List'!AH2:AH665))/STDEV('The List'!AH2:AH665)</f>
        <v>-0.60427849264949784</v>
      </c>
      <c r="V264" s="54"/>
      <c r="W264" s="64"/>
      <c r="X264" s="56"/>
      <c r="Y264" s="56"/>
      <c r="Z264" s="56"/>
      <c r="AA264" s="56"/>
      <c r="AB264" s="56"/>
      <c r="AC264" s="59"/>
      <c r="AD264" s="60"/>
      <c r="AE264" s="54"/>
    </row>
    <row r="265" spans="1:31" ht="21.25" customHeight="1" x14ac:dyDescent="0.15">
      <c r="A265" s="9" t="s">
        <v>603</v>
      </c>
      <c r="B265" s="65" t="str">
        <f>VLOOKUP(A265,'Player Data'!A1:B667,2,FALSE)</f>
        <v>PHI</v>
      </c>
      <c r="C265" s="51">
        <f>((E265)*Settings!$C$12)+(F265*Settings!$C$2)+(G265*Settings!$C$3)+(H265*Settings!$C$4)+(I265*Settings!$C$5)+(K265*Settings!$C$9)+(N265*Settings!$C$6)+(J265*Settings!$C$8)+(O265*Settings!$C$7)+(P265*Settings!$C$14)+(Q265*Settings!$C$15)+(R265*Settings!$C$16)+(S265*Settings!$C$17)+(T265*Settings!$C$18)+(U265*Settings!$C$19)+(L265*Settings!$C$10)+(Settings!$C$11*M265)</f>
        <v>-2.9781199650737262</v>
      </c>
      <c r="D265" s="56">
        <f>IF(Settings!$E$12="YES",VLOOKUP(A265,'Player Data'!A1:E667,5,FALSE),82)</f>
        <v>64.617500000000007</v>
      </c>
      <c r="E265" s="54">
        <f>(VLOOKUP($A265,'The List'!$B1:$AH665,17,FALSE)-AVERAGE('The List'!R2:R665))/STDEV('The List'!R2:R665)</f>
        <v>-0.78525140987174313</v>
      </c>
      <c r="F265" s="54">
        <f>(VLOOKUP($A265,'The List'!$B1:$AH665,18,FALSE)-AVERAGE('The List'!S2:S665))/STDEV('The List'!S2:S665)</f>
        <v>-7.3900709361073347E-2</v>
      </c>
      <c r="G265" s="54">
        <f>(VLOOKUP($A265,'The List'!$B1:$AH665,19,FALSE)-AVERAGE('The List'!T2:T665))/STDEV('The List'!T2:T665)</f>
        <v>-0.49645498421580381</v>
      </c>
      <c r="H265" s="54">
        <f>(VLOOKUP($A265,'The List'!$B1:$AH665,20,FALSE)-AVERAGE('The List'!U2:U665))/STDEV('The List'!U2:U665)</f>
        <v>-0.34191784511277346</v>
      </c>
      <c r="I265" s="54">
        <f>(VLOOKUP($A265,'The List'!$B1:$AH665,21,FALSE)-AVERAGE('The List'!V2:V665))/STDEV('The List'!V2:V665)</f>
        <v>-0.61122540037455719</v>
      </c>
      <c r="J265" s="54">
        <f>(VLOOKUP($A265,'The List'!$B1:$AH665,22,FALSE)-AVERAGE('The List'!W2:W665))/STDEV('The List'!W2:W665)</f>
        <v>-0.16904105695825625</v>
      </c>
      <c r="K265" s="54">
        <f>(VLOOKUP($A265,'The List'!$B1:$AH665,23,FALSE)-AVERAGE('The List'!X2:X665))/STDEV('The List'!X2:X665)</f>
        <v>-0.38508120341549662</v>
      </c>
      <c r="L265" s="54">
        <f>(VLOOKUP($A265,'The List'!$B1:$AH665,24,FALSE)-AVERAGE('The List'!Y2:Y665))/STDEV('The List'!Y2:Y665)</f>
        <v>-0.5721419573626455</v>
      </c>
      <c r="M265" s="54">
        <f>(VLOOKUP($A265,'The List'!$B1:$AH665,25,FALSE)-AVERAGE('The List'!Z2:Z665))/STDEV('The List'!Z2:Z665)</f>
        <v>-0.74583711470609526</v>
      </c>
      <c r="N265" s="54">
        <f>(VLOOKUP($A265,'The List'!$B1:$AH665,26,FALSE)-AVERAGE('The List'!AA2:AA665))/STDEV('The List'!AA2:AA665)</f>
        <v>-0.88033653428918202</v>
      </c>
      <c r="O265" s="54">
        <f>(VLOOKUP($A265,'The List'!$B1:$AH665,27,FALSE)-AVERAGE('The List'!AB2:AB665))/STDEV('The List'!AB2:AB665)</f>
        <v>-0.89751587140203382</v>
      </c>
      <c r="P265" s="54">
        <f>(VLOOKUP($A265,'The List'!$B1:$AH665,28,FALSE)-AVERAGE('The List'!AC2:AC665))/STDEV('The List'!AC2:AC665)</f>
        <v>-0.53112113341761291</v>
      </c>
      <c r="Q265" s="54">
        <f>(VLOOKUP($A265,'The List'!$B1:$AH665,29,FALSE)-AVERAGE('The List'!AD2:AD665))/STDEV('The List'!AD2:AD665)</f>
        <v>-1.1933853986802114</v>
      </c>
      <c r="R265" s="54">
        <f>(VLOOKUP($A265,'The List'!$B1:$AH665,30,FALSE)-AVERAGE('The List'!AE2:AE665))/STDEV('The List'!AE2:AE665)</f>
        <v>-0.10312239722876744</v>
      </c>
      <c r="S265" s="54">
        <f>(VLOOKUP($A265,'The List'!$B1:$AH665,31,FALSE)-AVERAGE('The List'!AF2:AF665))/STDEV('The List'!AF2:AF665)</f>
        <v>-0.54925304677295805</v>
      </c>
      <c r="T265" s="54">
        <f>(VLOOKUP($A265,'The List'!$B1:$AH665,32,FALSE)-AVERAGE('The List'!AG2:AG665))/STDEV('The List'!AG2:AG665)</f>
        <v>-0.60755277448080658</v>
      </c>
      <c r="U265" s="54">
        <f>(VLOOKUP($A265,'The List'!$B1:$AH665,33,FALSE)-AVERAGE('The List'!AH2:AH665))/STDEV('The List'!AH2:AH665)</f>
        <v>1.4427971940810902</v>
      </c>
      <c r="V265" s="54"/>
      <c r="W265" s="64"/>
      <c r="X265" s="56"/>
      <c r="Y265" s="56"/>
      <c r="Z265" s="56"/>
      <c r="AA265" s="56"/>
      <c r="AB265" s="56"/>
      <c r="AC265" s="59"/>
      <c r="AD265" s="60"/>
      <c r="AE265" s="54"/>
    </row>
    <row r="266" spans="1:31" ht="21.25" customHeight="1" x14ac:dyDescent="0.15">
      <c r="A266" s="9" t="s">
        <v>483</v>
      </c>
      <c r="B266" s="65" t="str">
        <f>VLOOKUP(A266,'Player Data'!A1:B667,2,FALSE)</f>
        <v>WSH</v>
      </c>
      <c r="C266" s="51">
        <f>((E266)*Settings!$C$12)+(F266*Settings!$C$2)+(G266*Settings!$C$3)+(H266*Settings!$C$4)+(I266*Settings!$C$5)+(K266*Settings!$C$9)+(N266*Settings!$C$6)+(J266*Settings!$C$8)+(O266*Settings!$C$7)+(P266*Settings!$C$14)+(Q266*Settings!$C$15)+(R266*Settings!$C$16)+(S266*Settings!$C$17)+(T266*Settings!$C$18)+(U266*Settings!$C$19)+(L266*Settings!$C$10)+(Settings!$C$11*M266)</f>
        <v>-1.3291347881177036</v>
      </c>
      <c r="D266" s="56">
        <f>IF(Settings!$E$12="YES",VLOOKUP(A266,'Player Data'!A1:E667,5,FALSE),82)</f>
        <v>79.174999999999997</v>
      </c>
      <c r="E266" s="54">
        <f>(VLOOKUP($A266,'The List'!$B1:$AH665,17,FALSE)-AVERAGE('The List'!R2:R665))/STDEV('The List'!R2:R665)</f>
        <v>-0.14190366946330293</v>
      </c>
      <c r="F266" s="54">
        <f>(VLOOKUP($A266,'The List'!$B1:$AH665,18,FALSE)-AVERAGE('The List'!S2:S665))/STDEV('The List'!S2:S665)</f>
        <v>0.51513740711754541</v>
      </c>
      <c r="G266" s="54">
        <f>(VLOOKUP($A266,'The List'!$B1:$AH665,19,FALSE)-AVERAGE('The List'!T2:T665))/STDEV('The List'!T2:T665)</f>
        <v>-0.33773398559382045</v>
      </c>
      <c r="H266" s="54">
        <f>(VLOOKUP($A266,'The List'!$B1:$AH665,20,FALSE)-AVERAGE('The List'!U2:U665))/STDEV('The List'!U2:U665)</f>
        <v>2.440264278259887E-2</v>
      </c>
      <c r="I266" s="54">
        <f>(VLOOKUP($A266,'The List'!$B1:$AH665,21,FALSE)-AVERAGE('The List'!V2:V665))/STDEV('The List'!V2:V665)</f>
        <v>0.21974315936415337</v>
      </c>
      <c r="J266" s="54">
        <f>(VLOOKUP($A266,'The List'!$B1:$AH665,22,FALSE)-AVERAGE('The List'!W2:W665))/STDEV('The List'!W2:W665)</f>
        <v>-0.16126970015605332</v>
      </c>
      <c r="K266" s="54">
        <f>(VLOOKUP($A266,'The List'!$B1:$AH665,23,FALSE)-AVERAGE('The List'!X2:X665))/STDEV('The List'!X2:X665)</f>
        <v>-0.2207021648547155</v>
      </c>
      <c r="L266" s="54">
        <f>(VLOOKUP($A266,'The List'!$B1:$AH665,24,FALSE)-AVERAGE('The List'!Y2:Y665))/STDEV('The List'!Y2:Y665)</f>
        <v>1.6130065797985449</v>
      </c>
      <c r="M266" s="54">
        <f>(VLOOKUP($A266,'The List'!$B1:$AH665,25,FALSE)-AVERAGE('The List'!Z2:Z665))/STDEV('The List'!Z2:Z665)</f>
        <v>1.8846970423853331</v>
      </c>
      <c r="N266" s="54">
        <f>(VLOOKUP($A266,'The List'!$B1:$AH665,26,FALSE)-AVERAGE('The List'!AA2:AA665))/STDEV('The List'!AA2:AA665)</f>
        <v>-0.57714710474239783</v>
      </c>
      <c r="O266" s="54">
        <f>(VLOOKUP($A266,'The List'!$B1:$AH665,27,FALSE)-AVERAGE('The List'!AB2:AB665))/STDEV('The List'!AB2:AB665)</f>
        <v>-0.88115262294323715</v>
      </c>
      <c r="P266" s="54">
        <f>(VLOOKUP($A266,'The List'!$B1:$AH665,28,FALSE)-AVERAGE('The List'!AC2:AC665))/STDEV('The List'!AC2:AC665)</f>
        <v>-0.9284320994084686</v>
      </c>
      <c r="Q266" s="54">
        <f>(VLOOKUP($A266,'The List'!$B1:$AH665,29,FALSE)-AVERAGE('The List'!AD2:AD665))/STDEV('The List'!AD2:AD665)</f>
        <v>6.1589142465545213E-3</v>
      </c>
      <c r="R266" s="54">
        <f>(VLOOKUP($A266,'The List'!$B1:$AH665,30,FALSE)-AVERAGE('The List'!AE2:AE665))/STDEV('The List'!AE2:AE665)</f>
        <v>0.40887458523327791</v>
      </c>
      <c r="S266" s="54">
        <f>(VLOOKUP($A266,'The List'!$B1:$AH665,31,FALSE)-AVERAGE('The List'!AF2:AF665))/STDEV('The List'!AF2:AF665)</f>
        <v>1.1959589801028214</v>
      </c>
      <c r="T266" s="54">
        <f>(VLOOKUP($A266,'The List'!$B1:$AH665,32,FALSE)-AVERAGE('The List'!AG2:AG665))/STDEV('The List'!AG2:AG665)</f>
        <v>1.8537069408200457</v>
      </c>
      <c r="U266" s="54">
        <f>(VLOOKUP($A266,'The List'!$B1:$AH665,33,FALSE)-AVERAGE('The List'!AH2:AH665))/STDEV('The List'!AH2:AH665)</f>
        <v>0.72489547120512299</v>
      </c>
      <c r="V266" s="54"/>
      <c r="W266" s="64"/>
      <c r="X266" s="56"/>
      <c r="Y266" s="56"/>
      <c r="Z266" s="56"/>
      <c r="AA266" s="56"/>
      <c r="AB266" s="56"/>
      <c r="AC266" s="59"/>
      <c r="AD266" s="60"/>
      <c r="AE266" s="54"/>
    </row>
    <row r="267" spans="1:31" ht="21.25" customHeight="1" x14ac:dyDescent="0.15">
      <c r="A267" s="9" t="s">
        <v>410</v>
      </c>
      <c r="B267" s="65" t="str">
        <f>VLOOKUP(A267,'Player Data'!A1:B667,2,FALSE)</f>
        <v>BUF</v>
      </c>
      <c r="C267" s="51">
        <f>((E267)*Settings!$C$12)+(F267*Settings!$C$2)+(G267*Settings!$C$3)+(H267*Settings!$C$4)+(I267*Settings!$C$5)+(K267*Settings!$C$9)+(N267*Settings!$C$6)+(J267*Settings!$C$8)+(O267*Settings!$C$7)+(P267*Settings!$C$14)+(Q267*Settings!$C$15)+(R267*Settings!$C$16)+(S267*Settings!$C$17)+(T267*Settings!$C$18)+(U267*Settings!$C$19)+(L267*Settings!$C$10)+(Settings!$C$11*M267)</f>
        <v>-1.2457054715590907</v>
      </c>
      <c r="D267" s="56">
        <f>IF(Settings!$E$12="YES",VLOOKUP(A267,'Player Data'!A1:E667,5,FALSE),82)</f>
        <v>69.732500000000002</v>
      </c>
      <c r="E267" s="54">
        <f>(VLOOKUP($A267,'The List'!$B1:$AH665,17,FALSE)-AVERAGE('The List'!R2:R665))/STDEV('The List'!R2:R665)</f>
        <v>0.72065078276725325</v>
      </c>
      <c r="F267" s="54">
        <f>(VLOOKUP($A267,'The List'!$B1:$AH665,18,FALSE)-AVERAGE('The List'!S2:S665))/STDEV('The List'!S2:S665)</f>
        <v>-0.2988203417313175</v>
      </c>
      <c r="G267" s="54">
        <f>(VLOOKUP($A267,'The List'!$B1:$AH665,19,FALSE)-AVERAGE('The List'!T2:T665))/STDEV('The List'!T2:T665)</f>
        <v>-0.17935243004059787</v>
      </c>
      <c r="H267" s="54">
        <f>(VLOOKUP($A267,'The List'!$B1:$AH665,20,FALSE)-AVERAGE('The List'!U2:U665))/STDEV('The List'!U2:U665)</f>
        <v>-0.24721599309198719</v>
      </c>
      <c r="I267" s="54">
        <f>(VLOOKUP($A267,'The List'!$B1:$AH665,21,FALSE)-AVERAGE('The List'!V2:V665))/STDEV('The List'!V2:V665)</f>
        <v>-0.74072442093003144</v>
      </c>
      <c r="J267" s="54">
        <f>(VLOOKUP($A267,'The List'!$B1:$AH665,22,FALSE)-AVERAGE('The List'!W2:W665))/STDEV('The List'!W2:W665)</f>
        <v>-0.37799995034952683</v>
      </c>
      <c r="K267" s="54">
        <f>(VLOOKUP($A267,'The List'!$B1:$AH665,23,FALSE)-AVERAGE('The List'!X2:X665))/STDEV('The List'!X2:X665)</f>
        <v>-0.29976319605025925</v>
      </c>
      <c r="L267" s="54">
        <f>(VLOOKUP($A267,'The List'!$B1:$AH665,24,FALSE)-AVERAGE('The List'!Y2:Y665))/STDEV('The List'!Y2:Y665)</f>
        <v>-0.22390429191091341</v>
      </c>
      <c r="M267" s="54">
        <f>(VLOOKUP($A267,'The List'!$B1:$AH665,25,FALSE)-AVERAGE('The List'!Z2:Z665))/STDEV('The List'!Z2:Z665)</f>
        <v>-0.4617888929777475</v>
      </c>
      <c r="N267" s="54">
        <f>(VLOOKUP($A267,'The List'!$B1:$AH665,26,FALSE)-AVERAGE('The List'!AA2:AA665))/STDEV('The List'!AA2:AA665)</f>
        <v>0.62348155083348711</v>
      </c>
      <c r="O267" s="54">
        <f>(VLOOKUP($A267,'The List'!$B1:$AH665,27,FALSE)-AVERAGE('The List'!AB2:AB665))/STDEV('The List'!AB2:AB665)</f>
        <v>-1.994750117473125E-2</v>
      </c>
      <c r="P267" s="54">
        <f>(VLOOKUP($A267,'The List'!$B1:$AH665,28,FALSE)-AVERAGE('The List'!AC2:AC665))/STDEV('The List'!AC2:AC665)</f>
        <v>-0.35052663364037168</v>
      </c>
      <c r="Q267" s="54">
        <f>(VLOOKUP($A267,'The List'!$B1:$AH665,29,FALSE)-AVERAGE('The List'!AD2:AD665))/STDEV('The List'!AD2:AD665)</f>
        <v>0.99024926351052134</v>
      </c>
      <c r="R267" s="54">
        <f>(VLOOKUP($A267,'The List'!$B1:$AH665,30,FALSE)-AVERAGE('The List'!AE2:AE665))/STDEV('The List'!AE2:AE665)</f>
        <v>-0.33558802454731429</v>
      </c>
      <c r="S267" s="54">
        <f>(VLOOKUP($A267,'The List'!$B1:$AH665,31,FALSE)-AVERAGE('The List'!AF2:AF665))/STDEV('The List'!AF2:AF665)</f>
        <v>-0.57389441068000469</v>
      </c>
      <c r="T267" s="54">
        <f>(VLOOKUP($A267,'The List'!$B1:$AH665,32,FALSE)-AVERAGE('The List'!AG2:AG665))/STDEV('The List'!AG2:AG665)</f>
        <v>-0.62577078713265111</v>
      </c>
      <c r="U267" s="54">
        <f>(VLOOKUP($A267,'The List'!$B1:$AH665,33,FALSE)-AVERAGE('The List'!AH2:AH665))/STDEV('The List'!AH2:AH665)</f>
        <v>-1.2314350945148611</v>
      </c>
      <c r="V267" s="54"/>
      <c r="W267" s="64"/>
      <c r="X267" s="56"/>
      <c r="Y267" s="56"/>
      <c r="Z267" s="56"/>
      <c r="AA267" s="56"/>
      <c r="AB267" s="56"/>
      <c r="AC267" s="59"/>
      <c r="AD267" s="60"/>
      <c r="AE267" s="54"/>
    </row>
    <row r="268" spans="1:31" ht="21.25" customHeight="1" x14ac:dyDescent="0.15">
      <c r="A268" s="9" t="s">
        <v>515</v>
      </c>
      <c r="B268" s="65" t="str">
        <f>VLOOKUP(A268,'Player Data'!A1:B667,2,FALSE)</f>
        <v>N.J</v>
      </c>
      <c r="C268" s="51">
        <f>((E268)*Settings!$C$12)+(F268*Settings!$C$2)+(G268*Settings!$C$3)+(H268*Settings!$C$4)+(I268*Settings!$C$5)+(K268*Settings!$C$9)+(N268*Settings!$C$6)+(J268*Settings!$C$8)+(O268*Settings!$C$7)+(P268*Settings!$C$14)+(Q268*Settings!$C$15)+(R268*Settings!$C$16)+(S268*Settings!$C$17)+(T268*Settings!$C$18)+(U268*Settings!$C$19)+(L268*Settings!$C$10)+(Settings!$C$11*M268)</f>
        <v>0.14153245513300439</v>
      </c>
      <c r="D268" s="56">
        <f>IF(Settings!$E$12="YES",VLOOKUP(A268,'Player Data'!A1:E667,5,FALSE),82)</f>
        <v>73.302499999999995</v>
      </c>
      <c r="E268" s="54">
        <f>(VLOOKUP($A268,'The List'!$B1:$AH665,17,FALSE)-AVERAGE('The List'!R2:R665))/STDEV('The List'!R2:R665)</f>
        <v>-0.65941452323125938</v>
      </c>
      <c r="F268" s="54">
        <f>(VLOOKUP($A268,'The List'!$B1:$AH665,18,FALSE)-AVERAGE('The List'!S2:S665))/STDEV('The List'!S2:S665)</f>
        <v>-0.1386581495952259</v>
      </c>
      <c r="G268" s="54">
        <f>(VLOOKUP($A268,'The List'!$B1:$AH665,19,FALSE)-AVERAGE('The List'!T2:T665))/STDEV('The List'!T2:T665)</f>
        <v>-0.18382816511632319</v>
      </c>
      <c r="H268" s="54">
        <f>(VLOOKUP($A268,'The List'!$B1:$AH665,20,FALSE)-AVERAGE('The List'!U2:U665))/STDEV('The List'!U2:U665)</f>
        <v>-0.17719434679020274</v>
      </c>
      <c r="I268" s="54">
        <f>(VLOOKUP($A268,'The List'!$B1:$AH665,21,FALSE)-AVERAGE('The List'!V2:V665))/STDEV('The List'!V2:V665)</f>
        <v>-0.15069110143238182</v>
      </c>
      <c r="J268" s="54">
        <f>(VLOOKUP($A268,'The List'!$B1:$AH665,22,FALSE)-AVERAGE('The List'!W2:W665))/STDEV('The List'!W2:W665)</f>
        <v>-5.3122305081602463E-2</v>
      </c>
      <c r="K268" s="54">
        <f>(VLOOKUP($A268,'The List'!$B1:$AH665,23,FALSE)-AVERAGE('The List'!X2:X665))/STDEV('The List'!X2:X665)</f>
        <v>-0.10747750514611985</v>
      </c>
      <c r="L268" s="54">
        <f>(VLOOKUP($A268,'The List'!$B1:$AH665,24,FALSE)-AVERAGE('The List'!Y2:Y665))/STDEV('The List'!Y2:Y665)</f>
        <v>-0.56778347660800943</v>
      </c>
      <c r="M268" s="54">
        <f>(VLOOKUP($A268,'The List'!$B1:$AH665,25,FALSE)-AVERAGE('The List'!Z2:Z665))/STDEV('The List'!Z2:Z665)</f>
        <v>-0.74105229849720011</v>
      </c>
      <c r="N268" s="54">
        <f>(VLOOKUP($A268,'The List'!$B1:$AH665,26,FALSE)-AVERAGE('The List'!AA2:AA665))/STDEV('The List'!AA2:AA665)</f>
        <v>-0.89410768381612149</v>
      </c>
      <c r="O268" s="54">
        <f>(VLOOKUP($A268,'The List'!$B1:$AH665,27,FALSE)-AVERAGE('The List'!AB2:AB665))/STDEV('The List'!AB2:AB665)</f>
        <v>0.60206337018399869</v>
      </c>
      <c r="P268" s="54">
        <f>(VLOOKUP($A268,'The List'!$B1:$AH665,28,FALSE)-AVERAGE('The List'!AC2:AC665))/STDEV('The List'!AC2:AC665)</f>
        <v>1.6162950602391768</v>
      </c>
      <c r="Q268" s="54">
        <f>(VLOOKUP($A268,'The List'!$B1:$AH665,29,FALSE)-AVERAGE('The List'!AD2:AD665))/STDEV('The List'!AD2:AD665)</f>
        <v>4.3560852333631071E-2</v>
      </c>
      <c r="R268" s="54">
        <f>(VLOOKUP($A268,'The List'!$B1:$AH665,30,FALSE)-AVERAGE('The List'!AE2:AE665))/STDEV('The List'!AE2:AE665)</f>
        <v>-0.11791973320716199</v>
      </c>
      <c r="S268" s="54">
        <f>(VLOOKUP($A268,'The List'!$B1:$AH665,31,FALSE)-AVERAGE('The List'!AF2:AF665))/STDEV('The List'!AF2:AF665)</f>
        <v>-0.31549755505673788</v>
      </c>
      <c r="T268" s="54">
        <f>(VLOOKUP($A268,'The List'!$B1:$AH665,32,FALSE)-AVERAGE('The List'!AG2:AG665))/STDEV('The List'!AG2:AG665)</f>
        <v>-0.28833860518310217</v>
      </c>
      <c r="U268" s="54">
        <f>(VLOOKUP($A268,'The List'!$B1:$AH665,33,FALSE)-AVERAGE('The List'!AH2:AH665))/STDEV('The List'!AH2:AH665)</f>
        <v>0.80339837903159161</v>
      </c>
      <c r="V268" s="54"/>
      <c r="W268" s="56"/>
      <c r="X268" s="54"/>
      <c r="Y268" s="54"/>
      <c r="Z268" s="54"/>
      <c r="AA268" s="54"/>
      <c r="AB268" s="54"/>
      <c r="AC268" s="54"/>
      <c r="AD268" s="54"/>
      <c r="AE268" s="54"/>
    </row>
    <row r="269" spans="1:31" ht="21.25" customHeight="1" x14ac:dyDescent="0.15">
      <c r="A269" s="9" t="s">
        <v>429</v>
      </c>
      <c r="B269" s="65" t="str">
        <f>VLOOKUP(A269,'Player Data'!A1:B667,2,FALSE)</f>
        <v>WPG</v>
      </c>
      <c r="C269" s="51">
        <f>((E269)*Settings!$C$12)+(F269*Settings!$C$2)+(G269*Settings!$C$3)+(H269*Settings!$C$4)+(I269*Settings!$C$5)+(K269*Settings!$C$9)+(N269*Settings!$C$6)+(J269*Settings!$C$8)+(O269*Settings!$C$7)+(P269*Settings!$C$14)+(Q269*Settings!$C$15)+(R269*Settings!$C$16)+(S269*Settings!$C$17)+(T269*Settings!$C$18)+(U269*Settings!$C$19)+(L269*Settings!$C$10)+(Settings!$C$11*M269)</f>
        <v>0.69214226095493614</v>
      </c>
      <c r="D269" s="56">
        <f>IF(Settings!$E$12="YES",VLOOKUP(A269,'Player Data'!A1:E667,5,FALSE),82)</f>
        <v>79.892499999999998</v>
      </c>
      <c r="E269" s="54">
        <f>(VLOOKUP($A269,'The List'!$B1:$AH665,17,FALSE)-AVERAGE('The List'!R2:R665))/STDEV('The List'!R2:R665)</f>
        <v>-0.54199845986462714</v>
      </c>
      <c r="F269" s="54">
        <f>(VLOOKUP($A269,'The List'!$B1:$AH665,18,FALSE)-AVERAGE('The List'!S2:S665))/STDEV('The List'!S2:S665)</f>
        <v>0.52277163607198363</v>
      </c>
      <c r="G269" s="54">
        <f>(VLOOKUP($A269,'The List'!$B1:$AH665,19,FALSE)-AVERAGE('The List'!T2:T665))/STDEV('The List'!T2:T665)</f>
        <v>-0.45752584844810601</v>
      </c>
      <c r="H269" s="54">
        <f>(VLOOKUP($A269,'The List'!$B1:$AH665,20,FALSE)-AVERAGE('The List'!U2:U665))/STDEV('The List'!U2:U665)</f>
        <v>-4.652471977661423E-2</v>
      </c>
      <c r="I269" s="54">
        <f>(VLOOKUP($A269,'The List'!$B1:$AH665,21,FALSE)-AVERAGE('The List'!V2:V665))/STDEV('The List'!V2:V665)</f>
        <v>0.55324660875450227</v>
      </c>
      <c r="J269" s="54">
        <f>(VLOOKUP($A269,'The List'!$B1:$AH665,22,FALSE)-AVERAGE('The List'!W2:W665))/STDEV('The List'!W2:W665)</f>
        <v>2.3374075301277962E-2</v>
      </c>
      <c r="K269" s="54">
        <f>(VLOOKUP($A269,'The List'!$B1:$AH665,23,FALSE)-AVERAGE('The List'!X2:X665))/STDEV('The List'!X2:X665)</f>
        <v>-0.33387428196730068</v>
      </c>
      <c r="L269" s="54">
        <f>(VLOOKUP($A269,'The List'!$B1:$AH665,24,FALSE)-AVERAGE('The List'!Y2:Y665))/STDEV('The List'!Y2:Y665)</f>
        <v>-0.56809694497704655</v>
      </c>
      <c r="M269" s="54">
        <f>(VLOOKUP($A269,'The List'!$B1:$AH665,25,FALSE)-AVERAGE('The List'!Z2:Z665))/STDEV('The List'!Z2:Z665)</f>
        <v>-0.74171823901304035</v>
      </c>
      <c r="N269" s="54">
        <f>(VLOOKUP($A269,'The List'!$B1:$AH665,26,FALSE)-AVERAGE('The List'!AA2:AA665))/STDEV('The List'!AA2:AA665)</f>
        <v>-0.63850352415103051</v>
      </c>
      <c r="O269" s="54">
        <f>(VLOOKUP($A269,'The List'!$B1:$AH665,27,FALSE)-AVERAGE('The List'!AB2:AB665))/STDEV('The List'!AB2:AB665)</f>
        <v>0.69478703301085776</v>
      </c>
      <c r="P269" s="54">
        <f>(VLOOKUP($A269,'The List'!$B1:$AH665,28,FALSE)-AVERAGE('The List'!AC2:AC665))/STDEV('The List'!AC2:AC665)</f>
        <v>1.0460276706948874</v>
      </c>
      <c r="Q269" s="54">
        <f>(VLOOKUP($A269,'The List'!$B1:$AH665,29,FALSE)-AVERAGE('The List'!AD2:AD665))/STDEV('The List'!AD2:AD665)</f>
        <v>-0.29705297345168358</v>
      </c>
      <c r="R269" s="54">
        <f>(VLOOKUP($A269,'The List'!$B1:$AH665,30,FALSE)-AVERAGE('The List'!AE2:AE665))/STDEV('The List'!AE2:AE665)</f>
        <v>0.70551575828375079</v>
      </c>
      <c r="S269" s="54">
        <f>(VLOOKUP($A269,'The List'!$B1:$AH665,31,FALSE)-AVERAGE('The List'!AF2:AF665))/STDEV('The List'!AF2:AF665)</f>
        <v>-0.45049040421715258</v>
      </c>
      <c r="T269" s="54">
        <f>(VLOOKUP($A269,'The List'!$B1:$AH665,32,FALSE)-AVERAGE('The List'!AG2:AG665))/STDEV('The List'!AG2:AG665)</f>
        <v>-0.50552761895214038</v>
      </c>
      <c r="U269" s="54">
        <f>(VLOOKUP($A269,'The List'!$B1:$AH665,33,FALSE)-AVERAGE('The List'!AH2:AH665))/STDEV('The List'!AH2:AH665)</f>
        <v>1.1343600412252217</v>
      </c>
      <c r="V269" s="54"/>
      <c r="W269" s="64"/>
      <c r="X269" s="56"/>
      <c r="Y269" s="56"/>
      <c r="Z269" s="56"/>
      <c r="AA269" s="56"/>
      <c r="AB269" s="56"/>
      <c r="AC269" s="59"/>
      <c r="AD269" s="60"/>
      <c r="AE269" s="54"/>
    </row>
    <row r="270" spans="1:31" ht="21.25" customHeight="1" x14ac:dyDescent="0.15">
      <c r="A270" s="9" t="s">
        <v>369</v>
      </c>
      <c r="B270" s="65" t="str">
        <f>VLOOKUP(A270,'Player Data'!A1:B667,2,FALSE)</f>
        <v>ANA</v>
      </c>
      <c r="C270" s="51">
        <f>((E270)*Settings!$C$12)+(F270*Settings!$C$2)+(G270*Settings!$C$3)+(H270*Settings!$C$4)+(I270*Settings!$C$5)+(K270*Settings!$C$9)+(N270*Settings!$C$6)+(J270*Settings!$C$8)+(O270*Settings!$C$7)+(P270*Settings!$C$14)+(Q270*Settings!$C$15)+(R270*Settings!$C$16)+(S270*Settings!$C$17)+(T270*Settings!$C$18)+(U270*Settings!$C$19)+(L270*Settings!$C$10)+(Settings!$C$11*M270)</f>
        <v>-1.6369870702700542</v>
      </c>
      <c r="D270" s="56">
        <f>IF(Settings!$E$12="YES",VLOOKUP(A270,'Player Data'!A1:E667,5,FALSE),82)</f>
        <v>67.290000000000006</v>
      </c>
      <c r="E270" s="54">
        <f>(VLOOKUP($A270,'The List'!$B1:$AH665,17,FALSE)-AVERAGE('The List'!R2:R665))/STDEV('The List'!R2:R665)</f>
        <v>1.1785544339678284</v>
      </c>
      <c r="F270" s="54">
        <f>(VLOOKUP($A270,'The List'!$B1:$AH665,18,FALSE)-AVERAGE('The List'!S2:S665))/STDEV('The List'!S2:S665)</f>
        <v>-0.73221692070444688</v>
      </c>
      <c r="G270" s="54">
        <f>(VLOOKUP($A270,'The List'!$B1:$AH665,19,FALSE)-AVERAGE('The List'!T2:T665))/STDEV('The List'!T2:T665)</f>
        <v>5.4598754874530697E-2</v>
      </c>
      <c r="H270" s="54">
        <f>(VLOOKUP($A270,'The List'!$B1:$AH665,20,FALSE)-AVERAGE('The List'!U2:U665))/STDEV('The List'!U2:U665)</f>
        <v>-0.29891849876211879</v>
      </c>
      <c r="I270" s="54">
        <f>(VLOOKUP($A270,'The List'!$B1:$AH665,21,FALSE)-AVERAGE('The List'!V2:V665))/STDEV('The List'!V2:V665)</f>
        <v>-0.42855412442996299</v>
      </c>
      <c r="J270" s="54">
        <f>(VLOOKUP($A270,'The List'!$B1:$AH665,22,FALSE)-AVERAGE('The List'!W2:W665))/STDEV('The List'!W2:W665)</f>
        <v>-0.51356628546805416</v>
      </c>
      <c r="K270" s="54">
        <f>(VLOOKUP($A270,'The List'!$B1:$AH665,23,FALSE)-AVERAGE('The List'!X2:X665))/STDEV('The List'!X2:X665)</f>
        <v>0.14615783345650965</v>
      </c>
      <c r="L270" s="54">
        <f>(VLOOKUP($A270,'The List'!$B1:$AH665,24,FALSE)-AVERAGE('The List'!Y2:Y665))/STDEV('The List'!Y2:Y665)</f>
        <v>-0.53030120878816678</v>
      </c>
      <c r="M270" s="54">
        <f>(VLOOKUP($A270,'The List'!$B1:$AH665,25,FALSE)-AVERAGE('The List'!Z2:Z665))/STDEV('The List'!Z2:Z665)</f>
        <v>-0.60708496979169335</v>
      </c>
      <c r="N270" s="54">
        <f>(VLOOKUP($A270,'The List'!$B1:$AH665,26,FALSE)-AVERAGE('The List'!AA2:AA665))/STDEV('The List'!AA2:AA665)</f>
        <v>0.95040712508857572</v>
      </c>
      <c r="O270" s="54">
        <f>(VLOOKUP($A270,'The List'!$B1:$AH665,27,FALSE)-AVERAGE('The List'!AB2:AB665))/STDEV('The List'!AB2:AB665)</f>
        <v>-0.57200456258224464</v>
      </c>
      <c r="P270" s="54">
        <f>(VLOOKUP($A270,'The List'!$B1:$AH665,28,FALSE)-AVERAGE('The List'!AC2:AC665))/STDEV('The List'!AC2:AC665)</f>
        <v>-1.6273797385552604</v>
      </c>
      <c r="Q270" s="54">
        <f>(VLOOKUP($A270,'The List'!$B1:$AH665,29,FALSE)-AVERAGE('The List'!AD2:AD665))/STDEV('The List'!AD2:AD665)</f>
        <v>-0.48865810902539752</v>
      </c>
      <c r="R270" s="54">
        <f>(VLOOKUP($A270,'The List'!$B1:$AH665,30,FALSE)-AVERAGE('The List'!AE2:AE665))/STDEV('The List'!AE2:AE665)</f>
        <v>-0.82516780730121464</v>
      </c>
      <c r="S270" s="54">
        <f>(VLOOKUP($A270,'The List'!$B1:$AH665,31,FALSE)-AVERAGE('The List'!AF2:AF665))/STDEV('The List'!AF2:AF665)</f>
        <v>-0.57389441068000469</v>
      </c>
      <c r="T270" s="54">
        <f>(VLOOKUP($A270,'The List'!$B1:$AH665,32,FALSE)-AVERAGE('The List'!AG2:AG665))/STDEV('The List'!AG2:AG665)</f>
        <v>-0.62577078713265111</v>
      </c>
      <c r="U270" s="54">
        <f>(VLOOKUP($A270,'The List'!$B1:$AH665,33,FALSE)-AVERAGE('The List'!AH2:AH665))/STDEV('The List'!AH2:AH665)</f>
        <v>-1.2314350945148611</v>
      </c>
      <c r="V270" s="54"/>
      <c r="W270" s="64"/>
      <c r="X270" s="56"/>
      <c r="Y270" s="56"/>
      <c r="Z270" s="56"/>
      <c r="AA270" s="56"/>
      <c r="AB270" s="56"/>
      <c r="AC270" s="59"/>
      <c r="AD270" s="60"/>
      <c r="AE270" s="54"/>
    </row>
    <row r="271" spans="1:31" ht="21.25" customHeight="1" x14ac:dyDescent="0.15">
      <c r="A271" s="9" t="s">
        <v>657</v>
      </c>
      <c r="B271" s="65" t="str">
        <f>VLOOKUP(A271,'Player Data'!A1:B667,2,FALSE)</f>
        <v>CAR</v>
      </c>
      <c r="C271" s="51">
        <f>((E271)*Settings!$C$12)+(F271*Settings!$C$2)+(G271*Settings!$C$3)+(H271*Settings!$C$4)+(I271*Settings!$C$5)+(K271*Settings!$C$9)+(N271*Settings!$C$6)+(J271*Settings!$C$8)+(O271*Settings!$C$7)+(P271*Settings!$C$14)+(Q271*Settings!$C$15)+(R271*Settings!$C$16)+(S271*Settings!$C$17)+(T271*Settings!$C$18)+(U271*Settings!$C$19)+(L271*Settings!$C$10)+(Settings!$C$11*M271)</f>
        <v>-1.8980186384544981</v>
      </c>
      <c r="D271" s="56">
        <f>IF(Settings!$E$12="YES",VLOOKUP(A271,'Player Data'!A1:E667,5,FALSE),82)</f>
        <v>60</v>
      </c>
      <c r="E271" s="54">
        <f>(VLOOKUP($A271,'The List'!$B1:$AH665,17,FALSE)-AVERAGE('The List'!R2:R665))/STDEV('The List'!R2:R665)</f>
        <v>-0.79193032416635667</v>
      </c>
      <c r="F271" s="54">
        <f>(VLOOKUP($A271,'The List'!$B1:$AH665,18,FALSE)-AVERAGE('The List'!S2:S665))/STDEV('The List'!S2:S665)</f>
        <v>-0.28875286240045289</v>
      </c>
      <c r="G271" s="54">
        <f>(VLOOKUP($A271,'The List'!$B1:$AH665,19,FALSE)-AVERAGE('The List'!T2:T665))/STDEV('The List'!T2:T665)</f>
        <v>-0.50602655162127252</v>
      </c>
      <c r="H271" s="54">
        <f>(VLOOKUP($A271,'The List'!$B1:$AH665,20,FALSE)-AVERAGE('The List'!U2:U665))/STDEV('The List'!U2:U665)</f>
        <v>-0.4455228429617632</v>
      </c>
      <c r="I271" s="54">
        <f>(VLOOKUP($A271,'The List'!$B1:$AH665,21,FALSE)-AVERAGE('The List'!V2:V665))/STDEV('The List'!V2:V665)</f>
        <v>-0.61455533552705766</v>
      </c>
      <c r="J271" s="54">
        <f>(VLOOKUP($A271,'The List'!$B1:$AH665,22,FALSE)-AVERAGE('The List'!W2:W665))/STDEV('The List'!W2:W665)</f>
        <v>-0.13159216175034819</v>
      </c>
      <c r="K271" s="54">
        <f>(VLOOKUP($A271,'The List'!$B1:$AH665,23,FALSE)-AVERAGE('The List'!X2:X665))/STDEV('The List'!X2:X665)</f>
        <v>-0.24425501838478403</v>
      </c>
      <c r="L271" s="54">
        <f>(VLOOKUP($A271,'The List'!$B1:$AH665,24,FALSE)-AVERAGE('The List'!Y2:Y665))/STDEV('The List'!Y2:Y665)</f>
        <v>-0.5801829139020841</v>
      </c>
      <c r="M271" s="54">
        <f>(VLOOKUP($A271,'The List'!$B1:$AH665,25,FALSE)-AVERAGE('The List'!Z2:Z665))/STDEV('The List'!Z2:Z665)</f>
        <v>-0.75403666498999722</v>
      </c>
      <c r="N271" s="54">
        <f>(VLOOKUP($A271,'The List'!$B1:$AH665,26,FALSE)-AVERAGE('The List'!AA2:AA665))/STDEV('The List'!AA2:AA665)</f>
        <v>-0.95194239336345821</v>
      </c>
      <c r="O271" s="54">
        <f>(VLOOKUP($A271,'The List'!$B1:$AH665,27,FALSE)-AVERAGE('The List'!AB2:AB665))/STDEV('The List'!AB2:AB665)</f>
        <v>-0.44306538063163581</v>
      </c>
      <c r="P271" s="54">
        <f>(VLOOKUP($A271,'The List'!$B1:$AH665,28,FALSE)-AVERAGE('The List'!AC2:AC665))/STDEV('The List'!AC2:AC665)</f>
        <v>0.70751352284252722</v>
      </c>
      <c r="Q271" s="54">
        <f>(VLOOKUP($A271,'The List'!$B1:$AH665,29,FALSE)-AVERAGE('The List'!AD2:AD665))/STDEV('The List'!AD2:AD665)</f>
        <v>-0.62426742524872536</v>
      </c>
      <c r="R271" s="54">
        <f>(VLOOKUP($A271,'The List'!$B1:$AH665,30,FALSE)-AVERAGE('The List'!AE2:AE665))/STDEV('The List'!AE2:AE665)</f>
        <v>-0.11301036113358076</v>
      </c>
      <c r="S271" s="54">
        <f>(VLOOKUP($A271,'The List'!$B1:$AH665,31,FALSE)-AVERAGE('The List'!AF2:AF665))/STDEV('The List'!AF2:AF665)</f>
        <v>-0.57389441068000469</v>
      </c>
      <c r="T271" s="54">
        <f>(VLOOKUP($A271,'The List'!$B1:$AH665,32,FALSE)-AVERAGE('The List'!AG2:AG665))/STDEV('The List'!AG2:AG665)</f>
        <v>-0.62577078713265111</v>
      </c>
      <c r="U271" s="54">
        <f>(VLOOKUP($A271,'The List'!$B1:$AH665,33,FALSE)-AVERAGE('The List'!AH2:AH665))/STDEV('The List'!AH2:AH665)</f>
        <v>-1.2314350945148611</v>
      </c>
      <c r="V271" s="54"/>
      <c r="W271" s="64"/>
      <c r="X271" s="56"/>
      <c r="Y271" s="56"/>
      <c r="Z271" s="56"/>
      <c r="AA271" s="56"/>
      <c r="AB271" s="56"/>
      <c r="AC271" s="59"/>
      <c r="AD271" s="60"/>
      <c r="AE271" s="54"/>
    </row>
    <row r="272" spans="1:31" ht="21.25" customHeight="1" x14ac:dyDescent="0.15">
      <c r="A272" s="9" t="s">
        <v>466</v>
      </c>
      <c r="B272" s="65" t="str">
        <f>VLOOKUP(A272,'Player Data'!A1:B667,2,FALSE)</f>
        <v>CBJ</v>
      </c>
      <c r="C272" s="51">
        <f>((E272)*Settings!$C$12)+(F272*Settings!$C$2)+(G272*Settings!$C$3)+(H272*Settings!$C$4)+(I272*Settings!$C$5)+(K272*Settings!$C$9)+(N272*Settings!$C$6)+(J272*Settings!$C$8)+(O272*Settings!$C$7)+(P272*Settings!$C$14)+(Q272*Settings!$C$15)+(R272*Settings!$C$16)+(S272*Settings!$C$17)+(T272*Settings!$C$18)+(U272*Settings!$C$19)+(L272*Settings!$C$10)+(Settings!$C$11*M272)</f>
        <v>-1.7579425439187899</v>
      </c>
      <c r="D272" s="56">
        <f>IF(Settings!$E$12="YES",VLOOKUP(A272,'Player Data'!A1:E667,5,FALSE),82)</f>
        <v>79.125</v>
      </c>
      <c r="E272" s="54">
        <f>(VLOOKUP($A272,'The List'!$B1:$AH665,17,FALSE)-AVERAGE('The List'!R2:R665))/STDEV('The List'!R2:R665)</f>
        <v>-0.83444421491804976</v>
      </c>
      <c r="F272" s="54">
        <f>(VLOOKUP($A272,'The List'!$B1:$AH665,18,FALSE)-AVERAGE('The List'!S2:S665))/STDEV('The List'!S2:S665)</f>
        <v>0.3585559770385584</v>
      </c>
      <c r="G272" s="54">
        <f>(VLOOKUP($A272,'The List'!$B1:$AH665,19,FALSE)-AVERAGE('The List'!T2:T665))/STDEV('The List'!T2:T665)</f>
        <v>-0.36583352966576393</v>
      </c>
      <c r="H272" s="54">
        <f>(VLOOKUP($A272,'The List'!$B1:$AH665,20,FALSE)-AVERAGE('The List'!U2:U665))/STDEV('The List'!U2:U665)</f>
        <v>-6.4222456954161442E-2</v>
      </c>
      <c r="I272" s="54">
        <f>(VLOOKUP($A272,'The List'!$B1:$AH665,21,FALSE)-AVERAGE('The List'!V2:V665))/STDEV('The List'!V2:V665)</f>
        <v>0.22723641313502463</v>
      </c>
      <c r="J272" s="54">
        <f>(VLOOKUP($A272,'The List'!$B1:$AH665,22,FALSE)-AVERAGE('The List'!W2:W665))/STDEV('The List'!W2:W665)</f>
        <v>0.54310637074864909</v>
      </c>
      <c r="K272" s="54">
        <f>(VLOOKUP($A272,'The List'!$B1:$AH665,23,FALSE)-AVERAGE('The List'!X2:X665))/STDEV('The List'!X2:X665)</f>
        <v>-5.9847307837837635E-2</v>
      </c>
      <c r="L272" s="54">
        <f>(VLOOKUP($A272,'The List'!$B1:$AH665,24,FALSE)-AVERAGE('The List'!Y2:Y665))/STDEV('The List'!Y2:Y665)</f>
        <v>-0.57080690271484291</v>
      </c>
      <c r="M272" s="54">
        <f>(VLOOKUP($A272,'The List'!$B1:$AH665,25,FALSE)-AVERAGE('The List'!Z2:Z665))/STDEV('The List'!Z2:Z665)</f>
        <v>-0.74443378299808693</v>
      </c>
      <c r="N272" s="54">
        <f>(VLOOKUP($A272,'The List'!$B1:$AH665,26,FALSE)-AVERAGE('The List'!AA2:AA665))/STDEV('The List'!AA2:AA665)</f>
        <v>-0.3625232039527615</v>
      </c>
      <c r="O272" s="54">
        <f>(VLOOKUP($A272,'The List'!$B1:$AH665,27,FALSE)-AVERAGE('The List'!AB2:AB665))/STDEV('The List'!AB2:AB665)</f>
        <v>-6.6432444599428708E-2</v>
      </c>
      <c r="P272" s="54">
        <f>(VLOOKUP($A272,'The List'!$B1:$AH665,28,FALSE)-AVERAGE('The List'!AC2:AC665))/STDEV('The List'!AC2:AC665)</f>
        <v>-1.5555308926360099</v>
      </c>
      <c r="Q272" s="54">
        <f>(VLOOKUP($A272,'The List'!$B1:$AH665,29,FALSE)-AVERAGE('The List'!AD2:AD665))/STDEV('The List'!AD2:AD665)</f>
        <v>0.92486520102481451</v>
      </c>
      <c r="R272" s="54">
        <f>(VLOOKUP($A272,'The List'!$B1:$AH665,30,FALSE)-AVERAGE('The List'!AE2:AE665))/STDEV('The List'!AE2:AE665)</f>
        <v>-7.3989503121918404E-2</v>
      </c>
      <c r="S272" s="54">
        <f>(VLOOKUP($A272,'The List'!$B1:$AH665,31,FALSE)-AVERAGE('The List'!AF2:AF665))/STDEV('The List'!AF2:AF665)</f>
        <v>0.87421345847457455</v>
      </c>
      <c r="T272" s="54">
        <f>(VLOOKUP($A272,'The List'!$B1:$AH665,32,FALSE)-AVERAGE('The List'!AG2:AG665))/STDEV('The List'!AG2:AG665)</f>
        <v>1.4872381171293636</v>
      </c>
      <c r="U272" s="54">
        <f>(VLOOKUP($A272,'The List'!$B1:$AH665,33,FALSE)-AVERAGE('The List'!AH2:AH665))/STDEV('The List'!AH2:AH665)</f>
        <v>0.67976310581903754</v>
      </c>
      <c r="V272" s="54"/>
      <c r="W272" s="56"/>
      <c r="X272" s="54"/>
      <c r="Y272" s="54"/>
      <c r="Z272" s="54"/>
      <c r="AA272" s="54"/>
      <c r="AB272" s="54"/>
      <c r="AC272" s="54"/>
      <c r="AD272" s="54"/>
      <c r="AE272" s="54"/>
    </row>
    <row r="273" spans="1:31" ht="21.25" customHeight="1" x14ac:dyDescent="0.15">
      <c r="A273" s="9" t="s">
        <v>348</v>
      </c>
      <c r="B273" s="65" t="str">
        <f>VLOOKUP(A273,'Player Data'!A1:B667,2,FALSE)</f>
        <v>MTL</v>
      </c>
      <c r="C273" s="51">
        <f>((E273)*Settings!$C$12)+(F273*Settings!$C$2)+(G273*Settings!$C$3)+(H273*Settings!$C$4)+(I273*Settings!$C$5)+(K273*Settings!$C$9)+(N273*Settings!$C$6)+(J273*Settings!$C$8)+(O273*Settings!$C$7)+(P273*Settings!$C$14)+(Q273*Settings!$C$15)+(R273*Settings!$C$16)+(S273*Settings!$C$17)+(T273*Settings!$C$18)+(U273*Settings!$C$19)+(L273*Settings!$C$10)+(Settings!$C$11*M273)</f>
        <v>-1.1626411658687397</v>
      </c>
      <c r="D273" s="56">
        <f>IF(Settings!$E$12="YES",VLOOKUP(A273,'Player Data'!A1:E667,5,FALSE),82)</f>
        <v>72</v>
      </c>
      <c r="E273" s="54">
        <f>(VLOOKUP($A273,'The List'!$B1:$AH665,17,FALSE)-AVERAGE('The List'!R2:R665))/STDEV('The List'!R2:R665)</f>
        <v>0.30512874495233616</v>
      </c>
      <c r="F273" s="54">
        <f>(VLOOKUP($A273,'The List'!$B1:$AH665,18,FALSE)-AVERAGE('The List'!S2:S665))/STDEV('The List'!S2:S665)</f>
        <v>-0.54442939480019836</v>
      </c>
      <c r="G273" s="54">
        <f>(VLOOKUP($A273,'The List'!$B1:$AH665,19,FALSE)-AVERAGE('The List'!T2:T665))/STDEV('The List'!T2:T665)</f>
        <v>6.0039714993360492E-2</v>
      </c>
      <c r="H273" s="54">
        <f>(VLOOKUP($A273,'The List'!$B1:$AH665,20,FALSE)-AVERAGE('The List'!U2:U665))/STDEV('The List'!U2:U665)</f>
        <v>-0.21018099981230037</v>
      </c>
      <c r="I273" s="54">
        <f>(VLOOKUP($A273,'The List'!$B1:$AH665,21,FALSE)-AVERAGE('The List'!V2:V665))/STDEV('The List'!V2:V665)</f>
        <v>5.2023405915763821E-2</v>
      </c>
      <c r="J273" s="54">
        <f>(VLOOKUP($A273,'The List'!$B1:$AH665,22,FALSE)-AVERAGE('The List'!W2:W665))/STDEV('The List'!W2:W665)</f>
        <v>-0.28336195364959471</v>
      </c>
      <c r="K273" s="54">
        <f>(VLOOKUP($A273,'The List'!$B1:$AH665,23,FALSE)-AVERAGE('The List'!X2:X665))/STDEV('The List'!X2:X665)</f>
        <v>-0.13162457407331576</v>
      </c>
      <c r="L273" s="54">
        <f>(VLOOKUP($A273,'The List'!$B1:$AH665,24,FALSE)-AVERAGE('The List'!Y2:Y665))/STDEV('The List'!Y2:Y665)</f>
        <v>-0.5801829139020841</v>
      </c>
      <c r="M273" s="54">
        <f>(VLOOKUP($A273,'The List'!$B1:$AH665,25,FALSE)-AVERAGE('The List'!Z2:Z665))/STDEV('The List'!Z2:Z665)</f>
        <v>-0.75403666498999722</v>
      </c>
      <c r="N273" s="54">
        <f>(VLOOKUP($A273,'The List'!$B1:$AH665,26,FALSE)-AVERAGE('The List'!AA2:AA665))/STDEV('The List'!AA2:AA665)</f>
        <v>0.47489587231495872</v>
      </c>
      <c r="O273" s="54">
        <f>(VLOOKUP($A273,'The List'!$B1:$AH665,27,FALSE)-AVERAGE('The List'!AB2:AB665))/STDEV('The List'!AB2:AB665)</f>
        <v>-6.4582399439618215E-2</v>
      </c>
      <c r="P273" s="54">
        <f>(VLOOKUP($A273,'The List'!$B1:$AH665,28,FALSE)-AVERAGE('The List'!AC2:AC665))/STDEV('The List'!AC2:AC665)</f>
        <v>-1.0735461902193086</v>
      </c>
      <c r="Q273" s="54">
        <f>(VLOOKUP($A273,'The List'!$B1:$AH665,29,FALSE)-AVERAGE('The List'!AD2:AD665))/STDEV('The List'!AD2:AD665)</f>
        <v>-0.24325861401626137</v>
      </c>
      <c r="R273" s="54">
        <f>(VLOOKUP($A273,'The List'!$B1:$AH665,30,FALSE)-AVERAGE('The List'!AE2:AE665))/STDEV('The List'!AE2:AE665)</f>
        <v>-0.68800671961835358</v>
      </c>
      <c r="S273" s="54">
        <f>(VLOOKUP($A273,'The List'!$B1:$AH665,31,FALSE)-AVERAGE('The List'!AF2:AF665))/STDEV('The List'!AF2:AF665)</f>
        <v>-0.57389441068000469</v>
      </c>
      <c r="T273" s="54">
        <f>(VLOOKUP($A273,'The List'!$B1:$AH665,32,FALSE)-AVERAGE('The List'!AG2:AG665))/STDEV('The List'!AG2:AG665)</f>
        <v>-0.62577078713265111</v>
      </c>
      <c r="U273" s="54">
        <f>(VLOOKUP($A273,'The List'!$B1:$AH665,33,FALSE)-AVERAGE('The List'!AH2:AH665))/STDEV('The List'!AH2:AH665)</f>
        <v>-1.2314350945148611</v>
      </c>
      <c r="V273" s="54"/>
      <c r="W273" s="64"/>
      <c r="X273" s="56"/>
      <c r="Y273" s="56"/>
      <c r="Z273" s="56"/>
      <c r="AA273" s="56"/>
      <c r="AB273" s="56"/>
      <c r="AC273" s="59"/>
      <c r="AD273" s="60"/>
      <c r="AE273" s="54"/>
    </row>
    <row r="274" spans="1:31" ht="21.25" customHeight="1" x14ac:dyDescent="0.15">
      <c r="A274" s="9" t="s">
        <v>632</v>
      </c>
      <c r="B274" s="65" t="str">
        <f>VLOOKUP(A274,'Player Data'!A1:B667,2,FALSE)</f>
        <v>BOS</v>
      </c>
      <c r="C274" s="51">
        <f>((E274)*Settings!$C$12)+(F274*Settings!$C$2)+(G274*Settings!$C$3)+(H274*Settings!$C$4)+(I274*Settings!$C$5)+(K274*Settings!$C$9)+(N274*Settings!$C$6)+(J274*Settings!$C$8)+(O274*Settings!$C$7)+(P274*Settings!$C$14)+(Q274*Settings!$C$15)+(R274*Settings!$C$16)+(S274*Settings!$C$17)+(T274*Settings!$C$18)+(U274*Settings!$C$19)+(L274*Settings!$C$10)+(Settings!$C$11*M274)</f>
        <v>-2.3989784436740935</v>
      </c>
      <c r="D274" s="56">
        <f>IF(Settings!$E$12="YES",VLOOKUP(A274,'Player Data'!A1:E667,5,FALSE),82)</f>
        <v>55.884999999999998</v>
      </c>
      <c r="E274" s="54">
        <f>(VLOOKUP($A274,'The List'!$B1:$AH665,17,FALSE)-AVERAGE('The List'!R2:R665))/STDEV('The List'!R2:R665)</f>
        <v>-0.99973350183867038</v>
      </c>
      <c r="F274" s="54">
        <f>(VLOOKUP($A274,'The List'!$B1:$AH665,18,FALSE)-AVERAGE('The List'!S2:S665))/STDEV('The List'!S2:S665)</f>
        <v>-8.8100984198937513E-2</v>
      </c>
      <c r="G274" s="54">
        <f>(VLOOKUP($A274,'The List'!$B1:$AH665,19,FALSE)-AVERAGE('The List'!T2:T665))/STDEV('The List'!T2:T665)</f>
        <v>-0.79301825320753583</v>
      </c>
      <c r="H274" s="54">
        <f>(VLOOKUP($A274,'The List'!$B1:$AH665,20,FALSE)-AVERAGE('The List'!U2:U665))/STDEV('The List'!U2:U665)</f>
        <v>-0.53255501025700047</v>
      </c>
      <c r="I274" s="54">
        <f>(VLOOKUP($A274,'The List'!$B1:$AH665,21,FALSE)-AVERAGE('The List'!V2:V665))/STDEV('The List'!V2:V665)</f>
        <v>-0.62871081271122831</v>
      </c>
      <c r="J274" s="54">
        <f>(VLOOKUP($A274,'The List'!$B1:$AH665,22,FALSE)-AVERAGE('The List'!W2:W665))/STDEV('The List'!W2:W665)</f>
        <v>-3.4313523749013496E-2</v>
      </c>
      <c r="K274" s="54">
        <f>(VLOOKUP($A274,'The List'!$B1:$AH665,23,FALSE)-AVERAGE('The List'!X2:X665))/STDEV('The List'!X2:X665)</f>
        <v>-0.42482977283375001</v>
      </c>
      <c r="L274" s="54">
        <f>(VLOOKUP($A274,'The List'!$B1:$AH665,24,FALSE)-AVERAGE('The List'!Y2:Y665))/STDEV('The List'!Y2:Y665)</f>
        <v>-0.5801829139020841</v>
      </c>
      <c r="M274" s="54">
        <f>(VLOOKUP($A274,'The List'!$B1:$AH665,25,FALSE)-AVERAGE('The List'!Z2:Z665))/STDEV('The List'!Z2:Z665)</f>
        <v>-0.75403666498999722</v>
      </c>
      <c r="N274" s="54">
        <f>(VLOOKUP($A274,'The List'!$B1:$AH665,26,FALSE)-AVERAGE('The List'!AA2:AA665))/STDEV('The List'!AA2:AA665)</f>
        <v>-0.78457251799476879</v>
      </c>
      <c r="O274" s="54">
        <f>(VLOOKUP($A274,'The List'!$B1:$AH665,27,FALSE)-AVERAGE('The List'!AB2:AB665))/STDEV('The List'!AB2:AB665)</f>
        <v>0.11997854677690842</v>
      </c>
      <c r="P274" s="54">
        <f>(VLOOKUP($A274,'The List'!$B1:$AH665,28,FALSE)-AVERAGE('The List'!AC2:AC665))/STDEV('The List'!AC2:AC665)</f>
        <v>0.32025389727212705</v>
      </c>
      <c r="Q274" s="54">
        <f>(VLOOKUP($A274,'The List'!$B1:$AH665,29,FALSE)-AVERAGE('The List'!AD2:AD665))/STDEV('The List'!AD2:AD665)</f>
        <v>-1.1686994397116988</v>
      </c>
      <c r="R274" s="54">
        <f>(VLOOKUP($A274,'The List'!$B1:$AH665,30,FALSE)-AVERAGE('The List'!AE2:AE665))/STDEV('The List'!AE2:AE665)</f>
        <v>-2.9971761633395041E-2</v>
      </c>
      <c r="S274" s="54">
        <f>(VLOOKUP($A274,'The List'!$B1:$AH665,31,FALSE)-AVERAGE('The List'!AF2:AF665))/STDEV('The List'!AF2:AF665)</f>
        <v>-0.52327147222818371</v>
      </c>
      <c r="T274" s="54">
        <f>(VLOOKUP($A274,'The List'!$B1:$AH665,32,FALSE)-AVERAGE('The List'!AG2:AG665))/STDEV('The List'!AG2:AG665)</f>
        <v>-0.50013287172878562</v>
      </c>
      <c r="U274" s="54">
        <f>(VLOOKUP($A274,'The List'!$B1:$AH665,33,FALSE)-AVERAGE('The List'!AH2:AH665))/STDEV('The List'!AH2:AH665)</f>
        <v>0.12848246969384425</v>
      </c>
      <c r="V274" s="54"/>
      <c r="W274" s="56"/>
      <c r="X274" s="54"/>
      <c r="Y274" s="54"/>
      <c r="Z274" s="54"/>
      <c r="AA274" s="54"/>
      <c r="AB274" s="54"/>
      <c r="AC274" s="54"/>
      <c r="AD274" s="54"/>
      <c r="AE274" s="54"/>
    </row>
    <row r="275" spans="1:31" ht="21.25" customHeight="1" x14ac:dyDescent="0.15">
      <c r="A275" s="9" t="s">
        <v>281</v>
      </c>
      <c r="B275" s="65" t="str">
        <f>VLOOKUP(A275,'Player Data'!A1:B667,2,FALSE)</f>
        <v>PHI</v>
      </c>
      <c r="C275" s="51">
        <f>((E275)*Settings!$C$12)+(F275*Settings!$C$2)+(G275*Settings!$C$3)+(H275*Settings!$C$4)+(I275*Settings!$C$5)+(K275*Settings!$C$9)+(N275*Settings!$C$6)+(J275*Settings!$C$8)+(O275*Settings!$C$7)+(P275*Settings!$C$14)+(Q275*Settings!$C$15)+(R275*Settings!$C$16)+(S275*Settings!$C$17)+(T275*Settings!$C$18)+(U275*Settings!$C$19)+(L275*Settings!$C$10)+(Settings!$C$11*M275)</f>
        <v>0.395151057787412</v>
      </c>
      <c r="D275" s="56">
        <f>IF(Settings!$E$12="YES",VLOOKUP(A275,'Player Data'!A1:E667,5,FALSE),82)</f>
        <v>81.515000000000001</v>
      </c>
      <c r="E275" s="54">
        <f>(VLOOKUP($A275,'The List'!$B1:$AH665,17,FALSE)-AVERAGE('The List'!R2:R665))/STDEV('The List'!R2:R665)</f>
        <v>1.8145117941638353</v>
      </c>
      <c r="F275" s="54">
        <f>(VLOOKUP($A275,'The List'!$B1:$AH665,18,FALSE)-AVERAGE('The List'!S2:S665))/STDEV('The List'!S2:S665)</f>
        <v>-0.49252722161220475</v>
      </c>
      <c r="G275" s="54">
        <f>(VLOOKUP($A275,'The List'!$B1:$AH665,19,FALSE)-AVERAGE('The List'!T2:T665))/STDEV('The List'!T2:T665)</f>
        <v>0.32033223120699356</v>
      </c>
      <c r="H275" s="54">
        <f>(VLOOKUP($A275,'The List'!$B1:$AH665,20,FALSE)-AVERAGE('The List'!U2:U665))/STDEV('The List'!U2:U665)</f>
        <v>-2.4932706664080227E-2</v>
      </c>
      <c r="I275" s="54">
        <f>(VLOOKUP($A275,'The List'!$B1:$AH665,21,FALSE)-AVERAGE('The List'!V2:V665))/STDEV('The List'!V2:V665)</f>
        <v>9.5268063763216504E-2</v>
      </c>
      <c r="J275" s="54">
        <f>(VLOOKUP($A275,'The List'!$B1:$AH665,22,FALSE)-AVERAGE('The List'!W2:W665))/STDEV('The List'!W2:W665)</f>
        <v>-0.70793668663562181</v>
      </c>
      <c r="K275" s="54">
        <f>(VLOOKUP($A275,'The List'!$B1:$AH665,23,FALSE)-AVERAGE('The List'!X2:X665))/STDEV('The List'!X2:X665)</f>
        <v>-0.49049060682274803</v>
      </c>
      <c r="L275" s="54">
        <f>(VLOOKUP($A275,'The List'!$B1:$AH665,24,FALSE)-AVERAGE('The List'!Y2:Y665))/STDEV('The List'!Y2:Y665)</f>
        <v>0.91453477460796262</v>
      </c>
      <c r="M275" s="54">
        <f>(VLOOKUP($A275,'The List'!$B1:$AH665,25,FALSE)-AVERAGE('The List'!Z2:Z665))/STDEV('The List'!Z2:Z665)</f>
        <v>1.9627784146456302</v>
      </c>
      <c r="N275" s="54">
        <f>(VLOOKUP($A275,'The List'!$B1:$AH665,26,FALSE)-AVERAGE('The List'!AA2:AA665))/STDEV('The List'!AA2:AA665)</f>
        <v>2.0174457333460785</v>
      </c>
      <c r="O275" s="54">
        <f>(VLOOKUP($A275,'The List'!$B1:$AH665,27,FALSE)-AVERAGE('The List'!AB2:AB665))/STDEV('The List'!AB2:AB665)</f>
        <v>-0.12994463735773953</v>
      </c>
      <c r="P275" s="54">
        <f>(VLOOKUP($A275,'The List'!$B1:$AH665,28,FALSE)-AVERAGE('The List'!AC2:AC665))/STDEV('The List'!AC2:AC665)</f>
        <v>-1.0548771420939238</v>
      </c>
      <c r="Q275" s="54">
        <f>(VLOOKUP($A275,'The List'!$B1:$AH665,29,FALSE)-AVERAGE('The List'!AD2:AD665))/STDEV('The List'!AD2:AD665)</f>
        <v>0.8507666374289341</v>
      </c>
      <c r="R275" s="54">
        <f>(VLOOKUP($A275,'The List'!$B1:$AH665,30,FALSE)-AVERAGE('The List'!AE2:AE665))/STDEV('The List'!AE2:AE665)</f>
        <v>-0.49260615529279805</v>
      </c>
      <c r="S275" s="54">
        <f>(VLOOKUP($A275,'The List'!$B1:$AH665,31,FALSE)-AVERAGE('The List'!AF2:AF665))/STDEV('The List'!AF2:AF665)</f>
        <v>-0.57389441068000469</v>
      </c>
      <c r="T275" s="54">
        <f>(VLOOKUP($A275,'The List'!$B1:$AH665,32,FALSE)-AVERAGE('The List'!AG2:AG665))/STDEV('The List'!AG2:AG665)</f>
        <v>-0.62577078713265111</v>
      </c>
      <c r="U275" s="54">
        <f>(VLOOKUP($A275,'The List'!$B1:$AH665,33,FALSE)-AVERAGE('The List'!AH2:AH665))/STDEV('The List'!AH2:AH665)</f>
        <v>-1.2314350945148611</v>
      </c>
      <c r="V275" s="54"/>
      <c r="W275" s="64"/>
      <c r="X275" s="56"/>
      <c r="Y275" s="56"/>
      <c r="Z275" s="56"/>
      <c r="AA275" s="56"/>
      <c r="AB275" s="56"/>
      <c r="AC275" s="59"/>
      <c r="AD275" s="60"/>
      <c r="AE275" s="54"/>
    </row>
    <row r="276" spans="1:31" ht="21.25" customHeight="1" x14ac:dyDescent="0.15">
      <c r="A276" s="9" t="s">
        <v>487</v>
      </c>
      <c r="B276" s="65" t="str">
        <f>VLOOKUP(A276,'Player Data'!A1:B667,2,FALSE)</f>
        <v>BOS</v>
      </c>
      <c r="C276" s="51">
        <f>((E276)*Settings!$C$12)+(F276*Settings!$C$2)+(G276*Settings!$C$3)+(H276*Settings!$C$4)+(I276*Settings!$C$5)+(K276*Settings!$C$9)+(N276*Settings!$C$6)+(J276*Settings!$C$8)+(O276*Settings!$C$7)+(P276*Settings!$C$14)+(Q276*Settings!$C$15)+(R276*Settings!$C$16)+(S276*Settings!$C$17)+(T276*Settings!$C$18)+(U276*Settings!$C$19)+(L276*Settings!$C$10)+(Settings!$C$11*M276)</f>
        <v>-0.71488338848390154</v>
      </c>
      <c r="D276" s="56">
        <f>IF(Settings!$E$12="YES",VLOOKUP(A276,'Player Data'!A1:E667,5,FALSE),82)</f>
        <v>79.417500000000004</v>
      </c>
      <c r="E276" s="54">
        <f>(VLOOKUP($A276,'The List'!$B1:$AH665,17,FALSE)-AVERAGE('The List'!R2:R665))/STDEV('The List'!R2:R665)</f>
        <v>-0.91106879803357255</v>
      </c>
      <c r="F276" s="54">
        <f>(VLOOKUP($A276,'The List'!$B1:$AH665,18,FALSE)-AVERAGE('The List'!S2:S665))/STDEV('The List'!S2:S665)</f>
        <v>0.26155944381344559</v>
      </c>
      <c r="G276" s="54">
        <f>(VLOOKUP($A276,'The List'!$B1:$AH665,19,FALSE)-AVERAGE('The List'!T2:T665))/STDEV('The List'!T2:T665)</f>
        <v>-0.31057865978757676</v>
      </c>
      <c r="H276" s="54">
        <f>(VLOOKUP($A276,'The List'!$B1:$AH665,20,FALSE)-AVERAGE('The List'!U2:U665))/STDEV('The List'!U2:U665)</f>
        <v>-7.3995610848815244E-2</v>
      </c>
      <c r="I276" s="54">
        <f>(VLOOKUP($A276,'The List'!$B1:$AH665,21,FALSE)-AVERAGE('The List'!V2:V665))/STDEV('The List'!V2:V665)</f>
        <v>-0.13125968512610436</v>
      </c>
      <c r="J276" s="54">
        <f>(VLOOKUP($A276,'The List'!$B1:$AH665,22,FALSE)-AVERAGE('The List'!W2:W665))/STDEV('The List'!W2:W665)</f>
        <v>-0.56351146729263379</v>
      </c>
      <c r="K276" s="54">
        <f>(VLOOKUP($A276,'The List'!$B1:$AH665,23,FALSE)-AVERAGE('The List'!X2:X665))/STDEV('The List'!X2:X665)</f>
        <v>-0.72553304219082315</v>
      </c>
      <c r="L276" s="54">
        <f>(VLOOKUP($A276,'The List'!$B1:$AH665,24,FALSE)-AVERAGE('The List'!Y2:Y665))/STDEV('The List'!Y2:Y665)</f>
        <v>-0.4360689447882844</v>
      </c>
      <c r="M276" s="54">
        <f>(VLOOKUP($A276,'The List'!$B1:$AH665,25,FALSE)-AVERAGE('The List'!Z2:Z665))/STDEV('The List'!Z2:Z665)</f>
        <v>-0.38818277739882601</v>
      </c>
      <c r="N276" s="54">
        <f>(VLOOKUP($A276,'The List'!$B1:$AH665,26,FALSE)-AVERAGE('The List'!AA2:AA665))/STDEV('The List'!AA2:AA665)</f>
        <v>-0.48903384825879764</v>
      </c>
      <c r="O276" s="54">
        <f>(VLOOKUP($A276,'The List'!$B1:$AH665,27,FALSE)-AVERAGE('The List'!AB2:AB665))/STDEV('The List'!AB2:AB665)</f>
        <v>1.5247269840616433</v>
      </c>
      <c r="P276" s="54">
        <f>(VLOOKUP($A276,'The List'!$B1:$AH665,28,FALSE)-AVERAGE('The List'!AC2:AC665))/STDEV('The List'!AC2:AC665)</f>
        <v>0.6799624030659549</v>
      </c>
      <c r="Q276" s="54">
        <f>(VLOOKUP($A276,'The List'!$B1:$AH665,29,FALSE)-AVERAGE('The List'!AD2:AD665))/STDEV('The List'!AD2:AD665)</f>
        <v>1.9676123126917422</v>
      </c>
      <c r="R276" s="54">
        <f>(VLOOKUP($A276,'The List'!$B1:$AH665,30,FALSE)-AVERAGE('The List'!AE2:AE665))/STDEV('The List'!AE2:AE665)</f>
        <v>0.31959547961421414</v>
      </c>
      <c r="S276" s="54">
        <f>(VLOOKUP($A276,'The List'!$B1:$AH665,31,FALSE)-AVERAGE('The List'!AF2:AF665))/STDEV('The List'!AF2:AF665)</f>
        <v>-0.11209245369289977</v>
      </c>
      <c r="T276" s="54">
        <f>(VLOOKUP($A276,'The List'!$B1:$AH665,32,FALSE)-AVERAGE('The List'!AG2:AG665))/STDEV('The List'!AG2:AG665)</f>
        <v>0.10357738237990291</v>
      </c>
      <c r="U276" s="54">
        <f>(VLOOKUP($A276,'The List'!$B1:$AH665,33,FALSE)-AVERAGE('The List'!AH2:AH665))/STDEV('The List'!AH2:AH665)</f>
        <v>0.59284355554060997</v>
      </c>
      <c r="V276" s="54"/>
      <c r="W276" s="64"/>
      <c r="X276" s="56"/>
      <c r="Y276" s="56"/>
      <c r="Z276" s="56"/>
      <c r="AA276" s="56"/>
      <c r="AB276" s="56"/>
      <c r="AC276" s="59"/>
      <c r="AD276" s="60"/>
      <c r="AE276" s="54"/>
    </row>
    <row r="277" spans="1:31" ht="21.25" customHeight="1" x14ac:dyDescent="0.15">
      <c r="A277" s="9" t="s">
        <v>422</v>
      </c>
      <c r="B277" s="65" t="str">
        <f>VLOOKUP(A277,'Player Data'!A1:B667,2,FALSE)</f>
        <v>FLA</v>
      </c>
      <c r="C277" s="51">
        <f>((E277)*Settings!$C$12)+(F277*Settings!$C$2)+(G277*Settings!$C$3)+(H277*Settings!$C$4)+(I277*Settings!$C$5)+(K277*Settings!$C$9)+(N277*Settings!$C$6)+(J277*Settings!$C$8)+(O277*Settings!$C$7)+(P277*Settings!$C$14)+(Q277*Settings!$C$15)+(R277*Settings!$C$16)+(S277*Settings!$C$17)+(T277*Settings!$C$18)+(U277*Settings!$C$19)+(L277*Settings!$C$10)+(Settings!$C$11*M277)</f>
        <v>-2.312013299902925</v>
      </c>
      <c r="D277" s="56">
        <f>IF(Settings!$E$12="YES",VLOOKUP(A277,'Player Data'!A1:E667,5,FALSE),82)</f>
        <v>65.737499999999997</v>
      </c>
      <c r="E277" s="54">
        <f>(VLOOKUP($A277,'The List'!$B1:$AH665,17,FALSE)-AVERAGE('The List'!R2:R665))/STDEV('The List'!R2:R665)</f>
        <v>0.57896469454763999</v>
      </c>
      <c r="F277" s="54">
        <f>(VLOOKUP($A277,'The List'!$B1:$AH665,18,FALSE)-AVERAGE('The List'!S2:S665))/STDEV('The List'!S2:S665)</f>
        <v>-0.65970665074401791</v>
      </c>
      <c r="G277" s="54">
        <f>(VLOOKUP($A277,'The List'!$B1:$AH665,19,FALSE)-AVERAGE('The List'!T2:T665))/STDEV('The List'!T2:T665)</f>
        <v>-8.4159452841429783E-2</v>
      </c>
      <c r="H277" s="54">
        <f>(VLOOKUP($A277,'The List'!$B1:$AH665,20,FALSE)-AVERAGE('The List'!U2:U665))/STDEV('The List'!U2:U665)</f>
        <v>-0.35213578347924451</v>
      </c>
      <c r="I277" s="54">
        <f>(VLOOKUP($A277,'The List'!$B1:$AH665,21,FALSE)-AVERAGE('The List'!V2:V665))/STDEV('The List'!V2:V665)</f>
        <v>-0.6471350016911025</v>
      </c>
      <c r="J277" s="54">
        <f>(VLOOKUP($A277,'The List'!$B1:$AH665,22,FALSE)-AVERAGE('The List'!W2:W665))/STDEV('The List'!W2:W665)</f>
        <v>-0.32640973023802766</v>
      </c>
      <c r="K277" s="54">
        <f>(VLOOKUP($A277,'The List'!$B1:$AH665,23,FALSE)-AVERAGE('The List'!X2:X665))/STDEV('The List'!X2:X665)</f>
        <v>0.42570034421984765</v>
      </c>
      <c r="L277" s="54">
        <f>(VLOOKUP($A277,'The List'!$B1:$AH665,24,FALSE)-AVERAGE('The List'!Y2:Y665))/STDEV('The List'!Y2:Y665)</f>
        <v>-0.57364421944462129</v>
      </c>
      <c r="M277" s="54">
        <f>(VLOOKUP($A277,'The List'!$B1:$AH665,25,FALSE)-AVERAGE('The List'!Z2:Z665))/STDEV('The List'!Z2:Z665)</f>
        <v>-0.73464192806022877</v>
      </c>
      <c r="N277" s="54">
        <f>(VLOOKUP($A277,'The List'!$B1:$AH665,26,FALSE)-AVERAGE('The List'!AA2:AA665))/STDEV('The List'!AA2:AA665)</f>
        <v>0.3213744074035631</v>
      </c>
      <c r="O277" s="54">
        <f>(VLOOKUP($A277,'The List'!$B1:$AH665,27,FALSE)-AVERAGE('The List'!AB2:AB665))/STDEV('The List'!AB2:AB665)</f>
        <v>-0.87150457656736968</v>
      </c>
      <c r="P277" s="54">
        <f>(VLOOKUP($A277,'The List'!$B1:$AH665,28,FALSE)-AVERAGE('The List'!AC2:AC665))/STDEV('The List'!AC2:AC665)</f>
        <v>-1.6680869462497856</v>
      </c>
      <c r="Q277" s="54">
        <f>(VLOOKUP($A277,'The List'!$B1:$AH665,29,FALSE)-AVERAGE('The List'!AD2:AD665))/STDEV('The List'!AD2:AD665)</f>
        <v>-1.2277601082113072</v>
      </c>
      <c r="R277" s="54">
        <f>(VLOOKUP($A277,'The List'!$B1:$AH665,30,FALSE)-AVERAGE('The List'!AE2:AE665))/STDEV('The List'!AE2:AE665)</f>
        <v>-0.53825335593818713</v>
      </c>
      <c r="S277" s="54">
        <f>(VLOOKUP($A277,'The List'!$B1:$AH665,31,FALSE)-AVERAGE('The List'!AF2:AF665))/STDEV('The List'!AF2:AF665)</f>
        <v>-0.57389441068000469</v>
      </c>
      <c r="T277" s="54">
        <f>(VLOOKUP($A277,'The List'!$B1:$AH665,32,FALSE)-AVERAGE('The List'!AG2:AG665))/STDEV('The List'!AG2:AG665)</f>
        <v>-0.62577078713265111</v>
      </c>
      <c r="U277" s="54">
        <f>(VLOOKUP($A277,'The List'!$B1:$AH665,33,FALSE)-AVERAGE('The List'!AH2:AH665))/STDEV('The List'!AH2:AH665)</f>
        <v>-1.2314350945148611</v>
      </c>
      <c r="V277" s="54"/>
      <c r="W277" s="56"/>
      <c r="X277" s="54"/>
      <c r="Y277" s="54"/>
      <c r="Z277" s="54"/>
      <c r="AA277" s="54"/>
      <c r="AB277" s="54"/>
      <c r="AC277" s="54"/>
      <c r="AD277" s="54"/>
      <c r="AE277" s="54"/>
    </row>
    <row r="278" spans="1:31" ht="21.25" customHeight="1" x14ac:dyDescent="0.15">
      <c r="A278" s="9" t="s">
        <v>273</v>
      </c>
      <c r="B278" s="65" t="str">
        <f>VLOOKUP(A278,'Player Data'!A1:B667,2,FALSE)</f>
        <v>S.J</v>
      </c>
      <c r="C278" s="51">
        <f>((E278)*Settings!$C$12)+(F278*Settings!$C$2)+(G278*Settings!$C$3)+(H278*Settings!$C$4)+(I278*Settings!$C$5)+(K278*Settings!$C$9)+(N278*Settings!$C$6)+(J278*Settings!$C$8)+(O278*Settings!$C$7)+(P278*Settings!$C$14)+(Q278*Settings!$C$15)+(R278*Settings!$C$16)+(S278*Settings!$C$17)+(T278*Settings!$C$18)+(U278*Settings!$C$19)+(L278*Settings!$C$10)+(Settings!$C$11*M278)</f>
        <v>1.4877191024421008</v>
      </c>
      <c r="D278" s="56">
        <f>IF(Settings!$E$12="YES",VLOOKUP(A278,'Player Data'!A1:E667,5,FALSE),82)</f>
        <v>72.944999999999993</v>
      </c>
      <c r="E278" s="54">
        <f>(VLOOKUP($A278,'The List'!$B1:$AH665,17,FALSE)-AVERAGE('The List'!R2:R665))/STDEV('The List'!R2:R665)</f>
        <v>1.4371813211875628</v>
      </c>
      <c r="F278" s="54">
        <f>(VLOOKUP($A278,'The List'!$B1:$AH665,18,FALSE)-AVERAGE('The List'!S2:S665))/STDEV('The List'!S2:S665)</f>
        <v>-0.18206243082301546</v>
      </c>
      <c r="G278" s="54">
        <f>(VLOOKUP($A278,'The List'!$B1:$AH665,19,FALSE)-AVERAGE('The List'!T2:T665))/STDEV('The List'!T2:T665)</f>
        <v>-0.2078483732903684</v>
      </c>
      <c r="H278" s="54">
        <f>(VLOOKUP($A278,'The List'!$B1:$AH665,20,FALSE)-AVERAGE('The List'!U2:U665))/STDEV('The List'!U2:U665)</f>
        <v>-0.2118415556664173</v>
      </c>
      <c r="I278" s="54">
        <f>(VLOOKUP($A278,'The List'!$B1:$AH665,21,FALSE)-AVERAGE('The List'!V2:V665))/STDEV('The List'!V2:V665)</f>
        <v>0.42218497572986285</v>
      </c>
      <c r="J278" s="54">
        <f>(VLOOKUP($A278,'The List'!$B1:$AH665,22,FALSE)-AVERAGE('The List'!W2:W665))/STDEV('The List'!W2:W665)</f>
        <v>-0.14938020346793424</v>
      </c>
      <c r="K278" s="54">
        <f>(VLOOKUP($A278,'The List'!$B1:$AH665,23,FALSE)-AVERAGE('The List'!X2:X665))/STDEV('The List'!X2:X665)</f>
        <v>0.3866432749335591</v>
      </c>
      <c r="L278" s="54">
        <f>(VLOOKUP($A278,'The List'!$B1:$AH665,24,FALSE)-AVERAGE('The List'!Y2:Y665))/STDEV('The List'!Y2:Y665)</f>
        <v>-0.52558395370182598</v>
      </c>
      <c r="M278" s="54">
        <f>(VLOOKUP($A278,'The List'!$B1:$AH665,25,FALSE)-AVERAGE('The List'!Z2:Z665))/STDEV('The List'!Z2:Z665)</f>
        <v>-7.9174874401138975E-2</v>
      </c>
      <c r="N278" s="54">
        <f>(VLOOKUP($A278,'The List'!$B1:$AH665,26,FALSE)-AVERAGE('The List'!AA2:AA665))/STDEV('The List'!AA2:AA665)</f>
        <v>2.1111082275665782</v>
      </c>
      <c r="O278" s="54">
        <f>(VLOOKUP($A278,'The List'!$B1:$AH665,27,FALSE)-AVERAGE('The List'!AB2:AB665))/STDEV('The List'!AB2:AB665)</f>
        <v>-0.58333994631248154</v>
      </c>
      <c r="P278" s="54">
        <f>(VLOOKUP($A278,'The List'!$B1:$AH665,28,FALSE)-AVERAGE('The List'!AC2:AC665))/STDEV('The List'!AC2:AC665)</f>
        <v>-1.0423065716745157</v>
      </c>
      <c r="Q278" s="54">
        <f>(VLOOKUP($A278,'The List'!$B1:$AH665,29,FALSE)-AVERAGE('The List'!AD2:AD665))/STDEV('The List'!AD2:AD665)</f>
        <v>0.87831969630651952</v>
      </c>
      <c r="R278" s="54">
        <f>(VLOOKUP($A278,'The List'!$B1:$AH665,30,FALSE)-AVERAGE('The List'!AE2:AE665))/STDEV('The List'!AE2:AE665)</f>
        <v>-0.48561619785522647</v>
      </c>
      <c r="S278" s="54">
        <f>(VLOOKUP($A278,'The List'!$B1:$AH665,31,FALSE)-AVERAGE('The List'!AF2:AF665))/STDEV('The List'!AF2:AF665)</f>
        <v>-0.57389441068000469</v>
      </c>
      <c r="T278" s="54">
        <f>(VLOOKUP($A278,'The List'!$B1:$AH665,32,FALSE)-AVERAGE('The List'!AG2:AG665))/STDEV('The List'!AG2:AG665)</f>
        <v>-0.62577078713265111</v>
      </c>
      <c r="U278" s="54">
        <f>(VLOOKUP($A278,'The List'!$B1:$AH665,33,FALSE)-AVERAGE('The List'!AH2:AH665))/STDEV('The List'!AH2:AH665)</f>
        <v>-1.2314350945148611</v>
      </c>
      <c r="V278" s="54"/>
      <c r="W278" s="64"/>
      <c r="X278" s="56"/>
      <c r="Y278" s="56"/>
      <c r="Z278" s="56"/>
      <c r="AA278" s="56"/>
      <c r="AB278" s="56"/>
      <c r="AC278" s="59"/>
      <c r="AD278" s="60"/>
      <c r="AE278" s="54"/>
    </row>
    <row r="279" spans="1:31" ht="21.25" customHeight="1" x14ac:dyDescent="0.15">
      <c r="A279" s="9" t="s">
        <v>742</v>
      </c>
      <c r="B279" s="65" t="str">
        <f>VLOOKUP(A279,'Player Data'!A1:B667,2,FALSE)</f>
        <v>VGK</v>
      </c>
      <c r="C279" s="51">
        <f>((E279)*Settings!$C$12)+(F279*Settings!$C$2)+(G279*Settings!$C$3)+(H279*Settings!$C$4)+(I279*Settings!$C$5)+(K279*Settings!$C$9)+(N279*Settings!$C$6)+(J279*Settings!$C$8)+(O279*Settings!$C$7)+(P279*Settings!$C$14)+(Q279*Settings!$C$15)+(R279*Settings!$C$16)+(S279*Settings!$C$17)+(T279*Settings!$C$18)+(U279*Settings!$C$19)+(L279*Settings!$C$10)+(Settings!$C$11*M279)</f>
        <v>-3.7025759351460072</v>
      </c>
      <c r="D279" s="56">
        <f>IF(Settings!$E$12="YES",VLOOKUP(A279,'Player Data'!A1:E667,5,FALSE),82)</f>
        <v>54.225000000000001</v>
      </c>
      <c r="E279" s="54">
        <f>(VLOOKUP($A279,'The List'!$B1:$AH665,17,FALSE)-AVERAGE('The List'!R2:R665))/STDEV('The List'!R2:R665)</f>
        <v>-1.0118823448868708</v>
      </c>
      <c r="F279" s="54">
        <f>(VLOOKUP($A279,'The List'!$B1:$AH665,18,FALSE)-AVERAGE('The List'!S2:S665))/STDEV('The List'!S2:S665)</f>
        <v>-0.52488947821806409</v>
      </c>
      <c r="G279" s="54">
        <f>(VLOOKUP($A279,'The List'!$B1:$AH665,19,FALSE)-AVERAGE('The List'!T2:T665))/STDEV('The List'!T2:T665)</f>
        <v>-0.55421639527198663</v>
      </c>
      <c r="H279" s="54">
        <f>(VLOOKUP($A279,'The List'!$B1:$AH665,20,FALSE)-AVERAGE('The List'!U2:U665))/STDEV('The List'!U2:U665)</f>
        <v>-0.58278676185632483</v>
      </c>
      <c r="I279" s="54">
        <f>(VLOOKUP($A279,'The List'!$B1:$AH665,21,FALSE)-AVERAGE('The List'!V2:V665))/STDEV('The List'!V2:V665)</f>
        <v>-0.91869625406093314</v>
      </c>
      <c r="J279" s="54">
        <f>(VLOOKUP($A279,'The List'!$B1:$AH665,22,FALSE)-AVERAGE('The List'!W2:W665))/STDEV('The List'!W2:W665)</f>
        <v>-0.6331462875863163</v>
      </c>
      <c r="K279" s="54">
        <f>(VLOOKUP($A279,'The List'!$B1:$AH665,23,FALSE)-AVERAGE('The List'!X2:X665))/STDEV('The List'!X2:X665)</f>
        <v>-0.73828387149229668</v>
      </c>
      <c r="L279" s="54">
        <f>(VLOOKUP($A279,'The List'!$B1:$AH665,24,FALSE)-AVERAGE('The List'!Y2:Y665))/STDEV('The List'!Y2:Y665)</f>
        <v>-0.53743877448853949</v>
      </c>
      <c r="M279" s="54">
        <f>(VLOOKUP($A279,'The List'!$B1:$AH665,25,FALSE)-AVERAGE('The List'!Z2:Z665))/STDEV('The List'!Z2:Z665)</f>
        <v>-0.71107566811683265</v>
      </c>
      <c r="N279" s="54">
        <f>(VLOOKUP($A279,'The List'!$B1:$AH665,26,FALSE)-AVERAGE('The List'!AA2:AA665))/STDEV('The List'!AA2:AA665)</f>
        <v>-1.0432615871375213</v>
      </c>
      <c r="O279" s="54">
        <f>(VLOOKUP($A279,'The List'!$B1:$AH665,27,FALSE)-AVERAGE('The List'!AB2:AB665))/STDEV('The List'!AB2:AB665)</f>
        <v>-0.64257968233805296</v>
      </c>
      <c r="P279" s="54">
        <f>(VLOOKUP($A279,'The List'!$B1:$AH665,28,FALSE)-AVERAGE('The List'!AC2:AC665))/STDEV('The List'!AC2:AC665)</f>
        <v>7.6771651034794983E-2</v>
      </c>
      <c r="Q279" s="54">
        <f>(VLOOKUP($A279,'The List'!$B1:$AH665,29,FALSE)-AVERAGE('The List'!AD2:AD665))/STDEV('The List'!AD2:AD665)</f>
        <v>-1.2521881941299604</v>
      </c>
      <c r="R279" s="54">
        <f>(VLOOKUP($A279,'The List'!$B1:$AH665,30,FALSE)-AVERAGE('The List'!AE2:AE665))/STDEV('The List'!AE2:AE665)</f>
        <v>-0.48559924811084509</v>
      </c>
      <c r="S279" s="54">
        <f>(VLOOKUP($A279,'The List'!$B1:$AH665,31,FALSE)-AVERAGE('The List'!AF2:AF665))/STDEV('The List'!AF2:AF665)</f>
        <v>-0.49938661122127137</v>
      </c>
      <c r="T279" s="54">
        <f>(VLOOKUP($A279,'The List'!$B1:$AH665,32,FALSE)-AVERAGE('The List'!AG2:AG665))/STDEV('The List'!AG2:AG665)</f>
        <v>-0.54652096009256657</v>
      </c>
      <c r="U279" s="54">
        <f>(VLOOKUP($A279,'The List'!$B1:$AH665,33,FALSE)-AVERAGE('The List'!AH2:AH665))/STDEV('The List'!AH2:AH665)</f>
        <v>1.0350941791663146</v>
      </c>
      <c r="V279" s="54"/>
      <c r="W279" s="56"/>
      <c r="X279" s="54"/>
      <c r="Y279" s="54"/>
      <c r="Z279" s="54"/>
      <c r="AA279" s="54"/>
      <c r="AB279" s="54"/>
      <c r="AC279" s="54"/>
      <c r="AD279" s="54"/>
      <c r="AE279" s="54"/>
    </row>
    <row r="280" spans="1:31" ht="21.25" customHeight="1" x14ac:dyDescent="0.15">
      <c r="A280" s="9" t="s">
        <v>645</v>
      </c>
      <c r="B280" s="65" t="str">
        <f>VLOOKUP(A280,'Player Data'!A1:B667,2,FALSE)</f>
        <v>DET</v>
      </c>
      <c r="C280" s="51">
        <f>((E280)*Settings!$C$12)+(F280*Settings!$C$2)+(G280*Settings!$C$3)+(H280*Settings!$C$4)+(I280*Settings!$C$5)+(K280*Settings!$C$9)+(N280*Settings!$C$6)+(J280*Settings!$C$8)+(O280*Settings!$C$7)+(P280*Settings!$C$14)+(Q280*Settings!$C$15)+(R280*Settings!$C$16)+(S280*Settings!$C$17)+(T280*Settings!$C$18)+(U280*Settings!$C$19)+(L280*Settings!$C$10)+(Settings!$C$11*M280)</f>
        <v>-2.9972465461825277</v>
      </c>
      <c r="D280" s="56">
        <f>IF(Settings!$E$12="YES",VLOOKUP(A280,'Player Data'!A1:E667,5,FALSE),82)</f>
        <v>63.342500000000001</v>
      </c>
      <c r="E280" s="54">
        <f>(VLOOKUP($A280,'The List'!$B1:$AH665,17,FALSE)-AVERAGE('The List'!R2:R665))/STDEV('The List'!R2:R665)</f>
        <v>-0.99714252940967185</v>
      </c>
      <c r="F280" s="54">
        <f>(VLOOKUP($A280,'The List'!$B1:$AH665,18,FALSE)-AVERAGE('The List'!S2:S665))/STDEV('The List'!S2:S665)</f>
        <v>-7.9781083904486544E-2</v>
      </c>
      <c r="G280" s="54">
        <f>(VLOOKUP($A280,'The List'!$B1:$AH665,19,FALSE)-AVERAGE('The List'!T2:T665))/STDEV('The List'!T2:T665)</f>
        <v>-0.59377449687271311</v>
      </c>
      <c r="H280" s="54">
        <f>(VLOOKUP($A280,'The List'!$B1:$AH665,20,FALSE)-AVERAGE('The List'!U2:U665))/STDEV('The List'!U2:U665)</f>
        <v>-0.40503164431198979</v>
      </c>
      <c r="I280" s="54">
        <f>(VLOOKUP($A280,'The List'!$B1:$AH665,21,FALSE)-AVERAGE('The List'!V2:V665))/STDEV('The List'!V2:V665)</f>
        <v>-0.6584869683811525</v>
      </c>
      <c r="J280" s="54">
        <f>(VLOOKUP($A280,'The List'!$B1:$AH665,22,FALSE)-AVERAGE('The List'!W2:W665))/STDEV('The List'!W2:W665)</f>
        <v>0.1303129970904866</v>
      </c>
      <c r="K280" s="54">
        <f>(VLOOKUP($A280,'The List'!$B1:$AH665,23,FALSE)-AVERAGE('The List'!X2:X665))/STDEV('The List'!X2:X665)</f>
        <v>-0.14896109345177208</v>
      </c>
      <c r="L280" s="54">
        <f>(VLOOKUP($A280,'The List'!$B1:$AH665,24,FALSE)-AVERAGE('The List'!Y2:Y665))/STDEV('The List'!Y2:Y665)</f>
        <v>-0.5801829139020841</v>
      </c>
      <c r="M280" s="54">
        <f>(VLOOKUP($A280,'The List'!$B1:$AH665,25,FALSE)-AVERAGE('The List'!Z2:Z665))/STDEV('The List'!Z2:Z665)</f>
        <v>-0.75403666498999722</v>
      </c>
      <c r="N280" s="54">
        <f>(VLOOKUP($A280,'The List'!$B1:$AH665,26,FALSE)-AVERAGE('The List'!AA2:AA665))/STDEV('The List'!AA2:AA665)</f>
        <v>-0.83388558473363994</v>
      </c>
      <c r="O280" s="54">
        <f>(VLOOKUP($A280,'The List'!$B1:$AH665,27,FALSE)-AVERAGE('The List'!AB2:AB665))/STDEV('The List'!AB2:AB665)</f>
        <v>-1.1563746549464073</v>
      </c>
      <c r="P280" s="54">
        <f>(VLOOKUP($A280,'The List'!$B1:$AH665,28,FALSE)-AVERAGE('The List'!AC2:AC665))/STDEV('The List'!AC2:AC665)</f>
        <v>-0.6823573188387636</v>
      </c>
      <c r="Q280" s="54">
        <f>(VLOOKUP($A280,'The List'!$B1:$AH665,29,FALSE)-AVERAGE('The List'!AD2:AD665))/STDEV('The List'!AD2:AD665)</f>
        <v>-1.1744094886687846</v>
      </c>
      <c r="R280" s="54">
        <f>(VLOOKUP($A280,'The List'!$B1:$AH665,30,FALSE)-AVERAGE('The List'!AE2:AE665))/STDEV('The List'!AE2:AE665)</f>
        <v>-0.16980442160017789</v>
      </c>
      <c r="S280" s="54">
        <f>(VLOOKUP($A280,'The List'!$B1:$AH665,31,FALSE)-AVERAGE('The List'!AF2:AF665))/STDEV('The List'!AF2:AF665)</f>
        <v>-0.56716419469354906</v>
      </c>
      <c r="T280" s="54">
        <f>(VLOOKUP($A280,'The List'!$B1:$AH665,32,FALSE)-AVERAGE('The List'!AG2:AG665))/STDEV('The List'!AG2:AG665)</f>
        <v>-0.61611766165961845</v>
      </c>
      <c r="U280" s="54">
        <f>(VLOOKUP($A280,'The List'!$B1:$AH665,33,FALSE)-AVERAGE('The List'!AH2:AH665))/STDEV('The List'!AH2:AH665)</f>
        <v>0.69877994267618571</v>
      </c>
      <c r="V280" s="54"/>
      <c r="W280" s="64"/>
      <c r="X280" s="56"/>
      <c r="Y280" s="56"/>
      <c r="Z280" s="56"/>
      <c r="AA280" s="56"/>
      <c r="AB280" s="56"/>
      <c r="AC280" s="59"/>
      <c r="AD280" s="60"/>
      <c r="AE280" s="54"/>
    </row>
    <row r="281" spans="1:31" ht="21.25" customHeight="1" x14ac:dyDescent="0.15">
      <c r="A281" s="9" t="s">
        <v>326</v>
      </c>
      <c r="B281" s="65" t="str">
        <f>VLOOKUP(A281,'Player Data'!A1:B667,2,FALSE)</f>
        <v>NYR</v>
      </c>
      <c r="C281" s="51">
        <f>((E281)*Settings!$C$12)+(F281*Settings!$C$2)+(G281*Settings!$C$3)+(H281*Settings!$C$4)+(I281*Settings!$C$5)+(K281*Settings!$C$9)+(N281*Settings!$C$6)+(J281*Settings!$C$8)+(O281*Settings!$C$7)+(P281*Settings!$C$14)+(Q281*Settings!$C$15)+(R281*Settings!$C$16)+(S281*Settings!$C$17)+(T281*Settings!$C$18)+(U281*Settings!$C$19)+(L281*Settings!$C$10)+(Settings!$C$11*M281)</f>
        <v>0.57868222232120403</v>
      </c>
      <c r="D281" s="56">
        <f>IF(Settings!$E$12="YES",VLOOKUP(A281,'Player Data'!A1:E667,5,FALSE),82)</f>
        <v>81.262500000000003</v>
      </c>
      <c r="E281" s="54">
        <f>(VLOOKUP($A281,'The List'!$B1:$AH665,17,FALSE)-AVERAGE('The List'!R2:R665))/STDEV('The List'!R2:R665)</f>
        <v>1.5066116036498347</v>
      </c>
      <c r="F281" s="54">
        <f>(VLOOKUP($A281,'The List'!$B1:$AH665,18,FALSE)-AVERAGE('The List'!S2:S665))/STDEV('The List'!S2:S665)</f>
        <v>-0.47376856597456052</v>
      </c>
      <c r="G281" s="54">
        <f>(VLOOKUP($A281,'The List'!$B1:$AH665,19,FALSE)-AVERAGE('The List'!T2:T665))/STDEV('The List'!T2:T665)</f>
        <v>0.25766490220009219</v>
      </c>
      <c r="H281" s="54">
        <f>(VLOOKUP($A281,'The List'!$B1:$AH665,20,FALSE)-AVERAGE('The List'!U2:U665))/STDEV('The List'!U2:U665)</f>
        <v>-5.5325940985301358E-2</v>
      </c>
      <c r="I281" s="54">
        <f>(VLOOKUP($A281,'The List'!$B1:$AH665,21,FALSE)-AVERAGE('The List'!V2:V665))/STDEV('The List'!V2:V665)</f>
        <v>-0.31950870800951664</v>
      </c>
      <c r="J281" s="54">
        <f>(VLOOKUP($A281,'The List'!$B1:$AH665,22,FALSE)-AVERAGE('The List'!W2:W665))/STDEV('The List'!W2:W665)</f>
        <v>-0.55901189836702803</v>
      </c>
      <c r="K281" s="54">
        <f>(VLOOKUP($A281,'The List'!$B1:$AH665,23,FALSE)-AVERAGE('The List'!X2:X665))/STDEV('The List'!X2:X665)</f>
        <v>-0.46669535239877946</v>
      </c>
      <c r="L281" s="54">
        <f>(VLOOKUP($A281,'The List'!$B1:$AH665,24,FALSE)-AVERAGE('The List'!Y2:Y665))/STDEV('The List'!Y2:Y665)</f>
        <v>-0.5201825406016567</v>
      </c>
      <c r="M281" s="54">
        <f>(VLOOKUP($A281,'The List'!$B1:$AH665,25,FALSE)-AVERAGE('The List'!Z2:Z665))/STDEV('The List'!Z2:Z665)</f>
        <v>0.19105925908695423</v>
      </c>
      <c r="N281" s="54">
        <f>(VLOOKUP($A281,'The List'!$B1:$AH665,26,FALSE)-AVERAGE('The List'!AA2:AA665))/STDEV('The List'!AA2:AA665)</f>
        <v>1.2568349457165411</v>
      </c>
      <c r="O281" s="54">
        <f>(VLOOKUP($A281,'The List'!$B1:$AH665,27,FALSE)-AVERAGE('The List'!AB2:AB665))/STDEV('The List'!AB2:AB665)</f>
        <v>1.1406229615532915</v>
      </c>
      <c r="P281" s="54">
        <f>(VLOOKUP($A281,'The List'!$B1:$AH665,28,FALSE)-AVERAGE('The List'!AC2:AC665))/STDEV('The List'!AC2:AC665)</f>
        <v>0.32415500078742743</v>
      </c>
      <c r="Q281" s="54">
        <f>(VLOOKUP($A281,'The List'!$B1:$AH665,29,FALSE)-AVERAGE('The List'!AD2:AD665))/STDEV('The List'!AD2:AD665)</f>
        <v>0.36887757669336252</v>
      </c>
      <c r="R281" s="54">
        <f>(VLOOKUP($A281,'The List'!$B1:$AH665,30,FALSE)-AVERAGE('The List'!AE2:AE665))/STDEV('The List'!AE2:AE665)</f>
        <v>-0.37302315455357871</v>
      </c>
      <c r="S281" s="54">
        <f>(VLOOKUP($A281,'The List'!$B1:$AH665,31,FALSE)-AVERAGE('The List'!AF2:AF665))/STDEV('The List'!AF2:AF665)</f>
        <v>-0.57389441068000469</v>
      </c>
      <c r="T281" s="54">
        <f>(VLOOKUP($A281,'The List'!$B1:$AH665,32,FALSE)-AVERAGE('The List'!AG2:AG665))/STDEV('The List'!AG2:AG665)</f>
        <v>-0.62577078713265111</v>
      </c>
      <c r="U281" s="54">
        <f>(VLOOKUP($A281,'The List'!$B1:$AH665,33,FALSE)-AVERAGE('The List'!AH2:AH665))/STDEV('The List'!AH2:AH665)</f>
        <v>-1.2314350945148611</v>
      </c>
      <c r="V281" s="54"/>
      <c r="W281" s="56"/>
      <c r="X281" s="54"/>
      <c r="Y281" s="54"/>
      <c r="Z281" s="54"/>
      <c r="AA281" s="54"/>
      <c r="AB281" s="54"/>
      <c r="AC281" s="54"/>
      <c r="AD281" s="54"/>
      <c r="AE281" s="54"/>
    </row>
    <row r="282" spans="1:31" ht="21.25" customHeight="1" x14ac:dyDescent="0.15">
      <c r="A282" s="9" t="s">
        <v>298</v>
      </c>
      <c r="B282" s="65" t="str">
        <f>VLOOKUP(A282,'Player Data'!A1:B667,2,FALSE)</f>
        <v>UTA</v>
      </c>
      <c r="C282" s="51">
        <f>((E282)*Settings!$C$12)+(F282*Settings!$C$2)+(G282*Settings!$C$3)+(H282*Settings!$C$4)+(I282*Settings!$C$5)+(K282*Settings!$C$9)+(N282*Settings!$C$6)+(J282*Settings!$C$8)+(O282*Settings!$C$7)+(P282*Settings!$C$14)+(Q282*Settings!$C$15)+(R282*Settings!$C$16)+(S282*Settings!$C$17)+(T282*Settings!$C$18)+(U282*Settings!$C$19)+(L282*Settings!$C$10)+(Settings!$C$11*M282)</f>
        <v>1.3737363127734545</v>
      </c>
      <c r="D282" s="56">
        <f>IF(Settings!$E$12="YES",VLOOKUP(A282,'Player Data'!A1:E667,5,FALSE),82)</f>
        <v>77.790000000000006</v>
      </c>
      <c r="E282" s="54">
        <f>(VLOOKUP($A282,'The List'!$B1:$AH665,17,FALSE)-AVERAGE('The List'!R2:R665))/STDEV('The List'!R2:R665)</f>
        <v>0.89260136494467479</v>
      </c>
      <c r="F282" s="54">
        <f>(VLOOKUP($A282,'The List'!$B1:$AH665,18,FALSE)-AVERAGE('The List'!S2:S665))/STDEV('The List'!S2:S665)</f>
        <v>-0.60954405639436215</v>
      </c>
      <c r="G282" s="54">
        <f>(VLOOKUP($A282,'The List'!$B1:$AH665,19,FALSE)-AVERAGE('The List'!T2:T665))/STDEV('The List'!T2:T665)</f>
        <v>0.24509626650156394</v>
      </c>
      <c r="H282" s="54">
        <f>(VLOOKUP($A282,'The List'!$B1:$AH665,20,FALSE)-AVERAGE('The List'!U2:U665))/STDEV('The List'!U2:U665)</f>
        <v>-0.12484818478768579</v>
      </c>
      <c r="I282" s="54">
        <f>(VLOOKUP($A282,'The List'!$B1:$AH665,21,FALSE)-AVERAGE('The List'!V2:V665))/STDEV('The List'!V2:V665)</f>
        <v>-0.15708808733761292</v>
      </c>
      <c r="J282" s="54">
        <f>(VLOOKUP($A282,'The List'!$B1:$AH665,22,FALSE)-AVERAGE('The List'!W2:W665))/STDEV('The List'!W2:W665)</f>
        <v>-0.345008455309877</v>
      </c>
      <c r="K282" s="54">
        <f>(VLOOKUP($A282,'The List'!$B1:$AH665,23,FALSE)-AVERAGE('The List'!X2:X665))/STDEV('The List'!X2:X665)</f>
        <v>0.27089057998863059</v>
      </c>
      <c r="L282" s="54">
        <f>(VLOOKUP($A282,'The List'!$B1:$AH665,24,FALSE)-AVERAGE('The List'!Y2:Y665))/STDEV('The List'!Y2:Y665)</f>
        <v>-0.54490708274835309</v>
      </c>
      <c r="M282" s="54">
        <f>(VLOOKUP($A282,'The List'!$B1:$AH665,25,FALSE)-AVERAGE('The List'!Z2:Z665))/STDEV('The List'!Z2:Z665)</f>
        <v>-0.5122876716426471</v>
      </c>
      <c r="N282" s="54">
        <f>(VLOOKUP($A282,'The List'!$B1:$AH665,26,FALSE)-AVERAGE('The List'!AA2:AA665))/STDEV('The List'!AA2:AA665)</f>
        <v>1.8627589569817202</v>
      </c>
      <c r="O282" s="54">
        <f>(VLOOKUP($A282,'The List'!$B1:$AH665,27,FALSE)-AVERAGE('The List'!AB2:AB665))/STDEV('The List'!AB2:AB665)</f>
        <v>-0.63391010076859833</v>
      </c>
      <c r="P282" s="54">
        <f>(VLOOKUP($A282,'The List'!$B1:$AH665,28,FALSE)-AVERAGE('The List'!AC2:AC665))/STDEV('The List'!AC2:AC665)</f>
        <v>-0.23837734696648516</v>
      </c>
      <c r="Q282" s="54">
        <f>(VLOOKUP($A282,'The List'!$B1:$AH665,29,FALSE)-AVERAGE('The List'!AD2:AD665))/STDEV('The List'!AD2:AD665)</f>
        <v>1.295281884152339</v>
      </c>
      <c r="R282" s="54">
        <f>(VLOOKUP($A282,'The List'!$B1:$AH665,30,FALSE)-AVERAGE('The List'!AE2:AE665))/STDEV('The List'!AE2:AE665)</f>
        <v>-0.59506538589786251</v>
      </c>
      <c r="S282" s="54">
        <f>(VLOOKUP($A282,'The List'!$B1:$AH665,31,FALSE)-AVERAGE('The List'!AF2:AF665))/STDEV('The List'!AF2:AF665)</f>
        <v>-0.57389441068000469</v>
      </c>
      <c r="T282" s="54">
        <f>(VLOOKUP($A282,'The List'!$B1:$AH665,32,FALSE)-AVERAGE('The List'!AG2:AG665))/STDEV('The List'!AG2:AG665)</f>
        <v>-0.62577078713265111</v>
      </c>
      <c r="U282" s="54">
        <f>(VLOOKUP($A282,'The List'!$B1:$AH665,33,FALSE)-AVERAGE('The List'!AH2:AH665))/STDEV('The List'!AH2:AH665)</f>
        <v>-1.2314350945148611</v>
      </c>
      <c r="V282" s="54"/>
      <c r="W282" s="64"/>
      <c r="X282" s="56"/>
      <c r="Y282" s="56"/>
      <c r="Z282" s="56"/>
      <c r="AA282" s="56"/>
      <c r="AB282" s="56"/>
      <c r="AC282" s="59"/>
      <c r="AD282" s="60"/>
      <c r="AE282" s="54"/>
    </row>
    <row r="283" spans="1:31" ht="21.25" customHeight="1" x14ac:dyDescent="0.15">
      <c r="A283" s="9" t="s">
        <v>587</v>
      </c>
      <c r="B283" s="65" t="str">
        <f>VLOOKUP(A283,'Player Data'!A1:B667,2,FALSE)</f>
        <v>SEA</v>
      </c>
      <c r="C283" s="51">
        <f>((E283)*Settings!$C$12)+(F283*Settings!$C$2)+(G283*Settings!$C$3)+(H283*Settings!$C$4)+(I283*Settings!$C$5)+(K283*Settings!$C$9)+(N283*Settings!$C$6)+(J283*Settings!$C$8)+(O283*Settings!$C$7)+(P283*Settings!$C$14)+(Q283*Settings!$C$15)+(R283*Settings!$C$16)+(S283*Settings!$C$17)+(T283*Settings!$C$18)+(U283*Settings!$C$19)+(L283*Settings!$C$10)+(Settings!$C$11*M283)</f>
        <v>-1.8333752381632455</v>
      </c>
      <c r="D283" s="56">
        <f>IF(Settings!$E$12="YES",VLOOKUP(A283,'Player Data'!A1:E667,5,FALSE),82)</f>
        <v>72.467500000000001</v>
      </c>
      <c r="E283" s="54">
        <f>(VLOOKUP($A283,'The List'!$B1:$AH665,17,FALSE)-AVERAGE('The List'!R2:R665))/STDEV('The List'!R2:R665)</f>
        <v>-0.52016438969894185</v>
      </c>
      <c r="F283" s="54">
        <f>(VLOOKUP($A283,'The List'!$B1:$AH665,18,FALSE)-AVERAGE('The List'!S2:S665))/STDEV('The List'!S2:S665)</f>
        <v>4.1756256271891987E-2</v>
      </c>
      <c r="G283" s="54">
        <f>(VLOOKUP($A283,'The List'!$B1:$AH665,19,FALSE)-AVERAGE('The List'!T2:T665))/STDEV('The List'!T2:T665)</f>
        <v>-0.40684522715506233</v>
      </c>
      <c r="H283" s="54">
        <f>(VLOOKUP($A283,'The List'!$B1:$AH665,20,FALSE)-AVERAGE('The List'!U2:U665))/STDEV('The List'!U2:U665)</f>
        <v>-0.2336935588933606</v>
      </c>
      <c r="I283" s="54">
        <f>(VLOOKUP($A283,'The List'!$B1:$AH665,21,FALSE)-AVERAGE('The List'!V2:V665))/STDEV('The List'!V2:V665)</f>
        <v>-2.1622368002979554E-2</v>
      </c>
      <c r="J283" s="54">
        <f>(VLOOKUP($A283,'The List'!$B1:$AH665,22,FALSE)-AVERAGE('The List'!W2:W665))/STDEV('The List'!W2:W665)</f>
        <v>0.4726434823546341</v>
      </c>
      <c r="K283" s="54">
        <f>(VLOOKUP($A283,'The List'!$B1:$AH665,23,FALSE)-AVERAGE('The List'!X2:X665))/STDEV('The List'!X2:X665)</f>
        <v>-6.3618988802564946E-2</v>
      </c>
      <c r="L283" s="54">
        <f>(VLOOKUP($A283,'The List'!$B1:$AH665,24,FALSE)-AVERAGE('The List'!Y2:Y665))/STDEV('The List'!Y2:Y665)</f>
        <v>-0.56815071397989936</v>
      </c>
      <c r="M283" s="54">
        <f>(VLOOKUP($A283,'The List'!$B1:$AH665,25,FALSE)-AVERAGE('The List'!Z2:Z665))/STDEV('The List'!Z2:Z665)</f>
        <v>-0.74160009170136587</v>
      </c>
      <c r="N283" s="54">
        <f>(VLOOKUP($A283,'The List'!$B1:$AH665,26,FALSE)-AVERAGE('The List'!AA2:AA665))/STDEV('The List'!AA2:AA665)</f>
        <v>-0.88932062862643135</v>
      </c>
      <c r="O283" s="54">
        <f>(VLOOKUP($A283,'The List'!$B1:$AH665,27,FALSE)-AVERAGE('The List'!AB2:AB665))/STDEV('The List'!AB2:AB665)</f>
        <v>-0.77588015565081137</v>
      </c>
      <c r="P283" s="54">
        <f>(VLOOKUP($A283,'The List'!$B1:$AH665,28,FALSE)-AVERAGE('The List'!AC2:AC665))/STDEV('The List'!AC2:AC665)</f>
        <v>-0.4937242818480993</v>
      </c>
      <c r="Q283" s="54">
        <f>(VLOOKUP($A283,'The List'!$B1:$AH665,29,FALSE)-AVERAGE('The List'!AD2:AD665))/STDEV('The List'!AD2:AD665)</f>
        <v>-0.63742737502440294</v>
      </c>
      <c r="R283" s="54">
        <f>(VLOOKUP($A283,'The List'!$B1:$AH665,30,FALSE)-AVERAGE('The List'!AE2:AE665))/STDEV('The List'!AE2:AE665)</f>
        <v>6.5372486752400122E-2</v>
      </c>
      <c r="S283" s="54">
        <f>(VLOOKUP($A283,'The List'!$B1:$AH665,31,FALSE)-AVERAGE('The List'!AF2:AF665))/STDEV('The List'!AF2:AF665)</f>
        <v>-0.19239033189436525</v>
      </c>
      <c r="T283" s="54">
        <f>(VLOOKUP($A283,'The List'!$B1:$AH665,32,FALSE)-AVERAGE('The List'!AG2:AG665))/STDEV('The List'!AG2:AG665)</f>
        <v>-0.23993855644147785</v>
      </c>
      <c r="U283" s="54">
        <f>(VLOOKUP($A283,'The List'!$B1:$AH665,33,FALSE)-AVERAGE('The List'!AH2:AH665))/STDEV('The List'!AH2:AH665)</f>
        <v>1.0922216454358871</v>
      </c>
      <c r="V283" s="54"/>
      <c r="W283" s="56"/>
      <c r="X283" s="54"/>
      <c r="Y283" s="54"/>
      <c r="Z283" s="54"/>
      <c r="AA283" s="54"/>
      <c r="AB283" s="54"/>
      <c r="AC283" s="54"/>
      <c r="AD283" s="54"/>
      <c r="AE283" s="54"/>
    </row>
    <row r="284" spans="1:31" ht="21.25" customHeight="1" x14ac:dyDescent="0.15">
      <c r="A284" s="9" t="s">
        <v>343</v>
      </c>
      <c r="B284" s="65" t="str">
        <f>VLOOKUP(A284,'Player Data'!A1:B667,2,FALSE)</f>
        <v>MIN</v>
      </c>
      <c r="C284" s="51">
        <f>((E284)*Settings!$C$12)+(F284*Settings!$C$2)+(G284*Settings!$C$3)+(H284*Settings!$C$4)+(I284*Settings!$C$5)+(K284*Settings!$C$9)+(N284*Settings!$C$6)+(J284*Settings!$C$8)+(O284*Settings!$C$7)+(P284*Settings!$C$14)+(Q284*Settings!$C$15)+(R284*Settings!$C$16)+(S284*Settings!$C$17)+(T284*Settings!$C$18)+(U284*Settings!$C$19)+(L284*Settings!$C$10)+(Settings!$C$11*M284)</f>
        <v>0.83793227409180138</v>
      </c>
      <c r="D284" s="56">
        <f>IF(Settings!$E$12="YES",VLOOKUP(A284,'Player Data'!A1:E667,5,FALSE),82)</f>
        <v>68.202500000000001</v>
      </c>
      <c r="E284" s="54">
        <f>(VLOOKUP($A284,'The List'!$B1:$AH665,17,FALSE)-AVERAGE('The List'!R2:R665))/STDEV('The List'!R2:R665)</f>
        <v>1.3597252843444982</v>
      </c>
      <c r="F284" s="54">
        <f>(VLOOKUP($A284,'The List'!$B1:$AH665,18,FALSE)-AVERAGE('The List'!S2:S665))/STDEV('The List'!S2:S665)</f>
        <v>-0.61648924797340909</v>
      </c>
      <c r="G284" s="54">
        <f>(VLOOKUP($A284,'The List'!$B1:$AH665,19,FALSE)-AVERAGE('The List'!T2:T665))/STDEV('The List'!T2:T665)</f>
        <v>-6.0707082506706173E-2</v>
      </c>
      <c r="H284" s="54">
        <f>(VLOOKUP($A284,'The List'!$B1:$AH665,20,FALSE)-AVERAGE('The List'!U2:U665))/STDEV('The List'!U2:U665)</f>
        <v>-0.31792617897153413</v>
      </c>
      <c r="I284" s="54">
        <f>(VLOOKUP($A284,'The List'!$B1:$AH665,21,FALSE)-AVERAGE('The List'!V2:V665))/STDEV('The List'!V2:V665)</f>
        <v>-0.31813401070992725</v>
      </c>
      <c r="J284" s="54">
        <f>(VLOOKUP($A284,'The List'!$B1:$AH665,22,FALSE)-AVERAGE('The List'!W2:W665))/STDEV('The List'!W2:W665)</f>
        <v>-0.60013440226614079</v>
      </c>
      <c r="K284" s="54">
        <f>(VLOOKUP($A284,'The List'!$B1:$AH665,23,FALSE)-AVERAGE('The List'!X2:X665))/STDEV('The List'!X2:X665)</f>
        <v>-3.9586877823048115E-2</v>
      </c>
      <c r="L284" s="54">
        <f>(VLOOKUP($A284,'The List'!$B1:$AH665,24,FALSE)-AVERAGE('The List'!Y2:Y665))/STDEV('The List'!Y2:Y665)</f>
        <v>-0.52631354216536474</v>
      </c>
      <c r="M284" s="54">
        <f>(VLOOKUP($A284,'The List'!$B1:$AH665,25,FALSE)-AVERAGE('The List'!Z2:Z665))/STDEV('The List'!Z2:Z665)</f>
        <v>-0.30419519112555843</v>
      </c>
      <c r="N284" s="54">
        <f>(VLOOKUP($A284,'The List'!$B1:$AH665,26,FALSE)-AVERAGE('The List'!AA2:AA665))/STDEV('The List'!AA2:AA665)</f>
        <v>1.4310775554902413</v>
      </c>
      <c r="O284" s="54">
        <f>(VLOOKUP($A284,'The List'!$B1:$AH665,27,FALSE)-AVERAGE('The List'!AB2:AB665))/STDEV('The List'!AB2:AB665)</f>
        <v>-0.48575828183170977</v>
      </c>
      <c r="P284" s="54">
        <f>(VLOOKUP($A284,'The List'!$B1:$AH665,28,FALSE)-AVERAGE('The List'!AC2:AC665))/STDEV('The List'!AC2:AC665)</f>
        <v>0.44177193761465072</v>
      </c>
      <c r="Q284" s="54">
        <f>(VLOOKUP($A284,'The List'!$B1:$AH665,29,FALSE)-AVERAGE('The List'!AD2:AD665))/STDEV('The List'!AD2:AD665)</f>
        <v>-1.1585728439160858</v>
      </c>
      <c r="R284" s="54">
        <f>(VLOOKUP($A284,'The List'!$B1:$AH665,30,FALSE)-AVERAGE('The List'!AE2:AE665))/STDEV('The List'!AE2:AE665)</f>
        <v>-0.51530501068834977</v>
      </c>
      <c r="S284" s="54">
        <f>(VLOOKUP($A284,'The List'!$B1:$AH665,31,FALSE)-AVERAGE('The List'!AF2:AF665))/STDEV('The List'!AF2:AF665)</f>
        <v>-0.57389441068000469</v>
      </c>
      <c r="T284" s="54">
        <f>(VLOOKUP($A284,'The List'!$B1:$AH665,32,FALSE)-AVERAGE('The List'!AG2:AG665))/STDEV('The List'!AG2:AG665)</f>
        <v>-0.62577078713265111</v>
      </c>
      <c r="U284" s="54">
        <f>(VLOOKUP($A284,'The List'!$B1:$AH665,33,FALSE)-AVERAGE('The List'!AH2:AH665))/STDEV('The List'!AH2:AH665)</f>
        <v>-1.2314350945148611</v>
      </c>
      <c r="V284" s="54"/>
      <c r="W284" s="64"/>
      <c r="X284" s="56"/>
      <c r="Y284" s="56"/>
      <c r="Z284" s="56"/>
      <c r="AA284" s="56"/>
      <c r="AB284" s="56"/>
      <c r="AC284" s="59"/>
      <c r="AD284" s="60"/>
      <c r="AE284" s="54"/>
    </row>
    <row r="285" spans="1:31" ht="21.25" customHeight="1" x14ac:dyDescent="0.15">
      <c r="A285" s="9" t="s">
        <v>538</v>
      </c>
      <c r="B285" s="65" t="str">
        <f>VLOOKUP(A285,'Player Data'!A1:B667,2,FALSE)</f>
        <v>EDM</v>
      </c>
      <c r="C285" s="51">
        <f>((E285)*Settings!$C$12)+(F285*Settings!$C$2)+(G285*Settings!$C$3)+(H285*Settings!$C$4)+(I285*Settings!$C$5)+(K285*Settings!$C$9)+(N285*Settings!$C$6)+(J285*Settings!$C$8)+(O285*Settings!$C$7)+(P285*Settings!$C$14)+(Q285*Settings!$C$15)+(R285*Settings!$C$16)+(S285*Settings!$C$17)+(T285*Settings!$C$18)+(U285*Settings!$C$19)+(L285*Settings!$C$10)+(Settings!$C$11*M285)</f>
        <v>-0.45058699879999553</v>
      </c>
      <c r="D285" s="56">
        <f>IF(Settings!$E$12="YES",VLOOKUP(A285,'Player Data'!A1:E667,5,FALSE),82)</f>
        <v>71.605000000000004</v>
      </c>
      <c r="E285" s="54">
        <f>(VLOOKUP($A285,'The List'!$B1:$AH665,17,FALSE)-AVERAGE('The List'!R2:R665))/STDEV('The List'!R2:R665)</f>
        <v>-0.88223927539362523</v>
      </c>
      <c r="F285" s="54">
        <f>(VLOOKUP($A285,'The List'!$B1:$AH665,18,FALSE)-AVERAGE('The List'!S2:S665))/STDEV('The List'!S2:S665)</f>
        <v>0.36026787986948094</v>
      </c>
      <c r="G285" s="54">
        <f>(VLOOKUP($A285,'The List'!$B1:$AH665,19,FALSE)-AVERAGE('The List'!T2:T665))/STDEV('The List'!T2:T665)</f>
        <v>-0.67250927764632373</v>
      </c>
      <c r="H285" s="54">
        <f>(VLOOKUP($A285,'The List'!$B1:$AH665,20,FALSE)-AVERAGE('The List'!U2:U665))/STDEV('The List'!U2:U665)</f>
        <v>-0.25390719903909031</v>
      </c>
      <c r="I285" s="54">
        <f>(VLOOKUP($A285,'The List'!$B1:$AH665,21,FALSE)-AVERAGE('The List'!V2:V665))/STDEV('The List'!V2:V665)</f>
        <v>0.47839522772658183</v>
      </c>
      <c r="J285" s="54">
        <f>(VLOOKUP($A285,'The List'!$B1:$AH665,22,FALSE)-AVERAGE('The List'!W2:W665))/STDEV('The List'!W2:W665)</f>
        <v>-0.5179268987511273</v>
      </c>
      <c r="K285" s="54">
        <f>(VLOOKUP($A285,'The List'!$B1:$AH665,23,FALSE)-AVERAGE('The List'!X2:X665))/STDEV('The List'!X2:X665)</f>
        <v>-0.59256741113398437</v>
      </c>
      <c r="L285" s="54">
        <f>(VLOOKUP($A285,'The List'!$B1:$AH665,24,FALSE)-AVERAGE('The List'!Y2:Y665))/STDEV('The List'!Y2:Y665)</f>
        <v>-0.22621880119296434</v>
      </c>
      <c r="M285" s="54">
        <f>(VLOOKUP($A285,'The List'!$B1:$AH665,25,FALSE)-AVERAGE('The List'!Z2:Z665))/STDEV('The List'!Z2:Z665)</f>
        <v>-0.2911617623711551</v>
      </c>
      <c r="N285" s="54">
        <f>(VLOOKUP($A285,'The List'!$B1:$AH665,26,FALSE)-AVERAGE('The List'!AA2:AA665))/STDEV('The List'!AA2:AA665)</f>
        <v>-0.99214786443521474</v>
      </c>
      <c r="O285" s="54">
        <f>(VLOOKUP($A285,'The List'!$B1:$AH665,27,FALSE)-AVERAGE('The List'!AB2:AB665))/STDEV('The List'!AB2:AB665)</f>
        <v>1.7433409548841061</v>
      </c>
      <c r="P285" s="54">
        <f>(VLOOKUP($A285,'The List'!$B1:$AH665,28,FALSE)-AVERAGE('The List'!AC2:AC665))/STDEV('The List'!AC2:AC665)</f>
        <v>0.96797444681946443</v>
      </c>
      <c r="Q285" s="54">
        <f>(VLOOKUP($A285,'The List'!$B1:$AH665,29,FALSE)-AVERAGE('The List'!AD2:AD665))/STDEV('The List'!AD2:AD665)</f>
        <v>1.4219236817043599</v>
      </c>
      <c r="R285" s="54">
        <f>(VLOOKUP($A285,'The List'!$B1:$AH665,30,FALSE)-AVERAGE('The List'!AE2:AE665))/STDEV('The List'!AE2:AE665)</f>
        <v>0.48047737797600737</v>
      </c>
      <c r="S285" s="54">
        <f>(VLOOKUP($A285,'The List'!$B1:$AH665,31,FALSE)-AVERAGE('The List'!AF2:AF665))/STDEV('The List'!AF2:AF665)</f>
        <v>-0.46625226257285379</v>
      </c>
      <c r="T285" s="54">
        <f>(VLOOKUP($A285,'The List'!$B1:$AH665,32,FALSE)-AVERAGE('The List'!AG2:AG665))/STDEV('The List'!AG2:AG665)</f>
        <v>-0.48017747129214167</v>
      </c>
      <c r="U285" s="54">
        <f>(VLOOKUP($A285,'The List'!$B1:$AH665,33,FALSE)-AVERAGE('The List'!AH2:AH665))/STDEV('The List'!AH2:AH665)</f>
        <v>0.76406964869889793</v>
      </c>
      <c r="V285" s="54"/>
      <c r="W285" s="64"/>
      <c r="X285" s="56"/>
      <c r="Y285" s="56"/>
      <c r="Z285" s="56"/>
      <c r="AA285" s="56"/>
      <c r="AB285" s="56"/>
      <c r="AC285" s="59"/>
      <c r="AD285" s="60"/>
      <c r="AE285" s="54"/>
    </row>
    <row r="286" spans="1:31" ht="21.25" customHeight="1" x14ac:dyDescent="0.15">
      <c r="A286" s="9" t="s">
        <v>508</v>
      </c>
      <c r="B286" s="65" t="str">
        <f>VLOOKUP(A286,'Player Data'!A1:B667,2,FALSE)</f>
        <v>SEA</v>
      </c>
      <c r="C286" s="51">
        <f>((E286)*Settings!$C$12)+(F286*Settings!$C$2)+(G286*Settings!$C$3)+(H286*Settings!$C$4)+(I286*Settings!$C$5)+(K286*Settings!$C$9)+(N286*Settings!$C$6)+(J286*Settings!$C$8)+(O286*Settings!$C$7)+(P286*Settings!$C$14)+(Q286*Settings!$C$15)+(R286*Settings!$C$16)+(S286*Settings!$C$17)+(T286*Settings!$C$18)+(U286*Settings!$C$19)+(L286*Settings!$C$10)+(Settings!$C$11*M286)</f>
        <v>-1.49174319376563</v>
      </c>
      <c r="D286" s="56">
        <f>IF(Settings!$E$12="YES",VLOOKUP(A286,'Player Data'!A1:E667,5,FALSE),82)</f>
        <v>80.737499999999997</v>
      </c>
      <c r="E286" s="54">
        <f>(VLOOKUP($A286,'The List'!$B1:$AH665,17,FALSE)-AVERAGE('The List'!R2:R665))/STDEV('The List'!R2:R665)</f>
        <v>-2.2792896866721906E-2</v>
      </c>
      <c r="F286" s="54">
        <f>(VLOOKUP($A286,'The List'!$B1:$AH665,18,FALSE)-AVERAGE('The List'!S2:S665))/STDEV('The List'!S2:S665)</f>
        <v>-0.22257987935909987</v>
      </c>
      <c r="G286" s="54">
        <f>(VLOOKUP($A286,'The List'!$B1:$AH665,19,FALSE)-AVERAGE('The List'!T2:T665))/STDEV('The List'!T2:T665)</f>
        <v>3.9346771774946381E-2</v>
      </c>
      <c r="H286" s="54">
        <f>(VLOOKUP($A286,'The List'!$B1:$AH665,20,FALSE)-AVERAGE('The List'!U2:U665))/STDEV('The List'!U2:U665)</f>
        <v>-7.6736577572626669E-2</v>
      </c>
      <c r="I286" s="54">
        <f>(VLOOKUP($A286,'The List'!$B1:$AH665,21,FALSE)-AVERAGE('The List'!V2:V665))/STDEV('The List'!V2:V665)</f>
        <v>0.11814104484184892</v>
      </c>
      <c r="J286" s="54">
        <f>(VLOOKUP($A286,'The List'!$B1:$AH665,22,FALSE)-AVERAGE('The List'!W2:W665))/STDEV('The List'!W2:W665)</f>
        <v>-0.60875958849106449</v>
      </c>
      <c r="K286" s="54">
        <f>(VLOOKUP($A286,'The List'!$B1:$AH665,23,FALSE)-AVERAGE('The List'!X2:X665))/STDEV('The List'!X2:X665)</f>
        <v>-0.69086428486374674</v>
      </c>
      <c r="L286" s="54">
        <f>(VLOOKUP($A286,'The List'!$B1:$AH665,24,FALSE)-AVERAGE('The List'!Y2:Y665))/STDEV('The List'!Y2:Y665)</f>
        <v>1.1399440985073501</v>
      </c>
      <c r="M286" s="54">
        <f>(VLOOKUP($A286,'The List'!$B1:$AH665,25,FALSE)-AVERAGE('The List'!Z2:Z665))/STDEV('The List'!Z2:Z665)</f>
        <v>1.491989755365176</v>
      </c>
      <c r="N286" s="54">
        <f>(VLOOKUP($A286,'The List'!$B1:$AH665,26,FALSE)-AVERAGE('The List'!AA2:AA665))/STDEV('The List'!AA2:AA665)</f>
        <v>-0.35459306450401445</v>
      </c>
      <c r="O286" s="54">
        <f>(VLOOKUP($A286,'The List'!$B1:$AH665,27,FALSE)-AVERAGE('The List'!AB2:AB665))/STDEV('The List'!AB2:AB665)</f>
        <v>0.78554186326255493</v>
      </c>
      <c r="P286" s="54">
        <f>(VLOOKUP($A286,'The List'!$B1:$AH665,28,FALSE)-AVERAGE('The List'!AC2:AC665))/STDEV('The List'!AC2:AC665)</f>
        <v>-0.38119378165556411</v>
      </c>
      <c r="Q286" s="54">
        <f>(VLOOKUP($A286,'The List'!$B1:$AH665,29,FALSE)-AVERAGE('The List'!AD2:AD665))/STDEV('The List'!AD2:AD665)</f>
        <v>1.2674493847517407</v>
      </c>
      <c r="R286" s="54">
        <f>(VLOOKUP($A286,'The List'!$B1:$AH665,30,FALSE)-AVERAGE('The List'!AE2:AE665))/STDEV('The List'!AE2:AE665)</f>
        <v>-0.19226585269990737</v>
      </c>
      <c r="S286" s="54">
        <f>(VLOOKUP($A286,'The List'!$B1:$AH665,31,FALSE)-AVERAGE('The List'!AF2:AF665))/STDEV('The List'!AF2:AF665)</f>
        <v>1.8159141116300115</v>
      </c>
      <c r="T286" s="54">
        <f>(VLOOKUP($A286,'The List'!$B1:$AH665,32,FALSE)-AVERAGE('The List'!AG2:AG665))/STDEV('The List'!AG2:AG665)</f>
        <v>2.0354221082947963</v>
      </c>
      <c r="U286" s="54">
        <f>(VLOOKUP($A286,'The List'!$B1:$AH665,33,FALSE)-AVERAGE('The List'!AH2:AH665))/STDEV('The List'!AH2:AH665)</f>
        <v>0.98313198144970571</v>
      </c>
      <c r="V286" s="54"/>
      <c r="W286" s="64"/>
      <c r="X286" s="56"/>
      <c r="Y286" s="56"/>
      <c r="Z286" s="56"/>
      <c r="AA286" s="56"/>
      <c r="AB286" s="56"/>
      <c r="AC286" s="59"/>
      <c r="AD286" s="60"/>
      <c r="AE286" s="54"/>
    </row>
    <row r="287" spans="1:31" ht="21.25" customHeight="1" x14ac:dyDescent="0.15">
      <c r="A287" s="9" t="s">
        <v>596</v>
      </c>
      <c r="B287" s="65" t="str">
        <f>VLOOKUP(A287,'Player Data'!A1:B667,2,FALSE)</f>
        <v>VAN</v>
      </c>
      <c r="C287" s="51">
        <f>((E287)*Settings!$C$12)+(F287*Settings!$C$2)+(G287*Settings!$C$3)+(H287*Settings!$C$4)+(I287*Settings!$C$5)+(K287*Settings!$C$9)+(N287*Settings!$C$6)+(J287*Settings!$C$8)+(O287*Settings!$C$7)+(P287*Settings!$C$14)+(Q287*Settings!$C$15)+(R287*Settings!$C$16)+(S287*Settings!$C$17)+(T287*Settings!$C$18)+(U287*Settings!$C$19)+(L287*Settings!$C$10)+(Settings!$C$11*M287)</f>
        <v>-0.9809851631853137</v>
      </c>
      <c r="D287" s="56">
        <f>IF(Settings!$E$12="YES",VLOOKUP(A287,'Player Data'!A1:E667,5,FALSE),82)</f>
        <v>73.045000000000002</v>
      </c>
      <c r="E287" s="54">
        <f>(VLOOKUP($A287,'The List'!$B1:$AH665,17,FALSE)-AVERAGE('The List'!R2:R665))/STDEV('The List'!R2:R665)</f>
        <v>-0.58342447334855063</v>
      </c>
      <c r="F287" s="54">
        <f>(VLOOKUP($A287,'The List'!$B1:$AH665,18,FALSE)-AVERAGE('The List'!S2:S665))/STDEV('The List'!S2:S665)</f>
        <v>0.21612009013147296</v>
      </c>
      <c r="G287" s="54">
        <f>(VLOOKUP($A287,'The List'!$B1:$AH665,19,FALSE)-AVERAGE('The List'!T2:T665))/STDEV('The List'!T2:T665)</f>
        <v>-0.52801922678773083</v>
      </c>
      <c r="H287" s="54">
        <f>(VLOOKUP($A287,'The List'!$B1:$AH665,20,FALSE)-AVERAGE('The List'!U2:U665))/STDEV('The List'!U2:U665)</f>
        <v>-0.229692775383221</v>
      </c>
      <c r="I287" s="54">
        <f>(VLOOKUP($A287,'The List'!$B1:$AH665,21,FALSE)-AVERAGE('The List'!V2:V665))/STDEV('The List'!V2:V665)</f>
        <v>-0.55537241101350732</v>
      </c>
      <c r="J287" s="54">
        <f>(VLOOKUP($A287,'The List'!$B1:$AH665,22,FALSE)-AVERAGE('The List'!W2:W665))/STDEV('The List'!W2:W665)</f>
        <v>-0.51542221562960588</v>
      </c>
      <c r="K287" s="54">
        <f>(VLOOKUP($A287,'The List'!$B1:$AH665,23,FALSE)-AVERAGE('The List'!X2:X665))/STDEV('The List'!X2:X665)</f>
        <v>-0.6915133942739734</v>
      </c>
      <c r="L287" s="54">
        <f>(VLOOKUP($A287,'The List'!$B1:$AH665,24,FALSE)-AVERAGE('The List'!Y2:Y665))/STDEV('The List'!Y2:Y665)</f>
        <v>0.39805713814657451</v>
      </c>
      <c r="M287" s="54">
        <f>(VLOOKUP($A287,'The List'!$B1:$AH665,25,FALSE)-AVERAGE('The List'!Z2:Z665))/STDEV('The List'!Z2:Z665)</f>
        <v>6.3939875421694606E-3</v>
      </c>
      <c r="N287" s="54">
        <f>(VLOOKUP($A287,'The List'!$B1:$AH665,26,FALSE)-AVERAGE('The List'!AA2:AA665))/STDEV('The List'!AA2:AA665)</f>
        <v>-0.51355799466728302</v>
      </c>
      <c r="O287" s="54">
        <f>(VLOOKUP($A287,'The List'!$B1:$AH665,27,FALSE)-AVERAGE('The List'!AB2:AB665))/STDEV('The List'!AB2:AB665)</f>
        <v>3.301923908415823</v>
      </c>
      <c r="P287" s="54">
        <f>(VLOOKUP($A287,'The List'!$B1:$AH665,28,FALSE)-AVERAGE('The List'!AC2:AC665))/STDEV('The List'!AC2:AC665)</f>
        <v>1.0913577734257078</v>
      </c>
      <c r="Q287" s="54">
        <f>(VLOOKUP($A287,'The List'!$B1:$AH665,29,FALSE)-AVERAGE('The List'!AD2:AD665))/STDEV('The List'!AD2:AD665)</f>
        <v>1.314192483719391</v>
      </c>
      <c r="R287" s="54">
        <f>(VLOOKUP($A287,'The List'!$B1:$AH665,30,FALSE)-AVERAGE('The List'!AE2:AE665))/STDEV('The List'!AE2:AE665)</f>
        <v>0.42356364755530251</v>
      </c>
      <c r="S287" s="54">
        <f>(VLOOKUP($A287,'The List'!$B1:$AH665,31,FALSE)-AVERAGE('The List'!AF2:AF665))/STDEV('The List'!AF2:AF665)</f>
        <v>-0.35426499033911191</v>
      </c>
      <c r="T287" s="54">
        <f>(VLOOKUP($A287,'The List'!$B1:$AH665,32,FALSE)-AVERAGE('The List'!AG2:AG665))/STDEV('The List'!AG2:AG665)</f>
        <v>-0.39531872037184507</v>
      </c>
      <c r="U287" s="54">
        <f>(VLOOKUP($A287,'The List'!$B1:$AH665,33,FALSE)-AVERAGE('The List'!AH2:AH665))/STDEV('The List'!AH2:AH665)</f>
        <v>1.0505065732588335</v>
      </c>
      <c r="V287" s="54"/>
      <c r="W287" s="64"/>
      <c r="X287" s="56"/>
      <c r="Y287" s="56"/>
      <c r="Z287" s="56"/>
      <c r="AA287" s="56"/>
      <c r="AB287" s="56"/>
      <c r="AC287" s="59"/>
      <c r="AD287" s="60"/>
      <c r="AE287" s="54"/>
    </row>
    <row r="288" spans="1:31" ht="21.25" customHeight="1" x14ac:dyDescent="0.15">
      <c r="A288" s="9" t="s">
        <v>380</v>
      </c>
      <c r="B288" s="65" t="str">
        <f>VLOOKUP(A288,'Player Data'!A1:B667,2,FALSE)</f>
        <v>DET</v>
      </c>
      <c r="C288" s="51">
        <f>((E288)*Settings!$C$12)+(F288*Settings!$C$2)+(G288*Settings!$C$3)+(H288*Settings!$C$4)+(I288*Settings!$C$5)+(K288*Settings!$C$9)+(N288*Settings!$C$6)+(J288*Settings!$C$8)+(O288*Settings!$C$7)+(P288*Settings!$C$14)+(Q288*Settings!$C$15)+(R288*Settings!$C$16)+(S288*Settings!$C$17)+(T288*Settings!$C$18)+(U288*Settings!$C$19)+(L288*Settings!$C$10)+(Settings!$C$11*M288)</f>
        <v>-0.2858413733326961</v>
      </c>
      <c r="D288" s="56">
        <f>IF(Settings!$E$12="YES",VLOOKUP(A288,'Player Data'!A1:E667,5,FALSE),82)</f>
        <v>77.015000000000001</v>
      </c>
      <c r="E288" s="54">
        <f>(VLOOKUP($A288,'The List'!$B1:$AH665,17,FALSE)-AVERAGE('The List'!R2:R665))/STDEV('The List'!R2:R665)</f>
        <v>0.34011381915007416</v>
      </c>
      <c r="F288" s="54">
        <f>(VLOOKUP($A288,'The List'!$B1:$AH665,18,FALSE)-AVERAGE('The List'!S2:S665))/STDEV('The List'!S2:S665)</f>
        <v>-0.8049706794964151</v>
      </c>
      <c r="G288" s="54">
        <f>(VLOOKUP($A288,'The List'!$B1:$AH665,19,FALSE)-AVERAGE('The List'!T2:T665))/STDEV('The List'!T2:T665)</f>
        <v>0.33777334844779849</v>
      </c>
      <c r="H288" s="54">
        <f>(VLOOKUP($A288,'The List'!$B1:$AH665,20,FALSE)-AVERAGE('The List'!U2:U665))/STDEV('The List'!U2:U665)</f>
        <v>-0.1561211954144803</v>
      </c>
      <c r="I288" s="54">
        <f>(VLOOKUP($A288,'The List'!$B1:$AH665,21,FALSE)-AVERAGE('The List'!V2:V665))/STDEV('The List'!V2:V665)</f>
        <v>-0.46639984486052638</v>
      </c>
      <c r="J288" s="54">
        <f>(VLOOKUP($A288,'The List'!$B1:$AH665,22,FALSE)-AVERAGE('The List'!W2:W665))/STDEV('The List'!W2:W665)</f>
        <v>-0.68715695390497356</v>
      </c>
      <c r="K288" s="54">
        <f>(VLOOKUP($A288,'The List'!$B1:$AH665,23,FALSE)-AVERAGE('The List'!X2:X665))/STDEV('The List'!X2:X665)</f>
        <v>0.32145032579531363</v>
      </c>
      <c r="L288" s="54">
        <f>(VLOOKUP($A288,'The List'!$B1:$AH665,24,FALSE)-AVERAGE('The List'!Y2:Y665))/STDEV('The List'!Y2:Y665)</f>
        <v>-0.56429681203218351</v>
      </c>
      <c r="M288" s="54">
        <f>(VLOOKUP($A288,'The List'!$B1:$AH665,25,FALSE)-AVERAGE('The List'!Z2:Z665))/STDEV('The List'!Z2:Z665)</f>
        <v>-0.70493420406171503</v>
      </c>
      <c r="N288" s="54">
        <f>(VLOOKUP($A288,'The List'!$B1:$AH665,26,FALSE)-AVERAGE('The List'!AA2:AA665))/STDEV('The List'!AA2:AA665)</f>
        <v>0.23949503710000908</v>
      </c>
      <c r="O288" s="54">
        <f>(VLOOKUP($A288,'The List'!$B1:$AH665,27,FALSE)-AVERAGE('The List'!AB2:AB665))/STDEV('The List'!AB2:AB665)</f>
        <v>-0.42591132858925251</v>
      </c>
      <c r="P288" s="54">
        <f>(VLOOKUP($A288,'The List'!$B1:$AH665,28,FALSE)-AVERAGE('The List'!AC2:AC665))/STDEV('The List'!AC2:AC665)</f>
        <v>8.6810439681124243E-2</v>
      </c>
      <c r="Q288" s="54">
        <f>(VLOOKUP($A288,'The List'!$B1:$AH665,29,FALSE)-AVERAGE('The List'!AD2:AD665))/STDEV('The List'!AD2:AD665)</f>
        <v>-0.19153286503860589</v>
      </c>
      <c r="R288" s="54">
        <f>(VLOOKUP($A288,'The List'!$B1:$AH665,30,FALSE)-AVERAGE('The List'!AE2:AE665))/STDEV('The List'!AE2:AE665)</f>
        <v>-0.80910169922738362</v>
      </c>
      <c r="S288" s="54">
        <f>(VLOOKUP($A288,'The List'!$B1:$AH665,31,FALSE)-AVERAGE('The List'!AF2:AF665))/STDEV('The List'!AF2:AF665)</f>
        <v>-0.57389441068000469</v>
      </c>
      <c r="T288" s="54">
        <f>(VLOOKUP($A288,'The List'!$B1:$AH665,32,FALSE)-AVERAGE('The List'!AG2:AG665))/STDEV('The List'!AG2:AG665)</f>
        <v>-0.62577078713265111</v>
      </c>
      <c r="U288" s="54">
        <f>(VLOOKUP($A288,'The List'!$B1:$AH665,33,FALSE)-AVERAGE('The List'!AH2:AH665))/STDEV('The List'!AH2:AH665)</f>
        <v>-1.2314350945148611</v>
      </c>
      <c r="V288" s="54"/>
      <c r="W288" s="64"/>
      <c r="X288" s="56"/>
      <c r="Y288" s="56"/>
      <c r="Z288" s="56"/>
      <c r="AA288" s="56"/>
      <c r="AB288" s="56"/>
      <c r="AC288" s="59"/>
      <c r="AD288" s="60"/>
      <c r="AE288" s="54"/>
    </row>
    <row r="289" spans="1:31" ht="21.25" customHeight="1" x14ac:dyDescent="0.15">
      <c r="A289" s="9" t="s">
        <v>552</v>
      </c>
      <c r="B289" s="65" t="str">
        <f>VLOOKUP(A289,'Player Data'!A1:B667,2,FALSE)</f>
        <v>ANA</v>
      </c>
      <c r="C289" s="51">
        <f>((E289)*Settings!$C$12)+(F289*Settings!$C$2)+(G289*Settings!$C$3)+(H289*Settings!$C$4)+(I289*Settings!$C$5)+(K289*Settings!$C$9)+(N289*Settings!$C$6)+(J289*Settings!$C$8)+(O289*Settings!$C$7)+(P289*Settings!$C$14)+(Q289*Settings!$C$15)+(R289*Settings!$C$16)+(S289*Settings!$C$17)+(T289*Settings!$C$18)+(U289*Settings!$C$19)+(L289*Settings!$C$10)+(Settings!$C$11*M289)</f>
        <v>-3.4778399496785588</v>
      </c>
      <c r="D289" s="56">
        <f>IF(Settings!$E$12="YES",VLOOKUP(A289,'Player Data'!A1:E667,5,FALSE),82)</f>
        <v>80.697500000000005</v>
      </c>
      <c r="E289" s="54">
        <f>(VLOOKUP($A289,'The List'!$B1:$AH665,17,FALSE)-AVERAGE('The List'!R2:R665))/STDEV('The List'!R2:R665)</f>
        <v>-0.60665139655762046</v>
      </c>
      <c r="F289" s="54">
        <f>(VLOOKUP($A289,'The List'!$B1:$AH665,18,FALSE)-AVERAGE('The List'!S2:S665))/STDEV('The List'!S2:S665)</f>
        <v>-0.20628970599677487</v>
      </c>
      <c r="G289" s="54">
        <f>(VLOOKUP($A289,'The List'!$B1:$AH665,19,FALSE)-AVERAGE('The List'!T2:T665))/STDEV('The List'!T2:T665)</f>
        <v>-1.1137786590658737E-3</v>
      </c>
      <c r="H289" s="54">
        <f>(VLOOKUP($A289,'The List'!$B1:$AH665,20,FALSE)-AVERAGE('The List'!U2:U665))/STDEV('The List'!U2:U665)</f>
        <v>-9.4460196285319389E-2</v>
      </c>
      <c r="I289" s="54">
        <f>(VLOOKUP($A289,'The List'!$B1:$AH665,21,FALSE)-AVERAGE('The List'!V2:V665))/STDEV('The List'!V2:V665)</f>
        <v>-0.16150927691447697</v>
      </c>
      <c r="J289" s="54">
        <f>(VLOOKUP($A289,'The List'!$B1:$AH665,22,FALSE)-AVERAGE('The List'!W2:W665))/STDEV('The List'!W2:W665)</f>
        <v>-0.30786205528106492</v>
      </c>
      <c r="K289" s="54">
        <f>(VLOOKUP($A289,'The List'!$B1:$AH665,23,FALSE)-AVERAGE('The List'!X2:X665))/STDEV('The List'!X2:X665)</f>
        <v>-0.11760409918193297</v>
      </c>
      <c r="L289" s="54">
        <f>(VLOOKUP($A289,'The List'!$B1:$AH665,24,FALSE)-AVERAGE('The List'!Y2:Y665))/STDEV('The List'!Y2:Y665)</f>
        <v>-0.28795226618919822</v>
      </c>
      <c r="M289" s="54">
        <f>(VLOOKUP($A289,'The List'!$B1:$AH665,25,FALSE)-AVERAGE('The List'!Z2:Z665))/STDEV('The List'!Z2:Z665)</f>
        <v>-0.51979421788262481</v>
      </c>
      <c r="N289" s="54">
        <f>(VLOOKUP($A289,'The List'!$B1:$AH665,26,FALSE)-AVERAGE('The List'!AA2:AA665))/STDEV('The List'!AA2:AA665)</f>
        <v>-1.0075330008715271</v>
      </c>
      <c r="O289" s="54">
        <f>(VLOOKUP($A289,'The List'!$B1:$AH665,27,FALSE)-AVERAGE('The List'!AB2:AB665))/STDEV('The List'!AB2:AB665)</f>
        <v>-0.80034582870563697</v>
      </c>
      <c r="P289" s="54">
        <f>(VLOOKUP($A289,'The List'!$B1:$AH665,28,FALSE)-AVERAGE('The List'!AC2:AC665))/STDEV('The List'!AC2:AC665)</f>
        <v>-1.983790088054781</v>
      </c>
      <c r="Q289" s="54">
        <f>(VLOOKUP($A289,'The List'!$B1:$AH665,29,FALSE)-AVERAGE('The List'!AD2:AD665))/STDEV('The List'!AD2:AD665)</f>
        <v>1.7209599158372266</v>
      </c>
      <c r="R289" s="54">
        <f>(VLOOKUP($A289,'The List'!$B1:$AH665,30,FALSE)-AVERAGE('The List'!AE2:AE665))/STDEV('The List'!AE2:AE665)</f>
        <v>-0.43169083230472732</v>
      </c>
      <c r="S289" s="54">
        <f>(VLOOKUP($A289,'The List'!$B1:$AH665,31,FALSE)-AVERAGE('The List'!AF2:AF665))/STDEV('The List'!AF2:AF665)</f>
        <v>0.61423291482351139</v>
      </c>
      <c r="T289" s="54">
        <f>(VLOOKUP($A289,'The List'!$B1:$AH665,32,FALSE)-AVERAGE('The List'!AG2:AG665))/STDEV('The List'!AG2:AG665)</f>
        <v>0.9269721019717545</v>
      </c>
      <c r="U289" s="54">
        <f>(VLOOKUP($A289,'The List'!$B1:$AH665,33,FALSE)-AVERAGE('The List'!AH2:AH665))/STDEV('The List'!AH2:AH665)</f>
        <v>0.80252747598682694</v>
      </c>
      <c r="V289" s="54"/>
      <c r="W289" s="64"/>
      <c r="X289" s="56"/>
      <c r="Y289" s="56"/>
      <c r="Z289" s="56"/>
      <c r="AA289" s="56"/>
      <c r="AB289" s="56"/>
      <c r="AC289" s="59"/>
      <c r="AD289" s="60"/>
      <c r="AE289" s="54"/>
    </row>
    <row r="290" spans="1:31" ht="21.25" customHeight="1" x14ac:dyDescent="0.15">
      <c r="A290" s="9" t="s">
        <v>569</v>
      </c>
      <c r="B290" s="65" t="str">
        <f>VLOOKUP(A290,'Player Data'!A1:B667,2,FALSE)</f>
        <v>PIT</v>
      </c>
      <c r="C290" s="51">
        <f>((E290)*Settings!$C$12)+(F290*Settings!$C$2)+(G290*Settings!$C$3)+(H290*Settings!$C$4)+(I290*Settings!$C$5)+(K290*Settings!$C$9)+(N290*Settings!$C$6)+(J290*Settings!$C$8)+(O290*Settings!$C$7)+(P290*Settings!$C$14)+(Q290*Settings!$C$15)+(R290*Settings!$C$16)+(S290*Settings!$C$17)+(T290*Settings!$C$18)+(U290*Settings!$C$19)+(L290*Settings!$C$10)+(Settings!$C$11*M290)</f>
        <v>-2.2284885015459759</v>
      </c>
      <c r="D290" s="56">
        <f>IF(Settings!$E$12="YES",VLOOKUP(A290,'Player Data'!A1:E667,5,FALSE),82)</f>
        <v>77.959999999999994</v>
      </c>
      <c r="E290" s="54">
        <f>(VLOOKUP($A290,'The List'!$B1:$AH665,17,FALSE)-AVERAGE('The List'!R2:R665))/STDEV('The List'!R2:R665)</f>
        <v>-0.74575661178450547</v>
      </c>
      <c r="F290" s="54">
        <f>(VLOOKUP($A290,'The List'!$B1:$AH665,18,FALSE)-AVERAGE('The List'!S2:S665))/STDEV('The List'!S2:S665)</f>
        <v>-0.12091864424888864</v>
      </c>
      <c r="G290" s="54">
        <f>(VLOOKUP($A290,'The List'!$B1:$AH665,19,FALSE)-AVERAGE('The List'!T2:T665))/STDEV('The List'!T2:T665)</f>
        <v>-0.20270972309760849</v>
      </c>
      <c r="H290" s="54">
        <f>(VLOOKUP($A290,'The List'!$B1:$AH665,20,FALSE)-AVERAGE('The List'!U2:U665))/STDEV('The List'!U2:U665)</f>
        <v>-0.1808574075646911</v>
      </c>
      <c r="I290" s="54">
        <f>(VLOOKUP($A290,'The List'!$B1:$AH665,21,FALSE)-AVERAGE('The List'!V2:V665))/STDEV('The List'!V2:V665)</f>
        <v>0.24911931156270162</v>
      </c>
      <c r="J290" s="54">
        <f>(VLOOKUP($A290,'The List'!$B1:$AH665,22,FALSE)-AVERAGE('The List'!W2:W665))/STDEV('The List'!W2:W665)</f>
        <v>-0.26084898343591856</v>
      </c>
      <c r="K290" s="54">
        <f>(VLOOKUP($A290,'The List'!$B1:$AH665,23,FALSE)-AVERAGE('The List'!X2:X665))/STDEV('The List'!X2:X665)</f>
        <v>-0.1501989528933802</v>
      </c>
      <c r="L290" s="54">
        <f>(VLOOKUP($A290,'The List'!$B1:$AH665,24,FALSE)-AVERAGE('The List'!Y2:Y665))/STDEV('The List'!Y2:Y665)</f>
        <v>-0.48114942002283489</v>
      </c>
      <c r="M290" s="54">
        <f>(VLOOKUP($A290,'The List'!$B1:$AH665,25,FALSE)-AVERAGE('The List'!Z2:Z665))/STDEV('The List'!Z2:Z665)</f>
        <v>-0.55685085456646466</v>
      </c>
      <c r="N290" s="54">
        <f>(VLOOKUP($A290,'The List'!$B1:$AH665,26,FALSE)-AVERAGE('The List'!AA2:AA665))/STDEV('The List'!AA2:AA665)</f>
        <v>-1.0921645414136085</v>
      </c>
      <c r="O290" s="54">
        <f>(VLOOKUP($A290,'The List'!$B1:$AH665,27,FALSE)-AVERAGE('The List'!AB2:AB665))/STDEV('The List'!AB2:AB665)</f>
        <v>-0.95952347643515445</v>
      </c>
      <c r="P290" s="54">
        <f>(VLOOKUP($A290,'The List'!$B1:$AH665,28,FALSE)-AVERAGE('The List'!AC2:AC665))/STDEV('The List'!AC2:AC665)</f>
        <v>-0.91161595145519136</v>
      </c>
      <c r="Q290" s="54">
        <f>(VLOOKUP($A290,'The List'!$B1:$AH665,29,FALSE)-AVERAGE('The List'!AD2:AD665))/STDEV('The List'!AD2:AD665)</f>
        <v>-1.0467017855646117</v>
      </c>
      <c r="R290" s="54">
        <f>(VLOOKUP($A290,'The List'!$B1:$AH665,30,FALSE)-AVERAGE('The List'!AE2:AE665))/STDEV('The List'!AE2:AE665)</f>
        <v>-0.12123560064092923</v>
      </c>
      <c r="S290" s="54">
        <f>(VLOOKUP($A290,'The List'!$B1:$AH665,31,FALSE)-AVERAGE('The List'!AF2:AF665))/STDEV('The List'!AF2:AF665)</f>
        <v>1.2916001733105915</v>
      </c>
      <c r="T290" s="54">
        <f>(VLOOKUP($A290,'The List'!$B1:$AH665,32,FALSE)-AVERAGE('The List'!AG2:AG665))/STDEV('The List'!AG2:AG665)</f>
        <v>1.2567113914758956</v>
      </c>
      <c r="U290" s="54">
        <f>(VLOOKUP($A290,'The List'!$B1:$AH665,33,FALSE)-AVERAGE('The List'!AH2:AH665))/STDEV('The List'!AH2:AH665)</f>
        <v>1.0947313998284283</v>
      </c>
      <c r="V290" s="54"/>
      <c r="W290" s="64"/>
      <c r="X290" s="56"/>
      <c r="Y290" s="56"/>
      <c r="Z290" s="56"/>
      <c r="AA290" s="56"/>
      <c r="AB290" s="56"/>
      <c r="AC290" s="59"/>
      <c r="AD290" s="60"/>
      <c r="AE290" s="54"/>
    </row>
    <row r="291" spans="1:31" ht="21.25" customHeight="1" x14ac:dyDescent="0.15">
      <c r="A291" s="9" t="s">
        <v>492</v>
      </c>
      <c r="B291" s="65" t="str">
        <f>VLOOKUP(A291,'Player Data'!A1:B667,2,FALSE)</f>
        <v>T.B</v>
      </c>
      <c r="C291" s="51">
        <f>((E291)*Settings!$C$12)+(F291*Settings!$C$2)+(G291*Settings!$C$3)+(H291*Settings!$C$4)+(I291*Settings!$C$5)+(K291*Settings!$C$9)+(N291*Settings!$C$6)+(J291*Settings!$C$8)+(O291*Settings!$C$7)+(P291*Settings!$C$14)+(Q291*Settings!$C$15)+(R291*Settings!$C$16)+(S291*Settings!$C$17)+(T291*Settings!$C$18)+(U291*Settings!$C$19)+(L291*Settings!$C$10)+(Settings!$C$11*M291)</f>
        <v>-0.66863625616955524</v>
      </c>
      <c r="D291" s="56">
        <f>IF(Settings!$E$12="YES",VLOOKUP(A291,'Player Data'!A1:E667,5,FALSE),82)</f>
        <v>81.555000000000007</v>
      </c>
      <c r="E291" s="54">
        <f>(VLOOKUP($A291,'The List'!$B1:$AH665,17,FALSE)-AVERAGE('The List'!R2:R665))/STDEV('The List'!R2:R665)</f>
        <v>-0.26674313178496939</v>
      </c>
      <c r="F291" s="54">
        <f>(VLOOKUP($A291,'The List'!$B1:$AH665,18,FALSE)-AVERAGE('The List'!S2:S665))/STDEV('The List'!S2:S665)</f>
        <v>0.31632802604094246</v>
      </c>
      <c r="G291" s="54">
        <f>(VLOOKUP($A291,'The List'!$B1:$AH665,19,FALSE)-AVERAGE('The List'!T2:T665))/STDEV('The List'!T2:T665)</f>
        <v>-0.41761915774247332</v>
      </c>
      <c r="H291" s="54">
        <f>(VLOOKUP($A291,'The List'!$B1:$AH665,20,FALSE)-AVERAGE('The List'!U2:U665))/STDEV('The List'!U2:U665)</f>
        <v>-0.11557885478204857</v>
      </c>
      <c r="I291" s="54">
        <f>(VLOOKUP($A291,'The List'!$B1:$AH665,21,FALSE)-AVERAGE('The List'!V2:V665))/STDEV('The List'!V2:V665)</f>
        <v>0.10933611048245719</v>
      </c>
      <c r="J291" s="54">
        <f>(VLOOKUP($A291,'The List'!$B1:$AH665,22,FALSE)-AVERAGE('The List'!W2:W665))/STDEV('The List'!W2:W665)</f>
        <v>0.4071061828980681</v>
      </c>
      <c r="K291" s="54">
        <f>(VLOOKUP($A291,'The List'!$B1:$AH665,23,FALSE)-AVERAGE('The List'!X2:X665))/STDEV('The List'!X2:X665)</f>
        <v>-0.15130482604073769</v>
      </c>
      <c r="L291" s="54">
        <f>(VLOOKUP($A291,'The List'!$B1:$AH665,24,FALSE)-AVERAGE('The List'!Y2:Y665))/STDEV('The List'!Y2:Y665)</f>
        <v>-0.34273972975904055</v>
      </c>
      <c r="M291" s="54">
        <f>(VLOOKUP($A291,'The List'!$B1:$AH665,25,FALSE)-AVERAGE('The List'!Z2:Z665))/STDEV('The List'!Z2:Z665)</f>
        <v>-0.48157726119393607</v>
      </c>
      <c r="N291" s="54">
        <f>(VLOOKUP($A291,'The List'!$B1:$AH665,26,FALSE)-AVERAGE('The List'!AA2:AA665))/STDEV('The List'!AA2:AA665)</f>
        <v>-0.53915961910769938</v>
      </c>
      <c r="O291" s="54">
        <f>(VLOOKUP($A291,'The List'!$B1:$AH665,27,FALSE)-AVERAGE('The List'!AB2:AB665))/STDEV('The List'!AB2:AB665)</f>
        <v>0.17934748820841201</v>
      </c>
      <c r="P291" s="54">
        <f>(VLOOKUP($A291,'The List'!$B1:$AH665,28,FALSE)-AVERAGE('The List'!AC2:AC665))/STDEV('The List'!AC2:AC665)</f>
        <v>1.3783210197955446E-2</v>
      </c>
      <c r="Q291" s="54">
        <f>(VLOOKUP($A291,'The List'!$B1:$AH665,29,FALSE)-AVERAGE('The List'!AD2:AD665))/STDEV('The List'!AD2:AD665)</f>
        <v>-0.15897741221446873</v>
      </c>
      <c r="R291" s="54">
        <f>(VLOOKUP($A291,'The List'!$B1:$AH665,30,FALSE)-AVERAGE('The List'!AE2:AE665))/STDEV('The List'!AE2:AE665)</f>
        <v>0.39349392811388251</v>
      </c>
      <c r="S291" s="54">
        <f>(VLOOKUP($A291,'The List'!$B1:$AH665,31,FALSE)-AVERAGE('The List'!AF2:AF665))/STDEV('The List'!AF2:AF665)</f>
        <v>1.7104825129138348</v>
      </c>
      <c r="T291" s="54">
        <f>(VLOOKUP($A291,'The List'!$B1:$AH665,32,FALSE)-AVERAGE('The List'!AG2:AG665))/STDEV('The List'!AG2:AG665)</f>
        <v>1.5125048728389767</v>
      </c>
      <c r="U291" s="54">
        <f>(VLOOKUP($A291,'The List'!$B1:$AH665,33,FALSE)-AVERAGE('The List'!AH2:AH665))/STDEV('The List'!AH2:AH665)</f>
        <v>1.1797229387683588</v>
      </c>
      <c r="V291" s="54"/>
      <c r="W291" s="64"/>
      <c r="X291" s="56"/>
      <c r="Y291" s="56"/>
      <c r="Z291" s="56"/>
      <c r="AA291" s="56"/>
      <c r="AB291" s="56"/>
      <c r="AC291" s="59"/>
      <c r="AD291" s="60"/>
      <c r="AE291" s="54"/>
    </row>
    <row r="292" spans="1:31" ht="21.25" customHeight="1" x14ac:dyDescent="0.15">
      <c r="A292" s="9" t="s">
        <v>532</v>
      </c>
      <c r="B292" s="65" t="str">
        <f>VLOOKUP(A292,'Player Data'!A1:B667,2,FALSE)</f>
        <v>BUF</v>
      </c>
      <c r="C292" s="51">
        <f>((E292)*Settings!$C$12)+(F292*Settings!$C$2)+(G292*Settings!$C$3)+(H292*Settings!$C$4)+(I292*Settings!$C$5)+(K292*Settings!$C$9)+(N292*Settings!$C$6)+(J292*Settings!$C$8)+(O292*Settings!$C$7)+(P292*Settings!$C$14)+(Q292*Settings!$C$15)+(R292*Settings!$C$16)+(S292*Settings!$C$17)+(T292*Settings!$C$18)+(U292*Settings!$C$19)+(L292*Settings!$C$10)+(Settings!$C$11*M292)</f>
        <v>-1.0793441923316514</v>
      </c>
      <c r="D292" s="56">
        <f>IF(Settings!$E$12="YES",VLOOKUP(A292,'Player Data'!A1:E667,5,FALSE),82)</f>
        <v>75.072500000000005</v>
      </c>
      <c r="E292" s="54">
        <f>(VLOOKUP($A292,'The List'!$B1:$AH665,17,FALSE)-AVERAGE('The List'!R2:R665))/STDEV('The List'!R2:R665)</f>
        <v>-0.88865979830831643</v>
      </c>
      <c r="F292" s="54">
        <f>(VLOOKUP($A292,'The List'!$B1:$AH665,18,FALSE)-AVERAGE('The List'!S2:S665))/STDEV('The List'!S2:S665)</f>
        <v>0.17286670163323284</v>
      </c>
      <c r="G292" s="54">
        <f>(VLOOKUP($A292,'The List'!$B1:$AH665,19,FALSE)-AVERAGE('The List'!T2:T665))/STDEV('The List'!T2:T665)</f>
        <v>-0.51067071620918025</v>
      </c>
      <c r="H292" s="54">
        <f>(VLOOKUP($A292,'The List'!$B1:$AH665,20,FALSE)-AVERAGE('The List'!U2:U665))/STDEV('The List'!U2:U665)</f>
        <v>-0.23857909591095075</v>
      </c>
      <c r="I292" s="54">
        <f>(VLOOKUP($A292,'The List'!$B1:$AH665,21,FALSE)-AVERAGE('The List'!V2:V665))/STDEV('The List'!V2:V665)</f>
        <v>0.3581839877586056</v>
      </c>
      <c r="J292" s="54">
        <f>(VLOOKUP($A292,'The List'!$B1:$AH665,22,FALSE)-AVERAGE('The List'!W2:W665))/STDEV('The List'!W2:W665)</f>
        <v>4.6942657226272763E-2</v>
      </c>
      <c r="K292" s="54">
        <f>(VLOOKUP($A292,'The List'!$B1:$AH665,23,FALSE)-AVERAGE('The List'!X2:X665))/STDEV('The List'!X2:X665)</f>
        <v>-0.10182651144035823</v>
      </c>
      <c r="L292" s="54">
        <f>(VLOOKUP($A292,'The List'!$B1:$AH665,24,FALSE)-AVERAGE('The List'!Y2:Y665))/STDEV('The List'!Y2:Y665)</f>
        <v>-0.56704006505261617</v>
      </c>
      <c r="M292" s="54">
        <f>(VLOOKUP($A292,'The List'!$B1:$AH665,25,FALSE)-AVERAGE('The List'!Z2:Z665))/STDEV('The List'!Z2:Z665)</f>
        <v>-0.74056734893037057</v>
      </c>
      <c r="N292" s="54">
        <f>(VLOOKUP($A292,'The List'!$B1:$AH665,26,FALSE)-AVERAGE('The List'!AA2:AA665))/STDEV('The List'!AA2:AA665)</f>
        <v>-0.98497512378728391</v>
      </c>
      <c r="O292" s="54">
        <f>(VLOOKUP($A292,'The List'!$B1:$AH665,27,FALSE)-AVERAGE('The List'!AB2:AB665))/STDEV('The List'!AB2:AB665)</f>
        <v>0.61595603761775064</v>
      </c>
      <c r="P292" s="54">
        <f>(VLOOKUP($A292,'The List'!$B1:$AH665,28,FALSE)-AVERAGE('The List'!AC2:AC665))/STDEV('The List'!AC2:AC665)</f>
        <v>-1.292253028666737E-2</v>
      </c>
      <c r="Q292" s="54">
        <f>(VLOOKUP($A292,'The List'!$B1:$AH665,29,FALSE)-AVERAGE('The List'!AD2:AD665))/STDEV('The List'!AD2:AD665)</f>
        <v>0.40976445341821077</v>
      </c>
      <c r="R292" s="54">
        <f>(VLOOKUP($A292,'The List'!$B1:$AH665,30,FALSE)-AVERAGE('The List'!AE2:AE665))/STDEV('The List'!AE2:AE665)</f>
        <v>9.2683705689456997E-2</v>
      </c>
      <c r="S292" s="54">
        <f>(VLOOKUP($A292,'The List'!$B1:$AH665,31,FALSE)-AVERAGE('The List'!AF2:AF665))/STDEV('The List'!AF2:AF665)</f>
        <v>-0.52755559103606409</v>
      </c>
      <c r="T292" s="54">
        <f>(VLOOKUP($A292,'The List'!$B1:$AH665,32,FALSE)-AVERAGE('The List'!AG2:AG665))/STDEV('The List'!AG2:AG665)</f>
        <v>-0.52050243764977844</v>
      </c>
      <c r="U292" s="54">
        <f>(VLOOKUP($A292,'The List'!$B1:$AH665,33,FALSE)-AVERAGE('The List'!AH2:AH665))/STDEV('The List'!AH2:AH665)</f>
        <v>0.21415750435651498</v>
      </c>
      <c r="V292" s="54"/>
      <c r="W292" s="64"/>
      <c r="X292" s="56"/>
      <c r="Y292" s="56"/>
      <c r="Z292" s="56"/>
      <c r="AA292" s="56"/>
      <c r="AB292" s="56"/>
      <c r="AC292" s="59"/>
      <c r="AD292" s="60"/>
      <c r="AE292" s="54"/>
    </row>
    <row r="293" spans="1:31" ht="21.25" customHeight="1" x14ac:dyDescent="0.15">
      <c r="A293" s="9" t="s">
        <v>541</v>
      </c>
      <c r="B293" s="65" t="str">
        <f>VLOOKUP(A293,'Player Data'!A1:B667,2,FALSE)</f>
        <v>COL</v>
      </c>
      <c r="C293" s="51">
        <f>((E293)*Settings!$C$12)+(F293*Settings!$C$2)+(G293*Settings!$C$3)+(H293*Settings!$C$4)+(I293*Settings!$C$5)+(K293*Settings!$C$9)+(N293*Settings!$C$6)+(J293*Settings!$C$8)+(O293*Settings!$C$7)+(P293*Settings!$C$14)+(Q293*Settings!$C$15)+(R293*Settings!$C$16)+(S293*Settings!$C$17)+(T293*Settings!$C$18)+(U293*Settings!$C$19)+(L293*Settings!$C$10)+(Settings!$C$11*M293)</f>
        <v>-0.61242516927323742</v>
      </c>
      <c r="D293" s="56">
        <f>IF(Settings!$E$12="YES",VLOOKUP(A293,'Player Data'!A1:E667,5,FALSE),82)</f>
        <v>81.237499999999997</v>
      </c>
      <c r="E293" s="54">
        <f>(VLOOKUP($A293,'The List'!$B1:$AH665,17,FALSE)-AVERAGE('The List'!R2:R665))/STDEV('The List'!R2:R665)</f>
        <v>-1.0618918206636008</v>
      </c>
      <c r="F293" s="54">
        <f>(VLOOKUP($A293,'The List'!$B1:$AH665,18,FALSE)-AVERAGE('The List'!S2:S665))/STDEV('The List'!S2:S665)</f>
        <v>0.229646704540479</v>
      </c>
      <c r="G293" s="54">
        <f>(VLOOKUP($A293,'The List'!$B1:$AH665,19,FALSE)-AVERAGE('The List'!T2:T665))/STDEV('The List'!T2:T665)</f>
        <v>-0.36724775173082846</v>
      </c>
      <c r="H293" s="54">
        <f>(VLOOKUP($A293,'The List'!$B1:$AH665,20,FALSE)-AVERAGE('The List'!U2:U665))/STDEV('The List'!U2:U665)</f>
        <v>-0.12369616027556404</v>
      </c>
      <c r="I293" s="54">
        <f>(VLOOKUP($A293,'The List'!$B1:$AH665,21,FALSE)-AVERAGE('The List'!V2:V665))/STDEV('The List'!V2:V665)</f>
        <v>0.1290534471742659</v>
      </c>
      <c r="J293" s="54">
        <f>(VLOOKUP($A293,'The List'!$B1:$AH665,22,FALSE)-AVERAGE('The List'!W2:W665))/STDEV('The List'!W2:W665)</f>
        <v>-0.3684363495656805</v>
      </c>
      <c r="K293" s="54">
        <f>(VLOOKUP($A293,'The List'!$B1:$AH665,23,FALSE)-AVERAGE('The List'!X2:X665))/STDEV('The List'!X2:X665)</f>
        <v>-0.49069465337124774</v>
      </c>
      <c r="L293" s="54">
        <f>(VLOOKUP($A293,'The List'!$B1:$AH665,24,FALSE)-AVERAGE('The List'!Y2:Y665))/STDEV('The List'!Y2:Y665)</f>
        <v>-0.49318140871187921</v>
      </c>
      <c r="M293" s="54">
        <f>(VLOOKUP($A293,'The List'!$B1:$AH665,25,FALSE)-AVERAGE('The List'!Z2:Z665))/STDEV('The List'!Z2:Z665)</f>
        <v>-0.66483662102797048</v>
      </c>
      <c r="N293" s="54">
        <f>(VLOOKUP($A293,'The List'!$B1:$AH665,26,FALSE)-AVERAGE('The List'!AA2:AA665))/STDEV('The List'!AA2:AA665)</f>
        <v>-0.56814365972282155</v>
      </c>
      <c r="O293" s="54">
        <f>(VLOOKUP($A293,'The List'!$B1:$AH665,27,FALSE)-AVERAGE('The List'!AB2:AB665))/STDEV('The List'!AB2:AB665)</f>
        <v>1.2609935621902599</v>
      </c>
      <c r="P293" s="54">
        <f>(VLOOKUP($A293,'The List'!$B1:$AH665,28,FALSE)-AVERAGE('The List'!AC2:AC665))/STDEV('The List'!AC2:AC665)</f>
        <v>0.45496074383691537</v>
      </c>
      <c r="Q293" s="54">
        <f>(VLOOKUP($A293,'The List'!$B1:$AH665,29,FALSE)-AVERAGE('The List'!AD2:AD665))/STDEV('The List'!AD2:AD665)</f>
        <v>0.3849373479318336</v>
      </c>
      <c r="R293" s="54">
        <f>(VLOOKUP($A293,'The List'!$B1:$AH665,30,FALSE)-AVERAGE('The List'!AE2:AE665))/STDEV('The List'!AE2:AE665)</f>
        <v>0.22405171102133528</v>
      </c>
      <c r="S293" s="54">
        <f>(VLOOKUP($A293,'The List'!$B1:$AH665,31,FALSE)-AVERAGE('The List'!AF2:AF665))/STDEV('The List'!AF2:AF665)</f>
        <v>1.1798424086305719</v>
      </c>
      <c r="T293" s="54">
        <f>(VLOOKUP($A293,'The List'!$B1:$AH665,32,FALSE)-AVERAGE('The List'!AG2:AG665))/STDEV('The List'!AG2:AG665)</f>
        <v>1.0151955778688573</v>
      </c>
      <c r="U293" s="54">
        <f>(VLOOKUP($A293,'The List'!$B1:$AH665,33,FALSE)-AVERAGE('The List'!AH2:AH665))/STDEV('The List'!AH2:AH665)</f>
        <v>1.1801404816794085</v>
      </c>
      <c r="V293" s="54"/>
      <c r="W293" s="64"/>
      <c r="X293" s="56"/>
      <c r="Y293" s="56"/>
      <c r="Z293" s="56"/>
      <c r="AA293" s="56"/>
      <c r="AB293" s="56"/>
      <c r="AC293" s="59"/>
      <c r="AD293" s="60"/>
      <c r="AE293" s="54"/>
    </row>
    <row r="294" spans="1:31" ht="21.25" customHeight="1" x14ac:dyDescent="0.15">
      <c r="A294" s="9" t="s">
        <v>553</v>
      </c>
      <c r="B294" s="65" t="str">
        <f>VLOOKUP(A294,'Player Data'!A1:B667,2,FALSE)</f>
        <v>FLA</v>
      </c>
      <c r="C294" s="51">
        <f>((E294)*Settings!$C$12)+(F294*Settings!$C$2)+(G294*Settings!$C$3)+(H294*Settings!$C$4)+(I294*Settings!$C$5)+(K294*Settings!$C$9)+(N294*Settings!$C$6)+(J294*Settings!$C$8)+(O294*Settings!$C$7)+(P294*Settings!$C$14)+(Q294*Settings!$C$15)+(R294*Settings!$C$16)+(S294*Settings!$C$17)+(T294*Settings!$C$18)+(U294*Settings!$C$19)+(L294*Settings!$C$10)+(Settings!$C$11*M294)</f>
        <v>-0.2028383066758801</v>
      </c>
      <c r="D294" s="56">
        <f>IF(Settings!$E$12="YES",VLOOKUP(A294,'Player Data'!A1:E667,5,FALSE),82)</f>
        <v>81.63</v>
      </c>
      <c r="E294" s="54">
        <f>(VLOOKUP($A294,'The List'!$B1:$AH665,17,FALSE)-AVERAGE('The List'!R2:R665))/STDEV('The List'!R2:R665)</f>
        <v>-0.26719600114265191</v>
      </c>
      <c r="F294" s="54">
        <f>(VLOOKUP($A294,'The List'!$B1:$AH665,18,FALSE)-AVERAGE('The List'!S2:S665))/STDEV('The List'!S2:S665)</f>
        <v>2.1955672016459964E-2</v>
      </c>
      <c r="G294" s="54">
        <f>(VLOOKUP($A294,'The List'!$B1:$AH665,19,FALSE)-AVERAGE('The List'!T2:T665))/STDEV('The List'!T2:T665)</f>
        <v>-0.21374542633642937</v>
      </c>
      <c r="H294" s="54">
        <f>(VLOOKUP($A294,'The List'!$B1:$AH665,20,FALSE)-AVERAGE('The List'!U2:U665))/STDEV('The List'!U2:U665)</f>
        <v>-0.12276803168878236</v>
      </c>
      <c r="I294" s="54">
        <f>(VLOOKUP($A294,'The List'!$B1:$AH665,21,FALSE)-AVERAGE('The List'!V2:V665))/STDEV('The List'!V2:V665)</f>
        <v>-0.19372692360955396</v>
      </c>
      <c r="J294" s="54">
        <f>(VLOOKUP($A294,'The List'!$B1:$AH665,22,FALSE)-AVERAGE('The List'!W2:W665))/STDEV('The List'!W2:W665)</f>
        <v>-0.45288695038925425</v>
      </c>
      <c r="K294" s="54">
        <f>(VLOOKUP($A294,'The List'!$B1:$AH665,23,FALSE)-AVERAGE('The List'!X2:X665))/STDEV('The List'!X2:X665)</f>
        <v>-0.62437872566582642</v>
      </c>
      <c r="L294" s="54">
        <f>(VLOOKUP($A294,'The List'!$B1:$AH665,24,FALSE)-AVERAGE('The List'!Y2:Y665))/STDEV('The List'!Y2:Y665)</f>
        <v>0.11586029687806036</v>
      </c>
      <c r="M294" s="54">
        <f>(VLOOKUP($A294,'The List'!$B1:$AH665,25,FALSE)-AVERAGE('The List'!Z2:Z665))/STDEV('The List'!Z2:Z665)</f>
        <v>0.41621649351645579</v>
      </c>
      <c r="N294" s="54">
        <f>(VLOOKUP($A294,'The List'!$B1:$AH665,26,FALSE)-AVERAGE('The List'!AA2:AA665))/STDEV('The List'!AA2:AA665)</f>
        <v>-0.27572526627957106</v>
      </c>
      <c r="O294" s="54">
        <f>(VLOOKUP($A294,'The List'!$B1:$AH665,27,FALSE)-AVERAGE('The List'!AB2:AB665))/STDEV('The List'!AB2:AB665)</f>
        <v>0.42094545865050575</v>
      </c>
      <c r="P294" s="54">
        <f>(VLOOKUP($A294,'The List'!$B1:$AH665,28,FALSE)-AVERAGE('The List'!AC2:AC665))/STDEV('The List'!AC2:AC665)</f>
        <v>1.0827823631990408</v>
      </c>
      <c r="Q294" s="54">
        <f>(VLOOKUP($A294,'The List'!$B1:$AH665,29,FALSE)-AVERAGE('The List'!AD2:AD665))/STDEV('The List'!AD2:AD665)</f>
        <v>-0.48648844797402013</v>
      </c>
      <c r="R294" s="54">
        <f>(VLOOKUP($A294,'The List'!$B1:$AH665,30,FALSE)-AVERAGE('The List'!AE2:AE665))/STDEV('The List'!AE2:AE665)</f>
        <v>0.2071428072814343</v>
      </c>
      <c r="S294" s="54">
        <f>(VLOOKUP($A294,'The List'!$B1:$AH665,31,FALSE)-AVERAGE('The List'!AF2:AF665))/STDEV('The List'!AF2:AF665)</f>
        <v>0.12578665221944932</v>
      </c>
      <c r="T294" s="54">
        <f>(VLOOKUP($A294,'The List'!$B1:$AH665,32,FALSE)-AVERAGE('The List'!AG2:AG665))/STDEV('The List'!AG2:AG665)</f>
        <v>0.22717817027599949</v>
      </c>
      <c r="U294" s="54">
        <f>(VLOOKUP($A294,'The List'!$B1:$AH665,33,FALSE)-AVERAGE('The List'!AH2:AH665))/STDEV('The List'!AH2:AH665)</f>
        <v>0.88078578522366524</v>
      </c>
      <c r="V294" s="54"/>
      <c r="W294" s="64"/>
      <c r="X294" s="56"/>
      <c r="Y294" s="56"/>
      <c r="Z294" s="56"/>
      <c r="AA294" s="56"/>
      <c r="AB294" s="56"/>
      <c r="AC294" s="59"/>
      <c r="AD294" s="60"/>
      <c r="AE294" s="54"/>
    </row>
    <row r="295" spans="1:31" ht="21.25" customHeight="1" x14ac:dyDescent="0.15">
      <c r="A295" s="9" t="s">
        <v>565</v>
      </c>
      <c r="B295" s="65" t="str">
        <f>VLOOKUP(A295,'Player Data'!A1:B667,2,FALSE)</f>
        <v>WPG</v>
      </c>
      <c r="C295" s="51">
        <f>((E295)*Settings!$C$12)+(F295*Settings!$C$2)+(G295*Settings!$C$3)+(H295*Settings!$C$4)+(I295*Settings!$C$5)+(K295*Settings!$C$9)+(N295*Settings!$C$6)+(J295*Settings!$C$8)+(O295*Settings!$C$7)+(P295*Settings!$C$14)+(Q295*Settings!$C$15)+(R295*Settings!$C$16)+(S295*Settings!$C$17)+(T295*Settings!$C$18)+(U295*Settings!$C$19)+(L295*Settings!$C$10)+(Settings!$C$11*M295)</f>
        <v>-0.78716171185310335</v>
      </c>
      <c r="D295" s="56">
        <f>IF(Settings!$E$12="YES",VLOOKUP(A295,'Player Data'!A1:E667,5,FALSE),82)</f>
        <v>79.932500000000005</v>
      </c>
      <c r="E295" s="54">
        <f>(VLOOKUP($A295,'The List'!$B1:$AH665,17,FALSE)-AVERAGE('The List'!R2:R665))/STDEV('The List'!R2:R665)</f>
        <v>-0.58030016915581728</v>
      </c>
      <c r="F295" s="54">
        <f>(VLOOKUP($A295,'The List'!$B1:$AH665,18,FALSE)-AVERAGE('The List'!S2:S665))/STDEV('The List'!S2:S665)</f>
        <v>-0.18350782051770237</v>
      </c>
      <c r="G295" s="54">
        <f>(VLOOKUP($A295,'The List'!$B1:$AH665,19,FALSE)-AVERAGE('The List'!T2:T665))/STDEV('The List'!T2:T665)</f>
        <v>-0.11678226765113493</v>
      </c>
      <c r="H295" s="54">
        <f>(VLOOKUP($A295,'The List'!$B1:$AH665,20,FALSE)-AVERAGE('The List'!U2:U665))/STDEV('The List'!U2:U665)</f>
        <v>-0.15594138191020304</v>
      </c>
      <c r="I295" s="54">
        <f>(VLOOKUP($A295,'The List'!$B1:$AH665,21,FALSE)-AVERAGE('The List'!V2:V665))/STDEV('The List'!V2:V665)</f>
        <v>-0.46487460829532717</v>
      </c>
      <c r="J295" s="54">
        <f>(VLOOKUP($A295,'The List'!$B1:$AH665,22,FALSE)-AVERAGE('The List'!W2:W665))/STDEV('The List'!W2:W665)</f>
        <v>-0.14877951095236205</v>
      </c>
      <c r="K295" s="54">
        <f>(VLOOKUP($A295,'The List'!$B1:$AH665,23,FALSE)-AVERAGE('The List'!X2:X665))/STDEV('The List'!X2:X665)</f>
        <v>-0.294983063883896</v>
      </c>
      <c r="L295" s="54">
        <f>(VLOOKUP($A295,'The List'!$B1:$AH665,24,FALSE)-AVERAGE('The List'!Y2:Y665))/STDEV('The List'!Y2:Y665)</f>
        <v>0.96328194163315317</v>
      </c>
      <c r="M295" s="54">
        <f>(VLOOKUP($A295,'The List'!$B1:$AH665,25,FALSE)-AVERAGE('The List'!Z2:Z665))/STDEV('The List'!Z2:Z665)</f>
        <v>0.52850683009861266</v>
      </c>
      <c r="N295" s="54">
        <f>(VLOOKUP($A295,'The List'!$B1:$AH665,26,FALSE)-AVERAGE('The List'!AA2:AA665))/STDEV('The List'!AA2:AA665)</f>
        <v>-0.46397523494361737</v>
      </c>
      <c r="O295" s="54">
        <f>(VLOOKUP($A295,'The List'!$B1:$AH665,27,FALSE)-AVERAGE('The List'!AB2:AB665))/STDEV('The List'!AB2:AB665)</f>
        <v>0.16853426986943063</v>
      </c>
      <c r="P295" s="54">
        <f>(VLOOKUP($A295,'The List'!$B1:$AH665,28,FALSE)-AVERAGE('The List'!AC2:AC665))/STDEV('The List'!AC2:AC665)</f>
        <v>0.73696128343857437</v>
      </c>
      <c r="Q295" s="54">
        <f>(VLOOKUP($A295,'The List'!$B1:$AH665,29,FALSE)-AVERAGE('The List'!AD2:AD665))/STDEV('The List'!AD2:AD665)</f>
        <v>0.23780618140802437</v>
      </c>
      <c r="R295" s="54">
        <f>(VLOOKUP($A295,'The List'!$B1:$AH665,30,FALSE)-AVERAGE('The List'!AE2:AE665))/STDEV('The List'!AE2:AE665)</f>
        <v>-4.8052862684450671E-2</v>
      </c>
      <c r="S295" s="54">
        <f>(VLOOKUP($A295,'The List'!$B1:$AH665,31,FALSE)-AVERAGE('The List'!AF2:AF665))/STDEV('The List'!AF2:AF665)</f>
        <v>0.18384213015386897</v>
      </c>
      <c r="T295" s="54">
        <f>(VLOOKUP($A295,'The List'!$B1:$AH665,32,FALSE)-AVERAGE('The List'!AG2:AG665))/STDEV('The List'!AG2:AG665)</f>
        <v>0.63417003693593077</v>
      </c>
      <c r="U295" s="54">
        <f>(VLOOKUP($A295,'The List'!$B1:$AH665,33,FALSE)-AVERAGE('The List'!AH2:AH665))/STDEV('The List'!AH2:AH665)</f>
        <v>0.53702863923106192</v>
      </c>
      <c r="V295" s="54"/>
      <c r="W295" s="64"/>
      <c r="X295" s="56"/>
      <c r="Y295" s="56"/>
      <c r="Z295" s="56"/>
      <c r="AA295" s="56"/>
      <c r="AB295" s="56"/>
      <c r="AC295" s="59"/>
      <c r="AD295" s="60"/>
      <c r="AE295" s="54"/>
    </row>
    <row r="296" spans="1:31" ht="21.25" customHeight="1" x14ac:dyDescent="0.15">
      <c r="A296" s="9" t="s">
        <v>463</v>
      </c>
      <c r="B296" s="65" t="str">
        <f>VLOOKUP(A296,'Player Data'!A1:B667,2,FALSE)</f>
        <v>NYI</v>
      </c>
      <c r="C296" s="51">
        <f>((E296)*Settings!$C$12)+(F296*Settings!$C$2)+(G296*Settings!$C$3)+(H296*Settings!$C$4)+(I296*Settings!$C$5)+(K296*Settings!$C$9)+(N296*Settings!$C$6)+(J296*Settings!$C$8)+(O296*Settings!$C$7)+(P296*Settings!$C$14)+(Q296*Settings!$C$15)+(R296*Settings!$C$16)+(S296*Settings!$C$17)+(T296*Settings!$C$18)+(U296*Settings!$C$19)+(L296*Settings!$C$10)+(Settings!$C$11*M296)</f>
        <v>0.64295493100869727</v>
      </c>
      <c r="D296" s="56">
        <f>IF(Settings!$E$12="YES",VLOOKUP(A296,'Player Data'!A1:E667,5,FALSE),82)</f>
        <v>81.252499999999998</v>
      </c>
      <c r="E296" s="54">
        <f>(VLOOKUP($A296,'The List'!$B1:$AH665,17,FALSE)-AVERAGE('The List'!R2:R665))/STDEV('The List'!R2:R665)</f>
        <v>-0.6732417725031884</v>
      </c>
      <c r="F296" s="54">
        <f>(VLOOKUP($A296,'The List'!$B1:$AH665,18,FALSE)-AVERAGE('The List'!S2:S665))/STDEV('The List'!S2:S665)</f>
        <v>0.44535627730394978</v>
      </c>
      <c r="G296" s="54">
        <f>(VLOOKUP($A296,'The List'!$B1:$AH665,19,FALSE)-AVERAGE('The List'!T2:T665))/STDEV('The List'!T2:T665)</f>
        <v>-0.53885683158865161</v>
      </c>
      <c r="H296" s="54">
        <f>(VLOOKUP($A296,'The List'!$B1:$AH665,20,FALSE)-AVERAGE('The List'!U2:U665))/STDEV('The List'!U2:U665)</f>
        <v>-0.13222479380214333</v>
      </c>
      <c r="I296" s="54">
        <f>(VLOOKUP($A296,'The List'!$B1:$AH665,21,FALSE)-AVERAGE('The List'!V2:V665))/STDEV('The List'!V2:V665)</f>
        <v>0.49069160972480136</v>
      </c>
      <c r="J296" s="54">
        <f>(VLOOKUP($A296,'The List'!$B1:$AH665,22,FALSE)-AVERAGE('The List'!W2:W665))/STDEV('The List'!W2:W665)</f>
        <v>0.21286351389099109</v>
      </c>
      <c r="K296" s="54">
        <f>(VLOOKUP($A296,'The List'!$B1:$AH665,23,FALSE)-AVERAGE('The List'!X2:X665))/STDEV('The List'!X2:X665)</f>
        <v>-0.25542164954936025</v>
      </c>
      <c r="L296" s="54">
        <f>(VLOOKUP($A296,'The List'!$B1:$AH665,24,FALSE)-AVERAGE('The List'!Y2:Y665))/STDEV('The List'!Y2:Y665)</f>
        <v>-0.57267397591893676</v>
      </c>
      <c r="M296" s="54">
        <f>(VLOOKUP($A296,'The List'!$B1:$AH665,25,FALSE)-AVERAGE('The List'!Z2:Z665))/STDEV('The List'!Z2:Z665)</f>
        <v>-0.74641014854969912</v>
      </c>
      <c r="N296" s="54">
        <f>(VLOOKUP($A296,'The List'!$B1:$AH665,26,FALSE)-AVERAGE('The List'!AA2:AA665))/STDEV('The List'!AA2:AA665)</f>
        <v>-0.42119043179851429</v>
      </c>
      <c r="O296" s="54">
        <f>(VLOOKUP($A296,'The List'!$B1:$AH665,27,FALSE)-AVERAGE('The List'!AB2:AB665))/STDEV('The List'!AB2:AB665)</f>
        <v>0.94684355758551708</v>
      </c>
      <c r="P296" s="54">
        <f>(VLOOKUP($A296,'The List'!$B1:$AH665,28,FALSE)-AVERAGE('The List'!AC2:AC665))/STDEV('The List'!AC2:AC665)</f>
        <v>0.92237595691647234</v>
      </c>
      <c r="Q296" s="54">
        <f>(VLOOKUP($A296,'The List'!$B1:$AH665,29,FALSE)-AVERAGE('The List'!AD2:AD665))/STDEV('The List'!AD2:AD665)</f>
        <v>0.79761770415762068</v>
      </c>
      <c r="R296" s="54">
        <f>(VLOOKUP($A296,'The List'!$B1:$AH665,30,FALSE)-AVERAGE('The List'!AE2:AE665))/STDEV('The List'!AE2:AE665)</f>
        <v>0.51938743941325338</v>
      </c>
      <c r="S296" s="54">
        <f>(VLOOKUP($A296,'The List'!$B1:$AH665,31,FALSE)-AVERAGE('The List'!AF2:AF665))/STDEV('The List'!AF2:AF665)</f>
        <v>-0.45029861632813728</v>
      </c>
      <c r="T296" s="54">
        <f>(VLOOKUP($A296,'The List'!$B1:$AH665,32,FALSE)-AVERAGE('The List'!AG2:AG665))/STDEV('The List'!AG2:AG665)</f>
        <v>-0.48572300628484832</v>
      </c>
      <c r="U296" s="54">
        <f>(VLOOKUP($A296,'The List'!$B1:$AH665,33,FALSE)-AVERAGE('The List'!AH2:AH665))/STDEV('The List'!AH2:AH665)</f>
        <v>0.96342128247938419</v>
      </c>
      <c r="V296" s="54"/>
      <c r="W296" s="64"/>
      <c r="X296" s="56"/>
      <c r="Y296" s="56"/>
      <c r="Z296" s="56"/>
      <c r="AA296" s="56"/>
      <c r="AB296" s="56"/>
      <c r="AC296" s="59"/>
      <c r="AD296" s="60"/>
      <c r="AE296" s="54"/>
    </row>
    <row r="297" spans="1:31" ht="21.25" customHeight="1" x14ac:dyDescent="0.15">
      <c r="A297" s="9" t="s">
        <v>308</v>
      </c>
      <c r="B297" s="65" t="str">
        <f>VLOOKUP(A297,'Player Data'!A1:B667,2,FALSE)</f>
        <v>CAR</v>
      </c>
      <c r="C297" s="51">
        <f>((E297)*Settings!$C$12)+(F297*Settings!$C$2)+(G297*Settings!$C$3)+(H297*Settings!$C$4)+(I297*Settings!$C$5)+(K297*Settings!$C$9)+(N297*Settings!$C$6)+(J297*Settings!$C$8)+(O297*Settings!$C$7)+(P297*Settings!$C$14)+(Q297*Settings!$C$15)+(R297*Settings!$C$16)+(S297*Settings!$C$17)+(T297*Settings!$C$18)+(U297*Settings!$C$19)+(L297*Settings!$C$10)+(Settings!$C$11*M297)</f>
        <v>2.1943393176831267</v>
      </c>
      <c r="D297" s="56">
        <f>IF(Settings!$E$12="YES",VLOOKUP(A297,'Player Data'!A1:E667,5,FALSE),82)</f>
        <v>80.727500000000006</v>
      </c>
      <c r="E297" s="54">
        <f>(VLOOKUP($A297,'The List'!$B1:$AH665,17,FALSE)-AVERAGE('The List'!R2:R665))/STDEV('The List'!R2:R665)</f>
        <v>1.2960913006332229</v>
      </c>
      <c r="F297" s="54">
        <f>(VLOOKUP($A297,'The List'!$B1:$AH665,18,FALSE)-AVERAGE('The List'!S2:S665))/STDEV('The List'!S2:S665)</f>
        <v>-0.75200424072724437</v>
      </c>
      <c r="G297" s="54">
        <f>(VLOOKUP($A297,'The List'!$B1:$AH665,19,FALSE)-AVERAGE('The List'!T2:T665))/STDEV('The List'!T2:T665)</f>
        <v>0.32173539723275268</v>
      </c>
      <c r="H297" s="54">
        <f>(VLOOKUP($A297,'The List'!$B1:$AH665,20,FALSE)-AVERAGE('The List'!U2:U665))/STDEV('The List'!U2:U665)</f>
        <v>-0.14200590078525496</v>
      </c>
      <c r="I297" s="54">
        <f>(VLOOKUP($A297,'The List'!$B1:$AH665,21,FALSE)-AVERAGE('The List'!V2:V665))/STDEV('The List'!V2:V665)</f>
        <v>0.2314805342855859</v>
      </c>
      <c r="J297" s="54">
        <f>(VLOOKUP($A297,'The List'!$B1:$AH665,22,FALSE)-AVERAGE('The List'!W2:W665))/STDEV('The List'!W2:W665)</f>
        <v>-0.71448021789986538</v>
      </c>
      <c r="K297" s="54">
        <f>(VLOOKUP($A297,'The List'!$B1:$AH665,23,FALSE)-AVERAGE('The List'!X2:X665))/STDEV('The List'!X2:X665)</f>
        <v>-0.75392319727324264</v>
      </c>
      <c r="L297" s="54">
        <f>(VLOOKUP($A297,'The List'!$B1:$AH665,24,FALSE)-AVERAGE('The List'!Y2:Y665))/STDEV('The List'!Y2:Y665)</f>
        <v>0.83309131329820818</v>
      </c>
      <c r="M297" s="54">
        <f>(VLOOKUP($A297,'The List'!$B1:$AH665,25,FALSE)-AVERAGE('The List'!Z2:Z665))/STDEV('The List'!Z2:Z665)</f>
        <v>0.75983485822632013</v>
      </c>
      <c r="N297" s="54">
        <f>(VLOOKUP($A297,'The List'!$B1:$AH665,26,FALSE)-AVERAGE('The List'!AA2:AA665))/STDEV('The List'!AA2:AA665)</f>
        <v>1.2999097482025768</v>
      </c>
      <c r="O297" s="54">
        <f>(VLOOKUP($A297,'The List'!$B1:$AH665,27,FALSE)-AVERAGE('The List'!AB2:AB665))/STDEV('The List'!AB2:AB665)</f>
        <v>-0.70454488939178794</v>
      </c>
      <c r="P297" s="54">
        <f>(VLOOKUP($A297,'The List'!$B1:$AH665,28,FALSE)-AVERAGE('The List'!AC2:AC665))/STDEV('The List'!AC2:AC665)</f>
        <v>1.8471410759626983</v>
      </c>
      <c r="Q297" s="54">
        <f>(VLOOKUP($A297,'The List'!$B1:$AH665,29,FALSE)-AVERAGE('The List'!AD2:AD665))/STDEV('The List'!AD2:AD665)</f>
        <v>-1.3305475915172917</v>
      </c>
      <c r="R297" s="54">
        <f>(VLOOKUP($A297,'The List'!$B1:$AH665,30,FALSE)-AVERAGE('The List'!AE2:AE665))/STDEV('The List'!AE2:AE665)</f>
        <v>-0.62826864152917505</v>
      </c>
      <c r="S297" s="54">
        <f>(VLOOKUP($A297,'The List'!$B1:$AH665,31,FALSE)-AVERAGE('The List'!AF2:AF665))/STDEV('The List'!AF2:AF665)</f>
        <v>-0.57389441068000469</v>
      </c>
      <c r="T297" s="54">
        <f>(VLOOKUP($A297,'The List'!$B1:$AH665,32,FALSE)-AVERAGE('The List'!AG2:AG665))/STDEV('The List'!AG2:AG665)</f>
        <v>-0.62577078713265111</v>
      </c>
      <c r="U297" s="54">
        <f>(VLOOKUP($A297,'The List'!$B1:$AH665,33,FALSE)-AVERAGE('The List'!AH2:AH665))/STDEV('The List'!AH2:AH665)</f>
        <v>-1.2314350945148611</v>
      </c>
      <c r="V297" s="54"/>
      <c r="W297" s="64"/>
      <c r="X297" s="56"/>
      <c r="Y297" s="56"/>
      <c r="Z297" s="56"/>
      <c r="AA297" s="56"/>
      <c r="AB297" s="56"/>
      <c r="AC297" s="59"/>
      <c r="AD297" s="60"/>
      <c r="AE297" s="54"/>
    </row>
    <row r="298" spans="1:31" ht="21.25" customHeight="1" x14ac:dyDescent="0.15">
      <c r="A298" s="9" t="s">
        <v>549</v>
      </c>
      <c r="B298" s="65" t="str">
        <f>VLOOKUP(A298,'Player Data'!A1:B667,2,FALSE)</f>
        <v>DET</v>
      </c>
      <c r="C298" s="51">
        <f>((E298)*Settings!$C$12)+(F298*Settings!$C$2)+(G298*Settings!$C$3)+(H298*Settings!$C$4)+(I298*Settings!$C$5)+(K298*Settings!$C$9)+(N298*Settings!$C$6)+(J298*Settings!$C$8)+(O298*Settings!$C$7)+(P298*Settings!$C$14)+(Q298*Settings!$C$15)+(R298*Settings!$C$16)+(S298*Settings!$C$17)+(T298*Settings!$C$18)+(U298*Settings!$C$19)+(L298*Settings!$C$10)+(Settings!$C$11*M298)</f>
        <v>-2.3450889290595631</v>
      </c>
      <c r="D298" s="56">
        <f>IF(Settings!$E$12="YES",VLOOKUP(A298,'Player Data'!A1:E667,5,FALSE),82)</f>
        <v>80.497500000000002</v>
      </c>
      <c r="E298" s="54">
        <f>(VLOOKUP($A298,'The List'!$B1:$AH665,17,FALSE)-AVERAGE('The List'!R2:R665))/STDEV('The List'!R2:R665)</f>
        <v>-0.35757932405689574</v>
      </c>
      <c r="F298" s="54">
        <f>(VLOOKUP($A298,'The List'!$B1:$AH665,18,FALSE)-AVERAGE('The List'!S2:S665))/STDEV('The List'!S2:S665)</f>
        <v>-0.23665920897332127</v>
      </c>
      <c r="G298" s="54">
        <f>(VLOOKUP($A298,'The List'!$B1:$AH665,19,FALSE)-AVERAGE('The List'!T2:T665))/STDEV('The List'!T2:T665)</f>
        <v>-7.0316930996561861E-2</v>
      </c>
      <c r="H298" s="54">
        <f>(VLOOKUP($A298,'The List'!$B1:$AH665,20,FALSE)-AVERAGE('The List'!U2:U665))/STDEV('The List'!U2:U665)</f>
        <v>-0.1512436277308388</v>
      </c>
      <c r="I298" s="54">
        <f>(VLOOKUP($A298,'The List'!$B1:$AH665,21,FALSE)-AVERAGE('The List'!V2:V665))/STDEV('The List'!V2:V665)</f>
        <v>-0.31221651285771718</v>
      </c>
      <c r="J298" s="54">
        <f>(VLOOKUP($A298,'The List'!$B1:$AH665,22,FALSE)-AVERAGE('The List'!W2:W665))/STDEV('The List'!W2:W665)</f>
        <v>-0.44241729980663069</v>
      </c>
      <c r="K298" s="54">
        <f>(VLOOKUP($A298,'The List'!$B1:$AH665,23,FALSE)-AVERAGE('The List'!X2:X665))/STDEV('The List'!X2:X665)</f>
        <v>-0.47135025631752769</v>
      </c>
      <c r="L298" s="54">
        <f>(VLOOKUP($A298,'The List'!$B1:$AH665,24,FALSE)-AVERAGE('The List'!Y2:Y665))/STDEV('The List'!Y2:Y665)</f>
        <v>1.117390603849719</v>
      </c>
      <c r="M298" s="54">
        <f>(VLOOKUP($A298,'The List'!$B1:$AH665,25,FALSE)-AVERAGE('The List'!Z2:Z665))/STDEV('The List'!Z2:Z665)</f>
        <v>1.5983074095850414</v>
      </c>
      <c r="N298" s="54">
        <f>(VLOOKUP($A298,'The List'!$B1:$AH665,26,FALSE)-AVERAGE('The List'!AA2:AA665))/STDEV('The List'!AA2:AA665)</f>
        <v>-0.45162739594054513</v>
      </c>
      <c r="O298" s="54">
        <f>(VLOOKUP($A298,'The List'!$B1:$AH665,27,FALSE)-AVERAGE('The List'!AB2:AB665))/STDEV('The List'!AB2:AB665)</f>
        <v>-1.0935859308265947</v>
      </c>
      <c r="P298" s="54">
        <f>(VLOOKUP($A298,'The List'!$B1:$AH665,28,FALSE)-AVERAGE('The List'!AC2:AC665))/STDEV('The List'!AC2:AC665)</f>
        <v>-0.8029186239738898</v>
      </c>
      <c r="Q298" s="54">
        <f>(VLOOKUP($A298,'The List'!$B1:$AH665,29,FALSE)-AVERAGE('The List'!AD2:AD665))/STDEV('The List'!AD2:AD665)</f>
        <v>-0.68874542607901379</v>
      </c>
      <c r="R298" s="54">
        <f>(VLOOKUP($A298,'The List'!$B1:$AH665,30,FALSE)-AVERAGE('The List'!AE2:AE665))/STDEV('The List'!AE2:AE665)</f>
        <v>-0.30810171500509181</v>
      </c>
      <c r="S298" s="54">
        <f>(VLOOKUP($A298,'The List'!$B1:$AH665,31,FALSE)-AVERAGE('The List'!AF2:AF665))/STDEV('The List'!AF2:AF665)</f>
        <v>1.7974550838887962</v>
      </c>
      <c r="T298" s="54">
        <f>(VLOOKUP($A298,'The List'!$B1:$AH665,32,FALSE)-AVERAGE('The List'!AG2:AG665))/STDEV('The List'!AG2:AG665)</f>
        <v>1.6959369927222776</v>
      </c>
      <c r="U298" s="54">
        <f>(VLOOKUP($A298,'The List'!$B1:$AH665,33,FALSE)-AVERAGE('The List'!AH2:AH665))/STDEV('The List'!AH2:AH665)</f>
        <v>1.1289400745507987</v>
      </c>
      <c r="V298" s="54"/>
      <c r="W298" s="64"/>
      <c r="X298" s="56"/>
      <c r="Y298" s="56"/>
      <c r="Z298" s="56"/>
      <c r="AA298" s="56"/>
      <c r="AB298" s="56"/>
      <c r="AC298" s="59"/>
      <c r="AD298" s="60"/>
      <c r="AE298" s="54"/>
    </row>
    <row r="299" spans="1:31" ht="21.25" customHeight="1" x14ac:dyDescent="0.15">
      <c r="A299" s="9" t="s">
        <v>320</v>
      </c>
      <c r="B299" s="65" t="str">
        <f>VLOOKUP(A299,'Player Data'!A1:B667,2,FALSE)</f>
        <v>MTL</v>
      </c>
      <c r="C299" s="51">
        <f>((E299)*Settings!$C$12)+(F299*Settings!$C$2)+(G299*Settings!$C$3)+(H299*Settings!$C$4)+(I299*Settings!$C$5)+(K299*Settings!$C$9)+(N299*Settings!$C$6)+(J299*Settings!$C$8)+(O299*Settings!$C$7)+(P299*Settings!$C$14)+(Q299*Settings!$C$15)+(R299*Settings!$C$16)+(S299*Settings!$C$17)+(T299*Settings!$C$18)+(U299*Settings!$C$19)+(L299*Settings!$C$10)+(Settings!$C$11*M299)</f>
        <v>-0.82521727888927532</v>
      </c>
      <c r="D299" s="56">
        <f>IF(Settings!$E$12="YES",VLOOKUP(A299,'Player Data'!A1:E667,5,FALSE),82)</f>
        <v>72.662499999999994</v>
      </c>
      <c r="E299" s="54">
        <f>(VLOOKUP($A299,'The List'!$B1:$AH665,17,FALSE)-AVERAGE('The List'!R2:R665))/STDEV('The List'!R2:R665)</f>
        <v>1.4670583400267585</v>
      </c>
      <c r="F299" s="54">
        <f>(VLOOKUP($A299,'The List'!$B1:$AH665,18,FALSE)-AVERAGE('The List'!S2:S665))/STDEV('The List'!S2:S665)</f>
        <v>-0.60280356182508488</v>
      </c>
      <c r="G299" s="54">
        <f>(VLOOKUP($A299,'The List'!$B1:$AH665,19,FALSE)-AVERAGE('The List'!T2:T665))/STDEV('The List'!T2:T665)</f>
        <v>-3.7741951616817572E-2</v>
      </c>
      <c r="H299" s="54">
        <f>(VLOOKUP($A299,'The List'!$B1:$AH665,20,FALSE)-AVERAGE('The List'!U2:U665))/STDEV('The List'!U2:U665)</f>
        <v>-0.29744274651562047</v>
      </c>
      <c r="I299" s="54">
        <f>(VLOOKUP($A299,'The List'!$B1:$AH665,21,FALSE)-AVERAGE('The List'!V2:V665))/STDEV('The List'!V2:V665)</f>
        <v>-0.41984757044678772</v>
      </c>
      <c r="J299" s="54">
        <f>(VLOOKUP($A299,'The List'!$B1:$AH665,22,FALSE)-AVERAGE('The List'!W2:W665))/STDEV('The List'!W2:W665)</f>
        <v>-0.72423287762469857</v>
      </c>
      <c r="K299" s="54">
        <f>(VLOOKUP($A299,'The List'!$B1:$AH665,23,FALSE)-AVERAGE('The List'!X2:X665))/STDEV('The List'!X2:X665)</f>
        <v>-0.77701265260345009</v>
      </c>
      <c r="L299" s="54">
        <f>(VLOOKUP($A299,'The List'!$B1:$AH665,24,FALSE)-AVERAGE('The List'!Y2:Y665))/STDEV('The List'!Y2:Y665)</f>
        <v>-0.5132716342221264</v>
      </c>
      <c r="M299" s="54">
        <f>(VLOOKUP($A299,'The List'!$B1:$AH665,25,FALSE)-AVERAGE('The List'!Z2:Z665))/STDEV('The List'!Z2:Z665)</f>
        <v>-0.58180497260137087</v>
      </c>
      <c r="N299" s="54">
        <f>(VLOOKUP($A299,'The List'!$B1:$AH665,26,FALSE)-AVERAGE('The List'!AA2:AA665))/STDEV('The List'!AA2:AA665)</f>
        <v>2.4467306839075675</v>
      </c>
      <c r="O299" s="54">
        <f>(VLOOKUP($A299,'The List'!$B1:$AH665,27,FALSE)-AVERAGE('The List'!AB2:AB665))/STDEV('The List'!AB2:AB665)</f>
        <v>0.54358233250815369</v>
      </c>
      <c r="P299" s="54">
        <f>(VLOOKUP($A299,'The List'!$B1:$AH665,28,FALSE)-AVERAGE('The List'!AC2:AC665))/STDEV('The List'!AC2:AC665)</f>
        <v>-1.4345422263047027</v>
      </c>
      <c r="Q299" s="54">
        <f>(VLOOKUP($A299,'The List'!$B1:$AH665,29,FALSE)-AVERAGE('The List'!AD2:AD665))/STDEV('The List'!AD2:AD665)</f>
        <v>1.4102446128120953</v>
      </c>
      <c r="R299" s="54">
        <f>(VLOOKUP($A299,'The List'!$B1:$AH665,30,FALSE)-AVERAGE('The List'!AE2:AE665))/STDEV('The List'!AE2:AE665)</f>
        <v>-0.73143320888826702</v>
      </c>
      <c r="S299" s="54">
        <f>(VLOOKUP($A299,'The List'!$B1:$AH665,31,FALSE)-AVERAGE('The List'!AF2:AF665))/STDEV('The List'!AF2:AF665)</f>
        <v>-0.57389441068000469</v>
      </c>
      <c r="T299" s="54">
        <f>(VLOOKUP($A299,'The List'!$B1:$AH665,32,FALSE)-AVERAGE('The List'!AG2:AG665))/STDEV('The List'!AG2:AG665)</f>
        <v>-0.62577078713265111</v>
      </c>
      <c r="U299" s="54">
        <f>(VLOOKUP($A299,'The List'!$B1:$AH665,33,FALSE)-AVERAGE('The List'!AH2:AH665))/STDEV('The List'!AH2:AH665)</f>
        <v>-1.2314350945148611</v>
      </c>
      <c r="V299" s="54"/>
      <c r="W299" s="64"/>
      <c r="X299" s="56"/>
      <c r="Y299" s="56"/>
      <c r="Z299" s="56"/>
      <c r="AA299" s="56"/>
      <c r="AB299" s="56"/>
      <c r="AC299" s="59"/>
      <c r="AD299" s="60"/>
      <c r="AE299" s="54"/>
    </row>
    <row r="300" spans="1:31" ht="21.25" customHeight="1" x14ac:dyDescent="0.15">
      <c r="A300" s="9" t="s">
        <v>310</v>
      </c>
      <c r="B300" s="65" t="str">
        <f>VLOOKUP(A300,'Player Data'!A1:B667,2,FALSE)</f>
        <v>EDM</v>
      </c>
      <c r="C300" s="51">
        <f>((E300)*Settings!$C$12)+(F300*Settings!$C$2)+(G300*Settings!$C$3)+(H300*Settings!$C$4)+(I300*Settings!$C$5)+(K300*Settings!$C$9)+(N300*Settings!$C$6)+(J300*Settings!$C$8)+(O300*Settings!$C$7)+(P300*Settings!$C$14)+(Q300*Settings!$C$15)+(R300*Settings!$C$16)+(S300*Settings!$C$17)+(T300*Settings!$C$18)+(U300*Settings!$C$19)+(L300*Settings!$C$10)+(Settings!$C$11*M300)</f>
        <v>3.0373941103233002</v>
      </c>
      <c r="D300" s="56">
        <f>IF(Settings!$E$12="YES",VLOOKUP(A300,'Player Data'!A1:E667,5,FALSE),82)</f>
        <v>80.347499999999997</v>
      </c>
      <c r="E300" s="54">
        <f>(VLOOKUP($A300,'The List'!$B1:$AH665,17,FALSE)-AVERAGE('The List'!R2:R665))/STDEV('The List'!R2:R665)</f>
        <v>1.2548308433237967</v>
      </c>
      <c r="F300" s="54">
        <f>(VLOOKUP($A300,'The List'!$B1:$AH665,18,FALSE)-AVERAGE('The List'!S2:S665))/STDEV('The List'!S2:S665)</f>
        <v>-0.54060790958231564</v>
      </c>
      <c r="G300" s="54">
        <f>(VLOOKUP($A300,'The List'!$B1:$AH665,19,FALSE)-AVERAGE('The List'!T2:T665))/STDEV('The List'!T2:T665)</f>
        <v>0.14433219014192264</v>
      </c>
      <c r="H300" s="54">
        <f>(VLOOKUP($A300,'The List'!$B1:$AH665,20,FALSE)-AVERAGE('The List'!U2:U665))/STDEV('The List'!U2:U665)</f>
        <v>-0.15609358645683716</v>
      </c>
      <c r="I300" s="54">
        <f>(VLOOKUP($A300,'The List'!$B1:$AH665,21,FALSE)-AVERAGE('The List'!V2:V665))/STDEV('The List'!V2:V665)</f>
        <v>0.38660989134955209</v>
      </c>
      <c r="J300" s="54">
        <f>(VLOOKUP($A300,'The List'!$B1:$AH665,22,FALSE)-AVERAGE('The List'!W2:W665))/STDEV('The List'!W2:W665)</f>
        <v>-0.56836218452743803</v>
      </c>
      <c r="K300" s="54">
        <f>(VLOOKUP($A300,'The List'!$B1:$AH665,23,FALSE)-AVERAGE('The List'!X2:X665))/STDEV('The List'!X2:X665)</f>
        <v>-0.53611237547980095</v>
      </c>
      <c r="L300" s="54">
        <f>(VLOOKUP($A300,'The List'!$B1:$AH665,24,FALSE)-AVERAGE('The List'!Y2:Y665))/STDEV('The List'!Y2:Y665)</f>
        <v>0.20397582788325513</v>
      </c>
      <c r="M300" s="54">
        <f>(VLOOKUP($A300,'The List'!$B1:$AH665,25,FALSE)-AVERAGE('The List'!Z2:Z665))/STDEV('The List'!Z2:Z665)</f>
        <v>0.25042463888069677</v>
      </c>
      <c r="N300" s="54">
        <f>(VLOOKUP($A300,'The List'!$B1:$AH665,26,FALSE)-AVERAGE('The List'!AA2:AA665))/STDEV('The List'!AA2:AA665)</f>
        <v>0.9998937969179752</v>
      </c>
      <c r="O300" s="54">
        <f>(VLOOKUP($A300,'The List'!$B1:$AH665,27,FALSE)-AVERAGE('The List'!AB2:AB665))/STDEV('The List'!AB2:AB665)</f>
        <v>0.66687200265735158</v>
      </c>
      <c r="P300" s="54">
        <f>(VLOOKUP($A300,'The List'!$B1:$AH665,28,FALSE)-AVERAGE('The List'!AC2:AC665))/STDEV('The List'!AC2:AC665)</f>
        <v>2.5832785169759669</v>
      </c>
      <c r="Q300" s="54">
        <f>(VLOOKUP($A300,'The List'!$B1:$AH665,29,FALSE)-AVERAGE('The List'!AD2:AD665))/STDEV('The List'!AD2:AD665)</f>
        <v>0.61920488929035467</v>
      </c>
      <c r="R300" s="54">
        <f>(VLOOKUP($A300,'The List'!$B1:$AH665,30,FALSE)-AVERAGE('The List'!AE2:AE665))/STDEV('The List'!AE2:AE665)</f>
        <v>-0.45324217268205452</v>
      </c>
      <c r="S300" s="54">
        <f>(VLOOKUP($A300,'The List'!$B1:$AH665,31,FALSE)-AVERAGE('The List'!AF2:AF665))/STDEV('The List'!AF2:AF665)</f>
        <v>-0.57389441068000469</v>
      </c>
      <c r="T300" s="54">
        <f>(VLOOKUP($A300,'The List'!$B1:$AH665,32,FALSE)-AVERAGE('The List'!AG2:AG665))/STDEV('The List'!AG2:AG665)</f>
        <v>-0.62577078713265111</v>
      </c>
      <c r="U300" s="54">
        <f>(VLOOKUP($A300,'The List'!$B1:$AH665,33,FALSE)-AVERAGE('The List'!AH2:AH665))/STDEV('The List'!AH2:AH665)</f>
        <v>-1.2314350945148611</v>
      </c>
      <c r="V300" s="54"/>
      <c r="W300" s="64"/>
      <c r="X300" s="56"/>
      <c r="Y300" s="56"/>
      <c r="Z300" s="56"/>
      <c r="AA300" s="56"/>
      <c r="AB300" s="56"/>
      <c r="AC300" s="59"/>
      <c r="AD300" s="60"/>
      <c r="AE300" s="54"/>
    </row>
    <row r="301" spans="1:31" ht="21.25" customHeight="1" x14ac:dyDescent="0.15">
      <c r="A301" s="9" t="s">
        <v>356</v>
      </c>
      <c r="B301" s="65" t="str">
        <f>VLOOKUP(A301,'Player Data'!A1:B667,2,FALSE)</f>
        <v>CBJ</v>
      </c>
      <c r="C301" s="51">
        <f>((E301)*Settings!$C$12)+(F301*Settings!$C$2)+(G301*Settings!$C$3)+(H301*Settings!$C$4)+(I301*Settings!$C$5)+(K301*Settings!$C$9)+(N301*Settings!$C$6)+(J301*Settings!$C$8)+(O301*Settings!$C$7)+(P301*Settings!$C$14)+(Q301*Settings!$C$15)+(R301*Settings!$C$16)+(S301*Settings!$C$17)+(T301*Settings!$C$18)+(U301*Settings!$C$19)+(L301*Settings!$C$10)+(Settings!$C$11*M301)</f>
        <v>-2.1105061141590324</v>
      </c>
      <c r="D301" s="56">
        <f>IF(Settings!$E$12="YES",VLOOKUP(A301,'Player Data'!A1:E667,5,FALSE),82)</f>
        <v>79.03</v>
      </c>
      <c r="E301" s="54">
        <f>(VLOOKUP($A301,'The List'!$B1:$AH665,17,FALSE)-AVERAGE('The List'!R2:R665))/STDEV('The List'!R2:R665)</f>
        <v>1.1122609380273825</v>
      </c>
      <c r="F301" s="54">
        <f>(VLOOKUP($A301,'The List'!$B1:$AH665,18,FALSE)-AVERAGE('The List'!S2:S665))/STDEV('The List'!S2:S665)</f>
        <v>-0.54506453498868346</v>
      </c>
      <c r="G301" s="54">
        <f>(VLOOKUP($A301,'The List'!$B1:$AH665,19,FALSE)-AVERAGE('The List'!T2:T665))/STDEV('The List'!T2:T665)</f>
        <v>9.6598915422023757E-2</v>
      </c>
      <c r="H301" s="54">
        <f>(VLOOKUP($A301,'The List'!$B1:$AH665,20,FALSE)-AVERAGE('The List'!U2:U665))/STDEV('The List'!U2:U665)</f>
        <v>-0.18776438209751287</v>
      </c>
      <c r="I301" s="54">
        <f>(VLOOKUP($A301,'The List'!$B1:$AH665,21,FALSE)-AVERAGE('The List'!V2:V665))/STDEV('The List'!V2:V665)</f>
        <v>-0.39319350008938109</v>
      </c>
      <c r="J301" s="54">
        <f>(VLOOKUP($A301,'The List'!$B1:$AH665,22,FALSE)-AVERAGE('The List'!W2:W665))/STDEV('The List'!W2:W665)</f>
        <v>-0.50350866048041676</v>
      </c>
      <c r="K301" s="54">
        <f>(VLOOKUP($A301,'The List'!$B1:$AH665,23,FALSE)-AVERAGE('The List'!X2:X665))/STDEV('The List'!X2:X665)</f>
        <v>-0.41244632387380059</v>
      </c>
      <c r="L301" s="54">
        <f>(VLOOKUP($A301,'The List'!$B1:$AH665,24,FALSE)-AVERAGE('The List'!Y2:Y665))/STDEV('The List'!Y2:Y665)</f>
        <v>-0.19220538367102991</v>
      </c>
      <c r="M301" s="54">
        <f>(VLOOKUP($A301,'The List'!$B1:$AH665,25,FALSE)-AVERAGE('The List'!Z2:Z665))/STDEV('The List'!Z2:Z665)</f>
        <v>7.9051391943235239E-2</v>
      </c>
      <c r="N301" s="54">
        <f>(VLOOKUP($A301,'The List'!$B1:$AH665,26,FALSE)-AVERAGE('The List'!AA2:AA665))/STDEV('The List'!AA2:AA665)</f>
        <v>0.94747914704673841</v>
      </c>
      <c r="O301" s="54">
        <f>(VLOOKUP($A301,'The List'!$B1:$AH665,27,FALSE)-AVERAGE('The List'!AB2:AB665))/STDEV('The List'!AB2:AB665)</f>
        <v>-0.65127663695211568</v>
      </c>
      <c r="P301" s="54">
        <f>(VLOOKUP($A301,'The List'!$B1:$AH665,28,FALSE)-AVERAGE('The List'!AC2:AC665))/STDEV('The List'!AC2:AC665)</f>
        <v>-1.8038798176759294</v>
      </c>
      <c r="Q301" s="54">
        <f>(VLOOKUP($A301,'The List'!$B1:$AH665,29,FALSE)-AVERAGE('The List'!AD2:AD665))/STDEV('The List'!AD2:AD665)</f>
        <v>1.0658526328337006</v>
      </c>
      <c r="R301" s="54">
        <f>(VLOOKUP($A301,'The List'!$B1:$AH665,30,FALSE)-AVERAGE('The List'!AE2:AE665))/STDEV('The List'!AE2:AE665)</f>
        <v>-0.71538449829118256</v>
      </c>
      <c r="S301" s="54">
        <f>(VLOOKUP($A301,'The List'!$B1:$AH665,31,FALSE)-AVERAGE('The List'!AF2:AF665))/STDEV('The List'!AF2:AF665)</f>
        <v>-0.57389441068000469</v>
      </c>
      <c r="T301" s="54">
        <f>(VLOOKUP($A301,'The List'!$B1:$AH665,32,FALSE)-AVERAGE('The List'!AG2:AG665))/STDEV('The List'!AG2:AG665)</f>
        <v>-0.62577078713265111</v>
      </c>
      <c r="U301" s="54">
        <f>(VLOOKUP($A301,'The List'!$B1:$AH665,33,FALSE)-AVERAGE('The List'!AH2:AH665))/STDEV('The List'!AH2:AH665)</f>
        <v>-1.2314350945148611</v>
      </c>
      <c r="V301" s="54"/>
      <c r="W301" s="56"/>
      <c r="X301" s="54"/>
      <c r="Y301" s="54"/>
      <c r="Z301" s="54"/>
      <c r="AA301" s="54"/>
      <c r="AB301" s="54"/>
      <c r="AC301" s="54"/>
      <c r="AD301" s="54"/>
      <c r="AE301" s="54"/>
    </row>
    <row r="302" spans="1:31" ht="21.25" customHeight="1" x14ac:dyDescent="0.15">
      <c r="A302" s="9" t="s">
        <v>344</v>
      </c>
      <c r="B302" s="65" t="str">
        <f>VLOOKUP(A302,'Player Data'!A1:B667,2,FALSE)</f>
        <v>ANA</v>
      </c>
      <c r="C302" s="51">
        <f>((E302)*Settings!$C$12)+(F302*Settings!$C$2)+(G302*Settings!$C$3)+(H302*Settings!$C$4)+(I302*Settings!$C$5)+(K302*Settings!$C$9)+(N302*Settings!$C$6)+(J302*Settings!$C$8)+(O302*Settings!$C$7)+(P302*Settings!$C$14)+(Q302*Settings!$C$15)+(R302*Settings!$C$16)+(S302*Settings!$C$17)+(T302*Settings!$C$18)+(U302*Settings!$C$19)+(L302*Settings!$C$10)+(Settings!$C$11*M302)</f>
        <v>-2.2078194803552367</v>
      </c>
      <c r="D302" s="56">
        <f>IF(Settings!$E$12="YES",VLOOKUP(A302,'Player Data'!A1:E667,5,FALSE),82)</f>
        <v>81.252499999999998</v>
      </c>
      <c r="E302" s="54">
        <f>(VLOOKUP($A302,'The List'!$B1:$AH665,17,FALSE)-AVERAGE('The List'!R2:R665))/STDEV('The List'!R2:R665)</f>
        <v>1.398335591553844</v>
      </c>
      <c r="F302" s="54">
        <f>(VLOOKUP($A302,'The List'!$B1:$AH665,18,FALSE)-AVERAGE('The List'!S2:S665))/STDEV('The List'!S2:S665)</f>
        <v>-0.78584960886412447</v>
      </c>
      <c r="G302" s="54">
        <f>(VLOOKUP($A302,'The List'!$B1:$AH665,19,FALSE)-AVERAGE('The List'!T2:T665))/STDEV('The List'!T2:T665)</f>
        <v>0.31945519202932038</v>
      </c>
      <c r="H302" s="54">
        <f>(VLOOKUP($A302,'The List'!$B1:$AH665,20,FALSE)-AVERAGE('The List'!U2:U665))/STDEV('The List'!U2:U665)</f>
        <v>-0.15880636504592258</v>
      </c>
      <c r="I302" s="54">
        <f>(VLOOKUP($A302,'The List'!$B1:$AH665,21,FALSE)-AVERAGE('The List'!V2:V665))/STDEV('The List'!V2:V665)</f>
        <v>-0.55539513671503549</v>
      </c>
      <c r="J302" s="54">
        <f>(VLOOKUP($A302,'The List'!$B1:$AH665,22,FALSE)-AVERAGE('The List'!W2:W665))/STDEV('The List'!W2:W665)</f>
        <v>-0.2372078165220933</v>
      </c>
      <c r="K302" s="54">
        <f>(VLOOKUP($A302,'The List'!$B1:$AH665,23,FALSE)-AVERAGE('The List'!X2:X665))/STDEV('The List'!X2:X665)</f>
        <v>0.15373986825059111</v>
      </c>
      <c r="L302" s="54">
        <f>(VLOOKUP($A302,'The List'!$B1:$AH665,24,FALSE)-AVERAGE('The List'!Y2:Y665))/STDEV('The List'!Y2:Y665)</f>
        <v>-0.53745228521013777</v>
      </c>
      <c r="M302" s="54">
        <f>(VLOOKUP($A302,'The List'!$B1:$AH665,25,FALSE)-AVERAGE('The List'!Z2:Z665))/STDEV('The List'!Z2:Z665)</f>
        <v>-0.1982275750441177</v>
      </c>
      <c r="N302" s="54">
        <f>(VLOOKUP($A302,'The List'!$B1:$AH665,26,FALSE)-AVERAGE('The List'!AA2:AA665))/STDEV('The List'!AA2:AA665)</f>
        <v>1.1187960811443984</v>
      </c>
      <c r="O302" s="54">
        <f>(VLOOKUP($A302,'The List'!$B1:$AH665,27,FALSE)-AVERAGE('The List'!AB2:AB665))/STDEV('The List'!AB2:AB665)</f>
        <v>-0.95748175584929707</v>
      </c>
      <c r="P302" s="54">
        <f>(VLOOKUP($A302,'The List'!$B1:$AH665,28,FALSE)-AVERAGE('The List'!AC2:AC665))/STDEV('The List'!AC2:AC665)</f>
        <v>-2.4585658762003866</v>
      </c>
      <c r="Q302" s="54">
        <f>(VLOOKUP($A302,'The List'!$B1:$AH665,29,FALSE)-AVERAGE('The List'!AD2:AD665))/STDEV('The List'!AD2:AD665)</f>
        <v>-0.75805833955181934</v>
      </c>
      <c r="R302" s="54">
        <f>(VLOOKUP($A302,'The List'!$B1:$AH665,30,FALSE)-AVERAGE('The List'!AE2:AE665))/STDEV('The List'!AE2:AE665)</f>
        <v>-0.8652935648354223</v>
      </c>
      <c r="S302" s="54">
        <f>(VLOOKUP($A302,'The List'!$B1:$AH665,31,FALSE)-AVERAGE('The List'!AF2:AF665))/STDEV('The List'!AF2:AF665)</f>
        <v>-0.57389441068000469</v>
      </c>
      <c r="T302" s="54">
        <f>(VLOOKUP($A302,'The List'!$B1:$AH665,32,FALSE)-AVERAGE('The List'!AG2:AG665))/STDEV('The List'!AG2:AG665)</f>
        <v>-0.62577078713265111</v>
      </c>
      <c r="U302" s="54">
        <f>(VLOOKUP($A302,'The List'!$B1:$AH665,33,FALSE)-AVERAGE('The List'!AH2:AH665))/STDEV('The List'!AH2:AH665)</f>
        <v>-1.2314350945148611</v>
      </c>
      <c r="V302" s="54"/>
      <c r="W302" s="56"/>
      <c r="X302" s="56"/>
      <c r="Y302" s="56"/>
      <c r="Z302" s="56"/>
      <c r="AA302" s="56"/>
      <c r="AB302" s="56"/>
      <c r="AC302" s="59"/>
      <c r="AD302" s="60"/>
      <c r="AE302" s="54"/>
    </row>
    <row r="303" spans="1:31" ht="21.25" customHeight="1" x14ac:dyDescent="0.15">
      <c r="A303" s="9" t="s">
        <v>551</v>
      </c>
      <c r="B303" s="65" t="str">
        <f>VLOOKUP(A303,'Player Data'!A1:B667,2,FALSE)</f>
        <v>NYI</v>
      </c>
      <c r="C303" s="51">
        <f>((E303)*Settings!$C$12)+(F303*Settings!$C$2)+(G303*Settings!$C$3)+(H303*Settings!$C$4)+(I303*Settings!$C$5)+(K303*Settings!$C$9)+(N303*Settings!$C$6)+(J303*Settings!$C$8)+(O303*Settings!$C$7)+(P303*Settings!$C$14)+(Q303*Settings!$C$15)+(R303*Settings!$C$16)+(S303*Settings!$C$17)+(T303*Settings!$C$18)+(U303*Settings!$C$19)+(L303*Settings!$C$10)+(Settings!$C$11*M303)</f>
        <v>-0.95885580558280592</v>
      </c>
      <c r="D303" s="56">
        <f>IF(Settings!$E$12="YES",VLOOKUP(A303,'Player Data'!A1:E667,5,FALSE),82)</f>
        <v>79.88</v>
      </c>
      <c r="E303" s="54">
        <f>(VLOOKUP($A303,'The List'!$B1:$AH665,17,FALSE)-AVERAGE('The List'!R2:R665))/STDEV('The List'!R2:R665)</f>
        <v>-0.31942330921418249</v>
      </c>
      <c r="F303" s="54">
        <f>(VLOOKUP($A303,'The List'!$B1:$AH665,18,FALSE)-AVERAGE('The List'!S2:S665))/STDEV('The List'!S2:S665)</f>
        <v>-0.2460079593796807</v>
      </c>
      <c r="G303" s="54">
        <f>(VLOOKUP($A303,'The List'!$B1:$AH665,19,FALSE)-AVERAGE('The List'!T2:T665))/STDEV('The List'!T2:T665)</f>
        <v>-0.14020004669518621</v>
      </c>
      <c r="H303" s="54">
        <f>(VLOOKUP($A303,'The List'!$B1:$AH665,20,FALSE)-AVERAGE('The List'!U2:U665))/STDEV('The List'!U2:U665)</f>
        <v>-0.19889442341695082</v>
      </c>
      <c r="I303" s="54">
        <f>(VLOOKUP($A303,'The List'!$B1:$AH665,21,FALSE)-AVERAGE('The List'!V2:V665))/STDEV('The List'!V2:V665)</f>
        <v>-0.45209422963955076</v>
      </c>
      <c r="J303" s="54">
        <f>(VLOOKUP($A303,'The List'!$B1:$AH665,22,FALSE)-AVERAGE('The List'!W2:W665))/STDEV('The List'!W2:W665)</f>
        <v>-0.17730705557326798</v>
      </c>
      <c r="K303" s="54">
        <f>(VLOOKUP($A303,'The List'!$B1:$AH665,23,FALSE)-AVERAGE('The List'!X2:X665))/STDEV('The List'!X2:X665)</f>
        <v>-0.40398739447127718</v>
      </c>
      <c r="L303" s="54">
        <f>(VLOOKUP($A303,'The List'!$B1:$AH665,24,FALSE)-AVERAGE('The List'!Y2:Y665))/STDEV('The List'!Y2:Y665)</f>
        <v>1.7341744355051483</v>
      </c>
      <c r="M303" s="54">
        <f>(VLOOKUP($A303,'The List'!$B1:$AH665,25,FALSE)-AVERAGE('The List'!Z2:Z665))/STDEV('The List'!Z2:Z665)</f>
        <v>4.1386579362535594</v>
      </c>
      <c r="N303" s="54">
        <f>(VLOOKUP($A303,'The List'!$B1:$AH665,26,FALSE)-AVERAGE('The List'!AA2:AA665))/STDEV('The List'!AA2:AA665)</f>
        <v>0.12084781978313065</v>
      </c>
      <c r="O303" s="54">
        <f>(VLOOKUP($A303,'The List'!$B1:$AH665,27,FALSE)-AVERAGE('The List'!AB2:AB665))/STDEV('The List'!AB2:AB665)</f>
        <v>1.6248856007816057</v>
      </c>
      <c r="P303" s="54">
        <f>(VLOOKUP($A303,'The List'!$B1:$AH665,28,FALSE)-AVERAGE('The List'!AC2:AC665))/STDEV('The List'!AC2:AC665)</f>
        <v>0.16258600481975818</v>
      </c>
      <c r="Q303" s="54">
        <f>(VLOOKUP($A303,'The List'!$B1:$AH665,29,FALSE)-AVERAGE('The List'!AD2:AD665))/STDEV('The List'!AD2:AD665)</f>
        <v>-0.92431563213661905</v>
      </c>
      <c r="R303" s="54">
        <f>(VLOOKUP($A303,'The List'!$B1:$AH665,30,FALSE)-AVERAGE('The List'!AE2:AE665))/STDEV('The List'!AE2:AE665)</f>
        <v>-0.17802841550181236</v>
      </c>
      <c r="S303" s="54">
        <f>(VLOOKUP($A303,'The List'!$B1:$AH665,31,FALSE)-AVERAGE('The List'!AF2:AF665))/STDEV('The List'!AF2:AF665)</f>
        <v>2.6738301900210844</v>
      </c>
      <c r="T303" s="54">
        <f>(VLOOKUP($A303,'The List'!$B1:$AH665,32,FALSE)-AVERAGE('The List'!AG2:AG665))/STDEV('The List'!AG2:AG665)</f>
        <v>2.0859791952743372</v>
      </c>
      <c r="U303" s="54">
        <f>(VLOOKUP($A303,'The List'!$B1:$AH665,33,FALSE)-AVERAGE('The List'!AH2:AH665))/STDEV('The List'!AH2:AH665)</f>
        <v>1.3080826817542199</v>
      </c>
      <c r="V303" s="54"/>
      <c r="W303" s="56"/>
      <c r="X303" s="54"/>
      <c r="Y303" s="54"/>
      <c r="Z303" s="54"/>
      <c r="AA303" s="54"/>
      <c r="AB303" s="54"/>
      <c r="AC303" s="54"/>
      <c r="AD303" s="54"/>
      <c r="AE303" s="54"/>
    </row>
    <row r="304" spans="1:31" ht="21.25" customHeight="1" x14ac:dyDescent="0.15">
      <c r="A304" s="9" t="s">
        <v>567</v>
      </c>
      <c r="B304" s="65" t="str">
        <f>VLOOKUP(A304,'Player Data'!A1:B667,2,FALSE)</f>
        <v>UTA</v>
      </c>
      <c r="C304" s="51">
        <f>((E304)*Settings!$C$12)+(F304*Settings!$C$2)+(G304*Settings!$C$3)+(H304*Settings!$C$4)+(I304*Settings!$C$5)+(K304*Settings!$C$9)+(N304*Settings!$C$6)+(J304*Settings!$C$8)+(O304*Settings!$C$7)+(P304*Settings!$C$14)+(Q304*Settings!$C$15)+(R304*Settings!$C$16)+(S304*Settings!$C$17)+(T304*Settings!$C$18)+(U304*Settings!$C$19)+(L304*Settings!$C$10)+(Settings!$C$11*M304)</f>
        <v>-1.1675255486730607</v>
      </c>
      <c r="D304" s="56">
        <f>IF(Settings!$E$12="YES",VLOOKUP(A304,'Player Data'!A1:E667,5,FALSE),82)</f>
        <v>77.915000000000006</v>
      </c>
      <c r="E304" s="54">
        <f>(VLOOKUP($A304,'The List'!$B1:$AH665,17,FALSE)-AVERAGE('The List'!R2:R665))/STDEV('The List'!R2:R665)</f>
        <v>-0.37580503288020356</v>
      </c>
      <c r="F304" s="54">
        <f>(VLOOKUP($A304,'The List'!$B1:$AH665,18,FALSE)-AVERAGE('The List'!S2:S665))/STDEV('The List'!S2:S665)</f>
        <v>0.24414144149920575</v>
      </c>
      <c r="G304" s="54">
        <f>(VLOOKUP($A304,'The List'!$B1:$AH665,19,FALSE)-AVERAGE('The List'!T2:T665))/STDEV('The List'!T2:T665)</f>
        <v>-0.5631701675204358</v>
      </c>
      <c r="H304" s="54">
        <f>(VLOOKUP($A304,'The List'!$B1:$AH665,20,FALSE)-AVERAGE('The List'!U2:U665))/STDEV('The List'!U2:U665)</f>
        <v>-0.23878644989095299</v>
      </c>
      <c r="I304" s="54">
        <f>(VLOOKUP($A304,'The List'!$B1:$AH665,21,FALSE)-AVERAGE('The List'!V2:V665))/STDEV('The List'!V2:V665)</f>
        <v>0.13231932814416988</v>
      </c>
      <c r="J304" s="54">
        <f>(VLOOKUP($A304,'The List'!$B1:$AH665,22,FALSE)-AVERAGE('The List'!W2:W665))/STDEV('The List'!W2:W665)</f>
        <v>-0.59737392381448529</v>
      </c>
      <c r="K304" s="54">
        <f>(VLOOKUP($A304,'The List'!$B1:$AH665,23,FALSE)-AVERAGE('The List'!X2:X665))/STDEV('The List'!X2:X665)</f>
        <v>-0.69684224265487882</v>
      </c>
      <c r="L304" s="54">
        <f>(VLOOKUP($A304,'The List'!$B1:$AH665,24,FALSE)-AVERAGE('The List'!Y2:Y665))/STDEV('The List'!Y2:Y665)</f>
        <v>1.0792809917288158</v>
      </c>
      <c r="M304" s="54">
        <f>(VLOOKUP($A304,'The List'!$B1:$AH665,25,FALSE)-AVERAGE('The List'!Z2:Z665))/STDEV('The List'!Z2:Z665)</f>
        <v>0.38443866994662151</v>
      </c>
      <c r="N304" s="54">
        <f>(VLOOKUP($A304,'The List'!$B1:$AH665,26,FALSE)-AVERAGE('The List'!AA2:AA665))/STDEV('The List'!AA2:AA665)</f>
        <v>-0.4819562744058758</v>
      </c>
      <c r="O304" s="54">
        <f>(VLOOKUP($A304,'The List'!$B1:$AH665,27,FALSE)-AVERAGE('The List'!AB2:AB665))/STDEV('The List'!AB2:AB665)</f>
        <v>0.70094055379979348</v>
      </c>
      <c r="P304" s="54">
        <f>(VLOOKUP($A304,'The List'!$B1:$AH665,28,FALSE)-AVERAGE('The List'!AC2:AC665))/STDEV('The List'!AC2:AC665)</f>
        <v>0.19798236626475421</v>
      </c>
      <c r="Q304" s="54">
        <f>(VLOOKUP($A304,'The List'!$B1:$AH665,29,FALSE)-AVERAGE('The List'!AD2:AD665))/STDEV('The List'!AD2:AD665)</f>
        <v>0.39479678569557597</v>
      </c>
      <c r="R304" s="54">
        <f>(VLOOKUP($A304,'The List'!$B1:$AH665,30,FALSE)-AVERAGE('The List'!AE2:AE665))/STDEV('The List'!AE2:AE665)</f>
        <v>0.20675167772795278</v>
      </c>
      <c r="S304" s="54">
        <f>(VLOOKUP($A304,'The List'!$B1:$AH665,31,FALSE)-AVERAGE('The List'!AF2:AF665))/STDEV('The List'!AF2:AF665)</f>
        <v>2.0151004626913269</v>
      </c>
      <c r="T304" s="54">
        <f>(VLOOKUP($A304,'The List'!$B1:$AH665,32,FALSE)-AVERAGE('The List'!AG2:AG665))/STDEV('The List'!AG2:AG665)</f>
        <v>2.1875648687858136</v>
      </c>
      <c r="U304" s="54">
        <f>(VLOOKUP($A304,'The List'!$B1:$AH665,33,FALSE)-AVERAGE('The List'!AH2:AH665))/STDEV('The List'!AH2:AH665)</f>
        <v>1.0108435754475136</v>
      </c>
      <c r="V304" s="54"/>
      <c r="W304" s="64"/>
      <c r="X304" s="56"/>
      <c r="Y304" s="56"/>
      <c r="Z304" s="56"/>
      <c r="AA304" s="56"/>
      <c r="AB304" s="56"/>
      <c r="AC304" s="59"/>
      <c r="AD304" s="60"/>
      <c r="AE304" s="54"/>
    </row>
    <row r="305" spans="1:31" ht="21.25" customHeight="1" x14ac:dyDescent="0.15">
      <c r="A305" s="9" t="s">
        <v>339</v>
      </c>
      <c r="B305" s="65" t="str">
        <f>VLOOKUP(A305,'Player Data'!A1:B667,2,FALSE)</f>
        <v>PHI</v>
      </c>
      <c r="C305" s="51">
        <f>((E305)*Settings!$C$12)+(F305*Settings!$C$2)+(G305*Settings!$C$3)+(H305*Settings!$C$4)+(I305*Settings!$C$5)+(K305*Settings!$C$9)+(N305*Settings!$C$6)+(J305*Settings!$C$8)+(O305*Settings!$C$7)+(P305*Settings!$C$14)+(Q305*Settings!$C$15)+(R305*Settings!$C$16)+(S305*Settings!$C$17)+(T305*Settings!$C$18)+(U305*Settings!$C$19)+(L305*Settings!$C$10)+(Settings!$C$11*M305)</f>
        <v>-0.31804275383849945</v>
      </c>
      <c r="D305" s="56">
        <f>IF(Settings!$E$12="YES",VLOOKUP(A305,'Player Data'!A1:E667,5,FALSE),82)</f>
        <v>72.98</v>
      </c>
      <c r="E305" s="54">
        <f>(VLOOKUP($A305,'The List'!$B1:$AH665,17,FALSE)-AVERAGE('The List'!R2:R665))/STDEV('The List'!R2:R665)</f>
        <v>1.5732423394242305</v>
      </c>
      <c r="F305" s="54">
        <f>(VLOOKUP($A305,'The List'!$B1:$AH665,18,FALSE)-AVERAGE('The List'!S2:S665))/STDEV('The List'!S2:S665)</f>
        <v>-0.61989828105416178</v>
      </c>
      <c r="G305" s="54">
        <f>(VLOOKUP($A305,'The List'!$B1:$AH665,19,FALSE)-AVERAGE('The List'!T2:T665))/STDEV('The List'!T2:T665)</f>
        <v>-7.6500172426682958E-2</v>
      </c>
      <c r="H305" s="54">
        <f>(VLOOKUP($A305,'The List'!$B1:$AH665,20,FALSE)-AVERAGE('The List'!U2:U665))/STDEV('The List'!U2:U665)</f>
        <v>-0.32928414340705242</v>
      </c>
      <c r="I305" s="54">
        <f>(VLOOKUP($A305,'The List'!$B1:$AH665,21,FALSE)-AVERAGE('The List'!V2:V665))/STDEV('The List'!V2:V665)</f>
        <v>-0.4097827977319366</v>
      </c>
      <c r="J305" s="54">
        <f>(VLOOKUP($A305,'The List'!$B1:$AH665,22,FALSE)-AVERAGE('The List'!W2:W665))/STDEV('The List'!W2:W665)</f>
        <v>-0.61542744239166347</v>
      </c>
      <c r="K305" s="54">
        <f>(VLOOKUP($A305,'The List'!$B1:$AH665,23,FALSE)-AVERAGE('The List'!X2:X665))/STDEV('The List'!X2:X665)</f>
        <v>-0.1532227945015989</v>
      </c>
      <c r="L305" s="54">
        <f>(VLOOKUP($A305,'The List'!$B1:$AH665,24,FALSE)-AVERAGE('The List'!Y2:Y665))/STDEV('The List'!Y2:Y665)</f>
        <v>-0.50845756897462768</v>
      </c>
      <c r="M305" s="54">
        <f>(VLOOKUP($A305,'The List'!$B1:$AH665,25,FALSE)-AVERAGE('The List'!Z2:Z665))/STDEV('The List'!Z2:Z665)</f>
        <v>1.239221977068681</v>
      </c>
      <c r="N305" s="54">
        <f>(VLOOKUP($A305,'The List'!$B1:$AH665,26,FALSE)-AVERAGE('The List'!AA2:AA665))/STDEV('The List'!AA2:AA665)</f>
        <v>1.8302115437119362</v>
      </c>
      <c r="O305" s="54">
        <f>(VLOOKUP($A305,'The List'!$B1:$AH665,27,FALSE)-AVERAGE('The List'!AB2:AB665))/STDEV('The List'!AB2:AB665)</f>
        <v>-0.34273298202384728</v>
      </c>
      <c r="P305" s="54">
        <f>(VLOOKUP($A305,'The List'!$B1:$AH665,28,FALSE)-AVERAGE('The List'!AC2:AC665))/STDEV('The List'!AC2:AC665)</f>
        <v>-0.88885025183605537</v>
      </c>
      <c r="Q305" s="54">
        <f>(VLOOKUP($A305,'The List'!$B1:$AH665,29,FALSE)-AVERAGE('The List'!AD2:AD665))/STDEV('The List'!AD2:AD665)</f>
        <v>0.17295230790412475</v>
      </c>
      <c r="R305" s="54">
        <f>(VLOOKUP($A305,'The List'!$B1:$AH665,30,FALSE)-AVERAGE('The List'!AE2:AE665))/STDEV('The List'!AE2:AE665)</f>
        <v>-0.61111025727449697</v>
      </c>
      <c r="S305" s="54">
        <f>(VLOOKUP($A305,'The List'!$B1:$AH665,31,FALSE)-AVERAGE('The List'!AF2:AF665))/STDEV('The List'!AF2:AF665)</f>
        <v>-0.57389441068000469</v>
      </c>
      <c r="T305" s="54">
        <f>(VLOOKUP($A305,'The List'!$B1:$AH665,32,FALSE)-AVERAGE('The List'!AG2:AG665))/STDEV('The List'!AG2:AG665)</f>
        <v>-0.62577078713265111</v>
      </c>
      <c r="U305" s="54">
        <f>(VLOOKUP($A305,'The List'!$B1:$AH665,33,FALSE)-AVERAGE('The List'!AH2:AH665))/STDEV('The List'!AH2:AH665)</f>
        <v>-1.2314350945148611</v>
      </c>
      <c r="V305" s="54"/>
      <c r="W305" s="64"/>
      <c r="X305" s="56"/>
      <c r="Y305" s="56"/>
      <c r="Z305" s="56"/>
      <c r="AA305" s="56"/>
      <c r="AB305" s="56"/>
      <c r="AC305" s="59"/>
      <c r="AD305" s="60"/>
      <c r="AE305" s="54"/>
    </row>
    <row r="306" spans="1:31" ht="21.25" customHeight="1" x14ac:dyDescent="0.15">
      <c r="A306" s="9" t="s">
        <v>626</v>
      </c>
      <c r="B306" s="65" t="str">
        <f>VLOOKUP(A306,'Player Data'!A1:B667,2,FALSE)</f>
        <v>UTA</v>
      </c>
      <c r="C306" s="51">
        <f>((E306)*Settings!$C$12)+(F306*Settings!$C$2)+(G306*Settings!$C$3)+(H306*Settings!$C$4)+(I306*Settings!$C$5)+(K306*Settings!$C$9)+(N306*Settings!$C$6)+(J306*Settings!$C$8)+(O306*Settings!$C$7)+(P306*Settings!$C$14)+(Q306*Settings!$C$15)+(R306*Settings!$C$16)+(S306*Settings!$C$17)+(T306*Settings!$C$18)+(U306*Settings!$C$19)+(L306*Settings!$C$10)+(Settings!$C$11*M306)</f>
        <v>-2.2198012107504708</v>
      </c>
      <c r="D306" s="56">
        <f>IF(Settings!$E$12="YES",VLOOKUP(A306,'Player Data'!A1:E667,5,FALSE),82)</f>
        <v>71.132499999999993</v>
      </c>
      <c r="E306" s="54">
        <f>(VLOOKUP($A306,'The List'!$B1:$AH665,17,FALSE)-AVERAGE('The List'!R2:R665))/STDEV('The List'!R2:R665)</f>
        <v>-0.38790404847171939</v>
      </c>
      <c r="F306" s="54">
        <f>(VLOOKUP($A306,'The List'!$B1:$AH665,18,FALSE)-AVERAGE('The List'!S2:S665))/STDEV('The List'!S2:S665)</f>
        <v>-0.15698998142011064</v>
      </c>
      <c r="G306" s="54">
        <f>(VLOOKUP($A306,'The List'!$B1:$AH665,19,FALSE)-AVERAGE('The List'!T2:T665))/STDEV('The List'!T2:T665)</f>
        <v>-0.47392511306911983</v>
      </c>
      <c r="H306" s="54">
        <f>(VLOOKUP($A306,'The List'!$B1:$AH665,20,FALSE)-AVERAGE('The List'!U2:U665))/STDEV('The List'!U2:U665)</f>
        <v>-0.36569355201948289</v>
      </c>
      <c r="I306" s="54">
        <f>(VLOOKUP($A306,'The List'!$B1:$AH665,21,FALSE)-AVERAGE('The List'!V2:V665))/STDEV('The List'!V2:V665)</f>
        <v>-0.19498666362041867</v>
      </c>
      <c r="J306" s="54">
        <f>(VLOOKUP($A306,'The List'!$B1:$AH665,22,FALSE)-AVERAGE('The List'!W2:W665))/STDEV('The List'!W2:W665)</f>
        <v>-0.30459198601182202</v>
      </c>
      <c r="K306" s="54">
        <f>(VLOOKUP($A306,'The List'!$B1:$AH665,23,FALSE)-AVERAGE('The List'!X2:X665))/STDEV('The List'!X2:X665)</f>
        <v>-0.41709622915767425</v>
      </c>
      <c r="L306" s="54">
        <f>(VLOOKUP($A306,'The List'!$B1:$AH665,24,FALSE)-AVERAGE('The List'!Y2:Y665))/STDEV('The List'!Y2:Y665)</f>
        <v>-0.44519778821152167</v>
      </c>
      <c r="M306" s="54">
        <f>(VLOOKUP($A306,'The List'!$B1:$AH665,25,FALSE)-AVERAGE('The List'!Z2:Z665))/STDEV('The List'!Z2:Z665)</f>
        <v>-0.41251523790568484</v>
      </c>
      <c r="N306" s="54">
        <f>(VLOOKUP($A306,'The List'!$B1:$AH665,26,FALSE)-AVERAGE('The List'!AA2:AA665))/STDEV('The List'!AA2:AA665)</f>
        <v>-0.81931307046804402</v>
      </c>
      <c r="O306" s="54">
        <f>(VLOOKUP($A306,'The List'!$B1:$AH665,27,FALSE)-AVERAGE('The List'!AB2:AB665))/STDEV('The List'!AB2:AB665)</f>
        <v>-0.67248950585391565</v>
      </c>
      <c r="P306" s="54">
        <f>(VLOOKUP($A306,'The List'!$B1:$AH665,28,FALSE)-AVERAGE('The List'!AC2:AC665))/STDEV('The List'!AC2:AC665)</f>
        <v>-0.15749015301510316</v>
      </c>
      <c r="Q306" s="54">
        <f>(VLOOKUP($A306,'The List'!$B1:$AH665,29,FALSE)-AVERAGE('The List'!AD2:AD665))/STDEV('The List'!AD2:AD665)</f>
        <v>-0.24478724661041823</v>
      </c>
      <c r="R306" s="54">
        <f>(VLOOKUP($A306,'The List'!$B1:$AH665,30,FALSE)-AVERAGE('The List'!AE2:AE665))/STDEV('The List'!AE2:AE665)</f>
        <v>-0.17000770315274269</v>
      </c>
      <c r="S306" s="54">
        <f>(VLOOKUP($A306,'The List'!$B1:$AH665,31,FALSE)-AVERAGE('The List'!AF2:AF665))/STDEV('The List'!AF2:AF665)</f>
        <v>1.5576884926623353</v>
      </c>
      <c r="T306" s="54">
        <f>(VLOOKUP($A306,'The List'!$B1:$AH665,32,FALSE)-AVERAGE('The List'!AG2:AG665))/STDEV('The List'!AG2:AG665)</f>
        <v>1.6388356120484866</v>
      </c>
      <c r="U306" s="54">
        <f>(VLOOKUP($A306,'The List'!$B1:$AH665,33,FALSE)-AVERAGE('The List'!AH2:AH665))/STDEV('The List'!AH2:AH665)</f>
        <v>1.0364147744098953</v>
      </c>
      <c r="V306" s="54"/>
      <c r="W306" s="56"/>
      <c r="X306" s="54"/>
      <c r="Y306" s="54"/>
      <c r="Z306" s="54"/>
      <c r="AA306" s="54"/>
      <c r="AB306" s="54"/>
      <c r="AC306" s="54"/>
      <c r="AD306" s="54"/>
      <c r="AE306" s="54"/>
    </row>
    <row r="307" spans="1:31" ht="21.25" customHeight="1" x14ac:dyDescent="0.15">
      <c r="A307" s="9" t="s">
        <v>444</v>
      </c>
      <c r="B307" s="65" t="str">
        <f>VLOOKUP(A307,'Player Data'!A1:B667,2,FALSE)</f>
        <v>S.J</v>
      </c>
      <c r="C307" s="51">
        <f>((E307)*Settings!$C$12)+(F307*Settings!$C$2)+(G307*Settings!$C$3)+(H307*Settings!$C$4)+(I307*Settings!$C$5)+(K307*Settings!$C$9)+(N307*Settings!$C$6)+(J307*Settings!$C$8)+(O307*Settings!$C$7)+(P307*Settings!$C$14)+(Q307*Settings!$C$15)+(R307*Settings!$C$16)+(S307*Settings!$C$17)+(T307*Settings!$C$18)+(U307*Settings!$C$19)+(L307*Settings!$C$10)+(Settings!$C$11*M307)</f>
        <v>-2.9300851517245432</v>
      </c>
      <c r="D307" s="56">
        <f>IF(Settings!$E$12="YES",VLOOKUP(A307,'Player Data'!A1:E667,5,FALSE),82)</f>
        <v>65.790000000000006</v>
      </c>
      <c r="E307" s="54">
        <f>(VLOOKUP($A307,'The List'!$B1:$AH665,17,FALSE)-AVERAGE('The List'!R2:R665))/STDEV('The List'!R2:R665)</f>
        <v>0.82492640617797186</v>
      </c>
      <c r="F307" s="54">
        <f>(VLOOKUP($A307,'The List'!$B1:$AH665,18,FALSE)-AVERAGE('The List'!S2:S665))/STDEV('The List'!S2:S665)</f>
        <v>-0.66647267872698701</v>
      </c>
      <c r="G307" s="54">
        <f>(VLOOKUP($A307,'The List'!$B1:$AH665,19,FALSE)-AVERAGE('The List'!T2:T665))/STDEV('The List'!T2:T665)</f>
        <v>-0.25618668858076676</v>
      </c>
      <c r="H307" s="54">
        <f>(VLOOKUP($A307,'The List'!$B1:$AH665,20,FALSE)-AVERAGE('The List'!U2:U665))/STDEV('The List'!U2:U665)</f>
        <v>-0.46204985097378659</v>
      </c>
      <c r="I307" s="54">
        <f>(VLOOKUP($A307,'The List'!$B1:$AH665,21,FALSE)-AVERAGE('The List'!V2:V665))/STDEV('The List'!V2:V665)</f>
        <v>-0.94541270148634804</v>
      </c>
      <c r="J307" s="54">
        <f>(VLOOKUP($A307,'The List'!$B1:$AH665,22,FALSE)-AVERAGE('The List'!W2:W665))/STDEV('The List'!W2:W665)</f>
        <v>0.5938896312865265</v>
      </c>
      <c r="K307" s="54">
        <f>(VLOOKUP($A307,'The List'!$B1:$AH665,23,FALSE)-AVERAGE('The List'!X2:X665))/STDEV('The List'!X2:X665)</f>
        <v>0.7054005134824588</v>
      </c>
      <c r="L307" s="54">
        <f>(VLOOKUP($A307,'The List'!$B1:$AH665,24,FALSE)-AVERAGE('The List'!Y2:Y665))/STDEV('The List'!Y2:Y665)</f>
        <v>-0.54715295674690401</v>
      </c>
      <c r="M307" s="54">
        <f>(VLOOKUP($A307,'The List'!$B1:$AH665,25,FALSE)-AVERAGE('The List'!Z2:Z665))/STDEV('The List'!Z2:Z665)</f>
        <v>-0.65578768264955878</v>
      </c>
      <c r="N307" s="54">
        <f>(VLOOKUP($A307,'The List'!$B1:$AH665,26,FALSE)-AVERAGE('The List'!AA2:AA665))/STDEV('The List'!AA2:AA665)</f>
        <v>0.51182908200498967</v>
      </c>
      <c r="O307" s="54">
        <f>(VLOOKUP($A307,'The List'!$B1:$AH665,27,FALSE)-AVERAGE('The List'!AB2:AB665))/STDEV('The List'!AB2:AB665)</f>
        <v>-0.79019315026231085</v>
      </c>
      <c r="P307" s="54">
        <f>(VLOOKUP($A307,'The List'!$B1:$AH665,28,FALSE)-AVERAGE('The List'!AC2:AC665))/STDEV('The List'!AC2:AC665)</f>
        <v>-2.2792426784178899</v>
      </c>
      <c r="Q307" s="54">
        <f>(VLOOKUP($A307,'The List'!$B1:$AH665,29,FALSE)-AVERAGE('The List'!AD2:AD665))/STDEV('The List'!AD2:AD665)</f>
        <v>-0.55914699584421101</v>
      </c>
      <c r="R307" s="54">
        <f>(VLOOKUP($A307,'The List'!$B1:$AH665,30,FALSE)-AVERAGE('The List'!AE2:AE665))/STDEV('The List'!AE2:AE665)</f>
        <v>-0.81771825450165803</v>
      </c>
      <c r="S307" s="54">
        <f>(VLOOKUP($A307,'The List'!$B1:$AH665,31,FALSE)-AVERAGE('The List'!AF2:AF665))/STDEV('The List'!AF2:AF665)</f>
        <v>-0.57389441068000469</v>
      </c>
      <c r="T307" s="54">
        <f>(VLOOKUP($A307,'The List'!$B1:$AH665,32,FALSE)-AVERAGE('The List'!AG2:AG665))/STDEV('The List'!AG2:AG665)</f>
        <v>-0.62577078713265111</v>
      </c>
      <c r="U307" s="54">
        <f>(VLOOKUP($A307,'The List'!$B1:$AH665,33,FALSE)-AVERAGE('The List'!AH2:AH665))/STDEV('The List'!AH2:AH665)</f>
        <v>-1.2314350945148611</v>
      </c>
      <c r="V307" s="54"/>
      <c r="W307" s="64"/>
      <c r="X307" s="56"/>
      <c r="Y307" s="56"/>
      <c r="Z307" s="56"/>
      <c r="AA307" s="56"/>
      <c r="AB307" s="56"/>
      <c r="AC307" s="59"/>
      <c r="AD307" s="60"/>
      <c r="AE307" s="54"/>
    </row>
    <row r="308" spans="1:31" ht="21.25" customHeight="1" x14ac:dyDescent="0.15">
      <c r="A308" s="9" t="s">
        <v>667</v>
      </c>
      <c r="B308" s="65" t="str">
        <f>VLOOKUP(A308,'Player Data'!A1:B667,2,FALSE)</f>
        <v>WSH</v>
      </c>
      <c r="C308" s="51">
        <f>((E308)*Settings!$C$12)+(F308*Settings!$C$2)+(G308*Settings!$C$3)+(H308*Settings!$C$4)+(I308*Settings!$C$5)+(K308*Settings!$C$9)+(N308*Settings!$C$6)+(J308*Settings!$C$8)+(O308*Settings!$C$7)+(P308*Settings!$C$14)+(Q308*Settings!$C$15)+(R308*Settings!$C$16)+(S308*Settings!$C$17)+(T308*Settings!$C$18)+(U308*Settings!$C$19)+(L308*Settings!$C$10)+(Settings!$C$11*M308)</f>
        <v>-2.9618636719857081</v>
      </c>
      <c r="D308" s="56">
        <f>IF(Settings!$E$12="YES",VLOOKUP(A308,'Player Data'!A1:E667,5,FALSE),82)</f>
        <v>72.097499999999997</v>
      </c>
      <c r="E308" s="54">
        <f>(VLOOKUP($A308,'The List'!$B1:$AH665,17,FALSE)-AVERAGE('The List'!R2:R665))/STDEV('The List'!R2:R665)</f>
        <v>-1.1241492415852785</v>
      </c>
      <c r="F308" s="54">
        <f>(VLOOKUP($A308,'The List'!$B1:$AH665,18,FALSE)-AVERAGE('The List'!S2:S665))/STDEV('The List'!S2:S665)</f>
        <v>-1.1331078146836329E-2</v>
      </c>
      <c r="G308" s="54">
        <f>(VLOOKUP($A308,'The List'!$B1:$AH665,19,FALSE)-AVERAGE('The List'!T2:T665))/STDEV('The List'!T2:T665)</f>
        <v>-0.56634631400366497</v>
      </c>
      <c r="H308" s="54">
        <f>(VLOOKUP($A308,'The List'!$B1:$AH665,20,FALSE)-AVERAGE('The List'!U2:U665))/STDEV('The List'!U2:U665)</f>
        <v>-0.35688341920851691</v>
      </c>
      <c r="I308" s="54">
        <f>(VLOOKUP($A308,'The List'!$B1:$AH665,21,FALSE)-AVERAGE('The List'!V2:V665))/STDEV('The List'!V2:V665)</f>
        <v>-0.81434001147089163</v>
      </c>
      <c r="J308" s="54">
        <f>(VLOOKUP($A308,'The List'!$B1:$AH665,22,FALSE)-AVERAGE('The List'!W2:W665))/STDEV('The List'!W2:W665)</f>
        <v>-1.9012470979109879E-4</v>
      </c>
      <c r="K308" s="54">
        <f>(VLOOKUP($A308,'The List'!$B1:$AH665,23,FALSE)-AVERAGE('The List'!X2:X665))/STDEV('The List'!X2:X665)</f>
        <v>-0.25775177340847799</v>
      </c>
      <c r="L308" s="54">
        <f>(VLOOKUP($A308,'The List'!$B1:$AH665,24,FALSE)-AVERAGE('The List'!Y2:Y665))/STDEV('The List'!Y2:Y665)</f>
        <v>-0.57656327038957011</v>
      </c>
      <c r="M308" s="54">
        <f>(VLOOKUP($A308,'The List'!$B1:$AH665,25,FALSE)-AVERAGE('The List'!Z2:Z665))/STDEV('The List'!Z2:Z665)</f>
        <v>-0.75032358200952742</v>
      </c>
      <c r="N308" s="54">
        <f>(VLOOKUP($A308,'The List'!$B1:$AH665,26,FALSE)-AVERAGE('The List'!AA2:AA665))/STDEV('The List'!AA2:AA665)</f>
        <v>-1.0101446427700616</v>
      </c>
      <c r="O308" s="54">
        <f>(VLOOKUP($A308,'The List'!$B1:$AH665,27,FALSE)-AVERAGE('The List'!AB2:AB665))/STDEV('The List'!AB2:AB665)</f>
        <v>-1.0280846044185661</v>
      </c>
      <c r="P308" s="54">
        <f>(VLOOKUP($A308,'The List'!$B1:$AH665,28,FALSE)-AVERAGE('The List'!AC2:AC665))/STDEV('The List'!AC2:AC665)</f>
        <v>-0.3019498521857758</v>
      </c>
      <c r="Q308" s="54">
        <f>(VLOOKUP($A308,'The List'!$B1:$AH665,29,FALSE)-AVERAGE('The List'!AD2:AD665))/STDEV('The List'!AD2:AD665)</f>
        <v>-1.1381094282866839</v>
      </c>
      <c r="R308" s="54">
        <f>(VLOOKUP($A308,'The List'!$B1:$AH665,30,FALSE)-AVERAGE('The List'!AE2:AE665))/STDEV('The List'!AE2:AE665)</f>
        <v>-7.0681004038679399E-2</v>
      </c>
      <c r="S308" s="54">
        <f>(VLOOKUP($A308,'The List'!$B1:$AH665,31,FALSE)-AVERAGE('The List'!AF2:AF665))/STDEV('The List'!AF2:AF665)</f>
        <v>-0.57389441068000469</v>
      </c>
      <c r="T308" s="54">
        <f>(VLOOKUP($A308,'The List'!$B1:$AH665,32,FALSE)-AVERAGE('The List'!AG2:AG665))/STDEV('The List'!AG2:AG665)</f>
        <v>-0.62380737565482725</v>
      </c>
      <c r="U308" s="54">
        <f>(VLOOKUP($A308,'The List'!$B1:$AH665,33,FALSE)-AVERAGE('The List'!AH2:AH665))/STDEV('The List'!AH2:AH665)</f>
        <v>-1.2314350945148611</v>
      </c>
      <c r="V308" s="54"/>
      <c r="W308" s="56"/>
      <c r="X308" s="54"/>
      <c r="Y308" s="54"/>
      <c r="Z308" s="54"/>
      <c r="AA308" s="54"/>
      <c r="AB308" s="54"/>
      <c r="AC308" s="54"/>
      <c r="AD308" s="54"/>
      <c r="AE308" s="54"/>
    </row>
    <row r="309" spans="1:31" ht="21.25" customHeight="1" x14ac:dyDescent="0.15">
      <c r="A309" s="9" t="s">
        <v>357</v>
      </c>
      <c r="B309" s="65" t="str">
        <f>VLOOKUP(A309,'Player Data'!A1:B667,2,FALSE)</f>
        <v>L.A</v>
      </c>
      <c r="C309" s="51">
        <f>((E309)*Settings!$C$12)+(F309*Settings!$C$2)+(G309*Settings!$C$3)+(H309*Settings!$C$4)+(I309*Settings!$C$5)+(K309*Settings!$C$9)+(N309*Settings!$C$6)+(J309*Settings!$C$8)+(O309*Settings!$C$7)+(P309*Settings!$C$14)+(Q309*Settings!$C$15)+(R309*Settings!$C$16)+(S309*Settings!$C$17)+(T309*Settings!$C$18)+(U309*Settings!$C$19)+(L309*Settings!$C$10)+(Settings!$C$11*M309)</f>
        <v>0.34753164508638323</v>
      </c>
      <c r="D309" s="56">
        <f>IF(Settings!$E$12="YES",VLOOKUP(A309,'Player Data'!A1:E667,5,FALSE),82)</f>
        <v>69.224999999999994</v>
      </c>
      <c r="E309" s="54">
        <f>(VLOOKUP($A309,'The List'!$B1:$AH665,17,FALSE)-AVERAGE('The List'!R2:R665))/STDEV('The List'!R2:R665)</f>
        <v>0.51926825881168204</v>
      </c>
      <c r="F309" s="54">
        <f>(VLOOKUP($A309,'The List'!$B1:$AH665,18,FALSE)-AVERAGE('The List'!S2:S665))/STDEV('The List'!S2:S665)</f>
        <v>-0.73806117644910241</v>
      </c>
      <c r="G309" s="54">
        <f>(VLOOKUP($A309,'The List'!$B1:$AH665,19,FALSE)-AVERAGE('The List'!T2:T665))/STDEV('The List'!T2:T665)</f>
        <v>-0.13669837208880289</v>
      </c>
      <c r="H309" s="54">
        <f>(VLOOKUP($A309,'The List'!$B1:$AH665,20,FALSE)-AVERAGE('The List'!U2:U665))/STDEV('The List'!U2:U665)</f>
        <v>-0.42038126291873884</v>
      </c>
      <c r="I309" s="54">
        <f>(VLOOKUP($A309,'The List'!$B1:$AH665,21,FALSE)-AVERAGE('The List'!V2:V665))/STDEV('The List'!V2:V665)</f>
        <v>-0.11838885905521992</v>
      </c>
      <c r="J309" s="54">
        <f>(VLOOKUP($A309,'The List'!$B1:$AH665,22,FALSE)-AVERAGE('The List'!W2:W665))/STDEV('The List'!W2:W665)</f>
        <v>-0.54298272429639527</v>
      </c>
      <c r="K309" s="54">
        <f>(VLOOKUP($A309,'The List'!$B1:$AH665,23,FALSE)-AVERAGE('The List'!X2:X665))/STDEV('The List'!X2:X665)</f>
        <v>0.30172223415363492</v>
      </c>
      <c r="L309" s="54">
        <f>(VLOOKUP($A309,'The List'!$B1:$AH665,24,FALSE)-AVERAGE('The List'!Y2:Y665))/STDEV('The List'!Y2:Y665)</f>
        <v>-0.53018761947904325</v>
      </c>
      <c r="M309" s="54">
        <f>(VLOOKUP($A309,'The List'!$B1:$AH665,25,FALSE)-AVERAGE('The List'!Z2:Z665))/STDEV('The List'!Z2:Z665)</f>
        <v>-0.60619733097766237</v>
      </c>
      <c r="N309" s="54">
        <f>(VLOOKUP($A309,'The List'!$B1:$AH665,26,FALSE)-AVERAGE('The List'!AA2:AA665))/STDEV('The List'!AA2:AA665)</f>
        <v>0.98596391370762471</v>
      </c>
      <c r="O309" s="54">
        <f>(VLOOKUP($A309,'The List'!$B1:$AH665,27,FALSE)-AVERAGE('The List'!AB2:AB665))/STDEV('The List'!AB2:AB665)</f>
        <v>-0.21493302162979405</v>
      </c>
      <c r="P309" s="54">
        <f>(VLOOKUP($A309,'The List'!$B1:$AH665,28,FALSE)-AVERAGE('The List'!AC2:AC665))/STDEV('The List'!AC2:AC665)</f>
        <v>5.2993904818248734E-2</v>
      </c>
      <c r="Q309" s="54">
        <f>(VLOOKUP($A309,'The List'!$B1:$AH665,29,FALSE)-AVERAGE('The List'!AD2:AD665))/STDEV('The List'!AD2:AD665)</f>
        <v>0.5001975799297822</v>
      </c>
      <c r="R309" s="54">
        <f>(VLOOKUP($A309,'The List'!$B1:$AH665,30,FALSE)-AVERAGE('The List'!AE2:AE665))/STDEV('The List'!AE2:AE665)</f>
        <v>-0.59393510477818334</v>
      </c>
      <c r="S309" s="54">
        <f>(VLOOKUP($A309,'The List'!$B1:$AH665,31,FALSE)-AVERAGE('The List'!AF2:AF665))/STDEV('The List'!AF2:AF665)</f>
        <v>-0.57389441068000469</v>
      </c>
      <c r="T309" s="54">
        <f>(VLOOKUP($A309,'The List'!$B1:$AH665,32,FALSE)-AVERAGE('The List'!AG2:AG665))/STDEV('The List'!AG2:AG665)</f>
        <v>-0.62577078713265111</v>
      </c>
      <c r="U309" s="54">
        <f>(VLOOKUP($A309,'The List'!$B1:$AH665,33,FALSE)-AVERAGE('The List'!AH2:AH665))/STDEV('The List'!AH2:AH665)</f>
        <v>-1.2314350945148611</v>
      </c>
      <c r="V309" s="54"/>
      <c r="W309" s="64"/>
      <c r="X309" s="56"/>
      <c r="Y309" s="56"/>
      <c r="Z309" s="56"/>
      <c r="AA309" s="56"/>
      <c r="AB309" s="56"/>
      <c r="AC309" s="59"/>
      <c r="AD309" s="60"/>
      <c r="AE309" s="54"/>
    </row>
    <row r="310" spans="1:31" ht="21.25" customHeight="1" x14ac:dyDescent="0.15">
      <c r="A310" s="9" t="s">
        <v>284</v>
      </c>
      <c r="B310" s="65" t="str">
        <f>VLOOKUP(A310,'Player Data'!A1:B667,2,FALSE)</f>
        <v>EDM</v>
      </c>
      <c r="C310" s="51">
        <f>((E310)*Settings!$C$12)+(F310*Settings!$C$2)+(G310*Settings!$C$3)+(H310*Settings!$C$4)+(I310*Settings!$C$5)+(K310*Settings!$C$9)+(N310*Settings!$C$6)+(J310*Settings!$C$8)+(O310*Settings!$C$7)+(P310*Settings!$C$14)+(Q310*Settings!$C$15)+(R310*Settings!$C$16)+(S310*Settings!$C$17)+(T310*Settings!$C$18)+(U310*Settings!$C$19)+(L310*Settings!$C$10)+(Settings!$C$11*M310)</f>
        <v>2.9608060412769377</v>
      </c>
      <c r="D310" s="56">
        <f>IF(Settings!$E$12="YES",VLOOKUP(A310,'Player Data'!A1:E667,5,FALSE),82)</f>
        <v>80.752499999999998</v>
      </c>
      <c r="E310" s="54">
        <f>(VLOOKUP($A310,'The List'!$B1:$AH665,17,FALSE)-AVERAGE('The List'!R2:R665))/STDEV('The List'!R2:R665)</f>
        <v>1.033956515809215</v>
      </c>
      <c r="F310" s="54">
        <f>(VLOOKUP($A310,'The List'!$B1:$AH665,18,FALSE)-AVERAGE('The List'!S2:S665))/STDEV('The List'!S2:S665)</f>
        <v>-0.48188471845998193</v>
      </c>
      <c r="G310" s="54">
        <f>(VLOOKUP($A310,'The List'!$B1:$AH665,19,FALSE)-AVERAGE('The List'!T2:T665))/STDEV('The List'!T2:T665)</f>
        <v>2.5920118921861175E-3</v>
      </c>
      <c r="H310" s="54">
        <f>(VLOOKUP($A310,'The List'!$B1:$AH665,20,FALSE)-AVERAGE('The List'!U2:U665))/STDEV('The List'!U2:U665)</f>
        <v>-0.21742972523039383</v>
      </c>
      <c r="I310" s="54">
        <f>(VLOOKUP($A310,'The List'!$B1:$AH665,21,FALSE)-AVERAGE('The List'!V2:V665))/STDEV('The List'!V2:V665)</f>
        <v>0.54420721259506244</v>
      </c>
      <c r="J310" s="54">
        <f>(VLOOKUP($A310,'The List'!$B1:$AH665,22,FALSE)-AVERAGE('The List'!W2:W665))/STDEV('The List'!W2:W665)</f>
        <v>-0.62753023123576235</v>
      </c>
      <c r="K310" s="54">
        <f>(VLOOKUP($A310,'The List'!$B1:$AH665,23,FALSE)-AVERAGE('The List'!X2:X665))/STDEV('The List'!X2:X665)</f>
        <v>-0.48415009841748319</v>
      </c>
      <c r="L310" s="54">
        <f>(VLOOKUP($A310,'The List'!$B1:$AH665,24,FALSE)-AVERAGE('The List'!Y2:Y665))/STDEV('The List'!Y2:Y665)</f>
        <v>1.4291703252665262</v>
      </c>
      <c r="M310" s="54">
        <f>(VLOOKUP($A310,'The List'!$B1:$AH665,25,FALSE)-AVERAGE('The List'!Z2:Z665))/STDEV('The List'!Z2:Z665)</f>
        <v>0.71084133839508112</v>
      </c>
      <c r="N310" s="54">
        <f>(VLOOKUP($A310,'The List'!$B1:$AH665,26,FALSE)-AVERAGE('The List'!AA2:AA665))/STDEV('The List'!AA2:AA665)</f>
        <v>1.9750759200429391</v>
      </c>
      <c r="O310" s="54">
        <f>(VLOOKUP($A310,'The List'!$B1:$AH665,27,FALSE)-AVERAGE('The List'!AB2:AB665))/STDEV('The List'!AB2:AB665)</f>
        <v>1.1167767587316746</v>
      </c>
      <c r="P310" s="54">
        <f>(VLOOKUP($A310,'The List'!$B1:$AH665,28,FALSE)-AVERAGE('The List'!AC2:AC665))/STDEV('The List'!AC2:AC665)</f>
        <v>1.4049657136242151</v>
      </c>
      <c r="Q310" s="54">
        <f>(VLOOKUP($A310,'The List'!$B1:$AH665,29,FALSE)-AVERAGE('The List'!AD2:AD665))/STDEV('The List'!AD2:AD665)</f>
        <v>1.4454989238758584</v>
      </c>
      <c r="R310" s="54">
        <f>(VLOOKUP($A310,'The List'!$B1:$AH665,30,FALSE)-AVERAGE('The List'!AE2:AE665))/STDEV('The List'!AE2:AE665)</f>
        <v>-0.39237807546692177</v>
      </c>
      <c r="S310" s="54">
        <f>(VLOOKUP($A310,'The List'!$B1:$AH665,31,FALSE)-AVERAGE('The List'!AF2:AF665))/STDEV('The List'!AF2:AF665)</f>
        <v>-0.57389441068000469</v>
      </c>
      <c r="T310" s="54">
        <f>(VLOOKUP($A310,'The List'!$B1:$AH665,32,FALSE)-AVERAGE('The List'!AG2:AG665))/STDEV('The List'!AG2:AG665)</f>
        <v>-0.62577078713265111</v>
      </c>
      <c r="U310" s="54">
        <f>(VLOOKUP($A310,'The List'!$B1:$AH665,33,FALSE)-AVERAGE('The List'!AH2:AH665))/STDEV('The List'!AH2:AH665)</f>
        <v>-1.2314350945148611</v>
      </c>
      <c r="V310" s="54"/>
      <c r="W310" s="64"/>
      <c r="X310" s="56"/>
      <c r="Y310" s="56"/>
      <c r="Z310" s="56"/>
      <c r="AA310" s="56"/>
      <c r="AB310" s="56"/>
      <c r="AC310" s="59"/>
      <c r="AD310" s="60"/>
      <c r="AE310" s="54"/>
    </row>
    <row r="311" spans="1:31" ht="21.25" customHeight="1" x14ac:dyDescent="0.15">
      <c r="A311" s="9" t="s">
        <v>620</v>
      </c>
      <c r="B311" s="65" t="str">
        <f>VLOOKUP(A311,'Player Data'!A1:B667,2,FALSE)</f>
        <v>WSH</v>
      </c>
      <c r="C311" s="51">
        <f>((E311)*Settings!$C$12)+(F311*Settings!$C$2)+(G311*Settings!$C$3)+(H311*Settings!$C$4)+(I311*Settings!$C$5)+(K311*Settings!$C$9)+(N311*Settings!$C$6)+(J311*Settings!$C$8)+(O311*Settings!$C$7)+(P311*Settings!$C$14)+(Q311*Settings!$C$15)+(R311*Settings!$C$16)+(S311*Settings!$C$17)+(T311*Settings!$C$18)+(U311*Settings!$C$19)+(L311*Settings!$C$10)+(Settings!$C$11*M311)</f>
        <v>-2.6634288812287092</v>
      </c>
      <c r="D311" s="56">
        <f>IF(Settings!$E$12="YES",VLOOKUP(A311,'Player Data'!A1:E667,5,FALSE),82)</f>
        <v>73.12</v>
      </c>
      <c r="E311" s="54">
        <f>(VLOOKUP($A311,'The List'!$B1:$AH665,17,FALSE)-AVERAGE('The List'!R2:R665))/STDEV('The List'!R2:R665)</f>
        <v>-0.65444364738349059</v>
      </c>
      <c r="F311" s="54">
        <f>(VLOOKUP($A311,'The List'!$B1:$AH665,18,FALSE)-AVERAGE('The List'!S2:S665))/STDEV('The List'!S2:S665)</f>
        <v>-0.53849770160305066</v>
      </c>
      <c r="G311" s="54">
        <f>(VLOOKUP($A311,'The List'!$B1:$AH665,19,FALSE)-AVERAGE('The List'!T2:T665))/STDEV('The List'!T2:T665)</f>
        <v>-0.17881302162118276</v>
      </c>
      <c r="H311" s="54">
        <f>(VLOOKUP($A311,'The List'!$B1:$AH665,20,FALSE)-AVERAGE('The List'!U2:U665))/STDEV('The List'!U2:U665)</f>
        <v>-0.35582574297472963</v>
      </c>
      <c r="I311" s="54">
        <f>(VLOOKUP($A311,'The List'!$B1:$AH665,21,FALSE)-AVERAGE('The List'!V2:V665))/STDEV('The List'!V2:V665)</f>
        <v>-0.31343606627445103</v>
      </c>
      <c r="J311" s="54">
        <f>(VLOOKUP($A311,'The List'!$B1:$AH665,22,FALSE)-AVERAGE('The List'!W2:W665))/STDEV('The List'!W2:W665)</f>
        <v>-0.69083191428488122</v>
      </c>
      <c r="K311" s="54">
        <f>(VLOOKUP($A311,'The List'!$B1:$AH665,23,FALSE)-AVERAGE('The List'!X2:X665))/STDEV('The List'!X2:X665)</f>
        <v>-0.77699542004155675</v>
      </c>
      <c r="L311" s="54">
        <f>(VLOOKUP($A311,'The List'!$B1:$AH665,24,FALSE)-AVERAGE('The List'!Y2:Y665))/STDEV('The List'!Y2:Y665)</f>
        <v>-0.20066812469938661</v>
      </c>
      <c r="M311" s="54">
        <f>(VLOOKUP($A311,'The List'!$B1:$AH665,25,FALSE)-AVERAGE('The List'!Z2:Z665))/STDEV('The List'!Z2:Z665)</f>
        <v>0.5996023797922162</v>
      </c>
      <c r="N311" s="54">
        <f>(VLOOKUP($A311,'The List'!$B1:$AH665,26,FALSE)-AVERAGE('The List'!AA2:AA665))/STDEV('The List'!AA2:AA665)</f>
        <v>-0.50155518041229141</v>
      </c>
      <c r="O311" s="54">
        <f>(VLOOKUP($A311,'The List'!$B1:$AH665,27,FALSE)-AVERAGE('The List'!AB2:AB665))/STDEV('The List'!AB2:AB665)</f>
        <v>-0.97089601283219351</v>
      </c>
      <c r="P311" s="54">
        <f>(VLOOKUP($A311,'The List'!$B1:$AH665,28,FALSE)-AVERAGE('The List'!AC2:AC665))/STDEV('The List'!AC2:AC665)</f>
        <v>-0.35413149127617694</v>
      </c>
      <c r="Q311" s="54">
        <f>(VLOOKUP($A311,'The List'!$B1:$AH665,29,FALSE)-AVERAGE('The List'!AD2:AD665))/STDEV('The List'!AD2:AD665)</f>
        <v>-1.2939605112846964</v>
      </c>
      <c r="R311" s="54">
        <f>(VLOOKUP($A311,'The List'!$B1:$AH665,30,FALSE)-AVERAGE('The List'!AE2:AE665))/STDEV('The List'!AE2:AE665)</f>
        <v>-0.5508725213506741</v>
      </c>
      <c r="S311" s="54">
        <f>(VLOOKUP($A311,'The List'!$B1:$AH665,31,FALSE)-AVERAGE('The List'!AF2:AF665))/STDEV('The List'!AF2:AF665)</f>
        <v>-0.35512831898699404</v>
      </c>
      <c r="T311" s="54">
        <f>(VLOOKUP($A311,'The List'!$B1:$AH665,32,FALSE)-AVERAGE('The List'!AG2:AG665))/STDEV('The List'!AG2:AG665)</f>
        <v>-0.25673807687551609</v>
      </c>
      <c r="U311" s="54">
        <f>(VLOOKUP($A311,'The List'!$B1:$AH665,33,FALSE)-AVERAGE('The List'!AH2:AH665))/STDEV('The List'!AH2:AH665)</f>
        <v>0.52152469750442054</v>
      </c>
      <c r="V311" s="54"/>
      <c r="W311" s="56"/>
      <c r="X311" s="54"/>
      <c r="Y311" s="54"/>
      <c r="Z311" s="54"/>
      <c r="AA311" s="54"/>
      <c r="AB311" s="54"/>
      <c r="AC311" s="54"/>
      <c r="AD311" s="54"/>
      <c r="AE311" s="54"/>
    </row>
    <row r="312" spans="1:31" ht="21.25" customHeight="1" x14ac:dyDescent="0.15">
      <c r="A312" s="9" t="s">
        <v>313</v>
      </c>
      <c r="B312" s="65" t="str">
        <f>VLOOKUP(A312,'Player Data'!A1:B667,2,FALSE)</f>
        <v>WPG</v>
      </c>
      <c r="C312" s="51">
        <f>((E312)*Settings!$C$12)+(F312*Settings!$C$2)+(G312*Settings!$C$3)+(H312*Settings!$C$4)+(I312*Settings!$C$5)+(K312*Settings!$C$9)+(N312*Settings!$C$6)+(J312*Settings!$C$8)+(O312*Settings!$C$7)+(P312*Settings!$C$14)+(Q312*Settings!$C$15)+(R312*Settings!$C$16)+(S312*Settings!$C$17)+(T312*Settings!$C$18)+(U312*Settings!$C$19)+(L312*Settings!$C$10)+(Settings!$C$11*M312)</f>
        <v>0.81304904332918171</v>
      </c>
      <c r="D312" s="56">
        <f>IF(Settings!$E$12="YES",VLOOKUP(A312,'Player Data'!A1:E667,5,FALSE),82)</f>
        <v>81.53</v>
      </c>
      <c r="E312" s="54">
        <f>(VLOOKUP($A312,'The List'!$B1:$AH665,17,FALSE)-AVERAGE('The List'!R2:R665))/STDEV('The List'!R2:R665)</f>
        <v>1.1124659716849397</v>
      </c>
      <c r="F312" s="54">
        <f>(VLOOKUP($A312,'The List'!$B1:$AH665,18,FALSE)-AVERAGE('The List'!S2:S665))/STDEV('The List'!S2:S665)</f>
        <v>-0.74274167997742924</v>
      </c>
      <c r="G312" s="54">
        <f>(VLOOKUP($A312,'The List'!$B1:$AH665,19,FALSE)-AVERAGE('The List'!T2:T665))/STDEV('The List'!T2:T665)</f>
        <v>0.20361070826253164</v>
      </c>
      <c r="H312" s="54">
        <f>(VLOOKUP($A312,'The List'!$B1:$AH665,20,FALSE)-AVERAGE('The List'!U2:U665))/STDEV('The List'!U2:U665)</f>
        <v>-0.21115770041859896</v>
      </c>
      <c r="I312" s="54">
        <f>(VLOOKUP($A312,'The List'!$B1:$AH665,21,FALSE)-AVERAGE('The List'!V2:V665))/STDEV('The List'!V2:V665)</f>
        <v>8.09547165600457E-2</v>
      </c>
      <c r="J312" s="54">
        <f>(VLOOKUP($A312,'The List'!$B1:$AH665,22,FALSE)-AVERAGE('The List'!W2:W665))/STDEV('The List'!W2:W665)</f>
        <v>-0.48607894173617727</v>
      </c>
      <c r="K312" s="54">
        <f>(VLOOKUP($A312,'The List'!$B1:$AH665,23,FALSE)-AVERAGE('The List'!X2:X665))/STDEV('The List'!X2:X665)</f>
        <v>-0.12454580322406683</v>
      </c>
      <c r="L312" s="54">
        <f>(VLOOKUP($A312,'The List'!$B1:$AH665,24,FALSE)-AVERAGE('The List'!Y2:Y665))/STDEV('The List'!Y2:Y665)</f>
        <v>-0.52152938897144441</v>
      </c>
      <c r="M312" s="54">
        <f>(VLOOKUP($A312,'The List'!$B1:$AH665,25,FALSE)-AVERAGE('The List'!Z2:Z665))/STDEV('The List'!Z2:Z665)</f>
        <v>-0.31371412772118096</v>
      </c>
      <c r="N312" s="54">
        <f>(VLOOKUP($A312,'The List'!$B1:$AH665,26,FALSE)-AVERAGE('The List'!AA2:AA665))/STDEV('The List'!AA2:AA665)</f>
        <v>1.3190535776410257</v>
      </c>
      <c r="O312" s="54">
        <f>(VLOOKUP($A312,'The List'!$B1:$AH665,27,FALSE)-AVERAGE('The List'!AB2:AB665))/STDEV('The List'!AB2:AB665)</f>
        <v>2.001667913767684</v>
      </c>
      <c r="P312" s="54">
        <f>(VLOOKUP($A312,'The List'!$B1:$AH665,28,FALSE)-AVERAGE('The List'!AC2:AC665))/STDEV('The List'!AC2:AC665)</f>
        <v>7.6717524067074716E-2</v>
      </c>
      <c r="Q312" s="54">
        <f>(VLOOKUP($A312,'The List'!$B1:$AH665,29,FALSE)-AVERAGE('The List'!AD2:AD665))/STDEV('The List'!AD2:AD665)</f>
        <v>1.288645707921674</v>
      </c>
      <c r="R312" s="54">
        <f>(VLOOKUP($A312,'The List'!$B1:$AH665,30,FALSE)-AVERAGE('The List'!AE2:AE665))/STDEV('The List'!AE2:AE665)</f>
        <v>-0.64473040206333743</v>
      </c>
      <c r="S312" s="54">
        <f>(VLOOKUP($A312,'The List'!$B1:$AH665,31,FALSE)-AVERAGE('The List'!AF2:AF665))/STDEV('The List'!AF2:AF665)</f>
        <v>-0.57389441068000469</v>
      </c>
      <c r="T312" s="54">
        <f>(VLOOKUP($A312,'The List'!$B1:$AH665,32,FALSE)-AVERAGE('The List'!AG2:AG665))/STDEV('The List'!AG2:AG665)</f>
        <v>-0.62577078713265111</v>
      </c>
      <c r="U312" s="54">
        <f>(VLOOKUP($A312,'The List'!$B1:$AH665,33,FALSE)-AVERAGE('The List'!AH2:AH665))/STDEV('The List'!AH2:AH665)</f>
        <v>-1.2314350945148611</v>
      </c>
      <c r="V312" s="54"/>
      <c r="W312" s="64"/>
      <c r="X312" s="56"/>
      <c r="Y312" s="56"/>
      <c r="Z312" s="56"/>
      <c r="AA312" s="56"/>
      <c r="AB312" s="56"/>
      <c r="AC312" s="59"/>
      <c r="AD312" s="60"/>
      <c r="AE312" s="54"/>
    </row>
    <row r="313" spans="1:31" ht="21.25" customHeight="1" x14ac:dyDescent="0.15">
      <c r="A313" s="9" t="s">
        <v>421</v>
      </c>
      <c r="B313" s="65" t="str">
        <f>VLOOKUP(A313,'Player Data'!A1:B667,2,FALSE)</f>
        <v>PHI</v>
      </c>
      <c r="C313" s="51">
        <f>((E313)*Settings!$C$12)+(F313*Settings!$C$2)+(G313*Settings!$C$3)+(H313*Settings!$C$4)+(I313*Settings!$C$5)+(K313*Settings!$C$9)+(N313*Settings!$C$6)+(J313*Settings!$C$8)+(O313*Settings!$C$7)+(P313*Settings!$C$14)+(Q313*Settings!$C$15)+(R313*Settings!$C$16)+(S313*Settings!$C$17)+(T313*Settings!$C$18)+(U313*Settings!$C$19)+(L313*Settings!$C$10)+(Settings!$C$11*M313)</f>
        <v>-1.3941372564904553</v>
      </c>
      <c r="D313" s="56">
        <f>IF(Settings!$E$12="YES",VLOOKUP(A313,'Player Data'!A1:E667,5,FALSE),82)</f>
        <v>63.234999999999999</v>
      </c>
      <c r="E313" s="54">
        <f>(VLOOKUP($A313,'The List'!$B1:$AH665,17,FALSE)-AVERAGE('The List'!R2:R665))/STDEV('The List'!R2:R665)</f>
        <v>1.0918471321189749</v>
      </c>
      <c r="F313" s="54">
        <f>(VLOOKUP($A313,'The List'!$B1:$AH665,18,FALSE)-AVERAGE('The List'!S2:S665))/STDEV('The List'!S2:S665)</f>
        <v>-0.83400395402749972</v>
      </c>
      <c r="G313" s="54">
        <f>(VLOOKUP($A313,'The List'!$B1:$AH665,19,FALSE)-AVERAGE('The List'!T2:T665))/STDEV('The List'!T2:T665)</f>
        <v>-0.16491851288735526</v>
      </c>
      <c r="H313" s="54">
        <f>(VLOOKUP($A313,'The List'!$B1:$AH665,20,FALSE)-AVERAGE('The List'!U2:U665))/STDEV('The List'!U2:U665)</f>
        <v>-0.48151811005560868</v>
      </c>
      <c r="I313" s="54">
        <f>(VLOOKUP($A313,'The List'!$B1:$AH665,21,FALSE)-AVERAGE('The List'!V2:V665))/STDEV('The List'!V2:V665)</f>
        <v>-0.36703518540298424</v>
      </c>
      <c r="J313" s="54">
        <f>(VLOOKUP($A313,'The List'!$B1:$AH665,22,FALSE)-AVERAGE('The List'!W2:W665))/STDEV('The List'!W2:W665)</f>
        <v>-0.430923337435349</v>
      </c>
      <c r="K313" s="54">
        <f>(VLOOKUP($A313,'The List'!$B1:$AH665,23,FALSE)-AVERAGE('The List'!X2:X665))/STDEV('The List'!X2:X665)</f>
        <v>8.8186243142662088E-2</v>
      </c>
      <c r="L313" s="54">
        <f>(VLOOKUP($A313,'The List'!$B1:$AH665,24,FALSE)-AVERAGE('The List'!Y2:Y665))/STDEV('The List'!Y2:Y665)</f>
        <v>-0.53997280265876724</v>
      </c>
      <c r="M313" s="54">
        <f>(VLOOKUP($A313,'The List'!$B1:$AH665,25,FALSE)-AVERAGE('The List'!Z2:Z665))/STDEV('The List'!Z2:Z665)</f>
        <v>-0.18979110370290647</v>
      </c>
      <c r="N313" s="54">
        <f>(VLOOKUP($A313,'The List'!$B1:$AH665,26,FALSE)-AVERAGE('The List'!AA2:AA665))/STDEV('The List'!AA2:AA665)</f>
        <v>0.47852390680131651</v>
      </c>
      <c r="O313" s="54">
        <f>(VLOOKUP($A313,'The List'!$B1:$AH665,27,FALSE)-AVERAGE('The List'!AB2:AB665))/STDEV('The List'!AB2:AB665)</f>
        <v>-0.62315201771346562</v>
      </c>
      <c r="P313" s="54">
        <f>(VLOOKUP($A313,'The List'!$B1:$AH665,28,FALSE)-AVERAGE('The List'!AC2:AC665))/STDEV('The List'!AC2:AC665)</f>
        <v>-0.59488975411659473</v>
      </c>
      <c r="Q313" s="54">
        <f>(VLOOKUP($A313,'The List'!$B1:$AH665,29,FALSE)-AVERAGE('The List'!AD2:AD665))/STDEV('The List'!AD2:AD665)</f>
        <v>-0.89919101029055271</v>
      </c>
      <c r="R313" s="54">
        <f>(VLOOKUP($A313,'The List'!$B1:$AH665,30,FALSE)-AVERAGE('The List'!AE2:AE665))/STDEV('The List'!AE2:AE665)</f>
        <v>-0.81031092825937368</v>
      </c>
      <c r="S313" s="54">
        <f>(VLOOKUP($A313,'The List'!$B1:$AH665,31,FALSE)-AVERAGE('The List'!AF2:AF665))/STDEV('The List'!AF2:AF665)</f>
        <v>-0.57389441068000469</v>
      </c>
      <c r="T313" s="54">
        <f>(VLOOKUP($A313,'The List'!$B1:$AH665,32,FALSE)-AVERAGE('The List'!AG2:AG665))/STDEV('The List'!AG2:AG665)</f>
        <v>-0.62577078713265111</v>
      </c>
      <c r="U313" s="54">
        <f>(VLOOKUP($A313,'The List'!$B1:$AH665,33,FALSE)-AVERAGE('The List'!AH2:AH665))/STDEV('The List'!AH2:AH665)</f>
        <v>-1.2314350945148611</v>
      </c>
      <c r="V313" s="54"/>
      <c r="W313" s="64"/>
      <c r="X313" s="56"/>
      <c r="Y313" s="56"/>
      <c r="Z313" s="56"/>
      <c r="AA313" s="56"/>
      <c r="AB313" s="56"/>
      <c r="AC313" s="59"/>
      <c r="AD313" s="60"/>
      <c r="AE313" s="54"/>
    </row>
    <row r="314" spans="1:31" ht="21.25" customHeight="1" x14ac:dyDescent="0.15">
      <c r="A314" s="9" t="s">
        <v>564</v>
      </c>
      <c r="B314" s="65" t="str">
        <f>VLOOKUP(A314,'Player Data'!A1:B667,2,FALSE)</f>
        <v>WPG</v>
      </c>
      <c r="C314" s="51">
        <f>((E314)*Settings!$C$12)+(F314*Settings!$C$2)+(G314*Settings!$C$3)+(H314*Settings!$C$4)+(I314*Settings!$C$5)+(K314*Settings!$C$9)+(N314*Settings!$C$6)+(J314*Settings!$C$8)+(O314*Settings!$C$7)+(P314*Settings!$C$14)+(Q314*Settings!$C$15)+(R314*Settings!$C$16)+(S314*Settings!$C$17)+(T314*Settings!$C$18)+(U314*Settings!$C$19)+(L314*Settings!$C$10)+(Settings!$C$11*M314)</f>
        <v>-0.69061584332696813</v>
      </c>
      <c r="D314" s="56">
        <f>IF(Settings!$E$12="YES",VLOOKUP(A314,'Player Data'!A1:E667,5,FALSE),82)</f>
        <v>81.552499999999995</v>
      </c>
      <c r="E314" s="54">
        <f>(VLOOKUP($A314,'The List'!$B1:$AH665,17,FALSE)-AVERAGE('The List'!R2:R665))/STDEV('The List'!R2:R665)</f>
        <v>-0.15267900713008611</v>
      </c>
      <c r="F314" s="54">
        <f>(VLOOKUP($A314,'The List'!$B1:$AH665,18,FALSE)-AVERAGE('The List'!S2:S665))/STDEV('The List'!S2:S665)</f>
        <v>-0.10912545529280217</v>
      </c>
      <c r="G314" s="54">
        <f>(VLOOKUP($A314,'The List'!$B1:$AH665,19,FALSE)-AVERAGE('The List'!T2:T665))/STDEV('The List'!T2:T665)</f>
        <v>-0.27027462728743251</v>
      </c>
      <c r="H314" s="54">
        <f>(VLOOKUP($A314,'The List'!$B1:$AH665,20,FALSE)-AVERAGE('The List'!U2:U665))/STDEV('The List'!U2:U665)</f>
        <v>-0.21745844715789955</v>
      </c>
      <c r="I314" s="54">
        <f>(VLOOKUP($A314,'The List'!$B1:$AH665,21,FALSE)-AVERAGE('The List'!V2:V665))/STDEV('The List'!V2:V665)</f>
        <v>-0.17088382013071521</v>
      </c>
      <c r="J314" s="54">
        <f>(VLOOKUP($A314,'The List'!$B1:$AH665,22,FALSE)-AVERAGE('The List'!W2:W665))/STDEV('The List'!W2:W665)</f>
        <v>-0.68042812232920902</v>
      </c>
      <c r="K314" s="54">
        <f>(VLOOKUP($A314,'The List'!$B1:$AH665,23,FALSE)-AVERAGE('The List'!X2:X665))/STDEV('The List'!X2:X665)</f>
        <v>-0.7037626456877103</v>
      </c>
      <c r="L314" s="54">
        <f>(VLOOKUP($A314,'The List'!$B1:$AH665,24,FALSE)-AVERAGE('The List'!Y2:Y665))/STDEV('The List'!Y2:Y665)</f>
        <v>1.7292749833940362</v>
      </c>
      <c r="M314" s="54">
        <f>(VLOOKUP($A314,'The List'!$B1:$AH665,25,FALSE)-AVERAGE('The List'!Z2:Z665))/STDEV('The List'!Z2:Z665)</f>
        <v>1.8917864722340634</v>
      </c>
      <c r="N314" s="54">
        <f>(VLOOKUP($A314,'The List'!$B1:$AH665,26,FALSE)-AVERAGE('The List'!AA2:AA665))/STDEV('The List'!AA2:AA665)</f>
        <v>-0.13776087064058193</v>
      </c>
      <c r="O314" s="54">
        <f>(VLOOKUP($A314,'The List'!$B1:$AH665,27,FALSE)-AVERAGE('The List'!AB2:AB665))/STDEV('The List'!AB2:AB665)</f>
        <v>1.6501346708134617</v>
      </c>
      <c r="P314" s="54">
        <f>(VLOOKUP($A314,'The List'!$B1:$AH665,28,FALSE)-AVERAGE('The List'!AC2:AC665))/STDEV('The List'!AC2:AC665)</f>
        <v>0.70119157571227386</v>
      </c>
      <c r="Q314" s="54">
        <f>(VLOOKUP($A314,'The List'!$B1:$AH665,29,FALSE)-AVERAGE('The List'!AD2:AD665))/STDEV('The List'!AD2:AD665)</f>
        <v>1.2992130261979313</v>
      </c>
      <c r="R314" s="54">
        <f>(VLOOKUP($A314,'The List'!$B1:$AH665,30,FALSE)-AVERAGE('The List'!AE2:AE665))/STDEV('The List'!AE2:AE665)</f>
        <v>3.1309797327680126E-2</v>
      </c>
      <c r="S314" s="54">
        <f>(VLOOKUP($A314,'The List'!$B1:$AH665,31,FALSE)-AVERAGE('The List'!AF2:AF665))/STDEV('The List'!AF2:AF665)</f>
        <v>2.698334887491797</v>
      </c>
      <c r="T314" s="54">
        <f>(VLOOKUP($A314,'The List'!$B1:$AH665,32,FALSE)-AVERAGE('The List'!AG2:AG665))/STDEV('The List'!AG2:AG665)</f>
        <v>2.7969909803757131</v>
      </c>
      <c r="U314" s="54">
        <f>(VLOOKUP($A314,'The List'!$B1:$AH665,33,FALSE)-AVERAGE('The List'!AH2:AH665))/STDEV('The List'!AH2:AH665)</f>
        <v>1.0540477643944912</v>
      </c>
      <c r="V314" s="54"/>
      <c r="W314" s="64"/>
      <c r="X314" s="56"/>
      <c r="Y314" s="56"/>
      <c r="Z314" s="56"/>
      <c r="AA314" s="56"/>
      <c r="AB314" s="56"/>
      <c r="AC314" s="59"/>
      <c r="AD314" s="60"/>
      <c r="AE314" s="54"/>
    </row>
    <row r="315" spans="1:31" ht="21.25" customHeight="1" x14ac:dyDescent="0.15">
      <c r="A315" s="9" t="s">
        <v>584</v>
      </c>
      <c r="B315" s="65" t="str">
        <f>VLOOKUP(A315,'Player Data'!A1:B667,2,FALSE)</f>
        <v>PIT</v>
      </c>
      <c r="C315" s="51">
        <f>((E315)*Settings!$C$12)+(F315*Settings!$C$2)+(G315*Settings!$C$3)+(H315*Settings!$C$4)+(I315*Settings!$C$5)+(K315*Settings!$C$9)+(N315*Settings!$C$6)+(J315*Settings!$C$8)+(O315*Settings!$C$7)+(P315*Settings!$C$14)+(Q315*Settings!$C$15)+(R315*Settings!$C$16)+(S315*Settings!$C$17)+(T315*Settings!$C$18)+(U315*Settings!$C$19)+(L315*Settings!$C$10)+(Settings!$C$11*M315)</f>
        <v>-2.0611939744517542</v>
      </c>
      <c r="D315" s="56">
        <f>IF(Settings!$E$12="YES",VLOOKUP(A315,'Player Data'!A1:E667,5,FALSE),82)</f>
        <v>69.58</v>
      </c>
      <c r="E315" s="54">
        <f>(VLOOKUP($A315,'The List'!$B1:$AH665,17,FALSE)-AVERAGE('The List'!R2:R665))/STDEV('The List'!R2:R665)</f>
        <v>-1.1366070182014365</v>
      </c>
      <c r="F315" s="54">
        <f>(VLOOKUP($A315,'The List'!$B1:$AH665,18,FALSE)-AVERAGE('The List'!S2:S665))/STDEV('The List'!S2:S665)</f>
        <v>-0.49040711614259463</v>
      </c>
      <c r="G315" s="54">
        <f>(VLOOKUP($A315,'The List'!$B1:$AH665,19,FALSE)-AVERAGE('The List'!T2:T665))/STDEV('The List'!T2:T665)</f>
        <v>-0.36029406042877593</v>
      </c>
      <c r="H315" s="54">
        <f>(VLOOKUP($A315,'The List'!$B1:$AH665,20,FALSE)-AVERAGE('The List'!U2:U665))/STDEV('The List'!U2:U665)</f>
        <v>-0.44667621538999414</v>
      </c>
      <c r="I315" s="54">
        <f>(VLOOKUP($A315,'The List'!$B1:$AH665,21,FALSE)-AVERAGE('The List'!V2:V665))/STDEV('The List'!V2:V665)</f>
        <v>-0.29542909112056803</v>
      </c>
      <c r="J315" s="54">
        <f>(VLOOKUP($A315,'The List'!$B1:$AH665,22,FALSE)-AVERAGE('The List'!W2:W665))/STDEV('The List'!W2:W665)</f>
        <v>-0.60984726258586086</v>
      </c>
      <c r="K315" s="54">
        <f>(VLOOKUP($A315,'The List'!$B1:$AH665,23,FALSE)-AVERAGE('The List'!X2:X665))/STDEV('The List'!X2:X665)</f>
        <v>-0.62917496926667582</v>
      </c>
      <c r="L315" s="54">
        <f>(VLOOKUP($A315,'The List'!$B1:$AH665,24,FALSE)-AVERAGE('The List'!Y2:Y665))/STDEV('The List'!Y2:Y665)</f>
        <v>-0.5801829139020841</v>
      </c>
      <c r="M315" s="54">
        <f>(VLOOKUP($A315,'The List'!$B1:$AH665,25,FALSE)-AVERAGE('The List'!Z2:Z665))/STDEV('The List'!Z2:Z665)</f>
        <v>-0.75403666498999722</v>
      </c>
      <c r="N315" s="54">
        <f>(VLOOKUP($A315,'The List'!$B1:$AH665,26,FALSE)-AVERAGE('The List'!AA2:AA665))/STDEV('The List'!AA2:AA665)</f>
        <v>-0.47625894024280696</v>
      </c>
      <c r="O315" s="54">
        <f>(VLOOKUP($A315,'The List'!$B1:$AH665,27,FALSE)-AVERAGE('The List'!AB2:AB665))/STDEV('The List'!AB2:AB665)</f>
        <v>-0.5300259294272387</v>
      </c>
      <c r="P315" s="54">
        <f>(VLOOKUP($A315,'The List'!$B1:$AH665,28,FALSE)-AVERAGE('The List'!AC2:AC665))/STDEV('The List'!AC2:AC665)</f>
        <v>0.19037020274966693</v>
      </c>
      <c r="Q315" s="54">
        <f>(VLOOKUP($A315,'The List'!$B1:$AH665,29,FALSE)-AVERAGE('The List'!AD2:AD665))/STDEV('The List'!AD2:AD665)</f>
        <v>-1.1365723696436965</v>
      </c>
      <c r="R315" s="54">
        <f>(VLOOKUP($A315,'The List'!$B1:$AH665,30,FALSE)-AVERAGE('The List'!AE2:AE665))/STDEV('The List'!AE2:AE665)</f>
        <v>-0.47281273462188739</v>
      </c>
      <c r="S315" s="54">
        <f>(VLOOKUP($A315,'The List'!$B1:$AH665,31,FALSE)-AVERAGE('The List'!AF2:AF665))/STDEV('The List'!AF2:AF665)</f>
        <v>-0.5669951805979021</v>
      </c>
      <c r="T315" s="54">
        <f>(VLOOKUP($A315,'The List'!$B1:$AH665,32,FALSE)-AVERAGE('The List'!AG2:AG665))/STDEV('The List'!AG2:AG665)</f>
        <v>-0.60346663088673724</v>
      </c>
      <c r="U315" s="54">
        <f>(VLOOKUP($A315,'The List'!$B1:$AH665,33,FALSE)-AVERAGE('The List'!AH2:AH665))/STDEV('The List'!AH2:AH665)</f>
        <v>-0.10922564442861743</v>
      </c>
      <c r="V315" s="54"/>
      <c r="W315" s="56"/>
      <c r="X315" s="54"/>
      <c r="Y315" s="54"/>
      <c r="Z315" s="54"/>
      <c r="AA315" s="54"/>
      <c r="AB315" s="54"/>
      <c r="AC315" s="54"/>
      <c r="AD315" s="54"/>
      <c r="AE315" s="54"/>
    </row>
    <row r="316" spans="1:31" ht="21.25" customHeight="1" x14ac:dyDescent="0.15">
      <c r="A316" s="9" t="s">
        <v>373</v>
      </c>
      <c r="B316" s="65" t="str">
        <f>VLOOKUP(A316,'Player Data'!A1:B667,2,FALSE)</f>
        <v>CAR</v>
      </c>
      <c r="C316" s="51">
        <f>((E316)*Settings!$C$12)+(F316*Settings!$C$2)+(G316*Settings!$C$3)+(H316*Settings!$C$4)+(I316*Settings!$C$5)+(K316*Settings!$C$9)+(N316*Settings!$C$6)+(J316*Settings!$C$8)+(O316*Settings!$C$7)+(P316*Settings!$C$14)+(Q316*Settings!$C$15)+(R316*Settings!$C$16)+(S316*Settings!$C$17)+(T316*Settings!$C$18)+(U316*Settings!$C$19)+(L316*Settings!$C$10)+(Settings!$C$11*M316)</f>
        <v>0.62184198239606503</v>
      </c>
      <c r="D316" s="56">
        <f>IF(Settings!$E$12="YES",VLOOKUP(A316,'Player Data'!A1:E667,5,FALSE),82)</f>
        <v>79.23</v>
      </c>
      <c r="E316" s="54">
        <f>(VLOOKUP($A316,'The List'!$B1:$AH665,17,FALSE)-AVERAGE('The List'!R2:R665))/STDEV('The List'!R2:R665)</f>
        <v>0.89860838068054394</v>
      </c>
      <c r="F316" s="54">
        <f>(VLOOKUP($A316,'The List'!$B1:$AH665,18,FALSE)-AVERAGE('The List'!S2:S665))/STDEV('The List'!S2:S665)</f>
        <v>-0.60654985122169203</v>
      </c>
      <c r="G316" s="54">
        <f>(VLOOKUP($A316,'The List'!$B1:$AH665,19,FALSE)-AVERAGE('The List'!T2:T665))/STDEV('The List'!T2:T665)</f>
        <v>-9.3852651216979159E-3</v>
      </c>
      <c r="H316" s="54">
        <f>(VLOOKUP($A316,'The List'!$B1:$AH665,20,FALSE)-AVERAGE('The List'!U2:U665))/STDEV('The List'!U2:U665)</f>
        <v>-0.28153451636533633</v>
      </c>
      <c r="I316" s="54">
        <f>(VLOOKUP($A316,'The List'!$B1:$AH665,21,FALSE)-AVERAGE('The List'!V2:V665))/STDEV('The List'!V2:V665)</f>
        <v>1.2170597750259868E-2</v>
      </c>
      <c r="J316" s="54">
        <f>(VLOOKUP($A316,'The List'!$B1:$AH665,22,FALSE)-AVERAGE('The List'!W2:W665))/STDEV('The List'!W2:W665)</f>
        <v>-0.64337379130949757</v>
      </c>
      <c r="K316" s="54">
        <f>(VLOOKUP($A316,'The List'!$B1:$AH665,23,FALSE)-AVERAGE('The List'!X2:X665))/STDEV('The List'!X2:X665)</f>
        <v>-0.56377003689079086</v>
      </c>
      <c r="L316" s="54">
        <f>(VLOOKUP($A316,'The List'!$B1:$AH665,24,FALSE)-AVERAGE('The List'!Y2:Y665))/STDEV('The List'!Y2:Y665)</f>
        <v>-0.5502491066948958</v>
      </c>
      <c r="M316" s="54">
        <f>(VLOOKUP($A316,'The List'!$B1:$AH665,25,FALSE)-AVERAGE('The List'!Z2:Z665))/STDEV('The List'!Z2:Z665)</f>
        <v>-0.66341069183096979</v>
      </c>
      <c r="N316" s="54">
        <f>(VLOOKUP($A316,'The List'!$B1:$AH665,26,FALSE)-AVERAGE('The List'!AA2:AA665))/STDEV('The List'!AA2:AA665)</f>
        <v>0.47010058258708315</v>
      </c>
      <c r="O316" s="54">
        <f>(VLOOKUP($A316,'The List'!$B1:$AH665,27,FALSE)-AVERAGE('The List'!AB2:AB665))/STDEV('The List'!AB2:AB665)</f>
        <v>0.65402805519553453</v>
      </c>
      <c r="P316" s="54">
        <f>(VLOOKUP($A316,'The List'!$B1:$AH665,28,FALSE)-AVERAGE('The List'!AC2:AC665))/STDEV('The List'!AC2:AC665)</f>
        <v>1.3192759552929028</v>
      </c>
      <c r="Q316" s="54">
        <f>(VLOOKUP($A316,'The List'!$B1:$AH665,29,FALSE)-AVERAGE('The List'!AD2:AD665))/STDEV('The List'!AD2:AD665)</f>
        <v>1.101377551387501E-2</v>
      </c>
      <c r="R316" s="54">
        <f>(VLOOKUP($A316,'The List'!$B1:$AH665,30,FALSE)-AVERAGE('The List'!AE2:AE665))/STDEV('The List'!AE2:AE665)</f>
        <v>-0.46648481935616526</v>
      </c>
      <c r="S316" s="54">
        <f>(VLOOKUP($A316,'The List'!$B1:$AH665,31,FALSE)-AVERAGE('The List'!AF2:AF665))/STDEV('The List'!AF2:AF665)</f>
        <v>-0.57389441068000469</v>
      </c>
      <c r="T316" s="54">
        <f>(VLOOKUP($A316,'The List'!$B1:$AH665,32,FALSE)-AVERAGE('The List'!AG2:AG665))/STDEV('The List'!AG2:AG665)</f>
        <v>-0.62577078713265111</v>
      </c>
      <c r="U316" s="54">
        <f>(VLOOKUP($A316,'The List'!$B1:$AH665,33,FALSE)-AVERAGE('The List'!AH2:AH665))/STDEV('The List'!AH2:AH665)</f>
        <v>-1.2314350945148611</v>
      </c>
      <c r="V316" s="54"/>
      <c r="W316" s="56"/>
      <c r="X316" s="54"/>
      <c r="Y316" s="54"/>
      <c r="Z316" s="54"/>
      <c r="AA316" s="54"/>
      <c r="AB316" s="54"/>
      <c r="AC316" s="54"/>
      <c r="AD316" s="54"/>
      <c r="AE316" s="54"/>
    </row>
    <row r="317" spans="1:31" ht="21.25" customHeight="1" x14ac:dyDescent="0.15">
      <c r="A317" s="9" t="s">
        <v>558</v>
      </c>
      <c r="B317" s="65" t="str">
        <f>VLOOKUP(A317,'Player Data'!A1:B667,2,FALSE)</f>
        <v>STL</v>
      </c>
      <c r="C317" s="51">
        <f>((E317)*Settings!$C$12)+(F317*Settings!$C$2)+(G317*Settings!$C$3)+(H317*Settings!$C$4)+(I317*Settings!$C$5)+(K317*Settings!$C$9)+(N317*Settings!$C$6)+(J317*Settings!$C$8)+(O317*Settings!$C$7)+(P317*Settings!$C$14)+(Q317*Settings!$C$15)+(R317*Settings!$C$16)+(S317*Settings!$C$17)+(T317*Settings!$C$18)+(U317*Settings!$C$19)+(L317*Settings!$C$10)+(Settings!$C$11*M317)</f>
        <v>-2.5434325053173068</v>
      </c>
      <c r="D317" s="56">
        <f>IF(Settings!$E$12="YES",VLOOKUP(A317,'Player Data'!A1:E667,5,FALSE),82)</f>
        <v>75.38</v>
      </c>
      <c r="E317" s="54">
        <f>(VLOOKUP($A317,'The List'!$B1:$AH665,17,FALSE)-AVERAGE('The List'!R2:R665))/STDEV('The List'!R2:R665)</f>
        <v>-0.43131804064455348</v>
      </c>
      <c r="F317" s="54">
        <f>(VLOOKUP($A317,'The List'!$B1:$AH665,18,FALSE)-AVERAGE('The List'!S2:S665))/STDEV('The List'!S2:S665)</f>
        <v>-0.42377480706695098</v>
      </c>
      <c r="G317" s="54">
        <f>(VLOOKUP($A317,'The List'!$B1:$AH665,19,FALSE)-AVERAGE('The List'!T2:T665))/STDEV('The List'!T2:T665)</f>
        <v>-0.25122309939446597</v>
      </c>
      <c r="H317" s="54">
        <f>(VLOOKUP($A317,'The List'!$B1:$AH665,20,FALSE)-AVERAGE('The List'!U2:U665))/STDEV('The List'!U2:U665)</f>
        <v>-0.3486494639704838</v>
      </c>
      <c r="I317" s="54">
        <f>(VLOOKUP($A317,'The List'!$B1:$AH665,21,FALSE)-AVERAGE('The List'!V2:V665))/STDEV('The List'!V2:V665)</f>
        <v>-0.2840288300356717</v>
      </c>
      <c r="J317" s="54">
        <f>(VLOOKUP($A317,'The List'!$B1:$AH665,22,FALSE)-AVERAGE('The List'!W2:W665))/STDEV('The List'!W2:W665)</f>
        <v>-0.62116959629734358</v>
      </c>
      <c r="K317" s="54">
        <f>(VLOOKUP($A317,'The List'!$B1:$AH665,23,FALSE)-AVERAGE('The List'!X2:X665))/STDEV('The List'!X2:X665)</f>
        <v>-0.70815404000258309</v>
      </c>
      <c r="L317" s="54">
        <f>(VLOOKUP($A317,'The List'!$B1:$AH665,24,FALSE)-AVERAGE('The List'!Y2:Y665))/STDEV('The List'!Y2:Y665)</f>
        <v>1.2642503678615298</v>
      </c>
      <c r="M317" s="54">
        <f>(VLOOKUP($A317,'The List'!$B1:$AH665,25,FALSE)-AVERAGE('The List'!Z2:Z665))/STDEV('The List'!Z2:Z665)</f>
        <v>1.5121842808603321</v>
      </c>
      <c r="N317" s="54">
        <f>(VLOOKUP($A317,'The List'!$B1:$AH665,26,FALSE)-AVERAGE('The List'!AA2:AA665))/STDEV('The List'!AA2:AA665)</f>
        <v>-0.48286537147533276</v>
      </c>
      <c r="O317" s="54">
        <f>(VLOOKUP($A317,'The List'!$B1:$AH665,27,FALSE)-AVERAGE('The List'!AB2:AB665))/STDEV('The List'!AB2:AB665)</f>
        <v>0.25272540268537658</v>
      </c>
      <c r="P317" s="54">
        <f>(VLOOKUP($A317,'The List'!$B1:$AH665,28,FALSE)-AVERAGE('The List'!AC2:AC665))/STDEV('The List'!AC2:AC665)</f>
        <v>-0.39338635734230243</v>
      </c>
      <c r="Q317" s="54">
        <f>(VLOOKUP($A317,'The List'!$B1:$AH665,29,FALSE)-AVERAGE('The List'!AD2:AD665))/STDEV('The List'!AD2:AD665)</f>
        <v>0.27718746865333627</v>
      </c>
      <c r="R317" s="54">
        <f>(VLOOKUP($A317,'The List'!$B1:$AH665,30,FALSE)-AVERAGE('The List'!AE2:AE665))/STDEV('The List'!AE2:AE665)</f>
        <v>-0.57201493589954311</v>
      </c>
      <c r="S317" s="54">
        <f>(VLOOKUP($A317,'The List'!$B1:$AH665,31,FALSE)-AVERAGE('The List'!AF2:AF665))/STDEV('The List'!AF2:AF665)</f>
        <v>-0.47535262868781364</v>
      </c>
      <c r="T317" s="54">
        <f>(VLOOKUP($A317,'The List'!$B1:$AH665,32,FALSE)-AVERAGE('The List'!AG2:AG665))/STDEV('The List'!AG2:AG665)</f>
        <v>-0.4338552719513184</v>
      </c>
      <c r="U317" s="54">
        <f>(VLOOKUP($A317,'The List'!$B1:$AH665,33,FALSE)-AVERAGE('The List'!AH2:AH665))/STDEV('The List'!AH2:AH665)</f>
        <v>0.36977526243488473</v>
      </c>
      <c r="V317" s="54"/>
      <c r="W317" s="64"/>
      <c r="X317" s="56"/>
      <c r="Y317" s="56"/>
      <c r="Z317" s="56"/>
      <c r="AA317" s="56"/>
      <c r="AB317" s="56"/>
      <c r="AC317" s="59"/>
      <c r="AD317" s="60"/>
      <c r="AE317" s="54"/>
    </row>
    <row r="318" spans="1:31" ht="21.25" customHeight="1" x14ac:dyDescent="0.15">
      <c r="A318" s="9" t="s">
        <v>424</v>
      </c>
      <c r="B318" s="65" t="str">
        <f>VLOOKUP(A318,'Player Data'!A1:B667,2,FALSE)</f>
        <v>STL</v>
      </c>
      <c r="C318" s="51">
        <f>((E318)*Settings!$C$12)+(F318*Settings!$C$2)+(G318*Settings!$C$3)+(H318*Settings!$C$4)+(I318*Settings!$C$5)+(K318*Settings!$C$9)+(N318*Settings!$C$6)+(J318*Settings!$C$8)+(O318*Settings!$C$7)+(P318*Settings!$C$14)+(Q318*Settings!$C$15)+(R318*Settings!$C$16)+(S318*Settings!$C$17)+(T318*Settings!$C$18)+(U318*Settings!$C$19)+(L318*Settings!$C$10)+(Settings!$C$11*M318)</f>
        <v>0.28311744457075561</v>
      </c>
      <c r="D318" s="56">
        <f>IF(Settings!$E$12="YES",VLOOKUP(A318,'Player Data'!A1:E667,5,FALSE),82)</f>
        <v>72</v>
      </c>
      <c r="E318" s="54">
        <f>(VLOOKUP($A318,'The List'!$B1:$AH665,17,FALSE)-AVERAGE('The List'!R2:R665))/STDEV('The List'!R2:R665)</f>
        <v>0.58085955416832591</v>
      </c>
      <c r="F318" s="54">
        <f>(VLOOKUP($A318,'The List'!$B1:$AH665,18,FALSE)-AVERAGE('The List'!S2:S665))/STDEV('The List'!S2:S665)</f>
        <v>-0.89787235027790069</v>
      </c>
      <c r="G318" s="54">
        <f>(VLOOKUP($A318,'The List'!$B1:$AH665,19,FALSE)-AVERAGE('The List'!T2:T665))/STDEV('The List'!T2:T665)</f>
        <v>-2.8191527290686658E-3</v>
      </c>
      <c r="H318" s="54">
        <f>(VLOOKUP($A318,'The List'!$B1:$AH665,20,FALSE)-AVERAGE('The List'!U2:U665))/STDEV('The List'!U2:U665)</f>
        <v>-0.40987651486037857</v>
      </c>
      <c r="I318" s="54">
        <f>(VLOOKUP($A318,'The List'!$B1:$AH665,21,FALSE)-AVERAGE('The List'!V2:V665))/STDEV('The List'!V2:V665)</f>
        <v>-0.67937049082015089</v>
      </c>
      <c r="J318" s="54">
        <f>(VLOOKUP($A318,'The List'!$B1:$AH665,22,FALSE)-AVERAGE('The List'!W2:W665))/STDEV('The List'!W2:W665)</f>
        <v>-0.46341575750365566</v>
      </c>
      <c r="K318" s="54">
        <f>(VLOOKUP($A318,'The List'!$B1:$AH665,23,FALSE)-AVERAGE('The List'!X2:X665))/STDEV('The List'!X2:X665)</f>
        <v>0.11136315693686935</v>
      </c>
      <c r="L318" s="54">
        <f>(VLOOKUP($A318,'The List'!$B1:$AH665,24,FALSE)-AVERAGE('The List'!Y2:Y665))/STDEV('The List'!Y2:Y665)</f>
        <v>-0.54284855357264405</v>
      </c>
      <c r="M318" s="54">
        <f>(VLOOKUP($A318,'The List'!$B1:$AH665,25,FALSE)-AVERAGE('The List'!Z2:Z665))/STDEV('The List'!Z2:Z665)</f>
        <v>-0.64620312721467876</v>
      </c>
      <c r="N318" s="54">
        <f>(VLOOKUP($A318,'The List'!$B1:$AH665,26,FALSE)-AVERAGE('The List'!AA2:AA665))/STDEV('The List'!AA2:AA665)</f>
        <v>0.65947461811069763</v>
      </c>
      <c r="O318" s="54">
        <f>(VLOOKUP($A318,'The List'!$B1:$AH665,27,FALSE)-AVERAGE('The List'!AB2:AB665))/STDEV('The List'!AB2:AB665)</f>
        <v>-0.11997221520707628</v>
      </c>
      <c r="P318" s="54">
        <f>(VLOOKUP($A318,'The List'!$B1:$AH665,28,FALSE)-AVERAGE('The List'!AC2:AC665))/STDEV('The List'!AC2:AC665)</f>
        <v>1.0923416633503089</v>
      </c>
      <c r="Q318" s="54">
        <f>(VLOOKUP($A318,'The List'!$B1:$AH665,29,FALSE)-AVERAGE('The List'!AD2:AD665))/STDEV('The List'!AD2:AD665)</f>
        <v>-0.90453713788327261</v>
      </c>
      <c r="R318" s="54">
        <f>(VLOOKUP($A318,'The List'!$B1:$AH665,30,FALSE)-AVERAGE('The List'!AE2:AE665))/STDEV('The List'!AE2:AE665)</f>
        <v>-0.9383839241672487</v>
      </c>
      <c r="S318" s="54">
        <f>(VLOOKUP($A318,'The List'!$B1:$AH665,31,FALSE)-AVERAGE('The List'!AF2:AF665))/STDEV('The List'!AF2:AF665)</f>
        <v>-0.57389441068000469</v>
      </c>
      <c r="T318" s="54">
        <f>(VLOOKUP($A318,'The List'!$B1:$AH665,32,FALSE)-AVERAGE('The List'!AG2:AG665))/STDEV('The List'!AG2:AG665)</f>
        <v>-0.62577078713265111</v>
      </c>
      <c r="U318" s="54">
        <f>(VLOOKUP($A318,'The List'!$B1:$AH665,33,FALSE)-AVERAGE('The List'!AH2:AH665))/STDEV('The List'!AH2:AH665)</f>
        <v>-1.2314350945148611</v>
      </c>
      <c r="V318" s="54"/>
      <c r="W318" s="64"/>
      <c r="X318" s="56"/>
      <c r="Y318" s="56"/>
      <c r="Z318" s="56"/>
      <c r="AA318" s="56"/>
      <c r="AB318" s="56"/>
      <c r="AC318" s="59"/>
      <c r="AD318" s="60"/>
      <c r="AE318" s="54"/>
    </row>
    <row r="319" spans="1:31" ht="21.25" customHeight="1" x14ac:dyDescent="0.15">
      <c r="A319" s="9" t="s">
        <v>723</v>
      </c>
      <c r="B319" s="65" t="str">
        <f>VLOOKUP(A319,'Player Data'!A1:B667,2,FALSE)</f>
        <v>NSH</v>
      </c>
      <c r="C319" s="51">
        <f>((E319)*Settings!$C$12)+(F319*Settings!$C$2)+(G319*Settings!$C$3)+(H319*Settings!$C$4)+(I319*Settings!$C$5)+(K319*Settings!$C$9)+(N319*Settings!$C$6)+(J319*Settings!$C$8)+(O319*Settings!$C$7)+(P319*Settings!$C$14)+(Q319*Settings!$C$15)+(R319*Settings!$C$16)+(S319*Settings!$C$17)+(T319*Settings!$C$18)+(U319*Settings!$C$19)+(L319*Settings!$C$10)+(Settings!$C$11*M319)</f>
        <v>-3.4857403095107493</v>
      </c>
      <c r="D319" s="56">
        <f>IF(Settings!$E$12="YES",VLOOKUP(A319,'Player Data'!A1:E667,5,FALSE),82)</f>
        <v>66.397499999999994</v>
      </c>
      <c r="E319" s="54">
        <f>(VLOOKUP($A319,'The List'!$B1:$AH665,17,FALSE)-AVERAGE('The List'!R2:R665))/STDEV('The List'!R2:R665)</f>
        <v>-0.9401865579291957</v>
      </c>
      <c r="F319" s="54">
        <f>(VLOOKUP($A319,'The List'!$B1:$AH665,18,FALSE)-AVERAGE('The List'!S2:S665))/STDEV('The List'!S2:S665)</f>
        <v>-0.23544859758951298</v>
      </c>
      <c r="G319" s="54">
        <f>(VLOOKUP($A319,'The List'!$B1:$AH665,19,FALSE)-AVERAGE('The List'!T2:T665))/STDEV('The List'!T2:T665)</f>
        <v>-0.64268335610508665</v>
      </c>
      <c r="H319" s="54">
        <f>(VLOOKUP($A319,'The List'!$B1:$AH665,20,FALSE)-AVERAGE('The List'!U2:U665))/STDEV('The List'!U2:U665)</f>
        <v>-0.50616508038893426</v>
      </c>
      <c r="I319" s="54">
        <f>(VLOOKUP($A319,'The List'!$B1:$AH665,21,FALSE)-AVERAGE('The List'!V2:V665))/STDEV('The List'!V2:V665)</f>
        <v>-0.90935221360107177</v>
      </c>
      <c r="J319" s="54">
        <f>(VLOOKUP($A319,'The List'!$B1:$AH665,22,FALSE)-AVERAGE('The List'!W2:W665))/STDEV('The List'!W2:W665)</f>
        <v>-0.62509088122444711</v>
      </c>
      <c r="K319" s="54">
        <f>(VLOOKUP($A319,'The List'!$B1:$AH665,23,FALSE)-AVERAGE('The List'!X2:X665))/STDEV('The List'!X2:X665)</f>
        <v>-0.70410283403199048</v>
      </c>
      <c r="L319" s="54">
        <f>(VLOOKUP($A319,'The List'!$B1:$AH665,24,FALSE)-AVERAGE('The List'!Y2:Y665))/STDEV('The List'!Y2:Y665)</f>
        <v>-0.53050398107114483</v>
      </c>
      <c r="M319" s="54">
        <f>(VLOOKUP($A319,'The List'!$B1:$AH665,25,FALSE)-AVERAGE('The List'!Z2:Z665))/STDEV('The List'!Z2:Z665)</f>
        <v>-0.70331754411136527</v>
      </c>
      <c r="N319" s="54">
        <f>(VLOOKUP($A319,'The List'!$B1:$AH665,26,FALSE)-AVERAGE('The List'!AA2:AA665))/STDEV('The List'!AA2:AA665)</f>
        <v>-0.93804980851754927</v>
      </c>
      <c r="O319" s="54">
        <f>(VLOOKUP($A319,'The List'!$B1:$AH665,27,FALSE)-AVERAGE('The List'!AB2:AB665))/STDEV('The List'!AB2:AB665)</f>
        <v>5.9720067414918698E-2</v>
      </c>
      <c r="P319" s="54">
        <f>(VLOOKUP($A319,'The List'!$B1:$AH665,28,FALSE)-AVERAGE('The List'!AC2:AC665))/STDEV('The List'!AC2:AC665)</f>
        <v>-5.6103499665537945E-2</v>
      </c>
      <c r="Q319" s="54">
        <f>(VLOOKUP($A319,'The List'!$B1:$AH665,29,FALSE)-AVERAGE('The List'!AD2:AD665))/STDEV('The List'!AD2:AD665)</f>
        <v>-0.89688350562567787</v>
      </c>
      <c r="R319" s="54">
        <f>(VLOOKUP($A319,'The List'!$B1:$AH665,30,FALSE)-AVERAGE('The List'!AE2:AE665))/STDEV('The List'!AE2:AE665)</f>
        <v>-0.27708094864299315</v>
      </c>
      <c r="S319" s="54">
        <f>(VLOOKUP($A319,'The List'!$B1:$AH665,31,FALSE)-AVERAGE('The List'!AF2:AF665))/STDEV('The List'!AF2:AF665)</f>
        <v>7.7238906642944166E-2</v>
      </c>
      <c r="T319" s="54">
        <f>(VLOOKUP($A319,'The List'!$B1:$AH665,32,FALSE)-AVERAGE('The List'!AG2:AG665))/STDEV('The List'!AG2:AG665)</f>
        <v>0.28830017949178394</v>
      </c>
      <c r="U319" s="54">
        <f>(VLOOKUP($A319,'The List'!$B1:$AH665,33,FALSE)-AVERAGE('The List'!AH2:AH665))/STDEV('The List'!AH2:AH665)</f>
        <v>0.72262437321987227</v>
      </c>
      <c r="V319" s="54"/>
      <c r="W319" s="64"/>
      <c r="X319" s="56"/>
      <c r="Y319" s="56"/>
      <c r="Z319" s="56"/>
      <c r="AA319" s="56"/>
      <c r="AB319" s="56"/>
      <c r="AC319" s="59"/>
      <c r="AD319" s="60"/>
      <c r="AE319" s="54"/>
    </row>
    <row r="320" spans="1:31" ht="21.25" customHeight="1" x14ac:dyDescent="0.15">
      <c r="A320" s="9" t="s">
        <v>539</v>
      </c>
      <c r="B320" s="65" t="str">
        <f>VLOOKUP(A320,'Player Data'!A1:B667,2,FALSE)</f>
        <v>PHI</v>
      </c>
      <c r="C320" s="51">
        <f>((E320)*Settings!$C$12)+(F320*Settings!$C$2)+(G320*Settings!$C$3)+(H320*Settings!$C$4)+(I320*Settings!$C$5)+(K320*Settings!$C$9)+(N320*Settings!$C$6)+(J320*Settings!$C$8)+(O320*Settings!$C$7)+(P320*Settings!$C$14)+(Q320*Settings!$C$15)+(R320*Settings!$C$16)+(S320*Settings!$C$17)+(T320*Settings!$C$18)+(U320*Settings!$C$19)+(L320*Settings!$C$10)+(Settings!$C$11*M320)</f>
        <v>-2.8616310342395224</v>
      </c>
      <c r="D320" s="56">
        <f>IF(Settings!$E$12="YES",VLOOKUP(A320,'Player Data'!A1:E667,5,FALSE),82)</f>
        <v>79.98</v>
      </c>
      <c r="E320" s="54">
        <f>(VLOOKUP($A320,'The List'!$B1:$AH665,17,FALSE)-AVERAGE('The List'!R2:R665))/STDEV('The List'!R2:R665)</f>
        <v>-0.80001424966376489</v>
      </c>
      <c r="F320" s="54">
        <f>(VLOOKUP($A320,'The List'!$B1:$AH665,18,FALSE)-AVERAGE('The List'!S2:S665))/STDEV('The List'!S2:S665)</f>
        <v>-0.26581809248448951</v>
      </c>
      <c r="G320" s="54">
        <f>(VLOOKUP($A320,'The List'!$B1:$AH665,19,FALSE)-AVERAGE('The List'!T2:T665))/STDEV('The List'!T2:T665)</f>
        <v>-0.25564744889219876</v>
      </c>
      <c r="H320" s="54">
        <f>(VLOOKUP($A320,'The List'!$B1:$AH665,20,FALSE)-AVERAGE('The List'!U2:U665))/STDEV('The List'!U2:U665)</f>
        <v>-0.27959839871834008</v>
      </c>
      <c r="I320" s="54">
        <f>(VLOOKUP($A320,'The List'!$B1:$AH665,21,FALSE)-AVERAGE('The List'!V2:V665))/STDEV('The List'!V2:V665)</f>
        <v>-3.5856500705222921E-2</v>
      </c>
      <c r="J320" s="54">
        <f>(VLOOKUP($A320,'The List'!$B1:$AH665,22,FALSE)-AVERAGE('The List'!W2:W665))/STDEV('The List'!W2:W665)</f>
        <v>-0.55326567529845605</v>
      </c>
      <c r="K320" s="54">
        <f>(VLOOKUP($A320,'The List'!$B1:$AH665,23,FALSE)-AVERAGE('The List'!X2:X665))/STDEV('The List'!X2:X665)</f>
        <v>-0.67074745392055202</v>
      </c>
      <c r="L320" s="54">
        <f>(VLOOKUP($A320,'The List'!$B1:$AH665,24,FALSE)-AVERAGE('The List'!Y2:Y665))/STDEV('The List'!Y2:Y665)</f>
        <v>2.8380048009724015</v>
      </c>
      <c r="M320" s="54">
        <f>(VLOOKUP($A320,'The List'!$B1:$AH665,25,FALSE)-AVERAGE('The List'!Z2:Z665))/STDEV('The List'!Z2:Z665)</f>
        <v>5.2720226674820498</v>
      </c>
      <c r="N320" s="54">
        <f>(VLOOKUP($A320,'The List'!$B1:$AH665,26,FALSE)-AVERAGE('The List'!AA2:AA665))/STDEV('The List'!AA2:AA665)</f>
        <v>-0.38767448898098034</v>
      </c>
      <c r="O320" s="54">
        <f>(VLOOKUP($A320,'The List'!$B1:$AH665,27,FALSE)-AVERAGE('The List'!AB2:AB665))/STDEV('The List'!AB2:AB665)</f>
        <v>0.87688980914988568</v>
      </c>
      <c r="P320" s="54">
        <f>(VLOOKUP($A320,'The List'!$B1:$AH665,28,FALSE)-AVERAGE('The List'!AC2:AC665))/STDEV('The List'!AC2:AC665)</f>
        <v>-1.2458870492560787</v>
      </c>
      <c r="Q320" s="54">
        <f>(VLOOKUP($A320,'The List'!$B1:$AH665,29,FALSE)-AVERAGE('The List'!AD2:AD665))/STDEV('The List'!AD2:AD665)</f>
        <v>0.43137964582206162</v>
      </c>
      <c r="R320" s="54">
        <f>(VLOOKUP($A320,'The List'!$B1:$AH665,30,FALSE)-AVERAGE('The List'!AE2:AE665))/STDEV('The List'!AE2:AE665)</f>
        <v>-0.28167941984725153</v>
      </c>
      <c r="S320" s="54">
        <f>(VLOOKUP($A320,'The List'!$B1:$AH665,31,FALSE)-AVERAGE('The List'!AF2:AF665))/STDEV('The List'!AF2:AF665)</f>
        <v>1.401034348098724</v>
      </c>
      <c r="T320" s="54">
        <f>(VLOOKUP($A320,'The List'!$B1:$AH665,32,FALSE)-AVERAGE('The List'!AG2:AG665))/STDEV('The List'!AG2:AG665)</f>
        <v>1.5826073256943778</v>
      </c>
      <c r="U320" s="54">
        <f>(VLOOKUP($A320,'The List'!$B1:$AH665,33,FALSE)-AVERAGE('The List'!AH2:AH665))/STDEV('The List'!AH2:AH665)</f>
        <v>0.97841487174984187</v>
      </c>
      <c r="V320" s="54"/>
      <c r="W320" s="64"/>
      <c r="X320" s="56"/>
      <c r="Y320" s="56"/>
      <c r="Z320" s="56"/>
      <c r="AA320" s="56"/>
      <c r="AB320" s="56"/>
      <c r="AC320" s="59"/>
      <c r="AD320" s="60"/>
      <c r="AE320" s="54"/>
    </row>
    <row r="321" spans="1:31" ht="21.25" customHeight="1" x14ac:dyDescent="0.15">
      <c r="A321" s="9" t="s">
        <v>665</v>
      </c>
      <c r="B321" s="65" t="str">
        <f>VLOOKUP(A321,'Player Data'!A1:B667,2,FALSE)</f>
        <v>MTL</v>
      </c>
      <c r="C321" s="51">
        <f>((E321)*Settings!$C$12)+(F321*Settings!$C$2)+(G321*Settings!$C$3)+(H321*Settings!$C$4)+(I321*Settings!$C$5)+(K321*Settings!$C$9)+(N321*Settings!$C$6)+(J321*Settings!$C$8)+(O321*Settings!$C$7)+(P321*Settings!$C$14)+(Q321*Settings!$C$15)+(R321*Settings!$C$16)+(S321*Settings!$C$17)+(T321*Settings!$C$18)+(U321*Settings!$C$19)+(L321*Settings!$C$10)+(Settings!$C$11*M321)</f>
        <v>-3.8624124938320614</v>
      </c>
      <c r="D321" s="56">
        <f>IF(Settings!$E$12="YES",VLOOKUP(A321,'Player Data'!A1:E667,5,FALSE),82)</f>
        <v>60.92</v>
      </c>
      <c r="E321" s="54">
        <f>(VLOOKUP($A321,'The List'!$B1:$AH665,17,FALSE)-AVERAGE('The List'!R2:R665))/STDEV('The List'!R2:R665)</f>
        <v>-1.4106659684827585</v>
      </c>
      <c r="F321" s="54">
        <f>(VLOOKUP($A321,'The List'!$B1:$AH665,18,FALSE)-AVERAGE('The List'!S2:S665))/STDEV('The List'!S2:S665)</f>
        <v>-0.35081261859812074</v>
      </c>
      <c r="G321" s="54">
        <f>(VLOOKUP($A321,'The List'!$B1:$AH665,19,FALSE)-AVERAGE('The List'!T2:T665))/STDEV('The List'!T2:T665)</f>
        <v>-0.73451558430870778</v>
      </c>
      <c r="H321" s="54">
        <f>(VLOOKUP($A321,'The List'!$B1:$AH665,20,FALSE)-AVERAGE('The List'!U2:U665))/STDEV('The List'!U2:U665)</f>
        <v>-0.61563648889688993</v>
      </c>
      <c r="I321" s="54">
        <f>(VLOOKUP($A321,'The List'!$B1:$AH665,21,FALSE)-AVERAGE('The List'!V2:V665))/STDEV('The List'!V2:V665)</f>
        <v>-0.79923589518483973</v>
      </c>
      <c r="J321" s="54">
        <f>(VLOOKUP($A321,'The List'!$B1:$AH665,22,FALSE)-AVERAGE('The List'!W2:W665))/STDEV('The List'!W2:W665)</f>
        <v>-0.60599412266812069</v>
      </c>
      <c r="K321" s="54">
        <f>(VLOOKUP($A321,'The List'!$B1:$AH665,23,FALSE)-AVERAGE('The List'!X2:X665))/STDEV('The List'!X2:X665)</f>
        <v>-0.70817224377947308</v>
      </c>
      <c r="L321" s="54">
        <f>(VLOOKUP($A321,'The List'!$B1:$AH665,24,FALSE)-AVERAGE('The List'!Y2:Y665))/STDEV('The List'!Y2:Y665)</f>
        <v>-0.5801829139020841</v>
      </c>
      <c r="M321" s="54">
        <f>(VLOOKUP($A321,'The List'!$B1:$AH665,25,FALSE)-AVERAGE('The List'!Z2:Z665))/STDEV('The List'!Z2:Z665)</f>
        <v>-0.75403666498999722</v>
      </c>
      <c r="N321" s="54">
        <f>(VLOOKUP($A321,'The List'!$B1:$AH665,26,FALSE)-AVERAGE('The List'!AA2:AA665))/STDEV('The List'!AA2:AA665)</f>
        <v>-0.55418152998001247</v>
      </c>
      <c r="O321" s="54">
        <f>(VLOOKUP($A321,'The List'!$B1:$AH665,27,FALSE)-AVERAGE('The List'!AB2:AB665))/STDEV('The List'!AB2:AB665)</f>
        <v>-0.89279106237443273</v>
      </c>
      <c r="P321" s="54">
        <f>(VLOOKUP($A321,'The List'!$B1:$AH665,28,FALSE)-AVERAGE('The List'!AC2:AC665))/STDEV('The List'!AC2:AC665)</f>
        <v>-0.7154946219809073</v>
      </c>
      <c r="Q321" s="54">
        <f>(VLOOKUP($A321,'The List'!$B1:$AH665,29,FALSE)-AVERAGE('The List'!AD2:AD665))/STDEV('The List'!AD2:AD665)</f>
        <v>-1.3783602865247713</v>
      </c>
      <c r="R321" s="54">
        <f>(VLOOKUP($A321,'The List'!$B1:$AH665,30,FALSE)-AVERAGE('The List'!AE2:AE665))/STDEV('The List'!AE2:AE665)</f>
        <v>-0.54396874387079575</v>
      </c>
      <c r="S321" s="54">
        <f>(VLOOKUP($A321,'The List'!$B1:$AH665,31,FALSE)-AVERAGE('The List'!AF2:AF665))/STDEV('The List'!AF2:AF665)</f>
        <v>-0.54921318216708881</v>
      </c>
      <c r="T321" s="54">
        <f>(VLOOKUP($A321,'The List'!$B1:$AH665,32,FALSE)-AVERAGE('The List'!AG2:AG665))/STDEV('The List'!AG2:AG665)</f>
        <v>-0.56014064153062193</v>
      </c>
      <c r="U321" s="54">
        <f>(VLOOKUP($A321,'The List'!$B1:$AH665,33,FALSE)-AVERAGE('The List'!AH2:AH665))/STDEV('The List'!AH2:AH665)</f>
        <v>6.3724490445811882E-2</v>
      </c>
      <c r="V321" s="54"/>
      <c r="W321" s="56"/>
      <c r="X321" s="54"/>
      <c r="Y321" s="54"/>
      <c r="Z321" s="54"/>
      <c r="AA321" s="54"/>
      <c r="AB321" s="54"/>
      <c r="AC321" s="54"/>
      <c r="AD321" s="54"/>
      <c r="AE321" s="54"/>
    </row>
    <row r="322" spans="1:31" ht="21.25" customHeight="1" x14ac:dyDescent="0.15">
      <c r="A322" s="9" t="s">
        <v>573</v>
      </c>
      <c r="B322" s="65" t="str">
        <f>VLOOKUP(A322,'Player Data'!A1:B667,2,FALSE)</f>
        <v>UTA</v>
      </c>
      <c r="C322" s="51">
        <f>((E322)*Settings!$C$12)+(F322*Settings!$C$2)+(G322*Settings!$C$3)+(H322*Settings!$C$4)+(I322*Settings!$C$5)+(K322*Settings!$C$9)+(N322*Settings!$C$6)+(J322*Settings!$C$8)+(O322*Settings!$C$7)+(P322*Settings!$C$14)+(Q322*Settings!$C$15)+(R322*Settings!$C$16)+(S322*Settings!$C$17)+(T322*Settings!$C$18)+(U322*Settings!$C$19)+(L322*Settings!$C$10)+(Settings!$C$11*M322)</f>
        <v>-1.7622460496309191</v>
      </c>
      <c r="D322" s="56">
        <f>IF(Settings!$E$12="YES",VLOOKUP(A322,'Player Data'!A1:E667,5,FALSE),82)</f>
        <v>82.03</v>
      </c>
      <c r="E322" s="54">
        <f>(VLOOKUP($A322,'The List'!$B1:$AH665,17,FALSE)-AVERAGE('The List'!R2:R665))/STDEV('The List'!R2:R665)</f>
        <v>-0.59350566832953078</v>
      </c>
      <c r="F322" s="54">
        <f>(VLOOKUP($A322,'The List'!$B1:$AH665,18,FALSE)-AVERAGE('The List'!S2:S665))/STDEV('The List'!S2:S665)</f>
        <v>-0.42638507636572792</v>
      </c>
      <c r="G322" s="54">
        <f>(VLOOKUP($A322,'The List'!$B1:$AH665,19,FALSE)-AVERAGE('The List'!T2:T665))/STDEV('The List'!T2:T665)</f>
        <v>-0.10556387627486127</v>
      </c>
      <c r="H322" s="54">
        <f>(VLOOKUP($A322,'The List'!$B1:$AH665,20,FALSE)-AVERAGE('The List'!U2:U665))/STDEV('The List'!U2:U665)</f>
        <v>-0.25937338774215496</v>
      </c>
      <c r="I322" s="54">
        <f>(VLOOKUP($A322,'The List'!$B1:$AH665,21,FALSE)-AVERAGE('The List'!V2:V665))/STDEV('The List'!V2:V665)</f>
        <v>-0.59155538600159074</v>
      </c>
      <c r="J322" s="54">
        <f>(VLOOKUP($A322,'The List'!$B1:$AH665,22,FALSE)-AVERAGE('The List'!W2:W665))/STDEV('The List'!W2:W665)</f>
        <v>-0.49857619807474657</v>
      </c>
      <c r="K322" s="54">
        <f>(VLOOKUP($A322,'The List'!$B1:$AH665,23,FALSE)-AVERAGE('The List'!X2:X665))/STDEV('The List'!X2:X665)</f>
        <v>-0.4591972828594717</v>
      </c>
      <c r="L322" s="54">
        <f>(VLOOKUP($A322,'The List'!$B1:$AH665,24,FALSE)-AVERAGE('The List'!Y2:Y665))/STDEV('The List'!Y2:Y665)</f>
        <v>1.7172393536221235</v>
      </c>
      <c r="M322" s="54">
        <f>(VLOOKUP($A322,'The List'!$B1:$AH665,25,FALSE)-AVERAGE('The List'!Z2:Z665))/STDEV('The List'!Z2:Z665)</f>
        <v>2.1875052797604728</v>
      </c>
      <c r="N322" s="54">
        <f>(VLOOKUP($A322,'The List'!$B1:$AH665,26,FALSE)-AVERAGE('The List'!AA2:AA665))/STDEV('The List'!AA2:AA665)</f>
        <v>-0.10521768959413545</v>
      </c>
      <c r="O322" s="54">
        <f>(VLOOKUP($A322,'The List'!$B1:$AH665,27,FALSE)-AVERAGE('The List'!AB2:AB665))/STDEV('The List'!AB2:AB665)</f>
        <v>-0.52117899243960975</v>
      </c>
      <c r="P322" s="54">
        <f>(VLOOKUP($A322,'The List'!$B1:$AH665,28,FALSE)-AVERAGE('The List'!AC2:AC665))/STDEV('The List'!AC2:AC665)</f>
        <v>-7.432673853513197E-2</v>
      </c>
      <c r="Q322" s="54">
        <f>(VLOOKUP($A322,'The List'!$B1:$AH665,29,FALSE)-AVERAGE('The List'!AD2:AD665))/STDEV('The List'!AD2:AD665)</f>
        <v>-0.51929236614731167</v>
      </c>
      <c r="R322" s="54">
        <f>(VLOOKUP($A322,'The List'!$B1:$AH665,30,FALSE)-AVERAGE('The List'!AE2:AE665))/STDEV('The List'!AE2:AE665)</f>
        <v>-0.4230348244022879</v>
      </c>
      <c r="S322" s="54">
        <f>(VLOOKUP($A322,'The List'!$B1:$AH665,31,FALSE)-AVERAGE('The List'!AF2:AF665))/STDEV('The List'!AF2:AF665)</f>
        <v>0.70217941292600361</v>
      </c>
      <c r="T322" s="54">
        <f>(VLOOKUP($A322,'The List'!$B1:$AH665,32,FALSE)-AVERAGE('The List'!AG2:AG665))/STDEV('The List'!AG2:AG665)</f>
        <v>0.98849010951782179</v>
      </c>
      <c r="U322" s="54">
        <f>(VLOOKUP($A322,'The List'!$B1:$AH665,33,FALSE)-AVERAGE('The List'!AH2:AH665))/STDEV('The List'!AH2:AH665)</f>
        <v>0.83909077672080201</v>
      </c>
      <c r="V322" s="54"/>
      <c r="W322" s="64"/>
      <c r="X322" s="56"/>
      <c r="Y322" s="56"/>
      <c r="Z322" s="56"/>
      <c r="AA322" s="56"/>
      <c r="AB322" s="56"/>
      <c r="AC322" s="59"/>
      <c r="AD322" s="60"/>
      <c r="AE322" s="54"/>
    </row>
    <row r="323" spans="1:31" ht="21.25" customHeight="1" x14ac:dyDescent="0.15">
      <c r="A323" s="9" t="s">
        <v>548</v>
      </c>
      <c r="B323" s="65" t="str">
        <f>VLOOKUP(A323,'Player Data'!A1:B667,2,FALSE)</f>
        <v>CBJ</v>
      </c>
      <c r="C323" s="51">
        <f>((E323)*Settings!$C$12)+(F323*Settings!$C$2)+(G323*Settings!$C$3)+(H323*Settings!$C$4)+(I323*Settings!$C$5)+(K323*Settings!$C$9)+(N323*Settings!$C$6)+(J323*Settings!$C$8)+(O323*Settings!$C$7)+(P323*Settings!$C$14)+(Q323*Settings!$C$15)+(R323*Settings!$C$16)+(S323*Settings!$C$17)+(T323*Settings!$C$18)+(U323*Settings!$C$19)+(L323*Settings!$C$10)+(Settings!$C$11*M323)</f>
        <v>-3.2471952927718299</v>
      </c>
      <c r="D323" s="56">
        <f>IF(Settings!$E$12="YES",VLOOKUP(A323,'Player Data'!A1:E667,5,FALSE),82)</f>
        <v>78.367500000000007</v>
      </c>
      <c r="E323" s="54">
        <f>(VLOOKUP($A323,'The List'!$B1:$AH665,17,FALSE)-AVERAGE('The List'!R2:R665))/STDEV('The List'!R2:R665)</f>
        <v>-0.525502863672765</v>
      </c>
      <c r="F323" s="54">
        <f>(VLOOKUP($A323,'The List'!$B1:$AH665,18,FALSE)-AVERAGE('The List'!S2:S665))/STDEV('The List'!S2:S665)</f>
        <v>-0.17060735203779684</v>
      </c>
      <c r="G323" s="54">
        <f>(VLOOKUP($A323,'The List'!$B1:$AH665,19,FALSE)-AVERAGE('The List'!T2:T665))/STDEV('The List'!T2:T665)</f>
        <v>-0.40733532117643734</v>
      </c>
      <c r="H323" s="54">
        <f>(VLOOKUP($A323,'The List'!$B1:$AH665,20,FALSE)-AVERAGE('The List'!U2:U665))/STDEV('The List'!U2:U665)</f>
        <v>-0.33052728926703651</v>
      </c>
      <c r="I323" s="54">
        <f>(VLOOKUP($A323,'The List'!$B1:$AH665,21,FALSE)-AVERAGE('The List'!V2:V665))/STDEV('The List'!V2:V665)</f>
        <v>0.18245946192171461</v>
      </c>
      <c r="J323" s="54">
        <f>(VLOOKUP($A323,'The List'!$B1:$AH665,22,FALSE)-AVERAGE('The List'!W2:W665))/STDEV('The List'!W2:W665)</f>
        <v>-0.42567299026917244</v>
      </c>
      <c r="K323" s="54">
        <f>(VLOOKUP($A323,'The List'!$B1:$AH665,23,FALSE)-AVERAGE('The List'!X2:X665))/STDEV('The List'!X2:X665)</f>
        <v>-0.60713065021619905</v>
      </c>
      <c r="L323" s="54">
        <f>(VLOOKUP($A323,'The List'!$B1:$AH665,24,FALSE)-AVERAGE('The List'!Y2:Y665))/STDEV('The List'!Y2:Y665)</f>
        <v>-0.20417289654958057</v>
      </c>
      <c r="M323" s="54">
        <f>(VLOOKUP($A323,'The List'!$B1:$AH665,25,FALSE)-AVERAGE('The List'!Z2:Z665))/STDEV('The List'!Z2:Z665)</f>
        <v>0.47726891948010497</v>
      </c>
      <c r="N323" s="54">
        <f>(VLOOKUP($A323,'The List'!$B1:$AH665,26,FALSE)-AVERAGE('The List'!AA2:AA665))/STDEV('The List'!AA2:AA665)</f>
        <v>-6.7865682603306179E-2</v>
      </c>
      <c r="O323" s="54">
        <f>(VLOOKUP($A323,'The List'!$B1:$AH665,27,FALSE)-AVERAGE('The List'!AB2:AB665))/STDEV('The List'!AB2:AB665)</f>
        <v>0.36254343285831953</v>
      </c>
      <c r="P323" s="54">
        <f>(VLOOKUP($A323,'The List'!$B1:$AH665,28,FALSE)-AVERAGE('The List'!AC2:AC665))/STDEV('The List'!AC2:AC665)</f>
        <v>-2.176715748659805</v>
      </c>
      <c r="Q323" s="54">
        <f>(VLOOKUP($A323,'The List'!$B1:$AH665,29,FALSE)-AVERAGE('The List'!AD2:AD665))/STDEV('The List'!AD2:AD665)</f>
        <v>0.3790584718051711</v>
      </c>
      <c r="R323" s="54">
        <f>(VLOOKUP($A323,'The List'!$B1:$AH665,30,FALSE)-AVERAGE('The List'!AE2:AE665))/STDEV('The List'!AE2:AE665)</f>
        <v>-0.44959265331518067</v>
      </c>
      <c r="S323" s="54">
        <f>(VLOOKUP($A323,'The List'!$B1:$AH665,31,FALSE)-AVERAGE('The List'!AF2:AF665))/STDEV('The List'!AF2:AF665)</f>
        <v>1.4387256824092156</v>
      </c>
      <c r="T323" s="54">
        <f>(VLOOKUP($A323,'The List'!$B1:$AH665,32,FALSE)-AVERAGE('The List'!AG2:AG665))/STDEV('The List'!AG2:AG665)</f>
        <v>1.9113332338468803</v>
      </c>
      <c r="U323" s="54">
        <f>(VLOOKUP($A323,'The List'!$B1:$AH665,33,FALSE)-AVERAGE('The List'!AH2:AH665))/STDEV('The List'!AH2:AH665)</f>
        <v>0.84303182838972546</v>
      </c>
      <c r="V323" s="54"/>
      <c r="W323" s="64"/>
      <c r="X323" s="56"/>
      <c r="Y323" s="56"/>
      <c r="Z323" s="56"/>
      <c r="AA323" s="56"/>
      <c r="AB323" s="56"/>
      <c r="AC323" s="59"/>
      <c r="AD323" s="60"/>
      <c r="AE323" s="54"/>
    </row>
    <row r="324" spans="1:31" ht="21.25" customHeight="1" x14ac:dyDescent="0.15">
      <c r="A324" s="9" t="s">
        <v>599</v>
      </c>
      <c r="B324" s="65" t="str">
        <f>VLOOKUP(A324,'Player Data'!A1:B667,2,FALSE)</f>
        <v>MIN</v>
      </c>
      <c r="C324" s="51">
        <f>((E324)*Settings!$C$12)+(F324*Settings!$C$2)+(G324*Settings!$C$3)+(H324*Settings!$C$4)+(I324*Settings!$C$5)+(K324*Settings!$C$9)+(N324*Settings!$C$6)+(J324*Settings!$C$8)+(O324*Settings!$C$7)+(P324*Settings!$C$14)+(Q324*Settings!$C$15)+(R324*Settings!$C$16)+(S324*Settings!$C$17)+(T324*Settings!$C$18)+(U324*Settings!$C$19)+(L324*Settings!$C$10)+(Settings!$C$11*M324)</f>
        <v>-2.0837082171998706</v>
      </c>
      <c r="D324" s="56">
        <f>IF(Settings!$E$12="YES",VLOOKUP(A324,'Player Data'!A1:E667,5,FALSE),82)</f>
        <v>79.745000000000005</v>
      </c>
      <c r="E324" s="54">
        <f>(VLOOKUP($A324,'The List'!$B1:$AH665,17,FALSE)-AVERAGE('The List'!R2:R665))/STDEV('The List'!R2:R665)</f>
        <v>-0.38823424674215606</v>
      </c>
      <c r="F324" s="54">
        <f>(VLOOKUP($A324,'The List'!$B1:$AH665,18,FALSE)-AVERAGE('The List'!S2:S665))/STDEV('The List'!S2:S665)</f>
        <v>-0.19423039982833762</v>
      </c>
      <c r="G324" s="54">
        <f>(VLOOKUP($A324,'The List'!$B1:$AH665,19,FALSE)-AVERAGE('The List'!T2:T665))/STDEV('The List'!T2:T665)</f>
        <v>-0.35290006956991743</v>
      </c>
      <c r="H324" s="54">
        <f>(VLOOKUP($A324,'The List'!$B1:$AH665,20,FALSE)-AVERAGE('The List'!U2:U665))/STDEV('The List'!U2:U665)</f>
        <v>-0.3074577353422499</v>
      </c>
      <c r="I324" s="54">
        <f>(VLOOKUP($A324,'The List'!$B1:$AH665,21,FALSE)-AVERAGE('The List'!V2:V665))/STDEV('The List'!V2:V665)</f>
        <v>-0.2869554365872784</v>
      </c>
      <c r="J324" s="54">
        <f>(VLOOKUP($A324,'The List'!$B1:$AH665,22,FALSE)-AVERAGE('The List'!W2:W665))/STDEV('The List'!W2:W665)</f>
        <v>-0.31504421437781072</v>
      </c>
      <c r="K324" s="54">
        <f>(VLOOKUP($A324,'The List'!$B1:$AH665,23,FALSE)-AVERAGE('The List'!X2:X665))/STDEV('The List'!X2:X665)</f>
        <v>-0.20756045857953875</v>
      </c>
      <c r="L324" s="54">
        <f>(VLOOKUP($A324,'The List'!$B1:$AH665,24,FALSE)-AVERAGE('The List'!Y2:Y665))/STDEV('The List'!Y2:Y665)</f>
        <v>-0.26082787182858425</v>
      </c>
      <c r="M324" s="54">
        <f>(VLOOKUP($A324,'The List'!$B1:$AH665,25,FALSE)-AVERAGE('The List'!Z2:Z665))/STDEV('The List'!Z2:Z665)</f>
        <v>-0.51372991571426341</v>
      </c>
      <c r="N324" s="54">
        <f>(VLOOKUP($A324,'The List'!$B1:$AH665,26,FALSE)-AVERAGE('The List'!AA2:AA665))/STDEV('The List'!AA2:AA665)</f>
        <v>-0.8690757347476995</v>
      </c>
      <c r="O324" s="54">
        <f>(VLOOKUP($A324,'The List'!$B1:$AH665,27,FALSE)-AVERAGE('The List'!AB2:AB665))/STDEV('The List'!AB2:AB665)</f>
        <v>-1.0400649490941656</v>
      </c>
      <c r="P324" s="54">
        <f>(VLOOKUP($A324,'The List'!$B1:$AH665,28,FALSE)-AVERAGE('The List'!AC2:AC665))/STDEV('The List'!AC2:AC665)</f>
        <v>-0.17298611788709922</v>
      </c>
      <c r="Q324" s="54">
        <f>(VLOOKUP($A324,'The List'!$B1:$AH665,29,FALSE)-AVERAGE('The List'!AD2:AD665))/STDEV('The List'!AD2:AD665)</f>
        <v>-1.1547600474726547</v>
      </c>
      <c r="R324" s="54">
        <f>(VLOOKUP($A324,'The List'!$B1:$AH665,30,FALSE)-AVERAGE('The List'!AE2:AE665))/STDEV('The List'!AE2:AE665)</f>
        <v>-6.7883621223182825E-2</v>
      </c>
      <c r="S324" s="54">
        <f>(VLOOKUP($A324,'The List'!$B1:$AH665,31,FALSE)-AVERAGE('The List'!AF2:AF665))/STDEV('The List'!AF2:AF665)</f>
        <v>-0.50272237694889188</v>
      </c>
      <c r="T324" s="54">
        <f>(VLOOKUP($A324,'The List'!$B1:$AH665,32,FALSE)-AVERAGE('The List'!AG2:AG665))/STDEV('The List'!AG2:AG665)</f>
        <v>-0.47303252355581182</v>
      </c>
      <c r="U324" s="54">
        <f>(VLOOKUP($A324,'The List'!$B1:$AH665,33,FALSE)-AVERAGE('The List'!AH2:AH665))/STDEV('The List'!AH2:AH665)</f>
        <v>0.27075570873344307</v>
      </c>
      <c r="V324" s="54"/>
      <c r="W324" s="56"/>
      <c r="X324" s="54"/>
      <c r="Y324" s="54"/>
      <c r="Z324" s="54"/>
      <c r="AA324" s="54"/>
      <c r="AB324" s="54"/>
      <c r="AC324" s="54"/>
      <c r="AD324" s="54"/>
      <c r="AE324" s="54"/>
    </row>
    <row r="325" spans="1:31" ht="21.25" customHeight="1" x14ac:dyDescent="0.15">
      <c r="A325" s="9" t="s">
        <v>467</v>
      </c>
      <c r="B325" s="65" t="str">
        <f>VLOOKUP(A325,'Player Data'!A1:B667,2,FALSE)</f>
        <v>L.A</v>
      </c>
      <c r="C325" s="51">
        <f>((E325)*Settings!$C$12)+(F325*Settings!$C$2)+(G325*Settings!$C$3)+(H325*Settings!$C$4)+(I325*Settings!$C$5)+(K325*Settings!$C$9)+(N325*Settings!$C$6)+(J325*Settings!$C$8)+(O325*Settings!$C$7)+(P325*Settings!$C$14)+(Q325*Settings!$C$15)+(R325*Settings!$C$16)+(S325*Settings!$C$17)+(T325*Settings!$C$18)+(U325*Settings!$C$19)+(L325*Settings!$C$10)+(Settings!$C$11*M325)</f>
        <v>0.35309005756361533</v>
      </c>
      <c r="D325" s="56">
        <f>IF(Settings!$E$12="YES",VLOOKUP(A325,'Player Data'!A1:E667,5,FALSE),82)</f>
        <v>79.967500000000001</v>
      </c>
      <c r="E325" s="54">
        <f>(VLOOKUP($A325,'The List'!$B1:$AH665,17,FALSE)-AVERAGE('The List'!R2:R665))/STDEV('The List'!R2:R665)</f>
        <v>-0.71952036554224985</v>
      </c>
      <c r="F325" s="54">
        <f>(VLOOKUP($A325,'The List'!$B1:$AH665,18,FALSE)-AVERAGE('The List'!S2:S665))/STDEV('The List'!S2:S665)</f>
        <v>3.7554640332142793E-2</v>
      </c>
      <c r="G325" s="54">
        <f>(VLOOKUP($A325,'The List'!$B1:$AH665,19,FALSE)-AVERAGE('The List'!T2:T665))/STDEV('The List'!T2:T665)</f>
        <v>-0.51720921569496947</v>
      </c>
      <c r="H325" s="54">
        <f>(VLOOKUP($A325,'The List'!$B1:$AH665,20,FALSE)-AVERAGE('The List'!U2:U665))/STDEV('The List'!U2:U665)</f>
        <v>-0.30414563549902879</v>
      </c>
      <c r="I325" s="54">
        <f>(VLOOKUP($A325,'The List'!$B1:$AH665,21,FALSE)-AVERAGE('The List'!V2:V665))/STDEV('The List'!V2:V665)</f>
        <v>0.74055400095798429</v>
      </c>
      <c r="J325" s="54">
        <f>(VLOOKUP($A325,'The List'!$B1:$AH665,22,FALSE)-AVERAGE('The List'!W2:W665))/STDEV('The List'!W2:W665)</f>
        <v>-0.56731356989600246</v>
      </c>
      <c r="K325" s="54">
        <f>(VLOOKUP($A325,'The List'!$B1:$AH665,23,FALSE)-AVERAGE('The List'!X2:X665))/STDEV('The List'!X2:X665)</f>
        <v>-0.71570851150847525</v>
      </c>
      <c r="L325" s="54">
        <f>(VLOOKUP($A325,'The List'!$B1:$AH665,24,FALSE)-AVERAGE('The List'!Y2:Y665))/STDEV('The List'!Y2:Y665)</f>
        <v>1.4173883175642861</v>
      </c>
      <c r="M325" s="54">
        <f>(VLOOKUP($A325,'The List'!$B1:$AH665,25,FALSE)-AVERAGE('The List'!Z2:Z665))/STDEV('The List'!Z2:Z665)</f>
        <v>1.2564105094718256</v>
      </c>
      <c r="N325" s="54">
        <f>(VLOOKUP($A325,'The List'!$B1:$AH665,26,FALSE)-AVERAGE('The List'!AA2:AA665))/STDEV('The List'!AA2:AA665)</f>
        <v>-0.76552058567355785</v>
      </c>
      <c r="O325" s="54">
        <f>(VLOOKUP($A325,'The List'!$B1:$AH665,27,FALSE)-AVERAGE('The List'!AB2:AB665))/STDEV('The List'!AB2:AB665)</f>
        <v>0.11925701705120265</v>
      </c>
      <c r="P325" s="54">
        <f>(VLOOKUP($A325,'The List'!$B1:$AH665,28,FALSE)-AVERAGE('The List'!AC2:AC665))/STDEV('The List'!AC2:AC665)</f>
        <v>1.5734197291504908</v>
      </c>
      <c r="Q325" s="54">
        <f>(VLOOKUP($A325,'The List'!$B1:$AH665,29,FALSE)-AVERAGE('The List'!AD2:AD665))/STDEV('The List'!AD2:AD665)</f>
        <v>4.3822676059281765E-2</v>
      </c>
      <c r="R325" s="54">
        <f>(VLOOKUP($A325,'The List'!$B1:$AH665,30,FALSE)-AVERAGE('The List'!AE2:AE665))/STDEV('The List'!AE2:AE665)</f>
        <v>0.29327936775780783</v>
      </c>
      <c r="S325" s="54">
        <f>(VLOOKUP($A325,'The List'!$B1:$AH665,31,FALSE)-AVERAGE('The List'!AF2:AF665))/STDEV('The List'!AF2:AF665)</f>
        <v>-0.54040298849457791</v>
      </c>
      <c r="T325" s="54">
        <f>(VLOOKUP($A325,'The List'!$B1:$AH665,32,FALSE)-AVERAGE('The List'!AG2:AG665))/STDEV('The List'!AG2:AG665)</f>
        <v>-0.5873380243440034</v>
      </c>
      <c r="U325" s="54">
        <f>(VLOOKUP($A325,'The List'!$B1:$AH665,33,FALSE)-AVERAGE('The List'!AH2:AH665))/STDEV('The List'!AH2:AH665)</f>
        <v>0.94909857071687054</v>
      </c>
      <c r="V325" s="54"/>
      <c r="W325" s="64"/>
      <c r="X325" s="56"/>
      <c r="Y325" s="56"/>
      <c r="Z325" s="56"/>
      <c r="AA325" s="56"/>
      <c r="AB325" s="56"/>
      <c r="AC325" s="59"/>
      <c r="AD325" s="60"/>
      <c r="AE325" s="54"/>
    </row>
    <row r="326" spans="1:31" ht="21.25" customHeight="1" x14ac:dyDescent="0.15">
      <c r="A326" s="9" t="s">
        <v>680</v>
      </c>
      <c r="B326" s="65" t="str">
        <f>VLOOKUP(A326,'Player Data'!A1:B667,2,FALSE)</f>
        <v>CHI</v>
      </c>
      <c r="C326" s="51">
        <f>((E326)*Settings!$C$12)+(F326*Settings!$C$2)+(G326*Settings!$C$3)+(H326*Settings!$C$4)+(I326*Settings!$C$5)+(K326*Settings!$C$9)+(N326*Settings!$C$6)+(J326*Settings!$C$8)+(O326*Settings!$C$7)+(P326*Settings!$C$14)+(Q326*Settings!$C$15)+(R326*Settings!$C$16)+(S326*Settings!$C$17)+(T326*Settings!$C$18)+(U326*Settings!$C$19)+(L326*Settings!$C$10)+(Settings!$C$11*M326)</f>
        <v>-4.876542114338549</v>
      </c>
      <c r="D326" s="56">
        <f>IF(Settings!$E$12="YES",VLOOKUP(A326,'Player Data'!A1:E667,5,FALSE),82)</f>
        <v>67.099999999999994</v>
      </c>
      <c r="E326" s="54">
        <f>(VLOOKUP($A326,'The List'!$B1:$AH665,17,FALSE)-AVERAGE('The List'!R2:R665))/STDEV('The List'!R2:R665)</f>
        <v>-0.7881532545273634</v>
      </c>
      <c r="F326" s="54">
        <f>(VLOOKUP($A326,'The List'!$B1:$AH665,18,FALSE)-AVERAGE('The List'!S2:S665))/STDEV('The List'!S2:S665)</f>
        <v>-0.36006123294336501</v>
      </c>
      <c r="G326" s="54">
        <f>(VLOOKUP($A326,'The List'!$B1:$AH665,19,FALSE)-AVERAGE('The List'!T2:T665))/STDEV('The List'!T2:T665)</f>
        <v>-0.57973619513427066</v>
      </c>
      <c r="H326" s="54">
        <f>(VLOOKUP($A326,'The List'!$B1:$AH665,20,FALSE)-AVERAGE('The List'!U2:U665))/STDEV('The List'!U2:U665)</f>
        <v>-0.52371372010826178</v>
      </c>
      <c r="I326" s="54">
        <f>(VLOOKUP($A326,'The List'!$B1:$AH665,21,FALSE)-AVERAGE('The List'!V2:V665))/STDEV('The List'!V2:V665)</f>
        <v>-0.65420931536019289</v>
      </c>
      <c r="J326" s="54">
        <f>(VLOOKUP($A326,'The List'!$B1:$AH665,22,FALSE)-AVERAGE('The List'!W2:W665))/STDEV('The List'!W2:W665)</f>
        <v>-0.23145328828313072</v>
      </c>
      <c r="K326" s="54">
        <f>(VLOOKUP($A326,'The List'!$B1:$AH665,23,FALSE)-AVERAGE('The List'!X2:X665))/STDEV('The List'!X2:X665)</f>
        <v>-0.41600285323359426</v>
      </c>
      <c r="L326" s="54">
        <f>(VLOOKUP($A326,'The List'!$B1:$AH665,24,FALSE)-AVERAGE('The List'!Y2:Y665))/STDEV('The List'!Y2:Y665)</f>
        <v>-0.47990043414889438</v>
      </c>
      <c r="M326" s="54">
        <f>(VLOOKUP($A326,'The List'!$B1:$AH665,25,FALSE)-AVERAGE('The List'!Z2:Z665))/STDEV('The List'!Z2:Z665)</f>
        <v>-0.65259049288287396</v>
      </c>
      <c r="N326" s="54">
        <f>(VLOOKUP($A326,'The List'!$B1:$AH665,26,FALSE)-AVERAGE('The List'!AA2:AA665))/STDEV('The List'!AA2:AA665)</f>
        <v>-0.8928280030588247</v>
      </c>
      <c r="O326" s="54">
        <f>(VLOOKUP($A326,'The List'!$B1:$AH665,27,FALSE)-AVERAGE('The List'!AB2:AB665))/STDEV('The List'!AB2:AB665)</f>
        <v>-1.1986538360326595</v>
      </c>
      <c r="P326" s="54">
        <f>(VLOOKUP($A326,'The List'!$B1:$AH665,28,FALSE)-AVERAGE('The List'!AC2:AC665))/STDEV('The List'!AC2:AC665)</f>
        <v>-1.9737045146083017</v>
      </c>
      <c r="Q326" s="54">
        <f>(VLOOKUP($A326,'The List'!$B1:$AH665,29,FALSE)-AVERAGE('The List'!AD2:AD665))/STDEV('The List'!AD2:AD665)</f>
        <v>-1.1775386459469444</v>
      </c>
      <c r="R326" s="54">
        <f>(VLOOKUP($A326,'The List'!$B1:$AH665,30,FALSE)-AVERAGE('The List'!AE2:AE665))/STDEV('The List'!AE2:AE665)</f>
        <v>-0.46754128359685249</v>
      </c>
      <c r="S326" s="54">
        <f>(VLOOKUP($A326,'The List'!$B1:$AH665,31,FALSE)-AVERAGE('The List'!AF2:AF665))/STDEV('The List'!AF2:AF665)</f>
        <v>-0.1866130978249054</v>
      </c>
      <c r="T326" s="54">
        <f>(VLOOKUP($A326,'The List'!$B1:$AH665,32,FALSE)-AVERAGE('The List'!AG2:AG665))/STDEV('The List'!AG2:AG665)</f>
        <v>-4.9660311331483069E-2</v>
      </c>
      <c r="U326" s="54">
        <f>(VLOOKUP($A326,'The List'!$B1:$AH665,33,FALSE)-AVERAGE('The List'!AH2:AH665))/STDEV('The List'!AH2:AH665)</f>
        <v>0.65846933378074646</v>
      </c>
      <c r="V326" s="54"/>
      <c r="W326" s="64"/>
      <c r="X326" s="56"/>
      <c r="Y326" s="56"/>
      <c r="Z326" s="56"/>
      <c r="AA326" s="56"/>
      <c r="AB326" s="56"/>
      <c r="AC326" s="59"/>
      <c r="AD326" s="60"/>
      <c r="AE326" s="54"/>
    </row>
    <row r="327" spans="1:31" ht="21.25" customHeight="1" x14ac:dyDescent="0.15">
      <c r="A327" s="9" t="s">
        <v>653</v>
      </c>
      <c r="B327" s="65" t="str">
        <f>VLOOKUP(A327,'Player Data'!A1:B667,2,FALSE)</f>
        <v>BUF</v>
      </c>
      <c r="C327" s="51">
        <f>((E327)*Settings!$C$12)+(F327*Settings!$C$2)+(G327*Settings!$C$3)+(H327*Settings!$C$4)+(I327*Settings!$C$5)+(K327*Settings!$C$9)+(N327*Settings!$C$6)+(J327*Settings!$C$8)+(O327*Settings!$C$7)+(P327*Settings!$C$14)+(Q327*Settings!$C$15)+(R327*Settings!$C$16)+(S327*Settings!$C$17)+(T327*Settings!$C$18)+(U327*Settings!$C$19)+(L327*Settings!$C$10)+(Settings!$C$11*M327)</f>
        <v>-0.98782512532815048</v>
      </c>
      <c r="D327" s="56">
        <f>IF(Settings!$E$12="YES",VLOOKUP(A327,'Player Data'!A1:E667,5,FALSE),82)</f>
        <v>77.314999999999998</v>
      </c>
      <c r="E327" s="54">
        <f>(VLOOKUP($A327,'The List'!$B1:$AH665,17,FALSE)-AVERAGE('The List'!R2:R665))/STDEV('The List'!R2:R665)</f>
        <v>-0.65559683773461819</v>
      </c>
      <c r="F327" s="54">
        <f>(VLOOKUP($A327,'The List'!$B1:$AH665,18,FALSE)-AVERAGE('The List'!S2:S665))/STDEV('The List'!S2:S665)</f>
        <v>-0.12871521817364892</v>
      </c>
      <c r="G327" s="54">
        <f>(VLOOKUP($A327,'The List'!$B1:$AH665,19,FALSE)-AVERAGE('The List'!T2:T665))/STDEV('The List'!T2:T665)</f>
        <v>-0.50190715788249296</v>
      </c>
      <c r="H327" s="54">
        <f>(VLOOKUP($A327,'The List'!$B1:$AH665,20,FALSE)-AVERAGE('The List'!U2:U665))/STDEV('The List'!U2:U665)</f>
        <v>-0.3702197513232966</v>
      </c>
      <c r="I327" s="54">
        <f>(VLOOKUP($A327,'The List'!$B1:$AH665,21,FALSE)-AVERAGE('The List'!V2:V665))/STDEV('The List'!V2:V665)</f>
        <v>-0.44266765761406157</v>
      </c>
      <c r="J327" s="54">
        <f>(VLOOKUP($A327,'The List'!$B1:$AH665,22,FALSE)-AVERAGE('The List'!W2:W665))/STDEV('The List'!W2:W665)</f>
        <v>-0.65052460048649063</v>
      </c>
      <c r="K327" s="54">
        <f>(VLOOKUP($A327,'The List'!$B1:$AH665,23,FALSE)-AVERAGE('The List'!X2:X665))/STDEV('The List'!X2:X665)</f>
        <v>-0.72476289162594809</v>
      </c>
      <c r="L327" s="54">
        <f>(VLOOKUP($A327,'The List'!$B1:$AH665,24,FALSE)-AVERAGE('The List'!Y2:Y665))/STDEV('The List'!Y2:Y665)</f>
        <v>0.44993352807957138</v>
      </c>
      <c r="M327" s="54">
        <f>(VLOOKUP($A327,'The List'!$B1:$AH665,25,FALSE)-AVERAGE('The List'!Z2:Z665))/STDEV('The List'!Z2:Z665)</f>
        <v>1.1230820262312877</v>
      </c>
      <c r="N327" s="54">
        <f>(VLOOKUP($A327,'The List'!$B1:$AH665,26,FALSE)-AVERAGE('The List'!AA2:AA665))/STDEV('The List'!AA2:AA665)</f>
        <v>-0.76109296952081773</v>
      </c>
      <c r="O327" s="54">
        <f>(VLOOKUP($A327,'The List'!$B1:$AH665,27,FALSE)-AVERAGE('The List'!AB2:AB665))/STDEV('The List'!AB2:AB665)</f>
        <v>-0.55432851533827732</v>
      </c>
      <c r="P327" s="54">
        <f>(VLOOKUP($A327,'The List'!$B1:$AH665,28,FALSE)-AVERAGE('The List'!AC2:AC665))/STDEV('The List'!AC2:AC665)</f>
        <v>1.5713207694888189</v>
      </c>
      <c r="Q327" s="54">
        <f>(VLOOKUP($A327,'The List'!$B1:$AH665,29,FALSE)-AVERAGE('The List'!AD2:AD665))/STDEV('The List'!AD2:AD665)</f>
        <v>-1.0531586479529647</v>
      </c>
      <c r="R327" s="54">
        <f>(VLOOKUP($A327,'The List'!$B1:$AH665,30,FALSE)-AVERAGE('The List'!AE2:AE665))/STDEV('The List'!AE2:AE665)</f>
        <v>-0.18113982289959729</v>
      </c>
      <c r="S327" s="54">
        <f>(VLOOKUP($A327,'The List'!$B1:$AH665,31,FALSE)-AVERAGE('The List'!AF2:AF665))/STDEV('The List'!AF2:AF665)</f>
        <v>1.0999259812244038</v>
      </c>
      <c r="T327" s="54">
        <f>(VLOOKUP($A327,'The List'!$B1:$AH665,32,FALSE)-AVERAGE('The List'!AG2:AG665))/STDEV('The List'!AG2:AG665)</f>
        <v>1.2114754987989875</v>
      </c>
      <c r="U327" s="54">
        <f>(VLOOKUP($A327,'The List'!$B1:$AH665,33,FALSE)-AVERAGE('The List'!AH2:AH665))/STDEV('The List'!AH2:AH665)</f>
        <v>0.99944713632265947</v>
      </c>
      <c r="V327" s="54"/>
      <c r="W327" s="56"/>
      <c r="X327" s="56"/>
      <c r="Y327" s="56"/>
      <c r="Z327" s="56"/>
      <c r="AA327" s="56"/>
      <c r="AB327" s="56"/>
      <c r="AC327" s="59"/>
      <c r="AD327" s="60"/>
      <c r="AE327" s="54"/>
    </row>
    <row r="328" spans="1:31" ht="21.25" customHeight="1" x14ac:dyDescent="0.15">
      <c r="A328" s="9" t="s">
        <v>279</v>
      </c>
      <c r="B328" s="65" t="str">
        <f>VLOOKUP(A328,'Player Data'!A1:B667,2,FALSE)</f>
        <v>STL</v>
      </c>
      <c r="C328" s="51">
        <f>((E328)*Settings!$C$12)+(F328*Settings!$C$2)+(G328*Settings!$C$3)+(H328*Settings!$C$4)+(I328*Settings!$C$5)+(K328*Settings!$C$9)+(N328*Settings!$C$6)+(J328*Settings!$C$8)+(O328*Settings!$C$7)+(P328*Settings!$C$14)+(Q328*Settings!$C$15)+(R328*Settings!$C$16)+(S328*Settings!$C$17)+(T328*Settings!$C$18)+(U328*Settings!$C$19)+(L328*Settings!$C$10)+(Settings!$C$11*M328)</f>
        <v>0.2727289209111925</v>
      </c>
      <c r="D328" s="56">
        <f>IF(Settings!$E$12="YES",VLOOKUP(A328,'Player Data'!A1:E667,5,FALSE),82)</f>
        <v>81.417500000000004</v>
      </c>
      <c r="E328" s="54">
        <f>(VLOOKUP($A328,'The List'!$B1:$AH665,17,FALSE)-AVERAGE('The List'!R2:R665))/STDEV('The List'!R2:R665)</f>
        <v>1.9678417596223661</v>
      </c>
      <c r="F328" s="54">
        <f>(VLOOKUP($A328,'The List'!$B1:$AH665,18,FALSE)-AVERAGE('The List'!S2:S665))/STDEV('The List'!S2:S665)</f>
        <v>-0.64839702396206988</v>
      </c>
      <c r="G328" s="54">
        <f>(VLOOKUP($A328,'The List'!$B1:$AH665,19,FALSE)-AVERAGE('The List'!T2:T665))/STDEV('The List'!T2:T665)</f>
        <v>-2.0328420304302524E-2</v>
      </c>
      <c r="H328" s="54">
        <f>(VLOOKUP($A328,'The List'!$B1:$AH665,20,FALSE)-AVERAGE('The List'!U2:U665))/STDEV('The List'!U2:U665)</f>
        <v>-0.30735236021300322</v>
      </c>
      <c r="I328" s="54">
        <f>(VLOOKUP($A328,'The List'!$B1:$AH665,21,FALSE)-AVERAGE('The List'!V2:V665))/STDEV('The List'!V2:V665)</f>
        <v>0.2269298907030961</v>
      </c>
      <c r="J328" s="54">
        <f>(VLOOKUP($A328,'The List'!$B1:$AH665,22,FALSE)-AVERAGE('The List'!W2:W665))/STDEV('The List'!W2:W665)</f>
        <v>-0.71532732957676948</v>
      </c>
      <c r="K328" s="54">
        <f>(VLOOKUP($A328,'The List'!$B1:$AH665,23,FALSE)-AVERAGE('The List'!X2:X665))/STDEV('The List'!X2:X665)</f>
        <v>-0.65160802049750266</v>
      </c>
      <c r="L328" s="54">
        <f>(VLOOKUP($A328,'The List'!$B1:$AH665,24,FALSE)-AVERAGE('The List'!Y2:Y665))/STDEV('The List'!Y2:Y665)</f>
        <v>0.34948904712553558</v>
      </c>
      <c r="M328" s="54">
        <f>(VLOOKUP($A328,'The List'!$B1:$AH665,25,FALSE)-AVERAGE('The List'!Z2:Z665))/STDEV('The List'!Z2:Z665)</f>
        <v>0.79130223423205759</v>
      </c>
      <c r="N328" s="54">
        <f>(VLOOKUP($A328,'The List'!$B1:$AH665,26,FALSE)-AVERAGE('The List'!AA2:AA665))/STDEV('The List'!AA2:AA665)</f>
        <v>2.948358909608467</v>
      </c>
      <c r="O328" s="54">
        <f>(VLOOKUP($A328,'The List'!$B1:$AH665,27,FALSE)-AVERAGE('The List'!AB2:AB665))/STDEV('The List'!AB2:AB665)</f>
        <v>0.41296996547817366</v>
      </c>
      <c r="P328" s="54">
        <f>(VLOOKUP($A328,'The List'!$B1:$AH665,28,FALSE)-AVERAGE('The List'!AC2:AC665))/STDEV('The List'!AC2:AC665)</f>
        <v>-1.5822264146364957</v>
      </c>
      <c r="Q328" s="54">
        <f>(VLOOKUP($A328,'The List'!$B1:$AH665,29,FALSE)-AVERAGE('The List'!AD2:AD665))/STDEV('The List'!AD2:AD665)</f>
        <v>-0.29831580515495976</v>
      </c>
      <c r="R328" s="54">
        <f>(VLOOKUP($A328,'The List'!$B1:$AH665,30,FALSE)-AVERAGE('The List'!AE2:AE665))/STDEV('The List'!AE2:AE665)</f>
        <v>-0.74559654484219551</v>
      </c>
      <c r="S328" s="54">
        <f>(VLOOKUP($A328,'The List'!$B1:$AH665,31,FALSE)-AVERAGE('The List'!AF2:AF665))/STDEV('The List'!AF2:AF665)</f>
        <v>-0.57389441068000469</v>
      </c>
      <c r="T328" s="54">
        <f>(VLOOKUP($A328,'The List'!$B1:$AH665,32,FALSE)-AVERAGE('The List'!AG2:AG665))/STDEV('The List'!AG2:AG665)</f>
        <v>-0.62577078713265111</v>
      </c>
      <c r="U328" s="54">
        <f>(VLOOKUP($A328,'The List'!$B1:$AH665,33,FALSE)-AVERAGE('The List'!AH2:AH665))/STDEV('The List'!AH2:AH665)</f>
        <v>-1.2314350945148611</v>
      </c>
      <c r="V328" s="54"/>
      <c r="W328" s="64"/>
      <c r="X328" s="56"/>
      <c r="Y328" s="56"/>
      <c r="Z328" s="56"/>
      <c r="AA328" s="56"/>
      <c r="AB328" s="56"/>
      <c r="AC328" s="59"/>
      <c r="AD328" s="60"/>
      <c r="AE328" s="54"/>
    </row>
    <row r="329" spans="1:31" ht="21.25" customHeight="1" x14ac:dyDescent="0.15">
      <c r="A329" s="9" t="s">
        <v>409</v>
      </c>
      <c r="B329" s="65" t="str">
        <f>VLOOKUP(A329,'Player Data'!A1:B667,2,FALSE)</f>
        <v>TOR</v>
      </c>
      <c r="C329" s="51">
        <f>((E329)*Settings!$C$12)+(F329*Settings!$C$2)+(G329*Settings!$C$3)+(H329*Settings!$C$4)+(I329*Settings!$C$5)+(K329*Settings!$C$9)+(N329*Settings!$C$6)+(J329*Settings!$C$8)+(O329*Settings!$C$7)+(P329*Settings!$C$14)+(Q329*Settings!$C$15)+(R329*Settings!$C$16)+(S329*Settings!$C$17)+(T329*Settings!$C$18)+(U329*Settings!$C$19)+(L329*Settings!$C$10)+(Settings!$C$11*M329)</f>
        <v>0.89936647641106782</v>
      </c>
      <c r="D329" s="56">
        <f>IF(Settings!$E$12="YES",VLOOKUP(A329,'Player Data'!A1:E667,5,FALSE),82)</f>
        <v>73.075000000000003</v>
      </c>
      <c r="E329" s="54">
        <f>(VLOOKUP($A329,'The List'!$B1:$AH665,17,FALSE)-AVERAGE('The List'!R2:R665))/STDEV('The List'!R2:R665)</f>
        <v>0.32743596728999369</v>
      </c>
      <c r="F329" s="54">
        <f>(VLOOKUP($A329,'The List'!$B1:$AH665,18,FALSE)-AVERAGE('The List'!S2:S665))/STDEV('The List'!S2:S665)</f>
        <v>-0.82542781193579007</v>
      </c>
      <c r="G329" s="54">
        <f>(VLOOKUP($A329,'The List'!$B1:$AH665,19,FALSE)-AVERAGE('The List'!T2:T665))/STDEV('The List'!T2:T665)</f>
        <v>-0.11223990699220247</v>
      </c>
      <c r="H329" s="54">
        <f>(VLOOKUP($A329,'The List'!$B1:$AH665,20,FALSE)-AVERAGE('The List'!U2:U665))/STDEV('The List'!U2:U665)</f>
        <v>-0.44490346953862087</v>
      </c>
      <c r="I329" s="54">
        <f>(VLOOKUP($A329,'The List'!$B1:$AH665,21,FALSE)-AVERAGE('The List'!V2:V665))/STDEV('The List'!V2:V665)</f>
        <v>-0.76814459933904289</v>
      </c>
      <c r="J329" s="54">
        <f>(VLOOKUP($A329,'The List'!$B1:$AH665,22,FALSE)-AVERAGE('The List'!W2:W665))/STDEV('The List'!W2:W665)</f>
        <v>-0.58807714899179242</v>
      </c>
      <c r="K329" s="54">
        <f>(VLOOKUP($A329,'The List'!$B1:$AH665,23,FALSE)-AVERAGE('The List'!X2:X665))/STDEV('The List'!X2:X665)</f>
        <v>-0.1003893805170558</v>
      </c>
      <c r="L329" s="54">
        <f>(VLOOKUP($A329,'The List'!$B1:$AH665,24,FALSE)-AVERAGE('The List'!Y2:Y665))/STDEV('The List'!Y2:Y665)</f>
        <v>-0.28748945353216998</v>
      </c>
      <c r="M329" s="54">
        <f>(VLOOKUP($A329,'The List'!$B1:$AH665,25,FALSE)-AVERAGE('The List'!Z2:Z665))/STDEV('The List'!Z2:Z665)</f>
        <v>-6.8969130246144039E-2</v>
      </c>
      <c r="N329" s="54">
        <f>(VLOOKUP($A329,'The List'!$B1:$AH665,26,FALSE)-AVERAGE('The List'!AA2:AA665))/STDEV('The List'!AA2:AA665)</f>
        <v>1.2283409816746231</v>
      </c>
      <c r="O329" s="54">
        <f>(VLOOKUP($A329,'The List'!$B1:$AH665,27,FALSE)-AVERAGE('The List'!AB2:AB665))/STDEV('The List'!AB2:AB665)</f>
        <v>0.38683467686022877</v>
      </c>
      <c r="P329" s="54">
        <f>(VLOOKUP($A329,'The List'!$B1:$AH665,28,FALSE)-AVERAGE('The List'!AC2:AC665))/STDEV('The List'!AC2:AC665)</f>
        <v>1.4772271935205357</v>
      </c>
      <c r="Q329" s="54">
        <f>(VLOOKUP($A329,'The List'!$B1:$AH665,29,FALSE)-AVERAGE('The List'!AD2:AD665))/STDEV('The List'!AD2:AD665)</f>
        <v>-0.47188092180330038</v>
      </c>
      <c r="R329" s="54">
        <f>(VLOOKUP($A329,'The List'!$B1:$AH665,30,FALSE)-AVERAGE('The List'!AE2:AE665))/STDEV('The List'!AE2:AE665)</f>
        <v>-0.75331448823495972</v>
      </c>
      <c r="S329" s="54">
        <f>(VLOOKUP($A329,'The List'!$B1:$AH665,31,FALSE)-AVERAGE('The List'!AF2:AF665))/STDEV('The List'!AF2:AF665)</f>
        <v>-0.57389441068000469</v>
      </c>
      <c r="T329" s="54">
        <f>(VLOOKUP($A329,'The List'!$B1:$AH665,32,FALSE)-AVERAGE('The List'!AG2:AG665))/STDEV('The List'!AG2:AG665)</f>
        <v>-0.62577078713265111</v>
      </c>
      <c r="U329" s="54">
        <f>(VLOOKUP($A329,'The List'!$B1:$AH665,33,FALSE)-AVERAGE('The List'!AH2:AH665))/STDEV('The List'!AH2:AH665)</f>
        <v>-1.2314350945148611</v>
      </c>
      <c r="V329" s="54"/>
      <c r="W329" s="64"/>
      <c r="X329" s="56"/>
      <c r="Y329" s="56"/>
      <c r="Z329" s="56"/>
      <c r="AA329" s="56"/>
      <c r="AB329" s="56"/>
      <c r="AC329" s="59"/>
      <c r="AD329" s="60"/>
      <c r="AE329" s="54"/>
    </row>
    <row r="330" spans="1:31" ht="21.25" customHeight="1" x14ac:dyDescent="0.15">
      <c r="A330" s="9" t="s">
        <v>561</v>
      </c>
      <c r="B330" s="65" t="str">
        <f>VLOOKUP(A330,'Player Data'!A1:B667,2,FALSE)</f>
        <v>COL</v>
      </c>
      <c r="C330" s="51">
        <f>((E330)*Settings!$C$12)+(F330*Settings!$C$2)+(G330*Settings!$C$3)+(H330*Settings!$C$4)+(I330*Settings!$C$5)+(K330*Settings!$C$9)+(N330*Settings!$C$6)+(J330*Settings!$C$8)+(O330*Settings!$C$7)+(P330*Settings!$C$14)+(Q330*Settings!$C$15)+(R330*Settings!$C$16)+(S330*Settings!$C$17)+(T330*Settings!$C$18)+(U330*Settings!$C$19)+(L330*Settings!$C$10)+(Settings!$C$11*M330)</f>
        <v>-1.552419682047772</v>
      </c>
      <c r="D330" s="56">
        <f>IF(Settings!$E$12="YES",VLOOKUP(A330,'Player Data'!A1:E667,5,FALSE),82)</f>
        <v>77.492500000000007</v>
      </c>
      <c r="E330" s="54">
        <f>(VLOOKUP($A330,'The List'!$B1:$AH665,17,FALSE)-AVERAGE('The List'!R2:R665))/STDEV('The List'!R2:R665)</f>
        <v>-0.6412905820824909</v>
      </c>
      <c r="F330" s="54">
        <f>(VLOOKUP($A330,'The List'!$B1:$AH665,18,FALSE)-AVERAGE('The List'!S2:S665))/STDEV('The List'!S2:S665)</f>
        <v>-0.14600997314336076</v>
      </c>
      <c r="G330" s="54">
        <f>(VLOOKUP($A330,'The List'!$B1:$AH665,19,FALSE)-AVERAGE('The List'!T2:T665))/STDEV('The List'!T2:T665)</f>
        <v>-0.49974064224726739</v>
      </c>
      <c r="H330" s="54">
        <f>(VLOOKUP($A330,'The List'!$B1:$AH665,20,FALSE)-AVERAGE('The List'!U2:U665))/STDEV('The List'!U2:U665)</f>
        <v>-0.37673551151416002</v>
      </c>
      <c r="I330" s="54">
        <f>(VLOOKUP($A330,'The List'!$B1:$AH665,21,FALSE)-AVERAGE('The List'!V2:V665))/STDEV('The List'!V2:V665)</f>
        <v>-0.31861529551315249</v>
      </c>
      <c r="J330" s="54">
        <f>(VLOOKUP($A330,'The List'!$B1:$AH665,22,FALSE)-AVERAGE('The List'!W2:W665))/STDEV('The List'!W2:W665)</f>
        <v>-0.72853576491457117</v>
      </c>
      <c r="K330" s="54">
        <f>(VLOOKUP($A330,'The List'!$B1:$AH665,23,FALSE)-AVERAGE('The List'!X2:X665))/STDEV('The List'!X2:X665)</f>
        <v>-0.81397844952303056</v>
      </c>
      <c r="L330" s="54">
        <f>(VLOOKUP($A330,'The List'!$B1:$AH665,24,FALSE)-AVERAGE('The List'!Y2:Y665))/STDEV('The List'!Y2:Y665)</f>
        <v>3.5038021434869102</v>
      </c>
      <c r="M330" s="54">
        <f>(VLOOKUP($A330,'The List'!$B1:$AH665,25,FALSE)-AVERAGE('The List'!Z2:Z665))/STDEV('The List'!Z2:Z665)</f>
        <v>2.7294053205458653</v>
      </c>
      <c r="N330" s="54">
        <f>(VLOOKUP($A330,'The List'!$B1:$AH665,26,FALSE)-AVERAGE('The List'!AA2:AA665))/STDEV('The List'!AA2:AA665)</f>
        <v>-0.39062655218483433</v>
      </c>
      <c r="O330" s="54">
        <f>(VLOOKUP($A330,'The List'!$B1:$AH665,27,FALSE)-AVERAGE('The List'!AB2:AB665))/STDEV('The List'!AB2:AB665)</f>
        <v>-2.2416802101008139E-2</v>
      </c>
      <c r="P330" s="54">
        <f>(VLOOKUP($A330,'The List'!$B1:$AH665,28,FALSE)-AVERAGE('The List'!AC2:AC665))/STDEV('The List'!AC2:AC665)</f>
        <v>0.61655123056387351</v>
      </c>
      <c r="Q330" s="54">
        <f>(VLOOKUP($A330,'The List'!$B1:$AH665,29,FALSE)-AVERAGE('The List'!AD2:AD665))/STDEV('The List'!AD2:AD665)</f>
        <v>0.36972995989098839</v>
      </c>
      <c r="R330" s="54">
        <f>(VLOOKUP($A330,'The List'!$B1:$AH665,30,FALSE)-AVERAGE('The List'!AE2:AE665))/STDEV('The List'!AE2:AE665)</f>
        <v>-0.13621032718005058</v>
      </c>
      <c r="S330" s="54">
        <f>(VLOOKUP($A330,'The List'!$B1:$AH665,31,FALSE)-AVERAGE('The List'!AF2:AF665))/STDEV('The List'!AF2:AF665)</f>
        <v>-0.49194305182133535</v>
      </c>
      <c r="T330" s="54">
        <f>(VLOOKUP($A330,'The List'!$B1:$AH665,32,FALSE)-AVERAGE('The List'!AG2:AG665))/STDEV('The List'!AG2:AG665)</f>
        <v>-0.40305114885577387</v>
      </c>
      <c r="U330" s="54">
        <f>(VLOOKUP($A330,'The List'!$B1:$AH665,33,FALSE)-AVERAGE('The List'!AH2:AH665))/STDEV('The List'!AH2:AH665)</f>
        <v>4.3655496631547108E-2</v>
      </c>
      <c r="V330" s="54"/>
      <c r="W330" s="64"/>
      <c r="X330" s="56"/>
      <c r="Y330" s="56"/>
      <c r="Z330" s="56"/>
      <c r="AA330" s="56"/>
      <c r="AB330" s="56"/>
      <c r="AC330" s="59"/>
      <c r="AD330" s="60"/>
      <c r="AE330" s="54"/>
    </row>
    <row r="331" spans="1:31" ht="21.25" customHeight="1" x14ac:dyDescent="0.15">
      <c r="A331" s="9" t="s">
        <v>611</v>
      </c>
      <c r="B331" s="65" t="str">
        <f>VLOOKUP(A331,'Player Data'!A1:B667,2,FALSE)</f>
        <v>DAL</v>
      </c>
      <c r="C331" s="51">
        <f>((E331)*Settings!$C$12)+(F331*Settings!$C$2)+(G331*Settings!$C$3)+(H331*Settings!$C$4)+(I331*Settings!$C$5)+(K331*Settings!$C$9)+(N331*Settings!$C$6)+(J331*Settings!$C$8)+(O331*Settings!$C$7)+(P331*Settings!$C$14)+(Q331*Settings!$C$15)+(R331*Settings!$C$16)+(S331*Settings!$C$17)+(T331*Settings!$C$18)+(U331*Settings!$C$19)+(L331*Settings!$C$10)+(Settings!$C$11*M331)</f>
        <v>-1.929465735894675</v>
      </c>
      <c r="D331" s="56">
        <f>IF(Settings!$E$12="YES",VLOOKUP(A331,'Player Data'!A1:E667,5,FALSE),82)</f>
        <v>74.89</v>
      </c>
      <c r="E331" s="54">
        <f>(VLOOKUP($A331,'The List'!$B1:$AH665,17,FALSE)-AVERAGE('The List'!R2:R665))/STDEV('The List'!R2:R665)</f>
        <v>-1.2312923010533843</v>
      </c>
      <c r="F331" s="54">
        <f>(VLOOKUP($A331,'The List'!$B1:$AH665,18,FALSE)-AVERAGE('The List'!S2:S665))/STDEV('The List'!S2:S665)</f>
        <v>-0.26623149007621688</v>
      </c>
      <c r="G331" s="54">
        <f>(VLOOKUP($A331,'The List'!$B1:$AH665,19,FALSE)-AVERAGE('The List'!T2:T665))/STDEV('The List'!T2:T665)</f>
        <v>-0.48298052491261334</v>
      </c>
      <c r="H331" s="54">
        <f>(VLOOKUP($A331,'The List'!$B1:$AH665,20,FALSE)-AVERAGE('The List'!U2:U665))/STDEV('The List'!U2:U665)</f>
        <v>-0.4209729302929448</v>
      </c>
      <c r="I331" s="54">
        <f>(VLOOKUP($A331,'The List'!$B1:$AH665,21,FALSE)-AVERAGE('The List'!V2:V665))/STDEV('The List'!V2:V665)</f>
        <v>-0.52848634450809129</v>
      </c>
      <c r="J331" s="54">
        <f>(VLOOKUP($A331,'The List'!$B1:$AH665,22,FALSE)-AVERAGE('The List'!W2:W665))/STDEV('The List'!W2:W665)</f>
        <v>-0.4951561906289868</v>
      </c>
      <c r="K331" s="54">
        <f>(VLOOKUP($A331,'The List'!$B1:$AH665,23,FALSE)-AVERAGE('The List'!X2:X665))/STDEV('The List'!X2:X665)</f>
        <v>-0.54634794765836092</v>
      </c>
      <c r="L331" s="54">
        <f>(VLOOKUP($A331,'The List'!$B1:$AH665,24,FALSE)-AVERAGE('The List'!Y2:Y665))/STDEV('The List'!Y2:Y665)</f>
        <v>-0.57681977940481388</v>
      </c>
      <c r="M331" s="54">
        <f>(VLOOKUP($A331,'The List'!$B1:$AH665,25,FALSE)-AVERAGE('The List'!Z2:Z665))/STDEV('The List'!Z2:Z665)</f>
        <v>-0.75051349886716634</v>
      </c>
      <c r="N331" s="54">
        <f>(VLOOKUP($A331,'The List'!$B1:$AH665,26,FALSE)-AVERAGE('The List'!AA2:AA665))/STDEV('The List'!AA2:AA665)</f>
        <v>-0.82229659266965827</v>
      </c>
      <c r="O331" s="54">
        <f>(VLOOKUP($A331,'The List'!$B1:$AH665,27,FALSE)-AVERAGE('The List'!AB2:AB665))/STDEV('The List'!AB2:AB665)</f>
        <v>-0.87397049949299599</v>
      </c>
      <c r="P331" s="54">
        <f>(VLOOKUP($A331,'The List'!$B1:$AH665,28,FALSE)-AVERAGE('The List'!AC2:AC665))/STDEV('The List'!AC2:AC665)</f>
        <v>0.71687716393026613</v>
      </c>
      <c r="Q331" s="54">
        <f>(VLOOKUP($A331,'The List'!$B1:$AH665,29,FALSE)-AVERAGE('The List'!AD2:AD665))/STDEV('The List'!AD2:AD665)</f>
        <v>-1.1433994336016446</v>
      </c>
      <c r="R331" s="54">
        <f>(VLOOKUP($A331,'The List'!$B1:$AH665,30,FALSE)-AVERAGE('The List'!AE2:AE665))/STDEV('The List'!AE2:AE665)</f>
        <v>-0.1795243666415749</v>
      </c>
      <c r="S331" s="54">
        <f>(VLOOKUP($A331,'The List'!$B1:$AH665,31,FALSE)-AVERAGE('The List'!AF2:AF665))/STDEV('The List'!AF2:AF665)</f>
        <v>-0.56971083503626652</v>
      </c>
      <c r="T331" s="54">
        <f>(VLOOKUP($A331,'The List'!$B1:$AH665,32,FALSE)-AVERAGE('The List'!AG2:AG665))/STDEV('The List'!AG2:AG665)</f>
        <v>-0.60254214219607138</v>
      </c>
      <c r="U331" s="54">
        <f>(VLOOKUP($A331,'The List'!$B1:$AH665,33,FALSE)-AVERAGE('The List'!AH2:AH665))/STDEV('The List'!AH2:AH665)</f>
        <v>-0.50266044749967675</v>
      </c>
      <c r="V331" s="54"/>
      <c r="W331" s="64"/>
      <c r="X331" s="56"/>
      <c r="Y331" s="56"/>
      <c r="Z331" s="56"/>
      <c r="AA331" s="56"/>
      <c r="AB331" s="56"/>
      <c r="AC331" s="59"/>
      <c r="AD331" s="60"/>
      <c r="AE331" s="54"/>
    </row>
    <row r="332" spans="1:31" ht="21.25" customHeight="1" x14ac:dyDescent="0.15">
      <c r="A332" s="9" t="s">
        <v>604</v>
      </c>
      <c r="B332" s="65" t="str">
        <f>VLOOKUP(A332,'Player Data'!A1:B667,2,FALSE)</f>
        <v>S.J</v>
      </c>
      <c r="C332" s="51">
        <f>((E332)*Settings!$C$12)+(F332*Settings!$C$2)+(G332*Settings!$C$3)+(H332*Settings!$C$4)+(I332*Settings!$C$5)+(K332*Settings!$C$9)+(N332*Settings!$C$6)+(J332*Settings!$C$8)+(O332*Settings!$C$7)+(P332*Settings!$C$14)+(Q332*Settings!$C$15)+(R332*Settings!$C$16)+(S332*Settings!$C$17)+(T332*Settings!$C$18)+(U332*Settings!$C$19)+(L332*Settings!$C$10)+(Settings!$C$11*M332)</f>
        <v>-1.7688518222623737</v>
      </c>
      <c r="D332" s="56">
        <f>IF(Settings!$E$12="YES",VLOOKUP(A332,'Player Data'!A1:E667,5,FALSE),82)</f>
        <v>81.297499999999999</v>
      </c>
      <c r="E332" s="54">
        <f>(VLOOKUP($A332,'The List'!$B1:$AH665,17,FALSE)-AVERAGE('The List'!R2:R665))/STDEV('The List'!R2:R665)</f>
        <v>1.7521194422428967E-2</v>
      </c>
      <c r="F332" s="54">
        <f>(VLOOKUP($A332,'The List'!$B1:$AH665,18,FALSE)-AVERAGE('The List'!S2:S665))/STDEV('The List'!S2:S665)</f>
        <v>-0.37738951790897934</v>
      </c>
      <c r="G332" s="54">
        <f>(VLOOKUP($A332,'The List'!$B1:$AH665,19,FALSE)-AVERAGE('The List'!T2:T665))/STDEV('The List'!T2:T665)</f>
        <v>-0.24409944893120958</v>
      </c>
      <c r="H332" s="54">
        <f>(VLOOKUP($A332,'The List'!$B1:$AH665,20,FALSE)-AVERAGE('The List'!U2:U665))/STDEV('The List'!U2:U665)</f>
        <v>-0.32314095769129403</v>
      </c>
      <c r="I332" s="54">
        <f>(VLOOKUP($A332,'The List'!$B1:$AH665,21,FALSE)-AVERAGE('The List'!V2:V665))/STDEV('The List'!V2:V665)</f>
        <v>-0.69091381192727075</v>
      </c>
      <c r="J332" s="54">
        <f>(VLOOKUP($A332,'The List'!$B1:$AH665,22,FALSE)-AVERAGE('The List'!W2:W665))/STDEV('The List'!W2:W665)</f>
        <v>-0.14706254203227292</v>
      </c>
      <c r="K332" s="54">
        <f>(VLOOKUP($A332,'The List'!$B1:$AH665,23,FALSE)-AVERAGE('The List'!X2:X665))/STDEV('The List'!X2:X665)</f>
        <v>-0.29130834038021131</v>
      </c>
      <c r="L332" s="54">
        <f>(VLOOKUP($A332,'The List'!$B1:$AH665,24,FALSE)-AVERAGE('The List'!Y2:Y665))/STDEV('The List'!Y2:Y665)</f>
        <v>0.35974457003369326</v>
      </c>
      <c r="M332" s="54">
        <f>(VLOOKUP($A332,'The List'!$B1:$AH665,25,FALSE)-AVERAGE('The List'!Z2:Z665))/STDEV('The List'!Z2:Z665)</f>
        <v>0.10281684957371091</v>
      </c>
      <c r="N332" s="54">
        <f>(VLOOKUP($A332,'The List'!$B1:$AH665,26,FALSE)-AVERAGE('The List'!AA2:AA665))/STDEV('The List'!AA2:AA665)</f>
        <v>-4.1787767381887041E-3</v>
      </c>
      <c r="O332" s="54">
        <f>(VLOOKUP($A332,'The List'!$B1:$AH665,27,FALSE)-AVERAGE('The List'!AB2:AB665))/STDEV('The List'!AB2:AB665)</f>
        <v>-0.9313516771278616</v>
      </c>
      <c r="P332" s="54">
        <f>(VLOOKUP($A332,'The List'!$B1:$AH665,28,FALSE)-AVERAGE('The List'!AC2:AC665))/STDEV('The List'!AC2:AC665)</f>
        <v>-0.16096192637651408</v>
      </c>
      <c r="Q332" s="54">
        <f>(VLOOKUP($A332,'The List'!$B1:$AH665,29,FALSE)-AVERAGE('The List'!AD2:AD665))/STDEV('The List'!AD2:AD665)</f>
        <v>-0.75905309863669579</v>
      </c>
      <c r="R332" s="54">
        <f>(VLOOKUP($A332,'The List'!$B1:$AH665,30,FALSE)-AVERAGE('The List'!AE2:AE665))/STDEV('The List'!AE2:AE665)</f>
        <v>-0.6195285740295321</v>
      </c>
      <c r="S332" s="54">
        <f>(VLOOKUP($A332,'The List'!$B1:$AH665,31,FALSE)-AVERAGE('The List'!AF2:AF665))/STDEV('The List'!AF2:AF665)</f>
        <v>2.0171855116502049</v>
      </c>
      <c r="T332" s="54">
        <f>(VLOOKUP($A332,'The List'!$B1:$AH665,32,FALSE)-AVERAGE('The List'!AG2:AG665))/STDEV('The List'!AG2:AG665)</f>
        <v>2.5842514162278025</v>
      </c>
      <c r="U332" s="54">
        <f>(VLOOKUP($A332,'The List'!$B1:$AH665,33,FALSE)-AVERAGE('The List'!AH2:AH665))/STDEV('The List'!AH2:AH665)</f>
        <v>0.86260357833218593</v>
      </c>
      <c r="V332" s="54"/>
      <c r="W332" s="64"/>
      <c r="X332" s="56"/>
      <c r="Y332" s="56"/>
      <c r="Z332" s="56"/>
      <c r="AA332" s="56"/>
      <c r="AB332" s="56"/>
      <c r="AC332" s="59"/>
      <c r="AD332" s="60"/>
      <c r="AE332" s="54"/>
    </row>
    <row r="333" spans="1:31" ht="21.25" customHeight="1" x14ac:dyDescent="0.15">
      <c r="A333" s="9" t="s">
        <v>720</v>
      </c>
      <c r="B333" s="65" t="str">
        <f>VLOOKUP(A333,'Player Data'!A1:B667,2,FALSE)</f>
        <v>WSH</v>
      </c>
      <c r="C333" s="51">
        <f>((E333)*Settings!$C$12)+(F333*Settings!$C$2)+(G333*Settings!$C$3)+(H333*Settings!$C$4)+(I333*Settings!$C$5)+(K333*Settings!$C$9)+(N333*Settings!$C$6)+(J333*Settings!$C$8)+(O333*Settings!$C$7)+(P333*Settings!$C$14)+(Q333*Settings!$C$15)+(R333*Settings!$C$16)+(S333*Settings!$C$17)+(T333*Settings!$C$18)+(U333*Settings!$C$19)+(L333*Settings!$C$10)+(Settings!$C$11*M333)</f>
        <v>-3.8218344846707528</v>
      </c>
      <c r="D333" s="56">
        <f>IF(Settings!$E$12="YES",VLOOKUP(A333,'Player Data'!A1:E667,5,FALSE),82)</f>
        <v>69.165000000000006</v>
      </c>
      <c r="E333" s="54">
        <f>(VLOOKUP($A333,'The List'!$B1:$AH665,17,FALSE)-AVERAGE('The List'!R2:R665))/STDEV('The List'!R2:R665)</f>
        <v>-1.6202680425683751</v>
      </c>
      <c r="F333" s="54">
        <f>(VLOOKUP($A333,'The List'!$B1:$AH665,18,FALSE)-AVERAGE('The List'!S2:S665))/STDEV('The List'!S2:S665)</f>
        <v>-0.33390489702917048</v>
      </c>
      <c r="G333" s="54">
        <f>(VLOOKUP($A333,'The List'!$B1:$AH665,19,FALSE)-AVERAGE('The List'!T2:T665))/STDEV('The List'!T2:T665)</f>
        <v>-0.59866247676804352</v>
      </c>
      <c r="H333" s="54">
        <f>(VLOOKUP($A333,'The List'!$B1:$AH665,20,FALSE)-AVERAGE('The List'!U2:U665))/STDEV('The List'!U2:U665)</f>
        <v>-0.52357870720850852</v>
      </c>
      <c r="I333" s="54">
        <f>(VLOOKUP($A333,'The List'!$B1:$AH665,21,FALSE)-AVERAGE('The List'!V2:V665))/STDEV('The List'!V2:V665)</f>
        <v>-1.0330049788406428</v>
      </c>
      <c r="J333" s="54">
        <f>(VLOOKUP($A333,'The List'!$B1:$AH665,22,FALSE)-AVERAGE('The List'!W2:W665))/STDEV('The List'!W2:W665)</f>
        <v>-0.62136224250649219</v>
      </c>
      <c r="K333" s="54">
        <f>(VLOOKUP($A333,'The List'!$B1:$AH665,23,FALSE)-AVERAGE('The List'!X2:X665))/STDEV('The List'!X2:X665)</f>
        <v>-0.64646624421569743</v>
      </c>
      <c r="L333" s="54">
        <f>(VLOOKUP($A333,'The List'!$B1:$AH665,24,FALSE)-AVERAGE('The List'!Y2:Y665))/STDEV('The List'!Y2:Y665)</f>
        <v>-0.56735756643999724</v>
      </c>
      <c r="M333" s="54">
        <f>(VLOOKUP($A333,'The List'!$B1:$AH665,25,FALSE)-AVERAGE('The List'!Z2:Z665))/STDEV('The List'!Z2:Z665)</f>
        <v>-0.74102717382212435</v>
      </c>
      <c r="N333" s="54">
        <f>(VLOOKUP($A333,'The List'!$B1:$AH665,26,FALSE)-AVERAGE('The List'!AA2:AA665))/STDEV('The List'!AA2:AA665)</f>
        <v>-0.65000744700089064</v>
      </c>
      <c r="O333" s="54">
        <f>(VLOOKUP($A333,'The List'!$B1:$AH665,27,FALSE)-AVERAGE('The List'!AB2:AB665))/STDEV('The List'!AB2:AB665)</f>
        <v>-0.73317259293758619</v>
      </c>
      <c r="P333" s="54">
        <f>(VLOOKUP($A333,'The List'!$B1:$AH665,28,FALSE)-AVERAGE('The List'!AC2:AC665))/STDEV('The List'!AC2:AC665)</f>
        <v>-0.55978844081630819</v>
      </c>
      <c r="Q333" s="54">
        <f>(VLOOKUP($A333,'The List'!$B1:$AH665,29,FALSE)-AVERAGE('The List'!AD2:AD665))/STDEV('The List'!AD2:AD665)</f>
        <v>-1.3912436413494387</v>
      </c>
      <c r="R333" s="54">
        <f>(VLOOKUP($A333,'The List'!$B1:$AH665,30,FALSE)-AVERAGE('The List'!AE2:AE665))/STDEV('The List'!AE2:AE665)</f>
        <v>-0.36451070539324132</v>
      </c>
      <c r="S333" s="54">
        <f>(VLOOKUP($A333,'The List'!$B1:$AH665,31,FALSE)-AVERAGE('The List'!AF2:AF665))/STDEV('The List'!AF2:AF665)</f>
        <v>7.1378725530541587E-2</v>
      </c>
      <c r="T333" s="54">
        <f>(VLOOKUP($A333,'The List'!$B1:$AH665,32,FALSE)-AVERAGE('The List'!AG2:AG665))/STDEV('The List'!AG2:AG665)</f>
        <v>0.5491948937336889</v>
      </c>
      <c r="U333" s="54">
        <f>(VLOOKUP($A333,'The List'!$B1:$AH665,33,FALSE)-AVERAGE('The List'!AH2:AH665))/STDEV('The List'!AH2:AH665)</f>
        <v>0.44009222531530928</v>
      </c>
      <c r="V333" s="54"/>
      <c r="W333" s="64"/>
      <c r="X333" s="56"/>
      <c r="Y333" s="56"/>
      <c r="Z333" s="56"/>
      <c r="AA333" s="56"/>
      <c r="AB333" s="56"/>
      <c r="AC333" s="59"/>
      <c r="AD333" s="60"/>
      <c r="AE333" s="54"/>
    </row>
    <row r="334" spans="1:31" ht="21.25" customHeight="1" x14ac:dyDescent="0.15">
      <c r="A334" s="9" t="s">
        <v>640</v>
      </c>
      <c r="B334" s="65" t="str">
        <f>VLOOKUP(A334,'Player Data'!A1:B667,2,FALSE)</f>
        <v>DET</v>
      </c>
      <c r="C334" s="51">
        <f>((E334)*Settings!$C$12)+(F334*Settings!$C$2)+(G334*Settings!$C$3)+(H334*Settings!$C$4)+(I334*Settings!$C$5)+(K334*Settings!$C$9)+(N334*Settings!$C$6)+(J334*Settings!$C$8)+(O334*Settings!$C$7)+(P334*Settings!$C$14)+(Q334*Settings!$C$15)+(R334*Settings!$C$16)+(S334*Settings!$C$17)+(T334*Settings!$C$18)+(U334*Settings!$C$19)+(L334*Settings!$C$10)+(Settings!$C$11*M334)</f>
        <v>-2.9621401306843209</v>
      </c>
      <c r="D334" s="56">
        <f>IF(Settings!$E$12="YES",VLOOKUP(A334,'Player Data'!A1:E667,5,FALSE),82)</f>
        <v>79.9375</v>
      </c>
      <c r="E334" s="54">
        <f>(VLOOKUP($A334,'The List'!$B1:$AH665,17,FALSE)-AVERAGE('The List'!R2:R665))/STDEV('The List'!R2:R665)</f>
        <v>-0.81660328061252785</v>
      </c>
      <c r="F334" s="54">
        <f>(VLOOKUP($A334,'The List'!$B1:$AH665,18,FALSE)-AVERAGE('The List'!S2:S665))/STDEV('The List'!S2:S665)</f>
        <v>-7.8253816039930438E-2</v>
      </c>
      <c r="G334" s="54">
        <f>(VLOOKUP($A334,'The List'!$B1:$AH665,19,FALSE)-AVERAGE('The List'!T2:T665))/STDEV('The List'!T2:T665)</f>
        <v>-0.5057352967116352</v>
      </c>
      <c r="H334" s="54">
        <f>(VLOOKUP($A334,'The List'!$B1:$AH665,20,FALSE)-AVERAGE('The List'!U2:U665))/STDEV('The List'!U2:U665)</f>
        <v>-0.34966013489246434</v>
      </c>
      <c r="I334" s="54">
        <f>(VLOOKUP($A334,'The List'!$B1:$AH665,21,FALSE)-AVERAGE('The List'!V2:V665))/STDEV('The List'!V2:V665)</f>
        <v>-0.60992617813585881</v>
      </c>
      <c r="J334" s="54">
        <f>(VLOOKUP($A334,'The List'!$B1:$AH665,22,FALSE)-AVERAGE('The List'!W2:W665))/STDEV('The List'!W2:W665)</f>
        <v>0.32381550229841427</v>
      </c>
      <c r="K334" s="54">
        <f>(VLOOKUP($A334,'The List'!$B1:$AH665,23,FALSE)-AVERAGE('The List'!X2:X665))/STDEV('The List'!X2:X665)</f>
        <v>5.7028240282024009E-2</v>
      </c>
      <c r="L334" s="54">
        <f>(VLOOKUP($A334,'The List'!$B1:$AH665,24,FALSE)-AVERAGE('The List'!Y2:Y665))/STDEV('The List'!Y2:Y665)</f>
        <v>-0.34681202018729013</v>
      </c>
      <c r="M334" s="54">
        <f>(VLOOKUP($A334,'The List'!$B1:$AH665,25,FALSE)-AVERAGE('The List'!Z2:Z665))/STDEV('The List'!Z2:Z665)</f>
        <v>-0.51520109693195593</v>
      </c>
      <c r="N334" s="54">
        <f>(VLOOKUP($A334,'The List'!$B1:$AH665,26,FALSE)-AVERAGE('The List'!AA2:AA665))/STDEV('The List'!AA2:AA665)</f>
        <v>-0.67621167336754107</v>
      </c>
      <c r="O334" s="54">
        <f>(VLOOKUP($A334,'The List'!$B1:$AH665,27,FALSE)-AVERAGE('The List'!AB2:AB665))/STDEV('The List'!AB2:AB665)</f>
        <v>0.4609072136647519</v>
      </c>
      <c r="P334" s="54">
        <f>(VLOOKUP($A334,'The List'!$B1:$AH665,28,FALSE)-AVERAGE('The List'!AC2:AC665))/STDEV('The List'!AC2:AC665)</f>
        <v>-1.1490414067113792</v>
      </c>
      <c r="Q334" s="54">
        <f>(VLOOKUP($A334,'The List'!$B1:$AH665,29,FALSE)-AVERAGE('The List'!AD2:AD665))/STDEV('The List'!AD2:AD665)</f>
        <v>-0.30487999653150405</v>
      </c>
      <c r="R334" s="54">
        <f>(VLOOKUP($A334,'The List'!$B1:$AH665,30,FALSE)-AVERAGE('The List'!AE2:AE665))/STDEV('The List'!AE2:AE665)</f>
        <v>-0.16845804515744947</v>
      </c>
      <c r="S334" s="54">
        <f>(VLOOKUP($A334,'The List'!$B1:$AH665,31,FALSE)-AVERAGE('The List'!AF2:AF665))/STDEV('The List'!AF2:AF665)</f>
        <v>0.83252181788461466</v>
      </c>
      <c r="T334" s="54">
        <f>(VLOOKUP($A334,'The List'!$B1:$AH665,32,FALSE)-AVERAGE('The List'!AG2:AG665))/STDEV('The List'!AG2:AG665)</f>
        <v>1.0894730435981557</v>
      </c>
      <c r="U334" s="54">
        <f>(VLOOKUP($A334,'The List'!$B1:$AH665,33,FALSE)-AVERAGE('The List'!AH2:AH665))/STDEV('The List'!AH2:AH665)</f>
        <v>0.88029470250390152</v>
      </c>
      <c r="V334" s="54"/>
      <c r="W334" s="56"/>
      <c r="X334" s="54"/>
      <c r="Y334" s="54"/>
      <c r="Z334" s="54"/>
      <c r="AA334" s="54"/>
      <c r="AB334" s="54"/>
      <c r="AC334" s="54"/>
      <c r="AD334" s="54"/>
      <c r="AE334" s="54"/>
    </row>
    <row r="335" spans="1:31" ht="21.25" customHeight="1" x14ac:dyDescent="0.15">
      <c r="A335" s="9" t="s">
        <v>592</v>
      </c>
      <c r="B335" s="65" t="str">
        <f>VLOOKUP(A335,'Player Data'!A1:B667,2,FALSE)</f>
        <v>CHI</v>
      </c>
      <c r="C335" s="51">
        <f>((E335)*Settings!$C$12)+(F335*Settings!$C$2)+(G335*Settings!$C$3)+(H335*Settings!$C$4)+(I335*Settings!$C$5)+(K335*Settings!$C$9)+(N335*Settings!$C$6)+(J335*Settings!$C$8)+(O335*Settings!$C$7)+(P335*Settings!$C$14)+(Q335*Settings!$C$15)+(R335*Settings!$C$16)+(S335*Settings!$C$17)+(T335*Settings!$C$18)+(U335*Settings!$C$19)+(L335*Settings!$C$10)+(Settings!$C$11*M335)</f>
        <v>-3.1348809683294174</v>
      </c>
      <c r="D335" s="56">
        <f>IF(Settings!$E$12="YES",VLOOKUP(A335,'Player Data'!A1:E667,5,FALSE),82)</f>
        <v>79.48</v>
      </c>
      <c r="E335" s="54">
        <f>(VLOOKUP($A335,'The List'!$B1:$AH665,17,FALSE)-AVERAGE('The List'!R2:R665))/STDEV('The List'!R2:R665)</f>
        <v>-0.28759623774552834</v>
      </c>
      <c r="F335" s="54">
        <f>(VLOOKUP($A335,'The List'!$B1:$AH665,18,FALSE)-AVERAGE('The List'!S2:S665))/STDEV('The List'!S2:S665)</f>
        <v>1.4831247714612872E-3</v>
      </c>
      <c r="G335" s="54">
        <f>(VLOOKUP($A335,'The List'!$B1:$AH665,19,FALSE)-AVERAGE('The List'!T2:T665))/STDEV('The List'!T2:T665)</f>
        <v>-0.57985954562695319</v>
      </c>
      <c r="H335" s="54">
        <f>(VLOOKUP($A335,'The List'!$B1:$AH665,20,FALSE)-AVERAGE('The List'!U2:U665))/STDEV('The List'!U2:U665)</f>
        <v>-0.3594512315357834</v>
      </c>
      <c r="I335" s="54">
        <f>(VLOOKUP($A335,'The List'!$B1:$AH665,21,FALSE)-AVERAGE('The List'!V2:V665))/STDEV('The List'!V2:V665)</f>
        <v>-0.34054073728308693</v>
      </c>
      <c r="J335" s="54">
        <f>(VLOOKUP($A335,'The List'!$B1:$AH665,22,FALSE)-AVERAGE('The List'!W2:W665))/STDEV('The List'!W2:W665)</f>
        <v>-0.62034083976490673</v>
      </c>
      <c r="K335" s="54">
        <f>(VLOOKUP($A335,'The List'!$B1:$AH665,23,FALSE)-AVERAGE('The List'!X2:X665))/STDEV('The List'!X2:X665)</f>
        <v>-0.76099406653925605</v>
      </c>
      <c r="L335" s="54">
        <f>(VLOOKUP($A335,'The List'!$B1:$AH665,24,FALSE)-AVERAGE('The List'!Y2:Y665))/STDEV('The List'!Y2:Y665)</f>
        <v>-0.42113288506979668</v>
      </c>
      <c r="M335" s="54">
        <f>(VLOOKUP($A335,'The List'!$B1:$AH665,25,FALSE)-AVERAGE('The List'!Z2:Z665))/STDEV('The List'!Z2:Z665)</f>
        <v>0.7596090355677636</v>
      </c>
      <c r="N335" s="54">
        <f>(VLOOKUP($A335,'The List'!$B1:$AH665,26,FALSE)-AVERAGE('The List'!AA2:AA665))/STDEV('The List'!AA2:AA665)</f>
        <v>0.10618658969013195</v>
      </c>
      <c r="O335" s="54">
        <f>(VLOOKUP($A335,'The List'!$B1:$AH665,27,FALSE)-AVERAGE('The List'!AB2:AB665))/STDEV('The List'!AB2:AB665)</f>
        <v>0.65661005298380815</v>
      </c>
      <c r="P335" s="54">
        <f>(VLOOKUP($A335,'The List'!$B1:$AH665,28,FALSE)-AVERAGE('The List'!AC2:AC665))/STDEV('The List'!AC2:AC665)</f>
        <v>-1.5611563333417142</v>
      </c>
      <c r="Q335" s="54">
        <f>(VLOOKUP($A335,'The List'!$B1:$AH665,29,FALSE)-AVERAGE('The List'!AD2:AD665))/STDEV('The List'!AD2:AD665)</f>
        <v>-0.1757079398911281</v>
      </c>
      <c r="R335" s="54">
        <f>(VLOOKUP($A335,'The List'!$B1:$AH665,30,FALSE)-AVERAGE('The List'!AE2:AE665))/STDEV('The List'!AE2:AE665)</f>
        <v>-0.1676330563420092</v>
      </c>
      <c r="S335" s="54">
        <f>(VLOOKUP($A335,'The List'!$B1:$AH665,31,FALSE)-AVERAGE('The List'!AF2:AF665))/STDEV('The List'!AF2:AF665)</f>
        <v>1.8019143525084296</v>
      </c>
      <c r="T335" s="54">
        <f>(VLOOKUP($A335,'The List'!$B1:$AH665,32,FALSE)-AVERAGE('The List'!AG2:AG665))/STDEV('The List'!AG2:AG665)</f>
        <v>2.112372659938734</v>
      </c>
      <c r="U335" s="54">
        <f>(VLOOKUP($A335,'The List'!$B1:$AH665,33,FALSE)-AVERAGE('The List'!AH2:AH665))/STDEV('The List'!AH2:AH665)</f>
        <v>0.94420889352908455</v>
      </c>
      <c r="V335" s="54"/>
      <c r="W335" s="56"/>
      <c r="X335" s="54"/>
      <c r="Y335" s="54"/>
      <c r="Z335" s="54"/>
      <c r="AA335" s="54"/>
      <c r="AB335" s="54"/>
      <c r="AC335" s="54"/>
      <c r="AD335" s="54"/>
      <c r="AE335" s="54"/>
    </row>
    <row r="336" spans="1:31" ht="21.25" customHeight="1" x14ac:dyDescent="0.15">
      <c r="A336" s="9" t="s">
        <v>537</v>
      </c>
      <c r="B336" s="65" t="str">
        <f>VLOOKUP(A336,'Player Data'!A1:B667,2,FALSE)</f>
        <v>N.J</v>
      </c>
      <c r="C336" s="51">
        <f>((E336)*Settings!$C$12)+(F336*Settings!$C$2)+(G336*Settings!$C$3)+(H336*Settings!$C$4)+(I336*Settings!$C$5)+(K336*Settings!$C$9)+(N336*Settings!$C$6)+(J336*Settings!$C$8)+(O336*Settings!$C$7)+(P336*Settings!$C$14)+(Q336*Settings!$C$15)+(R336*Settings!$C$16)+(S336*Settings!$C$17)+(T336*Settings!$C$18)+(U336*Settings!$C$19)+(L336*Settings!$C$10)+(Settings!$C$11*M336)</f>
        <v>-0.46973196608860435</v>
      </c>
      <c r="D336" s="56">
        <f>IF(Settings!$E$12="YES",VLOOKUP(A336,'Player Data'!A1:E667,5,FALSE),82)</f>
        <v>80.290000000000006</v>
      </c>
      <c r="E336" s="54">
        <f>(VLOOKUP($A336,'The List'!$B1:$AH665,17,FALSE)-AVERAGE('The List'!R2:R665))/STDEV('The List'!R2:R665)</f>
        <v>-0.3464974164983417</v>
      </c>
      <c r="F336" s="54">
        <f>(VLOOKUP($A336,'The List'!$B1:$AH665,18,FALSE)-AVERAGE('The List'!S2:S665))/STDEV('The List'!S2:S665)</f>
        <v>-0.19211900295048193</v>
      </c>
      <c r="G336" s="54">
        <f>(VLOOKUP($A336,'The List'!$B1:$AH665,19,FALSE)-AVERAGE('The List'!T2:T665))/STDEV('The List'!T2:T665)</f>
        <v>-0.42285638208999726</v>
      </c>
      <c r="H336" s="54">
        <f>(VLOOKUP($A336,'The List'!$B1:$AH665,20,FALSE)-AVERAGE('The List'!U2:U665))/STDEV('The List'!U2:U665)</f>
        <v>-0.34994480868500216</v>
      </c>
      <c r="I336" s="54">
        <f>(VLOOKUP($A336,'The List'!$B1:$AH665,21,FALSE)-AVERAGE('The List'!V2:V665))/STDEV('The List'!V2:V665)</f>
        <v>0.19398786428378753</v>
      </c>
      <c r="J336" s="54">
        <f>(VLOOKUP($A336,'The List'!$B1:$AH665,22,FALSE)-AVERAGE('The List'!W2:W665))/STDEV('The List'!W2:W665)</f>
        <v>-0.42800844066398458</v>
      </c>
      <c r="K336" s="54">
        <f>(VLOOKUP($A336,'The List'!$B1:$AH665,23,FALSE)-AVERAGE('The List'!X2:X665))/STDEV('The List'!X2:X665)</f>
        <v>-0.48706798206371987</v>
      </c>
      <c r="L336" s="54">
        <f>(VLOOKUP($A336,'The List'!$B1:$AH665,24,FALSE)-AVERAGE('The List'!Y2:Y665))/STDEV('The List'!Y2:Y665)</f>
        <v>1.3397199801126947</v>
      </c>
      <c r="M336" s="54">
        <f>(VLOOKUP($A336,'The List'!$B1:$AH665,25,FALSE)-AVERAGE('The List'!Z2:Z665))/STDEV('The List'!Z2:Z665)</f>
        <v>1.3547192896363107</v>
      </c>
      <c r="N336" s="54">
        <f>(VLOOKUP($A336,'The List'!$B1:$AH665,26,FALSE)-AVERAGE('The List'!AA2:AA665))/STDEV('The List'!AA2:AA665)</f>
        <v>-0.39209986609130815</v>
      </c>
      <c r="O336" s="54">
        <f>(VLOOKUP($A336,'The List'!$B1:$AH665,27,FALSE)-AVERAGE('The List'!AB2:AB665))/STDEV('The List'!AB2:AB665)</f>
        <v>-8.9706603501657087E-2</v>
      </c>
      <c r="P336" s="54">
        <f>(VLOOKUP($A336,'The List'!$B1:$AH665,28,FALSE)-AVERAGE('The List'!AC2:AC665))/STDEV('The List'!AC2:AC665)</f>
        <v>0.83042340282311544</v>
      </c>
      <c r="Q336" s="54">
        <f>(VLOOKUP($A336,'The List'!$B1:$AH665,29,FALSE)-AVERAGE('The List'!AD2:AD665))/STDEV('The List'!AD2:AD665)</f>
        <v>0.97594813001983427</v>
      </c>
      <c r="R336" s="54">
        <f>(VLOOKUP($A336,'The List'!$B1:$AH665,30,FALSE)-AVERAGE('The List'!AE2:AE665))/STDEV('The List'!AE2:AE665)</f>
        <v>-0.16969266900492569</v>
      </c>
      <c r="S336" s="54">
        <f>(VLOOKUP($A336,'The List'!$B1:$AH665,31,FALSE)-AVERAGE('The List'!AF2:AF665))/STDEV('The List'!AF2:AF665)</f>
        <v>1.7568220444546891</v>
      </c>
      <c r="T336" s="54">
        <f>(VLOOKUP($A336,'The List'!$B1:$AH665,32,FALSE)-AVERAGE('The List'!AG2:AG665))/STDEV('The List'!AG2:AG665)</f>
        <v>1.4524212766935283</v>
      </c>
      <c r="U336" s="54">
        <f>(VLOOKUP($A336,'The List'!$B1:$AH665,33,FALSE)-AVERAGE('The List'!AH2:AH665))/STDEV('The List'!AH2:AH665)</f>
        <v>1.2344614704087229</v>
      </c>
      <c r="V336" s="54"/>
      <c r="W336" s="64"/>
      <c r="X336" s="56"/>
      <c r="Y336" s="56"/>
      <c r="Z336" s="56"/>
      <c r="AA336" s="56"/>
      <c r="AB336" s="56"/>
      <c r="AC336" s="59"/>
      <c r="AD336" s="60"/>
      <c r="AE336" s="54"/>
    </row>
    <row r="337" spans="1:31" ht="21.25" customHeight="1" x14ac:dyDescent="0.15">
      <c r="A337" s="9" t="s">
        <v>721</v>
      </c>
      <c r="B337" s="65" t="str">
        <f>VLOOKUP(A337,'Player Data'!A1:B667,2,FALSE)</f>
        <v>S.J</v>
      </c>
      <c r="C337" s="51">
        <f>((E337)*Settings!$C$12)+(F337*Settings!$C$2)+(G337*Settings!$C$3)+(H337*Settings!$C$4)+(I337*Settings!$C$5)+(K337*Settings!$C$9)+(N337*Settings!$C$6)+(J337*Settings!$C$8)+(O337*Settings!$C$7)+(P337*Settings!$C$14)+(Q337*Settings!$C$15)+(R337*Settings!$C$16)+(S337*Settings!$C$17)+(T337*Settings!$C$18)+(U337*Settings!$C$19)+(L337*Settings!$C$10)+(Settings!$C$11*M337)</f>
        <v>-4.6588116883011477</v>
      </c>
      <c r="D337" s="56">
        <f>IF(Settings!$E$12="YES",VLOOKUP(A337,'Player Data'!A1:E667,5,FALSE),82)</f>
        <v>59.204999999999998</v>
      </c>
      <c r="E337" s="54">
        <f>(VLOOKUP($A337,'The List'!$B1:$AH665,17,FALSE)-AVERAGE('The List'!R2:R665))/STDEV('The List'!R2:R665)</f>
        <v>-1.0703449721045999</v>
      </c>
      <c r="F337" s="54">
        <f>(VLOOKUP($A337,'The List'!$B1:$AH665,18,FALSE)-AVERAGE('The List'!S2:S665))/STDEV('The List'!S2:S665)</f>
        <v>-0.46466354006743538</v>
      </c>
      <c r="G337" s="54">
        <f>(VLOOKUP($A337,'The List'!$B1:$AH665,19,FALSE)-AVERAGE('The List'!T2:T665))/STDEV('The List'!T2:T665)</f>
        <v>-0.77402111558447972</v>
      </c>
      <c r="H337" s="54">
        <f>(VLOOKUP($A337,'The List'!$B1:$AH665,20,FALSE)-AVERAGE('The List'!U2:U665))/STDEV('The List'!U2:U665)</f>
        <v>-0.69192230071716643</v>
      </c>
      <c r="I337" s="54">
        <f>(VLOOKUP($A337,'The List'!$B1:$AH665,21,FALSE)-AVERAGE('The List'!V2:V665))/STDEV('The List'!V2:V665)</f>
        <v>-0.76138665203855072</v>
      </c>
      <c r="J337" s="54">
        <f>(VLOOKUP($A337,'The List'!$B1:$AH665,22,FALSE)-AVERAGE('The List'!W2:W665))/STDEV('The List'!W2:W665)</f>
        <v>0.18786286572039224</v>
      </c>
      <c r="K337" s="54">
        <f>(VLOOKUP($A337,'The List'!$B1:$AH665,23,FALSE)-AVERAGE('The List'!X2:X665))/STDEV('The List'!X2:X665)</f>
        <v>-0.11700248550143121</v>
      </c>
      <c r="L337" s="54">
        <f>(VLOOKUP($A337,'The List'!$B1:$AH665,24,FALSE)-AVERAGE('The List'!Y2:Y665))/STDEV('The List'!Y2:Y665)</f>
        <v>-0.57762036109983361</v>
      </c>
      <c r="M337" s="54">
        <f>(VLOOKUP($A337,'The List'!$B1:$AH665,25,FALSE)-AVERAGE('The List'!Z2:Z665))/STDEV('The List'!Z2:Z665)</f>
        <v>-0.7514326216509285</v>
      </c>
      <c r="N337" s="54">
        <f>(VLOOKUP($A337,'The List'!$B1:$AH665,26,FALSE)-AVERAGE('The List'!AA2:AA665))/STDEV('The List'!AA2:AA665)</f>
        <v>-0.77029297489594473</v>
      </c>
      <c r="O337" s="54">
        <f>(VLOOKUP($A337,'The List'!$B1:$AH665,27,FALSE)-AVERAGE('The List'!AB2:AB665))/STDEV('The List'!AB2:AB665)</f>
        <v>-1.0769281680741642</v>
      </c>
      <c r="P337" s="54">
        <f>(VLOOKUP($A337,'The List'!$B1:$AH665,28,FALSE)-AVERAGE('The List'!AC2:AC665))/STDEV('The List'!AC2:AC665)</f>
        <v>-1.7714449202133054</v>
      </c>
      <c r="Q337" s="54">
        <f>(VLOOKUP($A337,'The List'!$B1:$AH665,29,FALSE)-AVERAGE('The List'!AD2:AD665))/STDEV('The List'!AD2:AD665)</f>
        <v>-0.76558176600792938</v>
      </c>
      <c r="R337" s="54">
        <f>(VLOOKUP($A337,'The List'!$B1:$AH665,30,FALSE)-AVERAGE('The List'!AE2:AE665))/STDEV('The List'!AE2:AE665)</f>
        <v>-0.67936191235390064</v>
      </c>
      <c r="S337" s="54">
        <f>(VLOOKUP($A337,'The List'!$B1:$AH665,31,FALSE)-AVERAGE('The List'!AF2:AF665))/STDEV('The List'!AF2:AF665)</f>
        <v>-2.1621935228743127E-2</v>
      </c>
      <c r="T337" s="54">
        <f>(VLOOKUP($A337,'The List'!$B1:$AH665,32,FALSE)-AVERAGE('The List'!AG2:AG665))/STDEV('The List'!AG2:AG665)</f>
        <v>3.763878105180489E-2</v>
      </c>
      <c r="U337" s="54">
        <f>(VLOOKUP($A337,'The List'!$B1:$AH665,33,FALSE)-AVERAGE('The List'!AH2:AH665))/STDEV('The List'!AH2:AH665)</f>
        <v>0.89740276219285819</v>
      </c>
      <c r="V337" s="54"/>
      <c r="W337" s="64"/>
      <c r="X337" s="56"/>
      <c r="Y337" s="56"/>
      <c r="Z337" s="56"/>
      <c r="AA337" s="56"/>
      <c r="AB337" s="56"/>
      <c r="AC337" s="59"/>
      <c r="AD337" s="60"/>
      <c r="AE337" s="54"/>
    </row>
    <row r="338" spans="1:31" ht="21.25" customHeight="1" x14ac:dyDescent="0.15">
      <c r="A338" s="9" t="s">
        <v>571</v>
      </c>
      <c r="B338" s="65" t="str">
        <f>VLOOKUP(A338,'Player Data'!A1:B667,2,FALSE)</f>
        <v>MTL</v>
      </c>
      <c r="C338" s="51">
        <f>((E338)*Settings!$C$12)+(F338*Settings!$C$2)+(G338*Settings!$C$3)+(H338*Settings!$C$4)+(I338*Settings!$C$5)+(K338*Settings!$C$9)+(N338*Settings!$C$6)+(J338*Settings!$C$8)+(O338*Settings!$C$7)+(P338*Settings!$C$14)+(Q338*Settings!$C$15)+(R338*Settings!$C$16)+(S338*Settings!$C$17)+(T338*Settings!$C$18)+(U338*Settings!$C$19)+(L338*Settings!$C$10)+(Settings!$C$11*M338)</f>
        <v>-2.783199358578833</v>
      </c>
      <c r="D338" s="56">
        <f>IF(Settings!$E$12="YES",VLOOKUP(A338,'Player Data'!A1:E667,5,FALSE),82)</f>
        <v>72.355000000000004</v>
      </c>
      <c r="E338" s="54">
        <f>(VLOOKUP($A338,'The List'!$B1:$AH665,17,FALSE)-AVERAGE('The List'!R2:R665))/STDEV('The List'!R2:R665)</f>
        <v>-1.0155521819131992</v>
      </c>
      <c r="F338" s="54">
        <f>(VLOOKUP($A338,'The List'!$B1:$AH665,18,FALSE)-AVERAGE('The List'!S2:S665))/STDEV('The List'!S2:S665)</f>
        <v>-9.0229915282514103E-2</v>
      </c>
      <c r="G338" s="54">
        <f>(VLOOKUP($A338,'The List'!$B1:$AH665,19,FALSE)-AVERAGE('The List'!T2:T665))/STDEV('The List'!T2:T665)</f>
        <v>-0.7069070591659351</v>
      </c>
      <c r="H338" s="54">
        <f>(VLOOKUP($A338,'The List'!$B1:$AH665,20,FALSE)-AVERAGE('The List'!U2:U665))/STDEV('The List'!U2:U665)</f>
        <v>-0.4800428172608312</v>
      </c>
      <c r="I338" s="54">
        <f>(VLOOKUP($A338,'The List'!$B1:$AH665,21,FALSE)-AVERAGE('The List'!V2:V665))/STDEV('The List'!V2:V665)</f>
        <v>8.984785453600426E-2</v>
      </c>
      <c r="J338" s="54">
        <f>(VLOOKUP($A338,'The List'!$B1:$AH665,22,FALSE)-AVERAGE('The List'!W2:W665))/STDEV('The List'!W2:W665)</f>
        <v>-0.281336562068144</v>
      </c>
      <c r="K338" s="54">
        <f>(VLOOKUP($A338,'The List'!$B1:$AH665,23,FALSE)-AVERAGE('The List'!X2:X665))/STDEV('The List'!X2:X665)</f>
        <v>-0.35495885924391612</v>
      </c>
      <c r="L338" s="54">
        <f>(VLOOKUP($A338,'The List'!$B1:$AH665,24,FALSE)-AVERAGE('The List'!Y2:Y665))/STDEV('The List'!Y2:Y665)</f>
        <v>-0.57705338888232993</v>
      </c>
      <c r="M338" s="54">
        <f>(VLOOKUP($A338,'The List'!$B1:$AH665,25,FALSE)-AVERAGE('The List'!Z2:Z665))/STDEV('The List'!Z2:Z665)</f>
        <v>-0.75082438486895087</v>
      </c>
      <c r="N338" s="54">
        <f>(VLOOKUP($A338,'The List'!$B1:$AH665,26,FALSE)-AVERAGE('The List'!AA2:AA665))/STDEV('The List'!AA2:AA665)</f>
        <v>-0.82440915085372657</v>
      </c>
      <c r="O338" s="54">
        <f>(VLOOKUP($A338,'The List'!$B1:$AH665,27,FALSE)-AVERAGE('The List'!AB2:AB665))/STDEV('The List'!AB2:AB665)</f>
        <v>-0.72276350748969143</v>
      </c>
      <c r="P338" s="54">
        <f>(VLOOKUP($A338,'The List'!$B1:$AH665,28,FALSE)-AVERAGE('The List'!AC2:AC665))/STDEV('The List'!AC2:AC665)</f>
        <v>-0.89654222856874533</v>
      </c>
      <c r="Q338" s="54">
        <f>(VLOOKUP($A338,'The List'!$B1:$AH665,29,FALSE)-AVERAGE('The List'!AD2:AD665))/STDEV('The List'!AD2:AD665)</f>
        <v>1.1163223856582603</v>
      </c>
      <c r="R338" s="54">
        <f>(VLOOKUP($A338,'The List'!$B1:$AH665,30,FALSE)-AVERAGE('The List'!AE2:AE665))/STDEV('The List'!AE2:AE665)</f>
        <v>-0.3501125820409291</v>
      </c>
      <c r="S338" s="54">
        <f>(VLOOKUP($A338,'The List'!$B1:$AH665,31,FALSE)-AVERAGE('The List'!AF2:AF665))/STDEV('The List'!AF2:AF665)</f>
        <v>-0.51445723009765776</v>
      </c>
      <c r="T338" s="54">
        <f>(VLOOKUP($A338,'The List'!$B1:$AH665,32,FALSE)-AVERAGE('The List'!AG2:AG665))/STDEV('The List'!AG2:AG665)</f>
        <v>-0.52640357220282885</v>
      </c>
      <c r="U338" s="54">
        <f>(VLOOKUP($A338,'The List'!$B1:$AH665,33,FALSE)-AVERAGE('The List'!AH2:AH665))/STDEV('The List'!AH2:AH665)</f>
        <v>0.53118861757292801</v>
      </c>
      <c r="V338" s="54"/>
      <c r="W338" s="64"/>
      <c r="X338" s="56"/>
      <c r="Y338" s="56"/>
      <c r="Z338" s="56"/>
      <c r="AA338" s="56"/>
      <c r="AB338" s="56"/>
      <c r="AC338" s="59"/>
      <c r="AD338" s="60"/>
      <c r="AE338" s="54"/>
    </row>
    <row r="339" spans="1:31" ht="21.25" customHeight="1" x14ac:dyDescent="0.15">
      <c r="A339" s="9" t="s">
        <v>586</v>
      </c>
      <c r="B339" s="65" t="str">
        <f>VLOOKUP(A339,'Player Data'!A1:B667,2,FALSE)</f>
        <v>CAR</v>
      </c>
      <c r="C339" s="51">
        <f>((E339)*Settings!$C$12)+(F339*Settings!$C$2)+(G339*Settings!$C$3)+(H339*Settings!$C$4)+(I339*Settings!$C$5)+(K339*Settings!$C$9)+(N339*Settings!$C$6)+(J339*Settings!$C$8)+(O339*Settings!$C$7)+(P339*Settings!$C$14)+(Q339*Settings!$C$15)+(R339*Settings!$C$16)+(S339*Settings!$C$17)+(T339*Settings!$C$18)+(U339*Settings!$C$19)+(L339*Settings!$C$10)+(Settings!$C$11*M339)</f>
        <v>-0.85585109372910906</v>
      </c>
      <c r="D339" s="56">
        <f>IF(Settings!$E$12="YES",VLOOKUP(A339,'Player Data'!A1:E667,5,FALSE),82)</f>
        <v>79.73</v>
      </c>
      <c r="E339" s="54">
        <f>(VLOOKUP($A339,'The List'!$B1:$AH665,17,FALSE)-AVERAGE('The List'!R2:R665))/STDEV('The List'!R2:R665)</f>
        <v>-0.61816462561459018</v>
      </c>
      <c r="F339" s="54">
        <f>(VLOOKUP($A339,'The List'!$B1:$AH665,18,FALSE)-AVERAGE('The List'!S2:S665))/STDEV('The List'!S2:S665)</f>
        <v>-0.18995027697058037</v>
      </c>
      <c r="G339" s="54">
        <f>(VLOOKUP($A339,'The List'!$B1:$AH665,19,FALSE)-AVERAGE('The List'!T2:T665))/STDEV('The List'!T2:T665)</f>
        <v>-0.44417541304302793</v>
      </c>
      <c r="H339" s="54">
        <f>(VLOOKUP($A339,'The List'!$B1:$AH665,20,FALSE)-AVERAGE('The List'!U2:U665))/STDEV('The List'!U2:U665)</f>
        <v>-0.36219933659005177</v>
      </c>
      <c r="I339" s="54">
        <f>(VLOOKUP($A339,'The List'!$B1:$AH665,21,FALSE)-AVERAGE('The List'!V2:V665))/STDEV('The List'!V2:V665)</f>
        <v>0.10672156848606873</v>
      </c>
      <c r="J339" s="54">
        <f>(VLOOKUP($A339,'The List'!$B1:$AH665,22,FALSE)-AVERAGE('The List'!W2:W665))/STDEV('The List'!W2:W665)</f>
        <v>-0.73092464255133416</v>
      </c>
      <c r="K339" s="54">
        <f>(VLOOKUP($A339,'The List'!$B1:$AH665,23,FALSE)-AVERAGE('The List'!X2:X665))/STDEV('The List'!X2:X665)</f>
        <v>-0.81588321852727763</v>
      </c>
      <c r="L339" s="54">
        <f>(VLOOKUP($A339,'The List'!$B1:$AH665,24,FALSE)-AVERAGE('The List'!Y2:Y665))/STDEV('The List'!Y2:Y665)</f>
        <v>0.33197078974169447</v>
      </c>
      <c r="M339" s="54">
        <f>(VLOOKUP($A339,'The List'!$B1:$AH665,25,FALSE)-AVERAGE('The List'!Z2:Z665))/STDEV('The List'!Z2:Z665)</f>
        <v>-0.11276611592246383</v>
      </c>
      <c r="N339" s="54">
        <f>(VLOOKUP($A339,'The List'!$B1:$AH665,26,FALSE)-AVERAGE('The List'!AA2:AA665))/STDEV('The List'!AA2:AA665)</f>
        <v>-0.74961327609964867</v>
      </c>
      <c r="O339" s="54">
        <f>(VLOOKUP($A339,'The List'!$B1:$AH665,27,FALSE)-AVERAGE('The List'!AB2:AB665))/STDEV('The List'!AB2:AB665)</f>
        <v>-0.48060566543868011</v>
      </c>
      <c r="P339" s="54">
        <f>(VLOOKUP($A339,'The List'!$B1:$AH665,28,FALSE)-AVERAGE('The List'!AC2:AC665))/STDEV('The List'!AC2:AC665)</f>
        <v>1.2370495224253568</v>
      </c>
      <c r="Q339" s="54">
        <f>(VLOOKUP($A339,'The List'!$B1:$AH665,29,FALSE)-AVERAGE('The List'!AD2:AD665))/STDEV('The List'!AD2:AD665)</f>
        <v>0.55609582477458608</v>
      </c>
      <c r="R339" s="54">
        <f>(VLOOKUP($A339,'The List'!$B1:$AH665,30,FALSE)-AVERAGE('The List'!AE2:AE665))/STDEV('The List'!AE2:AE665)</f>
        <v>-3.1157064190885458E-3</v>
      </c>
      <c r="S339" s="54">
        <f>(VLOOKUP($A339,'The List'!$B1:$AH665,31,FALSE)-AVERAGE('The List'!AF2:AF665))/STDEV('The List'!AF2:AF665)</f>
        <v>-0.37343996108671323</v>
      </c>
      <c r="T339" s="54">
        <f>(VLOOKUP($A339,'The List'!$B1:$AH665,32,FALSE)-AVERAGE('The List'!AG2:AG665))/STDEV('The List'!AG2:AG665)</f>
        <v>-0.39053426918718209</v>
      </c>
      <c r="U339" s="54">
        <f>(VLOOKUP($A339,'The List'!$B1:$AH665,33,FALSE)-AVERAGE('The List'!AH2:AH665))/STDEV('The List'!AH2:AH665)</f>
        <v>0.92378047870921121</v>
      </c>
      <c r="V339" s="54"/>
      <c r="W339" s="64"/>
      <c r="X339" s="56"/>
      <c r="Y339" s="56"/>
      <c r="Z339" s="56"/>
      <c r="AA339" s="56"/>
      <c r="AB339" s="56"/>
      <c r="AC339" s="59"/>
      <c r="AD339" s="60"/>
      <c r="AE339" s="54"/>
    </row>
    <row r="340" spans="1:31" ht="21.25" customHeight="1" x14ac:dyDescent="0.15">
      <c r="A340" s="9" t="s">
        <v>605</v>
      </c>
      <c r="B340" s="65" t="str">
        <f>VLOOKUP(A340,'Player Data'!A1:B667,2,FALSE)</f>
        <v>WPG</v>
      </c>
      <c r="C340" s="51">
        <f>((E340)*Settings!$C$12)+(F340*Settings!$C$2)+(G340*Settings!$C$3)+(H340*Settings!$C$4)+(I340*Settings!$C$5)+(K340*Settings!$C$9)+(N340*Settings!$C$6)+(J340*Settings!$C$8)+(O340*Settings!$C$7)+(P340*Settings!$C$14)+(Q340*Settings!$C$15)+(R340*Settings!$C$16)+(S340*Settings!$C$17)+(T340*Settings!$C$18)+(U340*Settings!$C$19)+(L340*Settings!$C$10)+(Settings!$C$11*M340)</f>
        <v>-2.287694077212524</v>
      </c>
      <c r="D340" s="56">
        <f>IF(Settings!$E$12="YES",VLOOKUP(A340,'Player Data'!A1:E667,5,FALSE),82)</f>
        <v>74.992500000000007</v>
      </c>
      <c r="E340" s="54">
        <f>(VLOOKUP($A340,'The List'!$B1:$AH665,17,FALSE)-AVERAGE('The List'!R2:R665))/STDEV('The List'!R2:R665)</f>
        <v>-0.56326221286048583</v>
      </c>
      <c r="F340" s="54">
        <f>(VLOOKUP($A340,'The List'!$B1:$AH665,18,FALSE)-AVERAGE('The List'!S2:S665))/STDEV('The List'!S2:S665)</f>
        <v>-0.3839217720679175</v>
      </c>
      <c r="G340" s="54">
        <f>(VLOOKUP($A340,'The List'!$B1:$AH665,19,FALSE)-AVERAGE('The List'!T2:T665))/STDEV('The List'!T2:T665)</f>
        <v>-0.42650541135442316</v>
      </c>
      <c r="H340" s="54">
        <f>(VLOOKUP($A340,'The List'!$B1:$AH665,20,FALSE)-AVERAGE('The List'!U2:U665))/STDEV('The List'!U2:U665)</f>
        <v>-0.43939453671756712</v>
      </c>
      <c r="I340" s="54">
        <f>(VLOOKUP($A340,'The List'!$B1:$AH665,21,FALSE)-AVERAGE('The List'!V2:V665))/STDEV('The List'!V2:V665)</f>
        <v>-0.48113367876691704</v>
      </c>
      <c r="J340" s="54">
        <f>(VLOOKUP($A340,'The List'!$B1:$AH665,22,FALSE)-AVERAGE('The List'!W2:W665))/STDEV('The List'!W2:W665)</f>
        <v>-0.6620729324186907</v>
      </c>
      <c r="K340" s="54">
        <f>(VLOOKUP($A340,'The List'!$B1:$AH665,23,FALSE)-AVERAGE('The List'!X2:X665))/STDEV('The List'!X2:X665)</f>
        <v>-0.78310881964361101</v>
      </c>
      <c r="L340" s="54">
        <f>(VLOOKUP($A340,'The List'!$B1:$AH665,24,FALSE)-AVERAGE('The List'!Y2:Y665))/STDEV('The List'!Y2:Y665)</f>
        <v>0.61701517204075962</v>
      </c>
      <c r="M340" s="54">
        <f>(VLOOKUP($A340,'The List'!$B1:$AH665,25,FALSE)-AVERAGE('The List'!Z2:Z665))/STDEV('The List'!Z2:Z665)</f>
        <v>0.12553705281158095</v>
      </c>
      <c r="N340" s="54">
        <f>(VLOOKUP($A340,'The List'!$B1:$AH665,26,FALSE)-AVERAGE('The List'!AA2:AA665))/STDEV('The List'!AA2:AA665)</f>
        <v>-0.71957758659242521</v>
      </c>
      <c r="O340" s="54">
        <f>(VLOOKUP($A340,'The List'!$B1:$AH665,27,FALSE)-AVERAGE('The List'!AB2:AB665))/STDEV('The List'!AB2:AB665)</f>
        <v>-9.6082831544941724E-2</v>
      </c>
      <c r="P340" s="54">
        <f>(VLOOKUP($A340,'The List'!$B1:$AH665,28,FALSE)-AVERAGE('The List'!AC2:AC665))/STDEV('The List'!AC2:AC665)</f>
        <v>0.50655319121276976</v>
      </c>
      <c r="Q340" s="54">
        <f>(VLOOKUP($A340,'The List'!$B1:$AH665,29,FALSE)-AVERAGE('The List'!AD2:AD665))/STDEV('The List'!AD2:AD665)</f>
        <v>-0.75895226354169376</v>
      </c>
      <c r="R340" s="54">
        <f>(VLOOKUP($A340,'The List'!$B1:$AH665,30,FALSE)-AVERAGE('The List'!AE2:AE665))/STDEV('The List'!AE2:AE665)</f>
        <v>-0.26188559374209769</v>
      </c>
      <c r="S340" s="54">
        <f>(VLOOKUP($A340,'The List'!$B1:$AH665,31,FALSE)-AVERAGE('The List'!AF2:AF665))/STDEV('The List'!AF2:AF665)</f>
        <v>-0.54304064338101787</v>
      </c>
      <c r="T340" s="54">
        <f>(VLOOKUP($A340,'The List'!$B1:$AH665,32,FALSE)-AVERAGE('The List'!AG2:AG665))/STDEV('The List'!AG2:AG665)</f>
        <v>-0.57758599609933459</v>
      </c>
      <c r="U340" s="54">
        <f>(VLOOKUP($A340,'The List'!$B1:$AH665,33,FALSE)-AVERAGE('The List'!AH2:AH665))/STDEV('The List'!AH2:AH665)</f>
        <v>0.60509943673055222</v>
      </c>
      <c r="V340" s="54"/>
      <c r="W340" s="56"/>
      <c r="X340" s="54"/>
      <c r="Y340" s="54"/>
      <c r="Z340" s="54"/>
      <c r="AA340" s="54"/>
      <c r="AB340" s="54"/>
      <c r="AC340" s="54"/>
      <c r="AD340" s="54"/>
      <c r="AE340" s="54"/>
    </row>
    <row r="341" spans="1:31" ht="21.25" customHeight="1" x14ac:dyDescent="0.15">
      <c r="A341" s="9" t="s">
        <v>321</v>
      </c>
      <c r="B341" s="65" t="str">
        <f>VLOOKUP(A341,'Player Data'!A1:B667,2,FALSE)</f>
        <v>CBJ</v>
      </c>
      <c r="C341" s="51">
        <f>((E341)*Settings!$C$12)+(F341*Settings!$C$2)+(G341*Settings!$C$3)+(H341*Settings!$C$4)+(I341*Settings!$C$5)+(K341*Settings!$C$9)+(N341*Settings!$C$6)+(J341*Settings!$C$8)+(O341*Settings!$C$7)+(P341*Settings!$C$14)+(Q341*Settings!$C$15)+(R341*Settings!$C$16)+(S341*Settings!$C$17)+(T341*Settings!$C$18)+(U341*Settings!$C$19)+(L341*Settings!$C$10)+(Settings!$C$11*M341)</f>
        <v>-1.2929991049403491</v>
      </c>
      <c r="D341" s="56">
        <f>IF(Settings!$E$12="YES",VLOOKUP(A341,'Player Data'!A1:E667,5,FALSE),82)</f>
        <v>81.73</v>
      </c>
      <c r="E341" s="54">
        <f>(VLOOKUP($A341,'The List'!$B1:$AH665,17,FALSE)-AVERAGE('The List'!R2:R665))/STDEV('The List'!R2:R665)</f>
        <v>1.4595933727827444</v>
      </c>
      <c r="F341" s="54">
        <f>(VLOOKUP($A341,'The List'!$B1:$AH665,18,FALSE)-AVERAGE('The List'!S2:S665))/STDEV('The List'!S2:S665)</f>
        <v>-0.73917344873177193</v>
      </c>
      <c r="G341" s="54">
        <f>(VLOOKUP($A341,'The List'!$B1:$AH665,19,FALSE)-AVERAGE('The List'!T2:T665))/STDEV('The List'!T2:T665)</f>
        <v>-2.3000565230541017E-3</v>
      </c>
      <c r="H341" s="54">
        <f>(VLOOKUP($A341,'The List'!$B1:$AH665,20,FALSE)-AVERAGE('The List'!U2:U665))/STDEV('The List'!U2:U665)</f>
        <v>-0.33741793261161379</v>
      </c>
      <c r="I341" s="54">
        <f>(VLOOKUP($A341,'The List'!$B1:$AH665,21,FALSE)-AVERAGE('The List'!V2:V665))/STDEV('The List'!V2:V665)</f>
        <v>-0.30535449131091708</v>
      </c>
      <c r="J341" s="54">
        <f>(VLOOKUP($A341,'The List'!$B1:$AH665,22,FALSE)-AVERAGE('The List'!W2:W665))/STDEV('The List'!W2:W665)</f>
        <v>-0.64462862293207424</v>
      </c>
      <c r="K341" s="54">
        <f>(VLOOKUP($A341,'The List'!$B1:$AH665,23,FALSE)-AVERAGE('The List'!X2:X665))/STDEV('The List'!X2:X665)</f>
        <v>-0.22698917960311321</v>
      </c>
      <c r="L341" s="54">
        <f>(VLOOKUP($A341,'The List'!$B1:$AH665,24,FALSE)-AVERAGE('The List'!Y2:Y665))/STDEV('The List'!Y2:Y665)</f>
        <v>-0.52672668184204008</v>
      </c>
      <c r="M341" s="54">
        <f>(VLOOKUP($A341,'The List'!$B1:$AH665,25,FALSE)-AVERAGE('The List'!Z2:Z665))/STDEV('The List'!Z2:Z665)</f>
        <v>0.35526444713797145</v>
      </c>
      <c r="N341" s="54">
        <f>(VLOOKUP($A341,'The List'!$B1:$AH665,26,FALSE)-AVERAGE('The List'!AA2:AA665))/STDEV('The List'!AA2:AA665)</f>
        <v>2.0926801665977162</v>
      </c>
      <c r="O341" s="54">
        <f>(VLOOKUP($A341,'The List'!$B1:$AH665,27,FALSE)-AVERAGE('The List'!AB2:AB665))/STDEV('The List'!AB2:AB665)</f>
        <v>-0.23238676446070858</v>
      </c>
      <c r="P341" s="54">
        <f>(VLOOKUP($A341,'The List'!$B1:$AH665,28,FALSE)-AVERAGE('The List'!AC2:AC665))/STDEV('The List'!AC2:AC665)</f>
        <v>-2.1118620953692089</v>
      </c>
      <c r="Q341" s="54">
        <f>(VLOOKUP($A341,'The List'!$B1:$AH665,29,FALSE)-AVERAGE('The List'!AD2:AD665))/STDEV('The List'!AD2:AD665)</f>
        <v>-0.40669039069867996</v>
      </c>
      <c r="R341" s="54">
        <f>(VLOOKUP($A341,'The List'!$B1:$AH665,30,FALSE)-AVERAGE('The List'!AE2:AE665))/STDEV('The List'!AE2:AE665)</f>
        <v>-0.85316411278139315</v>
      </c>
      <c r="S341" s="54">
        <f>(VLOOKUP($A341,'The List'!$B1:$AH665,31,FALSE)-AVERAGE('The List'!AF2:AF665))/STDEV('The List'!AF2:AF665)</f>
        <v>-0.57389441068000469</v>
      </c>
      <c r="T341" s="54">
        <f>(VLOOKUP($A341,'The List'!$B1:$AH665,32,FALSE)-AVERAGE('The List'!AG2:AG665))/STDEV('The List'!AG2:AG665)</f>
        <v>-0.62577078713265111</v>
      </c>
      <c r="U341" s="54">
        <f>(VLOOKUP($A341,'The List'!$B1:$AH665,33,FALSE)-AVERAGE('The List'!AH2:AH665))/STDEV('The List'!AH2:AH665)</f>
        <v>-1.2314350945148611</v>
      </c>
      <c r="V341" s="54"/>
      <c r="W341" s="56"/>
      <c r="X341" s="54"/>
      <c r="Y341" s="54"/>
      <c r="Z341" s="54"/>
      <c r="AA341" s="54"/>
      <c r="AB341" s="54"/>
      <c r="AC341" s="54"/>
      <c r="AD341" s="54"/>
      <c r="AE341" s="54"/>
    </row>
    <row r="342" spans="1:31" ht="21.25" customHeight="1" x14ac:dyDescent="0.15">
      <c r="A342" s="9" t="s">
        <v>689</v>
      </c>
      <c r="B342" s="65" t="str">
        <f>VLOOKUP(A342,'Player Data'!A1:B667,2,FALSE)</f>
        <v>TOR</v>
      </c>
      <c r="C342" s="51">
        <f>((E342)*Settings!$C$12)+(F342*Settings!$C$2)+(G342*Settings!$C$3)+(H342*Settings!$C$4)+(I342*Settings!$C$5)+(K342*Settings!$C$9)+(N342*Settings!$C$6)+(J342*Settings!$C$8)+(O342*Settings!$C$7)+(P342*Settings!$C$14)+(Q342*Settings!$C$15)+(R342*Settings!$C$16)+(S342*Settings!$C$17)+(T342*Settings!$C$18)+(U342*Settings!$C$19)+(L342*Settings!$C$10)+(Settings!$C$11*M342)</f>
        <v>-1.7076875713132782</v>
      </c>
      <c r="D342" s="56">
        <f>IF(Settings!$E$12="YES",VLOOKUP(A342,'Player Data'!A1:E667,5,FALSE),82)</f>
        <v>73.867500000000007</v>
      </c>
      <c r="E342" s="54">
        <f>(VLOOKUP($A342,'The List'!$B1:$AH665,17,FALSE)-AVERAGE('The List'!R2:R665))/STDEV('The List'!R2:R665)</f>
        <v>-0.81254237225741155</v>
      </c>
      <c r="F342" s="54">
        <f>(VLOOKUP($A342,'The List'!$B1:$AH665,18,FALSE)-AVERAGE('The List'!S2:S665))/STDEV('The List'!S2:S665)</f>
        <v>-0.10910131485034145</v>
      </c>
      <c r="G342" s="54">
        <f>(VLOOKUP($A342,'The List'!$B1:$AH665,19,FALSE)-AVERAGE('The List'!T2:T665))/STDEV('The List'!T2:T665)</f>
        <v>-0.6738682357317779</v>
      </c>
      <c r="H342" s="54">
        <f>(VLOOKUP($A342,'The List'!$B1:$AH665,20,FALSE)-AVERAGE('The List'!U2:U665))/STDEV('The List'!U2:U665)</f>
        <v>-0.4681017983306916</v>
      </c>
      <c r="I342" s="54">
        <f>(VLOOKUP($A342,'The List'!$B1:$AH665,21,FALSE)-AVERAGE('The List'!V2:V665))/STDEV('The List'!V2:V665)</f>
        <v>-0.43709332309496568</v>
      </c>
      <c r="J342" s="54">
        <f>(VLOOKUP($A342,'The List'!$B1:$AH665,22,FALSE)-AVERAGE('The List'!W2:W665))/STDEV('The List'!W2:W665)</f>
        <v>-0.62993707461485782</v>
      </c>
      <c r="K342" s="54">
        <f>(VLOOKUP($A342,'The List'!$B1:$AH665,23,FALSE)-AVERAGE('The List'!X2:X665))/STDEV('The List'!X2:X665)</f>
        <v>-0.72251286856272834</v>
      </c>
      <c r="L342" s="54">
        <f>(VLOOKUP($A342,'The List'!$B1:$AH665,24,FALSE)-AVERAGE('The List'!Y2:Y665))/STDEV('The List'!Y2:Y665)</f>
        <v>0.88783050258579899</v>
      </c>
      <c r="M342" s="54">
        <f>(VLOOKUP($A342,'The List'!$B1:$AH665,25,FALSE)-AVERAGE('The List'!Z2:Z665))/STDEV('The List'!Z2:Z665)</f>
        <v>0.79686300245477015</v>
      </c>
      <c r="N342" s="54">
        <f>(VLOOKUP($A342,'The List'!$B1:$AH665,26,FALSE)-AVERAGE('The List'!AA2:AA665))/STDEV('The List'!AA2:AA665)</f>
        <v>-1.0280748550227026</v>
      </c>
      <c r="O342" s="54">
        <f>(VLOOKUP($A342,'The List'!$B1:$AH665,27,FALSE)-AVERAGE('The List'!AB2:AB665))/STDEV('The List'!AB2:AB665)</f>
        <v>-0.45785857191822477</v>
      </c>
      <c r="P342" s="54">
        <f>(VLOOKUP($A342,'The List'!$B1:$AH665,28,FALSE)-AVERAGE('The List'!AC2:AC665))/STDEV('The List'!AC2:AC665)</f>
        <v>1.2629630259492377</v>
      </c>
      <c r="Q342" s="54">
        <f>(VLOOKUP($A342,'The List'!$B1:$AH665,29,FALSE)-AVERAGE('The List'!AD2:AD665))/STDEV('The List'!AD2:AD665)</f>
        <v>-1.0812714246025412</v>
      </c>
      <c r="R342" s="54">
        <f>(VLOOKUP($A342,'The List'!$B1:$AH665,30,FALSE)-AVERAGE('The List'!AE2:AE665))/STDEV('The List'!AE2:AE665)</f>
        <v>-1.7737456978524142E-2</v>
      </c>
      <c r="S342" s="54">
        <f>(VLOOKUP($A342,'The List'!$B1:$AH665,31,FALSE)-AVERAGE('The List'!AF2:AF665))/STDEV('The List'!AF2:AF665)</f>
        <v>-9.4122474438957063E-2</v>
      </c>
      <c r="T342" s="54">
        <f>(VLOOKUP($A342,'The List'!$B1:$AH665,32,FALSE)-AVERAGE('The List'!AG2:AG665))/STDEV('The List'!AG2:AG665)</f>
        <v>-7.3653347187928001E-2</v>
      </c>
      <c r="U342" s="54">
        <f>(VLOOKUP($A342,'The List'!$B1:$AH665,33,FALSE)-AVERAGE('The List'!AH2:AH665))/STDEV('The List'!AH2:AH665)</f>
        <v>0.94589737976300636</v>
      </c>
      <c r="V342" s="54"/>
      <c r="W342" s="56"/>
      <c r="X342" s="54"/>
      <c r="Y342" s="54"/>
      <c r="Z342" s="54"/>
      <c r="AA342" s="54"/>
      <c r="AB342" s="54"/>
      <c r="AC342" s="54"/>
      <c r="AD342" s="54"/>
      <c r="AE342" s="54"/>
    </row>
    <row r="343" spans="1:31" ht="21.25" customHeight="1" x14ac:dyDescent="0.15">
      <c r="A343" s="9" t="s">
        <v>351</v>
      </c>
      <c r="B343" s="65" t="str">
        <f>VLOOKUP(A343,'Player Data'!A1:B667,2,FALSE)</f>
        <v>PIT</v>
      </c>
      <c r="C343" s="51">
        <f>((E343)*Settings!$C$12)+(F343*Settings!$C$2)+(G343*Settings!$C$3)+(H343*Settings!$C$4)+(I343*Settings!$C$5)+(K343*Settings!$C$9)+(N343*Settings!$C$6)+(J343*Settings!$C$8)+(O343*Settings!$C$7)+(P343*Settings!$C$14)+(Q343*Settings!$C$15)+(R343*Settings!$C$16)+(S343*Settings!$C$17)+(T343*Settings!$C$18)+(U343*Settings!$C$19)+(L343*Settings!$C$10)+(Settings!$C$11*M343)</f>
        <v>0.23759705727546188</v>
      </c>
      <c r="D343" s="56">
        <f>IF(Settings!$E$12="YES",VLOOKUP(A343,'Player Data'!A1:E667,5,FALSE),82)</f>
        <v>79.105000000000004</v>
      </c>
      <c r="E343" s="54">
        <f>(VLOOKUP($A343,'The List'!$B1:$AH665,17,FALSE)-AVERAGE('The List'!R2:R665))/STDEV('The List'!R2:R665)</f>
        <v>1.3728471113152063</v>
      </c>
      <c r="F343" s="54">
        <f>(VLOOKUP($A343,'The List'!$B1:$AH665,18,FALSE)-AVERAGE('The List'!S2:S665))/STDEV('The List'!S2:S665)</f>
        <v>-1.0087915356494475</v>
      </c>
      <c r="G343" s="54">
        <f>(VLOOKUP($A343,'The List'!$B1:$AH665,19,FALSE)-AVERAGE('The List'!T2:T665))/STDEV('The List'!T2:T665)</f>
        <v>0.11833940363238062</v>
      </c>
      <c r="H343" s="54">
        <f>(VLOOKUP($A343,'The List'!$B1:$AH665,20,FALSE)-AVERAGE('The List'!U2:U665))/STDEV('The List'!U2:U665)</f>
        <v>-0.38504828100626098</v>
      </c>
      <c r="I343" s="54">
        <f>(VLOOKUP($A343,'The List'!$B1:$AH665,21,FALSE)-AVERAGE('The List'!V2:V665))/STDEV('The List'!V2:V665)</f>
        <v>-0.44701812119183998</v>
      </c>
      <c r="J343" s="54">
        <f>(VLOOKUP($A343,'The List'!$B1:$AH665,22,FALSE)-AVERAGE('The List'!W2:W665))/STDEV('The List'!W2:W665)</f>
        <v>-0.72473150318455104</v>
      </c>
      <c r="K343" s="54">
        <f>(VLOOKUP($A343,'The List'!$B1:$AH665,23,FALSE)-AVERAGE('The List'!X2:X665))/STDEV('The List'!X2:X665)</f>
        <v>-0.77667698818576625</v>
      </c>
      <c r="L343" s="54">
        <f>(VLOOKUP($A343,'The List'!$B1:$AH665,24,FALSE)-AVERAGE('The List'!Y2:Y665))/STDEV('The List'!Y2:Y665)</f>
        <v>-0.51246778557804751</v>
      </c>
      <c r="M343" s="54">
        <f>(VLOOKUP($A343,'The List'!$B1:$AH665,25,FALSE)-AVERAGE('The List'!Z2:Z665))/STDEV('The List'!Z2:Z665)</f>
        <v>-0.57452293098830787</v>
      </c>
      <c r="N343" s="54">
        <f>(VLOOKUP($A343,'The List'!$B1:$AH665,26,FALSE)-AVERAGE('The List'!AA2:AA665))/STDEV('The List'!AA2:AA665)</f>
        <v>1.9534094013117886</v>
      </c>
      <c r="O343" s="54">
        <f>(VLOOKUP($A343,'The List'!$B1:$AH665,27,FALSE)-AVERAGE('The List'!AB2:AB665))/STDEV('The List'!AB2:AB665)</f>
        <v>0.57499502969095395</v>
      </c>
      <c r="P343" s="54">
        <f>(VLOOKUP($A343,'The List'!$B1:$AH665,28,FALSE)-AVERAGE('The List'!AC2:AC665))/STDEV('The List'!AC2:AC665)</f>
        <v>0.39833489735834637</v>
      </c>
      <c r="Q343" s="54">
        <f>(VLOOKUP($A343,'The List'!$B1:$AH665,29,FALSE)-AVERAGE('The List'!AD2:AD665))/STDEV('The List'!AD2:AD665)</f>
        <v>1.0953436670306789</v>
      </c>
      <c r="R343" s="54">
        <f>(VLOOKUP($A343,'The List'!$B1:$AH665,30,FALSE)-AVERAGE('The List'!AE2:AE665))/STDEV('The List'!AE2:AE665)</f>
        <v>-0.96606793031587335</v>
      </c>
      <c r="S343" s="54">
        <f>(VLOOKUP($A343,'The List'!$B1:$AH665,31,FALSE)-AVERAGE('The List'!AF2:AF665))/STDEV('The List'!AF2:AF665)</f>
        <v>-0.57389441068000469</v>
      </c>
      <c r="T343" s="54">
        <f>(VLOOKUP($A343,'The List'!$B1:$AH665,32,FALSE)-AVERAGE('The List'!AG2:AG665))/STDEV('The List'!AG2:AG665)</f>
        <v>-0.62577078713265111</v>
      </c>
      <c r="U343" s="54">
        <f>(VLOOKUP($A343,'The List'!$B1:$AH665,33,FALSE)-AVERAGE('The List'!AH2:AH665))/STDEV('The List'!AH2:AH665)</f>
        <v>-1.2314350945148611</v>
      </c>
      <c r="V343" s="54"/>
      <c r="W343" s="64"/>
      <c r="X343" s="56"/>
      <c r="Y343" s="56"/>
      <c r="Z343" s="56"/>
      <c r="AA343" s="56"/>
      <c r="AB343" s="56"/>
      <c r="AC343" s="59"/>
      <c r="AD343" s="60"/>
      <c r="AE343" s="54"/>
    </row>
    <row r="344" spans="1:31" ht="21.25" customHeight="1" x14ac:dyDescent="0.15">
      <c r="A344" s="9" t="s">
        <v>621</v>
      </c>
      <c r="B344" s="65" t="str">
        <f>VLOOKUP(A344,'Player Data'!A1:B667,2,FALSE)</f>
        <v>STL</v>
      </c>
      <c r="C344" s="51">
        <f>((E344)*Settings!$C$12)+(F344*Settings!$C$2)+(G344*Settings!$C$3)+(H344*Settings!$C$4)+(I344*Settings!$C$5)+(K344*Settings!$C$9)+(N344*Settings!$C$6)+(J344*Settings!$C$8)+(O344*Settings!$C$7)+(P344*Settings!$C$14)+(Q344*Settings!$C$15)+(R344*Settings!$C$16)+(S344*Settings!$C$17)+(T344*Settings!$C$18)+(U344*Settings!$C$19)+(L344*Settings!$C$10)+(Settings!$C$11*M344)</f>
        <v>-4.8964696216031314</v>
      </c>
      <c r="D344" s="56">
        <f>IF(Settings!$E$12="YES",VLOOKUP(A344,'Player Data'!A1:E667,5,FALSE),82)</f>
        <v>73.282499999999999</v>
      </c>
      <c r="E344" s="54">
        <f>(VLOOKUP($A344,'The List'!$B1:$AH665,17,FALSE)-AVERAGE('The List'!R2:R665))/STDEV('The List'!R2:R665)</f>
        <v>-0.82210952301850138</v>
      </c>
      <c r="F344" s="54">
        <f>(VLOOKUP($A344,'The List'!$B1:$AH665,18,FALSE)-AVERAGE('The List'!S2:S665))/STDEV('The List'!S2:S665)</f>
        <v>-0.24482502933435984</v>
      </c>
      <c r="G344" s="54">
        <f>(VLOOKUP($A344,'The List'!$B1:$AH665,19,FALSE)-AVERAGE('The List'!T2:T665))/STDEV('The List'!T2:T665)</f>
        <v>-0.59653958168857335</v>
      </c>
      <c r="H344" s="54">
        <f>(VLOOKUP($A344,'The List'!$B1:$AH665,20,FALSE)-AVERAGE('The List'!U2:U665))/STDEV('The List'!U2:U665)</f>
        <v>-0.48176923582447956</v>
      </c>
      <c r="I344" s="54">
        <f>(VLOOKUP($A344,'The List'!$B1:$AH665,21,FALSE)-AVERAGE('The List'!V2:V665))/STDEV('The List'!V2:V665)</f>
        <v>-0.53834480244547944</v>
      </c>
      <c r="J344" s="54">
        <f>(VLOOKUP($A344,'The List'!$B1:$AH665,22,FALSE)-AVERAGE('The List'!W2:W665))/STDEV('The List'!W2:W665)</f>
        <v>-0.67919095634784765</v>
      </c>
      <c r="K344" s="54">
        <f>(VLOOKUP($A344,'The List'!$B1:$AH665,23,FALSE)-AVERAGE('The List'!X2:X665))/STDEV('The List'!X2:X665)</f>
        <v>-0.73041694290590942</v>
      </c>
      <c r="L344" s="54">
        <f>(VLOOKUP($A344,'The List'!$B1:$AH665,24,FALSE)-AVERAGE('The List'!Y2:Y665))/STDEV('The List'!Y2:Y665)</f>
        <v>1.1007311071612331</v>
      </c>
      <c r="M344" s="54">
        <f>(VLOOKUP($A344,'The List'!$B1:$AH665,25,FALSE)-AVERAGE('The List'!Z2:Z665))/STDEV('The List'!Z2:Z665)</f>
        <v>0.47151349288256467</v>
      </c>
      <c r="N344" s="54">
        <f>(VLOOKUP($A344,'The List'!$B1:$AH665,26,FALSE)-AVERAGE('The List'!AA2:AA665))/STDEV('The List'!AA2:AA665)</f>
        <v>-0.80289038770519339</v>
      </c>
      <c r="O344" s="54">
        <f>(VLOOKUP($A344,'The List'!$B1:$AH665,27,FALSE)-AVERAGE('The List'!AB2:AB665))/STDEV('The List'!AB2:AB665)</f>
        <v>-0.84052409199382727</v>
      </c>
      <c r="P344" s="54">
        <f>(VLOOKUP($A344,'The List'!$B1:$AH665,28,FALSE)-AVERAGE('The List'!AC2:AC665))/STDEV('The List'!AC2:AC665)</f>
        <v>-1.9834528775236164</v>
      </c>
      <c r="Q344" s="54">
        <f>(VLOOKUP($A344,'The List'!$B1:$AH665,29,FALSE)-AVERAGE('The List'!AD2:AD665))/STDEV('The List'!AD2:AD665)</f>
        <v>-0.2445931434553531</v>
      </c>
      <c r="R344" s="54">
        <f>(VLOOKUP($A344,'The List'!$B1:$AH665,30,FALSE)-AVERAGE('The List'!AE2:AE665))/STDEV('The List'!AE2:AE665)</f>
        <v>-0.43372767844069554</v>
      </c>
      <c r="S344" s="54">
        <f>(VLOOKUP($A344,'The List'!$B1:$AH665,31,FALSE)-AVERAGE('The List'!AF2:AF665))/STDEV('The List'!AF2:AF665)</f>
        <v>-0.53621217499898621</v>
      </c>
      <c r="T344" s="54">
        <f>(VLOOKUP($A344,'The List'!$B1:$AH665,32,FALSE)-AVERAGE('The List'!AG2:AG665))/STDEV('The List'!AG2:AG665)</f>
        <v>-0.54178499860298224</v>
      </c>
      <c r="U344" s="54">
        <f>(VLOOKUP($A344,'The List'!$B1:$AH665,33,FALSE)-AVERAGE('The List'!AH2:AH665))/STDEV('The List'!AH2:AH665)</f>
        <v>0.23300208961983596</v>
      </c>
      <c r="V344" s="54"/>
      <c r="W344" s="64"/>
      <c r="X344" s="56"/>
      <c r="Y344" s="56"/>
      <c r="Z344" s="56"/>
      <c r="AA344" s="56"/>
      <c r="AB344" s="56"/>
      <c r="AC344" s="59"/>
      <c r="AD344" s="60"/>
      <c r="AE344" s="54"/>
    </row>
    <row r="345" spans="1:31" ht="21.25" customHeight="1" x14ac:dyDescent="0.15">
      <c r="A345" s="9" t="s">
        <v>655</v>
      </c>
      <c r="B345" s="65" t="str">
        <f>VLOOKUP(A345,'Player Data'!A1:B667,2,FALSE)</f>
        <v>OTT</v>
      </c>
      <c r="C345" s="51">
        <f>((E345)*Settings!$C$12)+(F345*Settings!$C$2)+(G345*Settings!$C$3)+(H345*Settings!$C$4)+(I345*Settings!$C$5)+(K345*Settings!$C$9)+(N345*Settings!$C$6)+(J345*Settings!$C$8)+(O345*Settings!$C$7)+(P345*Settings!$C$14)+(Q345*Settings!$C$15)+(R345*Settings!$C$16)+(S345*Settings!$C$17)+(T345*Settings!$C$18)+(U345*Settings!$C$19)+(L345*Settings!$C$10)+(Settings!$C$11*M345)</f>
        <v>-1.9371511860831863</v>
      </c>
      <c r="D345" s="56">
        <f>IF(Settings!$E$12="YES",VLOOKUP(A345,'Player Data'!A1:E667,5,FALSE),82)</f>
        <v>75.77</v>
      </c>
      <c r="E345" s="54">
        <f>(VLOOKUP($A345,'The List'!$B1:$AH665,17,FALSE)-AVERAGE('The List'!R2:R665))/STDEV('The List'!R2:R665)</f>
        <v>-0.94416477270360588</v>
      </c>
      <c r="F345" s="54">
        <f>(VLOOKUP($A345,'The List'!$B1:$AH665,18,FALSE)-AVERAGE('The List'!S2:S665))/STDEV('The List'!S2:S665)</f>
        <v>5.0328426503414264E-2</v>
      </c>
      <c r="G345" s="54">
        <f>(VLOOKUP($A345,'The List'!$B1:$AH665,19,FALSE)-AVERAGE('The List'!T2:T665))/STDEV('The List'!T2:T665)</f>
        <v>-0.75783505665767359</v>
      </c>
      <c r="H345" s="54">
        <f>(VLOOKUP($A345,'The List'!$B1:$AH665,20,FALSE)-AVERAGE('The List'!U2:U665))/STDEV('The List'!U2:U665)</f>
        <v>-0.447781519672455</v>
      </c>
      <c r="I345" s="54">
        <f>(VLOOKUP($A345,'The List'!$B1:$AH665,21,FALSE)-AVERAGE('The List'!V2:V665))/STDEV('The List'!V2:V665)</f>
        <v>-0.3360240545768709</v>
      </c>
      <c r="J345" s="54">
        <f>(VLOOKUP($A345,'The List'!$B1:$AH665,22,FALSE)-AVERAGE('The List'!W2:W665))/STDEV('The List'!W2:W665)</f>
        <v>-0.44512176410369958</v>
      </c>
      <c r="K345" s="54">
        <f>(VLOOKUP($A345,'The List'!$B1:$AH665,23,FALSE)-AVERAGE('The List'!X2:X665))/STDEV('The List'!X2:X665)</f>
        <v>-0.61563619157806215</v>
      </c>
      <c r="L345" s="54">
        <f>(VLOOKUP($A345,'The List'!$B1:$AH665,24,FALSE)-AVERAGE('The List'!Y2:Y665))/STDEV('The List'!Y2:Y665)</f>
        <v>-0.18030647569855626</v>
      </c>
      <c r="M345" s="54">
        <f>(VLOOKUP($A345,'The List'!$B1:$AH665,25,FALSE)-AVERAGE('The List'!Z2:Z665))/STDEV('The List'!Z2:Z665)</f>
        <v>-0.34457770231766272</v>
      </c>
      <c r="N345" s="54">
        <f>(VLOOKUP($A345,'The List'!$B1:$AH665,26,FALSE)-AVERAGE('The List'!AA2:AA665))/STDEV('The List'!AA2:AA665)</f>
        <v>-0.68736615085792763</v>
      </c>
      <c r="O345" s="54">
        <f>(VLOOKUP($A345,'The List'!$B1:$AH665,27,FALSE)-AVERAGE('The List'!AB2:AB665))/STDEV('The List'!AB2:AB665)</f>
        <v>-0.68616123095907822</v>
      </c>
      <c r="P345" s="54">
        <f>(VLOOKUP($A345,'The List'!$B1:$AH665,28,FALSE)-AVERAGE('The List'!AC2:AC665))/STDEV('The List'!AC2:AC665)</f>
        <v>0.40938184108393372</v>
      </c>
      <c r="Q345" s="54">
        <f>(VLOOKUP($A345,'The List'!$B1:$AH665,29,FALSE)-AVERAGE('The List'!AD2:AD665))/STDEV('The List'!AD2:AD665)</f>
        <v>-0.94205921844679275</v>
      </c>
      <c r="R345" s="54">
        <f>(VLOOKUP($A345,'The List'!$B1:$AH665,30,FALSE)-AVERAGE('The List'!AE2:AE665))/STDEV('The List'!AE2:AE665)</f>
        <v>0.1040732328203785</v>
      </c>
      <c r="S345" s="54">
        <f>(VLOOKUP($A345,'The List'!$B1:$AH665,31,FALSE)-AVERAGE('The List'!AF2:AF665))/STDEV('The List'!AF2:AF665)</f>
        <v>-0.27254973466532317</v>
      </c>
      <c r="T345" s="54">
        <f>(VLOOKUP($A345,'The List'!$B1:$AH665,32,FALSE)-AVERAGE('The List'!AG2:AG665))/STDEV('The List'!AG2:AG665)</f>
        <v>-0.28981514076582854</v>
      </c>
      <c r="U345" s="54">
        <f>(VLOOKUP($A345,'The List'!$B1:$AH665,33,FALSE)-AVERAGE('The List'!AH2:AH665))/STDEV('The List'!AH2:AH665)</f>
        <v>0.98181447736133198</v>
      </c>
      <c r="V345" s="54"/>
      <c r="W345" s="64"/>
      <c r="X345" s="56"/>
      <c r="Y345" s="56"/>
      <c r="Z345" s="56"/>
      <c r="AA345" s="56"/>
      <c r="AB345" s="56"/>
      <c r="AC345" s="59"/>
      <c r="AD345" s="60"/>
      <c r="AE345" s="54"/>
    </row>
    <row r="346" spans="1:31" ht="21.25" customHeight="1" x14ac:dyDescent="0.15">
      <c r="A346" s="9" t="s">
        <v>473</v>
      </c>
      <c r="B346" s="65" t="str">
        <f>VLOOKUP(A346,'Player Data'!A1:B667,2,FALSE)</f>
        <v>L.A</v>
      </c>
      <c r="C346" s="51">
        <f>((E346)*Settings!$C$12)+(F346*Settings!$C$2)+(G346*Settings!$C$3)+(H346*Settings!$C$4)+(I346*Settings!$C$5)+(K346*Settings!$C$9)+(N346*Settings!$C$6)+(J346*Settings!$C$8)+(O346*Settings!$C$7)+(P346*Settings!$C$14)+(Q346*Settings!$C$15)+(R346*Settings!$C$16)+(S346*Settings!$C$17)+(T346*Settings!$C$18)+(U346*Settings!$C$19)+(L346*Settings!$C$10)+(Settings!$C$11*M346)</f>
        <v>-1.418798188766683</v>
      </c>
      <c r="D346" s="56">
        <f>IF(Settings!$E$12="YES",VLOOKUP(A346,'Player Data'!A1:E667,5,FALSE),82)</f>
        <v>69.602500000000006</v>
      </c>
      <c r="E346" s="54">
        <f>(VLOOKUP($A346,'The List'!$B1:$AH665,17,FALSE)-AVERAGE('The List'!R2:R665))/STDEV('The List'!R2:R665)</f>
        <v>0.20304513642977576</v>
      </c>
      <c r="F346" s="54">
        <f>(VLOOKUP($A346,'The List'!$B1:$AH665,18,FALSE)-AVERAGE('The List'!S2:S665))/STDEV('The List'!S2:S665)</f>
        <v>-1.0213885203044804</v>
      </c>
      <c r="G346" s="54">
        <f>(VLOOKUP($A346,'The List'!$B1:$AH665,19,FALSE)-AVERAGE('The List'!T2:T665))/STDEV('The List'!T2:T665)</f>
        <v>-0.13437140503936901</v>
      </c>
      <c r="H346" s="54">
        <f>(VLOOKUP($A346,'The List'!$B1:$AH665,20,FALSE)-AVERAGE('The List'!U2:U665))/STDEV('The List'!U2:U665)</f>
        <v>-0.54772183095204285</v>
      </c>
      <c r="I346" s="54">
        <f>(VLOOKUP($A346,'The List'!$B1:$AH665,21,FALSE)-AVERAGE('The List'!V2:V665))/STDEV('The List'!V2:V665)</f>
        <v>-0.69614063846941476</v>
      </c>
      <c r="J346" s="54">
        <f>(VLOOKUP($A346,'The List'!$B1:$AH665,22,FALSE)-AVERAGE('The List'!W2:W665))/STDEV('The List'!W2:W665)</f>
        <v>-0.52823815309116295</v>
      </c>
      <c r="K346" s="54">
        <f>(VLOOKUP($A346,'The List'!$B1:$AH665,23,FALSE)-AVERAGE('The List'!X2:X665))/STDEV('The List'!X2:X665)</f>
        <v>-0.26639795057226362</v>
      </c>
      <c r="L346" s="54">
        <f>(VLOOKUP($A346,'The List'!$B1:$AH665,24,FALSE)-AVERAGE('The List'!Y2:Y665))/STDEV('The List'!Y2:Y665)</f>
        <v>-0.50829390313685086</v>
      </c>
      <c r="M346" s="54">
        <f>(VLOOKUP($A346,'The List'!$B1:$AH665,25,FALSE)-AVERAGE('The List'!Z2:Z665))/STDEV('The List'!Z2:Z665)</f>
        <v>-0.54584339845230911</v>
      </c>
      <c r="N346" s="54">
        <f>(VLOOKUP($A346,'The List'!$B1:$AH665,26,FALSE)-AVERAGE('The List'!AA2:AA665))/STDEV('The List'!AA2:AA665)</f>
        <v>0.31714012515040041</v>
      </c>
      <c r="O346" s="54">
        <f>(VLOOKUP($A346,'The List'!$B1:$AH665,27,FALSE)-AVERAGE('The List'!AB2:AB665))/STDEV('The List'!AB2:AB665)</f>
        <v>-0.12378718411164738</v>
      </c>
      <c r="P346" s="54">
        <f>(VLOOKUP($A346,'The List'!$B1:$AH665,28,FALSE)-AVERAGE('The List'!AC2:AC665))/STDEV('The List'!AC2:AC665)</f>
        <v>0.38236020046844438</v>
      </c>
      <c r="Q346" s="54">
        <f>(VLOOKUP($A346,'The List'!$B1:$AH665,29,FALSE)-AVERAGE('The List'!AD2:AD665))/STDEV('The List'!AD2:AD665)</f>
        <v>-1.0187758555811348</v>
      </c>
      <c r="R346" s="54">
        <f>(VLOOKUP($A346,'The List'!$B1:$AH665,30,FALSE)-AVERAGE('The List'!AE2:AE665))/STDEV('The List'!AE2:AE665)</f>
        <v>-0.91802870175619677</v>
      </c>
      <c r="S346" s="54">
        <f>(VLOOKUP($A346,'The List'!$B1:$AH665,31,FALSE)-AVERAGE('The List'!AF2:AF665))/STDEV('The List'!AF2:AF665)</f>
        <v>-0.57389441068000469</v>
      </c>
      <c r="T346" s="54">
        <f>(VLOOKUP($A346,'The List'!$B1:$AH665,32,FALSE)-AVERAGE('The List'!AG2:AG665))/STDEV('The List'!AG2:AG665)</f>
        <v>-0.62577078713265111</v>
      </c>
      <c r="U346" s="54">
        <f>(VLOOKUP($A346,'The List'!$B1:$AH665,33,FALSE)-AVERAGE('The List'!AH2:AH665))/STDEV('The List'!AH2:AH665)</f>
        <v>-1.2314350945148611</v>
      </c>
      <c r="V346" s="54"/>
      <c r="W346" s="56"/>
      <c r="X346" s="54"/>
      <c r="Y346" s="54"/>
      <c r="Z346" s="54"/>
      <c r="AA346" s="54"/>
      <c r="AB346" s="54"/>
      <c r="AC346" s="54"/>
      <c r="AD346" s="54"/>
      <c r="AE346" s="54"/>
    </row>
    <row r="347" spans="1:31" ht="21.25" customHeight="1" x14ac:dyDescent="0.15">
      <c r="A347" s="9" t="s">
        <v>757</v>
      </c>
      <c r="B347" s="65" t="str">
        <f>VLOOKUP(A347,'Player Data'!A1:B667,2,FALSE)</f>
        <v>L.A</v>
      </c>
      <c r="C347" s="51">
        <f>((E347)*Settings!$C$12)+(F347*Settings!$C$2)+(G347*Settings!$C$3)+(H347*Settings!$C$4)+(I347*Settings!$C$5)+(K347*Settings!$C$9)+(N347*Settings!$C$6)+(J347*Settings!$C$8)+(O347*Settings!$C$7)+(P347*Settings!$C$14)+(Q347*Settings!$C$15)+(R347*Settings!$C$16)+(S347*Settings!$C$17)+(T347*Settings!$C$18)+(U347*Settings!$C$19)+(L347*Settings!$C$10)+(Settings!$C$11*M347)</f>
        <v>-3.6398135978406532</v>
      </c>
      <c r="D347" s="56">
        <f>IF(Settings!$E$12="YES",VLOOKUP(A347,'Player Data'!A1:E667,5,FALSE),82)</f>
        <v>56.3</v>
      </c>
      <c r="E347" s="54">
        <f>(VLOOKUP($A347,'The List'!$B1:$AH665,17,FALSE)-AVERAGE('The List'!R2:R665))/STDEV('The List'!R2:R665)</f>
        <v>-1.0449188707151456</v>
      </c>
      <c r="F347" s="54">
        <f>(VLOOKUP($A347,'The List'!$B1:$AH665,18,FALSE)-AVERAGE('The List'!S2:S665))/STDEV('The List'!S2:S665)</f>
        <v>-0.58513973654865414</v>
      </c>
      <c r="G347" s="54">
        <f>(VLOOKUP($A347,'The List'!$B1:$AH665,19,FALSE)-AVERAGE('The List'!T2:T665))/STDEV('The List'!T2:T665)</f>
        <v>-0.79772036508503463</v>
      </c>
      <c r="H347" s="54">
        <f>(VLOOKUP($A347,'The List'!$B1:$AH665,20,FALSE)-AVERAGE('The List'!U2:U665))/STDEV('The List'!U2:U665)</f>
        <v>-0.76140302521512959</v>
      </c>
      <c r="I347" s="54">
        <f>(VLOOKUP($A347,'The List'!$B1:$AH665,21,FALSE)-AVERAGE('The List'!V2:V665))/STDEV('The List'!V2:V665)</f>
        <v>-0.97561932902063453</v>
      </c>
      <c r="J347" s="54">
        <f>(VLOOKUP($A347,'The List'!$B1:$AH665,22,FALSE)-AVERAGE('The List'!W2:W665))/STDEV('The List'!W2:W665)</f>
        <v>-0.68622631172365367</v>
      </c>
      <c r="K347" s="54">
        <f>(VLOOKUP($A347,'The List'!$B1:$AH665,23,FALSE)-AVERAGE('The List'!X2:X665))/STDEV('The List'!X2:X665)</f>
        <v>-0.77775880618282678</v>
      </c>
      <c r="L347" s="54">
        <f>(VLOOKUP($A347,'The List'!$B1:$AH665,24,FALSE)-AVERAGE('The List'!Y2:Y665))/STDEV('The List'!Y2:Y665)</f>
        <v>-0.5801829139020841</v>
      </c>
      <c r="M347" s="54">
        <f>(VLOOKUP($A347,'The List'!$B1:$AH665,25,FALSE)-AVERAGE('The List'!Z2:Z665))/STDEV('The List'!Z2:Z665)</f>
        <v>-0.75403666498999722</v>
      </c>
      <c r="N347" s="54">
        <f>(VLOOKUP($A347,'The List'!$B1:$AH665,26,FALSE)-AVERAGE('The List'!AA2:AA665))/STDEV('The List'!AA2:AA665)</f>
        <v>-0.82101112374751017</v>
      </c>
      <c r="O347" s="54">
        <f>(VLOOKUP($A347,'The List'!$B1:$AH665,27,FALSE)-AVERAGE('The List'!AB2:AB665))/STDEV('The List'!AB2:AB665)</f>
        <v>-0.94671410368842668</v>
      </c>
      <c r="P347" s="54">
        <f>(VLOOKUP($A347,'The List'!$B1:$AH665,28,FALSE)-AVERAGE('The List'!AC2:AC665))/STDEV('The List'!AC2:AC665)</f>
        <v>0.31743576274400676</v>
      </c>
      <c r="Q347" s="54">
        <f>(VLOOKUP($A347,'The List'!$B1:$AH665,29,FALSE)-AVERAGE('The List'!AD2:AD665))/STDEV('The List'!AD2:AD665)</f>
        <v>-0.73686356678250264</v>
      </c>
      <c r="R347" s="54">
        <f>(VLOOKUP($A347,'The List'!$B1:$AH665,30,FALSE)-AVERAGE('The List'!AE2:AE665))/STDEV('The List'!AE2:AE665)</f>
        <v>-0.41901072636135478</v>
      </c>
      <c r="S347" s="54">
        <f>(VLOOKUP($A347,'The List'!$B1:$AH665,31,FALSE)-AVERAGE('The List'!AF2:AF665))/STDEV('The List'!AF2:AF665)</f>
        <v>-0.16483345173435335</v>
      </c>
      <c r="T347" s="54">
        <f>(VLOOKUP($A347,'The List'!$B1:$AH665,32,FALSE)-AVERAGE('The List'!AG2:AG665))/STDEV('The List'!AG2:AG665)</f>
        <v>-0.14722282584394394</v>
      </c>
      <c r="U347" s="54">
        <f>(VLOOKUP($A347,'The List'!$B1:$AH665,33,FALSE)-AVERAGE('The List'!AH2:AH665))/STDEV('The List'!AH2:AH665)</f>
        <v>0.92729916238668997</v>
      </c>
      <c r="V347" s="54"/>
      <c r="W347" s="64"/>
      <c r="X347" s="56"/>
      <c r="Y347" s="56"/>
      <c r="Z347" s="56"/>
      <c r="AA347" s="56"/>
      <c r="AB347" s="56"/>
      <c r="AC347" s="59"/>
      <c r="AD347" s="60"/>
      <c r="AE347" s="54"/>
    </row>
    <row r="348" spans="1:31" ht="21.25" customHeight="1" x14ac:dyDescent="0.15">
      <c r="A348" s="9" t="s">
        <v>593</v>
      </c>
      <c r="B348" s="65" t="str">
        <f>VLOOKUP(A348,'Player Data'!A1:B667,2,FALSE)</f>
        <v>CGY</v>
      </c>
      <c r="C348" s="51">
        <f>((E348)*Settings!$C$12)+(F348*Settings!$C$2)+(G348*Settings!$C$3)+(H348*Settings!$C$4)+(I348*Settings!$C$5)+(K348*Settings!$C$9)+(N348*Settings!$C$6)+(J348*Settings!$C$8)+(O348*Settings!$C$7)+(P348*Settings!$C$14)+(Q348*Settings!$C$15)+(R348*Settings!$C$16)+(S348*Settings!$C$17)+(T348*Settings!$C$18)+(U348*Settings!$C$19)+(L348*Settings!$C$10)+(Settings!$C$11*M348)</f>
        <v>-2.8926012713382541</v>
      </c>
      <c r="D348" s="56">
        <f>IF(Settings!$E$12="YES",VLOOKUP(A348,'Player Data'!A1:E667,5,FALSE),82)</f>
        <v>74.144999999999996</v>
      </c>
      <c r="E348" s="54">
        <f>(VLOOKUP($A348,'The List'!$B1:$AH665,17,FALSE)-AVERAGE('The List'!R2:R665))/STDEV('The List'!R2:R665)</f>
        <v>-1.1814359479080838</v>
      </c>
      <c r="F348" s="54">
        <f>(VLOOKUP($A348,'The List'!$B1:$AH665,18,FALSE)-AVERAGE('The List'!S2:S665))/STDEV('The List'!S2:S665)</f>
        <v>-0.39943075494492536</v>
      </c>
      <c r="G348" s="54">
        <f>(VLOOKUP($A348,'The List'!$B1:$AH665,19,FALSE)-AVERAGE('The List'!T2:T665))/STDEV('The List'!T2:T665)</f>
        <v>-0.48242416880485067</v>
      </c>
      <c r="H348" s="54">
        <f>(VLOOKUP($A348,'The List'!$B1:$AH665,20,FALSE)-AVERAGE('The List'!U2:U665))/STDEV('The List'!U2:U665)</f>
        <v>-0.48117279921928457</v>
      </c>
      <c r="I348" s="54">
        <f>(VLOOKUP($A348,'The List'!$B1:$AH665,21,FALSE)-AVERAGE('The List'!V2:V665))/STDEV('The List'!V2:V665)</f>
        <v>-2.0021277854948036E-2</v>
      </c>
      <c r="J348" s="54">
        <f>(VLOOKUP($A348,'The List'!$B1:$AH665,22,FALSE)-AVERAGE('The List'!W2:W665))/STDEV('The List'!W2:W665)</f>
        <v>-0.6809242701545265</v>
      </c>
      <c r="K348" s="54">
        <f>(VLOOKUP($A348,'The List'!$B1:$AH665,23,FALSE)-AVERAGE('The List'!X2:X665))/STDEV('The List'!X2:X665)</f>
        <v>-0.77299881887146649</v>
      </c>
      <c r="L348" s="54">
        <f>(VLOOKUP($A348,'The List'!$B1:$AH665,24,FALSE)-AVERAGE('The List'!Y2:Y665))/STDEV('The List'!Y2:Y665)</f>
        <v>-0.57224322384574522</v>
      </c>
      <c r="M348" s="54">
        <f>(VLOOKUP($A348,'The List'!$B1:$AH665,25,FALSE)-AVERAGE('The List'!Z2:Z665))/STDEV('The List'!Z2:Z665)</f>
        <v>-0.7459581959070416</v>
      </c>
      <c r="N348" s="54">
        <f>(VLOOKUP($A348,'The List'!$B1:$AH665,26,FALSE)-AVERAGE('The List'!AA2:AA665))/STDEV('The List'!AA2:AA665)</f>
        <v>-0.90076953907162804</v>
      </c>
      <c r="O348" s="54">
        <f>(VLOOKUP($A348,'The List'!$B1:$AH665,27,FALSE)-AVERAGE('The List'!AB2:AB665))/STDEV('The List'!AB2:AB665)</f>
        <v>2.9970313102433792</v>
      </c>
      <c r="P348" s="54">
        <f>(VLOOKUP($A348,'The List'!$B1:$AH665,28,FALSE)-AVERAGE('The List'!AC2:AC665))/STDEV('The List'!AC2:AC665)</f>
        <v>-0.31695671179043516</v>
      </c>
      <c r="Q348" s="54">
        <f>(VLOOKUP($A348,'The List'!$B1:$AH665,29,FALSE)-AVERAGE('The List'!AD2:AD665))/STDEV('The List'!AD2:AD665)</f>
        <v>1.9536003153883268</v>
      </c>
      <c r="R348" s="54">
        <f>(VLOOKUP($A348,'The List'!$B1:$AH665,30,FALSE)-AVERAGE('The List'!AE2:AE665))/STDEV('The List'!AE2:AE665)</f>
        <v>-0.40398674909371174</v>
      </c>
      <c r="S348" s="54">
        <f>(VLOOKUP($A348,'The List'!$B1:$AH665,31,FALSE)-AVERAGE('The List'!AF2:AF665))/STDEV('The List'!AF2:AF665)</f>
        <v>-0.44495227885140232</v>
      </c>
      <c r="T348" s="54">
        <f>(VLOOKUP($A348,'The List'!$B1:$AH665,32,FALSE)-AVERAGE('The List'!AG2:AG665))/STDEV('The List'!AG2:AG665)</f>
        <v>-0.45880725348962981</v>
      </c>
      <c r="U348" s="54">
        <f>(VLOOKUP($A348,'The List'!$B1:$AH665,33,FALSE)-AVERAGE('The List'!AH2:AH665))/STDEV('The List'!AH2:AH665)</f>
        <v>0.81288542684463172</v>
      </c>
      <c r="V348" s="54"/>
      <c r="W348" s="64"/>
      <c r="X348" s="56"/>
      <c r="Y348" s="56"/>
      <c r="Z348" s="56"/>
      <c r="AA348" s="56"/>
      <c r="AB348" s="56"/>
      <c r="AC348" s="59"/>
      <c r="AD348" s="60"/>
      <c r="AE348" s="54"/>
    </row>
    <row r="349" spans="1:31" ht="21.25" customHeight="1" x14ac:dyDescent="0.15">
      <c r="A349" s="9" t="s">
        <v>669</v>
      </c>
      <c r="B349" s="65" t="str">
        <f>VLOOKUP(A349,'Player Data'!A1:B667,2,FALSE)</f>
        <v>CAR</v>
      </c>
      <c r="C349" s="51">
        <f>((E349)*Settings!$C$12)+(F349*Settings!$C$2)+(G349*Settings!$C$3)+(H349*Settings!$C$4)+(I349*Settings!$C$5)+(K349*Settings!$C$9)+(N349*Settings!$C$6)+(J349*Settings!$C$8)+(O349*Settings!$C$7)+(P349*Settings!$C$14)+(Q349*Settings!$C$15)+(R349*Settings!$C$16)+(S349*Settings!$C$17)+(T349*Settings!$C$18)+(U349*Settings!$C$19)+(L349*Settings!$C$10)+(Settings!$C$11*M349)</f>
        <v>-1.0901474949991514</v>
      </c>
      <c r="D349" s="56">
        <f>IF(Settings!$E$12="YES",VLOOKUP(A349,'Player Data'!A1:E667,5,FALSE),82)</f>
        <v>70.16</v>
      </c>
      <c r="E349" s="54">
        <f>(VLOOKUP($A349,'The List'!$B1:$AH665,17,FALSE)-AVERAGE('The List'!R2:R665))/STDEV('The List'!R2:R665)</f>
        <v>-1.136552488833013</v>
      </c>
      <c r="F349" s="54">
        <f>(VLOOKUP($A349,'The List'!$B1:$AH665,18,FALSE)-AVERAGE('The List'!S2:S665))/STDEV('The List'!S2:S665)</f>
        <v>-0.52990546033920971</v>
      </c>
      <c r="G349" s="54">
        <f>(VLOOKUP($A349,'The List'!$B1:$AH665,19,FALSE)-AVERAGE('The List'!T2:T665))/STDEV('The List'!T2:T665)</f>
        <v>-0.49582927482363948</v>
      </c>
      <c r="H349" s="54">
        <f>(VLOOKUP($A349,'The List'!$B1:$AH665,20,FALSE)-AVERAGE('The List'!U2:U665))/STDEV('The List'!U2:U665)</f>
        <v>-0.54880507936306411</v>
      </c>
      <c r="I349" s="54">
        <f>(VLOOKUP($A349,'The List'!$B1:$AH665,21,FALSE)-AVERAGE('The List'!V2:V665))/STDEV('The List'!V2:V665)</f>
        <v>-0.3716528041988767</v>
      </c>
      <c r="J349" s="54">
        <f>(VLOOKUP($A349,'The List'!$B1:$AH665,22,FALSE)-AVERAGE('The List'!W2:W665))/STDEV('The List'!W2:W665)</f>
        <v>-0.12052213012053382</v>
      </c>
      <c r="K349" s="54">
        <f>(VLOOKUP($A349,'The List'!$B1:$AH665,23,FALSE)-AVERAGE('The List'!X2:X665))/STDEV('The List'!X2:X665)</f>
        <v>-6.707081540479512E-2</v>
      </c>
      <c r="L349" s="54">
        <f>(VLOOKUP($A349,'The List'!$B1:$AH665,24,FALSE)-AVERAGE('The List'!Y2:Y665))/STDEV('The List'!Y2:Y665)</f>
        <v>-0.41172603827247201</v>
      </c>
      <c r="M349" s="54">
        <f>(VLOOKUP($A349,'The List'!$B1:$AH665,25,FALSE)-AVERAGE('The List'!Z2:Z665))/STDEV('The List'!Z2:Z665)</f>
        <v>-0.58342437041836503</v>
      </c>
      <c r="N349" s="54">
        <f>(VLOOKUP($A349,'The List'!$B1:$AH665,26,FALSE)-AVERAGE('The List'!AA2:AA665))/STDEV('The List'!AA2:AA665)</f>
        <v>-0.75516674461411915</v>
      </c>
      <c r="O349" s="54">
        <f>(VLOOKUP($A349,'The List'!$B1:$AH665,27,FALSE)-AVERAGE('The List'!AB2:AB665))/STDEV('The List'!AB2:AB665)</f>
        <v>-0.96776967124502544</v>
      </c>
      <c r="P349" s="54">
        <f>(VLOOKUP($A349,'The List'!$B1:$AH665,28,FALSE)-AVERAGE('The List'!AC2:AC665))/STDEV('The List'!AC2:AC665)</f>
        <v>1.1294776043814889</v>
      </c>
      <c r="Q349" s="54">
        <f>(VLOOKUP($A349,'The List'!$B1:$AH665,29,FALSE)-AVERAGE('The List'!AD2:AD665))/STDEV('The List'!AD2:AD665)</f>
        <v>-0.25737418143703678</v>
      </c>
      <c r="R349" s="54">
        <f>(VLOOKUP($A349,'The List'!$B1:$AH665,30,FALSE)-AVERAGE('The List'!AE2:AE665))/STDEV('The List'!AE2:AE665)</f>
        <v>-0.38123594823415458</v>
      </c>
      <c r="S349" s="54">
        <f>(VLOOKUP($A349,'The List'!$B1:$AH665,31,FALSE)-AVERAGE('The List'!AF2:AF665))/STDEV('The List'!AF2:AF665)</f>
        <v>1.0690450761766035</v>
      </c>
      <c r="T349" s="54">
        <f>(VLOOKUP($A349,'The List'!$B1:$AH665,32,FALSE)-AVERAGE('The List'!AG2:AG665))/STDEV('The List'!AG2:AG665)</f>
        <v>0.79966312975786635</v>
      </c>
      <c r="U349" s="54">
        <f>(VLOOKUP($A349,'The List'!$B1:$AH665,33,FALSE)-AVERAGE('The List'!AH2:AH665))/STDEV('The List'!AH2:AH665)</f>
        <v>1.2651588977353248</v>
      </c>
      <c r="V349" s="54"/>
      <c r="W349" s="64"/>
      <c r="X349" s="56"/>
      <c r="Y349" s="56"/>
      <c r="Z349" s="56"/>
      <c r="AA349" s="56"/>
      <c r="AB349" s="56"/>
      <c r="AC349" s="59"/>
      <c r="AD349" s="60"/>
      <c r="AE349" s="54"/>
    </row>
    <row r="350" spans="1:31" ht="21.25" customHeight="1" x14ac:dyDescent="0.15">
      <c r="A350" s="9" t="s">
        <v>676</v>
      </c>
      <c r="B350" s="65" t="str">
        <f>VLOOKUP(A350,'Player Data'!A1:B667,2,FALSE)</f>
        <v>NYI</v>
      </c>
      <c r="C350" s="51">
        <f>((E350)*Settings!$C$12)+(F350*Settings!$C$2)+(G350*Settings!$C$3)+(H350*Settings!$C$4)+(I350*Settings!$C$5)+(K350*Settings!$C$9)+(N350*Settings!$C$6)+(J350*Settings!$C$8)+(O350*Settings!$C$7)+(P350*Settings!$C$14)+(Q350*Settings!$C$15)+(R350*Settings!$C$16)+(S350*Settings!$C$17)+(T350*Settings!$C$18)+(U350*Settings!$C$19)+(L350*Settings!$C$10)+(Settings!$C$11*M350)</f>
        <v>-2.876586970926458</v>
      </c>
      <c r="D350" s="56">
        <f>IF(Settings!$E$12="YES",VLOOKUP(A350,'Player Data'!A1:E667,5,FALSE),82)</f>
        <v>60</v>
      </c>
      <c r="E350" s="54">
        <f>(VLOOKUP($A350,'The List'!$B1:$AH665,17,FALSE)-AVERAGE('The List'!R2:R665))/STDEV('The List'!R2:R665)</f>
        <v>-0.79193032416635667</v>
      </c>
      <c r="F350" s="54">
        <f>(VLOOKUP($A350,'The List'!$B1:$AH665,18,FALSE)-AVERAGE('The List'!S2:S665))/STDEV('The List'!S2:S665)</f>
        <v>-0.18872160116334744</v>
      </c>
      <c r="G350" s="54">
        <f>(VLOOKUP($A350,'The List'!$B1:$AH665,19,FALSE)-AVERAGE('The List'!T2:T665))/STDEV('The List'!T2:T665)</f>
        <v>-1.0023166077696932</v>
      </c>
      <c r="H350" s="54">
        <f>(VLOOKUP($A350,'The List'!$B1:$AH665,20,FALSE)-AVERAGE('The List'!U2:U665))/STDEV('The List'!U2:U665)</f>
        <v>-0.7082779101840192</v>
      </c>
      <c r="I350" s="54">
        <f>(VLOOKUP($A350,'The List'!$B1:$AH665,21,FALSE)-AVERAGE('The List'!V2:V665))/STDEV('The List'!V2:V665)</f>
        <v>-0.53591184993993235</v>
      </c>
      <c r="J350" s="54">
        <f>(VLOOKUP($A350,'The List'!$B1:$AH665,22,FALSE)-AVERAGE('The List'!W2:W665))/STDEV('The List'!W2:W665)</f>
        <v>-0.24197036653472995</v>
      </c>
      <c r="K350" s="54">
        <f>(VLOOKUP($A350,'The List'!$B1:$AH665,23,FALSE)-AVERAGE('The List'!X2:X665))/STDEV('The List'!X2:X665)</f>
        <v>-0.48718710598641318</v>
      </c>
      <c r="L350" s="54">
        <f>(VLOOKUP($A350,'The List'!$B1:$AH665,24,FALSE)-AVERAGE('The List'!Y2:Y665))/STDEV('The List'!Y2:Y665)</f>
        <v>-0.5801829139020841</v>
      </c>
      <c r="M350" s="54">
        <f>(VLOOKUP($A350,'The List'!$B1:$AH665,25,FALSE)-AVERAGE('The List'!Z2:Z665))/STDEV('The List'!Z2:Z665)</f>
        <v>-0.75403666498999722</v>
      </c>
      <c r="N350" s="54">
        <f>(VLOOKUP($A350,'The List'!$B1:$AH665,26,FALSE)-AVERAGE('The List'!AA2:AA665))/STDEV('The List'!AA2:AA665)</f>
        <v>-0.95194239336345821</v>
      </c>
      <c r="O350" s="54">
        <f>(VLOOKUP($A350,'The List'!$B1:$AH665,27,FALSE)-AVERAGE('The List'!AB2:AB665))/STDEV('The List'!AB2:AB665)</f>
        <v>-0.44306538063163581</v>
      </c>
      <c r="P350" s="54">
        <f>(VLOOKUP($A350,'The List'!$B1:$AH665,28,FALSE)-AVERAGE('The List'!AC2:AC665))/STDEV('The List'!AC2:AC665)</f>
        <v>0.28949258729638605</v>
      </c>
      <c r="Q350" s="54">
        <f>(VLOOKUP($A350,'The List'!$B1:$AH665,29,FALSE)-AVERAGE('The List'!AD2:AD665))/STDEV('The List'!AD2:AD665)</f>
        <v>-0.62426742524872536</v>
      </c>
      <c r="R350" s="54">
        <f>(VLOOKUP($A350,'The List'!$B1:$AH665,30,FALSE)-AVERAGE('The List'!AE2:AE665))/STDEV('The List'!AE2:AE665)</f>
        <v>-0.1202406209203877</v>
      </c>
      <c r="S350" s="54">
        <f>(VLOOKUP($A350,'The List'!$B1:$AH665,31,FALSE)-AVERAGE('The List'!AF2:AF665))/STDEV('The List'!AF2:AF665)</f>
        <v>-0.57389441068000469</v>
      </c>
      <c r="T350" s="54">
        <f>(VLOOKUP($A350,'The List'!$B1:$AH665,32,FALSE)-AVERAGE('The List'!AG2:AG665))/STDEV('The List'!AG2:AG665)</f>
        <v>-0.62577078713265111</v>
      </c>
      <c r="U350" s="54">
        <f>(VLOOKUP($A350,'The List'!$B1:$AH665,33,FALSE)-AVERAGE('The List'!AH2:AH665))/STDEV('The List'!AH2:AH665)</f>
        <v>-1.2314350945148611</v>
      </c>
      <c r="V350" s="54"/>
      <c r="W350" s="56"/>
      <c r="X350" s="54"/>
      <c r="Y350" s="54"/>
      <c r="Z350" s="54"/>
      <c r="AA350" s="54"/>
      <c r="AB350" s="54"/>
      <c r="AC350" s="54"/>
      <c r="AD350" s="54"/>
      <c r="AE350" s="54"/>
    </row>
    <row r="351" spans="1:31" ht="21.25" customHeight="1" x14ac:dyDescent="0.15">
      <c r="A351" s="9" t="s">
        <v>659</v>
      </c>
      <c r="B351" s="65" t="str">
        <f>VLOOKUP(A351,'Player Data'!A1:B667,2,FALSE)</f>
        <v>N.J</v>
      </c>
      <c r="C351" s="51">
        <f>((E351)*Settings!$C$12)+(F351*Settings!$C$2)+(G351*Settings!$C$3)+(H351*Settings!$C$4)+(I351*Settings!$C$5)+(K351*Settings!$C$9)+(N351*Settings!$C$6)+(J351*Settings!$C$8)+(O351*Settings!$C$7)+(P351*Settings!$C$14)+(Q351*Settings!$C$15)+(R351*Settings!$C$16)+(S351*Settings!$C$17)+(T351*Settings!$C$18)+(U351*Settings!$C$19)+(L351*Settings!$C$10)+(Settings!$C$11*M351)</f>
        <v>-2.8480502731186901</v>
      </c>
      <c r="D351" s="56">
        <f>IF(Settings!$E$12="YES",VLOOKUP(A351,'Player Data'!A1:E667,5,FALSE),82)</f>
        <v>79.3</v>
      </c>
      <c r="E351" s="54">
        <f>(VLOOKUP($A351,'The List'!$B1:$AH665,17,FALSE)-AVERAGE('The List'!R2:R665))/STDEV('The List'!R2:R665)</f>
        <v>-1.143630128087282</v>
      </c>
      <c r="F351" s="54">
        <f>(VLOOKUP($A351,'The List'!$B1:$AH665,18,FALSE)-AVERAGE('The List'!S2:S665))/STDEV('The List'!S2:S665)</f>
        <v>-0.21648546957771367</v>
      </c>
      <c r="G351" s="54">
        <f>(VLOOKUP($A351,'The List'!$B1:$AH665,19,FALSE)-AVERAGE('The List'!T2:T665))/STDEV('The List'!T2:T665)</f>
        <v>-0.5015473002262133</v>
      </c>
      <c r="H351" s="54">
        <f>(VLOOKUP($A351,'The List'!$B1:$AH665,20,FALSE)-AVERAGE('The List'!U2:U665))/STDEV('The List'!U2:U665)</f>
        <v>-0.40989201080271781</v>
      </c>
      <c r="I351" s="54">
        <f>(VLOOKUP($A351,'The List'!$B1:$AH665,21,FALSE)-AVERAGE('The List'!V2:V665))/STDEV('The List'!V2:V665)</f>
        <v>-0.60635551700248391</v>
      </c>
      <c r="J351" s="54">
        <f>(VLOOKUP($A351,'The List'!$B1:$AH665,22,FALSE)-AVERAGE('The List'!W2:W665))/STDEV('The List'!W2:W665)</f>
        <v>-0.69499110639165107</v>
      </c>
      <c r="K351" s="54">
        <f>(VLOOKUP($A351,'The List'!$B1:$AH665,23,FALSE)-AVERAGE('The List'!X2:X665))/STDEV('The List'!X2:X665)</f>
        <v>-0.76725265936775466</v>
      </c>
      <c r="L351" s="54">
        <f>(VLOOKUP($A351,'The List'!$B1:$AH665,24,FALSE)-AVERAGE('The List'!Y2:Y665))/STDEV('The List'!Y2:Y665)</f>
        <v>-0.42884735479706276</v>
      </c>
      <c r="M351" s="54">
        <f>(VLOOKUP($A351,'The List'!$B1:$AH665,25,FALSE)-AVERAGE('The List'!Z2:Z665))/STDEV('The List'!Z2:Z665)</f>
        <v>-0.59599181798900847</v>
      </c>
      <c r="N351" s="54">
        <f>(VLOOKUP($A351,'The List'!$B1:$AH665,26,FALSE)-AVERAGE('The List'!AA2:AA665))/STDEV('The List'!AA2:AA665)</f>
        <v>-0.85563332623020327</v>
      </c>
      <c r="O351" s="54">
        <f>(VLOOKUP($A351,'The List'!$B1:$AH665,27,FALSE)-AVERAGE('The List'!AB2:AB665))/STDEV('The List'!AB2:AB665)</f>
        <v>-0.70386449729955147</v>
      </c>
      <c r="P351" s="54">
        <f>(VLOOKUP($A351,'The List'!$B1:$AH665,28,FALSE)-AVERAGE('The List'!AC2:AC665))/STDEV('The List'!AC2:AC665)</f>
        <v>9.9223999285679002E-2</v>
      </c>
      <c r="Q351" s="54">
        <f>(VLOOKUP($A351,'The List'!$B1:$AH665,29,FALSE)-AVERAGE('The List'!AD2:AD665))/STDEV('The List'!AD2:AD665)</f>
        <v>-0.67142684073865466</v>
      </c>
      <c r="R351" s="54">
        <f>(VLOOKUP($A351,'The List'!$B1:$AH665,30,FALSE)-AVERAGE('The List'!AE2:AE665))/STDEV('The List'!AE2:AE665)</f>
        <v>-0.19328981407716836</v>
      </c>
      <c r="S351" s="54">
        <f>(VLOOKUP($A351,'The List'!$B1:$AH665,31,FALSE)-AVERAGE('The List'!AF2:AF665))/STDEV('The List'!AF2:AF665)</f>
        <v>-0.52604698996199561</v>
      </c>
      <c r="T351" s="54">
        <f>(VLOOKUP($A351,'The List'!$B1:$AH665,32,FALSE)-AVERAGE('The List'!AG2:AG665))/STDEV('The List'!AG2:AG665)</f>
        <v>-0.52782972195101263</v>
      </c>
      <c r="U351" s="54">
        <f>(VLOOKUP($A351,'The List'!$B1:$AH665,33,FALSE)-AVERAGE('The List'!AH2:AH665))/STDEV('The List'!AH2:AH665)</f>
        <v>0.31861275626349006</v>
      </c>
      <c r="V351" s="54"/>
      <c r="W351" s="56"/>
      <c r="X351" s="54"/>
      <c r="Y351" s="54"/>
      <c r="Z351" s="54"/>
      <c r="AA351" s="54"/>
      <c r="AB351" s="54"/>
      <c r="AC351" s="54"/>
      <c r="AD351" s="54"/>
      <c r="AE351" s="54"/>
    </row>
    <row r="352" spans="1:31" ht="21.25" customHeight="1" x14ac:dyDescent="0.15">
      <c r="A352" s="9" t="s">
        <v>341</v>
      </c>
      <c r="B352" s="65" t="str">
        <f>VLOOKUP(A352,'Player Data'!A1:B667,2,FALSE)</f>
        <v>MIN</v>
      </c>
      <c r="C352" s="51">
        <f>((E352)*Settings!$C$12)+(F352*Settings!$C$2)+(G352*Settings!$C$3)+(H352*Settings!$C$4)+(I352*Settings!$C$5)+(K352*Settings!$C$9)+(N352*Settings!$C$6)+(J352*Settings!$C$8)+(O352*Settings!$C$7)+(P352*Settings!$C$14)+(Q352*Settings!$C$15)+(R352*Settings!$C$16)+(S352*Settings!$C$17)+(T352*Settings!$C$18)+(U352*Settings!$C$19)+(L352*Settings!$C$10)+(Settings!$C$11*M352)</f>
        <v>0.64876468687082256</v>
      </c>
      <c r="D352" s="56">
        <f>IF(Settings!$E$12="YES",VLOOKUP(A352,'Player Data'!A1:E667,5,FALSE),82)</f>
        <v>74.555000000000007</v>
      </c>
      <c r="E352" s="54">
        <f>(VLOOKUP($A352,'The List'!$B1:$AH665,17,FALSE)-AVERAGE('The List'!R2:R665))/STDEV('The List'!R2:R665)</f>
        <v>1.5490476939580475</v>
      </c>
      <c r="F352" s="54">
        <f>(VLOOKUP($A352,'The List'!$B1:$AH665,18,FALSE)-AVERAGE('The List'!S2:S665))/STDEV('The List'!S2:S665)</f>
        <v>-0.76714842028423813</v>
      </c>
      <c r="G352" s="54">
        <f>(VLOOKUP($A352,'The List'!$B1:$AH665,19,FALSE)-AVERAGE('The List'!T2:T665))/STDEV('The List'!T2:T665)</f>
        <v>-0.21965893067837508</v>
      </c>
      <c r="H352" s="54">
        <f>(VLOOKUP($A352,'The List'!$B1:$AH665,20,FALSE)-AVERAGE('The List'!U2:U665))/STDEV('The List'!U2:U665)</f>
        <v>-0.48512596946936426</v>
      </c>
      <c r="I352" s="54">
        <f>(VLOOKUP($A352,'The List'!$B1:$AH665,21,FALSE)-AVERAGE('The List'!V2:V665))/STDEV('The List'!V2:V665)</f>
        <v>-0.11443404994756284</v>
      </c>
      <c r="J352" s="54">
        <f>(VLOOKUP($A352,'The List'!$B1:$AH665,22,FALSE)-AVERAGE('The List'!W2:W665))/STDEV('The List'!W2:W665)</f>
        <v>-0.70846749456417835</v>
      </c>
      <c r="K352" s="54">
        <f>(VLOOKUP($A352,'The List'!$B1:$AH665,23,FALSE)-AVERAGE('The List'!X2:X665))/STDEV('The List'!X2:X665)</f>
        <v>-0.71371536432754668</v>
      </c>
      <c r="L352" s="54">
        <f>(VLOOKUP($A352,'The List'!$B1:$AH665,24,FALSE)-AVERAGE('The List'!Y2:Y665))/STDEV('The List'!Y2:Y665)</f>
        <v>-0.53582917602799418</v>
      </c>
      <c r="M352" s="54">
        <f>(VLOOKUP($A352,'The List'!$B1:$AH665,25,FALSE)-AVERAGE('The List'!Z2:Z665))/STDEV('The List'!Z2:Z665)</f>
        <v>2.5263871352742669E-2</v>
      </c>
      <c r="N352" s="54">
        <f>(VLOOKUP($A352,'The List'!$B1:$AH665,26,FALSE)-AVERAGE('The List'!AA2:AA665))/STDEV('The List'!AA2:AA665)</f>
        <v>2.0433887195174556</v>
      </c>
      <c r="O352" s="54">
        <f>(VLOOKUP($A352,'The List'!$B1:$AH665,27,FALSE)-AVERAGE('The List'!AB2:AB665))/STDEV('The List'!AB2:AB665)</f>
        <v>-0.99546635018851448</v>
      </c>
      <c r="P352" s="54">
        <f>(VLOOKUP($A352,'The List'!$B1:$AH665,28,FALSE)-AVERAGE('The List'!AC2:AC665))/STDEV('The List'!AC2:AC665)</f>
        <v>0.42033273259108972</v>
      </c>
      <c r="Q352" s="54">
        <f>(VLOOKUP($A352,'The List'!$B1:$AH665,29,FALSE)-AVERAGE('The List'!AD2:AD665))/STDEV('The List'!AD2:AD665)</f>
        <v>-0.42614745266010606</v>
      </c>
      <c r="R352" s="54">
        <f>(VLOOKUP($A352,'The List'!$B1:$AH665,30,FALSE)-AVERAGE('The List'!AE2:AE665))/STDEV('The List'!AE2:AE665)</f>
        <v>-0.67494201180057689</v>
      </c>
      <c r="S352" s="54">
        <f>(VLOOKUP($A352,'The List'!$B1:$AH665,31,FALSE)-AVERAGE('The List'!AF2:AF665))/STDEV('The List'!AF2:AF665)</f>
        <v>-0.57389441068000469</v>
      </c>
      <c r="T352" s="54">
        <f>(VLOOKUP($A352,'The List'!$B1:$AH665,32,FALSE)-AVERAGE('The List'!AG2:AG665))/STDEV('The List'!AG2:AG665)</f>
        <v>-0.62577078713265111</v>
      </c>
      <c r="U352" s="54">
        <f>(VLOOKUP($A352,'The List'!$B1:$AH665,33,FALSE)-AVERAGE('The List'!AH2:AH665))/STDEV('The List'!AH2:AH665)</f>
        <v>-1.2314350945148611</v>
      </c>
      <c r="V352" s="54"/>
      <c r="W352" s="64"/>
      <c r="X352" s="56"/>
      <c r="Y352" s="56"/>
      <c r="Z352" s="56"/>
      <c r="AA352" s="56"/>
      <c r="AB352" s="56"/>
      <c r="AC352" s="59"/>
      <c r="AD352" s="60"/>
      <c r="AE352" s="54"/>
    </row>
    <row r="353" spans="1:31" ht="21.25" customHeight="1" x14ac:dyDescent="0.15">
      <c r="A353" s="9" t="s">
        <v>684</v>
      </c>
      <c r="B353" s="65" t="str">
        <f>VLOOKUP(A353,'Player Data'!A1:B667,2,FALSE)</f>
        <v>ANA</v>
      </c>
      <c r="C353" s="51">
        <f>((E353)*Settings!$C$12)+(F353*Settings!$C$2)+(G353*Settings!$C$3)+(H353*Settings!$C$4)+(I353*Settings!$C$5)+(K353*Settings!$C$9)+(N353*Settings!$C$6)+(J353*Settings!$C$8)+(O353*Settings!$C$7)+(P353*Settings!$C$14)+(Q353*Settings!$C$15)+(R353*Settings!$C$16)+(S353*Settings!$C$17)+(T353*Settings!$C$18)+(U353*Settings!$C$19)+(L353*Settings!$C$10)+(Settings!$C$11*M353)</f>
        <v>-3.6718872347424236</v>
      </c>
      <c r="D353" s="56">
        <f>IF(Settings!$E$12="YES",VLOOKUP(A353,'Player Data'!A1:E667,5,FALSE),82)</f>
        <v>69.52</v>
      </c>
      <c r="E353" s="54">
        <f>(VLOOKUP($A353,'The List'!$B1:$AH665,17,FALSE)-AVERAGE('The List'!R2:R665))/STDEV('The List'!R2:R665)</f>
        <v>-1.2094986622976285</v>
      </c>
      <c r="F353" s="54">
        <f>(VLOOKUP($A353,'The List'!$B1:$AH665,18,FALSE)-AVERAGE('The List'!S2:S665))/STDEV('The List'!S2:S665)</f>
        <v>-5.1978264704538799E-2</v>
      </c>
      <c r="G353" s="54">
        <f>(VLOOKUP($A353,'The List'!$B1:$AH665,19,FALSE)-AVERAGE('The List'!T2:T665))/STDEV('The List'!T2:T665)</f>
        <v>-0.87560386144515023</v>
      </c>
      <c r="H353" s="54">
        <f>(VLOOKUP($A353,'The List'!$B1:$AH665,20,FALSE)-AVERAGE('The List'!U2:U665))/STDEV('The List'!U2:U665)</f>
        <v>-0.56742582354466709</v>
      </c>
      <c r="I353" s="54">
        <f>(VLOOKUP($A353,'The List'!$B1:$AH665,21,FALSE)-AVERAGE('The List'!V2:V665))/STDEV('The List'!V2:V665)</f>
        <v>-0.68907884919116336</v>
      </c>
      <c r="J353" s="54">
        <f>(VLOOKUP($A353,'The List'!$B1:$AH665,22,FALSE)-AVERAGE('The List'!W2:W665))/STDEV('The List'!W2:W665)</f>
        <v>-0.23119882734518357</v>
      </c>
      <c r="K353" s="54">
        <f>(VLOOKUP($A353,'The List'!$B1:$AH665,23,FALSE)-AVERAGE('The List'!X2:X665))/STDEV('The List'!X2:X665)</f>
        <v>-0.37105791649109576</v>
      </c>
      <c r="L353" s="54">
        <f>(VLOOKUP($A353,'The List'!$B1:$AH665,24,FALSE)-AVERAGE('The List'!Y2:Y665))/STDEV('The List'!Y2:Y665)</f>
        <v>-0.55313937110350953</v>
      </c>
      <c r="M353" s="54">
        <f>(VLOOKUP($A353,'The List'!$B1:$AH665,25,FALSE)-AVERAGE('The List'!Z2:Z665))/STDEV('The List'!Z2:Z665)</f>
        <v>-0.72639218429448438</v>
      </c>
      <c r="N353" s="54">
        <f>(VLOOKUP($A353,'The List'!$B1:$AH665,26,FALSE)-AVERAGE('The List'!AA2:AA665))/STDEV('The List'!AA2:AA665)</f>
        <v>-0.8223941695072623</v>
      </c>
      <c r="O353" s="54">
        <f>(VLOOKUP($A353,'The List'!$B1:$AH665,27,FALSE)-AVERAGE('The List'!AB2:AB665))/STDEV('The List'!AB2:AB665)</f>
        <v>-0.20982606727138828</v>
      </c>
      <c r="P353" s="54">
        <f>(VLOOKUP($A353,'The List'!$B1:$AH665,28,FALSE)-AVERAGE('The List'!AC2:AC665))/STDEV('The List'!AC2:AC665)</f>
        <v>-0.86177417340321327</v>
      </c>
      <c r="Q353" s="54">
        <f>(VLOOKUP($A353,'The List'!$B1:$AH665,29,FALSE)-AVERAGE('The List'!AD2:AD665))/STDEV('The List'!AD2:AD665)</f>
        <v>-0.6009988547729973</v>
      </c>
      <c r="R353" s="54">
        <f>(VLOOKUP($A353,'The List'!$B1:$AH665,30,FALSE)-AVERAGE('The List'!AE2:AE665))/STDEV('The List'!AE2:AE665)</f>
        <v>-0.31624139856365635</v>
      </c>
      <c r="S353" s="54">
        <f>(VLOOKUP($A353,'The List'!$B1:$AH665,31,FALSE)-AVERAGE('The List'!AF2:AF665))/STDEV('The List'!AF2:AF665)</f>
        <v>-0.30136282468018039</v>
      </c>
      <c r="T353" s="54">
        <f>(VLOOKUP($A353,'The List'!$B1:$AH665,32,FALSE)-AVERAGE('The List'!AG2:AG665))/STDEV('The List'!AG2:AG665)</f>
        <v>-0.35288330376457866</v>
      </c>
      <c r="U353" s="54">
        <f>(VLOOKUP($A353,'The List'!$B1:$AH665,33,FALSE)-AVERAGE('The List'!AH2:AH665))/STDEV('The List'!AH2:AH665)</f>
        <v>1.1035184599447483</v>
      </c>
      <c r="V353" s="54"/>
      <c r="W353" s="64"/>
      <c r="X353" s="56"/>
      <c r="Y353" s="56"/>
      <c r="Z353" s="56"/>
      <c r="AA353" s="56"/>
      <c r="AB353" s="56"/>
      <c r="AC353" s="59"/>
      <c r="AD353" s="60"/>
      <c r="AE353" s="54"/>
    </row>
    <row r="354" spans="1:31" ht="21.25" customHeight="1" x14ac:dyDescent="0.15">
      <c r="A354" s="9" t="s">
        <v>687</v>
      </c>
      <c r="B354" s="65" t="str">
        <f>VLOOKUP(A354,'Player Data'!A1:B667,2,FALSE)</f>
        <v>PIT</v>
      </c>
      <c r="C354" s="51">
        <f>((E354)*Settings!$C$12)+(F354*Settings!$C$2)+(G354*Settings!$C$3)+(H354*Settings!$C$4)+(I354*Settings!$C$5)+(K354*Settings!$C$9)+(N354*Settings!$C$6)+(J354*Settings!$C$8)+(O354*Settings!$C$7)+(P354*Settings!$C$14)+(Q354*Settings!$C$15)+(R354*Settings!$C$16)+(S354*Settings!$C$17)+(T354*Settings!$C$18)+(U354*Settings!$C$19)+(L354*Settings!$C$10)+(Settings!$C$11*M354)</f>
        <v>-2.6948554294782228</v>
      </c>
      <c r="D354" s="56">
        <f>IF(Settings!$E$12="YES",VLOOKUP(A354,'Player Data'!A1:E667,5,FALSE),82)</f>
        <v>70.677499999999995</v>
      </c>
      <c r="E354" s="54">
        <f>(VLOOKUP($A354,'The List'!$B1:$AH665,17,FALSE)-AVERAGE('The List'!R2:R665))/STDEV('The List'!R2:R665)</f>
        <v>-1.2975295702705629</v>
      </c>
      <c r="F354" s="54">
        <f>(VLOOKUP($A354,'The List'!$B1:$AH665,18,FALSE)-AVERAGE('The List'!S2:S665))/STDEV('The List'!S2:S665)</f>
        <v>-0.36896654991428213</v>
      </c>
      <c r="G354" s="54">
        <f>(VLOOKUP($A354,'The List'!$B1:$AH665,19,FALSE)-AVERAGE('The List'!T2:T665))/STDEV('The List'!T2:T665)</f>
        <v>-0.6193960118226246</v>
      </c>
      <c r="H354" s="54">
        <f>(VLOOKUP($A354,'The List'!$B1:$AH665,20,FALSE)-AVERAGE('The List'!U2:U665))/STDEV('The List'!U2:U665)</f>
        <v>-0.5523925861354011</v>
      </c>
      <c r="I354" s="54">
        <f>(VLOOKUP($A354,'The List'!$B1:$AH665,21,FALSE)-AVERAGE('The List'!V2:V665))/STDEV('The List'!V2:V665)</f>
        <v>-0.39332958978060556</v>
      </c>
      <c r="J354" s="54">
        <f>(VLOOKUP($A354,'The List'!$B1:$AH665,22,FALSE)-AVERAGE('The List'!W2:W665))/STDEV('The List'!W2:W665)</f>
        <v>-0.36566323148492758</v>
      </c>
      <c r="K354" s="54">
        <f>(VLOOKUP($A354,'The List'!$B1:$AH665,23,FALSE)-AVERAGE('The List'!X2:X665))/STDEV('The List'!X2:X665)</f>
        <v>-0.55135881893996008</v>
      </c>
      <c r="L354" s="54">
        <f>(VLOOKUP($A354,'The List'!$B1:$AH665,24,FALSE)-AVERAGE('The List'!Y2:Y665))/STDEV('The List'!Y2:Y665)</f>
        <v>-0.52722862705098561</v>
      </c>
      <c r="M354" s="54">
        <f>(VLOOKUP($A354,'The List'!$B1:$AH665,25,FALSE)-AVERAGE('The List'!Z2:Z665))/STDEV('The List'!Z2:Z665)</f>
        <v>-0.69989248054480324</v>
      </c>
      <c r="N354" s="54">
        <f>(VLOOKUP($A354,'The List'!$B1:$AH665,26,FALSE)-AVERAGE('The List'!AA2:AA665))/STDEV('The List'!AA2:AA665)</f>
        <v>-0.80762359355729052</v>
      </c>
      <c r="O354" s="54">
        <f>(VLOOKUP($A354,'The List'!$B1:$AH665,27,FALSE)-AVERAGE('The List'!AB2:AB665))/STDEV('The List'!AB2:AB665)</f>
        <v>-0.68153832016564775</v>
      </c>
      <c r="P354" s="54">
        <f>(VLOOKUP($A354,'The List'!$B1:$AH665,28,FALSE)-AVERAGE('The List'!AC2:AC665))/STDEV('The List'!AC2:AC665)</f>
        <v>4.5819134536539879E-2</v>
      </c>
      <c r="Q354" s="54">
        <f>(VLOOKUP($A354,'The List'!$B1:$AH665,29,FALSE)-AVERAGE('The List'!AD2:AD665))/STDEV('The List'!AD2:AD665)</f>
        <v>-0.78885695621328078</v>
      </c>
      <c r="R354" s="54">
        <f>(VLOOKUP($A354,'The List'!$B1:$AH665,30,FALSE)-AVERAGE('The List'!AE2:AE665))/STDEV('The List'!AE2:AE665)</f>
        <v>-0.357259126129719</v>
      </c>
      <c r="S354" s="54">
        <f>(VLOOKUP($A354,'The List'!$B1:$AH665,31,FALSE)-AVERAGE('The List'!AF2:AF665))/STDEV('The List'!AF2:AF665)</f>
        <v>0.37595005046085211</v>
      </c>
      <c r="T354" s="54">
        <f>(VLOOKUP($A354,'The List'!$B1:$AH665,32,FALSE)-AVERAGE('The List'!AG2:AG665))/STDEV('The List'!AG2:AG665)</f>
        <v>0.47547086538468425</v>
      </c>
      <c r="U354" s="54">
        <f>(VLOOKUP($A354,'The List'!$B1:$AH665,33,FALSE)-AVERAGE('The List'!AH2:AH665))/STDEV('The List'!AH2:AH665)</f>
        <v>0.93747407542062267</v>
      </c>
      <c r="V354" s="54"/>
      <c r="W354" s="64"/>
      <c r="X354" s="56"/>
      <c r="Y354" s="56"/>
      <c r="Z354" s="56"/>
      <c r="AA354" s="56"/>
      <c r="AB354" s="56"/>
      <c r="AC354" s="59"/>
      <c r="AD354" s="60"/>
      <c r="AE354" s="54"/>
    </row>
    <row r="355" spans="1:31" ht="21.25" customHeight="1" x14ac:dyDescent="0.15">
      <c r="A355" s="9" t="s">
        <v>416</v>
      </c>
      <c r="B355" s="65" t="str">
        <f>VLOOKUP(A355,'Player Data'!A1:B667,2,FALSE)</f>
        <v>BOS</v>
      </c>
      <c r="C355" s="51">
        <f>((E355)*Settings!$C$12)+(F355*Settings!$C$2)+(G355*Settings!$C$3)+(H355*Settings!$C$4)+(I355*Settings!$C$5)+(K355*Settings!$C$9)+(N355*Settings!$C$6)+(J355*Settings!$C$8)+(O355*Settings!$C$7)+(P355*Settings!$C$14)+(Q355*Settings!$C$15)+(R355*Settings!$C$16)+(S355*Settings!$C$17)+(T355*Settings!$C$18)+(U355*Settings!$C$19)+(L355*Settings!$C$10)+(Settings!$C$11*M355)</f>
        <v>-1.3515416619431333</v>
      </c>
      <c r="D355" s="56">
        <f>IF(Settings!$E$12="YES",VLOOKUP(A355,'Player Data'!A1:E667,5,FALSE),82)</f>
        <v>79.987499999999997</v>
      </c>
      <c r="E355" s="54">
        <f>(VLOOKUP($A355,'The List'!$B1:$AH665,17,FALSE)-AVERAGE('The List'!R2:R665))/STDEV('The List'!R2:R665)</f>
        <v>0.81195116699140768</v>
      </c>
      <c r="F355" s="54">
        <f>(VLOOKUP($A355,'The List'!$B1:$AH665,18,FALSE)-AVERAGE('The List'!S2:S665))/STDEV('The List'!S2:S665)</f>
        <v>-0.33772474875640002</v>
      </c>
      <c r="G355" s="54">
        <f>(VLOOKUP($A355,'The List'!$B1:$AH665,19,FALSE)-AVERAGE('The List'!T2:T665))/STDEV('The List'!T2:T665)</f>
        <v>-0.41185548899134078</v>
      </c>
      <c r="H355" s="54">
        <f>(VLOOKUP($A355,'The List'!$B1:$AH665,20,FALSE)-AVERAGE('The List'!U2:U665))/STDEV('The List'!U2:U665)</f>
        <v>-0.40929736817671802</v>
      </c>
      <c r="I355" s="54">
        <f>(VLOOKUP($A355,'The List'!$B1:$AH665,21,FALSE)-AVERAGE('The List'!V2:V665))/STDEV('The List'!V2:V665)</f>
        <v>-0.21230197526631378</v>
      </c>
      <c r="J355" s="54">
        <f>(VLOOKUP($A355,'The List'!$B1:$AH665,22,FALSE)-AVERAGE('The List'!W2:W665))/STDEV('The List'!W2:W665)</f>
        <v>-0.73555891621192593</v>
      </c>
      <c r="K355" s="54">
        <f>(VLOOKUP($A355,'The List'!$B1:$AH665,23,FALSE)-AVERAGE('The List'!X2:X665))/STDEV('The List'!X2:X665)</f>
        <v>-0.79600395509349064</v>
      </c>
      <c r="L355" s="54">
        <f>(VLOOKUP($A355,'The List'!$B1:$AH665,24,FALSE)-AVERAGE('The List'!Y2:Y665))/STDEV('The List'!Y2:Y665)</f>
        <v>-0.54586940802938111</v>
      </c>
      <c r="M355" s="54">
        <f>(VLOOKUP($A355,'The List'!$B1:$AH665,25,FALSE)-AVERAGE('The List'!Z2:Z665))/STDEV('The List'!Z2:Z665)</f>
        <v>-0.26856737147023352</v>
      </c>
      <c r="N355" s="54">
        <f>(VLOOKUP($A355,'The List'!$B1:$AH665,26,FALSE)-AVERAGE('The List'!AA2:AA665))/STDEV('The List'!AA2:AA665)</f>
        <v>0.52085177363580104</v>
      </c>
      <c r="O355" s="54">
        <f>(VLOOKUP($A355,'The List'!$B1:$AH665,27,FALSE)-AVERAGE('The List'!AB2:AB665))/STDEV('The List'!AB2:AB665)</f>
        <v>1.9037479987898192</v>
      </c>
      <c r="P355" s="54">
        <f>(VLOOKUP($A355,'The List'!$B1:$AH665,28,FALSE)-AVERAGE('The List'!AC2:AC665))/STDEV('The List'!AC2:AC665)</f>
        <v>-0.11450726747138912</v>
      </c>
      <c r="Q355" s="54">
        <f>(VLOOKUP($A355,'The List'!$B1:$AH665,29,FALSE)-AVERAGE('The List'!AD2:AD665))/STDEV('The List'!AD2:AD665)</f>
        <v>3.5470252129712199</v>
      </c>
      <c r="R355" s="54">
        <f>(VLOOKUP($A355,'The List'!$B1:$AH665,30,FALSE)-AVERAGE('The List'!AE2:AE665))/STDEV('The List'!AE2:AE665)</f>
        <v>-0.27952899984367408</v>
      </c>
      <c r="S355" s="54">
        <f>(VLOOKUP($A355,'The List'!$B1:$AH665,31,FALSE)-AVERAGE('The List'!AF2:AF665))/STDEV('The List'!AF2:AF665)</f>
        <v>-0.57389441068000469</v>
      </c>
      <c r="T355" s="54">
        <f>(VLOOKUP($A355,'The List'!$B1:$AH665,32,FALSE)-AVERAGE('The List'!AG2:AG665))/STDEV('The List'!AG2:AG665)</f>
        <v>-0.62577078713265111</v>
      </c>
      <c r="U355" s="54">
        <f>(VLOOKUP($A355,'The List'!$B1:$AH665,33,FALSE)-AVERAGE('The List'!AH2:AH665))/STDEV('The List'!AH2:AH665)</f>
        <v>-1.2314350945148611</v>
      </c>
      <c r="V355" s="54"/>
      <c r="W355" s="64"/>
      <c r="X355" s="56"/>
      <c r="Y355" s="56"/>
      <c r="Z355" s="56"/>
      <c r="AA355" s="56"/>
      <c r="AB355" s="56"/>
      <c r="AC355" s="59"/>
      <c r="AD355" s="60"/>
      <c r="AE355" s="54"/>
    </row>
    <row r="356" spans="1:31" ht="21.25" customHeight="1" x14ac:dyDescent="0.15">
      <c r="A356" s="9" t="s">
        <v>607</v>
      </c>
      <c r="B356" s="65" t="str">
        <f>VLOOKUP(A356,'Player Data'!A1:B667,2,FALSE)</f>
        <v>CHI</v>
      </c>
      <c r="C356" s="51">
        <f>((E356)*Settings!$C$12)+(F356*Settings!$C$2)+(G356*Settings!$C$3)+(H356*Settings!$C$4)+(I356*Settings!$C$5)+(K356*Settings!$C$9)+(N356*Settings!$C$6)+(J356*Settings!$C$8)+(O356*Settings!$C$7)+(P356*Settings!$C$14)+(Q356*Settings!$C$15)+(R356*Settings!$C$16)+(S356*Settings!$C$17)+(T356*Settings!$C$18)+(U356*Settings!$C$19)+(L356*Settings!$C$10)+(Settings!$C$11*M356)</f>
        <v>-1.7615489380662392</v>
      </c>
      <c r="D356" s="56">
        <f>IF(Settings!$E$12="YES",VLOOKUP(A356,'Player Data'!A1:E667,5,FALSE),82)</f>
        <v>73.47</v>
      </c>
      <c r="E356" s="54">
        <f>(VLOOKUP($A356,'The List'!$B1:$AH665,17,FALSE)-AVERAGE('The List'!R2:R665))/STDEV('The List'!R2:R665)</f>
        <v>-0.98689554849980088</v>
      </c>
      <c r="F356" s="54">
        <f>(VLOOKUP($A356,'The List'!$B1:$AH665,18,FALSE)-AVERAGE('The List'!S2:S665))/STDEV('The List'!S2:S665)</f>
        <v>-0.27270480794874696</v>
      </c>
      <c r="G356" s="54">
        <f>(VLOOKUP($A356,'The List'!$B1:$AH665,19,FALSE)-AVERAGE('The List'!T2:T665))/STDEV('The List'!T2:T665)</f>
        <v>-0.63575904966774921</v>
      </c>
      <c r="H356" s="54">
        <f>(VLOOKUP($A356,'The List'!$B1:$AH665,20,FALSE)-AVERAGE('The List'!U2:U665))/STDEV('The List'!U2:U665)</f>
        <v>-0.51879941528875884</v>
      </c>
      <c r="I356" s="54">
        <f>(VLOOKUP($A356,'The List'!$B1:$AH665,21,FALSE)-AVERAGE('The List'!V2:V665))/STDEV('The List'!V2:V665)</f>
        <v>-0.1047161724565963</v>
      </c>
      <c r="J356" s="54">
        <f>(VLOOKUP($A356,'The List'!$B1:$AH665,22,FALSE)-AVERAGE('The List'!W2:W665))/STDEV('The List'!W2:W665)</f>
        <v>-0.63567659856348002</v>
      </c>
      <c r="K356" s="54">
        <f>(VLOOKUP($A356,'The List'!$B1:$AH665,23,FALSE)-AVERAGE('The List'!X2:X665))/STDEV('The List'!X2:X665)</f>
        <v>-0.74588177468428618</v>
      </c>
      <c r="L356" s="54">
        <f>(VLOOKUP($A356,'The List'!$B1:$AH665,24,FALSE)-AVERAGE('The List'!Y2:Y665))/STDEV('The List'!Y2:Y665)</f>
        <v>0.25167112796828189</v>
      </c>
      <c r="M356" s="54">
        <f>(VLOOKUP($A356,'The List'!$B1:$AH665,25,FALSE)-AVERAGE('The List'!Z2:Z665))/STDEV('The List'!Z2:Z665)</f>
        <v>-0.19092226133948212</v>
      </c>
      <c r="N356" s="54">
        <f>(VLOOKUP($A356,'The List'!$B1:$AH665,26,FALSE)-AVERAGE('The List'!AA2:AA665))/STDEV('The List'!AA2:AA665)</f>
        <v>-1.0376911207836563</v>
      </c>
      <c r="O356" s="54">
        <f>(VLOOKUP($A356,'The List'!$B1:$AH665,27,FALSE)-AVERAGE('The List'!AB2:AB665))/STDEV('The List'!AB2:AB665)</f>
        <v>-0.9554111805196086</v>
      </c>
      <c r="P356" s="54">
        <f>(VLOOKUP($A356,'The List'!$B1:$AH665,28,FALSE)-AVERAGE('The List'!AC2:AC665))/STDEV('The List'!AC2:AC665)</f>
        <v>1.0352039874747954</v>
      </c>
      <c r="Q356" s="54">
        <f>(VLOOKUP($A356,'The List'!$B1:$AH665,29,FALSE)-AVERAGE('The List'!AD2:AD665))/STDEV('The List'!AD2:AD665)</f>
        <v>-1.5548873740171396</v>
      </c>
      <c r="R356" s="54">
        <f>(VLOOKUP($A356,'The List'!$B1:$AH665,30,FALSE)-AVERAGE('The List'!AE2:AE665))/STDEV('The List'!AE2:AE665)</f>
        <v>-0.39507739361928834</v>
      </c>
      <c r="S356" s="54">
        <f>(VLOOKUP($A356,'The List'!$B1:$AH665,31,FALSE)-AVERAGE('The List'!AF2:AF665))/STDEV('The List'!AF2:AF665)</f>
        <v>-0.55382479627626646</v>
      </c>
      <c r="T356" s="54">
        <f>(VLOOKUP($A356,'The List'!$B1:$AH665,32,FALSE)-AVERAGE('The List'!AG2:AG665))/STDEV('The List'!AG2:AG665)</f>
        <v>-0.53775358492308378</v>
      </c>
      <c r="U356" s="54">
        <f>(VLOOKUP($A356,'The List'!$B1:$AH665,33,FALSE)-AVERAGE('The List'!AH2:AH665))/STDEV('The List'!AH2:AH665)</f>
        <v>-0.34662107584100754</v>
      </c>
      <c r="V356" s="54"/>
      <c r="W356" s="56"/>
      <c r="X356" s="54"/>
      <c r="Y356" s="54"/>
      <c r="Z356" s="54"/>
      <c r="AA356" s="54"/>
      <c r="AB356" s="54"/>
      <c r="AC356" s="54"/>
      <c r="AD356" s="54"/>
      <c r="AE356" s="54"/>
    </row>
    <row r="357" spans="1:31" ht="21.25" customHeight="1" x14ac:dyDescent="0.15">
      <c r="A357" s="9" t="s">
        <v>588</v>
      </c>
      <c r="B357" s="65" t="str">
        <f>VLOOKUP(A357,'Player Data'!A1:B667,2,FALSE)</f>
        <v>COL</v>
      </c>
      <c r="C357" s="51">
        <f>((E357)*Settings!$C$12)+(F357*Settings!$C$2)+(G357*Settings!$C$3)+(H357*Settings!$C$4)+(I357*Settings!$C$5)+(K357*Settings!$C$9)+(N357*Settings!$C$6)+(J357*Settings!$C$8)+(O357*Settings!$C$7)+(P357*Settings!$C$14)+(Q357*Settings!$C$15)+(R357*Settings!$C$16)+(S357*Settings!$C$17)+(T357*Settings!$C$18)+(U357*Settings!$C$19)+(L357*Settings!$C$10)+(Settings!$C$11*M357)</f>
        <v>-1.8902966661208718</v>
      </c>
      <c r="D357" s="56">
        <f>IF(Settings!$E$12="YES",VLOOKUP(A357,'Player Data'!A1:E667,5,FALSE),82)</f>
        <v>75.284999999999997</v>
      </c>
      <c r="E357" s="54">
        <f>(VLOOKUP($A357,'The List'!$B1:$AH665,17,FALSE)-AVERAGE('The List'!R2:R665))/STDEV('The List'!R2:R665)</f>
        <v>-0.98829427723273311</v>
      </c>
      <c r="F357" s="54">
        <f>(VLOOKUP($A357,'The List'!$B1:$AH665,18,FALSE)-AVERAGE('The List'!S2:S665))/STDEV('The List'!S2:S665)</f>
        <v>-0.37986812581878671</v>
      </c>
      <c r="G357" s="54">
        <f>(VLOOKUP($A357,'The List'!$B1:$AH665,19,FALSE)-AVERAGE('The List'!T2:T665))/STDEV('The List'!T2:T665)</f>
        <v>-0.51753417823153403</v>
      </c>
      <c r="H357" s="54">
        <f>(VLOOKUP($A357,'The List'!$B1:$AH665,20,FALSE)-AVERAGE('The List'!U2:U665))/STDEV('The List'!U2:U665)</f>
        <v>-0.49408594441863429</v>
      </c>
      <c r="I357" s="54">
        <f>(VLOOKUP($A357,'The List'!$B1:$AH665,21,FALSE)-AVERAGE('The List'!V2:V665))/STDEV('The List'!V2:V665)</f>
        <v>0.38461768819919284</v>
      </c>
      <c r="J357" s="54">
        <f>(VLOOKUP($A357,'The List'!$B1:$AH665,22,FALSE)-AVERAGE('The List'!W2:W665))/STDEV('The List'!W2:W665)</f>
        <v>-0.7208020498827189</v>
      </c>
      <c r="K357" s="54">
        <f>(VLOOKUP($A357,'The List'!$B1:$AH665,23,FALSE)-AVERAGE('The List'!X2:X665))/STDEV('The List'!X2:X665)</f>
        <v>-0.81332115313052467</v>
      </c>
      <c r="L357" s="54">
        <f>(VLOOKUP($A357,'The List'!$B1:$AH665,24,FALSE)-AVERAGE('The List'!Y2:Y665))/STDEV('The List'!Y2:Y665)</f>
        <v>0.65009611757222086</v>
      </c>
      <c r="M357" s="54">
        <f>(VLOOKUP($A357,'The List'!$B1:$AH665,25,FALSE)-AVERAGE('The List'!Z2:Z665))/STDEV('The List'!Z2:Z665)</f>
        <v>0.10595001026427629</v>
      </c>
      <c r="N357" s="54">
        <f>(VLOOKUP($A357,'The List'!$B1:$AH665,26,FALSE)-AVERAGE('The List'!AA2:AA665))/STDEV('The List'!AA2:AA665)</f>
        <v>-0.77684982890801402</v>
      </c>
      <c r="O357" s="54">
        <f>(VLOOKUP($A357,'The List'!$B1:$AH665,27,FALSE)-AVERAGE('The List'!AB2:AB665))/STDEV('The List'!AB2:AB665)</f>
        <v>0.28436135204783169</v>
      </c>
      <c r="P357" s="54">
        <f>(VLOOKUP($A357,'The List'!$B1:$AH665,28,FALSE)-AVERAGE('The List'!AC2:AC665))/STDEV('The List'!AC2:AC665)</f>
        <v>0.212658931768795</v>
      </c>
      <c r="Q357" s="54">
        <f>(VLOOKUP($A357,'The List'!$B1:$AH665,29,FALSE)-AVERAGE('The List'!AD2:AD665))/STDEV('The List'!AD2:AD665)</f>
        <v>1.1763397937460525</v>
      </c>
      <c r="R357" s="54">
        <f>(VLOOKUP($A357,'The List'!$B1:$AH665,30,FALSE)-AVERAGE('The List'!AE2:AE665))/STDEV('The List'!AE2:AE665)</f>
        <v>-0.36048483030433243</v>
      </c>
      <c r="S357" s="54">
        <f>(VLOOKUP($A357,'The List'!$B1:$AH665,31,FALSE)-AVERAGE('The List'!AF2:AF665))/STDEV('The List'!AF2:AF665)</f>
        <v>-0.53210751940770207</v>
      </c>
      <c r="T357" s="54">
        <f>(VLOOKUP($A357,'The List'!$B1:$AH665,32,FALSE)-AVERAGE('The List'!AG2:AG665))/STDEV('The List'!AG2:AG665)</f>
        <v>-0.49156404425774358</v>
      </c>
      <c r="U357" s="54">
        <f>(VLOOKUP($A357,'The List'!$B1:$AH665,33,FALSE)-AVERAGE('The List'!AH2:AH665))/STDEV('The List'!AH2:AH665)</f>
        <v>-0.10367349652063251</v>
      </c>
      <c r="V357" s="54"/>
      <c r="W357" s="56"/>
      <c r="X357" s="54"/>
      <c r="Y357" s="54"/>
      <c r="Z357" s="54"/>
      <c r="AA357" s="54"/>
      <c r="AB357" s="54"/>
      <c r="AC357" s="54"/>
      <c r="AD357" s="54"/>
      <c r="AE357" s="54"/>
    </row>
    <row r="358" spans="1:31" ht="21.25" customHeight="1" x14ac:dyDescent="0.15">
      <c r="A358" s="9" t="s">
        <v>618</v>
      </c>
      <c r="B358" s="65" t="str">
        <f>VLOOKUP(A358,'Player Data'!A1:B667,2,FALSE)</f>
        <v>STL</v>
      </c>
      <c r="C358" s="51">
        <f>((E358)*Settings!$C$12)+(F358*Settings!$C$2)+(G358*Settings!$C$3)+(H358*Settings!$C$4)+(I358*Settings!$C$5)+(K358*Settings!$C$9)+(N358*Settings!$C$6)+(J358*Settings!$C$8)+(O358*Settings!$C$7)+(P358*Settings!$C$14)+(Q358*Settings!$C$15)+(R358*Settings!$C$16)+(S358*Settings!$C$17)+(T358*Settings!$C$18)+(U358*Settings!$C$19)+(L358*Settings!$C$10)+(Settings!$C$11*M358)</f>
        <v>-4.525403650166572</v>
      </c>
      <c r="D358" s="56">
        <f>IF(Settings!$E$12="YES",VLOOKUP(A358,'Player Data'!A1:E667,5,FALSE),82)</f>
        <v>58.375</v>
      </c>
      <c r="E358" s="54">
        <f>(VLOOKUP($A358,'The List'!$B1:$AH665,17,FALSE)-AVERAGE('The List'!R2:R665))/STDEV('The List'!R2:R665)</f>
        <v>-1.3591278278505563</v>
      </c>
      <c r="F358" s="54">
        <f>(VLOOKUP($A358,'The List'!$B1:$AH665,18,FALSE)-AVERAGE('The List'!S2:S665))/STDEV('The List'!S2:S665)</f>
        <v>-0.38951215946586365</v>
      </c>
      <c r="G358" s="54">
        <f>(VLOOKUP($A358,'The List'!$B1:$AH665,19,FALSE)-AVERAGE('The List'!T2:T665))/STDEV('The List'!T2:T665)</f>
        <v>-0.92721788514919079</v>
      </c>
      <c r="H358" s="54">
        <f>(VLOOKUP($A358,'The List'!$B1:$AH665,20,FALSE)-AVERAGE('The List'!U2:U665))/STDEV('The List'!U2:U665)</f>
        <v>-0.75290623386700295</v>
      </c>
      <c r="I358" s="54">
        <f>(VLOOKUP($A358,'The List'!$B1:$AH665,21,FALSE)-AVERAGE('The List'!V2:V665))/STDEV('The List'!V2:V665)</f>
        <v>-0.86508543889830947</v>
      </c>
      <c r="J358" s="54">
        <f>(VLOOKUP($A358,'The List'!$B1:$AH665,22,FALSE)-AVERAGE('The List'!W2:W665))/STDEV('The List'!W2:W665)</f>
        <v>-0.61045491070473401</v>
      </c>
      <c r="K358" s="54">
        <f>(VLOOKUP($A358,'The List'!$B1:$AH665,23,FALSE)-AVERAGE('The List'!X2:X665))/STDEV('The List'!X2:X665)</f>
        <v>-0.71098456804889421</v>
      </c>
      <c r="L358" s="54">
        <f>(VLOOKUP($A358,'The List'!$B1:$AH665,24,FALSE)-AVERAGE('The List'!Y2:Y665))/STDEV('The List'!Y2:Y665)</f>
        <v>-0.5771301963339841</v>
      </c>
      <c r="M358" s="54">
        <f>(VLOOKUP($A358,'The List'!$B1:$AH665,25,FALSE)-AVERAGE('The List'!Z2:Z665))/STDEV('The List'!Z2:Z665)</f>
        <v>-0.75090285872364071</v>
      </c>
      <c r="N358" s="54">
        <f>(VLOOKUP($A358,'The List'!$B1:$AH665,26,FALSE)-AVERAGE('The List'!AA2:AA665))/STDEV('The List'!AA2:AA665)</f>
        <v>-0.90678000898251976</v>
      </c>
      <c r="O358" s="54">
        <f>(VLOOKUP($A358,'The List'!$B1:$AH665,27,FALSE)-AVERAGE('The List'!AB2:AB665))/STDEV('The List'!AB2:AB665)</f>
        <v>-1.0306000783155558</v>
      </c>
      <c r="P358" s="54">
        <f>(VLOOKUP($A358,'The List'!$B1:$AH665,28,FALSE)-AVERAGE('The List'!AC2:AC665))/STDEV('The List'!AC2:AC665)</f>
        <v>-0.72582358962179438</v>
      </c>
      <c r="Q358" s="54">
        <f>(VLOOKUP($A358,'The List'!$B1:$AH665,29,FALSE)-AVERAGE('The List'!AD2:AD665))/STDEV('The List'!AD2:AD665)</f>
        <v>-1.1398221452298705</v>
      </c>
      <c r="R358" s="54">
        <f>(VLOOKUP($A358,'The List'!$B1:$AH665,30,FALSE)-AVERAGE('The List'!AE2:AE665))/STDEV('The List'!AE2:AE665)</f>
        <v>-0.54553774419767365</v>
      </c>
      <c r="S358" s="54">
        <f>(VLOOKUP($A358,'The List'!$B1:$AH665,31,FALSE)-AVERAGE('The List'!AF2:AF665))/STDEV('The List'!AF2:AF665)</f>
        <v>-0.56272606383407708</v>
      </c>
      <c r="T358" s="54">
        <f>(VLOOKUP($A358,'The List'!$B1:$AH665,32,FALSE)-AVERAGE('The List'!AG2:AG665))/STDEV('The List'!AG2:AG665)</f>
        <v>-0.6138916340467564</v>
      </c>
      <c r="U358" s="54">
        <f>(VLOOKUP($A358,'The List'!$B1:$AH665,33,FALSE)-AVERAGE('The List'!AH2:AH665))/STDEV('The List'!AH2:AH665)</f>
        <v>1.0350941791663146</v>
      </c>
      <c r="V358" s="54"/>
      <c r="W358" s="56"/>
      <c r="X358" s="54"/>
      <c r="Y358" s="54"/>
      <c r="Z358" s="54"/>
      <c r="AA358" s="54"/>
      <c r="AB358" s="54"/>
      <c r="AC358" s="54"/>
      <c r="AD358" s="54"/>
      <c r="AE358" s="54"/>
    </row>
    <row r="359" spans="1:31" ht="21.25" customHeight="1" x14ac:dyDescent="0.15">
      <c r="A359" s="9" t="s">
        <v>530</v>
      </c>
      <c r="B359" s="65" t="str">
        <f>VLOOKUP(A359,'Player Data'!A1:B667,2,FALSE)</f>
        <v>WPG</v>
      </c>
      <c r="C359" s="51">
        <f>((E359)*Settings!$C$12)+(F359*Settings!$C$2)+(G359*Settings!$C$3)+(H359*Settings!$C$4)+(I359*Settings!$C$5)+(K359*Settings!$C$9)+(N359*Settings!$C$6)+(J359*Settings!$C$8)+(O359*Settings!$C$7)+(P359*Settings!$C$14)+(Q359*Settings!$C$15)+(R359*Settings!$C$16)+(S359*Settings!$C$17)+(T359*Settings!$C$18)+(U359*Settings!$C$19)+(L359*Settings!$C$10)+(Settings!$C$11*M359)</f>
        <v>-0.8381272715785677</v>
      </c>
      <c r="D359" s="56">
        <f>IF(Settings!$E$12="YES",VLOOKUP(A359,'Player Data'!A1:E667,5,FALSE),82)</f>
        <v>78.567499999999995</v>
      </c>
      <c r="E359" s="54">
        <f>(VLOOKUP($A359,'The List'!$B1:$AH665,17,FALSE)-AVERAGE('The List'!R2:R665))/STDEV('The List'!R2:R665)</f>
        <v>-0.45983096114112498</v>
      </c>
      <c r="F359" s="54">
        <f>(VLOOKUP($A359,'The List'!$B1:$AH665,18,FALSE)-AVERAGE('The List'!S2:S665))/STDEV('The List'!S2:S665)</f>
        <v>-0.29046789728419081</v>
      </c>
      <c r="G359" s="54">
        <f>(VLOOKUP($A359,'The List'!$B1:$AH665,19,FALSE)-AVERAGE('The List'!T2:T665))/STDEV('The List'!T2:T665)</f>
        <v>-0.50352761608934116</v>
      </c>
      <c r="H359" s="54">
        <f>(VLOOKUP($A359,'The List'!$B1:$AH665,20,FALSE)-AVERAGE('The List'!U2:U665))/STDEV('The List'!U2:U665)</f>
        <v>-0.44475042836281242</v>
      </c>
      <c r="I359" s="54">
        <f>(VLOOKUP($A359,'The List'!$B1:$AH665,21,FALSE)-AVERAGE('The List'!V2:V665))/STDEV('The List'!V2:V665)</f>
        <v>-3.2066278952621118E-2</v>
      </c>
      <c r="J359" s="54">
        <f>(VLOOKUP($A359,'The List'!$B1:$AH665,22,FALSE)-AVERAGE('The List'!W2:W665))/STDEV('The List'!W2:W665)</f>
        <v>-0.10389394790402075</v>
      </c>
      <c r="K359" s="54">
        <f>(VLOOKUP($A359,'The List'!$B1:$AH665,23,FALSE)-AVERAGE('The List'!X2:X665))/STDEV('The List'!X2:X665)</f>
        <v>-0.36954803582281109</v>
      </c>
      <c r="L359" s="54">
        <f>(VLOOKUP($A359,'The List'!$B1:$AH665,24,FALSE)-AVERAGE('The List'!Y2:Y665))/STDEV('The List'!Y2:Y665)</f>
        <v>-0.19902966593380259</v>
      </c>
      <c r="M359" s="54">
        <f>(VLOOKUP($A359,'The List'!$B1:$AH665,25,FALSE)-AVERAGE('The List'!Z2:Z665))/STDEV('The List'!Z2:Z665)</f>
        <v>0.10405230766948127</v>
      </c>
      <c r="N359" s="54">
        <f>(VLOOKUP($A359,'The List'!$B1:$AH665,26,FALSE)-AVERAGE('The List'!AA2:AA665))/STDEV('The List'!AA2:AA665)</f>
        <v>-0.23724020824154485</v>
      </c>
      <c r="O359" s="54">
        <f>(VLOOKUP($A359,'The List'!$B1:$AH665,27,FALSE)-AVERAGE('The List'!AB2:AB665))/STDEV('The List'!AB2:AB665)</f>
        <v>-0.96675780507387277</v>
      </c>
      <c r="P359" s="54">
        <f>(VLOOKUP($A359,'The List'!$B1:$AH665,28,FALSE)-AVERAGE('The List'!AC2:AC665))/STDEV('The List'!AC2:AC665)</f>
        <v>0.59472276481194131</v>
      </c>
      <c r="Q359" s="54">
        <f>(VLOOKUP($A359,'The List'!$B1:$AH665,29,FALSE)-AVERAGE('The List'!AD2:AD665))/STDEV('The List'!AD2:AD665)</f>
        <v>-1.3033188532038773</v>
      </c>
      <c r="R359" s="54">
        <f>(VLOOKUP($A359,'The List'!$B1:$AH665,30,FALSE)-AVERAGE('The List'!AE2:AE665))/STDEV('The List'!AE2:AE665)</f>
        <v>-0.16217448521721903</v>
      </c>
      <c r="S359" s="54">
        <f>(VLOOKUP($A359,'The List'!$B1:$AH665,31,FALSE)-AVERAGE('The List'!AF2:AF665))/STDEV('The List'!AF2:AF665)</f>
        <v>-0.52626772768357466</v>
      </c>
      <c r="T359" s="54">
        <f>(VLOOKUP($A359,'The List'!$B1:$AH665,32,FALSE)-AVERAGE('The List'!AG2:AG665))/STDEV('The List'!AG2:AG665)</f>
        <v>-0.55687379210691168</v>
      </c>
      <c r="U359" s="54">
        <f>(VLOOKUP($A359,'The List'!$B1:$AH665,33,FALSE)-AVERAGE('The List'!AH2:AH665))/STDEV('The List'!AH2:AH665)</f>
        <v>0.68931559620974003</v>
      </c>
      <c r="V359" s="54"/>
      <c r="W359" s="56"/>
      <c r="X359" s="54"/>
      <c r="Y359" s="54"/>
      <c r="Z359" s="54"/>
      <c r="AA359" s="54"/>
      <c r="AB359" s="54"/>
      <c r="AC359" s="54"/>
      <c r="AD359" s="54"/>
      <c r="AE359" s="54"/>
    </row>
    <row r="360" spans="1:31" ht="21.25" customHeight="1" x14ac:dyDescent="0.15">
      <c r="A360" s="9" t="s">
        <v>647</v>
      </c>
      <c r="B360" s="65" t="str">
        <f>VLOOKUP(A360,'Player Data'!A1:B667,2,FALSE)</f>
        <v>VAN</v>
      </c>
      <c r="C360" s="51">
        <f>((E360)*Settings!$C$12)+(F360*Settings!$C$2)+(G360*Settings!$C$3)+(H360*Settings!$C$4)+(I360*Settings!$C$5)+(K360*Settings!$C$9)+(N360*Settings!$C$6)+(J360*Settings!$C$8)+(O360*Settings!$C$7)+(P360*Settings!$C$14)+(Q360*Settings!$C$15)+(R360*Settings!$C$16)+(S360*Settings!$C$17)+(T360*Settings!$C$18)+(U360*Settings!$C$19)+(L360*Settings!$C$10)+(Settings!$C$11*M360)</f>
        <v>-1.0347265579689366</v>
      </c>
      <c r="D360" s="56">
        <f>IF(Settings!$E$12="YES",VLOOKUP(A360,'Player Data'!A1:E667,5,FALSE),82)</f>
        <v>78.954999999999998</v>
      </c>
      <c r="E360" s="54">
        <f>(VLOOKUP($A360,'The List'!$B1:$AH665,17,FALSE)-AVERAGE('The List'!R2:R665))/STDEV('The List'!R2:R665)</f>
        <v>-0.65417116311817713</v>
      </c>
      <c r="F360" s="54">
        <f>(VLOOKUP($A360,'The List'!$B1:$AH665,18,FALSE)-AVERAGE('The List'!S2:S665))/STDEV('The List'!S2:S665)</f>
        <v>-7.6855259754969943E-2</v>
      </c>
      <c r="G360" s="54">
        <f>(VLOOKUP($A360,'The List'!$B1:$AH665,19,FALSE)-AVERAGE('The List'!T2:T665))/STDEV('The List'!T2:T665)</f>
        <v>-0.65071947087452775</v>
      </c>
      <c r="H360" s="54">
        <f>(VLOOKUP($A360,'The List'!$B1:$AH665,20,FALSE)-AVERAGE('The List'!U2:U665))/STDEV('The List'!U2:U665)</f>
        <v>-0.43906774892406764</v>
      </c>
      <c r="I360" s="54">
        <f>(VLOOKUP($A360,'The List'!$B1:$AH665,21,FALSE)-AVERAGE('The List'!V2:V665))/STDEV('The List'!V2:V665)</f>
        <v>-0.24189475921879333</v>
      </c>
      <c r="J360" s="54">
        <f>(VLOOKUP($A360,'The List'!$B1:$AH665,22,FALSE)-AVERAGE('The List'!W2:W665))/STDEV('The List'!W2:W665)</f>
        <v>-0.39572018587848357</v>
      </c>
      <c r="K360" s="54">
        <f>(VLOOKUP($A360,'The List'!$B1:$AH665,23,FALSE)-AVERAGE('The List'!X2:X665))/STDEV('The List'!X2:X665)</f>
        <v>-0.4625354072742483</v>
      </c>
      <c r="L360" s="54">
        <f>(VLOOKUP($A360,'The List'!$B1:$AH665,24,FALSE)-AVERAGE('The List'!Y2:Y665))/STDEV('The List'!Y2:Y665)</f>
        <v>0.73968941994023285</v>
      </c>
      <c r="M360" s="54">
        <f>(VLOOKUP($A360,'The List'!$B1:$AH665,25,FALSE)-AVERAGE('The List'!Z2:Z665))/STDEV('The List'!Z2:Z665)</f>
        <v>0.11684851369992212</v>
      </c>
      <c r="N360" s="54">
        <f>(VLOOKUP($A360,'The List'!$B1:$AH665,26,FALSE)-AVERAGE('The List'!AA2:AA665))/STDEV('The List'!AA2:AA665)</f>
        <v>-0.81826915972530689</v>
      </c>
      <c r="O360" s="54">
        <f>(VLOOKUP($A360,'The List'!$B1:$AH665,27,FALSE)-AVERAGE('The List'!AB2:AB665))/STDEV('The List'!AB2:AB665)</f>
        <v>-0.72405931415885127</v>
      </c>
      <c r="P360" s="54">
        <f>(VLOOKUP($A360,'The List'!$B1:$AH665,28,FALSE)-AVERAGE('The List'!AC2:AC665))/STDEV('The List'!AC2:AC665)</f>
        <v>1.2155474988789099</v>
      </c>
      <c r="Q360" s="54">
        <f>(VLOOKUP($A360,'The List'!$B1:$AH665,29,FALSE)-AVERAGE('The List'!AD2:AD665))/STDEV('The List'!AD2:AD665)</f>
        <v>-1.102668889942485</v>
      </c>
      <c r="R360" s="54">
        <f>(VLOOKUP($A360,'The List'!$B1:$AH665,30,FALSE)-AVERAGE('The List'!AE2:AE665))/STDEV('The List'!AE2:AE665)</f>
        <v>0.10242012278691977</v>
      </c>
      <c r="S360" s="54">
        <f>(VLOOKUP($A360,'The List'!$B1:$AH665,31,FALSE)-AVERAGE('The List'!AF2:AF665))/STDEV('The List'!AF2:AF665)</f>
        <v>0.59363568818439583</v>
      </c>
      <c r="T360" s="54">
        <f>(VLOOKUP($A360,'The List'!$B1:$AH665,32,FALSE)-AVERAGE('The List'!AG2:AG665))/STDEV('The List'!AG2:AG665)</f>
        <v>0.69320893575777909</v>
      </c>
      <c r="U360" s="54">
        <f>(VLOOKUP($A360,'The List'!$B1:$AH665,33,FALSE)-AVERAGE('The List'!AH2:AH665))/STDEV('The List'!AH2:AH665)</f>
        <v>0.96681684829248693</v>
      </c>
      <c r="V360" s="54"/>
      <c r="W360" s="64"/>
      <c r="X360" s="56"/>
      <c r="Y360" s="56"/>
      <c r="Z360" s="56"/>
      <c r="AA360" s="56"/>
      <c r="AB360" s="56"/>
      <c r="AC360" s="59"/>
      <c r="AD360" s="60"/>
      <c r="AE360" s="54"/>
    </row>
    <row r="361" spans="1:31" ht="21.25" customHeight="1" x14ac:dyDescent="0.15">
      <c r="A361" s="9" t="s">
        <v>594</v>
      </c>
      <c r="B361" s="65" t="str">
        <f>VLOOKUP(A361,'Player Data'!A1:B667,2,FALSE)</f>
        <v>CHI</v>
      </c>
      <c r="C361" s="51">
        <f>((E361)*Settings!$C$12)+(F361*Settings!$C$2)+(G361*Settings!$C$3)+(H361*Settings!$C$4)+(I361*Settings!$C$5)+(K361*Settings!$C$9)+(N361*Settings!$C$6)+(J361*Settings!$C$8)+(O361*Settings!$C$7)+(P361*Settings!$C$14)+(Q361*Settings!$C$15)+(R361*Settings!$C$16)+(S361*Settings!$C$17)+(T361*Settings!$C$18)+(U361*Settings!$C$19)+(L361*Settings!$C$10)+(Settings!$C$11*M361)</f>
        <v>-3.344533537691619</v>
      </c>
      <c r="D361" s="56">
        <f>IF(Settings!$E$12="YES",VLOOKUP(A361,'Player Data'!A1:E667,5,FALSE),82)</f>
        <v>75.784999999999997</v>
      </c>
      <c r="E361" s="54">
        <f>(VLOOKUP($A361,'The List'!$B1:$AH665,17,FALSE)-AVERAGE('The List'!R2:R665))/STDEV('The List'!R2:R665)</f>
        <v>-0.18513444987321998</v>
      </c>
      <c r="F361" s="54">
        <f>(VLOOKUP($A361,'The List'!$B1:$AH665,18,FALSE)-AVERAGE('The List'!S2:S665))/STDEV('The List'!S2:S665)</f>
        <v>-0.28915738169990873</v>
      </c>
      <c r="G361" s="54">
        <f>(VLOOKUP($A361,'The List'!$B1:$AH665,19,FALSE)-AVERAGE('The List'!T2:T665))/STDEV('The List'!T2:T665)</f>
        <v>-0.57740552495135744</v>
      </c>
      <c r="H361" s="54">
        <f>(VLOOKUP($A361,'The List'!$B1:$AH665,20,FALSE)-AVERAGE('The List'!U2:U665))/STDEV('The List'!U2:U665)</f>
        <v>-0.49003707215474651</v>
      </c>
      <c r="I361" s="54">
        <f>(VLOOKUP($A361,'The List'!$B1:$AH665,21,FALSE)-AVERAGE('The List'!V2:V665))/STDEV('The List'!V2:V665)</f>
        <v>-9.2376428536580846E-2</v>
      </c>
      <c r="J361" s="54">
        <f>(VLOOKUP($A361,'The List'!$B1:$AH665,22,FALSE)-AVERAGE('The List'!W2:W665))/STDEV('The List'!W2:W665)</f>
        <v>3.2184139493314876E-2</v>
      </c>
      <c r="K361" s="54">
        <f>(VLOOKUP($A361,'The List'!$B1:$AH665,23,FALSE)-AVERAGE('The List'!X2:X665))/STDEV('The List'!X2:X665)</f>
        <v>-0.17291261846822226</v>
      </c>
      <c r="L361" s="54">
        <f>(VLOOKUP($A361,'The List'!$B1:$AH665,24,FALSE)-AVERAGE('The List'!Y2:Y665))/STDEV('The List'!Y2:Y665)</f>
        <v>1.0185765701623686</v>
      </c>
      <c r="M361" s="54">
        <f>(VLOOKUP($A361,'The List'!$B1:$AH665,25,FALSE)-AVERAGE('The List'!Z2:Z665))/STDEV('The List'!Z2:Z665)</f>
        <v>0.43054034169009658</v>
      </c>
      <c r="N361" s="54">
        <f>(VLOOKUP($A361,'The List'!$B1:$AH665,26,FALSE)-AVERAGE('The List'!AA2:AA665))/STDEV('The List'!AA2:AA665)</f>
        <v>-0.57396087702899712</v>
      </c>
      <c r="O361" s="54">
        <f>(VLOOKUP($A361,'The List'!$B1:$AH665,27,FALSE)-AVERAGE('The List'!AB2:AB665))/STDEV('The List'!AB2:AB665)</f>
        <v>1.8349251392811778</v>
      </c>
      <c r="P361" s="54">
        <f>(VLOOKUP($A361,'The List'!$B1:$AH665,28,FALSE)-AVERAGE('The List'!AC2:AC665))/STDEV('The List'!AC2:AC665)</f>
        <v>-1.6387207070065526</v>
      </c>
      <c r="Q361" s="54">
        <f>(VLOOKUP($A361,'The List'!$B1:$AH665,29,FALSE)-AVERAGE('The List'!AD2:AD665))/STDEV('The List'!AD2:AD665)</f>
        <v>1.870964033051735</v>
      </c>
      <c r="R361" s="54">
        <f>(VLOOKUP($A361,'The List'!$B1:$AH665,30,FALSE)-AVERAGE('The List'!AE2:AE665))/STDEV('The List'!AE2:AE665)</f>
        <v>-0.40872513039680824</v>
      </c>
      <c r="S361" s="54">
        <f>(VLOOKUP($A361,'The List'!$B1:$AH665,31,FALSE)-AVERAGE('The List'!AF2:AF665))/STDEV('The List'!AF2:AF665)</f>
        <v>0.32287682898717401</v>
      </c>
      <c r="T361" s="54">
        <f>(VLOOKUP($A361,'The List'!$B1:$AH665,32,FALSE)-AVERAGE('The List'!AG2:AG665))/STDEV('The List'!AG2:AG665)</f>
        <v>0.1867252839961796</v>
      </c>
      <c r="U361" s="54">
        <f>(VLOOKUP($A361,'The List'!$B1:$AH665,33,FALSE)-AVERAGE('The List'!AH2:AH665))/STDEV('The List'!AH2:AH665)</f>
        <v>1.2164711237715362</v>
      </c>
      <c r="V361" s="54"/>
      <c r="W361" s="56"/>
      <c r="X361" s="54"/>
      <c r="Y361" s="54"/>
      <c r="Z361" s="54"/>
      <c r="AA361" s="54"/>
      <c r="AB361" s="54"/>
      <c r="AC361" s="54"/>
      <c r="AD361" s="54"/>
      <c r="AE361" s="54"/>
    </row>
    <row r="362" spans="1:31" ht="21.25" customHeight="1" x14ac:dyDescent="0.15">
      <c r="A362" s="9" t="s">
        <v>646</v>
      </c>
      <c r="B362" s="65" t="str">
        <f>VLOOKUP(A362,'Player Data'!A1:B667,2,FALSE)</f>
        <v>PHI</v>
      </c>
      <c r="C362" s="51">
        <f>((E362)*Settings!$C$12)+(F362*Settings!$C$2)+(G362*Settings!$C$3)+(H362*Settings!$C$4)+(I362*Settings!$C$5)+(K362*Settings!$C$9)+(N362*Settings!$C$6)+(J362*Settings!$C$8)+(O362*Settings!$C$7)+(P362*Settings!$C$14)+(Q362*Settings!$C$15)+(R362*Settings!$C$16)+(S362*Settings!$C$17)+(T362*Settings!$C$18)+(U362*Settings!$C$19)+(L362*Settings!$C$10)+(Settings!$C$11*M362)</f>
        <v>-3.1857678586053462</v>
      </c>
      <c r="D362" s="56">
        <f>IF(Settings!$E$12="YES",VLOOKUP(A362,'Player Data'!A1:E667,5,FALSE),82)</f>
        <v>75.647499999999994</v>
      </c>
      <c r="E362" s="54">
        <f>(VLOOKUP($A362,'The List'!$B1:$AH665,17,FALSE)-AVERAGE('The List'!R2:R665))/STDEV('The List'!R2:R665)</f>
        <v>-0.77121322374433732</v>
      </c>
      <c r="F362" s="54">
        <f>(VLOOKUP($A362,'The List'!$B1:$AH665,18,FALSE)-AVERAGE('The List'!S2:S665))/STDEV('The List'!S2:S665)</f>
        <v>-0.42597436488898133</v>
      </c>
      <c r="G362" s="54">
        <f>(VLOOKUP($A362,'The List'!$B1:$AH665,19,FALSE)-AVERAGE('The List'!T2:T665))/STDEV('The List'!T2:T665)</f>
        <v>-0.48632050120634229</v>
      </c>
      <c r="H362" s="54">
        <f>(VLOOKUP($A362,'The List'!$B1:$AH665,20,FALSE)-AVERAGE('The List'!U2:U665))/STDEV('The List'!U2:U665)</f>
        <v>-0.49565797316266591</v>
      </c>
      <c r="I362" s="54">
        <f>(VLOOKUP($A362,'The List'!$B1:$AH665,21,FALSE)-AVERAGE('The List'!V2:V665))/STDEV('The List'!V2:V665)</f>
        <v>-0.60223252600623534</v>
      </c>
      <c r="J362" s="54">
        <f>(VLOOKUP($A362,'The List'!$B1:$AH665,22,FALSE)-AVERAGE('The List'!W2:W665))/STDEV('The List'!W2:W665)</f>
        <v>-0.66038349967032017</v>
      </c>
      <c r="K362" s="54">
        <f>(VLOOKUP($A362,'The List'!$B1:$AH665,23,FALSE)-AVERAGE('The List'!X2:X665))/STDEV('The List'!X2:X665)</f>
        <v>-0.75287698211934229</v>
      </c>
      <c r="L362" s="54">
        <f>(VLOOKUP($A362,'The List'!$B1:$AH665,24,FALSE)-AVERAGE('The List'!Y2:Y665))/STDEV('The List'!Y2:Y665)</f>
        <v>0.24292282794329759</v>
      </c>
      <c r="M362" s="54">
        <f>(VLOOKUP($A362,'The List'!$B1:$AH665,25,FALSE)-AVERAGE('The List'!Z2:Z665))/STDEV('The List'!Z2:Z665)</f>
        <v>1.4047052414126795</v>
      </c>
      <c r="N362" s="54">
        <f>(VLOOKUP($A362,'The List'!$B1:$AH665,26,FALSE)-AVERAGE('The List'!AA2:AA665))/STDEV('The List'!AA2:AA665)</f>
        <v>-0.447072275694539</v>
      </c>
      <c r="O362" s="54">
        <f>(VLOOKUP($A362,'The List'!$B1:$AH665,27,FALSE)-AVERAGE('The List'!AB2:AB665))/STDEV('The List'!AB2:AB665)</f>
        <v>-0.45605005210536315</v>
      </c>
      <c r="P362" s="54">
        <f>(VLOOKUP($A362,'The List'!$B1:$AH665,28,FALSE)-AVERAGE('The List'!AC2:AC665))/STDEV('The List'!AC2:AC665)</f>
        <v>-0.47129120868990559</v>
      </c>
      <c r="Q362" s="54">
        <f>(VLOOKUP($A362,'The List'!$B1:$AH665,29,FALSE)-AVERAGE('The List'!AD2:AD665))/STDEV('The List'!AD2:AD665)</f>
        <v>-1.5372372013452709</v>
      </c>
      <c r="R362" s="54">
        <f>(VLOOKUP($A362,'The List'!$B1:$AH665,30,FALSE)-AVERAGE('The List'!AE2:AE665))/STDEV('The List'!AE2:AE665)</f>
        <v>-0.43068638674525112</v>
      </c>
      <c r="S362" s="54">
        <f>(VLOOKUP($A362,'The List'!$B1:$AH665,31,FALSE)-AVERAGE('The List'!AF2:AF665))/STDEV('The List'!AF2:AF665)</f>
        <v>0.37506124025102228</v>
      </c>
      <c r="T362" s="54">
        <f>(VLOOKUP($A362,'The List'!$B1:$AH665,32,FALSE)-AVERAGE('The List'!AG2:AG665))/STDEV('The List'!AG2:AG665)</f>
        <v>0.94837765907178628</v>
      </c>
      <c r="U362" s="54">
        <f>(VLOOKUP($A362,'The List'!$B1:$AH665,33,FALSE)-AVERAGE('The List'!AH2:AH665))/STDEV('The List'!AH2:AH665)</f>
        <v>0.53959257596936494</v>
      </c>
      <c r="V362" s="54"/>
      <c r="W362" s="56"/>
      <c r="X362" s="54"/>
      <c r="Y362" s="54"/>
      <c r="Z362" s="54"/>
      <c r="AA362" s="54"/>
      <c r="AB362" s="54"/>
      <c r="AC362" s="54"/>
      <c r="AD362" s="54"/>
      <c r="AE362" s="54"/>
    </row>
    <row r="363" spans="1:31" ht="21.25" customHeight="1" x14ac:dyDescent="0.15">
      <c r="A363" s="9" t="s">
        <v>736</v>
      </c>
      <c r="B363" s="65" t="str">
        <f>VLOOKUP(A363,'Player Data'!A1:B667,2,FALSE)</f>
        <v>FLA</v>
      </c>
      <c r="C363" s="51">
        <f>((E363)*Settings!$C$12)+(F363*Settings!$C$2)+(G363*Settings!$C$3)+(H363*Settings!$C$4)+(I363*Settings!$C$5)+(K363*Settings!$C$9)+(N363*Settings!$C$6)+(J363*Settings!$C$8)+(O363*Settings!$C$7)+(P363*Settings!$C$14)+(Q363*Settings!$C$15)+(R363*Settings!$C$16)+(S363*Settings!$C$17)+(T363*Settings!$C$18)+(U363*Settings!$C$19)+(L363*Settings!$C$10)+(Settings!$C$11*M363)</f>
        <v>-3.0768015709826244</v>
      </c>
      <c r="D363" s="56">
        <f>IF(Settings!$E$12="YES",VLOOKUP(A363,'Player Data'!A1:E667,5,FALSE),82)</f>
        <v>71.567499999999995</v>
      </c>
      <c r="E363" s="54">
        <f>(VLOOKUP($A363,'The List'!$B1:$AH665,17,FALSE)-AVERAGE('The List'!R2:R665))/STDEV('The List'!R2:R665)</f>
        <v>-1.5882682950487261</v>
      </c>
      <c r="F363" s="54">
        <f>(VLOOKUP($A363,'The List'!$B1:$AH665,18,FALSE)-AVERAGE('The List'!S2:S665))/STDEV('The List'!S2:S665)</f>
        <v>-0.26550148409915242</v>
      </c>
      <c r="G363" s="54">
        <f>(VLOOKUP($A363,'The List'!$B1:$AH665,19,FALSE)-AVERAGE('The List'!T2:T665))/STDEV('The List'!T2:T665)</f>
        <v>-0.70449104957038522</v>
      </c>
      <c r="H363" s="54">
        <f>(VLOOKUP($A363,'The List'!$B1:$AH665,20,FALSE)-AVERAGE('The List'!U2:U665))/STDEV('The List'!U2:U665)</f>
        <v>-0.55821159880791615</v>
      </c>
      <c r="I363" s="54">
        <f>(VLOOKUP($A363,'The List'!$B1:$AH665,21,FALSE)-AVERAGE('The List'!V2:V665))/STDEV('The List'!V2:V665)</f>
        <v>-0.91867562259757451</v>
      </c>
      <c r="J363" s="54">
        <f>(VLOOKUP($A363,'The List'!$B1:$AH665,22,FALSE)-AVERAGE('The List'!W2:W665))/STDEV('The List'!W2:W665)</f>
        <v>-0.72879902327584156</v>
      </c>
      <c r="K363" s="54">
        <f>(VLOOKUP($A363,'The List'!$B1:$AH665,23,FALSE)-AVERAGE('The List'!X2:X665))/STDEV('The List'!X2:X665)</f>
        <v>-0.81248193985055317</v>
      </c>
      <c r="L363" s="54">
        <f>(VLOOKUP($A363,'The List'!$B1:$AH665,24,FALSE)-AVERAGE('The List'!Y2:Y665))/STDEV('The List'!Y2:Y665)</f>
        <v>-0.50644383465752196</v>
      </c>
      <c r="M363" s="54">
        <f>(VLOOKUP($A363,'The List'!$B1:$AH665,25,FALSE)-AVERAGE('The List'!Z2:Z665))/STDEV('The List'!Z2:Z665)</f>
        <v>-0.67847754495867152</v>
      </c>
      <c r="N363" s="54">
        <f>(VLOOKUP($A363,'The List'!$B1:$AH665,26,FALSE)-AVERAGE('The List'!AA2:AA665))/STDEV('The List'!AA2:AA665)</f>
        <v>-0.98094597500109559</v>
      </c>
      <c r="O363" s="54">
        <f>(VLOOKUP($A363,'The List'!$B1:$AH665,27,FALSE)-AVERAGE('The List'!AB2:AB665))/STDEV('The List'!AB2:AB665)</f>
        <v>-5.8122999485693057E-2</v>
      </c>
      <c r="P363" s="54">
        <f>(VLOOKUP($A363,'The List'!$B1:$AH665,28,FALSE)-AVERAGE('The List'!AC2:AC665))/STDEV('The List'!AC2:AC665)</f>
        <v>0.60529450013613639</v>
      </c>
      <c r="Q363" s="54">
        <f>(VLOOKUP($A363,'The List'!$B1:$AH665,29,FALSE)-AVERAGE('The List'!AD2:AD665))/STDEV('The List'!AD2:AD665)</f>
        <v>-1.3752660650851125</v>
      </c>
      <c r="R363" s="54">
        <f>(VLOOKUP($A363,'The List'!$B1:$AH665,30,FALSE)-AVERAGE('The List'!AE2:AE665))/STDEV('The List'!AE2:AE665)</f>
        <v>-0.10719092381123974</v>
      </c>
      <c r="S363" s="54">
        <f>(VLOOKUP($A363,'The List'!$B1:$AH665,31,FALSE)-AVERAGE('The List'!AF2:AF665))/STDEV('The List'!AF2:AF665)</f>
        <v>-0.13351795356423965</v>
      </c>
      <c r="T363" s="54">
        <f>(VLOOKUP($A363,'The List'!$B1:$AH665,32,FALSE)-AVERAGE('The List'!AG2:AG665))/STDEV('The List'!AG2:AG665)</f>
        <v>0.24128250016065611</v>
      </c>
      <c r="U363" s="54">
        <f>(VLOOKUP($A363,'The List'!$B1:$AH665,33,FALSE)-AVERAGE('The List'!AH2:AH665))/STDEV('The List'!AH2:AH665)</f>
        <v>0.3585094459038588</v>
      </c>
      <c r="V363" s="54"/>
      <c r="W363" s="64"/>
      <c r="X363" s="56"/>
      <c r="Y363" s="56"/>
      <c r="Z363" s="56"/>
      <c r="AA363" s="56"/>
      <c r="AB363" s="56"/>
      <c r="AC363" s="59"/>
      <c r="AD363" s="60"/>
      <c r="AE363" s="54"/>
    </row>
    <row r="364" spans="1:31" ht="21.25" customHeight="1" x14ac:dyDescent="0.15">
      <c r="A364" s="9" t="s">
        <v>389</v>
      </c>
      <c r="B364" s="65" t="str">
        <f>VLOOKUP(A364,'Player Data'!A1:B667,2,FALSE)</f>
        <v>WPG</v>
      </c>
      <c r="C364" s="51">
        <f>((E364)*Settings!$C$12)+(F364*Settings!$C$2)+(G364*Settings!$C$3)+(H364*Settings!$C$4)+(I364*Settings!$C$5)+(K364*Settings!$C$9)+(N364*Settings!$C$6)+(J364*Settings!$C$8)+(O364*Settings!$C$7)+(P364*Settings!$C$14)+(Q364*Settings!$C$15)+(R364*Settings!$C$16)+(S364*Settings!$C$17)+(T364*Settings!$C$18)+(U364*Settings!$C$19)+(L364*Settings!$C$10)+(Settings!$C$11*M364)</f>
        <v>-0.39178137308598759</v>
      </c>
      <c r="D364" s="56">
        <f>IF(Settings!$E$12="YES",VLOOKUP(A364,'Player Data'!A1:E667,5,FALSE),82)</f>
        <v>80.467500000000001</v>
      </c>
      <c r="E364" s="54">
        <f>(VLOOKUP($A364,'The List'!$B1:$AH665,17,FALSE)-AVERAGE('The List'!R2:R665))/STDEV('The List'!R2:R665)</f>
        <v>1.3918905512516491</v>
      </c>
      <c r="F364" s="54">
        <f>(VLOOKUP($A364,'The List'!$B1:$AH665,18,FALSE)-AVERAGE('The List'!S2:S665))/STDEV('The List'!S2:S665)</f>
        <v>-0.97600999698582191</v>
      </c>
      <c r="G364" s="54">
        <f>(VLOOKUP($A364,'The List'!$B1:$AH665,19,FALSE)-AVERAGE('The List'!T2:T665))/STDEV('The List'!T2:T665)</f>
        <v>3.1038732990705274E-2</v>
      </c>
      <c r="H364" s="54">
        <f>(VLOOKUP($A364,'The List'!$B1:$AH665,20,FALSE)-AVERAGE('The List'!U2:U665))/STDEV('The List'!U2:U665)</f>
        <v>-0.42436613867257567</v>
      </c>
      <c r="I364" s="54">
        <f>(VLOOKUP($A364,'The List'!$B1:$AH665,21,FALSE)-AVERAGE('The List'!V2:V665))/STDEV('The List'!V2:V665)</f>
        <v>-0.67827513602886114</v>
      </c>
      <c r="J364" s="54">
        <f>(VLOOKUP($A364,'The List'!$B1:$AH665,22,FALSE)-AVERAGE('The List'!W2:W665))/STDEV('The List'!W2:W665)</f>
        <v>-0.73694551958895504</v>
      </c>
      <c r="K364" s="54">
        <f>(VLOOKUP($A364,'The List'!$B1:$AH665,23,FALSE)-AVERAGE('The List'!X2:X665))/STDEV('The List'!X2:X665)</f>
        <v>-0.7947654818931148</v>
      </c>
      <c r="L364" s="54">
        <f>(VLOOKUP($A364,'The List'!$B1:$AH665,24,FALSE)-AVERAGE('The List'!Y2:Y665))/STDEV('The List'!Y2:Y665)</f>
        <v>0.17961052128581756</v>
      </c>
      <c r="M364" s="54">
        <f>(VLOOKUP($A364,'The List'!$B1:$AH665,25,FALSE)-AVERAGE('The List'!Z2:Z665))/STDEV('The List'!Z2:Z665)</f>
        <v>0.60177563628814779</v>
      </c>
      <c r="N364" s="54">
        <f>(VLOOKUP($A364,'The List'!$B1:$AH665,26,FALSE)-AVERAGE('The List'!AA2:AA665))/STDEV('The List'!AA2:AA665)</f>
        <v>1.6339509795619878</v>
      </c>
      <c r="O364" s="54">
        <f>(VLOOKUP($A364,'The List'!$B1:$AH665,27,FALSE)-AVERAGE('The List'!AB2:AB665))/STDEV('The List'!AB2:AB665)</f>
        <v>1.1607892133386644</v>
      </c>
      <c r="P364" s="54">
        <f>(VLOOKUP($A364,'The List'!$B1:$AH665,28,FALSE)-AVERAGE('The List'!AC2:AC665))/STDEV('The List'!AC2:AC665)</f>
        <v>0.39227952926911724</v>
      </c>
      <c r="Q364" s="54">
        <f>(VLOOKUP($A364,'The List'!$B1:$AH665,29,FALSE)-AVERAGE('The List'!AD2:AD665))/STDEV('The List'!AD2:AD665)</f>
        <v>0.71951103498128299</v>
      </c>
      <c r="R364" s="54">
        <f>(VLOOKUP($A364,'The List'!$B1:$AH665,30,FALSE)-AVERAGE('The List'!AE2:AE665))/STDEV('The List'!AE2:AE665)</f>
        <v>-0.89361727300868543</v>
      </c>
      <c r="S364" s="54">
        <f>(VLOOKUP($A364,'The List'!$B1:$AH665,31,FALSE)-AVERAGE('The List'!AF2:AF665))/STDEV('The List'!AF2:AF665)</f>
        <v>-0.57389441068000469</v>
      </c>
      <c r="T364" s="54">
        <f>(VLOOKUP($A364,'The List'!$B1:$AH665,32,FALSE)-AVERAGE('The List'!AG2:AG665))/STDEV('The List'!AG2:AG665)</f>
        <v>-0.62577078713265111</v>
      </c>
      <c r="U364" s="54">
        <f>(VLOOKUP($A364,'The List'!$B1:$AH665,33,FALSE)-AVERAGE('The List'!AH2:AH665))/STDEV('The List'!AH2:AH665)</f>
        <v>-1.2314350945148611</v>
      </c>
      <c r="V364" s="54"/>
      <c r="W364" s="64"/>
      <c r="X364" s="56"/>
      <c r="Y364" s="56"/>
      <c r="Z364" s="56"/>
      <c r="AA364" s="56"/>
      <c r="AB364" s="56"/>
      <c r="AC364" s="59"/>
      <c r="AD364" s="60"/>
      <c r="AE364" s="54"/>
    </row>
    <row r="365" spans="1:31" ht="21.25" customHeight="1" x14ac:dyDescent="0.15">
      <c r="A365" s="9" t="s">
        <v>699</v>
      </c>
      <c r="B365" s="65" t="str">
        <f>VLOOKUP(A365,'Player Data'!A1:B667,2,FALSE)</f>
        <v>DAL</v>
      </c>
      <c r="C365" s="51">
        <f>((E365)*Settings!$C$12)+(F365*Settings!$C$2)+(G365*Settings!$C$3)+(H365*Settings!$C$4)+(I365*Settings!$C$5)+(K365*Settings!$C$9)+(N365*Settings!$C$6)+(J365*Settings!$C$8)+(O365*Settings!$C$7)+(P365*Settings!$C$14)+(Q365*Settings!$C$15)+(R365*Settings!$C$16)+(S365*Settings!$C$17)+(T365*Settings!$C$18)+(U365*Settings!$C$19)+(L365*Settings!$C$10)+(Settings!$C$11*M365)</f>
        <v>-2.0359359927919254</v>
      </c>
      <c r="D365" s="56">
        <f>IF(Settings!$E$12="YES",VLOOKUP(A365,'Player Data'!A1:E667,5,FALSE),82)</f>
        <v>72</v>
      </c>
      <c r="E365" s="54">
        <f>(VLOOKUP($A365,'The List'!$B1:$AH665,17,FALSE)-AVERAGE('The List'!R2:R665))/STDEV('The List'!R2:R665)</f>
        <v>-0.79193032416635667</v>
      </c>
      <c r="F365" s="54">
        <f>(VLOOKUP($A365,'The List'!$B1:$AH665,18,FALSE)-AVERAGE('The List'!S2:S665))/STDEV('The List'!S2:S665)</f>
        <v>-0.43137192080375231</v>
      </c>
      <c r="G365" s="54">
        <f>(VLOOKUP($A365,'The List'!$B1:$AH665,19,FALSE)-AVERAGE('The List'!T2:T665))/STDEV('The List'!T2:T665)</f>
        <v>-0.5778986902046066</v>
      </c>
      <c r="H365" s="54">
        <f>(VLOOKUP($A365,'The List'!$B1:$AH665,20,FALSE)-AVERAGE('The List'!U2:U665))/STDEV('The List'!U2:U665)</f>
        <v>-0.55498662352913275</v>
      </c>
      <c r="I365" s="54">
        <f>(VLOOKUP($A365,'The List'!$B1:$AH665,21,FALSE)-AVERAGE('The List'!V2:V665))/STDEV('The List'!V2:V665)</f>
        <v>-0.57628771361660447</v>
      </c>
      <c r="J365" s="54">
        <f>(VLOOKUP($A365,'The List'!$B1:$AH665,22,FALSE)-AVERAGE('The List'!W2:W665))/STDEV('The List'!W2:W665)</f>
        <v>-0.36795722651481794</v>
      </c>
      <c r="K365" s="54">
        <f>(VLOOKUP($A365,'The List'!$B1:$AH665,23,FALSE)-AVERAGE('The List'!X2:X665))/STDEV('The List'!X2:X665)</f>
        <v>-0.45041709393539225</v>
      </c>
      <c r="L365" s="54">
        <f>(VLOOKUP($A365,'The List'!$B1:$AH665,24,FALSE)-AVERAGE('The List'!Y2:Y665))/STDEV('The List'!Y2:Y665)</f>
        <v>-0.5801829139020841</v>
      </c>
      <c r="M365" s="54">
        <f>(VLOOKUP($A365,'The List'!$B1:$AH665,25,FALSE)-AVERAGE('The List'!Z2:Z665))/STDEV('The List'!Z2:Z665)</f>
        <v>-0.75403666498999722</v>
      </c>
      <c r="N365" s="54">
        <f>(VLOOKUP($A365,'The List'!$B1:$AH665,26,FALSE)-AVERAGE('The List'!AA2:AA665))/STDEV('The List'!AA2:AA665)</f>
        <v>-0.83429321709467275</v>
      </c>
      <c r="O365" s="54">
        <f>(VLOOKUP($A365,'The List'!$B1:$AH665,27,FALSE)-AVERAGE('The List'!AB2:AB665))/STDEV('The List'!AB2:AB665)</f>
        <v>-0.14046151407420029</v>
      </c>
      <c r="P365" s="54">
        <f>(VLOOKUP($A365,'The List'!$B1:$AH665,28,FALSE)-AVERAGE('The List'!AC2:AC665))/STDEV('The List'!AC2:AC665)</f>
        <v>0.83433264286310282</v>
      </c>
      <c r="Q365" s="54">
        <f>(VLOOKUP($A365,'The List'!$B1:$AH665,29,FALSE)-AVERAGE('The List'!AD2:AD665))/STDEV('The List'!AD2:AD665)</f>
        <v>-0.27410793859050309</v>
      </c>
      <c r="R365" s="54">
        <f>(VLOOKUP($A365,'The List'!$B1:$AH665,30,FALSE)-AVERAGE('The List'!AE2:AE665))/STDEV('The List'!AE2:AE665)</f>
        <v>-0.34903561451325982</v>
      </c>
      <c r="S365" s="54">
        <f>(VLOOKUP($A365,'The List'!$B1:$AH665,31,FALSE)-AVERAGE('The List'!AF2:AF665))/STDEV('The List'!AF2:AF665)</f>
        <v>-0.15099138156459874</v>
      </c>
      <c r="T365" s="54">
        <f>(VLOOKUP($A365,'The List'!$B1:$AH665,32,FALSE)-AVERAGE('The List'!AG2:AG665))/STDEV('The List'!AG2:AG665)</f>
        <v>4.8957069996311005E-2</v>
      </c>
      <c r="U365" s="54">
        <f>(VLOOKUP($A365,'The List'!$B1:$AH665,33,FALSE)-AVERAGE('The List'!AH2:AH665))/STDEV('The List'!AH2:AH665)</f>
        <v>0.58178832443007955</v>
      </c>
      <c r="V365" s="54"/>
      <c r="W365" s="64"/>
      <c r="X365" s="56"/>
      <c r="Y365" s="56"/>
      <c r="Z365" s="56"/>
      <c r="AA365" s="56"/>
      <c r="AB365" s="56"/>
      <c r="AC365" s="59"/>
      <c r="AD365" s="60"/>
      <c r="AE365" s="54"/>
    </row>
    <row r="366" spans="1:31" ht="21.25" customHeight="1" x14ac:dyDescent="0.15">
      <c r="A366" s="9" t="s">
        <v>426</v>
      </c>
      <c r="B366" s="65" t="str">
        <f>VLOOKUP(A366,'Player Data'!A1:B667,2,FALSE)</f>
        <v>COL</v>
      </c>
      <c r="C366" s="51">
        <f>((E366)*Settings!$C$12)+(F366*Settings!$C$2)+(G366*Settings!$C$3)+(H366*Settings!$C$4)+(I366*Settings!$C$5)+(K366*Settings!$C$9)+(N366*Settings!$C$6)+(J366*Settings!$C$8)+(O366*Settings!$C$7)+(P366*Settings!$C$14)+(Q366*Settings!$C$15)+(R366*Settings!$C$16)+(S366*Settings!$C$17)+(T366*Settings!$C$18)+(U366*Settings!$C$19)+(L366*Settings!$C$10)+(Settings!$C$11*M366)</f>
        <v>-0.77097080522802819</v>
      </c>
      <c r="D366" s="56">
        <f>IF(Settings!$E$12="YES",VLOOKUP(A366,'Player Data'!A1:E667,5,FALSE),82)</f>
        <v>75.622500000000002</v>
      </c>
      <c r="E366" s="54">
        <f>(VLOOKUP($A366,'The List'!$B1:$AH665,17,FALSE)-AVERAGE('The List'!R2:R665))/STDEV('The List'!R2:R665)</f>
        <v>0.59556406424500097</v>
      </c>
      <c r="F366" s="54">
        <f>(VLOOKUP($A366,'The List'!$B1:$AH665,18,FALSE)-AVERAGE('The List'!S2:S665))/STDEV('The List'!S2:S665)</f>
        <v>-0.88798545995295397</v>
      </c>
      <c r="G366" s="54">
        <f>(VLOOKUP($A366,'The List'!$B1:$AH665,19,FALSE)-AVERAGE('The List'!T2:T665))/STDEV('The List'!T2:T665)</f>
        <v>-0.17138329889038623</v>
      </c>
      <c r="H366" s="54">
        <f>(VLOOKUP($A366,'The List'!$B1:$AH665,20,FALSE)-AVERAGE('The List'!U2:U665))/STDEV('The List'!U2:U665)</f>
        <v>-0.51007026605627992</v>
      </c>
      <c r="I366" s="54">
        <f>(VLOOKUP($A366,'The List'!$B1:$AH665,21,FALSE)-AVERAGE('The List'!V2:V665))/STDEV('The List'!V2:V665)</f>
        <v>-0.67326361759857867</v>
      </c>
      <c r="J366" s="54">
        <f>(VLOOKUP($A366,'The List'!$B1:$AH665,22,FALSE)-AVERAGE('The List'!W2:W665))/STDEV('The List'!W2:W665)</f>
        <v>-0.67546843750939933</v>
      </c>
      <c r="K366" s="54">
        <f>(VLOOKUP($A366,'The List'!$B1:$AH665,23,FALSE)-AVERAGE('The List'!X2:X665))/STDEV('The List'!X2:X665)</f>
        <v>-0.50932812894663815</v>
      </c>
      <c r="L366" s="54">
        <f>(VLOOKUP($A366,'The List'!$B1:$AH665,24,FALSE)-AVERAGE('The List'!Y2:Y665))/STDEV('The List'!Y2:Y665)</f>
        <v>-0.51334770787641892</v>
      </c>
      <c r="M366" s="54">
        <f>(VLOOKUP($A366,'The List'!$B1:$AH665,25,FALSE)-AVERAGE('The List'!Z2:Z665))/STDEV('The List'!Z2:Z665)</f>
        <v>-0.25943946165884046</v>
      </c>
      <c r="N366" s="54">
        <f>(VLOOKUP($A366,'The List'!$B1:$AH665,26,FALSE)-AVERAGE('The List'!AA2:AA665))/STDEV('The List'!AA2:AA665)</f>
        <v>1.2053529863284036</v>
      </c>
      <c r="O366" s="54">
        <f>(VLOOKUP($A366,'The List'!$B1:$AH665,27,FALSE)-AVERAGE('The List'!AB2:AB665))/STDEV('The List'!AB2:AB665)</f>
        <v>-2.3576114245247193E-2</v>
      </c>
      <c r="P366" s="54">
        <f>(VLOOKUP($A366,'The List'!$B1:$AH665,28,FALSE)-AVERAGE('The List'!AC2:AC665))/STDEV('The List'!AC2:AC665)</f>
        <v>0.26563671383212512</v>
      </c>
      <c r="Q366" s="54">
        <f>(VLOOKUP($A366,'The List'!$B1:$AH665,29,FALSE)-AVERAGE('The List'!AD2:AD665))/STDEV('The List'!AD2:AD665)</f>
        <v>-0.97783723437795622</v>
      </c>
      <c r="R366" s="54">
        <f>(VLOOKUP($A366,'The List'!$B1:$AH665,30,FALSE)-AVERAGE('The List'!AE2:AE665))/STDEV('The List'!AE2:AE665)</f>
        <v>-0.84777920656640704</v>
      </c>
      <c r="S366" s="54">
        <f>(VLOOKUP($A366,'The List'!$B1:$AH665,31,FALSE)-AVERAGE('The List'!AF2:AF665))/STDEV('The List'!AF2:AF665)</f>
        <v>-0.57389441068000469</v>
      </c>
      <c r="T366" s="54">
        <f>(VLOOKUP($A366,'The List'!$B1:$AH665,32,FALSE)-AVERAGE('The List'!AG2:AG665))/STDEV('The List'!AG2:AG665)</f>
        <v>-0.62577078713265111</v>
      </c>
      <c r="U366" s="54">
        <f>(VLOOKUP($A366,'The List'!$B1:$AH665,33,FALSE)-AVERAGE('The List'!AH2:AH665))/STDEV('The List'!AH2:AH665)</f>
        <v>-1.2314350945148611</v>
      </c>
      <c r="V366" s="54"/>
      <c r="W366" s="56"/>
      <c r="X366" s="54"/>
      <c r="Y366" s="54"/>
      <c r="Z366" s="54"/>
      <c r="AA366" s="54"/>
      <c r="AB366" s="54"/>
      <c r="AC366" s="54"/>
      <c r="AD366" s="54"/>
      <c r="AE366" s="54"/>
    </row>
    <row r="367" spans="1:31" ht="21.25" customHeight="1" x14ac:dyDescent="0.15">
      <c r="A367" s="9" t="s">
        <v>654</v>
      </c>
      <c r="B367" s="65" t="str">
        <f>VLOOKUP(A367,'Player Data'!A1:B667,2,FALSE)</f>
        <v>CHI</v>
      </c>
      <c r="C367" s="51">
        <f>((E367)*Settings!$C$12)+(F367*Settings!$C$2)+(G367*Settings!$C$3)+(H367*Settings!$C$4)+(I367*Settings!$C$5)+(K367*Settings!$C$9)+(N367*Settings!$C$6)+(J367*Settings!$C$8)+(O367*Settings!$C$7)+(P367*Settings!$C$14)+(Q367*Settings!$C$15)+(R367*Settings!$C$16)+(S367*Settings!$C$17)+(T367*Settings!$C$18)+(U367*Settings!$C$19)+(L367*Settings!$C$10)+(Settings!$C$11*M367)</f>
        <v>-3.9924526106741798</v>
      </c>
      <c r="D367" s="56">
        <f>IF(Settings!$E$12="YES",VLOOKUP(A367,'Player Data'!A1:E667,5,FALSE),82)</f>
        <v>79.007499999999993</v>
      </c>
      <c r="E367" s="54">
        <f>(VLOOKUP($A367,'The List'!$B1:$AH665,17,FALSE)-AVERAGE('The List'!R2:R665))/STDEV('The List'!R2:R665)</f>
        <v>-1.2094115065804427</v>
      </c>
      <c r="F367" s="54">
        <f>(VLOOKUP($A367,'The List'!$B1:$AH665,18,FALSE)-AVERAGE('The List'!S2:S665))/STDEV('The List'!S2:S665)</f>
        <v>-0.15433485971882852</v>
      </c>
      <c r="G367" s="54">
        <f>(VLOOKUP($A367,'The List'!$B1:$AH665,19,FALSE)-AVERAGE('The List'!T2:T665))/STDEV('The List'!T2:T665)</f>
        <v>-0.63500342688020006</v>
      </c>
      <c r="H367" s="54">
        <f>(VLOOKUP($A367,'The List'!$B1:$AH665,20,FALSE)-AVERAGE('The List'!U2:U665))/STDEV('The List'!U2:U665)</f>
        <v>-0.46452536300466329</v>
      </c>
      <c r="I367" s="54">
        <f>(VLOOKUP($A367,'The List'!$B1:$AH665,21,FALSE)-AVERAGE('The List'!V2:V665))/STDEV('The List'!V2:V665)</f>
        <v>-4.1146077662044513E-2</v>
      </c>
      <c r="J367" s="54">
        <f>(VLOOKUP($A367,'The List'!$B1:$AH665,22,FALSE)-AVERAGE('The List'!W2:W665))/STDEV('The List'!W2:W665)</f>
        <v>-0.62297888995091133</v>
      </c>
      <c r="K367" s="54">
        <f>(VLOOKUP($A367,'The List'!$B1:$AH665,23,FALSE)-AVERAGE('The List'!X2:X665))/STDEV('The List'!X2:X665)</f>
        <v>-0.69616534551148079</v>
      </c>
      <c r="L367" s="54">
        <f>(VLOOKUP($A367,'The List'!$B1:$AH665,24,FALSE)-AVERAGE('The List'!Y2:Y665))/STDEV('The List'!Y2:Y665)</f>
        <v>-0.35560934421519202</v>
      </c>
      <c r="M367" s="54">
        <f>(VLOOKUP($A367,'The List'!$B1:$AH665,25,FALSE)-AVERAGE('The List'!Z2:Z665))/STDEV('The List'!Z2:Z665)</f>
        <v>-0.52295614646180355</v>
      </c>
      <c r="N367" s="54">
        <f>(VLOOKUP($A367,'The List'!$B1:$AH665,26,FALSE)-AVERAGE('The List'!AA2:AA665))/STDEV('The List'!AA2:AA665)</f>
        <v>-0.99528109202268966</v>
      </c>
      <c r="O367" s="54">
        <f>(VLOOKUP($A367,'The List'!$B1:$AH665,27,FALSE)-AVERAGE('The List'!AB2:AB665))/STDEV('The List'!AB2:AB665)</f>
        <v>2.5748814437664337E-2</v>
      </c>
      <c r="P367" s="54">
        <f>(VLOOKUP($A367,'The List'!$B1:$AH665,28,FALSE)-AVERAGE('The List'!AC2:AC665))/STDEV('The List'!AC2:AC665)</f>
        <v>-1.4705218088789362</v>
      </c>
      <c r="Q367" s="54">
        <f>(VLOOKUP($A367,'The List'!$B1:$AH665,29,FALSE)-AVERAGE('The List'!AD2:AD665))/STDEV('The List'!AD2:AD665)</f>
        <v>-0.22066917704492525</v>
      </c>
      <c r="R367" s="54">
        <f>(VLOOKUP($A367,'The List'!$B1:$AH665,30,FALSE)-AVERAGE('The List'!AE2:AE665))/STDEV('The List'!AE2:AE665)</f>
        <v>-0.29688716999565118</v>
      </c>
      <c r="S367" s="54">
        <f>(VLOOKUP($A367,'The List'!$B1:$AH665,31,FALSE)-AVERAGE('The List'!AF2:AF665))/STDEV('The List'!AF2:AF665)</f>
        <v>-0.21685423150998462</v>
      </c>
      <c r="T367" s="54">
        <f>(VLOOKUP($A367,'The List'!$B1:$AH665,32,FALSE)-AVERAGE('The List'!AG2:AG665))/STDEV('The List'!AG2:AG665)</f>
        <v>-0.10985864169951379</v>
      </c>
      <c r="U367" s="54">
        <f>(VLOOKUP($A367,'The List'!$B1:$AH665,33,FALSE)-AVERAGE('The List'!AH2:AH665))/STDEV('The List'!AH2:AH665)</f>
        <v>0.69056784353936573</v>
      </c>
      <c r="V367" s="54"/>
      <c r="W367" s="64"/>
      <c r="X367" s="56"/>
      <c r="Y367" s="56"/>
      <c r="Z367" s="56"/>
      <c r="AA367" s="56"/>
      <c r="AB367" s="56"/>
      <c r="AC367" s="59"/>
      <c r="AD367" s="60"/>
      <c r="AE367" s="54"/>
    </row>
    <row r="368" spans="1:31" ht="21.25" customHeight="1" x14ac:dyDescent="0.15">
      <c r="A368" s="9" t="s">
        <v>507</v>
      </c>
      <c r="B368" s="65" t="str">
        <f>VLOOKUP(A368,'Player Data'!A1:B667,2,FALSE)</f>
        <v>EDM</v>
      </c>
      <c r="C368" s="51">
        <f>((E368)*Settings!$C$12)+(F368*Settings!$C$2)+(G368*Settings!$C$3)+(H368*Settings!$C$4)+(I368*Settings!$C$5)+(K368*Settings!$C$9)+(N368*Settings!$C$6)+(J368*Settings!$C$8)+(O368*Settings!$C$7)+(P368*Settings!$C$14)+(Q368*Settings!$C$15)+(R368*Settings!$C$16)+(S368*Settings!$C$17)+(T368*Settings!$C$18)+(U368*Settings!$C$19)+(L368*Settings!$C$10)+(Settings!$C$11*M368)</f>
        <v>-3.863290156854533</v>
      </c>
      <c r="D368" s="56">
        <f>IF(Settings!$E$12="YES",VLOOKUP(A368,'Player Data'!A1:E667,5,FALSE),82)</f>
        <v>62.137500000000003</v>
      </c>
      <c r="E368" s="54">
        <f>(VLOOKUP($A368,'The List'!$B1:$AH665,17,FALSE)-AVERAGE('The List'!R2:R665))/STDEV('The List'!R2:R665)</f>
        <v>0.78893458637273761</v>
      </c>
      <c r="F368" s="54">
        <f>(VLOOKUP($A368,'The List'!$B1:$AH665,18,FALSE)-AVERAGE('The List'!S2:S665))/STDEV('The List'!S2:S665)</f>
        <v>-0.98973842701629233</v>
      </c>
      <c r="G368" s="54">
        <f>(VLOOKUP($A368,'The List'!$B1:$AH665,19,FALSE)-AVERAGE('The List'!T2:T665))/STDEV('The List'!T2:T665)</f>
        <v>-0.43649875983296399</v>
      </c>
      <c r="H368" s="54">
        <f>(VLOOKUP($A368,'The List'!$B1:$AH665,20,FALSE)-AVERAGE('The List'!U2:U665))/STDEV('The List'!U2:U665)</f>
        <v>-0.720973434481046</v>
      </c>
      <c r="I368" s="54">
        <f>(VLOOKUP($A368,'The List'!$B1:$AH665,21,FALSE)-AVERAGE('The List'!V2:V665))/STDEV('The List'!V2:V665)</f>
        <v>-0.94491930161172377</v>
      </c>
      <c r="J368" s="54">
        <f>(VLOOKUP($A368,'The List'!$B1:$AH665,22,FALSE)-AVERAGE('The List'!W2:W665))/STDEV('The List'!W2:W665)</f>
        <v>-0.72441761566609553</v>
      </c>
      <c r="K368" s="54">
        <f>(VLOOKUP($A368,'The List'!$B1:$AH665,23,FALSE)-AVERAGE('The List'!X2:X665))/STDEV('The List'!X2:X665)</f>
        <v>-0.75378181979782255</v>
      </c>
      <c r="L368" s="54">
        <f>(VLOOKUP($A368,'The List'!$B1:$AH665,24,FALSE)-AVERAGE('The List'!Y2:Y665))/STDEV('The List'!Y2:Y665)</f>
        <v>-0.48979639929994001</v>
      </c>
      <c r="M368" s="54">
        <f>(VLOOKUP($A368,'The List'!$B1:$AH665,25,FALSE)-AVERAGE('The List'!Z2:Z665))/STDEV('The List'!Z2:Z665)</f>
        <v>-0.48820835128358386</v>
      </c>
      <c r="N368" s="54">
        <f>(VLOOKUP($A368,'The List'!$B1:$AH665,26,FALSE)-AVERAGE('The List'!AA2:AA665))/STDEV('The List'!AA2:AA665)</f>
        <v>0.83616063363254833</v>
      </c>
      <c r="O368" s="54">
        <f>(VLOOKUP($A368,'The List'!$B1:$AH665,27,FALSE)-AVERAGE('The List'!AB2:AB665))/STDEV('The List'!AB2:AB665)</f>
        <v>1.0286055668732181</v>
      </c>
      <c r="P368" s="54">
        <f>(VLOOKUP($A368,'The List'!$B1:$AH665,28,FALSE)-AVERAGE('The List'!AC2:AC665))/STDEV('The List'!AC2:AC665)</f>
        <v>-1.5745124822282786</v>
      </c>
      <c r="Q368" s="54">
        <f>(VLOOKUP($A368,'The List'!$B1:$AH665,29,FALSE)-AVERAGE('The List'!AD2:AD665))/STDEV('The List'!AD2:AD665)</f>
        <v>-0.72089018415587247</v>
      </c>
      <c r="R368" s="54">
        <f>(VLOOKUP($A368,'The List'!$B1:$AH665,30,FALSE)-AVERAGE('The List'!AE2:AE665))/STDEV('The List'!AE2:AE665)</f>
        <v>-0.91874690689237681</v>
      </c>
      <c r="S368" s="54">
        <f>(VLOOKUP($A368,'The List'!$B1:$AH665,31,FALSE)-AVERAGE('The List'!AF2:AF665))/STDEV('The List'!AF2:AF665)</f>
        <v>-0.57389441068000469</v>
      </c>
      <c r="T368" s="54">
        <f>(VLOOKUP($A368,'The List'!$B1:$AH665,32,FALSE)-AVERAGE('The List'!AG2:AG665))/STDEV('The List'!AG2:AG665)</f>
        <v>-0.62577078713265111</v>
      </c>
      <c r="U368" s="54">
        <f>(VLOOKUP($A368,'The List'!$B1:$AH665,33,FALSE)-AVERAGE('The List'!AH2:AH665))/STDEV('The List'!AH2:AH665)</f>
        <v>-1.2314350945148611</v>
      </c>
      <c r="V368" s="54"/>
      <c r="W368" s="64"/>
      <c r="X368" s="56"/>
      <c r="Y368" s="56"/>
      <c r="Z368" s="56"/>
      <c r="AA368" s="56"/>
      <c r="AB368" s="56"/>
      <c r="AC368" s="59"/>
      <c r="AD368" s="60"/>
      <c r="AE368" s="54"/>
    </row>
    <row r="369" spans="1:31" ht="21.25" customHeight="1" x14ac:dyDescent="0.15">
      <c r="A369" s="9" t="s">
        <v>661</v>
      </c>
      <c r="B369" s="65" t="str">
        <f>VLOOKUP(A369,'Player Data'!A1:B667,2,FALSE)</f>
        <v>CAR</v>
      </c>
      <c r="C369" s="51">
        <f>((E369)*Settings!$C$12)+(F369*Settings!$C$2)+(G369*Settings!$C$3)+(H369*Settings!$C$4)+(I369*Settings!$C$5)+(K369*Settings!$C$9)+(N369*Settings!$C$6)+(J369*Settings!$C$8)+(O369*Settings!$C$7)+(P369*Settings!$C$14)+(Q369*Settings!$C$15)+(R369*Settings!$C$16)+(S369*Settings!$C$17)+(T369*Settings!$C$18)+(U369*Settings!$C$19)+(L369*Settings!$C$10)+(Settings!$C$11*M369)</f>
        <v>-2.0349748640203105</v>
      </c>
      <c r="D369" s="56">
        <f>IF(Settings!$E$12="YES",VLOOKUP(A369,'Player Data'!A1:E667,5,FALSE),82)</f>
        <v>68.922499999999999</v>
      </c>
      <c r="E369" s="54">
        <f>(VLOOKUP($A369,'The List'!$B1:$AH665,17,FALSE)-AVERAGE('The List'!R2:R665))/STDEV('The List'!R2:R665)</f>
        <v>-1.2638785947737012</v>
      </c>
      <c r="F369" s="54">
        <f>(VLOOKUP($A369,'The List'!$B1:$AH665,18,FALSE)-AVERAGE('The List'!S2:S665))/STDEV('The List'!S2:S665)</f>
        <v>-4.0374710600077142E-2</v>
      </c>
      <c r="G369" s="54">
        <f>(VLOOKUP($A369,'The List'!$B1:$AH665,19,FALSE)-AVERAGE('The List'!T2:T665))/STDEV('The List'!T2:T665)</f>
        <v>-0.96893847290194657</v>
      </c>
      <c r="H369" s="54">
        <f>(VLOOKUP($A369,'The List'!$B1:$AH665,20,FALSE)-AVERAGE('The List'!U2:U665))/STDEV('The List'!U2:U665)</f>
        <v>-0.62011749838683561</v>
      </c>
      <c r="I369" s="54">
        <f>(VLOOKUP($A369,'The List'!$B1:$AH665,21,FALSE)-AVERAGE('The List'!V2:V665))/STDEV('The List'!V2:V665)</f>
        <v>-0.14138070400468897</v>
      </c>
      <c r="J369" s="54">
        <f>(VLOOKUP($A369,'The List'!$B1:$AH665,22,FALSE)-AVERAGE('The List'!W2:W665))/STDEV('The List'!W2:W665)</f>
        <v>-0.73783773876893599</v>
      </c>
      <c r="K369" s="54">
        <f>(VLOOKUP($A369,'The List'!$B1:$AH665,23,FALSE)-AVERAGE('The List'!X2:X665))/STDEV('The List'!X2:X665)</f>
        <v>-0.82223340609006323</v>
      </c>
      <c r="L369" s="54">
        <f>(VLOOKUP($A369,'The List'!$B1:$AH665,24,FALSE)-AVERAGE('The List'!Y2:Y665))/STDEV('The List'!Y2:Y665)</f>
        <v>-0.5403373567028471</v>
      </c>
      <c r="M369" s="54">
        <f>(VLOOKUP($A369,'The List'!$B1:$AH665,25,FALSE)-AVERAGE('The List'!Z2:Z665))/STDEV('The List'!Z2:Z665)</f>
        <v>-0.7134709354821881</v>
      </c>
      <c r="N369" s="54">
        <f>(VLOOKUP($A369,'The List'!$B1:$AH665,26,FALSE)-AVERAGE('The List'!AA2:AA665))/STDEV('The List'!AA2:AA665)</f>
        <v>-0.84310706859493767</v>
      </c>
      <c r="O369" s="54">
        <f>(VLOOKUP($A369,'The List'!$B1:$AH665,27,FALSE)-AVERAGE('The List'!AB2:AB665))/STDEV('The List'!AB2:AB665)</f>
        <v>1.3319133306236921</v>
      </c>
      <c r="P369" s="54">
        <f>(VLOOKUP($A369,'The List'!$B1:$AH665,28,FALSE)-AVERAGE('The List'!AC2:AC665))/STDEV('The List'!AC2:AC665)</f>
        <v>0.78105949817140308</v>
      </c>
      <c r="Q369" s="54">
        <f>(VLOOKUP($A369,'The List'!$B1:$AH665,29,FALSE)-AVERAGE('The List'!AD2:AD665))/STDEV('The List'!AD2:AD665)</f>
        <v>-0.29578568930800286</v>
      </c>
      <c r="R369" s="54">
        <f>(VLOOKUP($A369,'The List'!$B1:$AH665,30,FALSE)-AVERAGE('The List'!AE2:AE665))/STDEV('The List'!AE2:AE665)</f>
        <v>0.16325195641578613</v>
      </c>
      <c r="S369" s="54">
        <f>(VLOOKUP($A369,'The List'!$B1:$AH665,31,FALSE)-AVERAGE('The List'!AF2:AF665))/STDEV('The List'!AF2:AF665)</f>
        <v>-0.54027432384511309</v>
      </c>
      <c r="T369" s="54">
        <f>(VLOOKUP($A369,'The List'!$B1:$AH665,32,FALSE)-AVERAGE('The List'!AG2:AG665))/STDEV('The List'!AG2:AG665)</f>
        <v>-0.55903835719831396</v>
      </c>
      <c r="U369" s="54">
        <f>(VLOOKUP($A369,'The List'!$B1:$AH665,33,FALSE)-AVERAGE('The List'!AH2:AH665))/STDEV('The List'!AH2:AH665)</f>
        <v>0.35016137123131102</v>
      </c>
      <c r="V369" s="54"/>
      <c r="W369" s="56"/>
      <c r="X369" s="54"/>
      <c r="Y369" s="54"/>
      <c r="Z369" s="54"/>
      <c r="AA369" s="54"/>
      <c r="AB369" s="54"/>
      <c r="AC369" s="54"/>
      <c r="AD369" s="54"/>
      <c r="AE369" s="54"/>
    </row>
    <row r="370" spans="1:31" ht="21.25" customHeight="1" x14ac:dyDescent="0.15">
      <c r="A370" s="9" t="s">
        <v>668</v>
      </c>
      <c r="B370" s="65" t="str">
        <f>VLOOKUP(A370,'Player Data'!A1:B667,2,FALSE)</f>
        <v>WSH</v>
      </c>
      <c r="C370" s="51">
        <f>((E370)*Settings!$C$12)+(F370*Settings!$C$2)+(G370*Settings!$C$3)+(H370*Settings!$C$4)+(I370*Settings!$C$5)+(K370*Settings!$C$9)+(N370*Settings!$C$6)+(J370*Settings!$C$8)+(O370*Settings!$C$7)+(P370*Settings!$C$14)+(Q370*Settings!$C$15)+(R370*Settings!$C$16)+(S370*Settings!$C$17)+(T370*Settings!$C$18)+(U370*Settings!$C$19)+(L370*Settings!$C$10)+(Settings!$C$11*M370)</f>
        <v>-2.9988466046657543</v>
      </c>
      <c r="D370" s="56">
        <f>IF(Settings!$E$12="YES",VLOOKUP(A370,'Player Data'!A1:E667,5,FALSE),82)</f>
        <v>74.697500000000005</v>
      </c>
      <c r="E370" s="54">
        <f>(VLOOKUP($A370,'The List'!$B1:$AH665,17,FALSE)-AVERAGE('The List'!R2:R665))/STDEV('The List'!R2:R665)</f>
        <v>-0.52193862712554318</v>
      </c>
      <c r="F370" s="54">
        <f>(VLOOKUP($A370,'The List'!$B1:$AH665,18,FALSE)-AVERAGE('The List'!S2:S665))/STDEV('The List'!S2:S665)</f>
        <v>-0.10717650651145537</v>
      </c>
      <c r="G370" s="54">
        <f>(VLOOKUP($A370,'The List'!$B1:$AH665,19,FALSE)-AVERAGE('The List'!T2:T665))/STDEV('The List'!T2:T665)</f>
        <v>-0.78363427897612525</v>
      </c>
      <c r="H370" s="54">
        <f>(VLOOKUP($A370,'The List'!$B1:$AH665,20,FALSE)-AVERAGE('The List'!U2:U665))/STDEV('The List'!U2:U665)</f>
        <v>-0.53539776623951985</v>
      </c>
      <c r="I370" s="54">
        <f>(VLOOKUP($A370,'The List'!$B1:$AH665,21,FALSE)-AVERAGE('The List'!V2:V665))/STDEV('The List'!V2:V665)</f>
        <v>-0.86169294536849461</v>
      </c>
      <c r="J370" s="54">
        <f>(VLOOKUP($A370,'The List'!$B1:$AH665,22,FALSE)-AVERAGE('The List'!W2:W665))/STDEV('The List'!W2:W665)</f>
        <v>-0.7299790620473906</v>
      </c>
      <c r="K370" s="54">
        <f>(VLOOKUP($A370,'The List'!$B1:$AH665,23,FALSE)-AVERAGE('The List'!X2:X665))/STDEV('The List'!X2:X665)</f>
        <v>-0.81365472517361659</v>
      </c>
      <c r="L370" s="54">
        <f>(VLOOKUP($A370,'The List'!$B1:$AH665,24,FALSE)-AVERAGE('The List'!Y2:Y665))/STDEV('The List'!Y2:Y665)</f>
        <v>-9.2548129773266763E-2</v>
      </c>
      <c r="M370" s="54">
        <f>(VLOOKUP($A370,'The List'!$B1:$AH665,25,FALSE)-AVERAGE('The List'!Z2:Z665))/STDEV('The List'!Z2:Z665)</f>
        <v>-3.2881099902267466E-2</v>
      </c>
      <c r="N370" s="54">
        <f>(VLOOKUP($A370,'The List'!$B1:$AH665,26,FALSE)-AVERAGE('The List'!AA2:AA665))/STDEV('The List'!AA2:AA665)</f>
        <v>0.24223624460790974</v>
      </c>
      <c r="O370" s="54">
        <f>(VLOOKUP($A370,'The List'!$B1:$AH665,27,FALSE)-AVERAGE('The List'!AB2:AB665))/STDEV('The List'!AB2:AB665)</f>
        <v>0.95538178941176322</v>
      </c>
      <c r="P370" s="54">
        <f>(VLOOKUP($A370,'The List'!$B1:$AH665,28,FALSE)-AVERAGE('The List'!AC2:AC665))/STDEV('The List'!AC2:AC665)</f>
        <v>-0.67492439324397213</v>
      </c>
      <c r="Q370" s="54">
        <f>(VLOOKUP($A370,'The List'!$B1:$AH665,29,FALSE)-AVERAGE('The List'!AD2:AD665))/STDEV('The List'!AD2:AD665)</f>
        <v>0.77615223772880637</v>
      </c>
      <c r="R370" s="54">
        <f>(VLOOKUP($A370,'The List'!$B1:$AH665,30,FALSE)-AVERAGE('The List'!AE2:AE665))/STDEV('The List'!AE2:AE665)</f>
        <v>-0.15798577567251365</v>
      </c>
      <c r="S370" s="54">
        <f>(VLOOKUP($A370,'The List'!$B1:$AH665,31,FALSE)-AVERAGE('The List'!AF2:AF665))/STDEV('The List'!AF2:AF665)</f>
        <v>2.2490638672209946</v>
      </c>
      <c r="T370" s="54">
        <f>(VLOOKUP($A370,'The List'!$B1:$AH665,32,FALSE)-AVERAGE('The List'!AG2:AG665))/STDEV('The List'!AG2:AG665)</f>
        <v>2.3366946415290655</v>
      </c>
      <c r="U370" s="54">
        <f>(VLOOKUP($A370,'The List'!$B1:$AH665,33,FALSE)-AVERAGE('The List'!AH2:AH665))/STDEV('The List'!AH2:AH665)</f>
        <v>1.0503533033973003</v>
      </c>
      <c r="V370" s="54"/>
      <c r="W370" s="64"/>
      <c r="X370" s="56"/>
      <c r="Y370" s="56"/>
      <c r="Z370" s="56"/>
      <c r="AA370" s="56"/>
      <c r="AB370" s="56"/>
      <c r="AC370" s="59"/>
      <c r="AD370" s="60"/>
      <c r="AE370" s="54"/>
    </row>
    <row r="371" spans="1:31" ht="21.25" customHeight="1" x14ac:dyDescent="0.15">
      <c r="A371" s="9" t="s">
        <v>598</v>
      </c>
      <c r="B371" s="65" t="str">
        <f>VLOOKUP(A371,'Player Data'!A1:B667,2,FALSE)</f>
        <v>L.A</v>
      </c>
      <c r="C371" s="51">
        <f>((E371)*Settings!$C$12)+(F371*Settings!$C$2)+(G371*Settings!$C$3)+(H371*Settings!$C$4)+(I371*Settings!$C$5)+(K371*Settings!$C$9)+(N371*Settings!$C$6)+(J371*Settings!$C$8)+(O371*Settings!$C$7)+(P371*Settings!$C$14)+(Q371*Settings!$C$15)+(R371*Settings!$C$16)+(S371*Settings!$C$17)+(T371*Settings!$C$18)+(U371*Settings!$C$19)+(L371*Settings!$C$10)+(Settings!$C$11*M371)</f>
        <v>-1.8564238641171849</v>
      </c>
      <c r="D371" s="56">
        <f>IF(Settings!$E$12="YES",VLOOKUP(A371,'Player Data'!A1:E667,5,FALSE),82)</f>
        <v>72.752499999999998</v>
      </c>
      <c r="E371" s="54">
        <f>(VLOOKUP($A371,'The List'!$B1:$AH665,17,FALSE)-AVERAGE('The List'!R2:R665))/STDEV('The List'!R2:R665)</f>
        <v>-1.4782574854930093</v>
      </c>
      <c r="F371" s="54">
        <f>(VLOOKUP($A371,'The List'!$B1:$AH665,18,FALSE)-AVERAGE('The List'!S2:S665))/STDEV('The List'!S2:S665)</f>
        <v>-0.2958613099251074</v>
      </c>
      <c r="G371" s="54">
        <f>(VLOOKUP($A371,'The List'!$B1:$AH665,19,FALSE)-AVERAGE('The List'!T2:T665))/STDEV('The List'!T2:T665)</f>
        <v>-0.6927807142053487</v>
      </c>
      <c r="H371" s="54">
        <f>(VLOOKUP($A371,'The List'!$B1:$AH665,20,FALSE)-AVERAGE('The List'!U2:U665))/STDEV('The List'!U2:U665)</f>
        <v>-0.56473880605241378</v>
      </c>
      <c r="I371" s="54">
        <f>(VLOOKUP($A371,'The List'!$B1:$AH665,21,FALSE)-AVERAGE('The List'!V2:V665))/STDEV('The List'!V2:V665)</f>
        <v>3.2193154274163853E-2</v>
      </c>
      <c r="J371" s="54">
        <f>(VLOOKUP($A371,'The List'!$B1:$AH665,22,FALSE)-AVERAGE('The List'!W2:W665))/STDEV('The List'!W2:W665)</f>
        <v>0.27089895095502592</v>
      </c>
      <c r="K371" s="54">
        <f>(VLOOKUP($A371,'The List'!$B1:$AH665,23,FALSE)-AVERAGE('The List'!X2:X665))/STDEV('The List'!X2:X665)</f>
        <v>-0.23430565940462073</v>
      </c>
      <c r="L371" s="54">
        <f>(VLOOKUP($A371,'The List'!$B1:$AH665,24,FALSE)-AVERAGE('The List'!Y2:Y665))/STDEV('The List'!Y2:Y665)</f>
        <v>-0.5801829139020841</v>
      </c>
      <c r="M371" s="54">
        <f>(VLOOKUP($A371,'The List'!$B1:$AH665,25,FALSE)-AVERAGE('The List'!Z2:Z665))/STDEV('The List'!Z2:Z665)</f>
        <v>-0.75403666498999722</v>
      </c>
      <c r="N371" s="54">
        <f>(VLOOKUP($A371,'The List'!$B1:$AH665,26,FALSE)-AVERAGE('The List'!AA2:AA665))/STDEV('The List'!AA2:AA665)</f>
        <v>-1.0595335379395845</v>
      </c>
      <c r="O371" s="54">
        <f>(VLOOKUP($A371,'The List'!$B1:$AH665,27,FALSE)-AVERAGE('The List'!AB2:AB665))/STDEV('The List'!AB2:AB665)</f>
        <v>-0.64705824475442397</v>
      </c>
      <c r="P371" s="54">
        <f>(VLOOKUP($A371,'The List'!$B1:$AH665,28,FALSE)-AVERAGE('The List'!AC2:AC665))/STDEV('The List'!AC2:AC665)</f>
        <v>0.39386420308331266</v>
      </c>
      <c r="Q371" s="54">
        <f>(VLOOKUP($A371,'The List'!$B1:$AH665,29,FALSE)-AVERAGE('The List'!AD2:AD665))/STDEV('The List'!AD2:AD665)</f>
        <v>-0.91786505897982296</v>
      </c>
      <c r="R371" s="54">
        <f>(VLOOKUP($A371,'The List'!$B1:$AH665,30,FALSE)-AVERAGE('The List'!AE2:AE665))/STDEV('The List'!AE2:AE665)</f>
        <v>-8.8109781409072316E-2</v>
      </c>
      <c r="S371" s="54">
        <f>(VLOOKUP($A371,'The List'!$B1:$AH665,31,FALSE)-AVERAGE('The List'!AF2:AF665))/STDEV('The List'!AF2:AF665)</f>
        <v>-0.57389441068000469</v>
      </c>
      <c r="T371" s="54">
        <f>(VLOOKUP($A371,'The List'!$B1:$AH665,32,FALSE)-AVERAGE('The List'!AG2:AG665))/STDEV('The List'!AG2:AG665)</f>
        <v>-0.62123592249724202</v>
      </c>
      <c r="U371" s="54">
        <f>(VLOOKUP($A371,'The List'!$B1:$AH665,33,FALSE)-AVERAGE('The List'!AH2:AH665))/STDEV('The List'!AH2:AH665)</f>
        <v>-1.2314350945148611</v>
      </c>
      <c r="V371" s="54"/>
      <c r="W371" s="56"/>
      <c r="X371" s="54"/>
      <c r="Y371" s="54"/>
      <c r="Z371" s="54"/>
      <c r="AA371" s="54"/>
      <c r="AB371" s="54"/>
      <c r="AC371" s="54"/>
      <c r="AD371" s="54"/>
      <c r="AE371" s="54"/>
    </row>
    <row r="372" spans="1:31" ht="21.25" customHeight="1" x14ac:dyDescent="0.15">
      <c r="A372" s="9" t="s">
        <v>451</v>
      </c>
      <c r="B372" s="65" t="str">
        <f>VLOOKUP(A372,'Player Data'!A1:B667,2,FALSE)</f>
        <v>UTA</v>
      </c>
      <c r="C372" s="51">
        <f>((E372)*Settings!$C$12)+(F372*Settings!$C$2)+(G372*Settings!$C$3)+(H372*Settings!$C$4)+(I372*Settings!$C$5)+(K372*Settings!$C$9)+(N372*Settings!$C$6)+(J372*Settings!$C$8)+(O372*Settings!$C$7)+(P372*Settings!$C$14)+(Q372*Settings!$C$15)+(R372*Settings!$C$16)+(S372*Settings!$C$17)+(T372*Settings!$C$18)+(U372*Settings!$C$19)+(L372*Settings!$C$10)+(Settings!$C$11*M372)</f>
        <v>-1.8293938548666566</v>
      </c>
      <c r="D372" s="56">
        <f>IF(Settings!$E$12="YES",VLOOKUP(A372,'Player Data'!A1:E667,5,FALSE),82)</f>
        <v>78.212500000000006</v>
      </c>
      <c r="E372" s="54">
        <f>(VLOOKUP($A372,'The List'!$B1:$AH665,17,FALSE)-AVERAGE('The List'!R2:R665))/STDEV('The List'!R2:R665)</f>
        <v>1.41090145221235</v>
      </c>
      <c r="F372" s="54">
        <f>(VLOOKUP($A372,'The List'!$B1:$AH665,18,FALSE)-AVERAGE('The List'!S2:S665))/STDEV('The List'!S2:S665)</f>
        <v>-0.91536370456293581</v>
      </c>
      <c r="G372" s="54">
        <f>(VLOOKUP($A372,'The List'!$B1:$AH665,19,FALSE)-AVERAGE('The List'!T2:T665))/STDEV('The List'!T2:T665)</f>
        <v>-0.11069888511018715</v>
      </c>
      <c r="H372" s="54">
        <f>(VLOOKUP($A372,'The List'!$B1:$AH665,20,FALSE)-AVERAGE('The List'!U2:U665))/STDEV('The List'!U2:U665)</f>
        <v>-0.48482654649630419</v>
      </c>
      <c r="I372" s="54">
        <f>(VLOOKUP($A372,'The List'!$B1:$AH665,21,FALSE)-AVERAGE('The List'!V2:V665))/STDEV('The List'!V2:V665)</f>
        <v>-0.91358995137362298</v>
      </c>
      <c r="J372" s="54">
        <f>(VLOOKUP($A372,'The List'!$B1:$AH665,22,FALSE)-AVERAGE('The List'!W2:W665))/STDEV('The List'!W2:W665)</f>
        <v>-0.73625974002642303</v>
      </c>
      <c r="K372" s="54">
        <f>(VLOOKUP($A372,'The List'!$B1:$AH665,23,FALSE)-AVERAGE('The List'!X2:X665))/STDEV('The List'!X2:X665)</f>
        <v>-0.79410861588506843</v>
      </c>
      <c r="L372" s="54">
        <f>(VLOOKUP($A372,'The List'!$B1:$AH665,24,FALSE)-AVERAGE('The List'!Y2:Y665))/STDEV('The List'!Y2:Y665)</f>
        <v>-0.52321207995391472</v>
      </c>
      <c r="M372" s="54">
        <f>(VLOOKUP($A372,'The List'!$B1:$AH665,25,FALSE)-AVERAGE('The List'!Z2:Z665))/STDEV('The List'!Z2:Z665)</f>
        <v>0.10777185747249003</v>
      </c>
      <c r="N372" s="54">
        <f>(VLOOKUP($A372,'The List'!$B1:$AH665,26,FALSE)-AVERAGE('The List'!AA2:AA665))/STDEV('The List'!AA2:AA665)</f>
        <v>0.95854623000836248</v>
      </c>
      <c r="O372" s="54">
        <f>(VLOOKUP($A372,'The List'!$B1:$AH665,27,FALSE)-AVERAGE('The List'!AB2:AB665))/STDEV('The List'!AB2:AB665)</f>
        <v>-0.71086478662893793</v>
      </c>
      <c r="P372" s="54">
        <f>(VLOOKUP($A372,'The List'!$B1:$AH665,28,FALSE)-AVERAGE('The List'!AC2:AC665))/STDEV('The List'!AC2:AC665)</f>
        <v>-5.4178927943204475E-2</v>
      </c>
      <c r="Q372" s="54">
        <f>(VLOOKUP($A372,'The List'!$B1:$AH665,29,FALSE)-AVERAGE('The List'!AD2:AD665))/STDEV('The List'!AD2:AD665)</f>
        <v>-0.10779504573927989</v>
      </c>
      <c r="R372" s="54">
        <f>(VLOOKUP($A372,'The List'!$B1:$AH665,30,FALSE)-AVERAGE('The List'!AE2:AE665))/STDEV('The List'!AE2:AE665)</f>
        <v>-0.88230396837191838</v>
      </c>
      <c r="S372" s="54">
        <f>(VLOOKUP($A372,'The List'!$B1:$AH665,31,FALSE)-AVERAGE('The List'!AF2:AF665))/STDEV('The List'!AF2:AF665)</f>
        <v>-0.57389441068000469</v>
      </c>
      <c r="T372" s="54">
        <f>(VLOOKUP($A372,'The List'!$B1:$AH665,32,FALSE)-AVERAGE('The List'!AG2:AG665))/STDEV('The List'!AG2:AG665)</f>
        <v>-0.62577078713265111</v>
      </c>
      <c r="U372" s="54">
        <f>(VLOOKUP($A372,'The List'!$B1:$AH665,33,FALSE)-AVERAGE('The List'!AH2:AH665))/STDEV('The List'!AH2:AH665)</f>
        <v>-1.2314350945148611</v>
      </c>
      <c r="V372" s="54"/>
      <c r="W372" s="56"/>
      <c r="X372" s="54"/>
      <c r="Y372" s="54"/>
      <c r="Z372" s="54"/>
      <c r="AA372" s="54"/>
      <c r="AB372" s="54"/>
      <c r="AC372" s="54"/>
      <c r="AD372" s="54"/>
      <c r="AE372" s="54"/>
    </row>
    <row r="373" spans="1:31" ht="21.25" customHeight="1" x14ac:dyDescent="0.15">
      <c r="A373" s="9" t="s">
        <v>392</v>
      </c>
      <c r="B373" s="65" t="str">
        <f>VLOOKUP(A373,'Player Data'!A1:B667,2,FALSE)</f>
        <v>TOR</v>
      </c>
      <c r="C373" s="51">
        <f>((E373)*Settings!$C$12)+(F373*Settings!$C$2)+(G373*Settings!$C$3)+(H373*Settings!$C$4)+(I373*Settings!$C$5)+(K373*Settings!$C$9)+(N373*Settings!$C$6)+(J373*Settings!$C$8)+(O373*Settings!$C$7)+(P373*Settings!$C$14)+(Q373*Settings!$C$15)+(R373*Settings!$C$16)+(S373*Settings!$C$17)+(T373*Settings!$C$18)+(U373*Settings!$C$19)+(L373*Settings!$C$10)+(Settings!$C$11*M373)</f>
        <v>0.77697507999395654</v>
      </c>
      <c r="D373" s="56">
        <f>IF(Settings!$E$12="YES",VLOOKUP(A373,'Player Data'!A1:E667,5,FALSE),82)</f>
        <v>78.907499999999999</v>
      </c>
      <c r="E373" s="54">
        <f>(VLOOKUP($A373,'The List'!$B1:$AH665,17,FALSE)-AVERAGE('The List'!R2:R665))/STDEV('The List'!R2:R665)</f>
        <v>0.97961632896640061</v>
      </c>
      <c r="F373" s="54">
        <f>(VLOOKUP($A373,'The List'!$B1:$AH665,18,FALSE)-AVERAGE('The List'!S2:S665))/STDEV('The List'!S2:S665)</f>
        <v>-0.83031477590476865</v>
      </c>
      <c r="G373" s="54">
        <f>(VLOOKUP($A373,'The List'!$B1:$AH665,19,FALSE)-AVERAGE('The List'!T2:T665))/STDEV('The List'!T2:T665)</f>
        <v>-0.16481959827337248</v>
      </c>
      <c r="H373" s="54">
        <f>(VLOOKUP($A373,'The List'!$B1:$AH665,20,FALSE)-AVERAGE('The List'!U2:U665))/STDEV('The List'!U2:U665)</f>
        <v>-0.47977977170104935</v>
      </c>
      <c r="I373" s="54">
        <f>(VLOOKUP($A373,'The List'!$B1:$AH665,21,FALSE)-AVERAGE('The List'!V2:V665))/STDEV('The List'!V2:V665)</f>
        <v>-0.78536946399586682</v>
      </c>
      <c r="J373" s="54">
        <f>(VLOOKUP($A373,'The List'!$B1:$AH665,22,FALSE)-AVERAGE('The List'!W2:W665))/STDEV('The List'!W2:W665)</f>
        <v>-0.6668261586690134</v>
      </c>
      <c r="K373" s="54">
        <f>(VLOOKUP($A373,'The List'!$B1:$AH665,23,FALSE)-AVERAGE('The List'!X2:X665))/STDEV('The List'!X2:X665)</f>
        <v>-0.7337837826121093</v>
      </c>
      <c r="L373" s="54">
        <f>(VLOOKUP($A373,'The List'!$B1:$AH665,24,FALSE)-AVERAGE('The List'!Y2:Y665))/STDEV('The List'!Y2:Y665)</f>
        <v>-0.5334047890541439</v>
      </c>
      <c r="M373" s="54">
        <f>(VLOOKUP($A373,'The List'!$B1:$AH665,25,FALSE)-AVERAGE('The List'!Z2:Z665))/STDEV('The List'!Z2:Z665)</f>
        <v>-0.15853966635703662</v>
      </c>
      <c r="N373" s="54">
        <f>(VLOOKUP($A373,'The List'!$B1:$AH665,26,FALSE)-AVERAGE('The List'!AA2:AA665))/STDEV('The List'!AA2:AA665)</f>
        <v>1.8653499671312406</v>
      </c>
      <c r="O373" s="54">
        <f>(VLOOKUP($A373,'The List'!$B1:$AH665,27,FALSE)-AVERAGE('The List'!AB2:AB665))/STDEV('The List'!AB2:AB665)</f>
        <v>2.211102620305152</v>
      </c>
      <c r="P373" s="54">
        <f>(VLOOKUP($A373,'The List'!$B1:$AH665,28,FALSE)-AVERAGE('The List'!AC2:AC665))/STDEV('The List'!AC2:AC665)</f>
        <v>1.4259127336488331</v>
      </c>
      <c r="Q373" s="54">
        <f>(VLOOKUP($A373,'The List'!$B1:$AH665,29,FALSE)-AVERAGE('The List'!AD2:AD665))/STDEV('The List'!AD2:AD665)</f>
        <v>1.1179991884025131</v>
      </c>
      <c r="R373" s="54">
        <f>(VLOOKUP($A373,'The List'!$B1:$AH665,30,FALSE)-AVERAGE('The List'!AE2:AE665))/STDEV('The List'!AE2:AE665)</f>
        <v>-0.75833278430914552</v>
      </c>
      <c r="S373" s="54">
        <f>(VLOOKUP($A373,'The List'!$B1:$AH665,31,FALSE)-AVERAGE('The List'!AF2:AF665))/STDEV('The List'!AF2:AF665)</f>
        <v>-0.57389441068000469</v>
      </c>
      <c r="T373" s="54">
        <f>(VLOOKUP($A373,'The List'!$B1:$AH665,32,FALSE)-AVERAGE('The List'!AG2:AG665))/STDEV('The List'!AG2:AG665)</f>
        <v>-0.62577078713265111</v>
      </c>
      <c r="U373" s="54">
        <f>(VLOOKUP($A373,'The List'!$B1:$AH665,33,FALSE)-AVERAGE('The List'!AH2:AH665))/STDEV('The List'!AH2:AH665)</f>
        <v>-1.2314350945148611</v>
      </c>
      <c r="V373" s="54"/>
      <c r="W373" s="56"/>
      <c r="X373" s="54"/>
      <c r="Y373" s="54"/>
      <c r="Z373" s="54"/>
      <c r="AA373" s="54"/>
      <c r="AB373" s="54"/>
      <c r="AC373" s="54"/>
      <c r="AD373" s="54"/>
      <c r="AE373" s="54"/>
    </row>
    <row r="374" spans="1:31" ht="21.25" customHeight="1" x14ac:dyDescent="0.15">
      <c r="A374" s="9" t="s">
        <v>472</v>
      </c>
      <c r="B374" s="65" t="str">
        <f>VLOOKUP(A374,'Player Data'!A1:B667,2,FALSE)</f>
        <v>WSH</v>
      </c>
      <c r="C374" s="51">
        <f>((E374)*Settings!$C$12)+(F374*Settings!$C$2)+(G374*Settings!$C$3)+(H374*Settings!$C$4)+(I374*Settings!$C$5)+(K374*Settings!$C$9)+(N374*Settings!$C$6)+(J374*Settings!$C$8)+(O374*Settings!$C$7)+(P374*Settings!$C$14)+(Q374*Settings!$C$15)+(R374*Settings!$C$16)+(S374*Settings!$C$17)+(T374*Settings!$C$18)+(U374*Settings!$C$19)+(L374*Settings!$C$10)+(Settings!$C$11*M374)</f>
        <v>-2.4680380687401278</v>
      </c>
      <c r="D374" s="56">
        <f>IF(Settings!$E$12="YES",VLOOKUP(A374,'Player Data'!A1:E667,5,FALSE),82)</f>
        <v>74.932500000000005</v>
      </c>
      <c r="E374" s="54">
        <f>(VLOOKUP($A374,'The List'!$B1:$AH665,17,FALSE)-AVERAGE('The List'!R2:R665))/STDEV('The List'!R2:R665)</f>
        <v>0.3325391551087431</v>
      </c>
      <c r="F374" s="54">
        <f>(VLOOKUP($A374,'The List'!$B1:$AH665,18,FALSE)-AVERAGE('The List'!S2:S665))/STDEV('The List'!S2:S665)</f>
        <v>-0.81703680350146501</v>
      </c>
      <c r="G374" s="54">
        <f>(VLOOKUP($A374,'The List'!$B1:$AH665,19,FALSE)-AVERAGE('The List'!T2:T665))/STDEV('The List'!T2:T665)</f>
        <v>-0.28325708979185804</v>
      </c>
      <c r="H374" s="54">
        <f>(VLOOKUP($A374,'The List'!$B1:$AH665,20,FALSE)-AVERAGE('The List'!U2:U665))/STDEV('The List'!U2:U665)</f>
        <v>-0.54730064384081567</v>
      </c>
      <c r="I374" s="54">
        <f>(VLOOKUP($A374,'The List'!$B1:$AH665,21,FALSE)-AVERAGE('The List'!V2:V665))/STDEV('The List'!V2:V665)</f>
        <v>-0.90164398632140408</v>
      </c>
      <c r="J374" s="54">
        <f>(VLOOKUP($A374,'The List'!$B1:$AH665,22,FALSE)-AVERAGE('The List'!W2:W665))/STDEV('The List'!W2:W665)</f>
        <v>-0.72816156179093405</v>
      </c>
      <c r="K374" s="54">
        <f>(VLOOKUP($A374,'The List'!$B1:$AH665,23,FALSE)-AVERAGE('The List'!X2:X665))/STDEV('The List'!X2:X665)</f>
        <v>-0.51527412908069581</v>
      </c>
      <c r="L374" s="54">
        <f>(VLOOKUP($A374,'The List'!$B1:$AH665,24,FALSE)-AVERAGE('The List'!Y2:Y665))/STDEV('The List'!Y2:Y665)</f>
        <v>-0.56019869968283909</v>
      </c>
      <c r="M374" s="54">
        <f>(VLOOKUP($A374,'The List'!$B1:$AH665,25,FALSE)-AVERAGE('The List'!Z2:Z665))/STDEV('The List'!Z2:Z665)</f>
        <v>-0.69477096003936589</v>
      </c>
      <c r="N374" s="54">
        <f>(VLOOKUP($A374,'The List'!$B1:$AH665,26,FALSE)-AVERAGE('The List'!AA2:AA665))/STDEV('The List'!AA2:AA665)</f>
        <v>0.73531126628744348</v>
      </c>
      <c r="O374" s="54">
        <f>(VLOOKUP($A374,'The List'!$B1:$AH665,27,FALSE)-AVERAGE('The List'!AB2:AB665))/STDEV('The List'!AB2:AB665)</f>
        <v>1.0196929748928456E-2</v>
      </c>
      <c r="P374" s="54">
        <f>(VLOOKUP($A374,'The List'!$B1:$AH665,28,FALSE)-AVERAGE('The List'!AC2:AC665))/STDEV('The List'!AC2:AC665)</f>
        <v>-0.68613732633214852</v>
      </c>
      <c r="Q374" s="54">
        <f>(VLOOKUP($A374,'The List'!$B1:$AH665,29,FALSE)-AVERAGE('The List'!AD2:AD665))/STDEV('The List'!AD2:AD665)</f>
        <v>-0.42515475199235758</v>
      </c>
      <c r="R374" s="54">
        <f>(VLOOKUP($A374,'The List'!$B1:$AH665,30,FALSE)-AVERAGE('The List'!AE2:AE665))/STDEV('The List'!AE2:AE665)</f>
        <v>-0.80459137990513585</v>
      </c>
      <c r="S374" s="54">
        <f>(VLOOKUP($A374,'The List'!$B1:$AH665,31,FALSE)-AVERAGE('The List'!AF2:AF665))/STDEV('The List'!AF2:AF665)</f>
        <v>-0.57389441068000469</v>
      </c>
      <c r="T374" s="54">
        <f>(VLOOKUP($A374,'The List'!$B1:$AH665,32,FALSE)-AVERAGE('The List'!AG2:AG665))/STDEV('The List'!AG2:AG665)</f>
        <v>-0.62577078713265111</v>
      </c>
      <c r="U374" s="54">
        <f>(VLOOKUP($A374,'The List'!$B1:$AH665,33,FALSE)-AVERAGE('The List'!AH2:AH665))/STDEV('The List'!AH2:AH665)</f>
        <v>-1.2314350945148611</v>
      </c>
      <c r="V374" s="54"/>
      <c r="W374" s="56"/>
      <c r="X374" s="54"/>
      <c r="Y374" s="54"/>
      <c r="Z374" s="54"/>
      <c r="AA374" s="54"/>
      <c r="AB374" s="54"/>
      <c r="AC374" s="54"/>
      <c r="AD374" s="54"/>
      <c r="AE374" s="54"/>
    </row>
    <row r="375" spans="1:31" ht="21.25" customHeight="1" x14ac:dyDescent="0.15">
      <c r="A375" s="9" t="s">
        <v>391</v>
      </c>
      <c r="B375" s="65" t="str">
        <f>VLOOKUP(A375,'Player Data'!A1:B667,2,FALSE)</f>
        <v>T.B</v>
      </c>
      <c r="C375" s="51">
        <f>((E375)*Settings!$C$12)+(F375*Settings!$C$2)+(G375*Settings!$C$3)+(H375*Settings!$C$4)+(I375*Settings!$C$5)+(K375*Settings!$C$9)+(N375*Settings!$C$6)+(J375*Settings!$C$8)+(O375*Settings!$C$7)+(P375*Settings!$C$14)+(Q375*Settings!$C$15)+(R375*Settings!$C$16)+(S375*Settings!$C$17)+(T375*Settings!$C$18)+(U375*Settings!$C$19)+(L375*Settings!$C$10)+(Settings!$C$11*M375)</f>
        <v>0.29237715368897721</v>
      </c>
      <c r="D375" s="56">
        <f>IF(Settings!$E$12="YES",VLOOKUP(A375,'Player Data'!A1:E667,5,FALSE),82)</f>
        <v>77.997500000000002</v>
      </c>
      <c r="E375" s="54">
        <f>(VLOOKUP($A375,'The List'!$B1:$AH665,17,FALSE)-AVERAGE('The List'!R2:R665))/STDEV('The List'!R2:R665)</f>
        <v>1.2140469119422574</v>
      </c>
      <c r="F375" s="54">
        <f>(VLOOKUP($A375,'The List'!$B1:$AH665,18,FALSE)-AVERAGE('The List'!S2:S665))/STDEV('The List'!S2:S665)</f>
        <v>-1.0662424644509492</v>
      </c>
      <c r="G375" s="54">
        <f>(VLOOKUP($A375,'The List'!$B1:$AH665,19,FALSE)-AVERAGE('The List'!T2:T665))/STDEV('The List'!T2:T665)</f>
        <v>-3.637814539495518E-2</v>
      </c>
      <c r="H375" s="54">
        <f>(VLOOKUP($A375,'The List'!$B1:$AH665,20,FALSE)-AVERAGE('The List'!U2:U665))/STDEV('The List'!U2:U665)</f>
        <v>-0.50725075643036166</v>
      </c>
      <c r="I375" s="54">
        <f>(VLOOKUP($A375,'The List'!$B1:$AH665,21,FALSE)-AVERAGE('The List'!V2:V665))/STDEV('The List'!V2:V665)</f>
        <v>-0.75938645496958401</v>
      </c>
      <c r="J375" s="54">
        <f>(VLOOKUP($A375,'The List'!$B1:$AH665,22,FALSE)-AVERAGE('The List'!W2:W665))/STDEV('The List'!W2:W665)</f>
        <v>-0.71880825512905644</v>
      </c>
      <c r="K375" s="54">
        <f>(VLOOKUP($A375,'The List'!$B1:$AH665,23,FALSE)-AVERAGE('The List'!X2:X665))/STDEV('The List'!X2:X665)</f>
        <v>-0.58487612211901441</v>
      </c>
      <c r="L375" s="54">
        <f>(VLOOKUP($A375,'The List'!$B1:$AH665,24,FALSE)-AVERAGE('The List'!Y2:Y665))/STDEV('The List'!Y2:Y665)</f>
        <v>-0.54390562441016133</v>
      </c>
      <c r="M375" s="54">
        <f>(VLOOKUP($A375,'The List'!$B1:$AH665,25,FALSE)-AVERAGE('The List'!Z2:Z665))/STDEV('The List'!Z2:Z665)</f>
        <v>-0.64235219935612009</v>
      </c>
      <c r="N375" s="54">
        <f>(VLOOKUP($A375,'The List'!$B1:$AH665,26,FALSE)-AVERAGE('The List'!AA2:AA665))/STDEV('The List'!AA2:AA665)</f>
        <v>1.9498231573344524</v>
      </c>
      <c r="O375" s="54">
        <f>(VLOOKUP($A375,'The List'!$B1:$AH665,27,FALSE)-AVERAGE('The List'!AB2:AB665))/STDEV('The List'!AB2:AB665)</f>
        <v>-0.6392151126289507</v>
      </c>
      <c r="P375" s="54">
        <f>(VLOOKUP($A375,'The List'!$B1:$AH665,28,FALSE)-AVERAGE('The List'!AC2:AC665))/STDEV('The List'!AC2:AC665)</f>
        <v>0.78943718328902746</v>
      </c>
      <c r="Q375" s="54">
        <f>(VLOOKUP($A375,'The List'!$B1:$AH665,29,FALSE)-AVERAGE('The List'!AD2:AD665))/STDEV('The List'!AD2:AD665)</f>
        <v>-0.56790080252228148</v>
      </c>
      <c r="R375" s="54">
        <f>(VLOOKUP($A375,'The List'!$B1:$AH665,30,FALSE)-AVERAGE('The List'!AE2:AE665))/STDEV('The List'!AE2:AE665)</f>
        <v>-1.0047519439220112</v>
      </c>
      <c r="S375" s="54">
        <f>(VLOOKUP($A375,'The List'!$B1:$AH665,31,FALSE)-AVERAGE('The List'!AF2:AF665))/STDEV('The List'!AF2:AF665)</f>
        <v>-0.57389441068000469</v>
      </c>
      <c r="T375" s="54">
        <f>(VLOOKUP($A375,'The List'!$B1:$AH665,32,FALSE)-AVERAGE('The List'!AG2:AG665))/STDEV('The List'!AG2:AG665)</f>
        <v>-0.62499324887717533</v>
      </c>
      <c r="U375" s="54">
        <f>(VLOOKUP($A375,'The List'!$B1:$AH665,33,FALSE)-AVERAGE('The List'!AH2:AH665))/STDEV('The List'!AH2:AH665)</f>
        <v>-1.2314350945148611</v>
      </c>
      <c r="V375" s="54"/>
      <c r="W375" s="56"/>
      <c r="X375" s="54"/>
      <c r="Y375" s="54"/>
      <c r="Z375" s="54"/>
      <c r="AA375" s="54"/>
      <c r="AB375" s="54"/>
      <c r="AC375" s="54"/>
      <c r="AD375" s="54"/>
      <c r="AE375" s="54"/>
    </row>
    <row r="376" spans="1:31" ht="21.25" customHeight="1" x14ac:dyDescent="0.15">
      <c r="A376" s="9" t="s">
        <v>712</v>
      </c>
      <c r="B376" s="65" t="str">
        <f>VLOOKUP(A376,'Player Data'!A1:B667,2,FALSE)</f>
        <v>CHI</v>
      </c>
      <c r="C376" s="51">
        <f>((E376)*Settings!$C$12)+(F376*Settings!$C$2)+(G376*Settings!$C$3)+(H376*Settings!$C$4)+(I376*Settings!$C$5)+(K376*Settings!$C$9)+(N376*Settings!$C$6)+(J376*Settings!$C$8)+(O376*Settings!$C$7)+(P376*Settings!$C$14)+(Q376*Settings!$C$15)+(R376*Settings!$C$16)+(S376*Settings!$C$17)+(T376*Settings!$C$18)+(U376*Settings!$C$19)+(L376*Settings!$C$10)+(Settings!$C$11*M376)</f>
        <v>-4.517982350061331</v>
      </c>
      <c r="D376" s="56">
        <f>IF(Settings!$E$12="YES",VLOOKUP(A376,'Player Data'!A1:E667,5,FALSE),82)</f>
        <v>66.907499999999999</v>
      </c>
      <c r="E376" s="54">
        <f>(VLOOKUP($A376,'The List'!$B1:$AH665,17,FALSE)-AVERAGE('The List'!R2:R665))/STDEV('The List'!R2:R665)</f>
        <v>-1.3094151879213056</v>
      </c>
      <c r="F376" s="54">
        <f>(VLOOKUP($A376,'The List'!$B1:$AH665,18,FALSE)-AVERAGE('The List'!S2:S665))/STDEV('The List'!S2:S665)</f>
        <v>-0.34884684746506195</v>
      </c>
      <c r="G376" s="54">
        <f>(VLOOKUP($A376,'The List'!$B1:$AH665,19,FALSE)-AVERAGE('The List'!T2:T665))/STDEV('The List'!T2:T665)</f>
        <v>-0.82594033700961256</v>
      </c>
      <c r="H376" s="54">
        <f>(VLOOKUP($A376,'The List'!$B1:$AH665,20,FALSE)-AVERAGE('The List'!U2:U665))/STDEV('The List'!U2:U665)</f>
        <v>-0.67152286454499477</v>
      </c>
      <c r="I376" s="54">
        <f>(VLOOKUP($A376,'The List'!$B1:$AH665,21,FALSE)-AVERAGE('The List'!V2:V665))/STDEV('The List'!V2:V665)</f>
        <v>-0.5394479648413143</v>
      </c>
      <c r="J376" s="54">
        <f>(VLOOKUP($A376,'The List'!$B1:$AH665,22,FALSE)-AVERAGE('The List'!W2:W665))/STDEV('The List'!W2:W665)</f>
        <v>-0.55492340070073864</v>
      </c>
      <c r="K376" s="54">
        <f>(VLOOKUP($A376,'The List'!$B1:$AH665,23,FALSE)-AVERAGE('The List'!X2:X665))/STDEV('The List'!X2:X665)</f>
        <v>-0.60210993857614981</v>
      </c>
      <c r="L376" s="54">
        <f>(VLOOKUP($A376,'The List'!$B1:$AH665,24,FALSE)-AVERAGE('The List'!Y2:Y665))/STDEV('The List'!Y2:Y665)</f>
        <v>-0.57804112975651611</v>
      </c>
      <c r="M376" s="54">
        <f>(VLOOKUP($A376,'The List'!$B1:$AH665,25,FALSE)-AVERAGE('The List'!Z2:Z665))/STDEV('The List'!Z2:Z665)</f>
        <v>-0.75183027391308221</v>
      </c>
      <c r="N376" s="54">
        <f>(VLOOKUP($A376,'The List'!$B1:$AH665,26,FALSE)-AVERAGE('The List'!AA2:AA665))/STDEV('The List'!AA2:AA665)</f>
        <v>-0.73357652216165947</v>
      </c>
      <c r="O376" s="54">
        <f>(VLOOKUP($A376,'The List'!$B1:$AH665,27,FALSE)-AVERAGE('The List'!AB2:AB665))/STDEV('The List'!AB2:AB665)</f>
        <v>-1.1756034453400748</v>
      </c>
      <c r="P376" s="54">
        <f>(VLOOKUP($A376,'The List'!$B1:$AH665,28,FALSE)-AVERAGE('The List'!AC2:AC665))/STDEV('The List'!AC2:AC665)</f>
        <v>-1.4680607400075332</v>
      </c>
      <c r="Q376" s="54">
        <f>(VLOOKUP($A376,'The List'!$B1:$AH665,29,FALSE)-AVERAGE('The List'!AD2:AD665))/STDEV('The List'!AD2:AD665)</f>
        <v>-1.2004876129778543</v>
      </c>
      <c r="R376" s="54">
        <f>(VLOOKUP($A376,'The List'!$B1:$AH665,30,FALSE)-AVERAGE('The List'!AE2:AE665))/STDEV('The List'!AE2:AE665)</f>
        <v>-0.45823872805481869</v>
      </c>
      <c r="S376" s="54">
        <f>(VLOOKUP($A376,'The List'!$B1:$AH665,31,FALSE)-AVERAGE('The List'!AF2:AF665))/STDEV('The List'!AF2:AF665)</f>
        <v>-3.0569667422018228E-2</v>
      </c>
      <c r="T376" s="54">
        <f>(VLOOKUP($A376,'The List'!$B1:$AH665,32,FALSE)-AVERAGE('The List'!AG2:AG665))/STDEV('The List'!AG2:AG665)</f>
        <v>-3.0041788993273442E-2</v>
      </c>
      <c r="U376" s="54">
        <f>(VLOOKUP($A376,'The List'!$B1:$AH665,33,FALSE)-AVERAGE('The List'!AH2:AH665))/STDEV('The List'!AH2:AH665)</f>
        <v>1.0006713654470818</v>
      </c>
      <c r="V376" s="54"/>
      <c r="W376" s="64"/>
      <c r="X376" s="56"/>
      <c r="Y376" s="56"/>
      <c r="Z376" s="56"/>
      <c r="AA376" s="56"/>
      <c r="AB376" s="56"/>
      <c r="AC376" s="59"/>
      <c r="AD376" s="60"/>
      <c r="AE376" s="54"/>
    </row>
    <row r="377" spans="1:31" ht="21.25" customHeight="1" x14ac:dyDescent="0.15">
      <c r="A377" s="9" t="s">
        <v>627</v>
      </c>
      <c r="B377" s="65" t="str">
        <f>VLOOKUP(A377,'Player Data'!A1:B667,2,FALSE)</f>
        <v>T.B</v>
      </c>
      <c r="C377" s="51">
        <f>((E377)*Settings!$C$12)+(F377*Settings!$C$2)+(G377*Settings!$C$3)+(H377*Settings!$C$4)+(I377*Settings!$C$5)+(K377*Settings!$C$9)+(N377*Settings!$C$6)+(J377*Settings!$C$8)+(O377*Settings!$C$7)+(P377*Settings!$C$14)+(Q377*Settings!$C$15)+(R377*Settings!$C$16)+(S377*Settings!$C$17)+(T377*Settings!$C$18)+(U377*Settings!$C$19)+(L377*Settings!$C$10)+(Settings!$C$11*M377)</f>
        <v>-1.8658033989228624</v>
      </c>
      <c r="D377" s="56">
        <f>IF(Settings!$E$12="YES",VLOOKUP(A377,'Player Data'!A1:E667,5,FALSE),82)</f>
        <v>75.202500000000001</v>
      </c>
      <c r="E377" s="54">
        <f>(VLOOKUP($A377,'The List'!$B1:$AH665,17,FALSE)-AVERAGE('The List'!R2:R665))/STDEV('The List'!R2:R665)</f>
        <v>-1.0169732181401718</v>
      </c>
      <c r="F377" s="54">
        <f>(VLOOKUP($A377,'The List'!$B1:$AH665,18,FALSE)-AVERAGE('The List'!S2:S665))/STDEV('The List'!S2:S665)</f>
        <v>-0.36490238401385117</v>
      </c>
      <c r="G377" s="54">
        <f>(VLOOKUP($A377,'The List'!$B1:$AH665,19,FALSE)-AVERAGE('The List'!T2:T665))/STDEV('The List'!T2:T665)</f>
        <v>-0.62099400862352372</v>
      </c>
      <c r="H377" s="54">
        <f>(VLOOKUP($A377,'The List'!$B1:$AH665,20,FALSE)-AVERAGE('The List'!U2:U665))/STDEV('The List'!U2:U665)</f>
        <v>-0.55153767541404752</v>
      </c>
      <c r="I377" s="54">
        <f>(VLOOKUP($A377,'The List'!$B1:$AH665,21,FALSE)-AVERAGE('The List'!V2:V665))/STDEV('The List'!V2:V665)</f>
        <v>0.29005437710688969</v>
      </c>
      <c r="J377" s="54">
        <f>(VLOOKUP($A377,'The List'!$B1:$AH665,22,FALSE)-AVERAGE('The List'!W2:W665))/STDEV('The List'!W2:W665)</f>
        <v>-0.64035853087620875</v>
      </c>
      <c r="K377" s="54">
        <f>(VLOOKUP($A377,'The List'!$B1:$AH665,23,FALSE)-AVERAGE('The List'!X2:X665))/STDEV('The List'!X2:X665)</f>
        <v>-0.74366028684659613</v>
      </c>
      <c r="L377" s="54">
        <f>(VLOOKUP($A377,'The List'!$B1:$AH665,24,FALSE)-AVERAGE('The List'!Y2:Y665))/STDEV('The List'!Y2:Y665)</f>
        <v>-0.57297368226757817</v>
      </c>
      <c r="M377" s="54">
        <f>(VLOOKUP($A377,'The List'!$B1:$AH665,25,FALSE)-AVERAGE('The List'!Z2:Z665))/STDEV('The List'!Z2:Z665)</f>
        <v>-0.74658277987835231</v>
      </c>
      <c r="N377" s="54">
        <f>(VLOOKUP($A377,'The List'!$B1:$AH665,26,FALSE)-AVERAGE('The List'!AA2:AA665))/STDEV('The List'!AA2:AA665)</f>
        <v>-0.78676326642536165</v>
      </c>
      <c r="O377" s="54">
        <f>(VLOOKUP($A377,'The List'!$B1:$AH665,27,FALSE)-AVERAGE('The List'!AB2:AB665))/STDEV('The List'!AB2:AB665)</f>
        <v>0.97992369741862317</v>
      </c>
      <c r="P377" s="54">
        <f>(VLOOKUP($A377,'The List'!$B1:$AH665,28,FALSE)-AVERAGE('The List'!AC2:AC665))/STDEV('The List'!AC2:AC665)</f>
        <v>0.36046216987958057</v>
      </c>
      <c r="Q377" s="54">
        <f>(VLOOKUP($A377,'The List'!$B1:$AH665,29,FALSE)-AVERAGE('The List'!AD2:AD665))/STDEV('The List'!AD2:AD665)</f>
        <v>1.7368552633734167</v>
      </c>
      <c r="R377" s="54">
        <f>(VLOOKUP($A377,'The List'!$B1:$AH665,30,FALSE)-AVERAGE('The List'!AE2:AE665))/STDEV('The List'!AE2:AE665)</f>
        <v>-0.29546017246549855</v>
      </c>
      <c r="S377" s="54">
        <f>(VLOOKUP($A377,'The List'!$B1:$AH665,31,FALSE)-AVERAGE('The List'!AF2:AF665))/STDEV('The List'!AF2:AF665)</f>
        <v>-0.53728203265766572</v>
      </c>
      <c r="T377" s="54">
        <f>(VLOOKUP($A377,'The List'!$B1:$AH665,32,FALSE)-AVERAGE('The List'!AG2:AG665))/STDEV('The List'!AG2:AG665)</f>
        <v>-0.57223526009464754</v>
      </c>
      <c r="U377" s="54">
        <f>(VLOOKUP($A377,'The List'!$B1:$AH665,33,FALSE)-AVERAGE('The List'!AH2:AH665))/STDEV('The List'!AH2:AH665)</f>
        <v>0.6774377669219831</v>
      </c>
      <c r="V377" s="54"/>
      <c r="W377" s="64"/>
      <c r="X377" s="56"/>
      <c r="Y377" s="56"/>
      <c r="Z377" s="56"/>
      <c r="AA377" s="56"/>
      <c r="AB377" s="56"/>
      <c r="AC377" s="59"/>
      <c r="AD377" s="60"/>
      <c r="AE377" s="54"/>
    </row>
    <row r="378" spans="1:31" ht="21.25" customHeight="1" x14ac:dyDescent="0.15">
      <c r="A378" s="9" t="s">
        <v>691</v>
      </c>
      <c r="B378" s="65" t="str">
        <f>VLOOKUP(A378,'Player Data'!A1:B667,2,FALSE)</f>
        <v>MTL</v>
      </c>
      <c r="C378" s="51">
        <f>((E378)*Settings!$C$12)+(F378*Settings!$C$2)+(G378*Settings!$C$3)+(H378*Settings!$C$4)+(I378*Settings!$C$5)+(K378*Settings!$C$9)+(N378*Settings!$C$6)+(J378*Settings!$C$8)+(O378*Settings!$C$7)+(P378*Settings!$C$14)+(Q378*Settings!$C$15)+(R378*Settings!$C$16)+(S378*Settings!$C$17)+(T378*Settings!$C$18)+(U378*Settings!$C$19)+(L378*Settings!$C$10)+(Settings!$C$11*M378)</f>
        <v>-4.1732760903390744</v>
      </c>
      <c r="D378" s="56">
        <f>IF(Settings!$E$12="YES",VLOOKUP(A378,'Player Data'!A1:E667,5,FALSE),82)</f>
        <v>77.180000000000007</v>
      </c>
      <c r="E378" s="54">
        <f>(VLOOKUP($A378,'The List'!$B1:$AH665,17,FALSE)-AVERAGE('The List'!R2:R665))/STDEV('The List'!R2:R665)</f>
        <v>-0.62518684254281598</v>
      </c>
      <c r="F378" s="54">
        <f>(VLOOKUP($A378,'The List'!$B1:$AH665,18,FALSE)-AVERAGE('The List'!S2:S665))/STDEV('The List'!S2:S665)</f>
        <v>-0.6590509146431679</v>
      </c>
      <c r="G378" s="54">
        <f>(VLOOKUP($A378,'The List'!$B1:$AH665,19,FALSE)-AVERAGE('The List'!T2:T665))/STDEV('The List'!T2:T665)</f>
        <v>-0.3602568242324275</v>
      </c>
      <c r="H378" s="54">
        <f>(VLOOKUP($A378,'The List'!$B1:$AH665,20,FALSE)-AVERAGE('The List'!U2:U665))/STDEV('The List'!U2:U665)</f>
        <v>-0.52330971232006207</v>
      </c>
      <c r="I378" s="54">
        <f>(VLOOKUP($A378,'The List'!$B1:$AH665,21,FALSE)-AVERAGE('The List'!V2:V665))/STDEV('The List'!V2:V665)</f>
        <v>-0.84607653900241453</v>
      </c>
      <c r="J378" s="54">
        <f>(VLOOKUP($A378,'The List'!$B1:$AH665,22,FALSE)-AVERAGE('The List'!W2:W665))/STDEV('The List'!W2:W665)</f>
        <v>-0.68011407923176292</v>
      </c>
      <c r="K378" s="54">
        <f>(VLOOKUP($A378,'The List'!$B1:$AH665,23,FALSE)-AVERAGE('The List'!X2:X665))/STDEV('The List'!X2:X665)</f>
        <v>-0.78042816524221204</v>
      </c>
      <c r="L378" s="54">
        <f>(VLOOKUP($A378,'The List'!$B1:$AH665,24,FALSE)-AVERAGE('The List'!Y2:Y665))/STDEV('The List'!Y2:Y665)</f>
        <v>0.34899529670561241</v>
      </c>
      <c r="M378" s="54">
        <f>(VLOOKUP($A378,'The List'!$B1:$AH665,25,FALSE)-AVERAGE('The List'!Z2:Z665))/STDEV('The List'!Z2:Z665)</f>
        <v>0.66368650868550805</v>
      </c>
      <c r="N378" s="54">
        <f>(VLOOKUP($A378,'The List'!$B1:$AH665,26,FALSE)-AVERAGE('The List'!AA2:AA665))/STDEV('The List'!AA2:AA665)</f>
        <v>-0.27606935023768797</v>
      </c>
      <c r="O378" s="54">
        <f>(VLOOKUP($A378,'The List'!$B1:$AH665,27,FALSE)-AVERAGE('The List'!AB2:AB665))/STDEV('The List'!AB2:AB665)</f>
        <v>-0.39545238515516923</v>
      </c>
      <c r="P378" s="54">
        <f>(VLOOKUP($A378,'The List'!$B1:$AH665,28,FALSE)-AVERAGE('The List'!AC2:AC665))/STDEV('The List'!AC2:AC665)</f>
        <v>-1.2513942969811649</v>
      </c>
      <c r="Q378" s="54">
        <f>(VLOOKUP($A378,'The List'!$B1:$AH665,29,FALSE)-AVERAGE('The List'!AD2:AD665))/STDEV('The List'!AD2:AD665)</f>
        <v>-0.41383382284693337</v>
      </c>
      <c r="R378" s="54">
        <f>(VLOOKUP($A378,'The List'!$B1:$AH665,30,FALSE)-AVERAGE('The List'!AE2:AE665))/STDEV('The List'!AE2:AE665)</f>
        <v>-0.77327749015354241</v>
      </c>
      <c r="S378" s="54">
        <f>(VLOOKUP($A378,'The List'!$B1:$AH665,31,FALSE)-AVERAGE('The List'!AF2:AF665))/STDEV('The List'!AF2:AF665)</f>
        <v>1.8230047281247699</v>
      </c>
      <c r="T378" s="54">
        <f>(VLOOKUP($A378,'The List'!$B1:$AH665,32,FALSE)-AVERAGE('The List'!AG2:AG665))/STDEV('The List'!AG2:AG665)</f>
        <v>1.7732967030143245</v>
      </c>
      <c r="U378" s="54">
        <f>(VLOOKUP($A378,'The List'!$B1:$AH665,33,FALSE)-AVERAGE('The List'!AH2:AH665))/STDEV('The List'!AH2:AH665)</f>
        <v>1.1039722585026679</v>
      </c>
      <c r="V378" s="54"/>
      <c r="W378" s="56"/>
      <c r="X378" s="54"/>
      <c r="Y378" s="54"/>
      <c r="Z378" s="54"/>
      <c r="AA378" s="54"/>
      <c r="AB378" s="54"/>
      <c r="AC378" s="54"/>
      <c r="AD378" s="54"/>
      <c r="AE378" s="54"/>
    </row>
    <row r="379" spans="1:31" ht="21.25" customHeight="1" x14ac:dyDescent="0.15">
      <c r="A379" s="9" t="s">
        <v>642</v>
      </c>
      <c r="B379" s="65" t="str">
        <f>VLOOKUP(A379,'Player Data'!A1:B667,2,FALSE)</f>
        <v>CAR</v>
      </c>
      <c r="C379" s="51">
        <f>((E379)*Settings!$C$12)+(F379*Settings!$C$2)+(G379*Settings!$C$3)+(H379*Settings!$C$4)+(I379*Settings!$C$5)+(K379*Settings!$C$9)+(N379*Settings!$C$6)+(J379*Settings!$C$8)+(O379*Settings!$C$7)+(P379*Settings!$C$14)+(Q379*Settings!$C$15)+(R379*Settings!$C$16)+(S379*Settings!$C$17)+(T379*Settings!$C$18)+(U379*Settings!$C$19)+(L379*Settings!$C$10)+(Settings!$C$11*M379)</f>
        <v>-1.2058696515317722</v>
      </c>
      <c r="D379" s="56">
        <f>IF(Settings!$E$12="YES",VLOOKUP(A379,'Player Data'!A1:E667,5,FALSE),82)</f>
        <v>81.137500000000003</v>
      </c>
      <c r="E379" s="54">
        <f>(VLOOKUP($A379,'The List'!$B1:$AH665,17,FALSE)-AVERAGE('The List'!R2:R665))/STDEV('The List'!R2:R665)</f>
        <v>-0.47175611104532755</v>
      </c>
      <c r="F379" s="54">
        <f>(VLOOKUP($A379,'The List'!$B1:$AH665,18,FALSE)-AVERAGE('The List'!S2:S665))/STDEV('The List'!S2:S665)</f>
        <v>-0.2930307563867528</v>
      </c>
      <c r="G379" s="54">
        <f>(VLOOKUP($A379,'The List'!$B1:$AH665,19,FALSE)-AVERAGE('The List'!T2:T665))/STDEV('The List'!T2:T665)</f>
        <v>-0.53688050292621148</v>
      </c>
      <c r="H379" s="54">
        <f>(VLOOKUP($A379,'The List'!$B1:$AH665,20,FALSE)-AVERAGE('The List'!U2:U665))/STDEV('The List'!U2:U665)</f>
        <v>-0.46662938774301971</v>
      </c>
      <c r="I379" s="54">
        <f>(VLOOKUP($A379,'The List'!$B1:$AH665,21,FALSE)-AVERAGE('The List'!V2:V665))/STDEV('The List'!V2:V665)</f>
        <v>-0.17531014935606667</v>
      </c>
      <c r="J379" s="54">
        <f>(VLOOKUP($A379,'The List'!$B1:$AH665,22,FALSE)-AVERAGE('The List'!W2:W665))/STDEV('The List'!W2:W665)</f>
        <v>-0.73267365971503795</v>
      </c>
      <c r="K379" s="54">
        <f>(VLOOKUP($A379,'The List'!$B1:$AH665,23,FALSE)-AVERAGE('The List'!X2:X665))/STDEV('The List'!X2:X665)</f>
        <v>-0.8176550631304198</v>
      </c>
      <c r="L379" s="54">
        <f>(VLOOKUP($A379,'The List'!$B1:$AH665,24,FALSE)-AVERAGE('The List'!Y2:Y665))/STDEV('The List'!Y2:Y665)</f>
        <v>0.20328870471281651</v>
      </c>
      <c r="M379" s="54">
        <f>(VLOOKUP($A379,'The List'!$B1:$AH665,25,FALSE)-AVERAGE('The List'!Z2:Z665))/STDEV('The List'!Z2:Z665)</f>
        <v>0.60147708575459491</v>
      </c>
      <c r="N379" s="54">
        <f>(VLOOKUP($A379,'The List'!$B1:$AH665,26,FALSE)-AVERAGE('The List'!AA2:AA665))/STDEV('The List'!AA2:AA665)</f>
        <v>-0.61268904132187763</v>
      </c>
      <c r="O379" s="54">
        <f>(VLOOKUP($A379,'The List'!$B1:$AH665,27,FALSE)-AVERAGE('The List'!AB2:AB665))/STDEV('The List'!AB2:AB665)</f>
        <v>1.0709532488963249</v>
      </c>
      <c r="P379" s="54">
        <f>(VLOOKUP($A379,'The List'!$B1:$AH665,28,FALSE)-AVERAGE('The List'!AC2:AC665))/STDEV('The List'!AC2:AC665)</f>
        <v>1.2296958615895563</v>
      </c>
      <c r="Q379" s="54">
        <f>(VLOOKUP($A379,'The List'!$B1:$AH665,29,FALSE)-AVERAGE('The List'!AD2:AD665))/STDEV('The List'!AD2:AD665)</f>
        <v>-2.3254919955594939E-2</v>
      </c>
      <c r="R379" s="54">
        <f>(VLOOKUP($A379,'The List'!$B1:$AH665,30,FALSE)-AVERAGE('The List'!AE2:AE665))/STDEV('The List'!AE2:AE665)</f>
        <v>-0.11776851275971505</v>
      </c>
      <c r="S379" s="54">
        <f>(VLOOKUP($A379,'The List'!$B1:$AH665,31,FALSE)-AVERAGE('The List'!AF2:AF665))/STDEV('The List'!AF2:AF665)</f>
        <v>3.1409078822412404</v>
      </c>
      <c r="T379" s="54">
        <f>(VLOOKUP($A379,'The List'!$B1:$AH665,32,FALSE)-AVERAGE('The List'!AG2:AG665))/STDEV('The List'!AG2:AG665)</f>
        <v>2.3489529396477451</v>
      </c>
      <c r="U379" s="54">
        <f>(VLOOKUP($A379,'The List'!$B1:$AH665,33,FALSE)-AVERAGE('The List'!AH2:AH665))/STDEV('The List'!AH2:AH665)</f>
        <v>1.3546573462298319</v>
      </c>
      <c r="V379" s="54"/>
      <c r="W379" s="64"/>
      <c r="X379" s="56"/>
      <c r="Y379" s="56"/>
      <c r="Z379" s="56"/>
      <c r="AA379" s="56"/>
      <c r="AB379" s="56"/>
      <c r="AC379" s="59"/>
      <c r="AD379" s="60"/>
      <c r="AE379" s="54"/>
    </row>
    <row r="380" spans="1:31" ht="21.25" customHeight="1" x14ac:dyDescent="0.15">
      <c r="A380" s="9" t="s">
        <v>688</v>
      </c>
      <c r="B380" s="65" t="str">
        <f>VLOOKUP(A380,'Player Data'!A1:B667,2,FALSE)</f>
        <v>CBJ</v>
      </c>
      <c r="C380" s="51">
        <f>((E380)*Settings!$C$12)+(F380*Settings!$C$2)+(G380*Settings!$C$3)+(H380*Settings!$C$4)+(I380*Settings!$C$5)+(K380*Settings!$C$9)+(N380*Settings!$C$6)+(J380*Settings!$C$8)+(O380*Settings!$C$7)+(P380*Settings!$C$14)+(Q380*Settings!$C$15)+(R380*Settings!$C$16)+(S380*Settings!$C$17)+(T380*Settings!$C$18)+(U380*Settings!$C$19)+(L380*Settings!$C$10)+(Settings!$C$11*M380)</f>
        <v>-4.9409774327578635</v>
      </c>
      <c r="D380" s="56">
        <f>IF(Settings!$E$12="YES",VLOOKUP(A380,'Player Data'!A1:E667,5,FALSE),82)</f>
        <v>65.927499999999995</v>
      </c>
      <c r="E380" s="54">
        <f>(VLOOKUP($A380,'The List'!$B1:$AH665,17,FALSE)-AVERAGE('The List'!R2:R665))/STDEV('The List'!R2:R665)</f>
        <v>-0.88797336676256144</v>
      </c>
      <c r="F380" s="54">
        <f>(VLOOKUP($A380,'The List'!$B1:$AH665,18,FALSE)-AVERAGE('The List'!S2:S665))/STDEV('The List'!S2:S665)</f>
        <v>-0.40280727512067466</v>
      </c>
      <c r="G380" s="54">
        <f>(VLOOKUP($A380,'The List'!$B1:$AH665,19,FALSE)-AVERAGE('The List'!T2:T665))/STDEV('The List'!T2:T665)</f>
        <v>-0.81427516283607926</v>
      </c>
      <c r="H380" s="54">
        <f>(VLOOKUP($A380,'The List'!$B1:$AH665,20,FALSE)-AVERAGE('The List'!U2:U665))/STDEV('The List'!U2:U665)</f>
        <v>-0.68880571478697783</v>
      </c>
      <c r="I380" s="54">
        <f>(VLOOKUP($A380,'The List'!$B1:$AH665,21,FALSE)-AVERAGE('The List'!V2:V665))/STDEV('The List'!V2:V665)</f>
        <v>-0.85091737647554688</v>
      </c>
      <c r="J380" s="54">
        <f>(VLOOKUP($A380,'The List'!$B1:$AH665,22,FALSE)-AVERAGE('The List'!W2:W665))/STDEV('The List'!W2:W665)</f>
        <v>-0.70108836729321</v>
      </c>
      <c r="K380" s="54">
        <f>(VLOOKUP($A380,'The List'!$B1:$AH665,23,FALSE)-AVERAGE('The List'!X2:X665))/STDEV('The List'!X2:X665)</f>
        <v>-0.78487838992305836</v>
      </c>
      <c r="L380" s="54">
        <f>(VLOOKUP($A380,'The List'!$B1:$AH665,24,FALSE)-AVERAGE('The List'!Y2:Y665))/STDEV('The List'!Y2:Y665)</f>
        <v>-0.33185410964094292</v>
      </c>
      <c r="M380" s="54">
        <f>(VLOOKUP($A380,'The List'!$B1:$AH665,25,FALSE)-AVERAGE('The List'!Z2:Z665))/STDEV('The List'!Z2:Z665)</f>
        <v>-0.49652870830487578</v>
      </c>
      <c r="N380" s="54">
        <f>(VLOOKUP($A380,'The List'!$B1:$AH665,26,FALSE)-AVERAGE('The List'!AA2:AA665))/STDEV('The List'!AA2:AA665)</f>
        <v>-0.61341703907485368</v>
      </c>
      <c r="O380" s="54">
        <f>(VLOOKUP($A380,'The List'!$B1:$AH665,27,FALSE)-AVERAGE('The List'!AB2:AB665))/STDEV('The List'!AB2:AB665)</f>
        <v>7.6568670803776773E-2</v>
      </c>
      <c r="P380" s="54">
        <f>(VLOOKUP($A380,'The List'!$B1:$AH665,28,FALSE)-AVERAGE('The List'!AC2:AC665))/STDEV('The List'!AC2:AC665)</f>
        <v>-1.4746821893276505</v>
      </c>
      <c r="Q380" s="54">
        <f>(VLOOKUP($A380,'The List'!$B1:$AH665,29,FALSE)-AVERAGE('The List'!AD2:AD665))/STDEV('The List'!AD2:AD665)</f>
        <v>-1.0374975002046836</v>
      </c>
      <c r="R380" s="54">
        <f>(VLOOKUP($A380,'The List'!$B1:$AH665,30,FALSE)-AVERAGE('The List'!AE2:AE665))/STDEV('The List'!AE2:AE665)</f>
        <v>-0.61440948356831948</v>
      </c>
      <c r="S380" s="54">
        <f>(VLOOKUP($A380,'The List'!$B1:$AH665,31,FALSE)-AVERAGE('The List'!AF2:AF665))/STDEV('The List'!AF2:AF665)</f>
        <v>0.16642572423593363</v>
      </c>
      <c r="T380" s="54">
        <f>(VLOOKUP($A380,'The List'!$B1:$AH665,32,FALSE)-AVERAGE('The List'!AG2:AG665))/STDEV('The List'!AG2:AG665)</f>
        <v>0.19789536655283374</v>
      </c>
      <c r="U380" s="54">
        <f>(VLOOKUP($A380,'The List'!$B1:$AH665,33,FALSE)-AVERAGE('The List'!AH2:AH665))/STDEV('The List'!AH2:AH665)</f>
        <v>0.98412720595967973</v>
      </c>
      <c r="V380" s="54"/>
      <c r="W380" s="64"/>
      <c r="X380" s="56"/>
      <c r="Y380" s="56"/>
      <c r="Z380" s="56"/>
      <c r="AA380" s="56"/>
      <c r="AB380" s="56"/>
      <c r="AC380" s="59"/>
      <c r="AD380" s="60"/>
      <c r="AE380" s="54"/>
    </row>
    <row r="381" spans="1:31" ht="21.25" customHeight="1" x14ac:dyDescent="0.15">
      <c r="A381" s="9" t="s">
        <v>638</v>
      </c>
      <c r="B381" s="65" t="str">
        <f>VLOOKUP(A381,'Player Data'!A1:B667,2,FALSE)</f>
        <v>PHI</v>
      </c>
      <c r="C381" s="51">
        <f>((E381)*Settings!$C$12)+(F381*Settings!$C$2)+(G381*Settings!$C$3)+(H381*Settings!$C$4)+(I381*Settings!$C$5)+(K381*Settings!$C$9)+(N381*Settings!$C$6)+(J381*Settings!$C$8)+(O381*Settings!$C$7)+(P381*Settings!$C$14)+(Q381*Settings!$C$15)+(R381*Settings!$C$16)+(S381*Settings!$C$17)+(T381*Settings!$C$18)+(U381*Settings!$C$19)+(L381*Settings!$C$10)+(Settings!$C$11*M381)</f>
        <v>-2.9022861002784937</v>
      </c>
      <c r="D381" s="56">
        <f>IF(Settings!$E$12="YES",VLOOKUP(A381,'Player Data'!A1:E667,5,FALSE),82)</f>
        <v>74.655000000000001</v>
      </c>
      <c r="E381" s="54">
        <f>(VLOOKUP($A381,'The List'!$B1:$AH665,17,FALSE)-AVERAGE('The List'!R2:R665))/STDEV('The List'!R2:R665)</f>
        <v>-1.02370281895161</v>
      </c>
      <c r="F381" s="54">
        <f>(VLOOKUP($A381,'The List'!$B1:$AH665,18,FALSE)-AVERAGE('The List'!S2:S665))/STDEV('The List'!S2:S665)</f>
        <v>-0.33959360460175836</v>
      </c>
      <c r="G381" s="54">
        <f>(VLOOKUP($A381,'The List'!$B1:$AH665,19,FALSE)-AVERAGE('The List'!T2:T665))/STDEV('The List'!T2:T665)</f>
        <v>-0.66744241921127456</v>
      </c>
      <c r="H381" s="54">
        <f>(VLOOKUP($A381,'The List'!$B1:$AH665,20,FALSE)-AVERAGE('The List'!U2:U665))/STDEV('The List'!U2:U665)</f>
        <v>-0.56888070682991965</v>
      </c>
      <c r="I381" s="54">
        <f>(VLOOKUP($A381,'The List'!$B1:$AH665,21,FALSE)-AVERAGE('The List'!V2:V665))/STDEV('The List'!V2:V665)</f>
        <v>-0.59508291791450207</v>
      </c>
      <c r="J381" s="54">
        <f>(VLOOKUP($A381,'The List'!$B1:$AH665,22,FALSE)-AVERAGE('The List'!W2:W665))/STDEV('The List'!W2:W665)</f>
        <v>-0.67573482306643207</v>
      </c>
      <c r="K381" s="54">
        <f>(VLOOKUP($A381,'The List'!$B1:$AH665,23,FALSE)-AVERAGE('The List'!X2:X665))/STDEV('The List'!X2:X665)</f>
        <v>-0.78793029289958771</v>
      </c>
      <c r="L381" s="54">
        <f>(VLOOKUP($A381,'The List'!$B1:$AH665,24,FALSE)-AVERAGE('The List'!Y2:Y665))/STDEV('The List'!Y2:Y665)</f>
        <v>3.7503940229306676</v>
      </c>
      <c r="M381" s="54">
        <f>(VLOOKUP($A381,'The List'!$B1:$AH665,25,FALSE)-AVERAGE('The List'!Z2:Z665))/STDEV('The List'!Z2:Z665)</f>
        <v>2.9732723028814352</v>
      </c>
      <c r="N381" s="54">
        <f>(VLOOKUP($A381,'The List'!$B1:$AH665,26,FALSE)-AVERAGE('The List'!AA2:AA665))/STDEV('The List'!AA2:AA665)</f>
        <v>0.23520522302700078</v>
      </c>
      <c r="O381" s="54">
        <f>(VLOOKUP($A381,'The List'!$B1:$AH665,27,FALSE)-AVERAGE('The List'!AB2:AB665))/STDEV('The List'!AB2:AB665)</f>
        <v>-0.60510829423539247</v>
      </c>
      <c r="P381" s="54">
        <f>(VLOOKUP($A381,'The List'!$B1:$AH665,28,FALSE)-AVERAGE('The List'!AC2:AC665))/STDEV('The List'!AC2:AC665)</f>
        <v>-0.74744208867837203</v>
      </c>
      <c r="Q381" s="54">
        <f>(VLOOKUP($A381,'The List'!$B1:$AH665,29,FALSE)-AVERAGE('The List'!AD2:AD665))/STDEV('The List'!AD2:AD665)</f>
        <v>-1.4954753824356031</v>
      </c>
      <c r="R381" s="54">
        <f>(VLOOKUP($A381,'The List'!$B1:$AH665,30,FALSE)-AVERAGE('The List'!AE2:AE665))/STDEV('The List'!AE2:AE665)</f>
        <v>-0.35031903743385706</v>
      </c>
      <c r="S381" s="54">
        <f>(VLOOKUP($A381,'The List'!$B1:$AH665,31,FALSE)-AVERAGE('The List'!AF2:AF665))/STDEV('The List'!AF2:AF665)</f>
        <v>1.2003518930687942</v>
      </c>
      <c r="T381" s="54">
        <f>(VLOOKUP($A381,'The List'!$B1:$AH665,32,FALSE)-AVERAGE('The List'!AG2:AG665))/STDEV('The List'!AG2:AG665)</f>
        <v>1.4480164638384097</v>
      </c>
      <c r="U381" s="54">
        <f>(VLOOKUP($A381,'The List'!$B1:$AH665,33,FALSE)-AVERAGE('The List'!AH2:AH665))/STDEV('The List'!AH2:AH665)</f>
        <v>0.92830713528611009</v>
      </c>
      <c r="V381" s="54"/>
      <c r="W381" s="64"/>
      <c r="X381" s="56"/>
      <c r="Y381" s="56"/>
      <c r="Z381" s="56"/>
      <c r="AA381" s="56"/>
      <c r="AB381" s="56"/>
      <c r="AC381" s="59"/>
      <c r="AD381" s="60"/>
      <c r="AE381" s="54"/>
    </row>
    <row r="382" spans="1:31" ht="21.25" customHeight="1" x14ac:dyDescent="0.15">
      <c r="A382" s="9" t="s">
        <v>734</v>
      </c>
      <c r="B382" s="65" t="str">
        <f>VLOOKUP(A382,'Player Data'!A1:B667,2,FALSE)</f>
        <v>UTA</v>
      </c>
      <c r="C382" s="51">
        <f>((E382)*Settings!$C$12)+(F382*Settings!$C$2)+(G382*Settings!$C$3)+(H382*Settings!$C$4)+(I382*Settings!$C$5)+(K382*Settings!$C$9)+(N382*Settings!$C$6)+(J382*Settings!$C$8)+(O382*Settings!$C$7)+(P382*Settings!$C$14)+(Q382*Settings!$C$15)+(R382*Settings!$C$16)+(S382*Settings!$C$17)+(T382*Settings!$C$18)+(U382*Settings!$C$19)+(L382*Settings!$C$10)+(Settings!$C$11*M382)</f>
        <v>-3.6461094179396261</v>
      </c>
      <c r="D382" s="56">
        <f>IF(Settings!$E$12="YES",VLOOKUP(A382,'Player Data'!A1:E667,5,FALSE),82)</f>
        <v>72.167500000000004</v>
      </c>
      <c r="E382" s="54">
        <f>(VLOOKUP($A382,'The List'!$B1:$AH665,17,FALSE)-AVERAGE('The List'!R2:R665))/STDEV('The List'!R2:R665)</f>
        <v>-1.2343667501173794</v>
      </c>
      <c r="F382" s="54">
        <f>(VLOOKUP($A382,'The List'!$B1:$AH665,18,FALSE)-AVERAGE('The List'!S2:S665))/STDEV('The List'!S2:S665)</f>
        <v>-0.43871941178388335</v>
      </c>
      <c r="G382" s="54">
        <f>(VLOOKUP($A382,'The List'!$B1:$AH665,19,FALSE)-AVERAGE('The List'!T2:T665))/STDEV('The List'!T2:T665)</f>
        <v>-0.65431975453178493</v>
      </c>
      <c r="H382" s="54">
        <f>(VLOOKUP($A382,'The List'!$B1:$AH665,20,FALSE)-AVERAGE('The List'!U2:U665))/STDEV('The List'!U2:U665)</f>
        <v>-0.60578818539338086</v>
      </c>
      <c r="I382" s="54">
        <f>(VLOOKUP($A382,'The List'!$B1:$AH665,21,FALSE)-AVERAGE('The List'!V2:V665))/STDEV('The List'!V2:V665)</f>
        <v>-1.099265795655934</v>
      </c>
      <c r="J382" s="54">
        <f>(VLOOKUP($A382,'The List'!$B1:$AH665,22,FALSE)-AVERAGE('The List'!W2:W665))/STDEV('The List'!W2:W665)</f>
        <v>-0.72883282082372647</v>
      </c>
      <c r="K382" s="54">
        <f>(VLOOKUP($A382,'The List'!$B1:$AH665,23,FALSE)-AVERAGE('The List'!X2:X665))/STDEV('The List'!X2:X665)</f>
        <v>-0.81142375518578636</v>
      </c>
      <c r="L382" s="54">
        <f>(VLOOKUP($A382,'The List'!$B1:$AH665,24,FALSE)-AVERAGE('The List'!Y2:Y665))/STDEV('The List'!Y2:Y665)</f>
        <v>-0.40166103138120274</v>
      </c>
      <c r="M382" s="54">
        <f>(VLOOKUP($A382,'The List'!$B1:$AH665,25,FALSE)-AVERAGE('The List'!Z2:Z665))/STDEV('The List'!Z2:Z665)</f>
        <v>-0.57202629050624643</v>
      </c>
      <c r="N382" s="54">
        <f>(VLOOKUP($A382,'The List'!$B1:$AH665,26,FALSE)-AVERAGE('The List'!AA2:AA665))/STDEV('The List'!AA2:AA665)</f>
        <v>-0.55292261455486824</v>
      </c>
      <c r="O382" s="54">
        <f>(VLOOKUP($A382,'The List'!$B1:$AH665,27,FALSE)-AVERAGE('The List'!AB2:AB665))/STDEV('The List'!AB2:AB665)</f>
        <v>2.5017834682026328</v>
      </c>
      <c r="P382" s="54">
        <f>(VLOOKUP($A382,'The List'!$B1:$AH665,28,FALSE)-AVERAGE('The List'!AC2:AC665))/STDEV('The List'!AC2:AC665)</f>
        <v>-8.9458086227369671E-2</v>
      </c>
      <c r="Q382" s="54">
        <f>(VLOOKUP($A382,'The List'!$B1:$AH665,29,FALSE)-AVERAGE('The List'!AD2:AD665))/STDEV('The List'!AD2:AD665)</f>
        <v>0.74951182324545451</v>
      </c>
      <c r="R382" s="54">
        <f>(VLOOKUP($A382,'The List'!$B1:$AH665,30,FALSE)-AVERAGE('The List'!AE2:AE665))/STDEV('The List'!AE2:AE665)</f>
        <v>-0.43461974722359248</v>
      </c>
      <c r="S382" s="54">
        <f>(VLOOKUP($A382,'The List'!$B1:$AH665,31,FALSE)-AVERAGE('The List'!AF2:AF665))/STDEV('The List'!AF2:AF665)</f>
        <v>0.86979795574476271</v>
      </c>
      <c r="T382" s="54">
        <f>(VLOOKUP($A382,'The List'!$B1:$AH665,32,FALSE)-AVERAGE('The List'!AG2:AG665))/STDEV('The List'!AG2:AG665)</f>
        <v>1.3180473434748987</v>
      </c>
      <c r="U382" s="54">
        <f>(VLOOKUP($A382,'The List'!$B1:$AH665,33,FALSE)-AVERAGE('The List'!AH2:AH665))/STDEV('The List'!AH2:AH665)</f>
        <v>0.76915898245182235</v>
      </c>
      <c r="V382" s="54"/>
      <c r="W382" s="64"/>
      <c r="X382" s="56"/>
      <c r="Y382" s="56"/>
      <c r="Z382" s="56"/>
      <c r="AA382" s="56"/>
      <c r="AB382" s="56"/>
      <c r="AC382" s="59"/>
      <c r="AD382" s="60"/>
      <c r="AE382" s="54"/>
    </row>
    <row r="383" spans="1:31" ht="21.25" customHeight="1" x14ac:dyDescent="0.15">
      <c r="A383" s="9" t="s">
        <v>340</v>
      </c>
      <c r="B383" s="65" t="str">
        <f>VLOOKUP(A383,'Player Data'!A1:B667,2,FALSE)</f>
        <v>DAL</v>
      </c>
      <c r="C383" s="51">
        <f>((E383)*Settings!$C$12)+(F383*Settings!$C$2)+(G383*Settings!$C$3)+(H383*Settings!$C$4)+(I383*Settings!$C$5)+(K383*Settings!$C$9)+(N383*Settings!$C$6)+(J383*Settings!$C$8)+(O383*Settings!$C$7)+(P383*Settings!$C$14)+(Q383*Settings!$C$15)+(R383*Settings!$C$16)+(S383*Settings!$C$17)+(T383*Settings!$C$18)+(U383*Settings!$C$19)+(L383*Settings!$C$10)+(Settings!$C$11*M383)</f>
        <v>1.4523653015156559</v>
      </c>
      <c r="D383" s="56">
        <f>IF(Settings!$E$12="YES",VLOOKUP(A383,'Player Data'!A1:E667,5,FALSE),82)</f>
        <v>81.430000000000007</v>
      </c>
      <c r="E383" s="54">
        <f>(VLOOKUP($A383,'The List'!$B1:$AH665,17,FALSE)-AVERAGE('The List'!R2:R665))/STDEV('The List'!R2:R665)</f>
        <v>1.2681362090179407</v>
      </c>
      <c r="F383" s="54">
        <f>(VLOOKUP($A383,'The List'!$B1:$AH665,18,FALSE)-AVERAGE('The List'!S2:S665))/STDEV('The List'!S2:S665)</f>
        <v>-0.74359620256337766</v>
      </c>
      <c r="G383" s="54">
        <f>(VLOOKUP($A383,'The List'!$B1:$AH665,19,FALSE)-AVERAGE('The List'!T2:T665))/STDEV('The List'!T2:T665)</f>
        <v>-0.21650088512575236</v>
      </c>
      <c r="H383" s="54">
        <f>(VLOOKUP($A383,'The List'!$B1:$AH665,20,FALSE)-AVERAGE('The List'!U2:U665))/STDEV('The List'!U2:U665)</f>
        <v>-0.47245904312933618</v>
      </c>
      <c r="I383" s="54">
        <f>(VLOOKUP($A383,'The List'!$B1:$AH665,21,FALSE)-AVERAGE('The List'!V2:V665))/STDEV('The List'!V2:V665)</f>
        <v>-0.21901673472088207</v>
      </c>
      <c r="J383" s="54">
        <f>(VLOOKUP($A383,'The List'!$B1:$AH665,22,FALSE)-AVERAGE('The List'!W2:W665))/STDEV('The List'!W2:W665)</f>
        <v>-0.73613908578448317</v>
      </c>
      <c r="K383" s="54">
        <f>(VLOOKUP($A383,'The List'!$B1:$AH665,23,FALSE)-AVERAGE('The List'!X2:X665))/STDEV('The List'!X2:X665)</f>
        <v>-0.78754175099751489</v>
      </c>
      <c r="L383" s="54">
        <f>(VLOOKUP($A383,'The List'!$B1:$AH665,24,FALSE)-AVERAGE('The List'!Y2:Y665))/STDEV('The List'!Y2:Y665)</f>
        <v>-0.2065572935361106</v>
      </c>
      <c r="M383" s="54">
        <f>(VLOOKUP($A383,'The List'!$B1:$AH665,25,FALSE)-AVERAGE('The List'!Z2:Z665))/STDEV('The List'!Z2:Z665)</f>
        <v>1.2015850116575912</v>
      </c>
      <c r="N383" s="54">
        <f>(VLOOKUP($A383,'The List'!$B1:$AH665,26,FALSE)-AVERAGE('The List'!AA2:AA665))/STDEV('The List'!AA2:AA665)</f>
        <v>2.2769419151047501</v>
      </c>
      <c r="O383" s="54">
        <f>(VLOOKUP($A383,'The List'!$B1:$AH665,27,FALSE)-AVERAGE('The List'!AB2:AB665))/STDEV('The List'!AB2:AB665)</f>
        <v>-4.9154401943692159E-2</v>
      </c>
      <c r="P383" s="54">
        <f>(VLOOKUP($A383,'The List'!$B1:$AH665,28,FALSE)-AVERAGE('The List'!AC2:AC665))/STDEV('The List'!AC2:AC665)</f>
        <v>1.1420789598184329</v>
      </c>
      <c r="Q383" s="54">
        <f>(VLOOKUP($A383,'The List'!$B1:$AH665,29,FALSE)-AVERAGE('The List'!AD2:AD665))/STDEV('The List'!AD2:AD665)</f>
        <v>-1.1125421358285001</v>
      </c>
      <c r="R383" s="54">
        <f>(VLOOKUP($A383,'The List'!$B1:$AH665,30,FALSE)-AVERAGE('The List'!AE2:AE665))/STDEV('The List'!AE2:AE665)</f>
        <v>-0.66952362210624017</v>
      </c>
      <c r="S383" s="54">
        <f>(VLOOKUP($A383,'The List'!$B1:$AH665,31,FALSE)-AVERAGE('The List'!AF2:AF665))/STDEV('The List'!AF2:AF665)</f>
        <v>-0.57389441068000469</v>
      </c>
      <c r="T383" s="54">
        <f>(VLOOKUP($A383,'The List'!$B1:$AH665,32,FALSE)-AVERAGE('The List'!AG2:AG665))/STDEV('The List'!AG2:AG665)</f>
        <v>-0.6249879426412025</v>
      </c>
      <c r="U383" s="54">
        <f>(VLOOKUP($A383,'The List'!$B1:$AH665,33,FALSE)-AVERAGE('The List'!AH2:AH665))/STDEV('The List'!AH2:AH665)</f>
        <v>-1.2314350945148611</v>
      </c>
      <c r="V383" s="54"/>
      <c r="W383" s="64"/>
      <c r="X383" s="56"/>
      <c r="Y383" s="56"/>
      <c r="Z383" s="56"/>
      <c r="AA383" s="56"/>
      <c r="AB383" s="56"/>
      <c r="AC383" s="59"/>
      <c r="AD383" s="60"/>
      <c r="AE383" s="54"/>
    </row>
    <row r="384" spans="1:31" ht="21.25" customHeight="1" x14ac:dyDescent="0.15">
      <c r="A384" s="9" t="s">
        <v>301</v>
      </c>
      <c r="B384" s="65" t="str">
        <f>VLOOKUP(A384,'Player Data'!A1:B667,2,FALSE)</f>
        <v>NYR</v>
      </c>
      <c r="C384" s="51">
        <f>((E384)*Settings!$C$12)+(F384*Settings!$C$2)+(G384*Settings!$C$3)+(H384*Settings!$C$4)+(I384*Settings!$C$5)+(K384*Settings!$C$9)+(N384*Settings!$C$6)+(J384*Settings!$C$8)+(O384*Settings!$C$7)+(P384*Settings!$C$14)+(Q384*Settings!$C$15)+(R384*Settings!$C$16)+(S384*Settings!$C$17)+(T384*Settings!$C$18)+(U384*Settings!$C$19)+(L384*Settings!$C$10)+(Settings!$C$11*M384)</f>
        <v>1.6200570854872864</v>
      </c>
      <c r="D384" s="56">
        <f>IF(Settings!$E$12="YES",VLOOKUP(A384,'Player Data'!A1:E667,5,FALSE),82)</f>
        <v>79.622500000000002</v>
      </c>
      <c r="E384" s="54">
        <f>(VLOOKUP($A384,'The List'!$B1:$AH665,17,FALSE)-AVERAGE('The List'!R2:R665))/STDEV('The List'!R2:R665)</f>
        <v>0.93239496648075004</v>
      </c>
      <c r="F384" s="54">
        <f>(VLOOKUP($A384,'The List'!$B1:$AH665,18,FALSE)-AVERAGE('The List'!S2:S665))/STDEV('The List'!S2:S665)</f>
        <v>-0.78393745792718639</v>
      </c>
      <c r="G384" s="54">
        <f>(VLOOKUP($A384,'The List'!$B1:$AH665,19,FALSE)-AVERAGE('The List'!T2:T665))/STDEV('The List'!T2:T665)</f>
        <v>-0.2327800319816469</v>
      </c>
      <c r="H384" s="54">
        <f>(VLOOKUP($A384,'The List'!$B1:$AH665,20,FALSE)-AVERAGE('The List'!U2:U665))/STDEV('The List'!U2:U665)</f>
        <v>-0.50090632680921487</v>
      </c>
      <c r="I384" s="54">
        <f>(VLOOKUP($A384,'The List'!$B1:$AH665,21,FALSE)-AVERAGE('The List'!V2:V665))/STDEV('The List'!V2:V665)</f>
        <v>0.22654886220435588</v>
      </c>
      <c r="J384" s="54">
        <f>(VLOOKUP($A384,'The List'!$B1:$AH665,22,FALSE)-AVERAGE('The List'!W2:W665))/STDEV('The List'!W2:W665)</f>
        <v>-0.66403990729905726</v>
      </c>
      <c r="K384" s="54">
        <f>(VLOOKUP($A384,'The List'!$B1:$AH665,23,FALSE)-AVERAGE('The List'!X2:X665))/STDEV('The List'!X2:X665)</f>
        <v>-0.71607746235660297</v>
      </c>
      <c r="L384" s="54">
        <f>(VLOOKUP($A384,'The List'!$B1:$AH665,24,FALSE)-AVERAGE('The List'!Y2:Y665))/STDEV('The List'!Y2:Y665)</f>
        <v>-0.52359263882622453</v>
      </c>
      <c r="M384" s="54">
        <f>(VLOOKUP($A384,'The List'!$B1:$AH665,25,FALSE)-AVERAGE('The List'!Z2:Z665))/STDEV('The List'!Z2:Z665)</f>
        <v>0.48012491230298698</v>
      </c>
      <c r="N384" s="54">
        <f>(VLOOKUP($A384,'The List'!$B1:$AH665,26,FALSE)-AVERAGE('The List'!AA2:AA665))/STDEV('The List'!AA2:AA665)</f>
        <v>2.7579855675196221</v>
      </c>
      <c r="O384" s="54">
        <f>(VLOOKUP($A384,'The List'!$B1:$AH665,27,FALSE)-AVERAGE('The List'!AB2:AB665))/STDEV('The List'!AB2:AB665)</f>
        <v>1.9924309810368654</v>
      </c>
      <c r="P384" s="54">
        <f>(VLOOKUP($A384,'The List'!$B1:$AH665,28,FALSE)-AVERAGE('The List'!AC2:AC665))/STDEV('The List'!AC2:AC665)</f>
        <v>0.36831760802874475</v>
      </c>
      <c r="Q384" s="54">
        <f>(VLOOKUP($A384,'The List'!$B1:$AH665,29,FALSE)-AVERAGE('The List'!AD2:AD665))/STDEV('The List'!AD2:AD665)</f>
        <v>1.9354961871608556</v>
      </c>
      <c r="R384" s="54">
        <f>(VLOOKUP($A384,'The List'!$B1:$AH665,30,FALSE)-AVERAGE('The List'!AE2:AE665))/STDEV('The List'!AE2:AE665)</f>
        <v>-0.69844825421162204</v>
      </c>
      <c r="S384" s="54">
        <f>(VLOOKUP($A384,'The List'!$B1:$AH665,31,FALSE)-AVERAGE('The List'!AF2:AF665))/STDEV('The List'!AF2:AF665)</f>
        <v>-0.57389441068000469</v>
      </c>
      <c r="T384" s="54">
        <f>(VLOOKUP($A384,'The List'!$B1:$AH665,32,FALSE)-AVERAGE('The List'!AG2:AG665))/STDEV('The List'!AG2:AG665)</f>
        <v>-0.62499554354506992</v>
      </c>
      <c r="U384" s="54">
        <f>(VLOOKUP($A384,'The List'!$B1:$AH665,33,FALSE)-AVERAGE('The List'!AH2:AH665))/STDEV('The List'!AH2:AH665)</f>
        <v>-1.2314350945148611</v>
      </c>
      <c r="V384" s="54"/>
      <c r="W384" s="64"/>
      <c r="X384" s="56"/>
      <c r="Y384" s="56"/>
      <c r="Z384" s="56"/>
      <c r="AA384" s="56"/>
      <c r="AB384" s="56"/>
      <c r="AC384" s="59"/>
      <c r="AD384" s="60"/>
      <c r="AE384" s="54"/>
    </row>
    <row r="385" spans="1:31" ht="21.25" customHeight="1" x14ac:dyDescent="0.15">
      <c r="A385" s="9" t="s">
        <v>412</v>
      </c>
      <c r="B385" s="65" t="str">
        <f>VLOOKUP(A385,'Player Data'!A1:B667,2,FALSE)</f>
        <v>NSH</v>
      </c>
      <c r="C385" s="51">
        <f>((E385)*Settings!$C$12)+(F385*Settings!$C$2)+(G385*Settings!$C$3)+(H385*Settings!$C$4)+(I385*Settings!$C$5)+(K385*Settings!$C$9)+(N385*Settings!$C$6)+(J385*Settings!$C$8)+(O385*Settings!$C$7)+(P385*Settings!$C$14)+(Q385*Settings!$C$15)+(R385*Settings!$C$16)+(S385*Settings!$C$17)+(T385*Settings!$C$18)+(U385*Settings!$C$19)+(L385*Settings!$C$10)+(Settings!$C$11*M385)</f>
        <v>-0.92814682021043493</v>
      </c>
      <c r="D385" s="56">
        <f>IF(Settings!$E$12="YES",VLOOKUP(A385,'Player Data'!A1:E667,5,FALSE),82)</f>
        <v>74.569999999999993</v>
      </c>
      <c r="E385" s="54">
        <f>(VLOOKUP($A385,'The List'!$B1:$AH665,17,FALSE)-AVERAGE('The List'!R2:R665))/STDEV('The List'!R2:R665)</f>
        <v>0.99186874895517285</v>
      </c>
      <c r="F385" s="54">
        <f>(VLOOKUP($A385,'The List'!$B1:$AH665,18,FALSE)-AVERAGE('The List'!S2:S665))/STDEV('The List'!S2:S665)</f>
        <v>-0.92418079298847233</v>
      </c>
      <c r="G385" s="54">
        <f>(VLOOKUP($A385,'The List'!$B1:$AH665,19,FALSE)-AVERAGE('The List'!T2:T665))/STDEV('The List'!T2:T665)</f>
        <v>-0.25111873913072741</v>
      </c>
      <c r="H385" s="54">
        <f>(VLOOKUP($A385,'The List'!$B1:$AH665,20,FALSE)-AVERAGE('The List'!U2:U665))/STDEV('The List'!U2:U665)</f>
        <v>-0.57604295718588561</v>
      </c>
      <c r="I385" s="54">
        <f>(VLOOKUP($A385,'The List'!$B1:$AH665,21,FALSE)-AVERAGE('The List'!V2:V665))/STDEV('The List'!V2:V665)</f>
        <v>-0.72632707803169594</v>
      </c>
      <c r="J385" s="54">
        <f>(VLOOKUP($A385,'The List'!$B1:$AH665,22,FALSE)-AVERAGE('The List'!W2:W665))/STDEV('The List'!W2:W665)</f>
        <v>-0.71133574627731511</v>
      </c>
      <c r="K385" s="54">
        <f>(VLOOKUP($A385,'The List'!$B1:$AH665,23,FALSE)-AVERAGE('The List'!X2:X665))/STDEV('The List'!X2:X665)</f>
        <v>-0.74777288188107016</v>
      </c>
      <c r="L385" s="54">
        <f>(VLOOKUP($A385,'The List'!$B1:$AH665,24,FALSE)-AVERAGE('The List'!Y2:Y665))/STDEV('The List'!Y2:Y665)</f>
        <v>0.30689668266674452</v>
      </c>
      <c r="M385" s="54">
        <f>(VLOOKUP($A385,'The List'!$B1:$AH665,25,FALSE)-AVERAGE('The List'!Z2:Z665))/STDEV('The List'!Z2:Z665)</f>
        <v>7.7427960929346493E-2</v>
      </c>
      <c r="N385" s="54">
        <f>(VLOOKUP($A385,'The List'!$B1:$AH665,26,FALSE)-AVERAGE('The List'!AA2:AA665))/STDEV('The List'!AA2:AA665)</f>
        <v>1.78940882933762</v>
      </c>
      <c r="O385" s="54">
        <f>(VLOOKUP($A385,'The List'!$B1:$AH665,27,FALSE)-AVERAGE('The List'!AB2:AB665))/STDEV('The List'!AB2:AB665)</f>
        <v>-0.18207944315089386</v>
      </c>
      <c r="P385" s="54">
        <f>(VLOOKUP($A385,'The List'!$B1:$AH665,28,FALSE)-AVERAGE('The List'!AC2:AC665))/STDEV('The List'!AC2:AC665)</f>
        <v>-6.815615751608925E-2</v>
      </c>
      <c r="Q385" s="54">
        <f>(VLOOKUP($A385,'The List'!$B1:$AH665,29,FALSE)-AVERAGE('The List'!AD2:AD665))/STDEV('The List'!AD2:AD665)</f>
        <v>0.95463446273622465</v>
      </c>
      <c r="R385" s="54">
        <f>(VLOOKUP($A385,'The List'!$B1:$AH665,30,FALSE)-AVERAGE('The List'!AE2:AE665))/STDEV('The List'!AE2:AE665)</f>
        <v>-0.90302776694945208</v>
      </c>
      <c r="S385" s="54">
        <f>(VLOOKUP($A385,'The List'!$B1:$AH665,31,FALSE)-AVERAGE('The List'!AF2:AF665))/STDEV('The List'!AF2:AF665)</f>
        <v>-0.57389441068000469</v>
      </c>
      <c r="T385" s="54">
        <f>(VLOOKUP($A385,'The List'!$B1:$AH665,32,FALSE)-AVERAGE('The List'!AG2:AG665))/STDEV('The List'!AG2:AG665)</f>
        <v>-0.62490537460627804</v>
      </c>
      <c r="U385" s="54">
        <f>(VLOOKUP($A385,'The List'!$B1:$AH665,33,FALSE)-AVERAGE('The List'!AH2:AH665))/STDEV('The List'!AH2:AH665)</f>
        <v>-1.2314350945148611</v>
      </c>
      <c r="V385" s="54"/>
      <c r="W385" s="56"/>
      <c r="X385" s="54"/>
      <c r="Y385" s="54"/>
      <c r="Z385" s="54"/>
      <c r="AA385" s="54"/>
      <c r="AB385" s="54"/>
      <c r="AC385" s="54"/>
      <c r="AD385" s="54"/>
      <c r="AE385" s="54"/>
    </row>
    <row r="386" spans="1:31" ht="21.25" customHeight="1" x14ac:dyDescent="0.15">
      <c r="A386" s="9" t="s">
        <v>624</v>
      </c>
      <c r="B386" s="65" t="str">
        <f>VLOOKUP(A386,'Player Data'!A1:B667,2,FALSE)</f>
        <v>BUF</v>
      </c>
      <c r="C386" s="51">
        <f>((E386)*Settings!$C$12)+(F386*Settings!$C$2)+(G386*Settings!$C$3)+(H386*Settings!$C$4)+(I386*Settings!$C$5)+(K386*Settings!$C$9)+(N386*Settings!$C$6)+(J386*Settings!$C$8)+(O386*Settings!$C$7)+(P386*Settings!$C$14)+(Q386*Settings!$C$15)+(R386*Settings!$C$16)+(S386*Settings!$C$17)+(T386*Settings!$C$18)+(U386*Settings!$C$19)+(L386*Settings!$C$10)+(Settings!$C$11*M386)</f>
        <v>-2.5241253805852635</v>
      </c>
      <c r="D386" s="56">
        <f>IF(Settings!$E$12="YES",VLOOKUP(A386,'Player Data'!A1:E667,5,FALSE),82)</f>
        <v>74.617500000000007</v>
      </c>
      <c r="E386" s="54">
        <f>(VLOOKUP($A386,'The List'!$B1:$AH665,17,FALSE)-AVERAGE('The List'!R2:R665))/STDEV('The List'!R2:R665)</f>
        <v>-0.50575845996837232</v>
      </c>
      <c r="F386" s="54">
        <f>(VLOOKUP($A386,'The List'!$B1:$AH665,18,FALSE)-AVERAGE('The List'!S2:S665))/STDEV('The List'!S2:S665)</f>
        <v>-0.41107989159549885</v>
      </c>
      <c r="G386" s="54">
        <f>(VLOOKUP($A386,'The List'!$B1:$AH665,19,FALSE)-AVERAGE('The List'!T2:T665))/STDEV('The List'!T2:T665)</f>
        <v>-0.62629759662356266</v>
      </c>
      <c r="H386" s="54">
        <f>(VLOOKUP($A386,'The List'!$B1:$AH665,20,FALSE)-AVERAGE('The List'!U2:U665))/STDEV('The List'!U2:U665)</f>
        <v>-0.5758213739618091</v>
      </c>
      <c r="I386" s="54">
        <f>(VLOOKUP($A386,'The List'!$B1:$AH665,21,FALSE)-AVERAGE('The List'!V2:V665))/STDEV('The List'!V2:V665)</f>
        <v>-0.39641410920344394</v>
      </c>
      <c r="J386" s="54">
        <f>(VLOOKUP($A386,'The List'!$B1:$AH665,22,FALSE)-AVERAGE('The List'!W2:W665))/STDEV('The List'!W2:W665)</f>
        <v>-0.65989255336222352</v>
      </c>
      <c r="K386" s="54">
        <f>(VLOOKUP($A386,'The List'!$B1:$AH665,23,FALSE)-AVERAGE('The List'!X2:X665))/STDEV('The List'!X2:X665)</f>
        <v>-0.71394084129339053</v>
      </c>
      <c r="L386" s="54">
        <f>(VLOOKUP($A386,'The List'!$B1:$AH665,24,FALSE)-AVERAGE('The List'!Y2:Y665))/STDEV('The List'!Y2:Y665)</f>
        <v>-0.37521730688525085</v>
      </c>
      <c r="M386" s="54">
        <f>(VLOOKUP($A386,'The List'!$B1:$AH665,25,FALSE)-AVERAGE('The List'!Z2:Z665))/STDEV('The List'!Z2:Z665)</f>
        <v>0.24399521369712543</v>
      </c>
      <c r="N386" s="54">
        <f>(VLOOKUP($A386,'The List'!$B1:$AH665,26,FALSE)-AVERAGE('The List'!AA2:AA665))/STDEV('The List'!AA2:AA665)</f>
        <v>-0.15600488510982927</v>
      </c>
      <c r="O386" s="54">
        <f>(VLOOKUP($A386,'The List'!$B1:$AH665,27,FALSE)-AVERAGE('The List'!AB2:AB665))/STDEV('The List'!AB2:AB665)</f>
        <v>0.83257514323246307</v>
      </c>
      <c r="P386" s="54">
        <f>(VLOOKUP($A386,'The List'!$B1:$AH665,28,FALSE)-AVERAGE('The List'!AC2:AC665))/STDEV('The List'!AC2:AC665)</f>
        <v>-0.22038805675953815</v>
      </c>
      <c r="Q386" s="54">
        <f>(VLOOKUP($A386,'The List'!$B1:$AH665,29,FALSE)-AVERAGE('The List'!AD2:AD665))/STDEV('The List'!AD2:AD665)</f>
        <v>1.2503289548717988</v>
      </c>
      <c r="R386" s="54">
        <f>(VLOOKUP($A386,'The List'!$B1:$AH665,30,FALSE)-AVERAGE('The List'!AE2:AE665))/STDEV('The List'!AE2:AE665)</f>
        <v>-0.43751491088490396</v>
      </c>
      <c r="S386" s="54">
        <f>(VLOOKUP($A386,'The List'!$B1:$AH665,31,FALSE)-AVERAGE('The List'!AF2:AF665))/STDEV('The List'!AF2:AF665)</f>
        <v>-0.50684769905480254</v>
      </c>
      <c r="T386" s="54">
        <f>(VLOOKUP($A386,'The List'!$B1:$AH665,32,FALSE)-AVERAGE('The List'!AG2:AG665))/STDEV('The List'!AG2:AG665)</f>
        <v>-0.43132464050557495</v>
      </c>
      <c r="U386" s="54">
        <f>(VLOOKUP($A386,'The List'!$B1:$AH665,33,FALSE)-AVERAGE('The List'!AH2:AH665))/STDEV('The List'!AH2:AH665)</f>
        <v>-1.5036982547155202E-2</v>
      </c>
      <c r="V386" s="54"/>
      <c r="W386" s="64"/>
      <c r="X386" s="56"/>
      <c r="Y386" s="56"/>
      <c r="Z386" s="56"/>
      <c r="AA386" s="56"/>
      <c r="AB386" s="56"/>
      <c r="AC386" s="59"/>
      <c r="AD386" s="60"/>
      <c r="AE386" s="54"/>
    </row>
    <row r="387" spans="1:31" ht="21.25" customHeight="1" x14ac:dyDescent="0.15">
      <c r="A387" s="9" t="s">
        <v>449</v>
      </c>
      <c r="B387" s="65" t="str">
        <f>VLOOKUP(A387,'Player Data'!A1:B667,2,FALSE)</f>
        <v>TOR</v>
      </c>
      <c r="C387" s="51">
        <f>((E387)*Settings!$C$12)+(F387*Settings!$C$2)+(G387*Settings!$C$3)+(H387*Settings!$C$4)+(I387*Settings!$C$5)+(K387*Settings!$C$9)+(N387*Settings!$C$6)+(J387*Settings!$C$8)+(O387*Settings!$C$7)+(P387*Settings!$C$14)+(Q387*Settings!$C$15)+(R387*Settings!$C$16)+(S387*Settings!$C$17)+(T387*Settings!$C$18)+(U387*Settings!$C$19)+(L387*Settings!$C$10)+(Settings!$C$11*M387)</f>
        <v>-1.5608254147010918</v>
      </c>
      <c r="D387" s="56">
        <f>IF(Settings!$E$12="YES",VLOOKUP(A387,'Player Data'!A1:E667,5,FALSE),82)</f>
        <v>77.525000000000006</v>
      </c>
      <c r="E387" s="54">
        <f>(VLOOKUP($A387,'The List'!$B1:$AH665,17,FALSE)-AVERAGE('The List'!R2:R665))/STDEV('The List'!R2:R665)</f>
        <v>0.15221968207641404</v>
      </c>
      <c r="F387" s="54">
        <f>(VLOOKUP($A387,'The List'!$B1:$AH665,18,FALSE)-AVERAGE('The List'!S2:S665))/STDEV('The List'!S2:S665)</f>
        <v>-0.87898058344081675</v>
      </c>
      <c r="G387" s="54">
        <f>(VLOOKUP($A387,'The List'!$B1:$AH665,19,FALSE)-AVERAGE('The List'!T2:T665))/STDEV('The List'!T2:T665)</f>
        <v>-0.22702646177826372</v>
      </c>
      <c r="H387" s="54">
        <f>(VLOOKUP($A387,'The List'!$B1:$AH665,20,FALSE)-AVERAGE('The List'!U2:U665))/STDEV('The List'!U2:U665)</f>
        <v>-0.54053465450885441</v>
      </c>
      <c r="I387" s="54">
        <f>(VLOOKUP($A387,'The List'!$B1:$AH665,21,FALSE)-AVERAGE('The List'!V2:V665))/STDEV('The List'!V2:V665)</f>
        <v>-0.37758311812639767</v>
      </c>
      <c r="J387" s="54">
        <f>(VLOOKUP($A387,'The List'!$B1:$AH665,22,FALSE)-AVERAGE('The List'!W2:W665))/STDEV('The List'!W2:W665)</f>
        <v>-0.48684496761593909</v>
      </c>
      <c r="K387" s="54">
        <f>(VLOOKUP($A387,'The List'!$B1:$AH665,23,FALSE)-AVERAGE('The List'!X2:X665))/STDEV('The List'!X2:X665)</f>
        <v>-7.2390140593323965E-2</v>
      </c>
      <c r="L387" s="54">
        <f>(VLOOKUP($A387,'The List'!$B1:$AH665,24,FALSE)-AVERAGE('The List'!Y2:Y665))/STDEV('The List'!Y2:Y665)</f>
        <v>-0.55609437623503144</v>
      </c>
      <c r="M387" s="54">
        <f>(VLOOKUP($A387,'The List'!$B1:$AH665,25,FALSE)-AVERAGE('The List'!Z2:Z665))/STDEV('The List'!Z2:Z665)</f>
        <v>-0.51841690293393239</v>
      </c>
      <c r="N387" s="54">
        <f>(VLOOKUP($A387,'The List'!$B1:$AH665,26,FALSE)-AVERAGE('The List'!AA2:AA665))/STDEV('The List'!AA2:AA665)</f>
        <v>0.13753260445555465</v>
      </c>
      <c r="O387" s="54">
        <f>(VLOOKUP($A387,'The List'!$B1:$AH665,27,FALSE)-AVERAGE('The List'!AB2:AB665))/STDEV('The List'!AB2:AB665)</f>
        <v>4.6755360289682406E-2</v>
      </c>
      <c r="P387" s="54">
        <f>(VLOOKUP($A387,'The List'!$B1:$AH665,28,FALSE)-AVERAGE('The List'!AC2:AC665))/STDEV('The List'!AC2:AC665)</f>
        <v>-0.14237771521784451</v>
      </c>
      <c r="Q387" s="54">
        <f>(VLOOKUP($A387,'The List'!$B1:$AH665,29,FALSE)-AVERAGE('The List'!AD2:AD665))/STDEV('The List'!AD2:AD665)</f>
        <v>0.63731856257746222</v>
      </c>
      <c r="R387" s="54">
        <f>(VLOOKUP($A387,'The List'!$B1:$AH665,30,FALSE)-AVERAGE('The List'!AE2:AE665))/STDEV('The List'!AE2:AE665)</f>
        <v>-0.8083064351188175</v>
      </c>
      <c r="S387" s="54">
        <f>(VLOOKUP($A387,'The List'!$B1:$AH665,31,FALSE)-AVERAGE('The List'!AF2:AF665))/STDEV('The List'!AF2:AF665)</f>
        <v>-0.57389441068000469</v>
      </c>
      <c r="T387" s="54">
        <f>(VLOOKUP($A387,'The List'!$B1:$AH665,32,FALSE)-AVERAGE('The List'!AG2:AG665))/STDEV('The List'!AG2:AG665)</f>
        <v>-0.62577078713265111</v>
      </c>
      <c r="U387" s="54">
        <f>(VLOOKUP($A387,'The List'!$B1:$AH665,33,FALSE)-AVERAGE('The List'!AH2:AH665))/STDEV('The List'!AH2:AH665)</f>
        <v>-1.2314350945148611</v>
      </c>
      <c r="V387" s="54"/>
      <c r="W387" s="64"/>
      <c r="X387" s="56"/>
      <c r="Y387" s="56"/>
      <c r="Z387" s="56"/>
      <c r="AA387" s="56"/>
      <c r="AB387" s="56"/>
      <c r="AC387" s="59"/>
      <c r="AD387" s="60"/>
      <c r="AE387" s="54"/>
    </row>
    <row r="388" spans="1:31" ht="21.25" customHeight="1" x14ac:dyDescent="0.15">
      <c r="A388" s="9" t="s">
        <v>579</v>
      </c>
      <c r="B388" s="65" t="str">
        <f>VLOOKUP(A388,'Player Data'!A1:B667,2,FALSE)</f>
        <v>T.B</v>
      </c>
      <c r="C388" s="51">
        <f>((E388)*Settings!$C$12)+(F388*Settings!$C$2)+(G388*Settings!$C$3)+(H388*Settings!$C$4)+(I388*Settings!$C$5)+(K388*Settings!$C$9)+(N388*Settings!$C$6)+(J388*Settings!$C$8)+(O388*Settings!$C$7)+(P388*Settings!$C$14)+(Q388*Settings!$C$15)+(R388*Settings!$C$16)+(S388*Settings!$C$17)+(T388*Settings!$C$18)+(U388*Settings!$C$19)+(L388*Settings!$C$10)+(Settings!$C$11*M388)</f>
        <v>-3.0633456969307535</v>
      </c>
      <c r="D388" s="56">
        <f>IF(Settings!$E$12="YES",VLOOKUP(A388,'Player Data'!A1:E667,5,FALSE),82)</f>
        <v>76.662499999999994</v>
      </c>
      <c r="E388" s="54">
        <f>(VLOOKUP($A388,'The List'!$B1:$AH665,17,FALSE)-AVERAGE('The List'!R2:R665))/STDEV('The List'!R2:R665)</f>
        <v>-1.2881665052814455</v>
      </c>
      <c r="F388" s="54">
        <f>(VLOOKUP($A388,'The List'!$B1:$AH665,18,FALSE)-AVERAGE('The List'!S2:S665))/STDEV('The List'!S2:S665)</f>
        <v>-0.23954217640302145</v>
      </c>
      <c r="G388" s="54">
        <f>(VLOOKUP($A388,'The List'!$B1:$AH665,19,FALSE)-AVERAGE('The List'!T2:T665))/STDEV('The List'!T2:T665)</f>
        <v>-0.71980735949260244</v>
      </c>
      <c r="H388" s="54">
        <f>(VLOOKUP($A388,'The List'!$B1:$AH665,20,FALSE)-AVERAGE('The List'!U2:U665))/STDEV('The List'!U2:U665)</f>
        <v>-0.55592414918399891</v>
      </c>
      <c r="I388" s="54">
        <f>(VLOOKUP($A388,'The List'!$B1:$AH665,21,FALSE)-AVERAGE('The List'!V2:V665))/STDEV('The List'!V2:V665)</f>
        <v>7.6904101282696438E-2</v>
      </c>
      <c r="J388" s="54">
        <f>(VLOOKUP($A388,'The List'!$B1:$AH665,22,FALSE)-AVERAGE('The List'!W2:W665))/STDEV('The List'!W2:W665)</f>
        <v>-0.47539898545380926</v>
      </c>
      <c r="K388" s="54">
        <f>(VLOOKUP($A388,'The List'!$B1:$AH665,23,FALSE)-AVERAGE('The List'!X2:X665))/STDEV('The List'!X2:X665)</f>
        <v>-0.55947356770864398</v>
      </c>
      <c r="L388" s="54">
        <f>(VLOOKUP($A388,'The List'!$B1:$AH665,24,FALSE)-AVERAGE('The List'!Y2:Y665))/STDEV('The List'!Y2:Y665)</f>
        <v>-0.10140949812849115</v>
      </c>
      <c r="M388" s="54">
        <f>(VLOOKUP($A388,'The List'!$B1:$AH665,25,FALSE)-AVERAGE('The List'!Z2:Z665))/STDEV('The List'!Z2:Z665)</f>
        <v>-0.42298740720822992</v>
      </c>
      <c r="N388" s="54">
        <f>(VLOOKUP($A388,'The List'!$B1:$AH665,26,FALSE)-AVERAGE('The List'!AA2:AA665))/STDEV('The List'!AA2:AA665)</f>
        <v>-0.61960037441825244</v>
      </c>
      <c r="O388" s="54">
        <f>(VLOOKUP($A388,'The List'!$B1:$AH665,27,FALSE)-AVERAGE('The List'!AB2:AB665))/STDEV('The List'!AB2:AB665)</f>
        <v>-0.97274648054677781</v>
      </c>
      <c r="P388" s="54">
        <f>(VLOOKUP($A388,'The List'!$B1:$AH665,28,FALSE)-AVERAGE('The List'!AC2:AC665))/STDEV('The List'!AC2:AC665)</f>
        <v>-1.0018263201909297</v>
      </c>
      <c r="Q388" s="54">
        <f>(VLOOKUP($A388,'The List'!$B1:$AH665,29,FALSE)-AVERAGE('The List'!AD2:AD665))/STDEV('The List'!AD2:AD665)</f>
        <v>-0.89210054275505868</v>
      </c>
      <c r="R388" s="54">
        <f>(VLOOKUP($A388,'The List'!$B1:$AH665,30,FALSE)-AVERAGE('The List'!AE2:AE665))/STDEV('The List'!AE2:AE665)</f>
        <v>-0.16867864919789077</v>
      </c>
      <c r="S388" s="54">
        <f>(VLOOKUP($A388,'The List'!$B1:$AH665,31,FALSE)-AVERAGE('The List'!AF2:AF665))/STDEV('The List'!AF2:AF665)</f>
        <v>-0.53668079135694147</v>
      </c>
      <c r="T388" s="54">
        <f>(VLOOKUP($A388,'The List'!$B1:$AH665,32,FALSE)-AVERAGE('The List'!AG2:AG665))/STDEV('The List'!AG2:AG665)</f>
        <v>-0.56721550389081443</v>
      </c>
      <c r="U388" s="54">
        <f>(VLOOKUP($A388,'The List'!$B1:$AH665,33,FALSE)-AVERAGE('The List'!AH2:AH665))/STDEV('The List'!AH2:AH665)</f>
        <v>0.59689869887715874</v>
      </c>
      <c r="V388" s="54"/>
      <c r="W388" s="64"/>
      <c r="X388" s="56"/>
      <c r="Y388" s="56"/>
      <c r="Z388" s="56"/>
      <c r="AA388" s="56"/>
      <c r="AB388" s="56"/>
      <c r="AC388" s="59"/>
      <c r="AD388" s="60"/>
      <c r="AE388" s="54"/>
    </row>
    <row r="389" spans="1:31" ht="21.25" customHeight="1" x14ac:dyDescent="0.15">
      <c r="A389" s="9" t="s">
        <v>759</v>
      </c>
      <c r="B389" s="65" t="str">
        <f>VLOOKUP(A389,'Player Data'!A1:B667,2,FALSE)</f>
        <v>WSH</v>
      </c>
      <c r="C389" s="51">
        <f>((E389)*Settings!$C$12)+(F389*Settings!$C$2)+(G389*Settings!$C$3)+(H389*Settings!$C$4)+(I389*Settings!$C$5)+(K389*Settings!$C$9)+(N389*Settings!$C$6)+(J389*Settings!$C$8)+(O389*Settings!$C$7)+(P389*Settings!$C$14)+(Q389*Settings!$C$15)+(R389*Settings!$C$16)+(S389*Settings!$C$17)+(T389*Settings!$C$18)+(U389*Settings!$C$19)+(L389*Settings!$C$10)+(Settings!$C$11*M389)</f>
        <v>-4.6908368263174891</v>
      </c>
      <c r="D389" s="56">
        <f>IF(Settings!$E$12="YES",VLOOKUP(A389,'Player Data'!A1:E667,5,FALSE),82)</f>
        <v>56.715000000000003</v>
      </c>
      <c r="E389" s="54">
        <f>(VLOOKUP($A389,'The List'!$B1:$AH665,17,FALSE)-AVERAGE('The List'!R2:R665))/STDEV('The List'!R2:R665)</f>
        <v>-1.4096468978489158</v>
      </c>
      <c r="F389" s="54">
        <f>(VLOOKUP($A389,'The List'!$B1:$AH665,18,FALSE)-AVERAGE('The List'!S2:S665))/STDEV('The List'!S2:S665)</f>
        <v>-0.60420505315396822</v>
      </c>
      <c r="G389" s="54">
        <f>(VLOOKUP($A389,'The List'!$B1:$AH665,19,FALSE)-AVERAGE('The List'!T2:T665))/STDEV('The List'!T2:T665)</f>
        <v>-0.9160054497878759</v>
      </c>
      <c r="H389" s="54">
        <f>(VLOOKUP($A389,'The List'!$B1:$AH665,20,FALSE)-AVERAGE('The List'!U2:U665))/STDEV('The List'!U2:U665)</f>
        <v>-0.84353080640718336</v>
      </c>
      <c r="I389" s="54">
        <f>(VLOOKUP($A389,'The List'!$B1:$AH665,21,FALSE)-AVERAGE('The List'!V2:V665))/STDEV('The List'!V2:V665)</f>
        <v>-0.9206180361391455</v>
      </c>
      <c r="J389" s="54">
        <f>(VLOOKUP($A389,'The List'!$B1:$AH665,22,FALSE)-AVERAGE('The List'!W2:W665))/STDEV('The List'!W2:W665)</f>
        <v>-0.67657982923784599</v>
      </c>
      <c r="K389" s="54">
        <f>(VLOOKUP($A389,'The List'!$B1:$AH665,23,FALSE)-AVERAGE('The List'!X2:X665))/STDEV('The List'!X2:X665)</f>
        <v>-0.74854282268577665</v>
      </c>
      <c r="L389" s="54">
        <f>(VLOOKUP($A389,'The List'!$B1:$AH665,24,FALSE)-AVERAGE('The List'!Y2:Y665))/STDEV('The List'!Y2:Y665)</f>
        <v>-0.5801829139020841</v>
      </c>
      <c r="M389" s="54">
        <f>(VLOOKUP($A389,'The List'!$B1:$AH665,25,FALSE)-AVERAGE('The List'!Z2:Z665))/STDEV('The List'!Z2:Z665)</f>
        <v>-0.75403666498999722</v>
      </c>
      <c r="N389" s="54">
        <f>(VLOOKUP($A389,'The List'!$B1:$AH665,26,FALSE)-AVERAGE('The List'!AA2:AA665))/STDEV('The List'!AA2:AA665)</f>
        <v>-1.0921605676911876</v>
      </c>
      <c r="O389" s="54">
        <f>(VLOOKUP($A389,'The List'!$B1:$AH665,27,FALSE)-AVERAGE('The List'!AB2:AB665))/STDEV('The List'!AB2:AB665)</f>
        <v>0.25904360613868099</v>
      </c>
      <c r="P389" s="54">
        <f>(VLOOKUP($A389,'The List'!$B1:$AH665,28,FALSE)-AVERAGE('The List'!AC2:AC665))/STDEV('The List'!AC2:AC665)</f>
        <v>-0.40930489685953603</v>
      </c>
      <c r="Q389" s="54">
        <f>(VLOOKUP($A389,'The List'!$B1:$AH665,29,FALSE)-AVERAGE('The List'!AD2:AD665))/STDEV('The List'!AD2:AD665)</f>
        <v>-1.1338281947928197</v>
      </c>
      <c r="R389" s="54">
        <f>(VLOOKUP($A389,'The List'!$B1:$AH665,30,FALSE)-AVERAGE('The List'!AE2:AE665))/STDEV('The List'!AE2:AE665)</f>
        <v>-0.61072477950944104</v>
      </c>
      <c r="S389" s="54">
        <f>(VLOOKUP($A389,'The List'!$B1:$AH665,31,FALSE)-AVERAGE('The List'!AF2:AF665))/STDEV('The List'!AF2:AF665)</f>
        <v>-0.57389441068000469</v>
      </c>
      <c r="T389" s="54">
        <f>(VLOOKUP($A389,'The List'!$B1:$AH665,32,FALSE)-AVERAGE('The List'!AG2:AG665))/STDEV('The List'!AG2:AG665)</f>
        <v>-0.598994778221835</v>
      </c>
      <c r="U389" s="54">
        <f>(VLOOKUP($A389,'The List'!$B1:$AH665,33,FALSE)-AVERAGE('The List'!AH2:AH665))/STDEV('The List'!AH2:AH665)</f>
        <v>-1.2314350945148611</v>
      </c>
      <c r="V389" s="54"/>
      <c r="W389" s="56"/>
      <c r="X389" s="54"/>
      <c r="Y389" s="54"/>
      <c r="Z389" s="54"/>
      <c r="AA389" s="54"/>
      <c r="AB389" s="54"/>
      <c r="AC389" s="54"/>
      <c r="AD389" s="54"/>
      <c r="AE389" s="54"/>
    </row>
    <row r="390" spans="1:31" ht="21.25" customHeight="1" x14ac:dyDescent="0.15">
      <c r="A390" s="9" t="s">
        <v>643</v>
      </c>
      <c r="B390" s="65" t="str">
        <f>VLOOKUP(A390,'Player Data'!A1:B667,2,FALSE)</f>
        <v>NYI</v>
      </c>
      <c r="C390" s="51">
        <f>((E390)*Settings!$C$12)+(F390*Settings!$C$2)+(G390*Settings!$C$3)+(H390*Settings!$C$4)+(I390*Settings!$C$5)+(K390*Settings!$C$9)+(N390*Settings!$C$6)+(J390*Settings!$C$8)+(O390*Settings!$C$7)+(P390*Settings!$C$14)+(Q390*Settings!$C$15)+(R390*Settings!$C$16)+(S390*Settings!$C$17)+(T390*Settings!$C$18)+(U390*Settings!$C$19)+(L390*Settings!$C$10)+(Settings!$C$11*M390)</f>
        <v>-1.8491490690869707</v>
      </c>
      <c r="D390" s="56">
        <f>IF(Settings!$E$12="YES",VLOOKUP(A390,'Player Data'!A1:E667,5,FALSE),82)</f>
        <v>79.385000000000005</v>
      </c>
      <c r="E390" s="54">
        <f>(VLOOKUP($A390,'The List'!$B1:$AH665,17,FALSE)-AVERAGE('The List'!R2:R665))/STDEV('The List'!R2:R665)</f>
        <v>-0.92413844119688293</v>
      </c>
      <c r="F390" s="54">
        <f>(VLOOKUP($A390,'The List'!$B1:$AH665,18,FALSE)-AVERAGE('The List'!S2:S665))/STDEV('The List'!S2:S665)</f>
        <v>-0.26786367833072544</v>
      </c>
      <c r="G390" s="54">
        <f>(VLOOKUP($A390,'The List'!$B1:$AH665,19,FALSE)-AVERAGE('The List'!T2:T665))/STDEV('The List'!T2:T665)</f>
        <v>-0.64684927542045223</v>
      </c>
      <c r="H390" s="54">
        <f>(VLOOKUP($A390,'The List'!$B1:$AH665,20,FALSE)-AVERAGE('The List'!U2:U665))/STDEV('The List'!U2:U665)</f>
        <v>-0.52348654553491258</v>
      </c>
      <c r="I390" s="54">
        <f>(VLOOKUP($A390,'The List'!$B1:$AH665,21,FALSE)-AVERAGE('The List'!V2:V665))/STDEV('The List'!V2:V665)</f>
        <v>-7.0623495279855786E-2</v>
      </c>
      <c r="J390" s="54">
        <f>(VLOOKUP($A390,'The List'!$B1:$AH665,22,FALSE)-AVERAGE('The List'!W2:W665))/STDEV('The List'!W2:W665)</f>
        <v>-0.41950862297082603</v>
      </c>
      <c r="K390" s="54">
        <f>(VLOOKUP($A390,'The List'!$B1:$AH665,23,FALSE)-AVERAGE('The List'!X2:X665))/STDEV('The List'!X2:X665)</f>
        <v>-0.45110137630292219</v>
      </c>
      <c r="L390" s="54">
        <f>(VLOOKUP($A390,'The List'!$B1:$AH665,24,FALSE)-AVERAGE('The List'!Y2:Y665))/STDEV('The List'!Y2:Y665)</f>
        <v>-0.57606941951567481</v>
      </c>
      <c r="M390" s="54">
        <f>(VLOOKUP($A390,'The List'!$B1:$AH665,25,FALSE)-AVERAGE('The List'!Z2:Z665))/STDEV('The List'!Z2:Z665)</f>
        <v>-0.75013509834360814</v>
      </c>
      <c r="N390" s="54">
        <f>(VLOOKUP($A390,'The List'!$B1:$AH665,26,FALSE)-AVERAGE('The List'!AA2:AA665))/STDEV('The List'!AA2:AA665)</f>
        <v>-1.1106823502980496</v>
      </c>
      <c r="O390" s="54">
        <f>(VLOOKUP($A390,'The List'!$B1:$AH665,27,FALSE)-AVERAGE('The List'!AB2:AB665))/STDEV('The List'!AB2:AB665)</f>
        <v>-1.0628513641275057</v>
      </c>
      <c r="P390" s="54">
        <f>(VLOOKUP($A390,'The List'!$B1:$AH665,28,FALSE)-AVERAGE('The List'!AC2:AC665))/STDEV('The List'!AC2:AC665)</f>
        <v>0.69797110654503469</v>
      </c>
      <c r="Q390" s="54">
        <f>(VLOOKUP($A390,'The List'!$B1:$AH665,29,FALSE)-AVERAGE('The List'!AD2:AD665))/STDEV('The List'!AD2:AD665)</f>
        <v>-0.50810496064501265</v>
      </c>
      <c r="R390" s="54">
        <f>(VLOOKUP($A390,'The List'!$B1:$AH665,30,FALSE)-AVERAGE('The List'!AE2:AE665))/STDEV('The List'!AE2:AE665)</f>
        <v>-0.20007544094550755</v>
      </c>
      <c r="S390" s="54">
        <f>(VLOOKUP($A390,'The List'!$B1:$AH665,31,FALSE)-AVERAGE('The List'!AF2:AF665))/STDEV('The List'!AF2:AF665)</f>
        <v>-0.44712071558526906</v>
      </c>
      <c r="T390" s="54">
        <f>(VLOOKUP($A390,'The List'!$B1:$AH665,32,FALSE)-AVERAGE('The List'!AG2:AG665))/STDEV('The List'!AG2:AG665)</f>
        <v>-0.47393780414620518</v>
      </c>
      <c r="U390" s="54">
        <f>(VLOOKUP($A390,'The List'!$B1:$AH665,33,FALSE)-AVERAGE('The List'!AH2:AH665))/STDEV('The List'!AH2:AH665)</f>
        <v>0.90076034153921947</v>
      </c>
      <c r="V390" s="54"/>
      <c r="W390" s="64"/>
      <c r="X390" s="56"/>
      <c r="Y390" s="56"/>
      <c r="Z390" s="56"/>
      <c r="AA390" s="56"/>
      <c r="AB390" s="56"/>
      <c r="AC390" s="59"/>
      <c r="AD390" s="60"/>
      <c r="AE390" s="54"/>
    </row>
    <row r="391" spans="1:31" ht="21.25" customHeight="1" x14ac:dyDescent="0.15">
      <c r="A391" s="9" t="s">
        <v>399</v>
      </c>
      <c r="B391" s="65" t="str">
        <f>VLOOKUP(A391,'Player Data'!A1:B667,2,FALSE)</f>
        <v>STL</v>
      </c>
      <c r="C391" s="51">
        <f>((E391)*Settings!$C$12)+(F391*Settings!$C$2)+(G391*Settings!$C$3)+(H391*Settings!$C$4)+(I391*Settings!$C$5)+(K391*Settings!$C$9)+(N391*Settings!$C$6)+(J391*Settings!$C$8)+(O391*Settings!$C$7)+(P391*Settings!$C$14)+(Q391*Settings!$C$15)+(R391*Settings!$C$16)+(S391*Settings!$C$17)+(T391*Settings!$C$18)+(U391*Settings!$C$19)+(L391*Settings!$C$10)+(Settings!$C$11*M391)</f>
        <v>-2.4455853079974319</v>
      </c>
      <c r="D391" s="56">
        <f>IF(Settings!$E$12="YES",VLOOKUP(A391,'Player Data'!A1:E667,5,FALSE),82)</f>
        <v>76.73</v>
      </c>
      <c r="E391" s="54">
        <f>(VLOOKUP($A391,'The List'!$B1:$AH665,17,FALSE)-AVERAGE('The List'!R2:R665))/STDEV('The List'!R2:R665)</f>
        <v>0.68630254716181871</v>
      </c>
      <c r="F391" s="54">
        <f>(VLOOKUP($A391,'The List'!$B1:$AH665,18,FALSE)-AVERAGE('The List'!S2:S665))/STDEV('The List'!S2:S665)</f>
        <v>-0.91042703993561824</v>
      </c>
      <c r="G391" s="54">
        <f>(VLOOKUP($A391,'The List'!$B1:$AH665,19,FALSE)-AVERAGE('The List'!T2:T665))/STDEV('The List'!T2:T665)</f>
        <v>-0.23764775905488192</v>
      </c>
      <c r="H391" s="54">
        <f>(VLOOKUP($A391,'The List'!$B1:$AH665,20,FALSE)-AVERAGE('The List'!U2:U665))/STDEV('The List'!U2:U665)</f>
        <v>-0.56142498658009865</v>
      </c>
      <c r="I391" s="54">
        <f>(VLOOKUP($A391,'The List'!$B1:$AH665,21,FALSE)-AVERAGE('The List'!V2:V665))/STDEV('The List'!V2:V665)</f>
        <v>-0.1690484773560165</v>
      </c>
      <c r="J391" s="54">
        <f>(VLOOKUP($A391,'The List'!$B1:$AH665,22,FALSE)-AVERAGE('The List'!W2:W665))/STDEV('The List'!W2:W665)</f>
        <v>-0.74608818155923062</v>
      </c>
      <c r="K391" s="54">
        <f>(VLOOKUP($A391,'The List'!$B1:$AH665,23,FALSE)-AVERAGE('The List'!X2:X665))/STDEV('The List'!X2:X665)</f>
        <v>-0.8293754610163353</v>
      </c>
      <c r="L391" s="54">
        <f>(VLOOKUP($A391,'The List'!$B1:$AH665,24,FALSE)-AVERAGE('The List'!Y2:Y665))/STDEV('The List'!Y2:Y665)</f>
        <v>-0.49775582838833787</v>
      </c>
      <c r="M391" s="54">
        <f>(VLOOKUP($A391,'The List'!$B1:$AH665,25,FALSE)-AVERAGE('The List'!Z2:Z665))/STDEV('The List'!Z2:Z665)</f>
        <v>-0.52552221637392615</v>
      </c>
      <c r="N391" s="54">
        <f>(VLOOKUP($A391,'The List'!$B1:$AH665,26,FALSE)-AVERAGE('The List'!AA2:AA665))/STDEV('The List'!AA2:AA665)</f>
        <v>1.1856170383985805</v>
      </c>
      <c r="O391" s="54">
        <f>(VLOOKUP($A391,'The List'!$B1:$AH665,27,FALSE)-AVERAGE('The List'!AB2:AB665))/STDEV('The List'!AB2:AB665)</f>
        <v>-0.41264797178578744</v>
      </c>
      <c r="P391" s="54">
        <f>(VLOOKUP($A391,'The List'!$B1:$AH665,28,FALSE)-AVERAGE('The List'!AC2:AC665))/STDEV('The List'!AC2:AC665)</f>
        <v>-1.4847036090331605</v>
      </c>
      <c r="Q391" s="54">
        <f>(VLOOKUP($A391,'The List'!$B1:$AH665,29,FALSE)-AVERAGE('The List'!AD2:AD665))/STDEV('The List'!AD2:AD665)</f>
        <v>0.63570259315723732</v>
      </c>
      <c r="R391" s="54">
        <f>(VLOOKUP($A391,'The List'!$B1:$AH665,30,FALSE)-AVERAGE('The List'!AE2:AE665))/STDEV('The List'!AE2:AE665)</f>
        <v>-0.94808582837194177</v>
      </c>
      <c r="S391" s="54">
        <f>(VLOOKUP($A391,'The List'!$B1:$AH665,31,FALSE)-AVERAGE('The List'!AF2:AF665))/STDEV('The List'!AF2:AF665)</f>
        <v>-0.57389441068000469</v>
      </c>
      <c r="T391" s="54">
        <f>(VLOOKUP($A391,'The List'!$B1:$AH665,32,FALSE)-AVERAGE('The List'!AG2:AG665))/STDEV('The List'!AG2:AG665)</f>
        <v>-0.62577078713265111</v>
      </c>
      <c r="U391" s="54">
        <f>(VLOOKUP($A391,'The List'!$B1:$AH665,33,FALSE)-AVERAGE('The List'!AH2:AH665))/STDEV('The List'!AH2:AH665)</f>
        <v>-1.2314350945148611</v>
      </c>
      <c r="V391" s="54"/>
      <c r="W391" s="64"/>
      <c r="X391" s="56"/>
      <c r="Y391" s="56"/>
      <c r="Z391" s="56"/>
      <c r="AA391" s="56"/>
      <c r="AB391" s="56"/>
      <c r="AC391" s="59"/>
      <c r="AD391" s="60"/>
      <c r="AE391" s="54"/>
    </row>
    <row r="392" spans="1:31" ht="21.25" customHeight="1" x14ac:dyDescent="0.15">
      <c r="A392" s="9" t="s">
        <v>447</v>
      </c>
      <c r="B392" s="65" t="str">
        <f>VLOOKUP(A392,'Player Data'!A1:B667,2,FALSE)</f>
        <v>DET</v>
      </c>
      <c r="C392" s="51">
        <f>((E392)*Settings!$C$12)+(F392*Settings!$C$2)+(G392*Settings!$C$3)+(H392*Settings!$C$4)+(I392*Settings!$C$5)+(K392*Settings!$C$9)+(N392*Settings!$C$6)+(J392*Settings!$C$8)+(O392*Settings!$C$7)+(P392*Settings!$C$14)+(Q392*Settings!$C$15)+(R392*Settings!$C$16)+(S392*Settings!$C$17)+(T392*Settings!$C$18)+(U392*Settings!$C$19)+(L392*Settings!$C$10)+(Settings!$C$11*M392)</f>
        <v>-2.1058307920915662</v>
      </c>
      <c r="D392" s="56">
        <f>IF(Settings!$E$12="YES",VLOOKUP(A392,'Player Data'!A1:E667,5,FALSE),82)</f>
        <v>75</v>
      </c>
      <c r="E392" s="54">
        <f>(VLOOKUP($A392,'The List'!$B1:$AH665,17,FALSE)-AVERAGE('The List'!R2:R665))/STDEV('The List'!R2:R665)</f>
        <v>0.88353477840379058</v>
      </c>
      <c r="F392" s="54">
        <f>(VLOOKUP($A392,'The List'!$B1:$AH665,18,FALSE)-AVERAGE('The List'!S2:S665))/STDEV('The List'!S2:S665)</f>
        <v>-0.56124645146673435</v>
      </c>
      <c r="G392" s="54">
        <f>(VLOOKUP($A392,'The List'!$B1:$AH665,19,FALSE)-AVERAGE('The List'!T2:T665))/STDEV('The List'!T2:T665)</f>
        <v>-0.53717857223502008</v>
      </c>
      <c r="H392" s="54">
        <f>(VLOOKUP($A392,'The List'!$B1:$AH665,20,FALSE)-AVERAGE('The List'!U2:U665))/STDEV('The List'!U2:U665)</f>
        <v>-0.58873128827289289</v>
      </c>
      <c r="I392" s="54">
        <f>(VLOOKUP($A392,'The List'!$B1:$AH665,21,FALSE)-AVERAGE('The List'!V2:V665))/STDEV('The List'!V2:V665)</f>
        <v>-0.70784531259978201</v>
      </c>
      <c r="J392" s="54">
        <f>(VLOOKUP($A392,'The List'!$B1:$AH665,22,FALSE)-AVERAGE('The List'!W2:W665))/STDEV('The List'!W2:W665)</f>
        <v>-0.74188953389366941</v>
      </c>
      <c r="K392" s="54">
        <f>(VLOOKUP($A392,'The List'!$B1:$AH665,23,FALSE)-AVERAGE('The List'!X2:X665))/STDEV('The List'!X2:X665)</f>
        <v>-0.81917297575679937</v>
      </c>
      <c r="L392" s="54">
        <f>(VLOOKUP($A392,'The List'!$B1:$AH665,24,FALSE)-AVERAGE('The List'!Y2:Y665))/STDEV('The List'!Y2:Y665)</f>
        <v>-0.47542900510724367</v>
      </c>
      <c r="M392" s="54">
        <f>(VLOOKUP($A392,'The List'!$B1:$AH665,25,FALSE)-AVERAGE('The List'!Z2:Z665))/STDEV('The List'!Z2:Z665)</f>
        <v>-0.43820495010528798</v>
      </c>
      <c r="N392" s="54">
        <f>(VLOOKUP($A392,'The List'!$B1:$AH665,26,FALSE)-AVERAGE('The List'!AA2:AA665))/STDEV('The List'!AA2:AA665)</f>
        <v>1.1381135248688841</v>
      </c>
      <c r="O392" s="54">
        <f>(VLOOKUP($A392,'The List'!$B1:$AH665,27,FALSE)-AVERAGE('The List'!AB2:AB665))/STDEV('The List'!AB2:AB665)</f>
        <v>0.19306831880055331</v>
      </c>
      <c r="P392" s="54">
        <f>(VLOOKUP($A392,'The List'!$B1:$AH665,28,FALSE)-AVERAGE('The List'!AC2:AC665))/STDEV('The List'!AC2:AC665)</f>
        <v>-0.61850100490211435</v>
      </c>
      <c r="Q392" s="54">
        <f>(VLOOKUP($A392,'The List'!$B1:$AH665,29,FALSE)-AVERAGE('The List'!AD2:AD665))/STDEV('The List'!AD2:AD665)</f>
        <v>0.55036083437365935</v>
      </c>
      <c r="R392" s="54">
        <f>(VLOOKUP($A392,'The List'!$B1:$AH665,30,FALSE)-AVERAGE('The List'!AE2:AE665))/STDEV('The List'!AE2:AE665)</f>
        <v>-0.59424445855780739</v>
      </c>
      <c r="S392" s="54">
        <f>(VLOOKUP($A392,'The List'!$B1:$AH665,31,FALSE)-AVERAGE('The List'!AF2:AF665))/STDEV('The List'!AF2:AF665)</f>
        <v>-0.57389441068000469</v>
      </c>
      <c r="T392" s="54">
        <f>(VLOOKUP($A392,'The List'!$B1:$AH665,32,FALSE)-AVERAGE('The List'!AG2:AG665))/STDEV('The List'!AG2:AG665)</f>
        <v>-0.62577078713265111</v>
      </c>
      <c r="U392" s="54">
        <f>(VLOOKUP($A392,'The List'!$B1:$AH665,33,FALSE)-AVERAGE('The List'!AH2:AH665))/STDEV('The List'!AH2:AH665)</f>
        <v>-1.2314350945148611</v>
      </c>
      <c r="V392" s="54"/>
      <c r="W392" s="64"/>
      <c r="X392" s="56"/>
      <c r="Y392" s="56"/>
      <c r="Z392" s="56"/>
      <c r="AA392" s="56"/>
      <c r="AB392" s="56"/>
      <c r="AC392" s="59"/>
      <c r="AD392" s="60"/>
      <c r="AE392" s="54"/>
    </row>
    <row r="393" spans="1:31" ht="21.25" customHeight="1" x14ac:dyDescent="0.15">
      <c r="A393" s="9" t="s">
        <v>634</v>
      </c>
      <c r="B393" s="65" t="str">
        <f>VLOOKUP(A393,'Player Data'!A1:B667,2,FALSE)</f>
        <v>PIT</v>
      </c>
      <c r="C393" s="51">
        <f>((E393)*Settings!$C$12)+(F393*Settings!$C$2)+(G393*Settings!$C$3)+(H393*Settings!$C$4)+(I393*Settings!$C$5)+(K393*Settings!$C$9)+(N393*Settings!$C$6)+(J393*Settings!$C$8)+(O393*Settings!$C$7)+(P393*Settings!$C$14)+(Q393*Settings!$C$15)+(R393*Settings!$C$16)+(S393*Settings!$C$17)+(T393*Settings!$C$18)+(U393*Settings!$C$19)+(L393*Settings!$C$10)+(Settings!$C$11*M393)</f>
        <v>-2.8331163376264121</v>
      </c>
      <c r="D393" s="56">
        <f>IF(Settings!$E$12="YES",VLOOKUP(A393,'Player Data'!A1:E667,5,FALSE),82)</f>
        <v>77.424999999999997</v>
      </c>
      <c r="E393" s="54">
        <f>(VLOOKUP($A393,'The List'!$B1:$AH665,17,FALSE)-AVERAGE('The List'!R2:R665))/STDEV('The List'!R2:R665)</f>
        <v>-1.0705728506248837</v>
      </c>
      <c r="F393" s="54">
        <f>(VLOOKUP($A393,'The List'!$B1:$AH665,18,FALSE)-AVERAGE('The List'!S2:S665))/STDEV('The List'!S2:S665)</f>
        <v>-0.46342528794968302</v>
      </c>
      <c r="G393" s="54">
        <f>(VLOOKUP($A393,'The List'!$B1:$AH665,19,FALSE)-AVERAGE('The List'!T2:T665))/STDEV('The List'!T2:T665)</f>
        <v>-0.56158740183186784</v>
      </c>
      <c r="H393" s="54">
        <f>(VLOOKUP($A393,'The List'!$B1:$AH665,20,FALSE)-AVERAGE('The List'!U2:U665))/STDEV('The List'!U2:U665)</f>
        <v>-0.55942617528334648</v>
      </c>
      <c r="I393" s="54">
        <f>(VLOOKUP($A393,'The List'!$B1:$AH665,21,FALSE)-AVERAGE('The List'!V2:V665))/STDEV('The List'!V2:V665)</f>
        <v>-0.16821892475036654</v>
      </c>
      <c r="J393" s="54">
        <f>(VLOOKUP($A393,'The List'!$B1:$AH665,22,FALSE)-AVERAGE('The List'!W2:W665))/STDEV('The List'!W2:W665)</f>
        <v>-0.4803779291415074</v>
      </c>
      <c r="K393" s="54">
        <f>(VLOOKUP($A393,'The List'!$B1:$AH665,23,FALSE)-AVERAGE('The List'!X2:X665))/STDEV('The List'!X2:X665)</f>
        <v>-0.63165951967582334</v>
      </c>
      <c r="L393" s="54">
        <f>(VLOOKUP($A393,'The List'!$B1:$AH665,24,FALSE)-AVERAGE('The List'!Y2:Y665))/STDEV('The List'!Y2:Y665)</f>
        <v>-0.56973339258799893</v>
      </c>
      <c r="M393" s="54">
        <f>(VLOOKUP($A393,'The List'!$B1:$AH665,25,FALSE)-AVERAGE('The List'!Z2:Z665))/STDEV('The List'!Z2:Z665)</f>
        <v>-0.74321753129041546</v>
      </c>
      <c r="N393" s="54">
        <f>(VLOOKUP($A393,'The List'!$B1:$AH665,26,FALSE)-AVERAGE('The List'!AA2:AA665))/STDEV('The List'!AA2:AA665)</f>
        <v>-0.72031310702656959</v>
      </c>
      <c r="O393" s="54">
        <f>(VLOOKUP($A393,'The List'!$B1:$AH665,27,FALSE)-AVERAGE('The List'!AB2:AB665))/STDEV('The List'!AB2:AB665)</f>
        <v>-0.58606032268785713</v>
      </c>
      <c r="P393" s="54">
        <f>(VLOOKUP($A393,'The List'!$B1:$AH665,28,FALSE)-AVERAGE('The List'!AC2:AC665))/STDEV('The List'!AC2:AC665)</f>
        <v>-0.2879120963921023</v>
      </c>
      <c r="Q393" s="54">
        <f>(VLOOKUP($A393,'The List'!$B1:$AH665,29,FALSE)-AVERAGE('The List'!AD2:AD665))/STDEV('The List'!AD2:AD665)</f>
        <v>-1.162233840601846</v>
      </c>
      <c r="R393" s="54">
        <f>(VLOOKUP($A393,'The List'!$B1:$AH665,30,FALSE)-AVERAGE('The List'!AE2:AE665))/STDEV('The List'!AE2:AE665)</f>
        <v>-0.44713887860951196</v>
      </c>
      <c r="S393" s="54">
        <f>(VLOOKUP($A393,'The List'!$B1:$AH665,31,FALSE)-AVERAGE('The List'!AF2:AF665))/STDEV('The List'!AF2:AF665)</f>
        <v>-0.46576269451554914</v>
      </c>
      <c r="T393" s="54">
        <f>(VLOOKUP($A393,'The List'!$B1:$AH665,32,FALSE)-AVERAGE('The List'!AG2:AG665))/STDEV('The List'!AG2:AG665)</f>
        <v>-0.42502139934555355</v>
      </c>
      <c r="U393" s="54">
        <f>(VLOOKUP($A393,'The List'!$B1:$AH665,33,FALSE)-AVERAGE('The List'!AH2:AH665))/STDEV('The List'!AH2:AH665)</f>
        <v>0.41968860419510279</v>
      </c>
      <c r="V393" s="54"/>
      <c r="W393" s="64"/>
      <c r="X393" s="56"/>
      <c r="Y393" s="56"/>
      <c r="Z393" s="56"/>
      <c r="AA393" s="56"/>
      <c r="AB393" s="56"/>
      <c r="AC393" s="59"/>
      <c r="AD393" s="60"/>
      <c r="AE393" s="54"/>
    </row>
    <row r="394" spans="1:31" ht="21.25" customHeight="1" x14ac:dyDescent="0.15">
      <c r="A394" s="9" t="s">
        <v>352</v>
      </c>
      <c r="B394" s="65" t="str">
        <f>VLOOKUP(A394,'Player Data'!A1:B667,2,FALSE)</f>
        <v>NYI</v>
      </c>
      <c r="C394" s="51">
        <f>((E394)*Settings!$C$12)+(F394*Settings!$C$2)+(G394*Settings!$C$3)+(H394*Settings!$C$4)+(I394*Settings!$C$5)+(K394*Settings!$C$9)+(N394*Settings!$C$6)+(J394*Settings!$C$8)+(O394*Settings!$C$7)+(P394*Settings!$C$14)+(Q394*Settings!$C$15)+(R394*Settings!$C$16)+(S394*Settings!$C$17)+(T394*Settings!$C$18)+(U394*Settings!$C$19)+(L394*Settings!$C$10)+(Settings!$C$11*M394)</f>
        <v>0.77883248300134134</v>
      </c>
      <c r="D394" s="56">
        <f>IF(Settings!$E$12="YES",VLOOKUP(A394,'Player Data'!A1:E667,5,FALSE),82)</f>
        <v>75.17</v>
      </c>
      <c r="E394" s="54">
        <f>(VLOOKUP($A394,'The List'!$B1:$AH665,17,FALSE)-AVERAGE('The List'!R2:R665))/STDEV('The List'!R2:R665)</f>
        <v>1.3012854743018099</v>
      </c>
      <c r="F394" s="54">
        <f>(VLOOKUP($A394,'The List'!$B1:$AH665,18,FALSE)-AVERAGE('The List'!S2:S665))/STDEV('The List'!S2:S665)</f>
        <v>-0.83013576552007762</v>
      </c>
      <c r="G394" s="54">
        <f>(VLOOKUP($A394,'The List'!$B1:$AH665,19,FALSE)-AVERAGE('The List'!T2:T665))/STDEV('The List'!T2:T665)</f>
        <v>-0.35212531526519492</v>
      </c>
      <c r="H394" s="54">
        <f>(VLOOKUP($A394,'The List'!$B1:$AH665,20,FALSE)-AVERAGE('The List'!U2:U665))/STDEV('The List'!U2:U665)</f>
        <v>-0.59602578507129689</v>
      </c>
      <c r="I394" s="54">
        <f>(VLOOKUP($A394,'The List'!$B1:$AH665,21,FALSE)-AVERAGE('The List'!V2:V665))/STDEV('The List'!V2:V665)</f>
        <v>-0.3060880942742541</v>
      </c>
      <c r="J394" s="54">
        <f>(VLOOKUP($A394,'The List'!$B1:$AH665,22,FALSE)-AVERAGE('The List'!W2:W665))/STDEV('The List'!W2:W665)</f>
        <v>-0.38928015803703725</v>
      </c>
      <c r="K394" s="54">
        <f>(VLOOKUP($A394,'The List'!$B1:$AH665,23,FALSE)-AVERAGE('The List'!X2:X665))/STDEV('The List'!X2:X665)</f>
        <v>-0.32906129477864676</v>
      </c>
      <c r="L394" s="54">
        <f>(VLOOKUP($A394,'The List'!$B1:$AH665,24,FALSE)-AVERAGE('The List'!Y2:Y665))/STDEV('The List'!Y2:Y665)</f>
        <v>-0.51549927981116994</v>
      </c>
      <c r="M394" s="54">
        <f>(VLOOKUP($A394,'The List'!$B1:$AH665,25,FALSE)-AVERAGE('The List'!Z2:Z665))/STDEV('The List'!Z2:Z665)</f>
        <v>-0.35980089210971772</v>
      </c>
      <c r="N394" s="54">
        <f>(VLOOKUP($A394,'The List'!$B1:$AH665,26,FALSE)-AVERAGE('The List'!AA2:AA665))/STDEV('The List'!AA2:AA665)</f>
        <v>2.2041885313659151</v>
      </c>
      <c r="O394" s="54">
        <f>(VLOOKUP($A394,'The List'!$B1:$AH665,27,FALSE)-AVERAGE('The List'!AB2:AB665))/STDEV('The List'!AB2:AB665)</f>
        <v>0.55508659750233613</v>
      </c>
      <c r="P394" s="54">
        <f>(VLOOKUP($A394,'The List'!$B1:$AH665,28,FALSE)-AVERAGE('The List'!AC2:AC665))/STDEV('The List'!AC2:AC665)</f>
        <v>0.3920544214735997</v>
      </c>
      <c r="Q394" s="54">
        <f>(VLOOKUP($A394,'The List'!$B1:$AH665,29,FALSE)-AVERAGE('The List'!AD2:AD665))/STDEV('The List'!AD2:AD665)</f>
        <v>-1.1153914369589046</v>
      </c>
      <c r="R394" s="54">
        <f>(VLOOKUP($A394,'The List'!$B1:$AH665,30,FALSE)-AVERAGE('The List'!AE2:AE665))/STDEV('The List'!AE2:AE665)</f>
        <v>-0.76726918278998901</v>
      </c>
      <c r="S394" s="54">
        <f>(VLOOKUP($A394,'The List'!$B1:$AH665,31,FALSE)-AVERAGE('The List'!AF2:AF665))/STDEV('The List'!AF2:AF665)</f>
        <v>-0.57389441068000469</v>
      </c>
      <c r="T394" s="54">
        <f>(VLOOKUP($A394,'The List'!$B1:$AH665,32,FALSE)-AVERAGE('The List'!AG2:AG665))/STDEV('The List'!AG2:AG665)</f>
        <v>-0.62577078713265111</v>
      </c>
      <c r="U394" s="54">
        <f>(VLOOKUP($A394,'The List'!$B1:$AH665,33,FALSE)-AVERAGE('The List'!AH2:AH665))/STDEV('The List'!AH2:AH665)</f>
        <v>-1.2314350945148611</v>
      </c>
      <c r="V394" s="54"/>
      <c r="W394" s="64"/>
      <c r="X394" s="56"/>
      <c r="Y394" s="56"/>
      <c r="Z394" s="56"/>
      <c r="AA394" s="56"/>
      <c r="AB394" s="56"/>
      <c r="AC394" s="59"/>
      <c r="AD394" s="60"/>
      <c r="AE394" s="54"/>
    </row>
    <row r="395" spans="1:31" ht="21.25" customHeight="1" x14ac:dyDescent="0.15">
      <c r="A395" s="9" t="s">
        <v>664</v>
      </c>
      <c r="B395" s="65" t="str">
        <f>VLOOKUP(A395,'Player Data'!A1:B667,2,FALSE)</f>
        <v>MIN</v>
      </c>
      <c r="C395" s="51">
        <f>((E395)*Settings!$C$12)+(F395*Settings!$C$2)+(G395*Settings!$C$3)+(H395*Settings!$C$4)+(I395*Settings!$C$5)+(K395*Settings!$C$9)+(N395*Settings!$C$6)+(J395*Settings!$C$8)+(O395*Settings!$C$7)+(P395*Settings!$C$14)+(Q395*Settings!$C$15)+(R395*Settings!$C$16)+(S395*Settings!$C$17)+(T395*Settings!$C$18)+(U395*Settings!$C$19)+(L395*Settings!$C$10)+(Settings!$C$11*M395)</f>
        <v>-3.1509380390799087</v>
      </c>
      <c r="D395" s="56">
        <f>IF(Settings!$E$12="YES",VLOOKUP(A395,'Player Data'!A1:E667,5,FALSE),82)</f>
        <v>74.099999999999994</v>
      </c>
      <c r="E395" s="54">
        <f>(VLOOKUP($A395,'The List'!$B1:$AH665,17,FALSE)-AVERAGE('The List'!R2:R665))/STDEV('The List'!R2:R665)</f>
        <v>-0.78184316095741513</v>
      </c>
      <c r="F395" s="54">
        <f>(VLOOKUP($A395,'The List'!$B1:$AH665,18,FALSE)-AVERAGE('The List'!S2:S665))/STDEV('The List'!S2:S665)</f>
        <v>-0.36098830218530481</v>
      </c>
      <c r="G395" s="54">
        <f>(VLOOKUP($A395,'The List'!$B1:$AH665,19,FALSE)-AVERAGE('The List'!T2:T665))/STDEV('The List'!T2:T665)</f>
        <v>-0.72741216502498418</v>
      </c>
      <c r="H395" s="54">
        <f>(VLOOKUP($A395,'The List'!$B1:$AH665,20,FALSE)-AVERAGE('The List'!U2:U665))/STDEV('The List'!U2:U665)</f>
        <v>-0.61585019798926999</v>
      </c>
      <c r="I395" s="54">
        <f>(VLOOKUP($A395,'The List'!$B1:$AH665,21,FALSE)-AVERAGE('The List'!V2:V665))/STDEV('The List'!V2:V665)</f>
        <v>-0.90337308722599541</v>
      </c>
      <c r="J395" s="54">
        <f>(VLOOKUP($A395,'The List'!$B1:$AH665,22,FALSE)-AVERAGE('The List'!W2:W665))/STDEV('The List'!W2:W665)</f>
        <v>-0.64910398146496673</v>
      </c>
      <c r="K395" s="54">
        <f>(VLOOKUP($A395,'The List'!$B1:$AH665,23,FALSE)-AVERAGE('The List'!X2:X665))/STDEV('The List'!X2:X665)</f>
        <v>-0.7411276796277072</v>
      </c>
      <c r="L395" s="54">
        <f>(VLOOKUP($A395,'The List'!$B1:$AH665,24,FALSE)-AVERAGE('The List'!Y2:Y665))/STDEV('The List'!Y2:Y665)</f>
        <v>-0.33351622387570218</v>
      </c>
      <c r="M395" s="54">
        <f>(VLOOKUP($A395,'The List'!$B1:$AH665,25,FALSE)-AVERAGE('The List'!Z2:Z665))/STDEV('The List'!Z2:Z665)</f>
        <v>8.0195754056838958E-2</v>
      </c>
      <c r="N395" s="54">
        <f>(VLOOKUP($A395,'The List'!$B1:$AH665,26,FALSE)-AVERAGE('The List'!AA2:AA665))/STDEV('The List'!AA2:AA665)</f>
        <v>-0.42246480908231476</v>
      </c>
      <c r="O395" s="54">
        <f>(VLOOKUP($A395,'The List'!$B1:$AH665,27,FALSE)-AVERAGE('The List'!AB2:AB665))/STDEV('The List'!AB2:AB665)</f>
        <v>2.6360811476890804</v>
      </c>
      <c r="P395" s="54">
        <f>(VLOOKUP($A395,'The List'!$B1:$AH665,28,FALSE)-AVERAGE('The List'!AC2:AC665))/STDEV('The List'!AC2:AC665)</f>
        <v>4.4280040663973695E-3</v>
      </c>
      <c r="Q395" s="54">
        <f>(VLOOKUP($A395,'The List'!$B1:$AH665,29,FALSE)-AVERAGE('The List'!AD2:AD665))/STDEV('The List'!AD2:AD665)</f>
        <v>2.2882261315869949</v>
      </c>
      <c r="R395" s="54">
        <f>(VLOOKUP($A395,'The List'!$B1:$AH665,30,FALSE)-AVERAGE('The List'!AE2:AE665))/STDEV('The List'!AE2:AE665)</f>
        <v>-0.2445786809113501</v>
      </c>
      <c r="S395" s="54">
        <f>(VLOOKUP($A395,'The List'!$B1:$AH665,31,FALSE)-AVERAGE('The List'!AF2:AF665))/STDEV('The List'!AF2:AF665)</f>
        <v>-0.5244219722596789</v>
      </c>
      <c r="T395" s="54">
        <f>(VLOOKUP($A395,'The List'!$B1:$AH665,32,FALSE)-AVERAGE('The List'!AG2:AG665))/STDEV('The List'!AG2:AG665)</f>
        <v>-0.57157621963075711</v>
      </c>
      <c r="U395" s="54">
        <f>(VLOOKUP($A395,'The List'!$B1:$AH665,33,FALSE)-AVERAGE('The List'!AH2:AH665))/STDEV('The List'!AH2:AH665)</f>
        <v>1.0017066084730701</v>
      </c>
      <c r="V395" s="54"/>
      <c r="W395" s="64"/>
      <c r="X395" s="56"/>
      <c r="Y395" s="56"/>
      <c r="Z395" s="56"/>
      <c r="AA395" s="56"/>
      <c r="AB395" s="56"/>
      <c r="AC395" s="59"/>
      <c r="AD395" s="60"/>
      <c r="AE395" s="54"/>
    </row>
    <row r="396" spans="1:31" ht="21.25" customHeight="1" x14ac:dyDescent="0.15">
      <c r="A396" s="9" t="s">
        <v>456</v>
      </c>
      <c r="B396" s="65" t="str">
        <f>VLOOKUP(A396,'Player Data'!A1:B667,2,FALSE)</f>
        <v>T.B</v>
      </c>
      <c r="C396" s="51">
        <f>((E396)*Settings!$C$12)+(F396*Settings!$C$2)+(G396*Settings!$C$3)+(H396*Settings!$C$4)+(I396*Settings!$C$5)+(K396*Settings!$C$9)+(N396*Settings!$C$6)+(J396*Settings!$C$8)+(O396*Settings!$C$7)+(P396*Settings!$C$14)+(Q396*Settings!$C$15)+(R396*Settings!$C$16)+(S396*Settings!$C$17)+(T396*Settings!$C$18)+(U396*Settings!$C$19)+(L396*Settings!$C$10)+(Settings!$C$11*M396)</f>
        <v>-2.0221581720423343</v>
      </c>
      <c r="D396" s="56">
        <f>IF(Settings!$E$12="YES",VLOOKUP(A396,'Player Data'!A1:E667,5,FALSE),82)</f>
        <v>77.775000000000006</v>
      </c>
      <c r="E396" s="54">
        <f>(VLOOKUP($A396,'The List'!$B1:$AH665,17,FALSE)-AVERAGE('The List'!R2:R665))/STDEV('The List'!R2:R665)</f>
        <v>0.66252699508963886</v>
      </c>
      <c r="F396" s="54">
        <f>(VLOOKUP($A396,'The List'!$B1:$AH665,18,FALSE)-AVERAGE('The List'!S2:S665))/STDEV('The List'!S2:S665)</f>
        <v>-0.82848925376791382</v>
      </c>
      <c r="G396" s="54">
        <f>(VLOOKUP($A396,'The List'!$B1:$AH665,19,FALSE)-AVERAGE('The List'!T2:T665))/STDEV('The List'!T2:T665)</f>
        <v>-0.3054420689264925</v>
      </c>
      <c r="H396" s="54">
        <f>(VLOOKUP($A396,'The List'!$B1:$AH665,20,FALSE)-AVERAGE('The List'!U2:U665))/STDEV('The List'!U2:U665)</f>
        <v>-0.56628444632771968</v>
      </c>
      <c r="I396" s="54">
        <f>(VLOOKUP($A396,'The List'!$B1:$AH665,21,FALSE)-AVERAGE('The List'!V2:V665))/STDEV('The List'!V2:V665)</f>
        <v>-0.94635711896752439</v>
      </c>
      <c r="J396" s="54">
        <f>(VLOOKUP($A396,'The List'!$B1:$AH665,22,FALSE)-AVERAGE('The List'!W2:W665))/STDEV('The List'!W2:W665)</f>
        <v>-0.57172115683445379</v>
      </c>
      <c r="K396" s="54">
        <f>(VLOOKUP($A396,'The List'!$B1:$AH665,23,FALSE)-AVERAGE('The List'!X2:X665))/STDEV('The List'!X2:X665)</f>
        <v>-0.51800004132459376</v>
      </c>
      <c r="L396" s="54">
        <f>(VLOOKUP($A396,'The List'!$B1:$AH665,24,FALSE)-AVERAGE('The List'!Y2:Y665))/STDEV('The List'!Y2:Y665)</f>
        <v>-0.53395983882830866</v>
      </c>
      <c r="M396" s="54">
        <f>(VLOOKUP($A396,'The List'!$B1:$AH665,25,FALSE)-AVERAGE('The List'!Z2:Z665))/STDEV('The List'!Z2:Z665)</f>
        <v>0.2683591284182959</v>
      </c>
      <c r="N396" s="54">
        <f>(VLOOKUP($A396,'The List'!$B1:$AH665,26,FALSE)-AVERAGE('The List'!AA2:AA665))/STDEV('The List'!AA2:AA665)</f>
        <v>1.063557579663317</v>
      </c>
      <c r="O396" s="54">
        <f>(VLOOKUP($A396,'The List'!$B1:$AH665,27,FALSE)-AVERAGE('The List'!AB2:AB665))/STDEV('The List'!AB2:AB665)</f>
        <v>1.314730336577713E-2</v>
      </c>
      <c r="P396" s="54">
        <f>(VLOOKUP($A396,'The List'!$B1:$AH665,28,FALSE)-AVERAGE('The List'!AC2:AC665))/STDEV('The List'!AC2:AC665)</f>
        <v>-0.48742726871912678</v>
      </c>
      <c r="Q396" s="54">
        <f>(VLOOKUP($A396,'The List'!$B1:$AH665,29,FALSE)-AVERAGE('The List'!AD2:AD665))/STDEV('The List'!AD2:AD665)</f>
        <v>-1.6296947318595163E-2</v>
      </c>
      <c r="R396" s="54">
        <f>(VLOOKUP($A396,'The List'!$B1:$AH665,30,FALSE)-AVERAGE('The List'!AE2:AE665))/STDEV('The List'!AE2:AE665)</f>
        <v>-0.76430312218955765</v>
      </c>
      <c r="S396" s="54">
        <f>(VLOOKUP($A396,'The List'!$B1:$AH665,31,FALSE)-AVERAGE('The List'!AF2:AF665))/STDEV('The List'!AF2:AF665)</f>
        <v>-0.57389441068000469</v>
      </c>
      <c r="T396" s="54">
        <f>(VLOOKUP($A396,'The List'!$B1:$AH665,32,FALSE)-AVERAGE('The List'!AG2:AG665))/STDEV('The List'!AG2:AG665)</f>
        <v>-0.62577078713265111</v>
      </c>
      <c r="U396" s="54">
        <f>(VLOOKUP($A396,'The List'!$B1:$AH665,33,FALSE)-AVERAGE('The List'!AH2:AH665))/STDEV('The List'!AH2:AH665)</f>
        <v>-1.2314350945148611</v>
      </c>
      <c r="V396" s="54"/>
      <c r="W396" s="64"/>
      <c r="X396" s="56"/>
      <c r="Y396" s="56"/>
      <c r="Z396" s="56"/>
      <c r="AA396" s="56"/>
      <c r="AB396" s="56"/>
      <c r="AC396" s="59"/>
      <c r="AD396" s="60"/>
      <c r="AE396" s="54"/>
    </row>
    <row r="397" spans="1:31" ht="21.25" customHeight="1" x14ac:dyDescent="0.15">
      <c r="A397" s="9" t="s">
        <v>732</v>
      </c>
      <c r="B397" s="65" t="str">
        <f>VLOOKUP(A397,'Player Data'!A1:B667,2,FALSE)</f>
        <v>UTA</v>
      </c>
      <c r="C397" s="51">
        <f>((E397)*Settings!$C$12)+(F397*Settings!$C$2)+(G397*Settings!$C$3)+(H397*Settings!$C$4)+(I397*Settings!$C$5)+(K397*Settings!$C$9)+(N397*Settings!$C$6)+(J397*Settings!$C$8)+(O397*Settings!$C$7)+(P397*Settings!$C$14)+(Q397*Settings!$C$15)+(R397*Settings!$C$16)+(S397*Settings!$C$17)+(T397*Settings!$C$18)+(U397*Settings!$C$19)+(L397*Settings!$C$10)+(Settings!$C$11*M397)</f>
        <v>-3.9855504229225249</v>
      </c>
      <c r="D397" s="56">
        <f>IF(Settings!$E$12="YES",VLOOKUP(A397,'Player Data'!A1:E667,5,FALSE),82)</f>
        <v>64.472499999999997</v>
      </c>
      <c r="E397" s="54">
        <f>(VLOOKUP($A397,'The List'!$B1:$AH665,17,FALSE)-AVERAGE('The List'!R2:R665))/STDEV('The List'!R2:R665)</f>
        <v>-1.5957753543688409</v>
      </c>
      <c r="F397" s="54">
        <f>(VLOOKUP($A397,'The List'!$B1:$AH665,18,FALSE)-AVERAGE('The List'!S2:S665))/STDEV('The List'!S2:S665)</f>
        <v>-4.8448774800445217E-2</v>
      </c>
      <c r="G397" s="54">
        <f>(VLOOKUP($A397,'The List'!$B1:$AH665,19,FALSE)-AVERAGE('The List'!T2:T665))/STDEV('The List'!T2:T665)</f>
        <v>-1.1850944083743886</v>
      </c>
      <c r="H397" s="54">
        <f>(VLOOKUP($A397,'The List'!$B1:$AH665,20,FALSE)-AVERAGE('The List'!U2:U665))/STDEV('The List'!U2:U665)</f>
        <v>-0.75803253432595696</v>
      </c>
      <c r="I397" s="54">
        <f>(VLOOKUP($A397,'The List'!$B1:$AH665,21,FALSE)-AVERAGE('The List'!V2:V665))/STDEV('The List'!V2:V665)</f>
        <v>-0.70800700664728577</v>
      </c>
      <c r="J397" s="54">
        <f>(VLOOKUP($A397,'The List'!$B1:$AH665,22,FALSE)-AVERAGE('The List'!W2:W665))/STDEV('The List'!W2:W665)</f>
        <v>-0.68426355352729729</v>
      </c>
      <c r="K397" s="54">
        <f>(VLOOKUP($A397,'The List'!$B1:$AH665,23,FALSE)-AVERAGE('The List'!X2:X665))/STDEV('The List'!X2:X665)</f>
        <v>-0.7789051809129599</v>
      </c>
      <c r="L397" s="54">
        <f>(VLOOKUP($A397,'The List'!$B1:$AH665,24,FALSE)-AVERAGE('The List'!Y2:Y665))/STDEV('The List'!Y2:Y665)</f>
        <v>-0.33095110623119045</v>
      </c>
      <c r="M397" s="54">
        <f>(VLOOKUP($A397,'The List'!$B1:$AH665,25,FALSE)-AVERAGE('The List'!Z2:Z665))/STDEV('The List'!Z2:Z665)</f>
        <v>-0.58369988349430657</v>
      </c>
      <c r="N397" s="54">
        <f>(VLOOKUP($A397,'The List'!$B1:$AH665,26,FALSE)-AVERAGE('The List'!AA2:AA665))/STDEV('The List'!AA2:AA665)</f>
        <v>-1.0497715715194109</v>
      </c>
      <c r="O397" s="54">
        <f>(VLOOKUP($A397,'The List'!$B1:$AH665,27,FALSE)-AVERAGE('The List'!AB2:AB665))/STDEV('The List'!AB2:AB665)</f>
        <v>-0.6170634434312452</v>
      </c>
      <c r="P397" s="54">
        <f>(VLOOKUP($A397,'The List'!$B1:$AH665,28,FALSE)-AVERAGE('The List'!AC2:AC665))/STDEV('The List'!AC2:AC665)</f>
        <v>-0.21532348066803461</v>
      </c>
      <c r="Q397" s="54">
        <f>(VLOOKUP($A397,'The List'!$B1:$AH665,29,FALSE)-AVERAGE('The List'!AD2:AD665))/STDEV('The List'!AD2:AD665)</f>
        <v>-0.52369089864646412</v>
      </c>
      <c r="R397" s="54">
        <f>(VLOOKUP($A397,'The List'!$B1:$AH665,30,FALSE)-AVERAGE('The List'!AE2:AE665))/STDEV('The List'!AE2:AE665)</f>
        <v>-6.8061269965200302E-2</v>
      </c>
      <c r="S397" s="54">
        <f>(VLOOKUP($A397,'The List'!$B1:$AH665,31,FALSE)-AVERAGE('The List'!AF2:AF665))/STDEV('The List'!AF2:AF665)</f>
        <v>-0.56094973969132034</v>
      </c>
      <c r="T397" s="54">
        <f>(VLOOKUP($A397,'The List'!$B1:$AH665,32,FALSE)-AVERAGE('The List'!AG2:AG665))/STDEV('The List'!AG2:AG665)</f>
        <v>-0.5815667948256914</v>
      </c>
      <c r="U397" s="54">
        <f>(VLOOKUP($A397,'The List'!$B1:$AH665,33,FALSE)-AVERAGE('The List'!AH2:AH665))/STDEV('The List'!AH2:AH665)</f>
        <v>-0.15482926253739501</v>
      </c>
      <c r="V397" s="54"/>
      <c r="W397" s="56"/>
      <c r="X397" s="54"/>
      <c r="Y397" s="54"/>
      <c r="Z397" s="54"/>
      <c r="AA397" s="54"/>
      <c r="AB397" s="54"/>
      <c r="AC397" s="54"/>
      <c r="AD397" s="54"/>
      <c r="AE397" s="54"/>
    </row>
    <row r="398" spans="1:31" ht="21.25" customHeight="1" x14ac:dyDescent="0.15">
      <c r="A398" s="9" t="s">
        <v>459</v>
      </c>
      <c r="B398" s="65" t="str">
        <f>VLOOKUP(A398,'Player Data'!A1:B667,2,FALSE)</f>
        <v>T.B</v>
      </c>
      <c r="C398" s="51">
        <f>((E398)*Settings!$C$12)+(F398*Settings!$C$2)+(G398*Settings!$C$3)+(H398*Settings!$C$4)+(I398*Settings!$C$5)+(K398*Settings!$C$9)+(N398*Settings!$C$6)+(J398*Settings!$C$8)+(O398*Settings!$C$7)+(P398*Settings!$C$14)+(Q398*Settings!$C$15)+(R398*Settings!$C$16)+(S398*Settings!$C$17)+(T398*Settings!$C$18)+(U398*Settings!$C$19)+(L398*Settings!$C$10)+(Settings!$C$11*M398)</f>
        <v>-1.3310471863416486</v>
      </c>
      <c r="D398" s="56">
        <f>IF(Settings!$E$12="YES",VLOOKUP(A398,'Player Data'!A1:E667,5,FALSE),82)</f>
        <v>78.655000000000001</v>
      </c>
      <c r="E398" s="54">
        <f>(VLOOKUP($A398,'The List'!$B1:$AH665,17,FALSE)-AVERAGE('The List'!R2:R665))/STDEV('The List'!R2:R665)</f>
        <v>8.9358474217328343E-2</v>
      </c>
      <c r="F398" s="54">
        <f>(VLOOKUP($A398,'The List'!$B1:$AH665,18,FALSE)-AVERAGE('The List'!S2:S665))/STDEV('The List'!S2:S665)</f>
        <v>-0.87562724309579854</v>
      </c>
      <c r="G398" s="54">
        <f>(VLOOKUP($A398,'The List'!$B1:$AH665,19,FALSE)-AVERAGE('The List'!T2:T665))/STDEV('The List'!T2:T665)</f>
        <v>-0.26558779638270158</v>
      </c>
      <c r="H398" s="54">
        <f>(VLOOKUP($A398,'The List'!$B1:$AH665,20,FALSE)-AVERAGE('The List'!U2:U665))/STDEV('The List'!U2:U665)</f>
        <v>-0.56295915894545767</v>
      </c>
      <c r="I398" s="54">
        <f>(VLOOKUP($A398,'The List'!$B1:$AH665,21,FALSE)-AVERAGE('The List'!V2:V665))/STDEV('The List'!V2:V665)</f>
        <v>-0.73499176117693232</v>
      </c>
      <c r="J398" s="54">
        <f>(VLOOKUP($A398,'The List'!$B1:$AH665,22,FALSE)-AVERAGE('The List'!W2:W665))/STDEV('The List'!W2:W665)</f>
        <v>-0.56173047142498123</v>
      </c>
      <c r="K398" s="54">
        <f>(VLOOKUP($A398,'The List'!$B1:$AH665,23,FALSE)-AVERAGE('The List'!X2:X665))/STDEV('The List'!X2:X665)</f>
        <v>-0.34510088108661119</v>
      </c>
      <c r="L398" s="54">
        <f>(VLOOKUP($A398,'The List'!$B1:$AH665,24,FALSE)-AVERAGE('The List'!Y2:Y665))/STDEV('The List'!Y2:Y665)</f>
        <v>-0.54121979347843108</v>
      </c>
      <c r="M398" s="54">
        <f>(VLOOKUP($A398,'The List'!$B1:$AH665,25,FALSE)-AVERAGE('The List'!Z2:Z665))/STDEV('The List'!Z2:Z665)</f>
        <v>-0.63675603370354883</v>
      </c>
      <c r="N398" s="54">
        <f>(VLOOKUP($A398,'The List'!$B1:$AH665,26,FALSE)-AVERAGE('The List'!AA2:AA665))/STDEV('The List'!AA2:AA665)</f>
        <v>0.67715670238944481</v>
      </c>
      <c r="O398" s="54">
        <f>(VLOOKUP($A398,'The List'!$B1:$AH665,27,FALSE)-AVERAGE('The List'!AB2:AB665))/STDEV('The List'!AB2:AB665)</f>
        <v>-0.24715873296421045</v>
      </c>
      <c r="P398" s="54">
        <f>(VLOOKUP($A398,'The List'!$B1:$AH665,28,FALSE)-AVERAGE('The List'!AC2:AC665))/STDEV('The List'!AC2:AC665)</f>
        <v>0.21310379301095003</v>
      </c>
      <c r="Q398" s="54">
        <f>(VLOOKUP($A398,'The List'!$B1:$AH665,29,FALSE)-AVERAGE('The List'!AD2:AD665))/STDEV('The List'!AD2:AD665)</f>
        <v>-0.77075157573371089</v>
      </c>
      <c r="R398" s="54">
        <f>(VLOOKUP($A398,'The List'!$B1:$AH665,30,FALSE)-AVERAGE('The List'!AE2:AE665))/STDEV('The List'!AE2:AE665)</f>
        <v>-0.81197555513027431</v>
      </c>
      <c r="S398" s="54">
        <f>(VLOOKUP($A398,'The List'!$B1:$AH665,31,FALSE)-AVERAGE('The List'!AF2:AF665))/STDEV('The List'!AF2:AF665)</f>
        <v>-0.57389441068000469</v>
      </c>
      <c r="T398" s="54">
        <f>(VLOOKUP($A398,'The List'!$B1:$AH665,32,FALSE)-AVERAGE('The List'!AG2:AG665))/STDEV('The List'!AG2:AG665)</f>
        <v>-0.62577078713265111</v>
      </c>
      <c r="U398" s="54">
        <f>(VLOOKUP($A398,'The List'!$B1:$AH665,33,FALSE)-AVERAGE('The List'!AH2:AH665))/STDEV('The List'!AH2:AH665)</f>
        <v>-1.2314350945148611</v>
      </c>
      <c r="V398" s="54"/>
      <c r="W398" s="56"/>
      <c r="X398" s="54"/>
      <c r="Y398" s="54"/>
      <c r="Z398" s="54"/>
      <c r="AA398" s="54"/>
      <c r="AB398" s="54"/>
      <c r="AC398" s="54"/>
      <c r="AD398" s="54"/>
      <c r="AE398" s="54"/>
    </row>
    <row r="399" spans="1:31" ht="21.25" customHeight="1" x14ac:dyDescent="0.15">
      <c r="A399" s="9" t="s">
        <v>382</v>
      </c>
      <c r="B399" s="65" t="str">
        <f>VLOOKUP(A399,'Player Data'!A1:B667,2,FALSE)</f>
        <v>N.J</v>
      </c>
      <c r="C399" s="51">
        <f>((E399)*Settings!$C$12)+(F399*Settings!$C$2)+(G399*Settings!$C$3)+(H399*Settings!$C$4)+(I399*Settings!$C$5)+(K399*Settings!$C$9)+(N399*Settings!$C$6)+(J399*Settings!$C$8)+(O399*Settings!$C$7)+(P399*Settings!$C$14)+(Q399*Settings!$C$15)+(R399*Settings!$C$16)+(S399*Settings!$C$17)+(T399*Settings!$C$18)+(U399*Settings!$C$19)+(L399*Settings!$C$10)+(Settings!$C$11*M399)</f>
        <v>-0.6172997086598625</v>
      </c>
      <c r="D399" s="56">
        <f>IF(Settings!$E$12="YES",VLOOKUP(A399,'Player Data'!A1:E667,5,FALSE),82)</f>
        <v>78.7</v>
      </c>
      <c r="E399" s="54">
        <f>(VLOOKUP($A399,'The List'!$B1:$AH665,17,FALSE)-AVERAGE('The List'!R2:R665))/STDEV('The List'!R2:R665)</f>
        <v>1.1813347977766178</v>
      </c>
      <c r="F399" s="54">
        <f>(VLOOKUP($A399,'The List'!$B1:$AH665,18,FALSE)-AVERAGE('The List'!S2:S665))/STDEV('The List'!S2:S665)</f>
        <v>-0.85518798277967401</v>
      </c>
      <c r="G399" s="54">
        <f>(VLOOKUP($A399,'The List'!$B1:$AH665,19,FALSE)-AVERAGE('The List'!T2:T665))/STDEV('The List'!T2:T665)</f>
        <v>-0.2832803962732105</v>
      </c>
      <c r="H399" s="54">
        <f>(VLOOKUP($A399,'The List'!$B1:$AH665,20,FALSE)-AVERAGE('The List'!U2:U665))/STDEV('The List'!U2:U665)</f>
        <v>-0.56465664292927953</v>
      </c>
      <c r="I399" s="54">
        <f>(VLOOKUP($A399,'The List'!$B1:$AH665,21,FALSE)-AVERAGE('The List'!V2:V665))/STDEV('The List'!V2:V665)</f>
        <v>-6.8000063113854134E-2</v>
      </c>
      <c r="J399" s="54">
        <f>(VLOOKUP($A399,'The List'!$B1:$AH665,22,FALSE)-AVERAGE('The List'!W2:W665))/STDEV('The List'!W2:W665)</f>
        <v>-0.72108482244858119</v>
      </c>
      <c r="K399" s="54">
        <f>(VLOOKUP($A399,'The List'!$B1:$AH665,23,FALSE)-AVERAGE('The List'!X2:X665))/STDEV('The List'!X2:X665)</f>
        <v>-0.78877068035025477</v>
      </c>
      <c r="L399" s="54">
        <f>(VLOOKUP($A399,'The List'!$B1:$AH665,24,FALSE)-AVERAGE('The List'!Y2:Y665))/STDEV('The List'!Y2:Y665)</f>
        <v>-0.53126177272076602</v>
      </c>
      <c r="M399" s="54">
        <f>(VLOOKUP($A399,'The List'!$B1:$AH665,25,FALSE)-AVERAGE('The List'!Z2:Z665))/STDEV('The List'!Z2:Z665)</f>
        <v>-6.4124560300461805E-2</v>
      </c>
      <c r="N399" s="54">
        <f>(VLOOKUP($A399,'The List'!$B1:$AH665,26,FALSE)-AVERAGE('The List'!AA2:AA665))/STDEV('The List'!AA2:AA665)</f>
        <v>1.351618043364285</v>
      </c>
      <c r="O399" s="54">
        <f>(VLOOKUP($A399,'The List'!$B1:$AH665,27,FALSE)-AVERAGE('The List'!AB2:AB665))/STDEV('The List'!AB2:AB665)</f>
        <v>-0.98071315217887478</v>
      </c>
      <c r="P399" s="54">
        <f>(VLOOKUP($A399,'The List'!$B1:$AH665,28,FALSE)-AVERAGE('The List'!AC2:AC665))/STDEV('The List'!AC2:AC665)</f>
        <v>2.6321370492845921E-2</v>
      </c>
      <c r="Q399" s="54">
        <f>(VLOOKUP($A399,'The List'!$B1:$AH665,29,FALSE)-AVERAGE('The List'!AD2:AD665))/STDEV('The List'!AD2:AD665)</f>
        <v>-0.17260077594885975</v>
      </c>
      <c r="R399" s="54">
        <f>(VLOOKUP($A399,'The List'!$B1:$AH665,30,FALSE)-AVERAGE('The List'!AE2:AE665))/STDEV('The List'!AE2:AE665)</f>
        <v>-0.81182659631174281</v>
      </c>
      <c r="S399" s="54">
        <f>(VLOOKUP($A399,'The List'!$B1:$AH665,31,FALSE)-AVERAGE('The List'!AF2:AF665))/STDEV('The List'!AF2:AF665)</f>
        <v>-0.57389441068000469</v>
      </c>
      <c r="T399" s="54">
        <f>(VLOOKUP($A399,'The List'!$B1:$AH665,32,FALSE)-AVERAGE('The List'!AG2:AG665))/STDEV('The List'!AG2:AG665)</f>
        <v>-0.62577078713265111</v>
      </c>
      <c r="U399" s="54">
        <f>(VLOOKUP($A399,'The List'!$B1:$AH665,33,FALSE)-AVERAGE('The List'!AH2:AH665))/STDEV('The List'!AH2:AH665)</f>
        <v>-1.2314350945148611</v>
      </c>
      <c r="V399" s="54"/>
      <c r="W399" s="64"/>
      <c r="X399" s="56"/>
      <c r="Y399" s="56"/>
      <c r="Z399" s="56"/>
      <c r="AA399" s="56"/>
      <c r="AB399" s="56"/>
      <c r="AC399" s="59"/>
      <c r="AD399" s="60"/>
      <c r="AE399" s="54"/>
    </row>
    <row r="400" spans="1:31" ht="21.25" customHeight="1" x14ac:dyDescent="0.15">
      <c r="A400" s="9" t="s">
        <v>578</v>
      </c>
      <c r="B400" s="65" t="str">
        <f>VLOOKUP(A400,'Player Data'!A1:B667,2,FALSE)</f>
        <v>STL</v>
      </c>
      <c r="C400" s="51">
        <f>((E400)*Settings!$C$12)+(F400*Settings!$C$2)+(G400*Settings!$C$3)+(H400*Settings!$C$4)+(I400*Settings!$C$5)+(K400*Settings!$C$9)+(N400*Settings!$C$6)+(J400*Settings!$C$8)+(O400*Settings!$C$7)+(P400*Settings!$C$14)+(Q400*Settings!$C$15)+(R400*Settings!$C$16)+(S400*Settings!$C$17)+(T400*Settings!$C$18)+(U400*Settings!$C$19)+(L400*Settings!$C$10)+(Settings!$C$11*M400)</f>
        <v>-3.508588572455944</v>
      </c>
      <c r="D400" s="56">
        <f>IF(Settings!$E$12="YES",VLOOKUP(A400,'Player Data'!A1:E667,5,FALSE),82)</f>
        <v>66.91</v>
      </c>
      <c r="E400" s="54">
        <f>(VLOOKUP($A400,'The List'!$B1:$AH665,17,FALSE)-AVERAGE('The List'!R2:R665))/STDEV('The List'!R2:R665)</f>
        <v>-0.18672208715247299</v>
      </c>
      <c r="F400" s="54">
        <f>(VLOOKUP($A400,'The List'!$B1:$AH665,18,FALSE)-AVERAGE('The List'!S2:S665))/STDEV('The List'!S2:S665)</f>
        <v>-1.178606752082654</v>
      </c>
      <c r="G400" s="54">
        <f>(VLOOKUP($A400,'The List'!$B1:$AH665,19,FALSE)-AVERAGE('The List'!T2:T665))/STDEV('The List'!T2:T665)</f>
        <v>-0.31033766640608035</v>
      </c>
      <c r="H400" s="54">
        <f>(VLOOKUP($A400,'The List'!$B1:$AH665,20,FALSE)-AVERAGE('The List'!U2:U665))/STDEV('The List'!U2:U665)</f>
        <v>-0.72846993303739083</v>
      </c>
      <c r="I400" s="54">
        <f>(VLOOKUP($A400,'The List'!$B1:$AH665,21,FALSE)-AVERAGE('The List'!V2:V665))/STDEV('The List'!V2:V665)</f>
        <v>-1.2908806055318811</v>
      </c>
      <c r="J400" s="54">
        <f>(VLOOKUP($A400,'The List'!$B1:$AH665,22,FALSE)-AVERAGE('The List'!W2:W665))/STDEV('The List'!W2:W665)</f>
        <v>-0.66941829650266671</v>
      </c>
      <c r="K400" s="54">
        <f>(VLOOKUP($A400,'The List'!$B1:$AH665,23,FALSE)-AVERAGE('The List'!X2:X665))/STDEV('The List'!X2:X665)</f>
        <v>-0.17255018040770478</v>
      </c>
      <c r="L400" s="54">
        <f>(VLOOKUP($A400,'The List'!$B1:$AH665,24,FALSE)-AVERAGE('The List'!Y2:Y665))/STDEV('The List'!Y2:Y665)</f>
        <v>-0.57962661937506521</v>
      </c>
      <c r="M400" s="54">
        <f>(VLOOKUP($A400,'The List'!$B1:$AH665,25,FALSE)-AVERAGE('The List'!Z2:Z665))/STDEV('The List'!Z2:Z665)</f>
        <v>-0.75240931509347952</v>
      </c>
      <c r="N400" s="54">
        <f>(VLOOKUP($A400,'The List'!$B1:$AH665,26,FALSE)-AVERAGE('The List'!AA2:AA665))/STDEV('The List'!AA2:AA665)</f>
        <v>0.21008162056372501</v>
      </c>
      <c r="O400" s="54">
        <f>(VLOOKUP($A400,'The List'!$B1:$AH665,27,FALSE)-AVERAGE('The List'!AB2:AB665))/STDEV('The List'!AB2:AB665)</f>
        <v>-0.70929084721778335</v>
      </c>
      <c r="P400" s="54">
        <f>(VLOOKUP($A400,'The List'!$B1:$AH665,28,FALSE)-AVERAGE('The List'!AC2:AC665))/STDEV('The List'!AC2:AC665)</f>
        <v>-0.76629498859134848</v>
      </c>
      <c r="Q400" s="54">
        <f>(VLOOKUP($A400,'The List'!$B1:$AH665,29,FALSE)-AVERAGE('The List'!AD2:AD665))/STDEV('The List'!AD2:AD665)</f>
        <v>-0.68975533531038025</v>
      </c>
      <c r="R400" s="54">
        <f>(VLOOKUP($A400,'The List'!$B1:$AH665,30,FALSE)-AVERAGE('The List'!AE2:AE665))/STDEV('The List'!AE2:AE665)</f>
        <v>-1.1553274207830544</v>
      </c>
      <c r="S400" s="54">
        <f>(VLOOKUP($A400,'The List'!$B1:$AH665,31,FALSE)-AVERAGE('The List'!AF2:AF665))/STDEV('The List'!AF2:AF665)</f>
        <v>-0.57389441068000469</v>
      </c>
      <c r="T400" s="54">
        <f>(VLOOKUP($A400,'The List'!$B1:$AH665,32,FALSE)-AVERAGE('The List'!AG2:AG665))/STDEV('The List'!AG2:AG665)</f>
        <v>-0.62577078713265111</v>
      </c>
      <c r="U400" s="54">
        <f>(VLOOKUP($A400,'The List'!$B1:$AH665,33,FALSE)-AVERAGE('The List'!AH2:AH665))/STDEV('The List'!AH2:AH665)</f>
        <v>-1.2314350945148611</v>
      </c>
      <c r="V400" s="54"/>
      <c r="W400" s="64"/>
      <c r="X400" s="56"/>
      <c r="Y400" s="56"/>
      <c r="Z400" s="56"/>
      <c r="AA400" s="56"/>
      <c r="AB400" s="56"/>
      <c r="AC400" s="59"/>
      <c r="AD400" s="60"/>
      <c r="AE400" s="54"/>
    </row>
    <row r="401" spans="1:31" ht="21.25" customHeight="1" x14ac:dyDescent="0.15">
      <c r="A401" s="9" t="s">
        <v>677</v>
      </c>
      <c r="B401" s="65" t="str">
        <f>VLOOKUP(A401,'Player Data'!A1:B667,2,FALSE)</f>
        <v>L.A</v>
      </c>
      <c r="C401" s="51">
        <f>((E401)*Settings!$C$12)+(F401*Settings!$C$2)+(G401*Settings!$C$3)+(H401*Settings!$C$4)+(I401*Settings!$C$5)+(K401*Settings!$C$9)+(N401*Settings!$C$6)+(J401*Settings!$C$8)+(O401*Settings!$C$7)+(P401*Settings!$C$14)+(Q401*Settings!$C$15)+(R401*Settings!$C$16)+(S401*Settings!$C$17)+(T401*Settings!$C$18)+(U401*Settings!$C$19)+(L401*Settings!$C$10)+(Settings!$C$11*M401)</f>
        <v>-2.7119514273213197</v>
      </c>
      <c r="D401" s="56">
        <f>IF(Settings!$E$12="YES",VLOOKUP(A401,'Player Data'!A1:E667,5,FALSE),82)</f>
        <v>76.3125</v>
      </c>
      <c r="E401" s="54">
        <f>(VLOOKUP($A401,'The List'!$B1:$AH665,17,FALSE)-AVERAGE('The List'!R2:R665))/STDEV('The List'!R2:R665)</f>
        <v>-1.1475698143887294</v>
      </c>
      <c r="F401" s="54">
        <f>(VLOOKUP($A401,'The List'!$B1:$AH665,18,FALSE)-AVERAGE('The List'!S2:S665))/STDEV('The List'!S2:S665)</f>
        <v>-0.26442777851242721</v>
      </c>
      <c r="G401" s="54">
        <f>(VLOOKUP($A401,'The List'!$B1:$AH665,19,FALSE)-AVERAGE('The List'!T2:T665))/STDEV('The List'!T2:T665)</f>
        <v>-0.7830509996900078</v>
      </c>
      <c r="H401" s="54">
        <f>(VLOOKUP($A401,'The List'!$B1:$AH665,20,FALSE)-AVERAGE('The List'!U2:U665))/STDEV('The List'!U2:U665)</f>
        <v>-0.60651369488354578</v>
      </c>
      <c r="I401" s="54">
        <f>(VLOOKUP($A401,'The List'!$B1:$AH665,21,FALSE)-AVERAGE('The List'!V2:V665))/STDEV('The List'!V2:V665)</f>
        <v>-0.62060709348135445</v>
      </c>
      <c r="J401" s="54">
        <f>(VLOOKUP($A401,'The List'!$B1:$AH665,22,FALSE)-AVERAGE('The List'!W2:W665))/STDEV('The List'!W2:W665)</f>
        <v>-0.38779984810545315</v>
      </c>
      <c r="K401" s="54">
        <f>(VLOOKUP($A401,'The List'!$B1:$AH665,23,FALSE)-AVERAGE('The List'!X2:X665))/STDEV('The List'!X2:X665)</f>
        <v>-0.55503029524869851</v>
      </c>
      <c r="L401" s="54">
        <f>(VLOOKUP($A401,'The List'!$B1:$AH665,24,FALSE)-AVERAGE('The List'!Y2:Y665))/STDEV('The List'!Y2:Y665)</f>
        <v>-0.57859443518638864</v>
      </c>
      <c r="M401" s="54">
        <f>(VLOOKUP($A401,'The List'!$B1:$AH665,25,FALSE)-AVERAGE('The List'!Z2:Z665))/STDEV('The List'!Z2:Z665)</f>
        <v>-0.75183547814742202</v>
      </c>
      <c r="N401" s="54">
        <f>(VLOOKUP($A401,'The List'!$B1:$AH665,26,FALSE)-AVERAGE('The List'!AA2:AA665))/STDEV('The List'!AA2:AA665)</f>
        <v>-0.56031620793682768</v>
      </c>
      <c r="O401" s="54">
        <f>(VLOOKUP($A401,'The List'!$B1:$AH665,27,FALSE)-AVERAGE('The List'!AB2:AB665))/STDEV('The List'!AB2:AB665)</f>
        <v>3.6111152921841203</v>
      </c>
      <c r="P401" s="54">
        <f>(VLOOKUP($A401,'The List'!$B1:$AH665,28,FALSE)-AVERAGE('The List'!AC2:AC665))/STDEV('The List'!AC2:AC665)</f>
        <v>7.1480947547996304E-2</v>
      </c>
      <c r="Q401" s="54">
        <f>(VLOOKUP($A401,'The List'!$B1:$AH665,29,FALSE)-AVERAGE('The List'!AD2:AD665))/STDEV('The List'!AD2:AD665)</f>
        <v>2.7680955590832226</v>
      </c>
      <c r="R401" s="54">
        <f>(VLOOKUP($A401,'The List'!$B1:$AH665,30,FALSE)-AVERAGE('The List'!AE2:AE665))/STDEV('The List'!AE2:AE665)</f>
        <v>-5.2153469806275242E-2</v>
      </c>
      <c r="S401" s="54">
        <f>(VLOOKUP($A401,'The List'!$B1:$AH665,31,FALSE)-AVERAGE('The List'!AF2:AF665))/STDEV('The List'!AF2:AF665)</f>
        <v>-0.45210885387455674</v>
      </c>
      <c r="T401" s="54">
        <f>(VLOOKUP($A401,'The List'!$B1:$AH665,32,FALSE)-AVERAGE('The List'!AG2:AG665))/STDEV('The List'!AG2:AG665)</f>
        <v>-0.43732026156397241</v>
      </c>
      <c r="U401" s="54">
        <f>(VLOOKUP($A401,'The List'!$B1:$AH665,33,FALSE)-AVERAGE('The List'!AH2:AH665))/STDEV('The List'!AH2:AH665)</f>
        <v>0.61517078090498012</v>
      </c>
      <c r="V401" s="54"/>
      <c r="W401" s="64"/>
      <c r="X401" s="56"/>
      <c r="Y401" s="56"/>
      <c r="Z401" s="56"/>
      <c r="AA401" s="56"/>
      <c r="AB401" s="56"/>
      <c r="AC401" s="59"/>
      <c r="AD401" s="60"/>
      <c r="AE401" s="54"/>
    </row>
    <row r="402" spans="1:31" ht="21.25" customHeight="1" x14ac:dyDescent="0.15">
      <c r="A402" s="9" t="s">
        <v>413</v>
      </c>
      <c r="B402" s="65" t="str">
        <f>VLOOKUP(A402,'Player Data'!A1:B667,2,FALSE)</f>
        <v>L.A</v>
      </c>
      <c r="C402" s="51">
        <f>((E402)*Settings!$C$12)+(F402*Settings!$C$2)+(G402*Settings!$C$3)+(H402*Settings!$C$4)+(I402*Settings!$C$5)+(K402*Settings!$C$9)+(N402*Settings!$C$6)+(J402*Settings!$C$8)+(O402*Settings!$C$7)+(P402*Settings!$C$14)+(Q402*Settings!$C$15)+(R402*Settings!$C$16)+(S402*Settings!$C$17)+(T402*Settings!$C$18)+(U402*Settings!$C$19)+(L402*Settings!$C$10)+(Settings!$C$11*M402)</f>
        <v>-0.59731799593725354</v>
      </c>
      <c r="D402" s="56">
        <f>IF(Settings!$E$12="YES",VLOOKUP(A402,'Player Data'!A1:E667,5,FALSE),82)</f>
        <v>79.567499999999995</v>
      </c>
      <c r="E402" s="54">
        <f>(VLOOKUP($A402,'The List'!$B1:$AH665,17,FALSE)-AVERAGE('The List'!R2:R665))/STDEV('The List'!R2:R665)</f>
        <v>0.99526118757151427</v>
      </c>
      <c r="F402" s="54">
        <f>(VLOOKUP($A402,'The List'!$B1:$AH665,18,FALSE)-AVERAGE('The List'!S2:S665))/STDEV('The List'!S2:S665)</f>
        <v>-0.78747595401724968</v>
      </c>
      <c r="G402" s="54">
        <f>(VLOOKUP($A402,'The List'!$B1:$AH665,19,FALSE)-AVERAGE('The List'!T2:T665))/STDEV('The List'!T2:T665)</f>
        <v>-0.33021548726592392</v>
      </c>
      <c r="H402" s="54">
        <f>(VLOOKUP($A402,'The List'!$B1:$AH665,20,FALSE)-AVERAGE('The List'!U2:U665))/STDEV('The List'!U2:U665)</f>
        <v>-0.56302763782379595</v>
      </c>
      <c r="I402" s="54">
        <f>(VLOOKUP($A402,'The List'!$B1:$AH665,21,FALSE)-AVERAGE('The List'!V2:V665))/STDEV('The List'!V2:V665)</f>
        <v>-0.43074115841465371</v>
      </c>
      <c r="J402" s="54">
        <f>(VLOOKUP($A402,'The List'!$B1:$AH665,22,FALSE)-AVERAGE('The List'!W2:W665))/STDEV('The List'!W2:W665)</f>
        <v>-0.73410178098097778</v>
      </c>
      <c r="K402" s="54">
        <f>(VLOOKUP($A402,'The List'!$B1:$AH665,23,FALSE)-AVERAGE('The List'!X2:X665))/STDEV('The List'!X2:X665)</f>
        <v>-0.80028949305617803</v>
      </c>
      <c r="L402" s="54">
        <f>(VLOOKUP($A402,'The List'!$B1:$AH665,24,FALSE)-AVERAGE('The List'!Y2:Y665))/STDEV('The List'!Y2:Y665)</f>
        <v>-0.1184746109500401</v>
      </c>
      <c r="M402" s="54">
        <f>(VLOOKUP($A402,'The List'!$B1:$AH665,25,FALSE)-AVERAGE('The List'!Z2:Z665))/STDEV('The List'!Z2:Z665)</f>
        <v>0.48544504259110977</v>
      </c>
      <c r="N402" s="54">
        <f>(VLOOKUP($A402,'The List'!$B1:$AH665,26,FALSE)-AVERAGE('The List'!AA2:AA665))/STDEV('The List'!AA2:AA665)</f>
        <v>1.3291728042572319</v>
      </c>
      <c r="O402" s="54">
        <f>(VLOOKUP($A402,'The List'!$B1:$AH665,27,FALSE)-AVERAGE('The List'!AB2:AB665))/STDEV('The List'!AB2:AB665)</f>
        <v>-0.36467408535722284</v>
      </c>
      <c r="P402" s="54">
        <f>(VLOOKUP($A402,'The List'!$B1:$AH665,28,FALSE)-AVERAGE('The List'!AC2:AC665))/STDEV('The List'!AC2:AC665)</f>
        <v>0.42223129255951986</v>
      </c>
      <c r="Q402" s="54">
        <f>(VLOOKUP($A402,'The List'!$B1:$AH665,29,FALSE)-AVERAGE('The List'!AD2:AD665))/STDEV('The List'!AD2:AD665)</f>
        <v>0.33012798291355261</v>
      </c>
      <c r="R402" s="54">
        <f>(VLOOKUP($A402,'The List'!$B1:$AH665,30,FALSE)-AVERAGE('The List'!AE2:AE665))/STDEV('The List'!AE2:AE665)</f>
        <v>-0.6504598749892212</v>
      </c>
      <c r="S402" s="54">
        <f>(VLOOKUP($A402,'The List'!$B1:$AH665,31,FALSE)-AVERAGE('The List'!AF2:AF665))/STDEV('The List'!AF2:AF665)</f>
        <v>-0.57389441068000469</v>
      </c>
      <c r="T402" s="54">
        <f>(VLOOKUP($A402,'The List'!$B1:$AH665,32,FALSE)-AVERAGE('The List'!AG2:AG665))/STDEV('The List'!AG2:AG665)</f>
        <v>-0.62577078713265111</v>
      </c>
      <c r="U402" s="54">
        <f>(VLOOKUP($A402,'The List'!$B1:$AH665,33,FALSE)-AVERAGE('The List'!AH2:AH665))/STDEV('The List'!AH2:AH665)</f>
        <v>-1.2314350945148611</v>
      </c>
      <c r="V402" s="54"/>
      <c r="W402" s="64"/>
      <c r="X402" s="56"/>
      <c r="Y402" s="56"/>
      <c r="Z402" s="56"/>
      <c r="AA402" s="56"/>
      <c r="AB402" s="56"/>
      <c r="AC402" s="59"/>
      <c r="AD402" s="60"/>
      <c r="AE402" s="54"/>
    </row>
    <row r="403" spans="1:31" ht="21.25" customHeight="1" x14ac:dyDescent="0.15">
      <c r="A403" s="9" t="s">
        <v>423</v>
      </c>
      <c r="B403" s="65" t="str">
        <f>VLOOKUP(A403,'Player Data'!A1:B667,2,FALSE)</f>
        <v>NYI</v>
      </c>
      <c r="C403" s="51">
        <f>((E403)*Settings!$C$12)+(F403*Settings!$C$2)+(G403*Settings!$C$3)+(H403*Settings!$C$4)+(I403*Settings!$C$5)+(K403*Settings!$C$9)+(N403*Settings!$C$6)+(J403*Settings!$C$8)+(O403*Settings!$C$7)+(P403*Settings!$C$14)+(Q403*Settings!$C$15)+(R403*Settings!$C$16)+(S403*Settings!$C$17)+(T403*Settings!$C$18)+(U403*Settings!$C$19)+(L403*Settings!$C$10)+(Settings!$C$11*M403)</f>
        <v>-0.70675082339438688</v>
      </c>
      <c r="D403" s="56">
        <f>IF(Settings!$E$12="YES",VLOOKUP(A403,'Player Data'!A1:E667,5,FALSE),82)</f>
        <v>74.482500000000002</v>
      </c>
      <c r="E403" s="54">
        <f>(VLOOKUP($A403,'The List'!$B1:$AH665,17,FALSE)-AVERAGE('The List'!R2:R665))/STDEV('The List'!R2:R665)</f>
        <v>0.96178757091254763</v>
      </c>
      <c r="F403" s="54">
        <f>(VLOOKUP($A403,'The List'!$B1:$AH665,18,FALSE)-AVERAGE('The List'!S2:S665))/STDEV('The List'!S2:S665)</f>
        <v>-0.97236230165559501</v>
      </c>
      <c r="G403" s="54">
        <f>(VLOOKUP($A403,'The List'!$B1:$AH665,19,FALSE)-AVERAGE('The List'!T2:T665))/STDEV('The List'!T2:T665)</f>
        <v>-0.31803483289658163</v>
      </c>
      <c r="H403" s="54">
        <f>(VLOOKUP($A403,'The List'!$B1:$AH665,20,FALSE)-AVERAGE('The List'!U2:U665))/STDEV('The List'!U2:U665)</f>
        <v>-0.63950239992038493</v>
      </c>
      <c r="I403" s="54">
        <f>(VLOOKUP($A403,'The List'!$B1:$AH665,21,FALSE)-AVERAGE('The List'!V2:V665))/STDEV('The List'!V2:V665)</f>
        <v>-0.61492024892834496</v>
      </c>
      <c r="J403" s="54">
        <f>(VLOOKUP($A403,'The List'!$B1:$AH665,22,FALSE)-AVERAGE('The List'!W2:W665))/STDEV('The List'!W2:W665)</f>
        <v>-0.74115691889983615</v>
      </c>
      <c r="K403" s="54">
        <f>(VLOOKUP($A403,'The List'!$B1:$AH665,23,FALSE)-AVERAGE('The List'!X2:X665))/STDEV('The List'!X2:X665)</f>
        <v>-0.81710222989636572</v>
      </c>
      <c r="L403" s="54">
        <f>(VLOOKUP($A403,'The List'!$B1:$AH665,24,FALSE)-AVERAGE('The List'!Y2:Y665))/STDEV('The List'!Y2:Y665)</f>
        <v>-0.52342775866093327</v>
      </c>
      <c r="M403" s="54">
        <f>(VLOOKUP($A403,'The List'!$B1:$AH665,25,FALSE)-AVERAGE('The List'!Z2:Z665))/STDEV('The List'!Z2:Z665)</f>
        <v>0.70618587889657491</v>
      </c>
      <c r="N403" s="54">
        <f>(VLOOKUP($A403,'The List'!$B1:$AH665,26,FALSE)-AVERAGE('The List'!AA2:AA665))/STDEV('The List'!AA2:AA665)</f>
        <v>1.6657597297967333</v>
      </c>
      <c r="O403" s="54">
        <f>(VLOOKUP($A403,'The List'!$B1:$AH665,27,FALSE)-AVERAGE('The List'!AB2:AB665))/STDEV('The List'!AB2:AB665)</f>
        <v>-7.623555215615764E-2</v>
      </c>
      <c r="P403" s="54">
        <f>(VLOOKUP($A403,'The List'!$B1:$AH665,28,FALSE)-AVERAGE('The List'!AC2:AC665))/STDEV('The List'!AC2:AC665)</f>
        <v>0.34990906018576723</v>
      </c>
      <c r="Q403" s="54">
        <f>(VLOOKUP($A403,'The List'!$B1:$AH665,29,FALSE)-AVERAGE('The List'!AD2:AD665))/STDEV('The List'!AD2:AD665)</f>
        <v>0.23735613390800017</v>
      </c>
      <c r="R403" s="54">
        <f>(VLOOKUP($A403,'The List'!$B1:$AH665,30,FALSE)-AVERAGE('The List'!AE2:AE665))/STDEV('The List'!AE2:AE665)</f>
        <v>-0.91074064982213343</v>
      </c>
      <c r="S403" s="54">
        <f>(VLOOKUP($A403,'The List'!$B1:$AH665,31,FALSE)-AVERAGE('The List'!AF2:AF665))/STDEV('The List'!AF2:AF665)</f>
        <v>-0.57389441068000469</v>
      </c>
      <c r="T403" s="54">
        <f>(VLOOKUP($A403,'The List'!$B1:$AH665,32,FALSE)-AVERAGE('The List'!AG2:AG665))/STDEV('The List'!AG2:AG665)</f>
        <v>-0.62577078713265111</v>
      </c>
      <c r="U403" s="54">
        <f>(VLOOKUP($A403,'The List'!$B1:$AH665,33,FALSE)-AVERAGE('The List'!AH2:AH665))/STDEV('The List'!AH2:AH665)</f>
        <v>-1.2314350945148611</v>
      </c>
      <c r="V403" s="54"/>
      <c r="W403" s="64"/>
      <c r="X403" s="56"/>
      <c r="Y403" s="56"/>
      <c r="Z403" s="56"/>
      <c r="AA403" s="56"/>
      <c r="AB403" s="56"/>
      <c r="AC403" s="59"/>
      <c r="AD403" s="60"/>
      <c r="AE403" s="54"/>
    </row>
    <row r="404" spans="1:31" ht="21.25" customHeight="1" x14ac:dyDescent="0.15">
      <c r="A404" s="9" t="s">
        <v>486</v>
      </c>
      <c r="B404" s="65" t="str">
        <f>VLOOKUP(A404,'Player Data'!A1:B667,2,FALSE)</f>
        <v>T.B</v>
      </c>
      <c r="C404" s="51">
        <f>((E404)*Settings!$C$12)+(F404*Settings!$C$2)+(G404*Settings!$C$3)+(H404*Settings!$C$4)+(I404*Settings!$C$5)+(K404*Settings!$C$9)+(N404*Settings!$C$6)+(J404*Settings!$C$8)+(O404*Settings!$C$7)+(P404*Settings!$C$14)+(Q404*Settings!$C$15)+(R404*Settings!$C$16)+(S404*Settings!$C$17)+(T404*Settings!$C$18)+(U404*Settings!$C$19)+(L404*Settings!$C$10)+(Settings!$C$11*M404)</f>
        <v>-1.9164317592551685</v>
      </c>
      <c r="D404" s="56">
        <f>IF(Settings!$E$12="YES",VLOOKUP(A404,'Player Data'!A1:E667,5,FALSE),82)</f>
        <v>78.055000000000007</v>
      </c>
      <c r="E404" s="54">
        <f>(VLOOKUP($A404,'The List'!$B1:$AH665,17,FALSE)-AVERAGE('The List'!R2:R665))/STDEV('The List'!R2:R665)</f>
        <v>-0.21914979185415742</v>
      </c>
      <c r="F404" s="54">
        <f>(VLOOKUP($A404,'The List'!$B1:$AH665,18,FALSE)-AVERAGE('The List'!S2:S665))/STDEV('The List'!S2:S665)</f>
        <v>-0.94863027466786765</v>
      </c>
      <c r="G404" s="54">
        <f>(VLOOKUP($A404,'The List'!$B1:$AH665,19,FALSE)-AVERAGE('The List'!T2:T665))/STDEV('The List'!T2:T665)</f>
        <v>-0.25980318210746245</v>
      </c>
      <c r="H404" s="54">
        <f>(VLOOKUP($A404,'The List'!$B1:$AH665,20,FALSE)-AVERAGE('The List'!U2:U665))/STDEV('The List'!U2:U665)</f>
        <v>-0.59254993618472551</v>
      </c>
      <c r="I404" s="54">
        <f>(VLOOKUP($A404,'The List'!$B1:$AH665,21,FALSE)-AVERAGE('The List'!V2:V665))/STDEV('The List'!V2:V665)</f>
        <v>-0.94283279588818003</v>
      </c>
      <c r="J404" s="54">
        <f>(VLOOKUP($A404,'The List'!$B1:$AH665,22,FALSE)-AVERAGE('The List'!W2:W665))/STDEV('The List'!W2:W665)</f>
        <v>-0.74239546018179292</v>
      </c>
      <c r="K404" s="54">
        <f>(VLOOKUP($A404,'The List'!$B1:$AH665,23,FALSE)-AVERAGE('The List'!X2:X665))/STDEV('The List'!X2:X665)</f>
        <v>-0.82053429151483259</v>
      </c>
      <c r="L404" s="54">
        <f>(VLOOKUP($A404,'The List'!$B1:$AH665,24,FALSE)-AVERAGE('The List'!Y2:Y665))/STDEV('The List'!Y2:Y665)</f>
        <v>-0.54520083954576892</v>
      </c>
      <c r="M404" s="54">
        <f>(VLOOKUP($A404,'The List'!$B1:$AH665,25,FALSE)-AVERAGE('The List'!Z2:Z665))/STDEV('The List'!Z2:Z665)</f>
        <v>-0.65011701103167496</v>
      </c>
      <c r="N404" s="54">
        <f>(VLOOKUP($A404,'The List'!$B1:$AH665,26,FALSE)-AVERAGE('The List'!AA2:AA665))/STDEV('The List'!AA2:AA665)</f>
        <v>0.8517020812556656</v>
      </c>
      <c r="O404" s="54">
        <f>(VLOOKUP($A404,'The List'!$B1:$AH665,27,FALSE)-AVERAGE('The List'!AB2:AB665))/STDEV('The List'!AB2:AB665)</f>
        <v>-9.1910841380730995E-2</v>
      </c>
      <c r="P404" s="54">
        <f>(VLOOKUP($A404,'The List'!$B1:$AH665,28,FALSE)-AVERAGE('The List'!AC2:AC665))/STDEV('The List'!AC2:AC665)</f>
        <v>0.20366670366750864</v>
      </c>
      <c r="Q404" s="54">
        <f>(VLOOKUP($A404,'The List'!$B1:$AH665,29,FALSE)-AVERAGE('The List'!AD2:AD665))/STDEV('The List'!AD2:AD665)</f>
        <v>-0.93394775764553428</v>
      </c>
      <c r="R404" s="54">
        <f>(VLOOKUP($A404,'The List'!$B1:$AH665,30,FALSE)-AVERAGE('The List'!AE2:AE665))/STDEV('The List'!AE2:AE665)</f>
        <v>-0.88580628437246633</v>
      </c>
      <c r="S404" s="54">
        <f>(VLOOKUP($A404,'The List'!$B1:$AH665,31,FALSE)-AVERAGE('The List'!AF2:AF665))/STDEV('The List'!AF2:AF665)</f>
        <v>-0.57389441068000469</v>
      </c>
      <c r="T404" s="54">
        <f>(VLOOKUP($A404,'The List'!$B1:$AH665,32,FALSE)-AVERAGE('The List'!AG2:AG665))/STDEV('The List'!AG2:AG665)</f>
        <v>-0.62577078713265111</v>
      </c>
      <c r="U404" s="54">
        <f>(VLOOKUP($A404,'The List'!$B1:$AH665,33,FALSE)-AVERAGE('The List'!AH2:AH665))/STDEV('The List'!AH2:AH665)</f>
        <v>-1.2314350945148611</v>
      </c>
      <c r="V404" s="54"/>
      <c r="W404" s="64"/>
      <c r="X404" s="56"/>
      <c r="Y404" s="56"/>
      <c r="Z404" s="56"/>
      <c r="AA404" s="56"/>
      <c r="AB404" s="56"/>
      <c r="AC404" s="59"/>
      <c r="AD404" s="60"/>
      <c r="AE404" s="54"/>
    </row>
    <row r="405" spans="1:31" ht="21.25" customHeight="1" x14ac:dyDescent="0.15">
      <c r="A405" s="9" t="s">
        <v>714</v>
      </c>
      <c r="B405" s="65" t="str">
        <f>VLOOKUP(A405,'Player Data'!A1:B667,2,FALSE)</f>
        <v>CHI</v>
      </c>
      <c r="C405" s="51">
        <f>((E405)*Settings!$C$12)+(F405*Settings!$C$2)+(G405*Settings!$C$3)+(H405*Settings!$C$4)+(I405*Settings!$C$5)+(K405*Settings!$C$9)+(N405*Settings!$C$6)+(J405*Settings!$C$8)+(O405*Settings!$C$7)+(P405*Settings!$C$14)+(Q405*Settings!$C$15)+(R405*Settings!$C$16)+(S405*Settings!$C$17)+(T405*Settings!$C$18)+(U405*Settings!$C$19)+(L405*Settings!$C$10)+(Settings!$C$11*M405)</f>
        <v>-5.1161140960871334</v>
      </c>
      <c r="D405" s="56">
        <f>IF(Settings!$E$12="YES",VLOOKUP(A405,'Player Data'!A1:E667,5,FALSE),82)</f>
        <v>67.6875</v>
      </c>
      <c r="E405" s="54">
        <f>(VLOOKUP($A405,'The List'!$B1:$AH665,17,FALSE)-AVERAGE('The List'!R2:R665))/STDEV('The List'!R2:R665)</f>
        <v>-0.98219352173782259</v>
      </c>
      <c r="F405" s="54">
        <f>(VLOOKUP($A405,'The List'!$B1:$AH665,18,FALSE)-AVERAGE('The List'!S2:S665))/STDEV('The List'!S2:S665)</f>
        <v>-0.53751130674428538</v>
      </c>
      <c r="G405" s="54">
        <f>(VLOOKUP($A405,'The List'!$B1:$AH665,19,FALSE)-AVERAGE('The List'!T2:T665))/STDEV('The List'!T2:T665)</f>
        <v>-0.78972651829610585</v>
      </c>
      <c r="H405" s="54">
        <f>(VLOOKUP($A405,'The List'!$B1:$AH665,20,FALSE)-AVERAGE('The List'!U2:U665))/STDEV('The List'!U2:U665)</f>
        <v>-0.73478901157319321</v>
      </c>
      <c r="I405" s="54">
        <f>(VLOOKUP($A405,'The List'!$B1:$AH665,21,FALSE)-AVERAGE('The List'!V2:V665))/STDEV('The List'!V2:V665)</f>
        <v>-0.94877883398419116</v>
      </c>
      <c r="J405" s="54">
        <f>(VLOOKUP($A405,'The List'!$B1:$AH665,22,FALSE)-AVERAGE('The List'!W2:W665))/STDEV('The List'!W2:W665)</f>
        <v>-0.73378119002464526</v>
      </c>
      <c r="K405" s="54">
        <f>(VLOOKUP($A405,'The List'!$B1:$AH665,23,FALSE)-AVERAGE('The List'!X2:X665))/STDEV('The List'!X2:X665)</f>
        <v>-0.81861691361638278</v>
      </c>
      <c r="L405" s="54">
        <f>(VLOOKUP($A405,'The List'!$B1:$AH665,24,FALSE)-AVERAGE('The List'!Y2:Y665))/STDEV('The List'!Y2:Y665)</f>
        <v>-0.26007863959466021</v>
      </c>
      <c r="M405" s="54">
        <f>(VLOOKUP($A405,'The List'!$B1:$AH665,25,FALSE)-AVERAGE('The List'!Z2:Z665))/STDEV('The List'!Z2:Z665)</f>
        <v>-0.42493758633443807</v>
      </c>
      <c r="N405" s="54">
        <f>(VLOOKUP($A405,'The List'!$B1:$AH665,26,FALSE)-AVERAGE('The List'!AA2:AA665))/STDEV('The List'!AA2:AA665)</f>
        <v>-0.91164397156761723</v>
      </c>
      <c r="O405" s="54">
        <f>(VLOOKUP($A405,'The List'!$B1:$AH665,27,FALSE)-AVERAGE('The List'!AB2:AB665))/STDEV('The List'!AB2:AB665)</f>
        <v>-0.59777252945311998</v>
      </c>
      <c r="P405" s="54">
        <f>(VLOOKUP($A405,'The List'!$B1:$AH665,28,FALSE)-AVERAGE('The List'!AC2:AC665))/STDEV('The List'!AC2:AC665)</f>
        <v>-1.1098365518785502</v>
      </c>
      <c r="Q405" s="54">
        <f>(VLOOKUP($A405,'The List'!$B1:$AH665,29,FALSE)-AVERAGE('The List'!AD2:AD665))/STDEV('The List'!AD2:AD665)</f>
        <v>-1.4168269150594068</v>
      </c>
      <c r="R405" s="54">
        <f>(VLOOKUP($A405,'The List'!$B1:$AH665,30,FALSE)-AVERAGE('The List'!AE2:AE665))/STDEV('The List'!AE2:AE665)</f>
        <v>-0.61473964508214496</v>
      </c>
      <c r="S405" s="54">
        <f>(VLOOKUP($A405,'The List'!$B1:$AH665,31,FALSE)-AVERAGE('The List'!AF2:AF665))/STDEV('The List'!AF2:AF665)</f>
        <v>-0.57389441068000469</v>
      </c>
      <c r="T405" s="54">
        <f>(VLOOKUP($A405,'The List'!$B1:$AH665,32,FALSE)-AVERAGE('The List'!AG2:AG665))/STDEV('The List'!AG2:AG665)</f>
        <v>-0.61261166577759663</v>
      </c>
      <c r="U405" s="54">
        <f>(VLOOKUP($A405,'The List'!$B1:$AH665,33,FALSE)-AVERAGE('The List'!AH2:AH665))/STDEV('The List'!AH2:AH665)</f>
        <v>-1.2314350945148611</v>
      </c>
      <c r="V405" s="54"/>
      <c r="W405" s="64"/>
      <c r="X405" s="56"/>
      <c r="Y405" s="56"/>
      <c r="Z405" s="56"/>
      <c r="AA405" s="56"/>
      <c r="AB405" s="56"/>
      <c r="AC405" s="59"/>
      <c r="AD405" s="60"/>
      <c r="AE405" s="54"/>
    </row>
    <row r="406" spans="1:31" ht="21.25" customHeight="1" x14ac:dyDescent="0.15">
      <c r="A406" s="9" t="s">
        <v>403</v>
      </c>
      <c r="B406" s="65" t="str">
        <f>VLOOKUP(A406,'Player Data'!A1:B667,2,FALSE)</f>
        <v>NYR</v>
      </c>
      <c r="C406" s="51">
        <f>((E406)*Settings!$C$12)+(F406*Settings!$C$2)+(G406*Settings!$C$3)+(H406*Settings!$C$4)+(I406*Settings!$C$5)+(K406*Settings!$C$9)+(N406*Settings!$C$6)+(J406*Settings!$C$8)+(O406*Settings!$C$7)+(P406*Settings!$C$14)+(Q406*Settings!$C$15)+(R406*Settings!$C$16)+(S406*Settings!$C$17)+(T406*Settings!$C$18)+(U406*Settings!$C$19)+(L406*Settings!$C$10)+(Settings!$C$11*M406)</f>
        <v>-0.31588279815064013</v>
      </c>
      <c r="D406" s="56">
        <f>IF(Settings!$E$12="YES",VLOOKUP(A406,'Player Data'!A1:E667,5,FALSE),82)</f>
        <v>77.992500000000007</v>
      </c>
      <c r="E406" s="54">
        <f>(VLOOKUP($A406,'The List'!$B1:$AH665,17,FALSE)-AVERAGE('The List'!R2:R665))/STDEV('The List'!R2:R665)</f>
        <v>0.54245650497919562</v>
      </c>
      <c r="F406" s="54">
        <f>(VLOOKUP($A406,'The List'!$B1:$AH665,18,FALSE)-AVERAGE('The List'!S2:S665))/STDEV('The List'!S2:S665)</f>
        <v>-0.75907274614726283</v>
      </c>
      <c r="G406" s="54">
        <f>(VLOOKUP($A406,'The List'!$B1:$AH665,19,FALSE)-AVERAGE('The List'!T2:T665))/STDEV('The List'!T2:T665)</f>
        <v>-0.40667774690012215</v>
      </c>
      <c r="H406" s="54">
        <f>(VLOOKUP($A406,'The List'!$B1:$AH665,20,FALSE)-AVERAGE('The List'!U2:U665))/STDEV('The List'!U2:U665)</f>
        <v>-0.5976043922955343</v>
      </c>
      <c r="I406" s="54">
        <f>(VLOOKUP($A406,'The List'!$B1:$AH665,21,FALSE)-AVERAGE('The List'!V2:V665))/STDEV('The List'!V2:V665)</f>
        <v>-0.54648831864641478</v>
      </c>
      <c r="J406" s="54">
        <f>(VLOOKUP($A406,'The List'!$B1:$AH665,22,FALSE)-AVERAGE('The List'!W2:W665))/STDEV('The List'!W2:W665)</f>
        <v>-0.74402051101661926</v>
      </c>
      <c r="K406" s="54">
        <f>(VLOOKUP($A406,'The List'!$B1:$AH665,23,FALSE)-AVERAGE('The List'!X2:X665))/STDEV('The List'!X2:X665)</f>
        <v>-0.82321317716615305</v>
      </c>
      <c r="L406" s="54">
        <f>(VLOOKUP($A406,'The List'!$B1:$AH665,24,FALSE)-AVERAGE('The List'!Y2:Y665))/STDEV('The List'!Y2:Y665)</f>
        <v>0.31754928417081574</v>
      </c>
      <c r="M406" s="54">
        <f>(VLOOKUP($A406,'The List'!$B1:$AH665,25,FALSE)-AVERAGE('The List'!Z2:Z665))/STDEV('The List'!Z2:Z665)</f>
        <v>-9.5071052634532111E-2</v>
      </c>
      <c r="N406" s="54">
        <f>(VLOOKUP($A406,'The List'!$B1:$AH665,26,FALSE)-AVERAGE('The List'!AA2:AA665))/STDEV('The List'!AA2:AA665)</f>
        <v>1.7838707956098034</v>
      </c>
      <c r="O406" s="54">
        <f>(VLOOKUP($A406,'The List'!$B1:$AH665,27,FALSE)-AVERAGE('The List'!AB2:AB665))/STDEV('The List'!AB2:AB665)</f>
        <v>1.4683704573827507</v>
      </c>
      <c r="P406" s="54">
        <f>(VLOOKUP($A406,'The List'!$B1:$AH665,28,FALSE)-AVERAGE('The List'!AC2:AC665))/STDEV('The List'!AC2:AC665)</f>
        <v>0.43569839509950958</v>
      </c>
      <c r="Q406" s="54">
        <f>(VLOOKUP($A406,'The List'!$B1:$AH665,29,FALSE)-AVERAGE('The List'!AD2:AD665))/STDEV('The List'!AD2:AD665)</f>
        <v>-0.73384574320632256</v>
      </c>
      <c r="R406" s="54">
        <f>(VLOOKUP($A406,'The List'!$B1:$AH665,30,FALSE)-AVERAGE('The List'!AE2:AE665))/STDEV('The List'!AE2:AE665)</f>
        <v>-0.67236052743150876</v>
      </c>
      <c r="S406" s="54">
        <f>(VLOOKUP($A406,'The List'!$B1:$AH665,31,FALSE)-AVERAGE('The List'!AF2:AF665))/STDEV('The List'!AF2:AF665)</f>
        <v>-0.57389441068000469</v>
      </c>
      <c r="T406" s="54">
        <f>(VLOOKUP($A406,'The List'!$B1:$AH665,32,FALSE)-AVERAGE('The List'!AG2:AG665))/STDEV('The List'!AG2:AG665)</f>
        <v>-0.62577078713265111</v>
      </c>
      <c r="U406" s="54">
        <f>(VLOOKUP($A406,'The List'!$B1:$AH665,33,FALSE)-AVERAGE('The List'!AH2:AH665))/STDEV('The List'!AH2:AH665)</f>
        <v>-1.2314350945148611</v>
      </c>
      <c r="V406" s="54"/>
      <c r="W406" s="56"/>
      <c r="X406" s="54"/>
      <c r="Y406" s="54"/>
      <c r="Z406" s="54"/>
      <c r="AA406" s="54"/>
      <c r="AB406" s="54"/>
      <c r="AC406" s="54"/>
      <c r="AD406" s="54"/>
      <c r="AE406" s="54"/>
    </row>
    <row r="407" spans="1:31" ht="21.25" customHeight="1" x14ac:dyDescent="0.15">
      <c r="A407" s="9" t="s">
        <v>323</v>
      </c>
      <c r="B407" s="65" t="str">
        <f>VLOOKUP(A407,'Player Data'!A1:B667,2,FALSE)</f>
        <v>WSH</v>
      </c>
      <c r="C407" s="51">
        <f>((E407)*Settings!$C$12)+(F407*Settings!$C$2)+(G407*Settings!$C$3)+(H407*Settings!$C$4)+(I407*Settings!$C$5)+(K407*Settings!$C$9)+(N407*Settings!$C$6)+(J407*Settings!$C$8)+(O407*Settings!$C$7)+(P407*Settings!$C$14)+(Q407*Settings!$C$15)+(R407*Settings!$C$16)+(S407*Settings!$C$17)+(T407*Settings!$C$18)+(U407*Settings!$C$19)+(L407*Settings!$C$10)+(Settings!$C$11*M407)</f>
        <v>0.85398405343927952</v>
      </c>
      <c r="D407" s="56">
        <f>IF(Settings!$E$12="YES",VLOOKUP(A407,'Player Data'!A1:E667,5,FALSE),82)</f>
        <v>80.352500000000006</v>
      </c>
      <c r="E407" s="54">
        <f>(VLOOKUP($A407,'The List'!$B1:$AH665,17,FALSE)-AVERAGE('The List'!R2:R665))/STDEV('The List'!R2:R665)</f>
        <v>1.0044896513103878</v>
      </c>
      <c r="F407" s="54">
        <f>(VLOOKUP($A407,'The List'!$B1:$AH665,18,FALSE)-AVERAGE('The List'!S2:S665))/STDEV('The List'!S2:S665)</f>
        <v>-0.7819327248937693</v>
      </c>
      <c r="G407" s="54">
        <f>(VLOOKUP($A407,'The List'!$B1:$AH665,19,FALSE)-AVERAGE('The List'!T2:T665))/STDEV('The List'!T2:T665)</f>
        <v>-0.33896906495638818</v>
      </c>
      <c r="H407" s="54">
        <f>(VLOOKUP($A407,'The List'!$B1:$AH665,20,FALSE)-AVERAGE('The List'!U2:U665))/STDEV('The List'!U2:U665)</f>
        <v>-0.56594444063928639</v>
      </c>
      <c r="I407" s="54">
        <f>(VLOOKUP($A407,'The List'!$B1:$AH665,21,FALSE)-AVERAGE('The List'!V2:V665))/STDEV('The List'!V2:V665)</f>
        <v>2.4043786228716842E-2</v>
      </c>
      <c r="J407" s="54">
        <f>(VLOOKUP($A407,'The List'!$B1:$AH665,22,FALSE)-AVERAGE('The List'!W2:W665))/STDEV('The List'!W2:W665)</f>
        <v>-0.74215876285730065</v>
      </c>
      <c r="K407" s="54">
        <f>(VLOOKUP($A407,'The List'!$B1:$AH665,23,FALSE)-AVERAGE('The List'!X2:X665))/STDEV('The List'!X2:X665)</f>
        <v>-0.81070072815470418</v>
      </c>
      <c r="L407" s="54">
        <f>(VLOOKUP($A407,'The List'!$B1:$AH665,24,FALSE)-AVERAGE('The List'!Y2:Y665))/STDEV('The List'!Y2:Y665)</f>
        <v>-5.7573817781080984E-2</v>
      </c>
      <c r="M407" s="54">
        <f>(VLOOKUP($A407,'The List'!$B1:$AH665,25,FALSE)-AVERAGE('The List'!Z2:Z665))/STDEV('The List'!Z2:Z665)</f>
        <v>0.8296062944359397</v>
      </c>
      <c r="N407" s="54">
        <f>(VLOOKUP($A407,'The List'!$B1:$AH665,26,FALSE)-AVERAGE('The List'!AA2:AA665))/STDEV('The List'!AA2:AA665)</f>
        <v>2.528946422001467</v>
      </c>
      <c r="O407" s="54">
        <f>(VLOOKUP($A407,'The List'!$B1:$AH665,27,FALSE)-AVERAGE('The List'!AB2:AB665))/STDEV('The List'!AB2:AB665)</f>
        <v>0.92872298941316467</v>
      </c>
      <c r="P407" s="54">
        <f>(VLOOKUP($A407,'The List'!$B1:$AH665,28,FALSE)-AVERAGE('The List'!AC2:AC665))/STDEV('The List'!AC2:AC665)</f>
        <v>0.23259636321395738</v>
      </c>
      <c r="Q407" s="54">
        <f>(VLOOKUP($A407,'The List'!$B1:$AH665,29,FALSE)-AVERAGE('The List'!AD2:AD665))/STDEV('The List'!AD2:AD665)</f>
        <v>-0.10937720023947171</v>
      </c>
      <c r="R407" s="54">
        <f>(VLOOKUP($A407,'The List'!$B1:$AH665,30,FALSE)-AVERAGE('The List'!AE2:AE665))/STDEV('The List'!AE2:AE665)</f>
        <v>-0.77261537835186311</v>
      </c>
      <c r="S407" s="54">
        <f>(VLOOKUP($A407,'The List'!$B1:$AH665,31,FALSE)-AVERAGE('The List'!AF2:AF665))/STDEV('The List'!AF2:AF665)</f>
        <v>-0.57389441068000469</v>
      </c>
      <c r="T407" s="54">
        <f>(VLOOKUP($A407,'The List'!$B1:$AH665,32,FALSE)-AVERAGE('The List'!AG2:AG665))/STDEV('The List'!AG2:AG665)</f>
        <v>-0.62577078713265111</v>
      </c>
      <c r="U407" s="54">
        <f>(VLOOKUP($A407,'The List'!$B1:$AH665,33,FALSE)-AVERAGE('The List'!AH2:AH665))/STDEV('The List'!AH2:AH665)</f>
        <v>-1.2314350945148611</v>
      </c>
      <c r="V407" s="54"/>
      <c r="W407" s="64"/>
      <c r="X407" s="56"/>
      <c r="Y407" s="56"/>
      <c r="Z407" s="56"/>
      <c r="AA407" s="56"/>
      <c r="AB407" s="56"/>
      <c r="AC407" s="59"/>
      <c r="AD407" s="60"/>
      <c r="AE407" s="54"/>
    </row>
    <row r="408" spans="1:31" ht="21.25" customHeight="1" x14ac:dyDescent="0.15">
      <c r="A408" s="9" t="s">
        <v>545</v>
      </c>
      <c r="B408" s="65" t="str">
        <f>VLOOKUP(A408,'Player Data'!A1:B667,2,FALSE)</f>
        <v>MTL</v>
      </c>
      <c r="C408" s="51">
        <f>((E408)*Settings!$C$12)+(F408*Settings!$C$2)+(G408*Settings!$C$3)+(H408*Settings!$C$4)+(I408*Settings!$C$5)+(K408*Settings!$C$9)+(N408*Settings!$C$6)+(J408*Settings!$C$8)+(O408*Settings!$C$7)+(P408*Settings!$C$14)+(Q408*Settings!$C$15)+(R408*Settings!$C$16)+(S408*Settings!$C$17)+(T408*Settings!$C$18)+(U408*Settings!$C$19)+(L408*Settings!$C$10)+(Settings!$C$11*M408)</f>
        <v>-3.5303793083355188</v>
      </c>
      <c r="D408" s="56">
        <f>IF(Settings!$E$12="YES",VLOOKUP(A408,'Player Data'!A1:E667,5,FALSE),82)</f>
        <v>66.282499999999999</v>
      </c>
      <c r="E408" s="54">
        <f>(VLOOKUP($A408,'The List'!$B1:$AH665,17,FALSE)-AVERAGE('The List'!R2:R665))/STDEV('The List'!R2:R665)</f>
        <v>0.29980659355772099</v>
      </c>
      <c r="F408" s="54">
        <f>(VLOOKUP($A408,'The List'!$B1:$AH665,18,FALSE)-AVERAGE('The List'!S2:S665))/STDEV('The List'!S2:S665)</f>
        <v>-0.6695427911279106</v>
      </c>
      <c r="G408" s="54">
        <f>(VLOOKUP($A408,'The List'!$B1:$AH665,19,FALSE)-AVERAGE('The List'!T2:T665))/STDEV('The List'!T2:T665)</f>
        <v>-0.7267599628328999</v>
      </c>
      <c r="H408" s="54">
        <f>(VLOOKUP($A408,'The List'!$B1:$AH665,20,FALSE)-AVERAGE('The List'!U2:U665))/STDEV('The List'!U2:U665)</f>
        <v>-0.75569782575246403</v>
      </c>
      <c r="I408" s="54">
        <f>(VLOOKUP($A408,'The List'!$B1:$AH665,21,FALSE)-AVERAGE('The List'!V2:V665))/STDEV('The List'!V2:V665)</f>
        <v>-0.91372410351870337</v>
      </c>
      <c r="J408" s="54">
        <f>(VLOOKUP($A408,'The List'!$B1:$AH665,22,FALSE)-AVERAGE('The List'!W2:W665))/STDEV('The List'!W2:W665)</f>
        <v>-0.61023407463281432</v>
      </c>
      <c r="K408" s="54">
        <f>(VLOOKUP($A408,'The List'!$B1:$AH665,23,FALSE)-AVERAGE('The List'!X2:X665))/STDEV('The List'!X2:X665)</f>
        <v>-0.71332047068672511</v>
      </c>
      <c r="L408" s="54">
        <f>(VLOOKUP($A408,'The List'!$B1:$AH665,24,FALSE)-AVERAGE('The List'!Y2:Y665))/STDEV('The List'!Y2:Y665)</f>
        <v>-7.5363362245910864E-2</v>
      </c>
      <c r="M408" s="54">
        <f>(VLOOKUP($A408,'The List'!$B1:$AH665,25,FALSE)-AVERAGE('The List'!Z2:Z665))/STDEV('The List'!Z2:Z665)</f>
        <v>-0.3372482480120676</v>
      </c>
      <c r="N408" s="54">
        <f>(VLOOKUP($A408,'The List'!$B1:$AH665,26,FALSE)-AVERAGE('The List'!AA2:AA665))/STDEV('The List'!AA2:AA665)</f>
        <v>0.47649918791329382</v>
      </c>
      <c r="O408" s="54">
        <f>(VLOOKUP($A408,'The List'!$B1:$AH665,27,FALSE)-AVERAGE('The List'!AB2:AB665))/STDEV('The List'!AB2:AB665)</f>
        <v>-4.8058725148524162E-2</v>
      </c>
      <c r="P408" s="54">
        <f>(VLOOKUP($A408,'The List'!$B1:$AH665,28,FALSE)-AVERAGE('The List'!AC2:AC665))/STDEV('The List'!AC2:AC665)</f>
        <v>-0.98353116808257379</v>
      </c>
      <c r="Q408" s="54">
        <f>(VLOOKUP($A408,'The List'!$B1:$AH665,29,FALSE)-AVERAGE('The List'!AD2:AD665))/STDEV('The List'!AD2:AD665)</f>
        <v>-0.26377149342000655</v>
      </c>
      <c r="R408" s="54">
        <f>(VLOOKUP($A408,'The List'!$B1:$AH665,30,FALSE)-AVERAGE('The List'!AE2:AE665))/STDEV('The List'!AE2:AE665)</f>
        <v>-0.78108274691021229</v>
      </c>
      <c r="S408" s="54">
        <f>(VLOOKUP($A408,'The List'!$B1:$AH665,31,FALSE)-AVERAGE('The List'!AF2:AF665))/STDEV('The List'!AF2:AF665)</f>
        <v>-0.57389441068000469</v>
      </c>
      <c r="T408" s="54">
        <f>(VLOOKUP($A408,'The List'!$B1:$AH665,32,FALSE)-AVERAGE('The List'!AG2:AG665))/STDEV('The List'!AG2:AG665)</f>
        <v>-0.62577078713265111</v>
      </c>
      <c r="U408" s="54">
        <f>(VLOOKUP($A408,'The List'!$B1:$AH665,33,FALSE)-AVERAGE('The List'!AH2:AH665))/STDEV('The List'!AH2:AH665)</f>
        <v>-1.2314350945148611</v>
      </c>
      <c r="V408" s="54"/>
      <c r="W408" s="56"/>
      <c r="X408" s="54"/>
      <c r="Y408" s="54"/>
      <c r="Z408" s="54"/>
      <c r="AA408" s="54"/>
      <c r="AB408" s="54"/>
      <c r="AC408" s="54"/>
      <c r="AD408" s="54"/>
      <c r="AE408" s="54"/>
    </row>
    <row r="409" spans="1:31" ht="21.25" customHeight="1" x14ac:dyDescent="0.15">
      <c r="A409" s="9" t="s">
        <v>445</v>
      </c>
      <c r="B409" s="65" t="str">
        <f>VLOOKUP(A409,'Player Data'!A1:B667,2,FALSE)</f>
        <v>N.J</v>
      </c>
      <c r="C409" s="51">
        <f>((E409)*Settings!$C$12)+(F409*Settings!$C$2)+(G409*Settings!$C$3)+(H409*Settings!$C$4)+(I409*Settings!$C$5)+(K409*Settings!$C$9)+(N409*Settings!$C$6)+(J409*Settings!$C$8)+(O409*Settings!$C$7)+(P409*Settings!$C$14)+(Q409*Settings!$C$15)+(R409*Settings!$C$16)+(S409*Settings!$C$17)+(T409*Settings!$C$18)+(U409*Settings!$C$19)+(L409*Settings!$C$10)+(Settings!$C$11*M409)</f>
        <v>-0.76843639235119243</v>
      </c>
      <c r="D409" s="56">
        <f>IF(Settings!$E$12="YES",VLOOKUP(A409,'Player Data'!A1:E667,5,FALSE),82)</f>
        <v>76.275000000000006</v>
      </c>
      <c r="E409" s="54">
        <f>(VLOOKUP($A409,'The List'!$B1:$AH665,17,FALSE)-AVERAGE('The List'!R2:R665))/STDEV('The List'!R2:R665)</f>
        <v>0.46635405006193392</v>
      </c>
      <c r="F409" s="54">
        <f>(VLOOKUP($A409,'The List'!$B1:$AH665,18,FALSE)-AVERAGE('The List'!S2:S665))/STDEV('The List'!S2:S665)</f>
        <v>-0.92976854638487816</v>
      </c>
      <c r="G409" s="54">
        <f>(VLOOKUP($A409,'The List'!$B1:$AH665,19,FALSE)-AVERAGE('The List'!T2:T665))/STDEV('The List'!T2:T665)</f>
        <v>-0.32646129410863395</v>
      </c>
      <c r="H409" s="54">
        <f>(VLOOKUP($A409,'The List'!$B1:$AH665,20,FALSE)-AVERAGE('The List'!U2:U665))/STDEV('The List'!U2:U665)</f>
        <v>-0.62537481972284414</v>
      </c>
      <c r="I409" s="54">
        <f>(VLOOKUP($A409,'The List'!$B1:$AH665,21,FALSE)-AVERAGE('The List'!V2:V665))/STDEV('The List'!V2:V665)</f>
        <v>-0.79823962986689934</v>
      </c>
      <c r="J409" s="54">
        <f>(VLOOKUP($A409,'The List'!$B1:$AH665,22,FALSE)-AVERAGE('The List'!W2:W665))/STDEV('The List'!W2:W665)</f>
        <v>-0.69886349050692753</v>
      </c>
      <c r="K409" s="54">
        <f>(VLOOKUP($A409,'The List'!$B1:$AH665,23,FALSE)-AVERAGE('The List'!X2:X665))/STDEV('The List'!X2:X665)</f>
        <v>-0.61316818871186718</v>
      </c>
      <c r="L409" s="54">
        <f>(VLOOKUP($A409,'The List'!$B1:$AH665,24,FALSE)-AVERAGE('The List'!Y2:Y665))/STDEV('The List'!Y2:Y665)</f>
        <v>-0.51397627380791322</v>
      </c>
      <c r="M409" s="54">
        <f>(VLOOKUP($A409,'The List'!$B1:$AH665,25,FALSE)-AVERAGE('The List'!Z2:Z665))/STDEV('The List'!Z2:Z665)</f>
        <v>-0.56050633256194027</v>
      </c>
      <c r="N409" s="54">
        <f>(VLOOKUP($A409,'The List'!$B1:$AH665,26,FALSE)-AVERAGE('The List'!AA2:AA665))/STDEV('The List'!AA2:AA665)</f>
        <v>1.322193214293726</v>
      </c>
      <c r="O409" s="54">
        <f>(VLOOKUP($A409,'The List'!$B1:$AH665,27,FALSE)-AVERAGE('The List'!AB2:AB665))/STDEV('The List'!AB2:AB665)</f>
        <v>-0.74887880308835164</v>
      </c>
      <c r="P409" s="54">
        <f>(VLOOKUP($A409,'The List'!$B1:$AH665,28,FALSE)-AVERAGE('The List'!AC2:AC665))/STDEV('The List'!AC2:AC665)</f>
        <v>0.57700805242736009</v>
      </c>
      <c r="Q409" s="54">
        <f>(VLOOKUP($A409,'The List'!$B1:$AH665,29,FALSE)-AVERAGE('The List'!AD2:AD665))/STDEV('The List'!AD2:AD665)</f>
        <v>0.33177271116317714</v>
      </c>
      <c r="R409" s="54">
        <f>(VLOOKUP($A409,'The List'!$B1:$AH665,30,FALSE)-AVERAGE('The List'!AE2:AE665))/STDEV('The List'!AE2:AE665)</f>
        <v>-0.88405243052419891</v>
      </c>
      <c r="S409" s="54">
        <f>(VLOOKUP($A409,'The List'!$B1:$AH665,31,FALSE)-AVERAGE('The List'!AF2:AF665))/STDEV('The List'!AF2:AF665)</f>
        <v>-0.57389441068000469</v>
      </c>
      <c r="T409" s="54">
        <f>(VLOOKUP($A409,'The List'!$B1:$AH665,32,FALSE)-AVERAGE('The List'!AG2:AG665))/STDEV('The List'!AG2:AG665)</f>
        <v>-0.62577078713265111</v>
      </c>
      <c r="U409" s="54">
        <f>(VLOOKUP($A409,'The List'!$B1:$AH665,33,FALSE)-AVERAGE('The List'!AH2:AH665))/STDEV('The List'!AH2:AH665)</f>
        <v>-1.2314350945148611</v>
      </c>
      <c r="V409" s="54"/>
      <c r="W409" s="64"/>
      <c r="X409" s="56"/>
      <c r="Y409" s="56"/>
      <c r="Z409" s="56"/>
      <c r="AA409" s="56"/>
      <c r="AB409" s="56"/>
      <c r="AC409" s="59"/>
      <c r="AD409" s="60"/>
      <c r="AE409" s="54"/>
    </row>
    <row r="410" spans="1:31" ht="21.25" customHeight="1" x14ac:dyDescent="0.15">
      <c r="A410" s="9" t="s">
        <v>525</v>
      </c>
      <c r="B410" s="65" t="str">
        <f>VLOOKUP(A410,'Player Data'!A1:B667,2,FALSE)</f>
        <v>UTA</v>
      </c>
      <c r="C410" s="51">
        <f>((E410)*Settings!$C$12)+(F410*Settings!$C$2)+(G410*Settings!$C$3)+(H410*Settings!$C$4)+(I410*Settings!$C$5)+(K410*Settings!$C$9)+(N410*Settings!$C$6)+(J410*Settings!$C$8)+(O410*Settings!$C$7)+(P410*Settings!$C$14)+(Q410*Settings!$C$15)+(R410*Settings!$C$16)+(S410*Settings!$C$17)+(T410*Settings!$C$18)+(U410*Settings!$C$19)+(L410*Settings!$C$10)+(Settings!$C$11*M410)</f>
        <v>-2.4484131459714882</v>
      </c>
      <c r="D410" s="56">
        <f>IF(Settings!$E$12="YES",VLOOKUP(A410,'Player Data'!A1:E667,5,FALSE),82)</f>
        <v>74.974999999999994</v>
      </c>
      <c r="E410" s="54">
        <f>(VLOOKUP($A410,'The List'!$B1:$AH665,17,FALSE)-AVERAGE('The List'!R2:R665))/STDEV('The List'!R2:R665)</f>
        <v>-0.29869297190526706</v>
      </c>
      <c r="F410" s="54">
        <f>(VLOOKUP($A410,'The List'!$B1:$AH665,18,FALSE)-AVERAGE('The List'!S2:S665))/STDEV('The List'!S2:S665)</f>
        <v>-0.86206715713572912</v>
      </c>
      <c r="G410" s="54">
        <f>(VLOOKUP($A410,'The List'!$B1:$AH665,19,FALSE)-AVERAGE('The List'!T2:T665))/STDEV('The List'!T2:T665)</f>
        <v>-0.4123602833390696</v>
      </c>
      <c r="H410" s="54">
        <f>(VLOOKUP($A410,'The List'!$B1:$AH665,20,FALSE)-AVERAGE('The List'!U2:U665))/STDEV('The List'!U2:U665)</f>
        <v>-0.64794942245401976</v>
      </c>
      <c r="I410" s="54">
        <f>(VLOOKUP($A410,'The List'!$B1:$AH665,21,FALSE)-AVERAGE('The List'!V2:V665))/STDEV('The List'!V2:V665)</f>
        <v>-0.79829405078920568</v>
      </c>
      <c r="J410" s="54">
        <f>(VLOOKUP($A410,'The List'!$B1:$AH665,22,FALSE)-AVERAGE('The List'!W2:W665))/STDEV('The List'!W2:W665)</f>
        <v>-0.73701531006571019</v>
      </c>
      <c r="K410" s="54">
        <f>(VLOOKUP($A410,'The List'!$B1:$AH665,23,FALSE)-AVERAGE('The List'!X2:X665))/STDEV('The List'!X2:X665)</f>
        <v>-0.80768636651163694</v>
      </c>
      <c r="L410" s="54">
        <f>(VLOOKUP($A410,'The List'!$B1:$AH665,24,FALSE)-AVERAGE('The List'!Y2:Y665))/STDEV('The List'!Y2:Y665)</f>
        <v>-0.55868447549465339</v>
      </c>
      <c r="M410" s="54">
        <f>(VLOOKUP($A410,'The List'!$B1:$AH665,25,FALSE)-AVERAGE('The List'!Z2:Z665))/STDEV('The List'!Z2:Z665)</f>
        <v>-0.69027017184867878</v>
      </c>
      <c r="N410" s="54">
        <f>(VLOOKUP($A410,'The List'!$B1:$AH665,26,FALSE)-AVERAGE('The List'!AA2:AA665))/STDEV('The List'!AA2:AA665)</f>
        <v>0.25452717822935073</v>
      </c>
      <c r="O410" s="54">
        <f>(VLOOKUP($A410,'The List'!$B1:$AH665,27,FALSE)-AVERAGE('The List'!AB2:AB665))/STDEV('The List'!AB2:AB665)</f>
        <v>0.47078722261255046</v>
      </c>
      <c r="P410" s="54">
        <f>(VLOOKUP($A410,'The List'!$B1:$AH665,28,FALSE)-AVERAGE('The List'!AC2:AC665))/STDEV('The List'!AC2:AC665)</f>
        <v>0.17746753357480227</v>
      </c>
      <c r="Q410" s="54">
        <f>(VLOOKUP($A410,'The List'!$B1:$AH665,29,FALSE)-AVERAGE('The List'!AD2:AD665))/STDEV('The List'!AD2:AD665)</f>
        <v>1.2287022943991563</v>
      </c>
      <c r="R410" s="54">
        <f>(VLOOKUP($A410,'The List'!$B1:$AH665,30,FALSE)-AVERAGE('The List'!AE2:AE665))/STDEV('The List'!AE2:AE665)</f>
        <v>-0.83224562573294747</v>
      </c>
      <c r="S410" s="54">
        <f>(VLOOKUP($A410,'The List'!$B1:$AH665,31,FALSE)-AVERAGE('The List'!AF2:AF665))/STDEV('The List'!AF2:AF665)</f>
        <v>-0.57389441068000469</v>
      </c>
      <c r="T410" s="54">
        <f>(VLOOKUP($A410,'The List'!$B1:$AH665,32,FALSE)-AVERAGE('The List'!AG2:AG665))/STDEV('The List'!AG2:AG665)</f>
        <v>-0.62577078713265111</v>
      </c>
      <c r="U410" s="54">
        <f>(VLOOKUP($A410,'The List'!$B1:$AH665,33,FALSE)-AVERAGE('The List'!AH2:AH665))/STDEV('The List'!AH2:AH665)</f>
        <v>-1.2314350945148611</v>
      </c>
      <c r="V410" s="54"/>
      <c r="W410" s="56"/>
      <c r="X410" s="54"/>
      <c r="Y410" s="54"/>
      <c r="Z410" s="54"/>
      <c r="AA410" s="54"/>
      <c r="AB410" s="54"/>
      <c r="AC410" s="54"/>
      <c r="AD410" s="54"/>
      <c r="AE410" s="54"/>
    </row>
    <row r="411" spans="1:31" ht="21.25" customHeight="1" x14ac:dyDescent="0.15">
      <c r="A411" s="9" t="s">
        <v>725</v>
      </c>
      <c r="B411" s="65" t="str">
        <f>VLOOKUP(A411,'Player Data'!A1:B667,2,FALSE)</f>
        <v>DAL</v>
      </c>
      <c r="C411" s="51">
        <f>((E411)*Settings!$C$12)+(F411*Settings!$C$2)+(G411*Settings!$C$3)+(H411*Settings!$C$4)+(I411*Settings!$C$5)+(K411*Settings!$C$9)+(N411*Settings!$C$6)+(J411*Settings!$C$8)+(O411*Settings!$C$7)+(P411*Settings!$C$14)+(Q411*Settings!$C$15)+(R411*Settings!$C$16)+(S411*Settings!$C$17)+(T411*Settings!$C$18)+(U411*Settings!$C$19)+(L411*Settings!$C$10)+(Settings!$C$11*M411)</f>
        <v>-2.8337407743355429</v>
      </c>
      <c r="D411" s="56">
        <f>IF(Settings!$E$12="YES",VLOOKUP(A411,'Player Data'!A1:E667,5,FALSE),82)</f>
        <v>77.405000000000001</v>
      </c>
      <c r="E411" s="54">
        <f>(VLOOKUP($A411,'The List'!$B1:$AH665,17,FALSE)-AVERAGE('The List'!R2:R665))/STDEV('The List'!R2:R665)</f>
        <v>-1.1557872327855039</v>
      </c>
      <c r="F411" s="54">
        <f>(VLOOKUP($A411,'The List'!$B1:$AH665,18,FALSE)-AVERAGE('The List'!S2:S665))/STDEV('The List'!S2:S665)</f>
        <v>-0.45787990942971885</v>
      </c>
      <c r="G411" s="54">
        <f>(VLOOKUP($A411,'The List'!$B1:$AH665,19,FALSE)-AVERAGE('The List'!T2:T665))/STDEV('The List'!T2:T665)</f>
        <v>-0.67562776109845202</v>
      </c>
      <c r="H411" s="54">
        <f>(VLOOKUP($A411,'The List'!$B1:$AH665,20,FALSE)-AVERAGE('The List'!U2:U665))/STDEV('The List'!U2:U665)</f>
        <v>-0.62773101253189723</v>
      </c>
      <c r="I411" s="54">
        <f>(VLOOKUP($A411,'The List'!$B1:$AH665,21,FALSE)-AVERAGE('The List'!V2:V665))/STDEV('The List'!V2:V665)</f>
        <v>-0.82438482308150551</v>
      </c>
      <c r="J411" s="54">
        <f>(VLOOKUP($A411,'The List'!$B1:$AH665,22,FALSE)-AVERAGE('The List'!W2:W665))/STDEV('The List'!W2:W665)</f>
        <v>-0.73467245928003333</v>
      </c>
      <c r="K411" s="54">
        <f>(VLOOKUP($A411,'The List'!$B1:$AH665,23,FALSE)-AVERAGE('The List'!X2:X665))/STDEV('The List'!X2:X665)</f>
        <v>-0.80974224818823881</v>
      </c>
      <c r="L411" s="54">
        <f>(VLOOKUP($A411,'The List'!$B1:$AH665,24,FALSE)-AVERAGE('The List'!Y2:Y665))/STDEV('The List'!Y2:Y665)</f>
        <v>1.7271255886855867</v>
      </c>
      <c r="M411" s="54">
        <f>(VLOOKUP($A411,'The List'!$B1:$AH665,25,FALSE)-AVERAGE('The List'!Z2:Z665))/STDEV('The List'!Z2:Z665)</f>
        <v>1.605343742162282</v>
      </c>
      <c r="N411" s="54">
        <f>(VLOOKUP($A411,'The List'!$B1:$AH665,26,FALSE)-AVERAGE('The List'!AA2:AA665))/STDEV('The List'!AA2:AA665)</f>
        <v>-0.83470386814381059</v>
      </c>
      <c r="O411" s="54">
        <f>(VLOOKUP($A411,'The List'!$B1:$AH665,27,FALSE)-AVERAGE('The List'!AB2:AB665))/STDEV('The List'!AB2:AB665)</f>
        <v>-0.60489371722786256</v>
      </c>
      <c r="P411" s="54">
        <f>(VLOOKUP($A411,'The List'!$B1:$AH665,28,FALSE)-AVERAGE('The List'!AC2:AC665))/STDEV('The List'!AC2:AC665)</f>
        <v>0.76859783560618322</v>
      </c>
      <c r="Q411" s="54">
        <f>(VLOOKUP($A411,'The List'!$B1:$AH665,29,FALSE)-AVERAGE('The List'!AD2:AD665))/STDEV('The List'!AD2:AD665)</f>
        <v>-0.6721351067867698</v>
      </c>
      <c r="R411" s="54">
        <f>(VLOOKUP($A411,'The List'!$B1:$AH665,30,FALSE)-AVERAGE('The List'!AE2:AE665))/STDEV('The List'!AE2:AE665)</f>
        <v>-0.37624519735593476</v>
      </c>
      <c r="S411" s="54">
        <f>(VLOOKUP($A411,'The List'!$B1:$AH665,31,FALSE)-AVERAGE('The List'!AF2:AF665))/STDEV('The List'!AF2:AF665)</f>
        <v>0.10512825977161673</v>
      </c>
      <c r="T411" s="54">
        <f>(VLOOKUP($A411,'The List'!$B1:$AH665,32,FALSE)-AVERAGE('The List'!AG2:AG665))/STDEV('The List'!AG2:AG665)</f>
        <v>0.18316416767048335</v>
      </c>
      <c r="U411" s="54">
        <f>(VLOOKUP($A411,'The List'!$B1:$AH665,33,FALSE)-AVERAGE('The List'!AH2:AH665))/STDEV('The List'!AH2:AH665)</f>
        <v>0.9067617839677159</v>
      </c>
      <c r="V411" s="54"/>
      <c r="W411" s="64"/>
      <c r="X411" s="56"/>
      <c r="Y411" s="56"/>
      <c r="Z411" s="56"/>
      <c r="AA411" s="56"/>
      <c r="AB411" s="56"/>
      <c r="AC411" s="59"/>
      <c r="AD411" s="60"/>
      <c r="AE411" s="54"/>
    </row>
    <row r="412" spans="1:31" ht="21.25" customHeight="1" x14ac:dyDescent="0.15">
      <c r="A412" s="9" t="s">
        <v>375</v>
      </c>
      <c r="B412" s="65" t="str">
        <f>VLOOKUP(A412,'Player Data'!A1:B667,2,FALSE)</f>
        <v>TOR</v>
      </c>
      <c r="C412" s="51">
        <f>((E412)*Settings!$C$12)+(F412*Settings!$C$2)+(G412*Settings!$C$3)+(H412*Settings!$C$4)+(I412*Settings!$C$5)+(K412*Settings!$C$9)+(N412*Settings!$C$6)+(J412*Settings!$C$8)+(O412*Settings!$C$7)+(P412*Settings!$C$14)+(Q412*Settings!$C$15)+(R412*Settings!$C$16)+(S412*Settings!$C$17)+(T412*Settings!$C$18)+(U412*Settings!$C$19)+(L412*Settings!$C$10)+(Settings!$C$11*M412)</f>
        <v>0.16523580767176127</v>
      </c>
      <c r="D412" s="56">
        <f>IF(Settings!$E$12="YES",VLOOKUP(A412,'Player Data'!A1:E667,5,FALSE),82)</f>
        <v>78.45</v>
      </c>
      <c r="E412" s="54">
        <f>(VLOOKUP($A412,'The List'!$B1:$AH665,17,FALSE)-AVERAGE('The List'!R2:R665))/STDEV('The List'!R2:R665)</f>
        <v>1.255739876861266</v>
      </c>
      <c r="F412" s="54">
        <f>(VLOOKUP($A412,'The List'!$B1:$AH665,18,FALSE)-AVERAGE('The List'!S2:S665))/STDEV('The List'!S2:S665)</f>
        <v>-1.0123025538645609</v>
      </c>
      <c r="G412" s="54">
        <f>(VLOOKUP($A412,'The List'!$B1:$AH665,19,FALSE)-AVERAGE('The List'!T2:T665))/STDEV('The List'!T2:T665)</f>
        <v>-0.2512675926265403</v>
      </c>
      <c r="H412" s="54">
        <f>(VLOOKUP($A412,'The List'!$B1:$AH665,20,FALSE)-AVERAGE('The List'!U2:U665))/STDEV('The List'!U2:U665)</f>
        <v>-0.61619093265824598</v>
      </c>
      <c r="I412" s="54">
        <f>(VLOOKUP($A412,'The List'!$B1:$AH665,21,FALSE)-AVERAGE('The List'!V2:V665))/STDEV('The List'!V2:V665)</f>
        <v>-0.94262041552705478</v>
      </c>
      <c r="J412" s="54">
        <f>(VLOOKUP($A412,'The List'!$B1:$AH665,22,FALSE)-AVERAGE('The List'!W2:W665))/STDEV('The List'!W2:W665)</f>
        <v>-0.74171567297314911</v>
      </c>
      <c r="K412" s="54">
        <f>(VLOOKUP($A412,'The List'!$B1:$AH665,23,FALSE)-AVERAGE('The List'!X2:X665))/STDEV('The List'!X2:X665)</f>
        <v>-0.81368310237013419</v>
      </c>
      <c r="L412" s="54">
        <f>(VLOOKUP($A412,'The List'!$B1:$AH665,24,FALSE)-AVERAGE('The List'!Y2:Y665))/STDEV('The List'!Y2:Y665)</f>
        <v>-0.53965904620381</v>
      </c>
      <c r="M412" s="54">
        <f>(VLOOKUP($A412,'The List'!$B1:$AH665,25,FALSE)-AVERAGE('The List'!Z2:Z665))/STDEV('The List'!Z2:Z665)</f>
        <v>-0.63610597167425809</v>
      </c>
      <c r="N412" s="54">
        <f>(VLOOKUP($A412,'The List'!$B1:$AH665,26,FALSE)-AVERAGE('The List'!AA2:AA665))/STDEV('The List'!AA2:AA665)</f>
        <v>2.9814198354869541</v>
      </c>
      <c r="O412" s="54">
        <f>(VLOOKUP($A412,'The List'!$B1:$AH665,27,FALSE)-AVERAGE('The List'!AB2:AB665))/STDEV('The List'!AB2:AB665)</f>
        <v>-0.58050593125210448</v>
      </c>
      <c r="P412" s="54">
        <f>(VLOOKUP($A412,'The List'!$B1:$AH665,28,FALSE)-AVERAGE('The List'!AC2:AC665))/STDEV('The List'!AC2:AC665)</f>
        <v>0.20368963657309735</v>
      </c>
      <c r="Q412" s="54">
        <f>(VLOOKUP($A412,'The List'!$B1:$AH665,29,FALSE)-AVERAGE('The List'!AD2:AD665))/STDEV('The List'!AD2:AD665)</f>
        <v>-0.19924450532709886</v>
      </c>
      <c r="R412" s="54">
        <f>(VLOOKUP($A412,'The List'!$B1:$AH665,30,FALSE)-AVERAGE('The List'!AE2:AE665))/STDEV('The List'!AE2:AE665)</f>
        <v>-0.94521129568808671</v>
      </c>
      <c r="S412" s="54">
        <f>(VLOOKUP($A412,'The List'!$B1:$AH665,31,FALSE)-AVERAGE('The List'!AF2:AF665))/STDEV('The List'!AF2:AF665)</f>
        <v>-0.57389441068000469</v>
      </c>
      <c r="T412" s="54">
        <f>(VLOOKUP($A412,'The List'!$B1:$AH665,32,FALSE)-AVERAGE('The List'!AG2:AG665))/STDEV('The List'!AG2:AG665)</f>
        <v>-0.62577078713265111</v>
      </c>
      <c r="U412" s="54">
        <f>(VLOOKUP($A412,'The List'!$B1:$AH665,33,FALSE)-AVERAGE('The List'!AH2:AH665))/STDEV('The List'!AH2:AH665)</f>
        <v>-1.2314350945148611</v>
      </c>
      <c r="V412" s="54"/>
      <c r="W412" s="64"/>
      <c r="X412" s="56"/>
      <c r="Y412" s="56"/>
      <c r="Z412" s="56"/>
      <c r="AA412" s="56"/>
      <c r="AB412" s="56"/>
      <c r="AC412" s="59"/>
      <c r="AD412" s="60"/>
      <c r="AE412" s="54"/>
    </row>
    <row r="413" spans="1:31" ht="21.25" customHeight="1" x14ac:dyDescent="0.15">
      <c r="A413" s="9" t="s">
        <v>441</v>
      </c>
      <c r="B413" s="65" t="str">
        <f>VLOOKUP(A413,'Player Data'!A1:B667,2,FALSE)</f>
        <v>DET</v>
      </c>
      <c r="C413" s="51">
        <f>((E413)*Settings!$C$12)+(F413*Settings!$C$2)+(G413*Settings!$C$3)+(H413*Settings!$C$4)+(I413*Settings!$C$5)+(K413*Settings!$C$9)+(N413*Settings!$C$6)+(J413*Settings!$C$8)+(O413*Settings!$C$7)+(P413*Settings!$C$14)+(Q413*Settings!$C$15)+(R413*Settings!$C$16)+(S413*Settings!$C$17)+(T413*Settings!$C$18)+(U413*Settings!$C$19)+(L413*Settings!$C$10)+(Settings!$C$11*M413)</f>
        <v>-1.9609078698031541</v>
      </c>
      <c r="D413" s="56">
        <f>IF(Settings!$E$12="YES",VLOOKUP(A413,'Player Data'!A1:E667,5,FALSE),82)</f>
        <v>76.144999999999996</v>
      </c>
      <c r="E413" s="54">
        <f>(VLOOKUP($A413,'The List'!$B1:$AH665,17,FALSE)-AVERAGE('The List'!R2:R665))/STDEV('The List'!R2:R665)</f>
        <v>0.47802090947917153</v>
      </c>
      <c r="F413" s="54">
        <f>(VLOOKUP($A413,'The List'!$B1:$AH665,18,FALSE)-AVERAGE('The List'!S2:S665))/STDEV('The List'!S2:S665)</f>
        <v>-1.0100330628751963</v>
      </c>
      <c r="G413" s="54">
        <f>(VLOOKUP($A413,'The List'!$B1:$AH665,19,FALSE)-AVERAGE('The List'!T2:T665))/STDEV('The List'!T2:T665)</f>
        <v>-0.30836667620598845</v>
      </c>
      <c r="H413" s="54">
        <f>(VLOOKUP($A413,'The List'!$B1:$AH665,20,FALSE)-AVERAGE('The List'!U2:U665))/STDEV('The List'!U2:U665)</f>
        <v>-0.65062108260263374</v>
      </c>
      <c r="I413" s="54">
        <f>(VLOOKUP($A413,'The List'!$B1:$AH665,21,FALSE)-AVERAGE('The List'!V2:V665))/STDEV('The List'!V2:V665)</f>
        <v>-0.68341599674870257</v>
      </c>
      <c r="J413" s="54">
        <f>(VLOOKUP($A413,'The List'!$B1:$AH665,22,FALSE)-AVERAGE('The List'!W2:W665))/STDEV('The List'!W2:W665)</f>
        <v>-0.71395936392981363</v>
      </c>
      <c r="K413" s="54">
        <f>(VLOOKUP($A413,'The List'!$B1:$AH665,23,FALSE)-AVERAGE('The List'!X2:X665))/STDEV('The List'!X2:X665)</f>
        <v>-0.74977945030396631</v>
      </c>
      <c r="L413" s="54">
        <f>(VLOOKUP($A413,'The List'!$B1:$AH665,24,FALSE)-AVERAGE('The List'!Y2:Y665))/STDEV('The List'!Y2:Y665)</f>
        <v>-0.55379316108566523</v>
      </c>
      <c r="M413" s="54">
        <f>(VLOOKUP($A413,'The List'!$B1:$AH665,25,FALSE)-AVERAGE('The List'!Z2:Z665))/STDEV('The List'!Z2:Z665)</f>
        <v>-0.21384539063927058</v>
      </c>
      <c r="N413" s="54">
        <f>(VLOOKUP($A413,'The List'!$B1:$AH665,26,FALSE)-AVERAGE('The List'!AA2:AA665))/STDEV('The List'!AA2:AA665)</f>
        <v>1.452601516689487</v>
      </c>
      <c r="O413" s="54">
        <f>(VLOOKUP($A413,'The List'!$B1:$AH665,27,FALSE)-AVERAGE('The List'!AB2:AB665))/STDEV('The List'!AB2:AB665)</f>
        <v>1.3351933845241954</v>
      </c>
      <c r="P413" s="54">
        <f>(VLOOKUP($A413,'The List'!$B1:$AH665,28,FALSE)-AVERAGE('The List'!AC2:AC665))/STDEV('The List'!AC2:AC665)</f>
        <v>-0.66191420035878756</v>
      </c>
      <c r="Q413" s="54">
        <f>(VLOOKUP($A413,'The List'!$B1:$AH665,29,FALSE)-AVERAGE('The List'!AD2:AD665))/STDEV('The List'!AD2:AD665)</f>
        <v>0.12697289978910056</v>
      </c>
      <c r="R413" s="54">
        <f>(VLOOKUP($A413,'The List'!$B1:$AH665,30,FALSE)-AVERAGE('The List'!AE2:AE665))/STDEV('The List'!AE2:AE665)</f>
        <v>-0.98987625009610569</v>
      </c>
      <c r="S413" s="54">
        <f>(VLOOKUP($A413,'The List'!$B1:$AH665,31,FALSE)-AVERAGE('The List'!AF2:AF665))/STDEV('The List'!AF2:AF665)</f>
        <v>-0.57389441068000469</v>
      </c>
      <c r="T413" s="54">
        <f>(VLOOKUP($A413,'The List'!$B1:$AH665,32,FALSE)-AVERAGE('The List'!AG2:AG665))/STDEV('The List'!AG2:AG665)</f>
        <v>-0.62577078713265111</v>
      </c>
      <c r="U413" s="54">
        <f>(VLOOKUP($A413,'The List'!$B1:$AH665,33,FALSE)-AVERAGE('The List'!AH2:AH665))/STDEV('The List'!AH2:AH665)</f>
        <v>-1.2314350945148611</v>
      </c>
      <c r="V413" s="54"/>
      <c r="W413" s="64"/>
      <c r="X413" s="56"/>
      <c r="Y413" s="56"/>
      <c r="Z413" s="56"/>
      <c r="AA413" s="56"/>
      <c r="AB413" s="56"/>
      <c r="AC413" s="59"/>
      <c r="AD413" s="60"/>
      <c r="AE413" s="54"/>
    </row>
    <row r="414" spans="1:31" ht="21.25" customHeight="1" x14ac:dyDescent="0.15">
      <c r="A414" s="9" t="s">
        <v>744</v>
      </c>
      <c r="B414" s="65" t="str">
        <f>VLOOKUP(A414,'Player Data'!A1:B667,2,FALSE)</f>
        <v>MTL</v>
      </c>
      <c r="C414" s="51">
        <f>((E414)*Settings!$C$12)+(F414*Settings!$C$2)+(G414*Settings!$C$3)+(H414*Settings!$C$4)+(I414*Settings!$C$5)+(K414*Settings!$C$9)+(N414*Settings!$C$6)+(J414*Settings!$C$8)+(O414*Settings!$C$7)+(P414*Settings!$C$14)+(Q414*Settings!$C$15)+(R414*Settings!$C$16)+(S414*Settings!$C$17)+(T414*Settings!$C$18)+(U414*Settings!$C$19)+(L414*Settings!$C$10)+(Settings!$C$11*M414)</f>
        <v>-4.7501766662224396</v>
      </c>
      <c r="D414" s="56">
        <f>IF(Settings!$E$12="YES",VLOOKUP(A414,'Player Data'!A1:E667,5,FALSE),82)</f>
        <v>67.724999999999994</v>
      </c>
      <c r="E414" s="54">
        <f>(VLOOKUP($A414,'The List'!$B1:$AH665,17,FALSE)-AVERAGE('The List'!R2:R665))/STDEV('The List'!R2:R665)</f>
        <v>-0.94077816065094466</v>
      </c>
      <c r="F414" s="54">
        <f>(VLOOKUP($A414,'The List'!$B1:$AH665,18,FALSE)-AVERAGE('The List'!S2:S665))/STDEV('The List'!S2:S665)</f>
        <v>-0.54648133679252386</v>
      </c>
      <c r="G414" s="54">
        <f>(VLOOKUP($A414,'The List'!$B1:$AH665,19,FALSE)-AVERAGE('The List'!T2:T665))/STDEV('The List'!T2:T665)</f>
        <v>-0.8299344185006905</v>
      </c>
      <c r="H414" s="54">
        <f>(VLOOKUP($A414,'The List'!$B1:$AH665,20,FALSE)-AVERAGE('The List'!U2:U665))/STDEV('The List'!U2:U665)</f>
        <v>-0.7638376834513162</v>
      </c>
      <c r="I414" s="54">
        <f>(VLOOKUP($A414,'The List'!$B1:$AH665,21,FALSE)-AVERAGE('The List'!V2:V665))/STDEV('The List'!V2:V665)</f>
        <v>-1.0220078043370096</v>
      </c>
      <c r="J414" s="54">
        <f>(VLOOKUP($A414,'The List'!$B1:$AH665,22,FALSE)-AVERAGE('The List'!W2:W665))/STDEV('The List'!W2:W665)</f>
        <v>-0.63207269877662642</v>
      </c>
      <c r="K414" s="54">
        <f>(VLOOKUP($A414,'The List'!$B1:$AH665,23,FALSE)-AVERAGE('The List'!X2:X665))/STDEV('The List'!X2:X665)</f>
        <v>-0.70555890241223862</v>
      </c>
      <c r="L414" s="54">
        <f>(VLOOKUP($A414,'The List'!$B1:$AH665,24,FALSE)-AVERAGE('The List'!Y2:Y665))/STDEV('The List'!Y2:Y665)</f>
        <v>0.26628709916031573</v>
      </c>
      <c r="M414" s="54">
        <f>(VLOOKUP($A414,'The List'!$B1:$AH665,25,FALSE)-AVERAGE('The List'!Z2:Z665))/STDEV('The List'!Z2:Z665)</f>
        <v>-0.11450702039937107</v>
      </c>
      <c r="N414" s="54">
        <f>(VLOOKUP($A414,'The List'!$B1:$AH665,26,FALSE)-AVERAGE('The List'!AA2:AA665))/STDEV('The List'!AA2:AA665)</f>
        <v>-0.42036083768210231</v>
      </c>
      <c r="O414" s="54">
        <f>(VLOOKUP($A414,'The List'!$B1:$AH665,27,FALSE)-AVERAGE('The List'!AB2:AB665))/STDEV('The List'!AB2:AB665)</f>
        <v>-1.0352483698595625</v>
      </c>
      <c r="P414" s="54">
        <f>(VLOOKUP($A414,'The List'!$B1:$AH665,28,FALSE)-AVERAGE('The List'!AC2:AC665))/STDEV('The List'!AC2:AC665)</f>
        <v>-1.2258333664978744</v>
      </c>
      <c r="Q414" s="54">
        <f>(VLOOKUP($A414,'The List'!$B1:$AH665,29,FALSE)-AVERAGE('The List'!AD2:AD665))/STDEV('The List'!AD2:AD665)</f>
        <v>-1.3717980080387622</v>
      </c>
      <c r="R414" s="54">
        <f>(VLOOKUP($A414,'The List'!$B1:$AH665,30,FALSE)-AVERAGE('The List'!AE2:AE665))/STDEV('The List'!AE2:AE665)</f>
        <v>-0.68953322768611414</v>
      </c>
      <c r="S414" s="54">
        <f>(VLOOKUP($A414,'The List'!$B1:$AH665,31,FALSE)-AVERAGE('The List'!AF2:AF665))/STDEV('The List'!AF2:AF665)</f>
        <v>1.399076041047427</v>
      </c>
      <c r="T414" s="54">
        <f>(VLOOKUP($A414,'The List'!$B1:$AH665,32,FALSE)-AVERAGE('The List'!AG2:AG665))/STDEV('The List'!AG2:AG665)</f>
        <v>1.1064373934487552</v>
      </c>
      <c r="U414" s="54">
        <f>(VLOOKUP($A414,'The List'!$B1:$AH665,33,FALSE)-AVERAGE('The List'!AH2:AH665))/STDEV('The List'!AH2:AH665)</f>
        <v>1.251840599585099</v>
      </c>
      <c r="V414" s="54"/>
      <c r="W414" s="64"/>
      <c r="X414" s="56"/>
      <c r="Y414" s="56"/>
      <c r="Z414" s="56"/>
      <c r="AA414" s="56"/>
      <c r="AB414" s="56"/>
      <c r="AC414" s="59"/>
      <c r="AD414" s="60"/>
      <c r="AE414" s="54"/>
    </row>
    <row r="415" spans="1:31" ht="21.25" customHeight="1" x14ac:dyDescent="0.15">
      <c r="A415" s="9" t="s">
        <v>637</v>
      </c>
      <c r="B415" s="65" t="str">
        <f>VLOOKUP(A415,'Player Data'!A1:B667,2,FALSE)</f>
        <v>TOR</v>
      </c>
      <c r="C415" s="51">
        <f>((E415)*Settings!$C$12)+(F415*Settings!$C$2)+(G415*Settings!$C$3)+(H415*Settings!$C$4)+(I415*Settings!$C$5)+(K415*Settings!$C$9)+(N415*Settings!$C$6)+(J415*Settings!$C$8)+(O415*Settings!$C$7)+(P415*Settings!$C$14)+(Q415*Settings!$C$15)+(R415*Settings!$C$16)+(S415*Settings!$C$17)+(T415*Settings!$C$18)+(U415*Settings!$C$19)+(L415*Settings!$C$10)+(Settings!$C$11*M415)</f>
        <v>-2.7413724923020655</v>
      </c>
      <c r="D415" s="56">
        <f>IF(Settings!$E$12="YES",VLOOKUP(A415,'Player Data'!A1:E667,5,FALSE),82)</f>
        <v>58.85</v>
      </c>
      <c r="E415" s="54">
        <f>(VLOOKUP($A415,'The List'!$B1:$AH665,17,FALSE)-AVERAGE('The List'!R2:R665))/STDEV('The List'!R2:R665)</f>
        <v>-0.54788036174815535</v>
      </c>
      <c r="F415" s="54">
        <f>(VLOOKUP($A415,'The List'!$B1:$AH665,18,FALSE)-AVERAGE('The List'!S2:S665))/STDEV('The List'!S2:S665)</f>
        <v>-1.039723449392677</v>
      </c>
      <c r="G415" s="54">
        <f>(VLOOKUP($A415,'The List'!$B1:$AH665,19,FALSE)-AVERAGE('The List'!T2:T665))/STDEV('The List'!T2:T665)</f>
        <v>-0.65950914970464591</v>
      </c>
      <c r="H415" s="54">
        <f>(VLOOKUP($A415,'The List'!$B1:$AH665,20,FALSE)-AVERAGE('The List'!U2:U665))/STDEV('The List'!U2:U665)</f>
        <v>-0.88219599469389354</v>
      </c>
      <c r="I415" s="54">
        <f>(VLOOKUP($A415,'The List'!$B1:$AH665,21,FALSE)-AVERAGE('The List'!V2:V665))/STDEV('The List'!V2:V665)</f>
        <v>-1.3462191629485813</v>
      </c>
      <c r="J415" s="54">
        <f>(VLOOKUP($A415,'The List'!$B1:$AH665,22,FALSE)-AVERAGE('The List'!W2:W665))/STDEV('The List'!W2:W665)</f>
        <v>-0.72143074251325934</v>
      </c>
      <c r="K415" s="54">
        <f>(VLOOKUP($A415,'The List'!$B1:$AH665,23,FALSE)-AVERAGE('The List'!X2:X665))/STDEV('The List'!X2:X665)</f>
        <v>-0.61031838597489663</v>
      </c>
      <c r="L415" s="54">
        <f>(VLOOKUP($A415,'The List'!$B1:$AH665,24,FALSE)-AVERAGE('The List'!Y2:Y665))/STDEV('The List'!Y2:Y665)</f>
        <v>-0.57290849059881255</v>
      </c>
      <c r="M415" s="54">
        <f>(VLOOKUP($A415,'The List'!$B1:$AH665,25,FALSE)-AVERAGE('The List'!Z2:Z665))/STDEV('The List'!Z2:Z665)</f>
        <v>-0.73245029166356401</v>
      </c>
      <c r="N415" s="54">
        <f>(VLOOKUP($A415,'The List'!$B1:$AH665,26,FALSE)-AVERAGE('The List'!AA2:AA665))/STDEV('The List'!AA2:AA665)</f>
        <v>-0.12416029503434445</v>
      </c>
      <c r="O415" s="54">
        <f>(VLOOKUP($A415,'The List'!$B1:$AH665,27,FALSE)-AVERAGE('The List'!AB2:AB665))/STDEV('The List'!AB2:AB665)</f>
        <v>-0.32218339768556159</v>
      </c>
      <c r="P415" s="54">
        <f>(VLOOKUP($A415,'The List'!$B1:$AH665,28,FALSE)-AVERAGE('The List'!AC2:AC665))/STDEV('The List'!AC2:AC665)</f>
        <v>1.0385579507530802</v>
      </c>
      <c r="Q415" s="54">
        <f>(VLOOKUP($A415,'The List'!$B1:$AH665,29,FALSE)-AVERAGE('The List'!AD2:AD665))/STDEV('The List'!AD2:AD665)</f>
        <v>-0.61115190574260791</v>
      </c>
      <c r="R415" s="54">
        <f>(VLOOKUP($A415,'The List'!$B1:$AH665,30,FALSE)-AVERAGE('The List'!AE2:AE665))/STDEV('The List'!AE2:AE665)</f>
        <v>-0.97336909943963279</v>
      </c>
      <c r="S415" s="54">
        <f>(VLOOKUP($A415,'The List'!$B1:$AH665,31,FALSE)-AVERAGE('The List'!AF2:AF665))/STDEV('The List'!AF2:AF665)</f>
        <v>-0.57389441068000469</v>
      </c>
      <c r="T415" s="54">
        <f>(VLOOKUP($A415,'The List'!$B1:$AH665,32,FALSE)-AVERAGE('The List'!AG2:AG665))/STDEV('The List'!AG2:AG665)</f>
        <v>-0.62577078713265111</v>
      </c>
      <c r="U415" s="54">
        <f>(VLOOKUP($A415,'The List'!$B1:$AH665,33,FALSE)-AVERAGE('The List'!AH2:AH665))/STDEV('The List'!AH2:AH665)</f>
        <v>-1.2314350945148611</v>
      </c>
      <c r="V415" s="54"/>
      <c r="W415" s="64"/>
      <c r="X415" s="56"/>
      <c r="Y415" s="56"/>
      <c r="Z415" s="56"/>
      <c r="AA415" s="56"/>
      <c r="AB415" s="56"/>
      <c r="AC415" s="59"/>
      <c r="AD415" s="60"/>
      <c r="AE415" s="54"/>
    </row>
    <row r="416" spans="1:31" ht="21.25" customHeight="1" x14ac:dyDescent="0.15">
      <c r="A416" s="9" t="s">
        <v>717</v>
      </c>
      <c r="B416" s="65" t="str">
        <f>VLOOKUP(A416,'Player Data'!A1:B667,2,FALSE)</f>
        <v>PIT</v>
      </c>
      <c r="C416" s="51">
        <f>((E416)*Settings!$C$12)+(F416*Settings!$C$2)+(G416*Settings!$C$3)+(H416*Settings!$C$4)+(I416*Settings!$C$5)+(K416*Settings!$C$9)+(N416*Settings!$C$6)+(J416*Settings!$C$8)+(O416*Settings!$C$7)+(P416*Settings!$C$14)+(Q416*Settings!$C$15)+(R416*Settings!$C$16)+(S416*Settings!$C$17)+(T416*Settings!$C$18)+(U416*Settings!$C$19)+(L416*Settings!$C$10)+(Settings!$C$11*M416)</f>
        <v>-2.9586627292050056</v>
      </c>
      <c r="D416" s="56">
        <f>IF(Settings!$E$12="YES",VLOOKUP(A416,'Player Data'!A1:E667,5,FALSE),82)</f>
        <v>77.142499999999998</v>
      </c>
      <c r="E416" s="54">
        <f>(VLOOKUP($A416,'The List'!$B1:$AH665,17,FALSE)-AVERAGE('The List'!R2:R665))/STDEV('The List'!R2:R665)</f>
        <v>-1.4042043181633219</v>
      </c>
      <c r="F416" s="54">
        <f>(VLOOKUP($A416,'The List'!$B1:$AH665,18,FALSE)-AVERAGE('The List'!S2:S665))/STDEV('The List'!S2:S665)</f>
        <v>-0.46573383822140091</v>
      </c>
      <c r="G416" s="54">
        <f>(VLOOKUP($A416,'The List'!$B1:$AH665,19,FALSE)-AVERAGE('The List'!T2:T665))/STDEV('The List'!T2:T665)</f>
        <v>-0.69813661326555421</v>
      </c>
      <c r="H416" s="54">
        <f>(VLOOKUP($A416,'The List'!$B1:$AH665,20,FALSE)-AVERAGE('The List'!U2:U665))/STDEV('The List'!U2:U665)</f>
        <v>-0.64528025932099609</v>
      </c>
      <c r="I416" s="54">
        <f>(VLOOKUP($A416,'The List'!$B1:$AH665,21,FALSE)-AVERAGE('The List'!V2:V665))/STDEV('The List'!V2:V665)</f>
        <v>-0.66672723068976203</v>
      </c>
      <c r="J416" s="54">
        <f>(VLOOKUP($A416,'The List'!$B1:$AH665,22,FALSE)-AVERAGE('The List'!W2:W665))/STDEV('The List'!W2:W665)</f>
        <v>-0.72760983076801888</v>
      </c>
      <c r="K416" s="54">
        <f>(VLOOKUP($A416,'The List'!$B1:$AH665,23,FALSE)-AVERAGE('The List'!X2:X665))/STDEV('The List'!X2:X665)</f>
        <v>-0.8132051588475252</v>
      </c>
      <c r="L416" s="54">
        <f>(VLOOKUP($A416,'The List'!$B1:$AH665,24,FALSE)-AVERAGE('The List'!Y2:Y665))/STDEV('The List'!Y2:Y665)</f>
        <v>1.0357022473796218</v>
      </c>
      <c r="M416" s="54">
        <f>(VLOOKUP($A416,'The List'!$B1:$AH665,25,FALSE)-AVERAGE('The List'!Z2:Z665))/STDEV('The List'!Z2:Z665)</f>
        <v>1.4996653202285486</v>
      </c>
      <c r="N416" s="54">
        <f>(VLOOKUP($A416,'The List'!$B1:$AH665,26,FALSE)-AVERAGE('The List'!AA2:AA665))/STDEV('The List'!AA2:AA665)</f>
        <v>-0.71750988230375234</v>
      </c>
      <c r="O416" s="54">
        <f>(VLOOKUP($A416,'The List'!$B1:$AH665,27,FALSE)-AVERAGE('The List'!AB2:AB665))/STDEV('The List'!AB2:AB665)</f>
        <v>-0.10140346341493559</v>
      </c>
      <c r="P416" s="54">
        <f>(VLOOKUP($A416,'The List'!$B1:$AH665,28,FALSE)-AVERAGE('The List'!AC2:AC665))/STDEV('The List'!AC2:AC665)</f>
        <v>0.40264999412298913</v>
      </c>
      <c r="Q416" s="54">
        <f>(VLOOKUP($A416,'The List'!$B1:$AH665,29,FALSE)-AVERAGE('The List'!AD2:AD665))/STDEV('The List'!AD2:AD665)</f>
        <v>2.1952998250848118E-2</v>
      </c>
      <c r="R416" s="54">
        <f>(VLOOKUP($A416,'The List'!$B1:$AH665,30,FALSE)-AVERAGE('The List'!AE2:AE665))/STDEV('The List'!AE2:AE665)</f>
        <v>-0.44933551950610623</v>
      </c>
      <c r="S416" s="54">
        <f>(VLOOKUP($A416,'The List'!$B1:$AH665,31,FALSE)-AVERAGE('The List'!AF2:AF665))/STDEV('The List'!AF2:AF665)</f>
        <v>0.69869874679819199</v>
      </c>
      <c r="T416" s="54">
        <f>(VLOOKUP($A416,'The List'!$B1:$AH665,32,FALSE)-AVERAGE('The List'!AG2:AG665))/STDEV('The List'!AG2:AG665)</f>
        <v>0.73519826183222958</v>
      </c>
      <c r="U416" s="54">
        <f>(VLOOKUP($A416,'The List'!$B1:$AH665,33,FALSE)-AVERAGE('The List'!AH2:AH665))/STDEV('The List'!AH2:AH665)</f>
        <v>1.0289304956601217</v>
      </c>
      <c r="V416" s="54"/>
      <c r="W416" s="64"/>
      <c r="X416" s="56"/>
      <c r="Y416" s="56"/>
      <c r="Z416" s="56"/>
      <c r="AA416" s="56"/>
      <c r="AB416" s="56"/>
      <c r="AC416" s="59"/>
      <c r="AD416" s="60"/>
      <c r="AE416" s="54"/>
    </row>
    <row r="417" spans="1:31" ht="21.25" customHeight="1" x14ac:dyDescent="0.15">
      <c r="A417" s="9" t="s">
        <v>679</v>
      </c>
      <c r="B417" s="65" t="str">
        <f>VLOOKUP(A417,'Player Data'!A1:B667,2,FALSE)</f>
        <v>SEA</v>
      </c>
      <c r="C417" s="51">
        <f>((E417)*Settings!$C$12)+(F417*Settings!$C$2)+(G417*Settings!$C$3)+(H417*Settings!$C$4)+(I417*Settings!$C$5)+(K417*Settings!$C$9)+(N417*Settings!$C$6)+(J417*Settings!$C$8)+(O417*Settings!$C$7)+(P417*Settings!$C$14)+(Q417*Settings!$C$15)+(R417*Settings!$C$16)+(S417*Settings!$C$17)+(T417*Settings!$C$18)+(U417*Settings!$C$19)+(L417*Settings!$C$10)+(Settings!$C$11*M417)</f>
        <v>-3.3030308739795045</v>
      </c>
      <c r="D417" s="56">
        <f>IF(Settings!$E$12="YES",VLOOKUP(A417,'Player Data'!A1:E667,5,FALSE),82)</f>
        <v>73.989999999999995</v>
      </c>
      <c r="E417" s="54">
        <f>(VLOOKUP($A417,'The List'!$B1:$AH665,17,FALSE)-AVERAGE('The List'!R2:R665))/STDEV('The List'!R2:R665)</f>
        <v>-0.78016685806837649</v>
      </c>
      <c r="F417" s="54">
        <f>(VLOOKUP($A417,'The List'!$B1:$AH665,18,FALSE)-AVERAGE('The List'!S2:S665))/STDEV('The List'!S2:S665)</f>
        <v>-0.40578143865238608</v>
      </c>
      <c r="G417" s="54">
        <f>(VLOOKUP($A417,'The List'!$B1:$AH665,19,FALSE)-AVERAGE('The List'!T2:T665))/STDEV('The List'!T2:T665)</f>
        <v>-0.80883526605652234</v>
      </c>
      <c r="H417" s="54">
        <f>(VLOOKUP($A417,'The List'!$B1:$AH665,20,FALSE)-AVERAGE('The List'!U2:U665))/STDEV('The List'!U2:U665)</f>
        <v>-0.68677913171023997</v>
      </c>
      <c r="I417" s="54">
        <f>(VLOOKUP($A417,'The List'!$B1:$AH665,21,FALSE)-AVERAGE('The List'!V2:V665))/STDEV('The List'!V2:V665)</f>
        <v>-0.78126290611503035</v>
      </c>
      <c r="J417" s="54">
        <f>(VLOOKUP($A417,'The List'!$B1:$AH665,22,FALSE)-AVERAGE('The List'!W2:W665))/STDEV('The List'!W2:W665)</f>
        <v>-0.72280802825462664</v>
      </c>
      <c r="K417" s="54">
        <f>(VLOOKUP($A417,'The List'!$B1:$AH665,23,FALSE)-AVERAGE('The List'!X2:X665))/STDEV('The List'!X2:X665)</f>
        <v>-0.81289950678933265</v>
      </c>
      <c r="L417" s="54">
        <f>(VLOOKUP($A417,'The List'!$B1:$AH665,24,FALSE)-AVERAGE('The List'!Y2:Y665))/STDEV('The List'!Y2:Y665)</f>
        <v>0.44798556389435734</v>
      </c>
      <c r="M417" s="54">
        <f>(VLOOKUP($A417,'The List'!$B1:$AH665,25,FALSE)-AVERAGE('The List'!Z2:Z665))/STDEV('The List'!Z2:Z665)</f>
        <v>0.56812440641991335</v>
      </c>
      <c r="N417" s="54">
        <f>(VLOOKUP($A417,'The List'!$B1:$AH665,26,FALSE)-AVERAGE('The List'!AA2:AA665))/STDEV('The List'!AA2:AA665)</f>
        <v>-6.1882704166710267E-2</v>
      </c>
      <c r="O417" s="54">
        <f>(VLOOKUP($A417,'The List'!$B1:$AH665,27,FALSE)-AVERAGE('The List'!AB2:AB665))/STDEV('The List'!AB2:AB665)</f>
        <v>1.2561051426987098</v>
      </c>
      <c r="P417" s="54">
        <f>(VLOOKUP($A417,'The List'!$B1:$AH665,28,FALSE)-AVERAGE('The List'!AC2:AC665))/STDEV('The List'!AC2:AC665)</f>
        <v>-0.43236905219952265</v>
      </c>
      <c r="Q417" s="54">
        <f>(VLOOKUP($A417,'The List'!$B1:$AH665,29,FALSE)-AVERAGE('The List'!AD2:AD665))/STDEV('The List'!AD2:AD665)</f>
        <v>0.39984827038656312</v>
      </c>
      <c r="R417" s="54">
        <f>(VLOOKUP($A417,'The List'!$B1:$AH665,30,FALSE)-AVERAGE('The List'!AE2:AE665))/STDEV('The List'!AE2:AE665)</f>
        <v>-0.37082541818923226</v>
      </c>
      <c r="S417" s="54">
        <f>(VLOOKUP($A417,'The List'!$B1:$AH665,31,FALSE)-AVERAGE('The List'!AF2:AF665))/STDEV('The List'!AF2:AF665)</f>
        <v>-0.54032402782585542</v>
      </c>
      <c r="T417" s="54">
        <f>(VLOOKUP($A417,'The List'!$B1:$AH665,32,FALSE)-AVERAGE('The List'!AG2:AG665))/STDEV('The List'!AG2:AG665)</f>
        <v>-0.51507928981490947</v>
      </c>
      <c r="U417" s="54">
        <f>(VLOOKUP($A417,'The List'!$B1:$AH665,33,FALSE)-AVERAGE('The List'!AH2:AH665))/STDEV('The List'!AH2:AH665)</f>
        <v>-0.12581045809925748</v>
      </c>
      <c r="V417" s="54"/>
      <c r="W417" s="64"/>
      <c r="X417" s="56"/>
      <c r="Y417" s="56"/>
      <c r="Z417" s="56"/>
      <c r="AA417" s="56"/>
      <c r="AB417" s="56"/>
      <c r="AC417" s="59"/>
      <c r="AD417" s="60"/>
      <c r="AE417" s="54"/>
    </row>
    <row r="418" spans="1:31" ht="21.25" customHeight="1" x14ac:dyDescent="0.15">
      <c r="A418" s="9" t="s">
        <v>663</v>
      </c>
      <c r="B418" s="65" t="str">
        <f>VLOOKUP(A418,'Player Data'!A1:B667,2,FALSE)</f>
        <v>STL</v>
      </c>
      <c r="C418" s="51">
        <f>((E418)*Settings!$C$12)+(F418*Settings!$C$2)+(G418*Settings!$C$3)+(H418*Settings!$C$4)+(I418*Settings!$C$5)+(K418*Settings!$C$9)+(N418*Settings!$C$6)+(J418*Settings!$C$8)+(O418*Settings!$C$7)+(P418*Settings!$C$14)+(Q418*Settings!$C$15)+(R418*Settings!$C$16)+(S418*Settings!$C$17)+(T418*Settings!$C$18)+(U418*Settings!$C$19)+(L418*Settings!$C$10)+(Settings!$C$11*M418)</f>
        <v>-4.53937977253476</v>
      </c>
      <c r="D418" s="56">
        <f>IF(Settings!$E$12="YES",VLOOKUP(A418,'Player Data'!A1:E667,5,FALSE),82)</f>
        <v>77.932500000000005</v>
      </c>
      <c r="E418" s="54">
        <f>(VLOOKUP($A418,'The List'!$B1:$AH665,17,FALSE)-AVERAGE('The List'!R2:R665))/STDEV('The List'!R2:R665)</f>
        <v>-1.1828859607340887</v>
      </c>
      <c r="F418" s="54">
        <f>(VLOOKUP($A418,'The List'!$B1:$AH665,18,FALSE)-AVERAGE('The List'!S2:S665))/STDEV('The List'!S2:S665)</f>
        <v>-0.54643722430363451</v>
      </c>
      <c r="G418" s="54">
        <f>(VLOOKUP($A418,'The List'!$B1:$AH665,19,FALSE)-AVERAGE('The List'!T2:T665))/STDEV('The List'!T2:T665)</f>
        <v>-0.62566010630079305</v>
      </c>
      <c r="H418" s="54">
        <f>(VLOOKUP($A418,'The List'!$B1:$AH665,20,FALSE)-AVERAGE('The List'!U2:U665))/STDEV('The List'!U2:U665)</f>
        <v>-0.63695179839282412</v>
      </c>
      <c r="I418" s="54">
        <f>(VLOOKUP($A418,'The List'!$B1:$AH665,21,FALSE)-AVERAGE('The List'!V2:V665))/STDEV('The List'!V2:V665)</f>
        <v>-0.5210899687394801</v>
      </c>
      <c r="J418" s="54">
        <f>(VLOOKUP($A418,'The List'!$B1:$AH665,22,FALSE)-AVERAGE('The List'!W2:W665))/STDEV('The List'!W2:W665)</f>
        <v>-0.60275894181357681</v>
      </c>
      <c r="K418" s="54">
        <f>(VLOOKUP($A418,'The List'!$B1:$AH665,23,FALSE)-AVERAGE('The List'!X2:X665))/STDEV('The List'!X2:X665)</f>
        <v>-0.67922919864706788</v>
      </c>
      <c r="L418" s="54">
        <f>(VLOOKUP($A418,'The List'!$B1:$AH665,24,FALSE)-AVERAGE('The List'!Y2:Y665))/STDEV('The List'!Y2:Y665)</f>
        <v>0.15752389186556173</v>
      </c>
      <c r="M418" s="54">
        <f>(VLOOKUP($A418,'The List'!$B1:$AH665,25,FALSE)-AVERAGE('The List'!Z2:Z665))/STDEV('The List'!Z2:Z665)</f>
        <v>-1.8817751347988019E-3</v>
      </c>
      <c r="N418" s="54">
        <f>(VLOOKUP($A418,'The List'!$B1:$AH665,26,FALSE)-AVERAGE('The List'!AA2:AA665))/STDEV('The List'!AA2:AA665)</f>
        <v>-0.91648984944532208</v>
      </c>
      <c r="O418" s="54">
        <f>(VLOOKUP($A418,'The List'!$B1:$AH665,27,FALSE)-AVERAGE('The List'!AB2:AB665))/STDEV('The List'!AB2:AB665)</f>
        <v>-0.27318823394305997</v>
      </c>
      <c r="P418" s="54">
        <f>(VLOOKUP($A418,'The List'!$B1:$AH665,28,FALSE)-AVERAGE('The List'!AC2:AC665))/STDEV('The List'!AC2:AC665)</f>
        <v>-1.2504734250984626</v>
      </c>
      <c r="Q418" s="54">
        <f>(VLOOKUP($A418,'The List'!$B1:$AH665,29,FALSE)-AVERAGE('The List'!AD2:AD665))/STDEV('The List'!AD2:AD665)</f>
        <v>-1.0231912706153681</v>
      </c>
      <c r="R418" s="54">
        <f>(VLOOKUP($A418,'The List'!$B1:$AH665,30,FALSE)-AVERAGE('The List'!AE2:AE665))/STDEV('The List'!AE2:AE665)</f>
        <v>-0.66680493501472582</v>
      </c>
      <c r="S418" s="54">
        <f>(VLOOKUP($A418,'The List'!$B1:$AH665,31,FALSE)-AVERAGE('The List'!AF2:AF665))/STDEV('The List'!AF2:AF665)</f>
        <v>-0.50589922194266368</v>
      </c>
      <c r="T418" s="54">
        <f>(VLOOKUP($A418,'The List'!$B1:$AH665,32,FALSE)-AVERAGE('The List'!AG2:AG665))/STDEV('The List'!AG2:AG665)</f>
        <v>-0.50463942525374972</v>
      </c>
      <c r="U418" s="54">
        <f>(VLOOKUP($A418,'The List'!$B1:$AH665,33,FALSE)-AVERAGE('The List'!AH2:AH665))/STDEV('The List'!AH2:AH665)</f>
        <v>0.46324681450015953</v>
      </c>
      <c r="V418" s="54"/>
      <c r="W418" s="64"/>
      <c r="X418" s="56"/>
      <c r="Y418" s="56"/>
      <c r="Z418" s="56"/>
      <c r="AA418" s="56"/>
      <c r="AB418" s="56"/>
      <c r="AC418" s="59"/>
      <c r="AD418" s="60"/>
      <c r="AE418" s="54"/>
    </row>
    <row r="419" spans="1:31" ht="21.25" customHeight="1" x14ac:dyDescent="0.15">
      <c r="A419" s="9" t="s">
        <v>560</v>
      </c>
      <c r="B419" s="65" t="str">
        <f>VLOOKUP(A419,'Player Data'!A1:B667,2,FALSE)</f>
        <v>CGY</v>
      </c>
      <c r="C419" s="51">
        <f>((E419)*Settings!$C$12)+(F419*Settings!$C$2)+(G419*Settings!$C$3)+(H419*Settings!$C$4)+(I419*Settings!$C$5)+(K419*Settings!$C$9)+(N419*Settings!$C$6)+(J419*Settings!$C$8)+(O419*Settings!$C$7)+(P419*Settings!$C$14)+(Q419*Settings!$C$15)+(R419*Settings!$C$16)+(S419*Settings!$C$17)+(T419*Settings!$C$18)+(U419*Settings!$C$19)+(L419*Settings!$C$10)+(Settings!$C$11*M419)</f>
        <v>-2.6666492810784965</v>
      </c>
      <c r="D419" s="56">
        <f>IF(Settings!$E$12="YES",VLOOKUP(A419,'Player Data'!A1:E667,5,FALSE),82)</f>
        <v>57.96</v>
      </c>
      <c r="E419" s="54">
        <f>(VLOOKUP($A419,'The List'!$B1:$AH665,17,FALSE)-AVERAGE('The List'!R2:R665))/STDEV('The List'!R2:R665)</f>
        <v>0.41893748369680761</v>
      </c>
      <c r="F419" s="54">
        <f>(VLOOKUP($A419,'The List'!$B1:$AH665,18,FALSE)-AVERAGE('The List'!S2:S665))/STDEV('The List'!S2:S665)</f>
        <v>-0.8364093994330376</v>
      </c>
      <c r="G419" s="54">
        <f>(VLOOKUP($A419,'The List'!$B1:$AH665,19,FALSE)-AVERAGE('The List'!T2:T665))/STDEV('The List'!T2:T665)</f>
        <v>-0.83236801679201089</v>
      </c>
      <c r="H419" s="54">
        <f>(VLOOKUP($A419,'The List'!$B1:$AH665,20,FALSE)-AVERAGE('The List'!U2:U665))/STDEV('The List'!U2:U665)</f>
        <v>-0.89713517068403315</v>
      </c>
      <c r="I419" s="54">
        <f>(VLOOKUP($A419,'The List'!$B1:$AH665,21,FALSE)-AVERAGE('The List'!V2:V665))/STDEV('The List'!V2:V665)</f>
        <v>-0.6643217292230188</v>
      </c>
      <c r="J419" s="54">
        <f>(VLOOKUP($A419,'The List'!$B1:$AH665,22,FALSE)-AVERAGE('The List'!W2:W665))/STDEV('The List'!W2:W665)</f>
        <v>-0.64105110684891975</v>
      </c>
      <c r="K419" s="54">
        <f>(VLOOKUP($A419,'The List'!$B1:$AH665,23,FALSE)-AVERAGE('The List'!X2:X665))/STDEV('The List'!X2:X665)</f>
        <v>-0.58710227175820595</v>
      </c>
      <c r="L419" s="54">
        <f>(VLOOKUP($A419,'The List'!$B1:$AH665,24,FALSE)-AVERAGE('The List'!Y2:Y665))/STDEV('The List'!Y2:Y665)</f>
        <v>-0.56076390354471817</v>
      </c>
      <c r="M419" s="54">
        <f>(VLOOKUP($A419,'The List'!$B1:$AH665,25,FALSE)-AVERAGE('The List'!Z2:Z665))/STDEV('The List'!Z2:Z665)</f>
        <v>-0.69599024133033704</v>
      </c>
      <c r="N419" s="54">
        <f>(VLOOKUP($A419,'The List'!$B1:$AH665,26,FALSE)-AVERAGE('The List'!AA2:AA665))/STDEV('The List'!AA2:AA665)</f>
        <v>0.2904160695195252</v>
      </c>
      <c r="O419" s="54">
        <f>(VLOOKUP($A419,'The List'!$B1:$AH665,27,FALSE)-AVERAGE('The List'!AB2:AB665))/STDEV('The List'!AB2:AB665)</f>
        <v>-1.010256881158599</v>
      </c>
      <c r="P419" s="54">
        <f>(VLOOKUP($A419,'The List'!$B1:$AH665,28,FALSE)-AVERAGE('The List'!AC2:AC665))/STDEV('The List'!AC2:AC665)</f>
        <v>-3.6863933391748087E-2</v>
      </c>
      <c r="Q419" s="54">
        <f>(VLOOKUP($A419,'The List'!$B1:$AH665,29,FALSE)-AVERAGE('The List'!AD2:AD665))/STDEV('The List'!AD2:AD665)</f>
        <v>-0.84573368400392712</v>
      </c>
      <c r="R419" s="54">
        <f>(VLOOKUP($A419,'The List'!$B1:$AH665,30,FALSE)-AVERAGE('The List'!AE2:AE665))/STDEV('The List'!AE2:AE665)</f>
        <v>-0.81148256974585142</v>
      </c>
      <c r="S419" s="54">
        <f>(VLOOKUP($A419,'The List'!$B1:$AH665,31,FALSE)-AVERAGE('The List'!AF2:AF665))/STDEV('The List'!AF2:AF665)</f>
        <v>-0.57389441068000469</v>
      </c>
      <c r="T419" s="54">
        <f>(VLOOKUP($A419,'The List'!$B1:$AH665,32,FALSE)-AVERAGE('The List'!AG2:AG665))/STDEV('The List'!AG2:AG665)</f>
        <v>-0.62577078713265111</v>
      </c>
      <c r="U419" s="54">
        <f>(VLOOKUP($A419,'The List'!$B1:$AH665,33,FALSE)-AVERAGE('The List'!AH2:AH665))/STDEV('The List'!AH2:AH665)</f>
        <v>-1.2314350945148611</v>
      </c>
      <c r="V419" s="54"/>
      <c r="W419" s="64"/>
      <c r="X419" s="56"/>
      <c r="Y419" s="56"/>
      <c r="Z419" s="56"/>
      <c r="AA419" s="56"/>
      <c r="AB419" s="56"/>
      <c r="AC419" s="59"/>
      <c r="AD419" s="60"/>
      <c r="AE419" s="54"/>
    </row>
    <row r="420" spans="1:31" ht="21.25" customHeight="1" x14ac:dyDescent="0.15">
      <c r="A420" s="9" t="s">
        <v>386</v>
      </c>
      <c r="B420" s="65" t="str">
        <f>VLOOKUP(A420,'Player Data'!A1:B667,2,FALSE)</f>
        <v>CAR</v>
      </c>
      <c r="C420" s="51">
        <f>((E420)*Settings!$C$12)+(F420*Settings!$C$2)+(G420*Settings!$C$3)+(H420*Settings!$C$4)+(I420*Settings!$C$5)+(K420*Settings!$C$9)+(N420*Settings!$C$6)+(J420*Settings!$C$8)+(O420*Settings!$C$7)+(P420*Settings!$C$14)+(Q420*Settings!$C$15)+(R420*Settings!$C$16)+(S420*Settings!$C$17)+(T420*Settings!$C$18)+(U420*Settings!$C$19)+(L420*Settings!$C$10)+(Settings!$C$11*M420)</f>
        <v>-0.50769146001088306</v>
      </c>
      <c r="D420" s="56">
        <f>IF(Settings!$E$12="YES",VLOOKUP(A420,'Player Data'!A1:E667,5,FALSE),82)</f>
        <v>75.502499999999998</v>
      </c>
      <c r="E420" s="54">
        <f>(VLOOKUP($A420,'The List'!$B1:$AH665,17,FALSE)-AVERAGE('The List'!R2:R665))/STDEV('The List'!R2:R665)</f>
        <v>0.56514393307816968</v>
      </c>
      <c r="F420" s="54">
        <f>(VLOOKUP($A420,'The List'!$B1:$AH665,18,FALSE)-AVERAGE('The List'!S2:S665))/STDEV('The List'!S2:S665)</f>
        <v>-0.68648019674445182</v>
      </c>
      <c r="G420" s="54">
        <f>(VLOOKUP($A420,'The List'!$B1:$AH665,19,FALSE)-AVERAGE('The List'!T2:T665))/STDEV('The List'!T2:T665)</f>
        <v>-0.50610495197463279</v>
      </c>
      <c r="H420" s="54">
        <f>(VLOOKUP($A420,'The List'!$B1:$AH665,20,FALSE)-AVERAGE('The List'!U2:U665))/STDEV('The List'!U2:U665)</f>
        <v>-0.62635751294659958</v>
      </c>
      <c r="I420" s="54">
        <f>(VLOOKUP($A420,'The List'!$B1:$AH665,21,FALSE)-AVERAGE('The List'!V2:V665))/STDEV('The List'!V2:V665)</f>
        <v>-4.7828816919795222E-2</v>
      </c>
      <c r="J420" s="54">
        <f>(VLOOKUP($A420,'The List'!$B1:$AH665,22,FALSE)-AVERAGE('The List'!W2:W665))/STDEV('The List'!W2:W665)</f>
        <v>-0.72020520301069835</v>
      </c>
      <c r="K420" s="54">
        <f>(VLOOKUP($A420,'The List'!$B1:$AH665,23,FALSE)-AVERAGE('The List'!X2:X665))/STDEV('The List'!X2:X665)</f>
        <v>-0.70220979849157161</v>
      </c>
      <c r="L420" s="54">
        <f>(VLOOKUP($A420,'The List'!$B1:$AH665,24,FALSE)-AVERAGE('The List'!Y2:Y665))/STDEV('The List'!Y2:Y665)</f>
        <v>1.2927944944533458</v>
      </c>
      <c r="M420" s="54">
        <f>(VLOOKUP($A420,'The List'!$B1:$AH665,25,FALSE)-AVERAGE('The List'!Z2:Z665))/STDEV('The List'!Z2:Z665)</f>
        <v>1.0845306343834686</v>
      </c>
      <c r="N420" s="54">
        <f>(VLOOKUP($A420,'The List'!$B1:$AH665,26,FALSE)-AVERAGE('The List'!AA2:AA665))/STDEV('The List'!AA2:AA665)</f>
        <v>1.3272730445722958</v>
      </c>
      <c r="O420" s="54">
        <f>(VLOOKUP($A420,'The List'!$B1:$AH665,27,FALSE)-AVERAGE('The List'!AB2:AB665))/STDEV('The List'!AB2:AB665)</f>
        <v>0.39379011276932563</v>
      </c>
      <c r="P420" s="54">
        <f>(VLOOKUP($A420,'The List'!$B1:$AH665,28,FALSE)-AVERAGE('The List'!AC2:AC665))/STDEV('The List'!AC2:AC665)</f>
        <v>0.10765925954727255</v>
      </c>
      <c r="Q420" s="54">
        <f>(VLOOKUP($A420,'The List'!$B1:$AH665,29,FALSE)-AVERAGE('The List'!AD2:AD665))/STDEV('The List'!AD2:AD665)</f>
        <v>0.81444276689333106</v>
      </c>
      <c r="R420" s="54">
        <f>(VLOOKUP($A420,'The List'!$B1:$AH665,30,FALSE)-AVERAGE('The List'!AE2:AE665))/STDEV('The List'!AE2:AE665)</f>
        <v>-0.55538854271741522</v>
      </c>
      <c r="S420" s="54">
        <f>(VLOOKUP($A420,'The List'!$B1:$AH665,31,FALSE)-AVERAGE('The List'!AF2:AF665))/STDEV('The List'!AF2:AF665)</f>
        <v>-0.57389441068000469</v>
      </c>
      <c r="T420" s="54">
        <f>(VLOOKUP($A420,'The List'!$B1:$AH665,32,FALSE)-AVERAGE('The List'!AG2:AG665))/STDEV('The List'!AG2:AG665)</f>
        <v>-0.62577078713265111</v>
      </c>
      <c r="U420" s="54">
        <f>(VLOOKUP($A420,'The List'!$B1:$AH665,33,FALSE)-AVERAGE('The List'!AH2:AH665))/STDEV('The List'!AH2:AH665)</f>
        <v>-1.2314350945148611</v>
      </c>
      <c r="V420" s="54"/>
      <c r="W420" s="64"/>
      <c r="X420" s="56"/>
      <c r="Y420" s="56"/>
      <c r="Z420" s="56"/>
      <c r="AA420" s="56"/>
      <c r="AB420" s="56"/>
      <c r="AC420" s="59"/>
      <c r="AD420" s="60"/>
      <c r="AE420" s="54"/>
    </row>
    <row r="421" spans="1:31" ht="21.25" customHeight="1" x14ac:dyDescent="0.15">
      <c r="A421" s="9" t="s">
        <v>737</v>
      </c>
      <c r="B421" s="65" t="str">
        <f>VLOOKUP(A421,'Player Data'!A1:B667,2,FALSE)</f>
        <v>VGK</v>
      </c>
      <c r="C421" s="51">
        <f>((E421)*Settings!$C$12)+(F421*Settings!$C$2)+(G421*Settings!$C$3)+(H421*Settings!$C$4)+(I421*Settings!$C$5)+(K421*Settings!$C$9)+(N421*Settings!$C$6)+(J421*Settings!$C$8)+(O421*Settings!$C$7)+(P421*Settings!$C$14)+(Q421*Settings!$C$15)+(R421*Settings!$C$16)+(S421*Settings!$C$17)+(T421*Settings!$C$18)+(U421*Settings!$C$19)+(L421*Settings!$C$10)+(Settings!$C$11*M421)</f>
        <v>-3.5297124682082859</v>
      </c>
      <c r="D421" s="56">
        <f>IF(Settings!$E$12="YES",VLOOKUP(A421,'Player Data'!A1:E667,5,FALSE),82)</f>
        <v>72.905000000000001</v>
      </c>
      <c r="E421" s="54">
        <f>(VLOOKUP($A421,'The List'!$B1:$AH665,17,FALSE)-AVERAGE('The List'!R2:R665))/STDEV('The List'!R2:R665)</f>
        <v>-1.2163904814018089</v>
      </c>
      <c r="F421" s="54">
        <f>(VLOOKUP($A421,'The List'!$B1:$AH665,18,FALSE)-AVERAGE('The List'!S2:S665))/STDEV('The List'!S2:S665)</f>
        <v>-0.45664348859890114</v>
      </c>
      <c r="G421" s="54">
        <f>(VLOOKUP($A421,'The List'!$B1:$AH665,19,FALSE)-AVERAGE('The List'!T2:T665))/STDEV('The List'!T2:T665)</f>
        <v>-0.81725536940881305</v>
      </c>
      <c r="H421" s="54">
        <f>(VLOOKUP($A421,'The List'!$B1:$AH665,20,FALSE)-AVERAGE('The List'!U2:U665))/STDEV('The List'!U2:U665)</f>
        <v>-0.71512770870653575</v>
      </c>
      <c r="I421" s="54">
        <f>(VLOOKUP($A421,'The List'!$B1:$AH665,21,FALSE)-AVERAGE('The List'!V2:V665))/STDEV('The List'!V2:V665)</f>
        <v>-0.97621913597767762</v>
      </c>
      <c r="J421" s="54">
        <f>(VLOOKUP($A421,'The List'!$B1:$AH665,22,FALSE)-AVERAGE('The List'!W2:W665))/STDEV('The List'!W2:W665)</f>
        <v>-0.72252152487688504</v>
      </c>
      <c r="K421" s="54">
        <f>(VLOOKUP($A421,'The List'!$B1:$AH665,23,FALSE)-AVERAGE('The List'!X2:X665))/STDEV('The List'!X2:X665)</f>
        <v>-0.81129007120250896</v>
      </c>
      <c r="L421" s="54">
        <f>(VLOOKUP($A421,'The List'!$B1:$AH665,24,FALSE)-AVERAGE('The List'!Y2:Y665))/STDEV('The List'!Y2:Y665)</f>
        <v>0.69176589254403176</v>
      </c>
      <c r="M421" s="54">
        <f>(VLOOKUP($A421,'The List'!$B1:$AH665,25,FALSE)-AVERAGE('The List'!Z2:Z665))/STDEV('The List'!Z2:Z665)</f>
        <v>0.56482604108814727</v>
      </c>
      <c r="N421" s="54">
        <f>(VLOOKUP($A421,'The List'!$B1:$AH665,26,FALSE)-AVERAGE('The List'!AA2:AA665))/STDEV('The List'!AA2:AA665)</f>
        <v>-0.45735386483165791</v>
      </c>
      <c r="O421" s="54">
        <f>(VLOOKUP($A421,'The List'!$B1:$AH665,27,FALSE)-AVERAGE('The List'!AB2:AB665))/STDEV('The List'!AB2:AB665)</f>
        <v>2.1875228937492358E-2</v>
      </c>
      <c r="P421" s="54">
        <f>(VLOOKUP($A421,'The List'!$B1:$AH665,28,FALSE)-AVERAGE('The List'!AC2:AC665))/STDEV('The List'!AC2:AC665)</f>
        <v>-1.0950538188727387E-2</v>
      </c>
      <c r="Q421" s="54">
        <f>(VLOOKUP($A421,'The List'!$B1:$AH665,29,FALSE)-AVERAGE('The List'!AD2:AD665))/STDEV('The List'!AD2:AD665)</f>
        <v>0.24875336224380581</v>
      </c>
      <c r="R421" s="54">
        <f>(VLOOKUP($A421,'The List'!$B1:$AH665,30,FALSE)-AVERAGE('The List'!AE2:AE665))/STDEV('The List'!AE2:AE665)</f>
        <v>-0.41897139033005487</v>
      </c>
      <c r="S421" s="54">
        <f>(VLOOKUP($A421,'The List'!$B1:$AH665,31,FALSE)-AVERAGE('The List'!AF2:AF665))/STDEV('The List'!AF2:AF665)</f>
        <v>0.24596792019934194</v>
      </c>
      <c r="T421" s="54">
        <f>(VLOOKUP($A421,'The List'!$B1:$AH665,32,FALSE)-AVERAGE('The List'!AG2:AG665))/STDEV('The List'!AG2:AG665)</f>
        <v>0.33299609908082167</v>
      </c>
      <c r="U421" s="54">
        <f>(VLOOKUP($A421,'The List'!$B1:$AH665,33,FALSE)-AVERAGE('The List'!AH2:AH665))/STDEV('The List'!AH2:AH665)</f>
        <v>0.92772964841596639</v>
      </c>
      <c r="V421" s="54"/>
      <c r="W421" s="64"/>
      <c r="X421" s="56"/>
      <c r="Y421" s="56"/>
      <c r="Z421" s="56"/>
      <c r="AA421" s="56"/>
      <c r="AB421" s="56"/>
      <c r="AC421" s="59"/>
      <c r="AD421" s="60"/>
      <c r="AE421" s="54"/>
    </row>
    <row r="422" spans="1:31" ht="21.25" customHeight="1" x14ac:dyDescent="0.15">
      <c r="A422" s="9" t="s">
        <v>745</v>
      </c>
      <c r="B422" s="65" t="str">
        <f>VLOOKUP(A422,'Player Data'!A1:B667,2,FALSE)</f>
        <v>MTL</v>
      </c>
      <c r="C422" s="51">
        <f>((E422)*Settings!$C$12)+(F422*Settings!$C$2)+(G422*Settings!$C$3)+(H422*Settings!$C$4)+(I422*Settings!$C$5)+(K422*Settings!$C$9)+(N422*Settings!$C$6)+(J422*Settings!$C$8)+(O422*Settings!$C$7)+(P422*Settings!$C$14)+(Q422*Settings!$C$15)+(R422*Settings!$C$16)+(S422*Settings!$C$17)+(T422*Settings!$C$18)+(U422*Settings!$C$19)+(L422*Settings!$C$10)+(Settings!$C$11*M422)</f>
        <v>-4.5532012324505153</v>
      </c>
      <c r="D422" s="56">
        <f>IF(Settings!$E$12="YES",VLOOKUP(A422,'Player Data'!A1:E667,5,FALSE),82)</f>
        <v>62.962499999999999</v>
      </c>
      <c r="E422" s="54">
        <f>(VLOOKUP($A422,'The List'!$B1:$AH665,17,FALSE)-AVERAGE('The List'!R2:R665))/STDEV('The List'!R2:R665)</f>
        <v>-1.2500804035001187</v>
      </c>
      <c r="F422" s="54">
        <f>(VLOOKUP($A422,'The List'!$B1:$AH665,18,FALSE)-AVERAGE('The List'!S2:S665))/STDEV('The List'!S2:S665)</f>
        <v>-0.53833591796193547</v>
      </c>
      <c r="G422" s="54">
        <f>(VLOOKUP($A422,'The List'!$B1:$AH665,19,FALSE)-AVERAGE('The List'!T2:T665))/STDEV('The List'!T2:T665)</f>
        <v>-0.96371169236764243</v>
      </c>
      <c r="H422" s="54">
        <f>(VLOOKUP($A422,'The List'!$B1:$AH665,20,FALSE)-AVERAGE('The List'!U2:U665))/STDEV('The List'!U2:U665)</f>
        <v>-0.84321841252516516</v>
      </c>
      <c r="I422" s="54">
        <f>(VLOOKUP($A422,'The List'!$B1:$AH665,21,FALSE)-AVERAGE('The List'!V2:V665))/STDEV('The List'!V2:V665)</f>
        <v>-1.3553845333102896</v>
      </c>
      <c r="J422" s="54">
        <f>(VLOOKUP($A422,'The List'!$B1:$AH665,22,FALSE)-AVERAGE('The List'!W2:W665))/STDEV('The List'!W2:W665)</f>
        <v>-0.62910822364923202</v>
      </c>
      <c r="K422" s="54">
        <f>(VLOOKUP($A422,'The List'!$B1:$AH665,23,FALSE)-AVERAGE('The List'!X2:X665))/STDEV('The List'!X2:X665)</f>
        <v>-0.76052931333081109</v>
      </c>
      <c r="L422" s="54">
        <f>(VLOOKUP($A422,'The List'!$B1:$AH665,24,FALSE)-AVERAGE('The List'!Y2:Y665))/STDEV('The List'!Y2:Y665)</f>
        <v>0.4717939576403869</v>
      </c>
      <c r="M422" s="54">
        <f>(VLOOKUP($A422,'The List'!$B1:$AH665,25,FALSE)-AVERAGE('The List'!Z2:Z665))/STDEV('The List'!Z2:Z665)</f>
        <v>0.82407144686297695</v>
      </c>
      <c r="N422" s="54">
        <f>(VLOOKUP($A422,'The List'!$B1:$AH665,26,FALSE)-AVERAGE('The List'!AA2:AA665))/STDEV('The List'!AA2:AA665)</f>
        <v>-0.12186987177307031</v>
      </c>
      <c r="O422" s="54">
        <f>(VLOOKUP($A422,'The List'!$B1:$AH665,27,FALSE)-AVERAGE('The List'!AB2:AB665))/STDEV('The List'!AB2:AB665)</f>
        <v>-0.30519614883247537</v>
      </c>
      <c r="P422" s="54">
        <f>(VLOOKUP($A422,'The List'!$B1:$AH665,28,FALSE)-AVERAGE('The List'!AC2:AC665))/STDEV('The List'!AC2:AC665)</f>
        <v>-0.81336990370676643</v>
      </c>
      <c r="Q422" s="54">
        <f>(VLOOKUP($A422,'The List'!$B1:$AH665,29,FALSE)-AVERAGE('The List'!AD2:AD665))/STDEV('The List'!AD2:AD665)</f>
        <v>-1.343681556620328</v>
      </c>
      <c r="R422" s="54">
        <f>(VLOOKUP($A422,'The List'!$B1:$AH665,30,FALSE)-AVERAGE('The List'!AE2:AE665))/STDEV('The List'!AE2:AE665)</f>
        <v>-0.68347357901832639</v>
      </c>
      <c r="S422" s="54">
        <f>(VLOOKUP($A422,'The List'!$B1:$AH665,31,FALSE)-AVERAGE('The List'!AF2:AF665))/STDEV('The List'!AF2:AF665)</f>
        <v>-0.53715182037849629</v>
      </c>
      <c r="T422" s="54">
        <f>(VLOOKUP($A422,'The List'!$B1:$AH665,32,FALSE)-AVERAGE('The List'!AG2:AG665))/STDEV('The List'!AG2:AG665)</f>
        <v>-0.4296149337774201</v>
      </c>
      <c r="U422" s="54">
        <f>(VLOOKUP($A422,'The List'!$B1:$AH665,33,FALSE)-AVERAGE('The List'!AH2:AH665))/STDEV('The List'!AH2:AH665)</f>
        <v>-0.47833585546776775</v>
      </c>
      <c r="V422" s="54"/>
      <c r="W422" s="56"/>
      <c r="X422" s="54"/>
      <c r="Y422" s="54"/>
      <c r="Z422" s="54"/>
      <c r="AA422" s="54"/>
      <c r="AB422" s="54"/>
      <c r="AC422" s="54"/>
      <c r="AD422" s="54"/>
      <c r="AE422" s="54"/>
    </row>
    <row r="423" spans="1:31" ht="21.25" customHeight="1" x14ac:dyDescent="0.15">
      <c r="A423" s="9" t="s">
        <v>612</v>
      </c>
      <c r="B423" s="65" t="str">
        <f>VLOOKUP(A423,'Player Data'!A1:B667,2,FALSE)</f>
        <v>L.A</v>
      </c>
      <c r="C423" s="51">
        <f>((E423)*Settings!$C$12)+(F423*Settings!$C$2)+(G423*Settings!$C$3)+(H423*Settings!$C$4)+(I423*Settings!$C$5)+(K423*Settings!$C$9)+(N423*Settings!$C$6)+(J423*Settings!$C$8)+(O423*Settings!$C$7)+(P423*Settings!$C$14)+(Q423*Settings!$C$15)+(R423*Settings!$C$16)+(S423*Settings!$C$17)+(T423*Settings!$C$18)+(U423*Settings!$C$19)+(L423*Settings!$C$10)+(Settings!$C$11*M423)</f>
        <v>-2.8005657732798728</v>
      </c>
      <c r="D423" s="56">
        <f>IF(Settings!$E$12="YES",VLOOKUP(A423,'Player Data'!A1:E667,5,FALSE),82)</f>
        <v>80.614999999999995</v>
      </c>
      <c r="E423" s="54">
        <f>(VLOOKUP($A423,'The List'!$B1:$AH665,17,FALSE)-AVERAGE('The List'!R2:R665))/STDEV('The List'!R2:R665)</f>
        <v>-1.2319152566459892</v>
      </c>
      <c r="F423" s="54">
        <f>(VLOOKUP($A423,'The List'!$B1:$AH665,18,FALSE)-AVERAGE('The List'!S2:S665))/STDEV('The List'!S2:S665)</f>
        <v>-0.16283865293627642</v>
      </c>
      <c r="G423" s="54">
        <f>(VLOOKUP($A423,'The List'!$B1:$AH665,19,FALSE)-AVERAGE('The List'!T2:T665))/STDEV('The List'!T2:T665)</f>
        <v>-0.88379031099501348</v>
      </c>
      <c r="H423" s="54">
        <f>(VLOOKUP($A423,'The List'!$B1:$AH665,20,FALSE)-AVERAGE('The List'!U2:U665))/STDEV('The List'!U2:U665)</f>
        <v>-0.62290138509232129</v>
      </c>
      <c r="I423" s="54">
        <f>(VLOOKUP($A423,'The List'!$B1:$AH665,21,FALSE)-AVERAGE('The List'!V2:V665))/STDEV('The List'!V2:V665)</f>
        <v>-5.005304573039953E-2</v>
      </c>
      <c r="J423" s="54">
        <f>(VLOOKUP($A423,'The List'!$B1:$AH665,22,FALSE)-AVERAGE('The List'!W2:W665))/STDEV('The List'!W2:W665)</f>
        <v>-0.68331537285919841</v>
      </c>
      <c r="K423" s="54">
        <f>(VLOOKUP($A423,'The List'!$B1:$AH665,23,FALSE)-AVERAGE('The List'!X2:X665))/STDEV('The List'!X2:X665)</f>
        <v>-0.71626012484943291</v>
      </c>
      <c r="L423" s="54">
        <f>(VLOOKUP($A423,'The List'!$B1:$AH665,24,FALSE)-AVERAGE('The List'!Y2:Y665))/STDEV('The List'!Y2:Y665)</f>
        <v>0.1172372245625723</v>
      </c>
      <c r="M423" s="54">
        <f>(VLOOKUP($A423,'The List'!$B1:$AH665,25,FALSE)-AVERAGE('The List'!Z2:Z665))/STDEV('The List'!Z2:Z665)</f>
        <v>-3.3204370982292494E-2</v>
      </c>
      <c r="N423" s="54">
        <f>(VLOOKUP($A423,'The List'!$B1:$AH665,26,FALSE)-AVERAGE('The List'!AA2:AA665))/STDEV('The List'!AA2:AA665)</f>
        <v>-0.85975263465429197</v>
      </c>
      <c r="O423" s="54">
        <f>(VLOOKUP($A423,'The List'!$B1:$AH665,27,FALSE)-AVERAGE('The List'!AB2:AB665))/STDEV('The List'!AB2:AB665)</f>
        <v>0.18399617599383886</v>
      </c>
      <c r="P423" s="54">
        <f>(VLOOKUP($A423,'The List'!$B1:$AH665,28,FALSE)-AVERAGE('The List'!AC2:AC665))/STDEV('The List'!AC2:AC665)</f>
        <v>-0.12787100411445862</v>
      </c>
      <c r="Q423" s="54">
        <f>(VLOOKUP($A423,'The List'!$B1:$AH665,29,FALSE)-AVERAGE('The List'!AD2:AD665))/STDEV('The List'!AD2:AD665)</f>
        <v>0.50746117291104109</v>
      </c>
      <c r="R423" s="54">
        <f>(VLOOKUP($A423,'The List'!$B1:$AH665,30,FALSE)-AVERAGE('The List'!AE2:AE665))/STDEV('The List'!AE2:AE665)</f>
        <v>6.4052698909413563E-2</v>
      </c>
      <c r="S423" s="54">
        <f>(VLOOKUP($A423,'The List'!$B1:$AH665,31,FALSE)-AVERAGE('The List'!AF2:AF665))/STDEV('The List'!AF2:AF665)</f>
        <v>-0.54243134417547267</v>
      </c>
      <c r="T423" s="54">
        <f>(VLOOKUP($A423,'The List'!$B1:$AH665,32,FALSE)-AVERAGE('The List'!AG2:AG665))/STDEV('The List'!AG2:AG665)</f>
        <v>-0.59708605195728937</v>
      </c>
      <c r="U423" s="54">
        <f>(VLOOKUP($A423,'The List'!$B1:$AH665,33,FALSE)-AVERAGE('The List'!AH2:AH665))/STDEV('The List'!AH2:AH665)</f>
        <v>1.2094425848340951</v>
      </c>
      <c r="V423" s="54"/>
      <c r="W423" s="64"/>
      <c r="X423" s="56"/>
      <c r="Y423" s="56"/>
      <c r="Z423" s="56"/>
      <c r="AA423" s="56"/>
      <c r="AB423" s="56"/>
      <c r="AC423" s="59"/>
      <c r="AD423" s="60"/>
      <c r="AE423" s="54"/>
    </row>
    <row r="424" spans="1:31" ht="21.25" customHeight="1" x14ac:dyDescent="0.15">
      <c r="A424" s="9" t="s">
        <v>454</v>
      </c>
      <c r="B424" s="65" t="str">
        <f>VLOOKUP(A424,'Player Data'!A1:B667,2,FALSE)</f>
        <v>COL</v>
      </c>
      <c r="C424" s="51">
        <f>((E424)*Settings!$C$12)+(F424*Settings!$C$2)+(G424*Settings!$C$3)+(H424*Settings!$C$4)+(I424*Settings!$C$5)+(K424*Settings!$C$9)+(N424*Settings!$C$6)+(J424*Settings!$C$8)+(O424*Settings!$C$7)+(P424*Settings!$C$14)+(Q424*Settings!$C$15)+(R424*Settings!$C$16)+(S424*Settings!$C$17)+(T424*Settings!$C$18)+(U424*Settings!$C$19)+(L424*Settings!$C$10)+(Settings!$C$11*M424)</f>
        <v>-0.96712623767144346</v>
      </c>
      <c r="D424" s="56">
        <f>IF(Settings!$E$12="YES",VLOOKUP(A424,'Player Data'!A1:E667,5,FALSE),82)</f>
        <v>71.902500000000003</v>
      </c>
      <c r="E424" s="54">
        <f>(VLOOKUP($A424,'The List'!$B1:$AH665,17,FALSE)-AVERAGE('The List'!R2:R665))/STDEV('The List'!R2:R665)</f>
        <v>0.47639398097848112</v>
      </c>
      <c r="F424" s="54">
        <f>(VLOOKUP($A424,'The List'!$B1:$AH665,18,FALSE)-AVERAGE('The List'!S2:S665))/STDEV('The List'!S2:S665)</f>
        <v>-0.76928817406719097</v>
      </c>
      <c r="G424" s="54">
        <f>(VLOOKUP($A424,'The List'!$B1:$AH665,19,FALSE)-AVERAGE('The List'!T2:T665))/STDEV('The List'!T2:T665)</f>
        <v>-0.62163556511452356</v>
      </c>
      <c r="H424" s="54">
        <f>(VLOOKUP($A424,'The List'!$B1:$AH665,20,FALSE)-AVERAGE('The List'!U2:U665))/STDEV('The List'!U2:U665)</f>
        <v>-0.7357486816472667</v>
      </c>
      <c r="I424" s="54">
        <f>(VLOOKUP($A424,'The List'!$B1:$AH665,21,FALSE)-AVERAGE('The List'!V2:V665))/STDEV('The List'!V2:V665)</f>
        <v>-0.38017376826445004</v>
      </c>
      <c r="J424" s="54">
        <f>(VLOOKUP($A424,'The List'!$B1:$AH665,22,FALSE)-AVERAGE('The List'!W2:W665))/STDEV('The List'!W2:W665)</f>
        <v>-0.74174490727860154</v>
      </c>
      <c r="K424" s="54">
        <f>(VLOOKUP($A424,'The List'!$B1:$AH665,23,FALSE)-AVERAGE('The List'!X2:X665))/STDEV('The List'!X2:X665)</f>
        <v>-0.81885337197421859</v>
      </c>
      <c r="L424" s="54">
        <f>(VLOOKUP($A424,'The List'!$B1:$AH665,24,FALSE)-AVERAGE('The List'!Y2:Y665))/STDEV('The List'!Y2:Y665)</f>
        <v>-0.52382475213465729</v>
      </c>
      <c r="M424" s="54">
        <f>(VLOOKUP($A424,'The List'!$B1:$AH665,25,FALSE)-AVERAGE('The List'!Z2:Z665))/STDEV('The List'!Z2:Z665)</f>
        <v>-0.12881570518671914</v>
      </c>
      <c r="N424" s="54">
        <f>(VLOOKUP($A424,'The List'!$B1:$AH665,26,FALSE)-AVERAGE('The List'!AA2:AA665))/STDEV('The List'!AA2:AA665)</f>
        <v>0.99370725734798226</v>
      </c>
      <c r="O424" s="54">
        <f>(VLOOKUP($A424,'The List'!$B1:$AH665,27,FALSE)-AVERAGE('The List'!AB2:AB665))/STDEV('The List'!AB2:AB665)</f>
        <v>1.8849008262744915</v>
      </c>
      <c r="P424" s="54">
        <f>(VLOOKUP($A424,'The List'!$B1:$AH665,28,FALSE)-AVERAGE('The List'!AC2:AC665))/STDEV('The List'!AC2:AC665)</f>
        <v>0.6291173844009571</v>
      </c>
      <c r="Q424" s="54">
        <f>(VLOOKUP($A424,'The List'!$B1:$AH665,29,FALSE)-AVERAGE('The List'!AD2:AD665))/STDEV('The List'!AD2:AD665)</f>
        <v>2.5367851844294314</v>
      </c>
      <c r="R424" s="54">
        <f>(VLOOKUP($A424,'The List'!$B1:$AH665,30,FALSE)-AVERAGE('The List'!AE2:AE665))/STDEV('The List'!AE2:AE665)</f>
        <v>-0.73394620776059971</v>
      </c>
      <c r="S424" s="54">
        <f>(VLOOKUP($A424,'The List'!$B1:$AH665,31,FALSE)-AVERAGE('The List'!AF2:AF665))/STDEV('The List'!AF2:AF665)</f>
        <v>-0.57389441068000469</v>
      </c>
      <c r="T424" s="54">
        <f>(VLOOKUP($A424,'The List'!$B1:$AH665,32,FALSE)-AVERAGE('The List'!AG2:AG665))/STDEV('The List'!AG2:AG665)</f>
        <v>-0.62176272976965097</v>
      </c>
      <c r="U424" s="54">
        <f>(VLOOKUP($A424,'The List'!$B1:$AH665,33,FALSE)-AVERAGE('The List'!AH2:AH665))/STDEV('The List'!AH2:AH665)</f>
        <v>-1.2314350945148611</v>
      </c>
      <c r="V424" s="54"/>
      <c r="W424" s="56"/>
      <c r="X424" s="54"/>
      <c r="Y424" s="54"/>
      <c r="Z424" s="54"/>
      <c r="AA424" s="54"/>
      <c r="AB424" s="54"/>
      <c r="AC424" s="54"/>
      <c r="AD424" s="54"/>
      <c r="AE424" s="54"/>
    </row>
    <row r="425" spans="1:31" ht="21.25" customHeight="1" x14ac:dyDescent="0.15">
      <c r="A425" s="9" t="s">
        <v>690</v>
      </c>
      <c r="B425" s="65" t="str">
        <f>VLOOKUP(A425,'Player Data'!A1:B667,2,FALSE)</f>
        <v>NYI</v>
      </c>
      <c r="C425" s="51">
        <f>((E425)*Settings!$C$12)+(F425*Settings!$C$2)+(G425*Settings!$C$3)+(H425*Settings!$C$4)+(I425*Settings!$C$5)+(K425*Settings!$C$9)+(N425*Settings!$C$6)+(J425*Settings!$C$8)+(O425*Settings!$C$7)+(P425*Settings!$C$14)+(Q425*Settings!$C$15)+(R425*Settings!$C$16)+(S425*Settings!$C$17)+(T425*Settings!$C$18)+(U425*Settings!$C$19)+(L425*Settings!$C$10)+(Settings!$C$11*M425)</f>
        <v>-3.7024090636045597</v>
      </c>
      <c r="D425" s="56">
        <f>IF(Settings!$E$12="YES",VLOOKUP(A425,'Player Data'!A1:E667,5,FALSE),82)</f>
        <v>73.1875</v>
      </c>
      <c r="E425" s="54">
        <f>(VLOOKUP($A425,'The List'!$B1:$AH665,17,FALSE)-AVERAGE('The List'!R2:R665))/STDEV('The List'!R2:R665)</f>
        <v>-1.1244894387426549</v>
      </c>
      <c r="F425" s="54">
        <f>(VLOOKUP($A425,'The List'!$B1:$AH665,18,FALSE)-AVERAGE('The List'!S2:S665))/STDEV('The List'!S2:S665)</f>
        <v>-0.17337701872688396</v>
      </c>
      <c r="G425" s="54">
        <f>(VLOOKUP($A425,'The List'!$B1:$AH665,19,FALSE)-AVERAGE('The List'!T2:T665))/STDEV('The List'!T2:T665)</f>
        <v>-1.0318993140915598</v>
      </c>
      <c r="H425" s="54">
        <f>(VLOOKUP($A425,'The List'!$B1:$AH665,20,FALSE)-AVERAGE('The List'!U2:U665))/STDEV('The List'!U2:U665)</f>
        <v>-0.71967559208575893</v>
      </c>
      <c r="I425" s="54">
        <f>(VLOOKUP($A425,'The List'!$B1:$AH665,21,FALSE)-AVERAGE('The List'!V2:V665))/STDEV('The List'!V2:V665)</f>
        <v>-1.0026945835529051</v>
      </c>
      <c r="J425" s="54">
        <f>(VLOOKUP($A425,'The List'!$B1:$AH665,22,FALSE)-AVERAGE('The List'!W2:W665))/STDEV('The List'!W2:W665)</f>
        <v>-0.73082940224531068</v>
      </c>
      <c r="K425" s="54">
        <f>(VLOOKUP($A425,'The List'!$B1:$AH665,23,FALSE)-AVERAGE('The List'!X2:X665))/STDEV('The List'!X2:X665)</f>
        <v>-0.81589858881757893</v>
      </c>
      <c r="L425" s="54">
        <f>(VLOOKUP($A425,'The List'!$B1:$AH665,24,FALSE)-AVERAGE('The List'!Y2:Y665))/STDEV('The List'!Y2:Y665)</f>
        <v>6.1819137509761966</v>
      </c>
      <c r="M425" s="54">
        <f>(VLOOKUP($A425,'The List'!$B1:$AH665,25,FALSE)-AVERAGE('The List'!Z2:Z665))/STDEV('The List'!Z2:Z665)</f>
        <v>5.204405604383247</v>
      </c>
      <c r="N425" s="54">
        <f>(VLOOKUP($A425,'The List'!$B1:$AH665,26,FALSE)-AVERAGE('The List'!AA2:AA665))/STDEV('The List'!AA2:AA665)</f>
        <v>-0.55741484132258756</v>
      </c>
      <c r="O425" s="54">
        <f>(VLOOKUP($A425,'The List'!$B1:$AH665,27,FALSE)-AVERAGE('The List'!AB2:AB665))/STDEV('The List'!AB2:AB665)</f>
        <v>-1.3599236710836073</v>
      </c>
      <c r="P425" s="54">
        <f>(VLOOKUP($A425,'The List'!$B1:$AH665,28,FALSE)-AVERAGE('The List'!AC2:AC665))/STDEV('The List'!AC2:AC665)</f>
        <v>-0.12112471709304402</v>
      </c>
      <c r="Q425" s="54">
        <f>(VLOOKUP($A425,'The List'!$B1:$AH665,29,FALSE)-AVERAGE('The List'!AD2:AD665))/STDEV('The List'!AD2:AD665)</f>
        <v>-1.331593406477015</v>
      </c>
      <c r="R425" s="54">
        <f>(VLOOKUP($A425,'The List'!$B1:$AH665,30,FALSE)-AVERAGE('The List'!AE2:AE665))/STDEV('The List'!AE2:AE665)</f>
        <v>-0.10476172497752706</v>
      </c>
      <c r="S425" s="54">
        <f>(VLOOKUP($A425,'The List'!$B1:$AH665,31,FALSE)-AVERAGE('The List'!AF2:AF665))/STDEV('The List'!AF2:AF665)</f>
        <v>-0.55671941741703312</v>
      </c>
      <c r="T425" s="54">
        <f>(VLOOKUP($A425,'The List'!$B1:$AH665,32,FALSE)-AVERAGE('The List'!AG2:AG665))/STDEV('The List'!AG2:AG665)</f>
        <v>-0.55953446012058672</v>
      </c>
      <c r="U425" s="54">
        <f>(VLOOKUP($A425,'The List'!$B1:$AH665,33,FALSE)-AVERAGE('The List'!AH2:AH665))/STDEV('The List'!AH2:AH665)</f>
        <v>-0.25148248050990679</v>
      </c>
      <c r="V425" s="54"/>
      <c r="W425" s="56"/>
      <c r="X425" s="54"/>
      <c r="Y425" s="54"/>
      <c r="Z425" s="54"/>
      <c r="AA425" s="54"/>
      <c r="AB425" s="54"/>
      <c r="AC425" s="54"/>
      <c r="AD425" s="54"/>
      <c r="AE425" s="54"/>
    </row>
    <row r="426" spans="1:31" ht="21.25" customHeight="1" x14ac:dyDescent="0.15">
      <c r="A426" s="9" t="s">
        <v>437</v>
      </c>
      <c r="B426" s="65" t="str">
        <f>VLOOKUP(A426,'Player Data'!A1:B667,2,FALSE)</f>
        <v>S.J</v>
      </c>
      <c r="C426" s="51">
        <f>((E426)*Settings!$C$12)+(F426*Settings!$C$2)+(G426*Settings!$C$3)+(H426*Settings!$C$4)+(I426*Settings!$C$5)+(K426*Settings!$C$9)+(N426*Settings!$C$6)+(J426*Settings!$C$8)+(O426*Settings!$C$7)+(P426*Settings!$C$14)+(Q426*Settings!$C$15)+(R426*Settings!$C$16)+(S426*Settings!$C$17)+(T426*Settings!$C$18)+(U426*Settings!$C$19)+(L426*Settings!$C$10)+(Settings!$C$11*M426)</f>
        <v>-0.10670242046359091</v>
      </c>
      <c r="D426" s="56">
        <f>IF(Settings!$E$12="YES",VLOOKUP(A426,'Player Data'!A1:E667,5,FALSE),82)</f>
        <v>80.822500000000005</v>
      </c>
      <c r="E426" s="54">
        <f>(VLOOKUP($A426,'The List'!$B1:$AH665,17,FALSE)-AVERAGE('The List'!R2:R665))/STDEV('The List'!R2:R665)</f>
        <v>1.1179652609650634</v>
      </c>
      <c r="F426" s="54">
        <f>(VLOOKUP($A426,'The List'!$B1:$AH665,18,FALSE)-AVERAGE('The List'!S2:S665))/STDEV('The List'!S2:S665)</f>
        <v>-0.96642842258836792</v>
      </c>
      <c r="G426" s="54">
        <f>(VLOOKUP($A426,'The List'!$B1:$AH665,19,FALSE)-AVERAGE('The List'!T2:T665))/STDEV('The List'!T2:T665)</f>
        <v>-0.29809522750976153</v>
      </c>
      <c r="H426" s="54">
        <f>(VLOOKUP($A426,'The List'!$B1:$AH665,20,FALSE)-AVERAGE('The List'!U2:U665))/STDEV('The List'!U2:U665)</f>
        <v>-0.6244215537127964</v>
      </c>
      <c r="I426" s="54">
        <f>(VLOOKUP($A426,'The List'!$B1:$AH665,21,FALSE)-AVERAGE('The List'!V2:V665))/STDEV('The List'!V2:V665)</f>
        <v>-0.54788656256428847</v>
      </c>
      <c r="J426" s="54">
        <f>(VLOOKUP($A426,'The List'!$B1:$AH665,22,FALSE)-AVERAGE('The List'!W2:W665))/STDEV('The List'!W2:W665)</f>
        <v>-0.74005670178052663</v>
      </c>
      <c r="K426" s="54">
        <f>(VLOOKUP($A426,'The List'!$B1:$AH665,23,FALSE)-AVERAGE('The List'!X2:X665))/STDEV('The List'!X2:X665)</f>
        <v>-0.81418606886199119</v>
      </c>
      <c r="L426" s="54">
        <f>(VLOOKUP($A426,'The List'!$B1:$AH665,24,FALSE)-AVERAGE('The List'!Y2:Y665))/STDEV('The List'!Y2:Y665)</f>
        <v>-0.53517251163235691</v>
      </c>
      <c r="M426" s="54">
        <f>(VLOOKUP($A426,'The List'!$B1:$AH665,25,FALSE)-AVERAGE('The List'!Z2:Z665))/STDEV('The List'!Z2:Z665)</f>
        <v>0.31368232676975666</v>
      </c>
      <c r="N426" s="54">
        <f>(VLOOKUP($A426,'The List'!$B1:$AH665,26,FALSE)-AVERAGE('The List'!AA2:AA665))/STDEV('The List'!AA2:AA665)</f>
        <v>1.2851538084817773</v>
      </c>
      <c r="O426" s="54">
        <f>(VLOOKUP($A426,'The List'!$B1:$AH665,27,FALSE)-AVERAGE('The List'!AB2:AB665))/STDEV('The List'!AB2:AB665)</f>
        <v>0.49144649386592876</v>
      </c>
      <c r="P426" s="54">
        <f>(VLOOKUP($A426,'The List'!$B1:$AH665,28,FALSE)-AVERAGE('The List'!AC2:AC665))/STDEV('The List'!AC2:AC665)</f>
        <v>1.2347400525790406</v>
      </c>
      <c r="Q426" s="54">
        <f>(VLOOKUP($A426,'The List'!$B1:$AH665,29,FALSE)-AVERAGE('The List'!AD2:AD665))/STDEV('The List'!AD2:AD665)</f>
        <v>-1.0138659854827445</v>
      </c>
      <c r="R426" s="54">
        <f>(VLOOKUP($A426,'The List'!$B1:$AH665,30,FALSE)-AVERAGE('The List'!AE2:AE665))/STDEV('The List'!AE2:AE665)</f>
        <v>-1.0233619622273085</v>
      </c>
      <c r="S426" s="54">
        <f>(VLOOKUP($A426,'The List'!$B1:$AH665,31,FALSE)-AVERAGE('The List'!AF2:AF665))/STDEV('The List'!AF2:AF665)</f>
        <v>-0.57389441068000469</v>
      </c>
      <c r="T426" s="54">
        <f>(VLOOKUP($A426,'The List'!$B1:$AH665,32,FALSE)-AVERAGE('The List'!AG2:AG665))/STDEV('The List'!AG2:AG665)</f>
        <v>-0.62577078713265111</v>
      </c>
      <c r="U426" s="54">
        <f>(VLOOKUP($A426,'The List'!$B1:$AH665,33,FALSE)-AVERAGE('The List'!AH2:AH665))/STDEV('The List'!AH2:AH665)</f>
        <v>-1.2314350945148611</v>
      </c>
      <c r="V426" s="54"/>
      <c r="W426" s="64"/>
      <c r="X426" s="56"/>
      <c r="Y426" s="56"/>
      <c r="Z426" s="56"/>
      <c r="AA426" s="56"/>
      <c r="AB426" s="56"/>
      <c r="AC426" s="59"/>
      <c r="AD426" s="60"/>
      <c r="AE426" s="54"/>
    </row>
    <row r="427" spans="1:31" ht="21.25" customHeight="1" x14ac:dyDescent="0.15">
      <c r="A427" s="9" t="s">
        <v>443</v>
      </c>
      <c r="B427" s="65" t="str">
        <f>VLOOKUP(A427,'Player Data'!A1:B667,2,FALSE)</f>
        <v>CHI</v>
      </c>
      <c r="C427" s="51">
        <f>((E427)*Settings!$C$12)+(F427*Settings!$C$2)+(G427*Settings!$C$3)+(H427*Settings!$C$4)+(I427*Settings!$C$5)+(K427*Settings!$C$9)+(N427*Settings!$C$6)+(J427*Settings!$C$8)+(O427*Settings!$C$7)+(P427*Settings!$C$14)+(Q427*Settings!$C$15)+(R427*Settings!$C$16)+(S427*Settings!$C$17)+(T427*Settings!$C$18)+(U427*Settings!$C$19)+(L427*Settings!$C$10)+(Settings!$C$11*M427)</f>
        <v>-2.2103165360686101</v>
      </c>
      <c r="D427" s="56">
        <f>IF(Settings!$E$12="YES",VLOOKUP(A427,'Player Data'!A1:E667,5,FALSE),82)</f>
        <v>74.477500000000006</v>
      </c>
      <c r="E427" s="54">
        <f>(VLOOKUP($A427,'The List'!$B1:$AH665,17,FALSE)-AVERAGE('The List'!R2:R665))/STDEV('The List'!R2:R665)</f>
        <v>1.3259085363884935</v>
      </c>
      <c r="F427" s="54">
        <f>(VLOOKUP($A427,'The List'!$B1:$AH665,18,FALSE)-AVERAGE('The List'!S2:S665))/STDEV('The List'!S2:S665)</f>
        <v>-0.97559417871619636</v>
      </c>
      <c r="G427" s="54">
        <f>(VLOOKUP($A427,'The List'!$B1:$AH665,19,FALSE)-AVERAGE('The List'!T2:T665))/STDEV('The List'!T2:T665)</f>
        <v>-0.42209195000877864</v>
      </c>
      <c r="H427" s="54">
        <f>(VLOOKUP($A427,'The List'!$B1:$AH665,20,FALSE)-AVERAGE('The List'!U2:U665))/STDEV('The List'!U2:U665)</f>
        <v>-0.7055967623299978</v>
      </c>
      <c r="I427" s="54">
        <f>(VLOOKUP($A427,'The List'!$B1:$AH665,21,FALSE)-AVERAGE('The List'!V2:V665))/STDEV('The List'!V2:V665)</f>
        <v>-0.89068190407910486</v>
      </c>
      <c r="J427" s="54">
        <f>(VLOOKUP($A427,'The List'!$B1:$AH665,22,FALSE)-AVERAGE('The List'!W2:W665))/STDEV('The List'!W2:W665)</f>
        <v>-0.68662317597538047</v>
      </c>
      <c r="K427" s="54">
        <f>(VLOOKUP($A427,'The List'!$B1:$AH665,23,FALSE)-AVERAGE('The List'!X2:X665))/STDEV('The List'!X2:X665)</f>
        <v>-0.55676880226378533</v>
      </c>
      <c r="L427" s="54">
        <f>(VLOOKUP($A427,'The List'!$B1:$AH665,24,FALSE)-AVERAGE('The List'!Y2:Y665))/STDEV('The List'!Y2:Y665)</f>
        <v>-0.48409519348521329</v>
      </c>
      <c r="M427" s="54">
        <f>(VLOOKUP($A427,'The List'!$B1:$AH665,25,FALSE)-AVERAGE('The List'!Z2:Z665))/STDEV('The List'!Z2:Z665)</f>
        <v>-0.51050922510281094</v>
      </c>
      <c r="N427" s="54">
        <f>(VLOOKUP($A427,'The List'!$B1:$AH665,26,FALSE)-AVERAGE('The List'!AA2:AA665))/STDEV('The List'!AA2:AA665)</f>
        <v>1.8079966621071595</v>
      </c>
      <c r="O427" s="54">
        <f>(VLOOKUP($A427,'The List'!$B1:$AH665,27,FALSE)-AVERAGE('The List'!AB2:AB665))/STDEV('The List'!AB2:AB665)</f>
        <v>-0.48984613011056566</v>
      </c>
      <c r="P427" s="54">
        <f>(VLOOKUP($A427,'The List'!$B1:$AH665,28,FALSE)-AVERAGE('The List'!AC2:AC665))/STDEV('The List'!AC2:AC665)</f>
        <v>-1.1731763631079049</v>
      </c>
      <c r="Q427" s="54">
        <f>(VLOOKUP($A427,'The List'!$B1:$AH665,29,FALSE)-AVERAGE('The List'!AD2:AD665))/STDEV('The List'!AD2:AD665)</f>
        <v>9.8952438157664288E-2</v>
      </c>
      <c r="R427" s="54">
        <f>(VLOOKUP($A427,'The List'!$B1:$AH665,30,FALSE)-AVERAGE('The List'!AE2:AE665))/STDEV('The List'!AE2:AE665)</f>
        <v>-0.97813809044645195</v>
      </c>
      <c r="S427" s="54">
        <f>(VLOOKUP($A427,'The List'!$B1:$AH665,31,FALSE)-AVERAGE('The List'!AF2:AF665))/STDEV('The List'!AF2:AF665)</f>
        <v>-0.57389441068000469</v>
      </c>
      <c r="T427" s="54">
        <f>(VLOOKUP($A427,'The List'!$B1:$AH665,32,FALSE)-AVERAGE('The List'!AG2:AG665))/STDEV('The List'!AG2:AG665)</f>
        <v>-0.62577078713265111</v>
      </c>
      <c r="U427" s="54">
        <f>(VLOOKUP($A427,'The List'!$B1:$AH665,33,FALSE)-AVERAGE('The List'!AH2:AH665))/STDEV('The List'!AH2:AH665)</f>
        <v>-1.2314350945148611</v>
      </c>
      <c r="V427" s="54"/>
      <c r="W427" s="64"/>
      <c r="X427" s="56"/>
      <c r="Y427" s="56"/>
      <c r="Z427" s="56"/>
      <c r="AA427" s="56"/>
      <c r="AB427" s="56"/>
      <c r="AC427" s="59"/>
      <c r="AD427" s="60"/>
      <c r="AE427" s="54"/>
    </row>
    <row r="428" spans="1:31" ht="21.25" customHeight="1" x14ac:dyDescent="0.15">
      <c r="A428" s="9" t="s">
        <v>372</v>
      </c>
      <c r="B428" s="65" t="str">
        <f>VLOOKUP(A428,'Player Data'!A1:B667,2,FALSE)</f>
        <v>SEA</v>
      </c>
      <c r="C428" s="51">
        <f>((E428)*Settings!$C$12)+(F428*Settings!$C$2)+(G428*Settings!$C$3)+(H428*Settings!$C$4)+(I428*Settings!$C$5)+(K428*Settings!$C$9)+(N428*Settings!$C$6)+(J428*Settings!$C$8)+(O428*Settings!$C$7)+(P428*Settings!$C$14)+(Q428*Settings!$C$15)+(R428*Settings!$C$16)+(S428*Settings!$C$17)+(T428*Settings!$C$18)+(U428*Settings!$C$19)+(L428*Settings!$C$10)+(Settings!$C$11*M428)</f>
        <v>-0.5314197766885389</v>
      </c>
      <c r="D428" s="56">
        <f>IF(Settings!$E$12="YES",VLOOKUP(A428,'Player Data'!A1:E667,5,FALSE),82)</f>
        <v>81.852500000000006</v>
      </c>
      <c r="E428" s="54">
        <f>(VLOOKUP($A428,'The List'!$B1:$AH665,17,FALSE)-AVERAGE('The List'!R2:R665))/STDEV('The List'!R2:R665)</f>
        <v>1.2996248582420251</v>
      </c>
      <c r="F428" s="54">
        <f>(VLOOKUP($A428,'The List'!$B1:$AH665,18,FALSE)-AVERAGE('The List'!S2:S665))/STDEV('The List'!S2:S665)</f>
        <v>-0.78065964356425666</v>
      </c>
      <c r="G428" s="54">
        <f>(VLOOKUP($A428,'The List'!$B1:$AH665,19,FALSE)-AVERAGE('The List'!T2:T665))/STDEV('The List'!T2:T665)</f>
        <v>-0.41860318234493055</v>
      </c>
      <c r="H428" s="54">
        <f>(VLOOKUP($A428,'The List'!$B1:$AH665,20,FALSE)-AVERAGE('The List'!U2:U665))/STDEV('The List'!U2:U665)</f>
        <v>-0.61482302923512822</v>
      </c>
      <c r="I428" s="54">
        <f>(VLOOKUP($A428,'The List'!$B1:$AH665,21,FALSE)-AVERAGE('The List'!V2:V665))/STDEV('The List'!V2:V665)</f>
        <v>-0.21046941705639127</v>
      </c>
      <c r="J428" s="54">
        <f>(VLOOKUP($A428,'The List'!$B1:$AH665,22,FALSE)-AVERAGE('The List'!W2:W665))/STDEV('The List'!W2:W665)</f>
        <v>-0.74172169824025969</v>
      </c>
      <c r="K428" s="54">
        <f>(VLOOKUP($A428,'The List'!$B1:$AH665,23,FALSE)-AVERAGE('The List'!X2:X665))/STDEV('The List'!X2:X665)</f>
        <v>-0.81607865379191624</v>
      </c>
      <c r="L428" s="54">
        <f>(VLOOKUP($A428,'The List'!$B1:$AH665,24,FALSE)-AVERAGE('The List'!Y2:Y665))/STDEV('The List'!Y2:Y665)</f>
        <v>-0.52937401695954156</v>
      </c>
      <c r="M428" s="54">
        <f>(VLOOKUP($A428,'The List'!$B1:$AH665,25,FALSE)-AVERAGE('The List'!Z2:Z665))/STDEV('The List'!Z2:Z665)</f>
        <v>-0.11031021359437639</v>
      </c>
      <c r="N428" s="54">
        <f>(VLOOKUP($A428,'The List'!$B1:$AH665,26,FALSE)-AVERAGE('The List'!AA2:AA665))/STDEV('The List'!AA2:AA665)</f>
        <v>1.9467076176848062</v>
      </c>
      <c r="O428" s="54">
        <f>(VLOOKUP($A428,'The List'!$B1:$AH665,27,FALSE)-AVERAGE('The List'!AB2:AB665))/STDEV('The List'!AB2:AB665)</f>
        <v>1.3238097590518816</v>
      </c>
      <c r="P428" s="54">
        <f>(VLOOKUP($A428,'The List'!$B1:$AH665,28,FALSE)-AVERAGE('The List'!AC2:AC665))/STDEV('The List'!AC2:AC665)</f>
        <v>-0.25231649761585001</v>
      </c>
      <c r="Q428" s="54">
        <f>(VLOOKUP($A428,'The List'!$B1:$AH665,29,FALSE)-AVERAGE('The List'!AD2:AD665))/STDEV('The List'!AD2:AD665)</f>
        <v>0.92238426748292857</v>
      </c>
      <c r="R428" s="54">
        <f>(VLOOKUP($A428,'The List'!$B1:$AH665,30,FALSE)-AVERAGE('The List'!AE2:AE665))/STDEV('The List'!AE2:AE665)</f>
        <v>-0.7362048922433746</v>
      </c>
      <c r="S428" s="54">
        <f>(VLOOKUP($A428,'The List'!$B1:$AH665,31,FALSE)-AVERAGE('The List'!AF2:AF665))/STDEV('The List'!AF2:AF665)</f>
        <v>-0.57389441068000191</v>
      </c>
      <c r="T428" s="54">
        <f>(VLOOKUP($A428,'The List'!$B1:$AH665,32,FALSE)-AVERAGE('The List'!AG2:AG665))/STDEV('The List'!AG2:AG665)</f>
        <v>-0.62577065549126842</v>
      </c>
      <c r="U428" s="54">
        <f>(VLOOKUP($A428,'The List'!$B1:$AH665,33,FALSE)-AVERAGE('The List'!AH2:AH665))/STDEV('The List'!AH2:AH665)</f>
        <v>-1.2314349911449805</v>
      </c>
      <c r="V428" s="54"/>
      <c r="W428" s="56"/>
      <c r="X428" s="54"/>
      <c r="Y428" s="54"/>
      <c r="Z428" s="54"/>
      <c r="AA428" s="54"/>
      <c r="AB428" s="54"/>
      <c r="AC428" s="54"/>
      <c r="AD428" s="54"/>
      <c r="AE428" s="54"/>
    </row>
    <row r="429" spans="1:31" ht="21.25" customHeight="1" x14ac:dyDescent="0.15">
      <c r="A429" s="9" t="s">
        <v>455</v>
      </c>
      <c r="B429" s="65" t="str">
        <f>VLOOKUP(A429,'Player Data'!A1:B667,2,FALSE)</f>
        <v>OTT</v>
      </c>
      <c r="C429" s="51">
        <f>((E429)*Settings!$C$12)+(F429*Settings!$C$2)+(G429*Settings!$C$3)+(H429*Settings!$C$4)+(I429*Settings!$C$5)+(K429*Settings!$C$9)+(N429*Settings!$C$6)+(J429*Settings!$C$8)+(O429*Settings!$C$7)+(P429*Settings!$C$14)+(Q429*Settings!$C$15)+(R429*Settings!$C$16)+(S429*Settings!$C$17)+(T429*Settings!$C$18)+(U429*Settings!$C$19)+(L429*Settings!$C$10)+(Settings!$C$11*M429)</f>
        <v>-1.6645626713623622</v>
      </c>
      <c r="D429" s="56">
        <f>IF(Settings!$E$12="YES",VLOOKUP(A429,'Player Data'!A1:E667,5,FALSE),82)</f>
        <v>75.635000000000005</v>
      </c>
      <c r="E429" s="54">
        <f>(VLOOKUP($A429,'The List'!$B1:$AH665,17,FALSE)-AVERAGE('The List'!R2:R665))/STDEV('The List'!R2:R665)</f>
        <v>1.0601630935825381</v>
      </c>
      <c r="F429" s="54">
        <f>(VLOOKUP($A429,'The List'!$B1:$AH665,18,FALSE)-AVERAGE('The List'!S2:S665))/STDEV('The List'!S2:S665)</f>
        <v>-0.84828842710223629</v>
      </c>
      <c r="G429" s="54">
        <f>(VLOOKUP($A429,'The List'!$B1:$AH665,19,FALSE)-AVERAGE('The List'!T2:T665))/STDEV('The List'!T2:T665)</f>
        <v>-0.50271642181079579</v>
      </c>
      <c r="H429" s="54">
        <f>(VLOOKUP($A429,'The List'!$B1:$AH665,20,FALSE)-AVERAGE('The List'!U2:U665))/STDEV('The List'!U2:U665)</f>
        <v>-0.69780257724438488</v>
      </c>
      <c r="I429" s="54">
        <f>(VLOOKUP($A429,'The List'!$B1:$AH665,21,FALSE)-AVERAGE('The List'!V2:V665))/STDEV('The List'!V2:V665)</f>
        <v>-0.79264423768183512</v>
      </c>
      <c r="J429" s="54">
        <f>(VLOOKUP($A429,'The List'!$B1:$AH665,22,FALSE)-AVERAGE('The List'!W2:W665))/STDEV('The List'!W2:W665)</f>
        <v>-0.73658898412443763</v>
      </c>
      <c r="K429" s="54">
        <f>(VLOOKUP($A429,'The List'!$B1:$AH665,23,FALSE)-AVERAGE('The List'!X2:X665))/STDEV('The List'!X2:X665)</f>
        <v>-0.80627660919409738</v>
      </c>
      <c r="L429" s="54">
        <f>(VLOOKUP($A429,'The List'!$B1:$AH665,24,FALSE)-AVERAGE('The List'!Y2:Y665))/STDEV('The List'!Y2:Y665)</f>
        <v>-0.52162800107826501</v>
      </c>
      <c r="M429" s="54">
        <f>(VLOOKUP($A429,'The List'!$B1:$AH665,25,FALSE)-AVERAGE('The List'!Z2:Z665))/STDEV('The List'!Z2:Z665)</f>
        <v>-0.601063775650161</v>
      </c>
      <c r="N429" s="54">
        <f>(VLOOKUP($A429,'The List'!$B1:$AH665,26,FALSE)-AVERAGE('The List'!AA2:AA665))/STDEV('The List'!AA2:AA665)</f>
        <v>1.4325140508752501</v>
      </c>
      <c r="O429" s="54">
        <f>(VLOOKUP($A429,'The List'!$B1:$AH665,27,FALSE)-AVERAGE('The List'!AB2:AB665))/STDEV('The List'!AB2:AB665)</f>
        <v>1.1025819883019101</v>
      </c>
      <c r="P429" s="54">
        <f>(VLOOKUP($A429,'The List'!$B1:$AH665,28,FALSE)-AVERAGE('The List'!AC2:AC665))/STDEV('The List'!AC2:AC665)</f>
        <v>-0.14715102644864786</v>
      </c>
      <c r="Q429" s="54">
        <f>(VLOOKUP($A429,'The List'!$B1:$AH665,29,FALSE)-AVERAGE('The List'!AD2:AD665))/STDEV('The List'!AD2:AD665)</f>
        <v>0.86241353782311825</v>
      </c>
      <c r="R429" s="54">
        <f>(VLOOKUP($A429,'The List'!$B1:$AH665,30,FALSE)-AVERAGE('The List'!AE2:AE665))/STDEV('The List'!AE2:AE665)</f>
        <v>-0.79148085204413166</v>
      </c>
      <c r="S429" s="54">
        <f>(VLOOKUP($A429,'The List'!$B1:$AH665,31,FALSE)-AVERAGE('The List'!AF2:AF665))/STDEV('The List'!AF2:AF665)</f>
        <v>-0.57389441068000469</v>
      </c>
      <c r="T429" s="54">
        <f>(VLOOKUP($A429,'The List'!$B1:$AH665,32,FALSE)-AVERAGE('The List'!AG2:AG665))/STDEV('The List'!AG2:AG665)</f>
        <v>-0.62577078713265111</v>
      </c>
      <c r="U429" s="54">
        <f>(VLOOKUP($A429,'The List'!$B1:$AH665,33,FALSE)-AVERAGE('The List'!AH2:AH665))/STDEV('The List'!AH2:AH665)</f>
        <v>-1.2314350945148611</v>
      </c>
      <c r="V429" s="54"/>
      <c r="W429" s="64"/>
      <c r="X429" s="56"/>
      <c r="Y429" s="56"/>
      <c r="Z429" s="56"/>
      <c r="AA429" s="56"/>
      <c r="AB429" s="56"/>
      <c r="AC429" s="59"/>
      <c r="AD429" s="60"/>
      <c r="AE429" s="54"/>
    </row>
    <row r="430" spans="1:31" ht="21.25" customHeight="1" x14ac:dyDescent="0.15">
      <c r="A430" s="9" t="s">
        <v>562</v>
      </c>
      <c r="B430" s="65" t="str">
        <f>VLOOKUP(A430,'Player Data'!A1:B667,2,FALSE)</f>
        <v>BOS</v>
      </c>
      <c r="C430" s="51">
        <f>((E430)*Settings!$C$12)+(F430*Settings!$C$2)+(G430*Settings!$C$3)+(H430*Settings!$C$4)+(I430*Settings!$C$5)+(K430*Settings!$C$9)+(N430*Settings!$C$6)+(J430*Settings!$C$8)+(O430*Settings!$C$7)+(P430*Settings!$C$14)+(Q430*Settings!$C$15)+(R430*Settings!$C$16)+(S430*Settings!$C$17)+(T430*Settings!$C$18)+(U430*Settings!$C$19)+(L430*Settings!$C$10)+(Settings!$C$11*M430)</f>
        <v>-2.5267030683059053</v>
      </c>
      <c r="D430" s="56">
        <f>IF(Settings!$E$12="YES",VLOOKUP(A430,'Player Data'!A1:E667,5,FALSE),82)</f>
        <v>65.015000000000001</v>
      </c>
      <c r="E430" s="54">
        <f>(VLOOKUP($A430,'The List'!$B1:$AH665,17,FALSE)-AVERAGE('The List'!R2:R665))/STDEV('The List'!R2:R665)</f>
        <v>-5.9006643790093821E-2</v>
      </c>
      <c r="F430" s="54">
        <f>(VLOOKUP($A430,'The List'!$B1:$AH665,18,FALSE)-AVERAGE('The List'!S2:S665))/STDEV('The List'!S2:S665)</f>
        <v>-0.86739592967621648</v>
      </c>
      <c r="G430" s="54">
        <f>(VLOOKUP($A430,'The List'!$B1:$AH665,19,FALSE)-AVERAGE('The List'!T2:T665))/STDEV('The List'!T2:T665)</f>
        <v>-0.70402064341169368</v>
      </c>
      <c r="H430" s="54">
        <f>(VLOOKUP($A430,'The List'!$B1:$AH665,20,FALSE)-AVERAGE('The List'!U2:U665))/STDEV('The List'!U2:U665)</f>
        <v>-0.83150908598764739</v>
      </c>
      <c r="I430" s="54">
        <f>(VLOOKUP($A430,'The List'!$B1:$AH665,21,FALSE)-AVERAGE('The List'!V2:V665))/STDEV('The List'!V2:V665)</f>
        <v>-1.0514832832315488</v>
      </c>
      <c r="J430" s="54">
        <f>(VLOOKUP($A430,'The List'!$B1:$AH665,22,FALSE)-AVERAGE('The List'!W2:W665))/STDEV('The List'!W2:W665)</f>
        <v>-0.5672791560571222</v>
      </c>
      <c r="K430" s="54">
        <f>(VLOOKUP($A430,'The List'!$B1:$AH665,23,FALSE)-AVERAGE('The List'!X2:X665))/STDEV('The List'!X2:X665)</f>
        <v>-0.56811182584563447</v>
      </c>
      <c r="L430" s="54">
        <f>(VLOOKUP($A430,'The List'!$B1:$AH665,24,FALSE)-AVERAGE('The List'!Y2:Y665))/STDEV('The List'!Y2:Y665)</f>
        <v>-0.56132794433538291</v>
      </c>
      <c r="M430" s="54">
        <f>(VLOOKUP($A430,'The List'!$B1:$AH665,25,FALSE)-AVERAGE('The List'!Z2:Z665))/STDEV('The List'!Z2:Z665)</f>
        <v>-0.69780571317106344</v>
      </c>
      <c r="N430" s="54">
        <f>(VLOOKUP($A430,'The List'!$B1:$AH665,26,FALSE)-AVERAGE('The List'!AA2:AA665))/STDEV('The List'!AA2:AA665)</f>
        <v>0.60736877520198229</v>
      </c>
      <c r="O430" s="54">
        <f>(VLOOKUP($A430,'The List'!$B1:$AH665,27,FALSE)-AVERAGE('The List'!AB2:AB665))/STDEV('The List'!AB2:AB665)</f>
        <v>-0.41515681113482417</v>
      </c>
      <c r="P430" s="54">
        <f>(VLOOKUP($A430,'The List'!$B1:$AH665,28,FALSE)-AVERAGE('The List'!AC2:AC665))/STDEV('The List'!AC2:AC665)</f>
        <v>5.6939838657206317E-2</v>
      </c>
      <c r="Q430" s="54">
        <f>(VLOOKUP($A430,'The List'!$B1:$AH665,29,FALSE)-AVERAGE('The List'!AD2:AD665))/STDEV('The List'!AD2:AD665)</f>
        <v>-0.40233249751553973</v>
      </c>
      <c r="R430" s="54">
        <f>(VLOOKUP($A430,'The List'!$B1:$AH665,30,FALSE)-AVERAGE('The List'!AE2:AE665))/STDEV('The List'!AE2:AE665)</f>
        <v>-0.80905901996921892</v>
      </c>
      <c r="S430" s="54">
        <f>(VLOOKUP($A430,'The List'!$B1:$AH665,31,FALSE)-AVERAGE('The List'!AF2:AF665))/STDEV('The List'!AF2:AF665)</f>
        <v>-0.57389441068000469</v>
      </c>
      <c r="T430" s="54">
        <f>(VLOOKUP($A430,'The List'!$B1:$AH665,32,FALSE)-AVERAGE('The List'!AG2:AG665))/STDEV('The List'!AG2:AG665)</f>
        <v>-0.62577078713265111</v>
      </c>
      <c r="U430" s="54">
        <f>(VLOOKUP($A430,'The List'!$B1:$AH665,33,FALSE)-AVERAGE('The List'!AH2:AH665))/STDEV('The List'!AH2:AH665)</f>
        <v>-1.2314350945148611</v>
      </c>
      <c r="V430" s="54"/>
      <c r="W430" s="56"/>
      <c r="X430" s="54"/>
      <c r="Y430" s="54"/>
      <c r="Z430" s="54"/>
      <c r="AA430" s="54"/>
      <c r="AB430" s="54"/>
      <c r="AC430" s="54"/>
      <c r="AD430" s="54"/>
      <c r="AE430" s="54"/>
    </row>
    <row r="431" spans="1:31" ht="21.25" customHeight="1" x14ac:dyDescent="0.15">
      <c r="A431" s="9" t="s">
        <v>713</v>
      </c>
      <c r="B431" s="65" t="str">
        <f>VLOOKUP(A431,'Player Data'!A1:B667,2,FALSE)</f>
        <v>VAN</v>
      </c>
      <c r="C431" s="51">
        <f>((E431)*Settings!$C$12)+(F431*Settings!$C$2)+(G431*Settings!$C$3)+(H431*Settings!$C$4)+(I431*Settings!$C$5)+(K431*Settings!$C$9)+(N431*Settings!$C$6)+(J431*Settings!$C$8)+(O431*Settings!$C$7)+(P431*Settings!$C$14)+(Q431*Settings!$C$15)+(R431*Settings!$C$16)+(S431*Settings!$C$17)+(T431*Settings!$C$18)+(U431*Settings!$C$19)+(L431*Settings!$C$10)+(Settings!$C$11*M431)</f>
        <v>-3.467167206361049</v>
      </c>
      <c r="D431" s="56">
        <f>IF(Settings!$E$12="YES",VLOOKUP(A431,'Player Data'!A1:E667,5,FALSE),82)</f>
        <v>65.569999999999993</v>
      </c>
      <c r="E431" s="54">
        <f>(VLOOKUP($A431,'The List'!$B1:$AH665,17,FALSE)-AVERAGE('The List'!R2:R665))/STDEV('The List'!R2:R665)</f>
        <v>-1.5436346426319478</v>
      </c>
      <c r="F431" s="54">
        <f>(VLOOKUP($A431,'The List'!$B1:$AH665,18,FALSE)-AVERAGE('The List'!S2:S665))/STDEV('The List'!S2:S665)</f>
        <v>-0.60128814784160245</v>
      </c>
      <c r="G431" s="54">
        <f>(VLOOKUP($A431,'The List'!$B1:$AH665,19,FALSE)-AVERAGE('The List'!T2:T665))/STDEV('The List'!T2:T665)</f>
        <v>-0.89069822100463114</v>
      </c>
      <c r="H431" s="54">
        <f>(VLOOKUP($A431,'The List'!$B1:$AH665,20,FALSE)-AVERAGE('The List'!U2:U665))/STDEV('The List'!U2:U665)</f>
        <v>-0.82648772223893319</v>
      </c>
      <c r="I431" s="54">
        <f>(VLOOKUP($A431,'The List'!$B1:$AH665,21,FALSE)-AVERAGE('The List'!V2:V665))/STDEV('The List'!V2:V665)</f>
        <v>-0.67239051823844187</v>
      </c>
      <c r="J431" s="54">
        <f>(VLOOKUP($A431,'The List'!$B1:$AH665,22,FALSE)-AVERAGE('The List'!W2:W665))/STDEV('The List'!W2:W665)</f>
        <v>-0.72155261783624525</v>
      </c>
      <c r="K431" s="54">
        <f>(VLOOKUP($A431,'The List'!$B1:$AH665,23,FALSE)-AVERAGE('The List'!X2:X665))/STDEV('The List'!X2:X665)</f>
        <v>-0.80857801267621565</v>
      </c>
      <c r="L431" s="54">
        <f>(VLOOKUP($A431,'The List'!$B1:$AH665,24,FALSE)-AVERAGE('The List'!Y2:Y665))/STDEV('The List'!Y2:Y665)</f>
        <v>-0.44461614389083109</v>
      </c>
      <c r="M431" s="54">
        <f>(VLOOKUP($A431,'The List'!$B1:$AH665,25,FALSE)-AVERAGE('The List'!Z2:Z665))/STDEV('The List'!Z2:Z665)</f>
        <v>-0.61330240116680834</v>
      </c>
      <c r="N431" s="54">
        <f>(VLOOKUP($A431,'The List'!$B1:$AH665,26,FALSE)-AVERAGE('The List'!AA2:AA665))/STDEV('The List'!AA2:AA665)</f>
        <v>-0.99666920010145199</v>
      </c>
      <c r="O431" s="54">
        <f>(VLOOKUP($A431,'The List'!$B1:$AH665,27,FALSE)-AVERAGE('The List'!AB2:AB665))/STDEV('The List'!AB2:AB665)</f>
        <v>2.0115134819845637</v>
      </c>
      <c r="P431" s="54">
        <f>(VLOOKUP($A431,'The List'!$B1:$AH665,28,FALSE)-AVERAGE('The List'!AC2:AC665))/STDEV('The List'!AC2:AC665)</f>
        <v>0.5024568935012943</v>
      </c>
      <c r="Q431" s="54">
        <f>(VLOOKUP($A431,'The List'!$B1:$AH665,29,FALSE)-AVERAGE('The List'!AD2:AD665))/STDEV('The List'!AD2:AD665)</f>
        <v>-8.0056972657420927E-2</v>
      </c>
      <c r="R431" s="54">
        <f>(VLOOKUP($A431,'The List'!$B1:$AH665,30,FALSE)-AVERAGE('The List'!AE2:AE665))/STDEV('The List'!AE2:AE665)</f>
        <v>-0.47243447248835219</v>
      </c>
      <c r="S431" s="54">
        <f>(VLOOKUP($A431,'The List'!$B1:$AH665,31,FALSE)-AVERAGE('The List'!AF2:AF665))/STDEV('The List'!AF2:AF665)</f>
        <v>-0.50562357500460431</v>
      </c>
      <c r="T431" s="54">
        <f>(VLOOKUP($A431,'The List'!$B1:$AH665,32,FALSE)-AVERAGE('The List'!AG2:AG665))/STDEV('The List'!AG2:AG665)</f>
        <v>-0.56405103014737878</v>
      </c>
      <c r="U431" s="54">
        <f>(VLOOKUP($A431,'The List'!$B1:$AH665,33,FALSE)-AVERAGE('The List'!AH2:AH665))/STDEV('The List'!AH2:AH665)</f>
        <v>1.2189355787180913</v>
      </c>
      <c r="V431" s="54"/>
      <c r="W431" s="64"/>
      <c r="X431" s="56"/>
      <c r="Y431" s="56"/>
      <c r="Z431" s="56"/>
      <c r="AA431" s="56"/>
      <c r="AB431" s="56"/>
      <c r="AC431" s="59"/>
      <c r="AD431" s="60"/>
      <c r="AE431" s="54"/>
    </row>
    <row r="432" spans="1:31" ht="21.25" customHeight="1" x14ac:dyDescent="0.15">
      <c r="A432" s="9" t="s">
        <v>739</v>
      </c>
      <c r="B432" s="65" t="str">
        <f>VLOOKUP(A432,'Player Data'!A1:B667,2,FALSE)</f>
        <v>NYI</v>
      </c>
      <c r="C432" s="51">
        <f>((E432)*Settings!$C$12)+(F432*Settings!$C$2)+(G432*Settings!$C$3)+(H432*Settings!$C$4)+(I432*Settings!$C$5)+(K432*Settings!$C$9)+(N432*Settings!$C$6)+(J432*Settings!$C$8)+(O432*Settings!$C$7)+(P432*Settings!$C$14)+(Q432*Settings!$C$15)+(R432*Settings!$C$16)+(S432*Settings!$C$17)+(T432*Settings!$C$18)+(U432*Settings!$C$19)+(L432*Settings!$C$10)+(Settings!$C$11*M432)</f>
        <v>-4.0087285205557048</v>
      </c>
      <c r="D432" s="56">
        <f>IF(Settings!$E$12="YES",VLOOKUP(A432,'Player Data'!A1:E667,5,FALSE),82)</f>
        <v>63.825000000000003</v>
      </c>
      <c r="E432" s="54">
        <f>(VLOOKUP($A432,'The List'!$B1:$AH665,17,FALSE)-AVERAGE('The List'!R2:R665))/STDEV('The List'!R2:R665)</f>
        <v>-1.5267158155819045</v>
      </c>
      <c r="F432" s="54">
        <f>(VLOOKUP($A432,'The List'!$B1:$AH665,18,FALSE)-AVERAGE('The List'!S2:S665))/STDEV('The List'!S2:S665)</f>
        <v>-0.62752535395956544</v>
      </c>
      <c r="G432" s="54">
        <f>(VLOOKUP($A432,'The List'!$B1:$AH665,19,FALSE)-AVERAGE('The List'!T2:T665))/STDEV('The List'!T2:T665)</f>
        <v>-0.90777077676021722</v>
      </c>
      <c r="H432" s="54">
        <f>(VLOOKUP($A432,'The List'!$B1:$AH665,20,FALSE)-AVERAGE('The List'!U2:U665))/STDEV('The List'!U2:U665)</f>
        <v>-0.84901679665589413</v>
      </c>
      <c r="I432" s="54">
        <f>(VLOOKUP($A432,'The List'!$B1:$AH665,21,FALSE)-AVERAGE('The List'!V2:V665))/STDEV('The List'!V2:V665)</f>
        <v>-1.1865319474584415</v>
      </c>
      <c r="J432" s="54">
        <f>(VLOOKUP($A432,'The List'!$B1:$AH665,22,FALSE)-AVERAGE('The List'!W2:W665))/STDEV('The List'!W2:W665)</f>
        <v>-0.71989876252241858</v>
      </c>
      <c r="K432" s="54">
        <f>(VLOOKUP($A432,'The List'!$B1:$AH665,23,FALSE)-AVERAGE('The List'!X2:X665))/STDEV('The List'!X2:X665)</f>
        <v>-0.80163364674191628</v>
      </c>
      <c r="L432" s="54">
        <f>(VLOOKUP($A432,'The List'!$B1:$AH665,24,FALSE)-AVERAGE('The List'!Y2:Y665))/STDEV('The List'!Y2:Y665)</f>
        <v>-0.5330970721750995</v>
      </c>
      <c r="M432" s="54">
        <f>(VLOOKUP($A432,'The List'!$B1:$AH665,25,FALSE)-AVERAGE('The List'!Z2:Z665))/STDEV('The List'!Z2:Z665)</f>
        <v>-0.70515766195620921</v>
      </c>
      <c r="N432" s="54">
        <f>(VLOOKUP($A432,'The List'!$B1:$AH665,26,FALSE)-AVERAGE('The List'!AA2:AA665))/STDEV('The List'!AA2:AA665)</f>
        <v>-0.72417425955838499</v>
      </c>
      <c r="O432" s="54">
        <f>(VLOOKUP($A432,'The List'!$B1:$AH665,27,FALSE)-AVERAGE('The List'!AB2:AB665))/STDEV('The List'!AB2:AB665)</f>
        <v>-0.69398210753715672</v>
      </c>
      <c r="P432" s="54">
        <f>(VLOOKUP($A432,'The List'!$B1:$AH665,28,FALSE)-AVERAGE('The List'!AC2:AC665))/STDEV('The List'!AC2:AC665)</f>
        <v>0.23890746392282047</v>
      </c>
      <c r="Q432" s="54">
        <f>(VLOOKUP($A432,'The List'!$B1:$AH665,29,FALSE)-AVERAGE('The List'!AD2:AD665))/STDEV('The List'!AD2:AD665)</f>
        <v>-1.372181939468359</v>
      </c>
      <c r="R432" s="54">
        <f>(VLOOKUP($A432,'The List'!$B1:$AH665,30,FALSE)-AVERAGE('The List'!AE2:AE665))/STDEV('The List'!AE2:AE665)</f>
        <v>-0.56288529091993567</v>
      </c>
      <c r="S432" s="54">
        <f>(VLOOKUP($A432,'The List'!$B1:$AH665,31,FALSE)-AVERAGE('The List'!AF2:AF665))/STDEV('The List'!AF2:AF665)</f>
        <v>-0.56546440739581594</v>
      </c>
      <c r="T432" s="54">
        <f>(VLOOKUP($A432,'The List'!$B1:$AH665,32,FALSE)-AVERAGE('The List'!AG2:AG665))/STDEV('The List'!AG2:AG665)</f>
        <v>-0.61186439445422014</v>
      </c>
      <c r="U432" s="54">
        <f>(VLOOKUP($A432,'The List'!$B1:$AH665,33,FALSE)-AVERAGE('The List'!AH2:AH665))/STDEV('The List'!AH2:AH665)</f>
        <v>0.5455919039773347</v>
      </c>
      <c r="V432" s="54"/>
      <c r="W432" s="56"/>
      <c r="X432" s="54"/>
      <c r="Y432" s="54"/>
      <c r="Z432" s="54"/>
      <c r="AA432" s="54"/>
      <c r="AB432" s="54"/>
      <c r="AC432" s="54"/>
      <c r="AD432" s="54"/>
      <c r="AE432" s="54"/>
    </row>
    <row r="433" spans="1:31" ht="21.25" customHeight="1" x14ac:dyDescent="0.15">
      <c r="A433" s="9" t="s">
        <v>430</v>
      </c>
      <c r="B433" s="65" t="str">
        <f>VLOOKUP(A433,'Player Data'!A1:B667,2,FALSE)</f>
        <v>MTL</v>
      </c>
      <c r="C433" s="51">
        <f>((E433)*Settings!$C$12)+(F433*Settings!$C$2)+(G433*Settings!$C$3)+(H433*Settings!$C$4)+(I433*Settings!$C$5)+(K433*Settings!$C$9)+(N433*Settings!$C$6)+(J433*Settings!$C$8)+(O433*Settings!$C$7)+(P433*Settings!$C$14)+(Q433*Settings!$C$15)+(R433*Settings!$C$16)+(S433*Settings!$C$17)+(T433*Settings!$C$18)+(U433*Settings!$C$19)+(L433*Settings!$C$10)+(Settings!$C$11*M433)</f>
        <v>-2.1571160400596261</v>
      </c>
      <c r="D433" s="56">
        <f>IF(Settings!$E$12="YES",VLOOKUP(A433,'Player Data'!A1:E667,5,FALSE),82)</f>
        <v>73.375</v>
      </c>
      <c r="E433" s="54">
        <f>(VLOOKUP($A433,'The List'!$B1:$AH665,17,FALSE)-AVERAGE('The List'!R2:R665))/STDEV('The List'!R2:R665)</f>
        <v>0.86117840710002924</v>
      </c>
      <c r="F433" s="54">
        <f>(VLOOKUP($A433,'The List'!$B1:$AH665,18,FALSE)-AVERAGE('The List'!S2:S665))/STDEV('The List'!S2:S665)</f>
        <v>-0.95477273723172762</v>
      </c>
      <c r="G433" s="54">
        <f>(VLOOKUP($A433,'The List'!$B1:$AH665,19,FALSE)-AVERAGE('The List'!T2:T665))/STDEV('The List'!T2:T665)</f>
        <v>-0.48105268176250943</v>
      </c>
      <c r="H433" s="54">
        <f>(VLOOKUP($A433,'The List'!$B1:$AH665,20,FALSE)-AVERAGE('The List'!U2:U665))/STDEV('The List'!U2:U665)</f>
        <v>-0.73275035712256331</v>
      </c>
      <c r="I433" s="54">
        <f>(VLOOKUP($A433,'The List'!$B1:$AH665,21,FALSE)-AVERAGE('The List'!V2:V665))/STDEV('The List'!V2:V665)</f>
        <v>-1.1083527218241631</v>
      </c>
      <c r="J433" s="54">
        <f>(VLOOKUP($A433,'The List'!$B1:$AH665,22,FALSE)-AVERAGE('The List'!W2:W665))/STDEV('The List'!W2:W665)</f>
        <v>-0.74100494604423239</v>
      </c>
      <c r="K433" s="54">
        <f>(VLOOKUP($A433,'The List'!$B1:$AH665,23,FALSE)-AVERAGE('The List'!X2:X665))/STDEV('The List'!X2:X665)</f>
        <v>-0.81640398516200208</v>
      </c>
      <c r="L433" s="54">
        <f>(VLOOKUP($A433,'The List'!$B1:$AH665,24,FALSE)-AVERAGE('The List'!Y2:Y665))/STDEV('The List'!Y2:Y665)</f>
        <v>-0.53033296208375069</v>
      </c>
      <c r="M433" s="54">
        <f>(VLOOKUP($A433,'The List'!$B1:$AH665,25,FALSE)-AVERAGE('The List'!Z2:Z665))/STDEV('The List'!Z2:Z665)</f>
        <v>-0.13966508733086638</v>
      </c>
      <c r="N433" s="54">
        <f>(VLOOKUP($A433,'The List'!$B1:$AH665,26,FALSE)-AVERAGE('The List'!AA2:AA665))/STDEV('The List'!AA2:AA665)</f>
        <v>2.580496923340541</v>
      </c>
      <c r="O433" s="54">
        <f>(VLOOKUP($A433,'The List'!$B1:$AH665,27,FALSE)-AVERAGE('The List'!AB2:AB665))/STDEV('The List'!AB2:AB665)</f>
        <v>-3.4539546880859126E-2</v>
      </c>
      <c r="P433" s="54">
        <f>(VLOOKUP($A433,'The List'!$B1:$AH665,28,FALSE)-AVERAGE('The List'!AC2:AC665))/STDEV('The List'!AC2:AC665)</f>
        <v>-1.3770308374197653</v>
      </c>
      <c r="Q433" s="54">
        <f>(VLOOKUP($A433,'The List'!$B1:$AH665,29,FALSE)-AVERAGE('The List'!AD2:AD665))/STDEV('The List'!AD2:AD665)</f>
        <v>-0.24414336440782522</v>
      </c>
      <c r="R433" s="54">
        <f>(VLOOKUP($A433,'The List'!$B1:$AH665,30,FALSE)-AVERAGE('The List'!AE2:AE665))/STDEV('The List'!AE2:AE665)</f>
        <v>-0.99327481448445976</v>
      </c>
      <c r="S433" s="54">
        <f>(VLOOKUP($A433,'The List'!$B1:$AH665,31,FALSE)-AVERAGE('The List'!AF2:AF665))/STDEV('The List'!AF2:AF665)</f>
        <v>-0.57389441068000469</v>
      </c>
      <c r="T433" s="54">
        <f>(VLOOKUP($A433,'The List'!$B1:$AH665,32,FALSE)-AVERAGE('The List'!AG2:AG665))/STDEV('The List'!AG2:AG665)</f>
        <v>-0.62577078713265111</v>
      </c>
      <c r="U433" s="54">
        <f>(VLOOKUP($A433,'The List'!$B1:$AH665,33,FALSE)-AVERAGE('The List'!AH2:AH665))/STDEV('The List'!AH2:AH665)</f>
        <v>-1.2314350945148611</v>
      </c>
      <c r="V433" s="54"/>
      <c r="W433" s="56"/>
      <c r="X433" s="54"/>
      <c r="Y433" s="54"/>
      <c r="Z433" s="54"/>
      <c r="AA433" s="54"/>
      <c r="AB433" s="54"/>
      <c r="AC433" s="54"/>
      <c r="AD433" s="54"/>
      <c r="AE433" s="54"/>
    </row>
    <row r="434" spans="1:31" ht="21.25" customHeight="1" x14ac:dyDescent="0.15">
      <c r="A434" s="9" t="s">
        <v>700</v>
      </c>
      <c r="B434" s="65" t="str">
        <f>VLOOKUP(A434,'Player Data'!A1:B667,2,FALSE)</f>
        <v>T.B</v>
      </c>
      <c r="C434" s="51">
        <f>((E434)*Settings!$C$12)+(F434*Settings!$C$2)+(G434*Settings!$C$3)+(H434*Settings!$C$4)+(I434*Settings!$C$5)+(K434*Settings!$C$9)+(N434*Settings!$C$6)+(J434*Settings!$C$8)+(O434*Settings!$C$7)+(P434*Settings!$C$14)+(Q434*Settings!$C$15)+(R434*Settings!$C$16)+(S434*Settings!$C$17)+(T434*Settings!$C$18)+(U434*Settings!$C$19)+(L434*Settings!$C$10)+(Settings!$C$11*M434)</f>
        <v>-3.1453841695450548</v>
      </c>
      <c r="D434" s="56">
        <f>IF(Settings!$E$12="YES",VLOOKUP(A434,'Player Data'!A1:E667,5,FALSE),82)</f>
        <v>76.492500000000007</v>
      </c>
      <c r="E434" s="54">
        <f>(VLOOKUP($A434,'The List'!$B1:$AH665,17,FALSE)-AVERAGE('The List'!R2:R665))/STDEV('The List'!R2:R665)</f>
        <v>-1.2576774161138249</v>
      </c>
      <c r="F434" s="54">
        <f>(VLOOKUP($A434,'The List'!$B1:$AH665,18,FALSE)-AVERAGE('The List'!S2:S665))/STDEV('The List'!S2:S665)</f>
        <v>-0.56999598682099906</v>
      </c>
      <c r="G434" s="54">
        <f>(VLOOKUP($A434,'The List'!$B1:$AH665,19,FALSE)-AVERAGE('The List'!T2:T665))/STDEV('The List'!T2:T665)</f>
        <v>-0.70779568699303663</v>
      </c>
      <c r="H434" s="54">
        <f>(VLOOKUP($A434,'The List'!$B1:$AH665,20,FALSE)-AVERAGE('The List'!U2:U665))/STDEV('The List'!U2:U665)</f>
        <v>-0.69867118973351916</v>
      </c>
      <c r="I434" s="54">
        <f>(VLOOKUP($A434,'The List'!$B1:$AH665,21,FALSE)-AVERAGE('The List'!V2:V665))/STDEV('The List'!V2:V665)</f>
        <v>-0.67062348421814333</v>
      </c>
      <c r="J434" s="54">
        <f>(VLOOKUP($A434,'The List'!$B1:$AH665,22,FALSE)-AVERAGE('The List'!W2:W665))/STDEV('The List'!W2:W665)</f>
        <v>-0.71734553883394581</v>
      </c>
      <c r="K434" s="54">
        <f>(VLOOKUP($A434,'The List'!$B1:$AH665,23,FALSE)-AVERAGE('The List'!X2:X665))/STDEV('The List'!X2:X665)</f>
        <v>-0.79650251158690821</v>
      </c>
      <c r="L434" s="54">
        <f>(VLOOKUP($A434,'The List'!$B1:$AH665,24,FALSE)-AVERAGE('The List'!Y2:Y665))/STDEV('The List'!Y2:Y665)</f>
        <v>-0.32574246073494278</v>
      </c>
      <c r="M434" s="54">
        <f>(VLOOKUP($A434,'The List'!$B1:$AH665,25,FALSE)-AVERAGE('The List'!Z2:Z665))/STDEV('The List'!Z2:Z665)</f>
        <v>-0.5614609364503923</v>
      </c>
      <c r="N434" s="54">
        <f>(VLOOKUP($A434,'The List'!$B1:$AH665,26,FALSE)-AVERAGE('The List'!AA2:AA665))/STDEV('The List'!AA2:AA665)</f>
        <v>-0.56182092786799986</v>
      </c>
      <c r="O434" s="54">
        <f>(VLOOKUP($A434,'The List'!$B1:$AH665,27,FALSE)-AVERAGE('The List'!AB2:AB665))/STDEV('The List'!AB2:AB665)</f>
        <v>-1.0129313631724923</v>
      </c>
      <c r="P434" s="54">
        <f>(VLOOKUP($A434,'The List'!$B1:$AH665,28,FALSE)-AVERAGE('The List'!AC2:AC665))/STDEV('The List'!AC2:AC665)</f>
        <v>0.1613544279420322</v>
      </c>
      <c r="Q434" s="54">
        <f>(VLOOKUP($A434,'The List'!$B1:$AH665,29,FALSE)-AVERAGE('The List'!AD2:AD665))/STDEV('The List'!AD2:AD665)</f>
        <v>-1.2345063374934553</v>
      </c>
      <c r="R434" s="54">
        <f>(VLOOKUP($A434,'The List'!$B1:$AH665,30,FALSE)-AVERAGE('The List'!AE2:AE665))/STDEV('The List'!AE2:AE665)</f>
        <v>-0.50287909647568296</v>
      </c>
      <c r="S434" s="54">
        <f>(VLOOKUP($A434,'The List'!$B1:$AH665,31,FALSE)-AVERAGE('The List'!AF2:AF665))/STDEV('The List'!AF2:AF665)</f>
        <v>-0.52980322055930174</v>
      </c>
      <c r="T434" s="54">
        <f>(VLOOKUP($A434,'The List'!$B1:$AH665,32,FALSE)-AVERAGE('The List'!AG2:AG665))/STDEV('The List'!AG2:AG665)</f>
        <v>-0.56700579669751794</v>
      </c>
      <c r="U434" s="54">
        <f>(VLOOKUP($A434,'The List'!$B1:$AH665,33,FALSE)-AVERAGE('The List'!AH2:AH665))/STDEV('The List'!AH2:AH665)</f>
        <v>0.78052546669299716</v>
      </c>
      <c r="V434" s="54"/>
      <c r="W434" s="64"/>
      <c r="X434" s="56"/>
      <c r="Y434" s="56"/>
      <c r="Z434" s="56"/>
      <c r="AA434" s="56"/>
      <c r="AB434" s="56"/>
      <c r="AC434" s="59"/>
      <c r="AD434" s="60"/>
      <c r="AE434" s="54"/>
    </row>
    <row r="435" spans="1:31" ht="21.25" customHeight="1" x14ac:dyDescent="0.15">
      <c r="A435" s="9" t="s">
        <v>719</v>
      </c>
      <c r="B435" s="65" t="str">
        <f>VLOOKUP(A435,'Player Data'!A1:B667,2,FALSE)</f>
        <v>VAN</v>
      </c>
      <c r="C435" s="51">
        <f>((E435)*Settings!$C$12)+(F435*Settings!$C$2)+(G435*Settings!$C$3)+(H435*Settings!$C$4)+(I435*Settings!$C$5)+(K435*Settings!$C$9)+(N435*Settings!$C$6)+(J435*Settings!$C$8)+(O435*Settings!$C$7)+(P435*Settings!$C$14)+(Q435*Settings!$C$15)+(R435*Settings!$C$16)+(S435*Settings!$C$17)+(T435*Settings!$C$18)+(U435*Settings!$C$19)+(L435*Settings!$C$10)+(Settings!$C$11*M435)</f>
        <v>-2.4543468536161472</v>
      </c>
      <c r="D435" s="56">
        <f>IF(Settings!$E$12="YES",VLOOKUP(A435,'Player Data'!A1:E667,5,FALSE),82)</f>
        <v>75.232500000000002</v>
      </c>
      <c r="E435" s="54">
        <f>(VLOOKUP($A435,'The List'!$B1:$AH665,17,FALSE)-AVERAGE('The List'!R2:R665))/STDEV('The List'!R2:R665)</f>
        <v>-1.0573809244113064</v>
      </c>
      <c r="F435" s="54">
        <f>(VLOOKUP($A435,'The List'!$B1:$AH665,18,FALSE)-AVERAGE('The List'!S2:S665))/STDEV('The List'!S2:S665)</f>
        <v>-0.80931872781542669</v>
      </c>
      <c r="G435" s="54">
        <f>(VLOOKUP($A435,'The List'!$B1:$AH665,19,FALSE)-AVERAGE('The List'!T2:T665))/STDEV('The List'!T2:T665)</f>
        <v>-0.57299850685173059</v>
      </c>
      <c r="H435" s="54">
        <f>(VLOOKUP($A435,'The List'!$B1:$AH665,20,FALSE)-AVERAGE('The List'!U2:U665))/STDEV('The List'!U2:U665)</f>
        <v>-0.72373812317954511</v>
      </c>
      <c r="I435" s="54">
        <f>(VLOOKUP($A435,'The List'!$B1:$AH665,21,FALSE)-AVERAGE('The List'!V2:V665))/STDEV('The List'!V2:V665)</f>
        <v>-0.70174845996776036</v>
      </c>
      <c r="J435" s="54">
        <f>(VLOOKUP($A435,'The List'!$B1:$AH665,22,FALSE)-AVERAGE('The List'!W2:W665))/STDEV('The List'!W2:W665)</f>
        <v>-0.72205503056117926</v>
      </c>
      <c r="K435" s="54">
        <f>(VLOOKUP($A435,'The List'!$B1:$AH665,23,FALSE)-AVERAGE('The List'!X2:X665))/STDEV('The List'!X2:X665)</f>
        <v>-0.80696548545810376</v>
      </c>
      <c r="L435" s="54">
        <f>(VLOOKUP($A435,'The List'!$B1:$AH665,24,FALSE)-AVERAGE('The List'!Y2:Y665))/STDEV('The List'!Y2:Y665)</f>
        <v>1.2687710164452672</v>
      </c>
      <c r="M435" s="54">
        <f>(VLOOKUP($A435,'The List'!$B1:$AH665,25,FALSE)-AVERAGE('The List'!Z2:Z665))/STDEV('The List'!Z2:Z665)</f>
        <v>1.9355444661544896</v>
      </c>
      <c r="N435" s="54">
        <f>(VLOOKUP($A435,'The List'!$B1:$AH665,26,FALSE)-AVERAGE('The List'!AA2:AA665))/STDEV('The List'!AA2:AA665)</f>
        <v>-0.49054839117804661</v>
      </c>
      <c r="O435" s="54">
        <f>(VLOOKUP($A435,'The List'!$B1:$AH665,27,FALSE)-AVERAGE('The List'!AB2:AB665))/STDEV('The List'!AB2:AB665)</f>
        <v>4.4144088176304559E-2</v>
      </c>
      <c r="P435" s="54">
        <f>(VLOOKUP($A435,'The List'!$B1:$AH665,28,FALSE)-AVERAGE('The List'!AC2:AC665))/STDEV('The List'!AC2:AC665)</f>
        <v>0.92723271765492088</v>
      </c>
      <c r="Q435" s="54">
        <f>(VLOOKUP($A435,'The List'!$B1:$AH665,29,FALSE)-AVERAGE('The List'!AD2:AD665))/STDEV('The List'!AD2:AD665)</f>
        <v>-0.83750191293703657</v>
      </c>
      <c r="R435" s="54">
        <f>(VLOOKUP($A435,'The List'!$B1:$AH665,30,FALSE)-AVERAGE('The List'!AE2:AE665))/STDEV('The List'!AE2:AE665)</f>
        <v>-0.70046619508310071</v>
      </c>
      <c r="S435" s="54">
        <f>(VLOOKUP($A435,'The List'!$B1:$AH665,31,FALSE)-AVERAGE('The List'!AF2:AF665))/STDEV('The List'!AF2:AF665)</f>
        <v>1.2948246317999552</v>
      </c>
      <c r="T435" s="54">
        <f>(VLOOKUP($A435,'The List'!$B1:$AH665,32,FALSE)-AVERAGE('The List'!AG2:AG665))/STDEV('The List'!AG2:AG665)</f>
        <v>1.1533295397515655</v>
      </c>
      <c r="U435" s="54">
        <f>(VLOOKUP($A435,'The List'!$B1:$AH665,33,FALSE)-AVERAGE('The List'!AH2:AH665))/STDEV('The List'!AH2:AH665)</f>
        <v>1.1605844831215857</v>
      </c>
      <c r="V435" s="54"/>
      <c r="W435" s="64"/>
      <c r="X435" s="56"/>
      <c r="Y435" s="56"/>
      <c r="Z435" s="56"/>
      <c r="AA435" s="56"/>
      <c r="AB435" s="56"/>
      <c r="AC435" s="59"/>
      <c r="AD435" s="60"/>
      <c r="AE435" s="54"/>
    </row>
    <row r="436" spans="1:31" ht="21.25" customHeight="1" x14ac:dyDescent="0.15">
      <c r="A436" s="9" t="s">
        <v>777</v>
      </c>
      <c r="B436" s="65" t="str">
        <f>VLOOKUP(A436,'Player Data'!A1:B667,2,FALSE)</f>
        <v>NYI</v>
      </c>
      <c r="C436" s="51">
        <f>((E436)*Settings!$C$12)+(F436*Settings!$C$2)+(G436*Settings!$C$3)+(H436*Settings!$C$4)+(I436*Settings!$C$5)+(K436*Settings!$C$9)+(N436*Settings!$C$6)+(J436*Settings!$C$8)+(O436*Settings!$C$7)+(P436*Settings!$C$14)+(Q436*Settings!$C$15)+(R436*Settings!$C$16)+(S436*Settings!$C$17)+(T436*Settings!$C$18)+(U436*Settings!$C$19)+(L436*Settings!$C$10)+(Settings!$C$11*M436)</f>
        <v>-4.1910928386930877</v>
      </c>
      <c r="D436" s="56">
        <f>IF(Settings!$E$12="YES",VLOOKUP(A436,'Player Data'!A1:E667,5,FALSE),82)</f>
        <v>64.655000000000001</v>
      </c>
      <c r="E436" s="54">
        <f>(VLOOKUP($A436,'The List'!$B1:$AH665,17,FALSE)-AVERAGE('The List'!R2:R665))/STDEV('The List'!R2:R665)</f>
        <v>-1.6007661198402385</v>
      </c>
      <c r="F436" s="54">
        <f>(VLOOKUP($A436,'The List'!$B1:$AH665,18,FALSE)-AVERAGE('The List'!S2:S665))/STDEV('The List'!S2:S665)</f>
        <v>-0.573859093243545</v>
      </c>
      <c r="G436" s="54">
        <f>(VLOOKUP($A436,'The List'!$B1:$AH665,19,FALSE)-AVERAGE('The List'!T2:T665))/STDEV('The List'!T2:T665)</f>
        <v>-0.95834746392817971</v>
      </c>
      <c r="H436" s="54">
        <f>(VLOOKUP($A436,'The List'!$B1:$AH665,20,FALSE)-AVERAGE('The List'!U2:U665))/STDEV('The List'!U2:U665)</f>
        <v>-0.85603389676136321</v>
      </c>
      <c r="I436" s="54">
        <f>(VLOOKUP($A436,'The List'!$B1:$AH665,21,FALSE)-AVERAGE('The List'!V2:V665))/STDEV('The List'!V2:V665)</f>
        <v>-1.149646798888329</v>
      </c>
      <c r="J436" s="54">
        <f>(VLOOKUP($A436,'The List'!$B1:$AH665,22,FALSE)-AVERAGE('The List'!W2:W665))/STDEV('The List'!W2:W665)</f>
        <v>-0.7291463647135481</v>
      </c>
      <c r="K436" s="54">
        <f>(VLOOKUP($A436,'The List'!$B1:$AH665,23,FALSE)-AVERAGE('The List'!X2:X665))/STDEV('The List'!X2:X665)</f>
        <v>-0.81460917683958423</v>
      </c>
      <c r="L436" s="54">
        <f>(VLOOKUP($A436,'The List'!$B1:$AH665,24,FALSE)-AVERAGE('The List'!Y2:Y665))/STDEV('The List'!Y2:Y665)</f>
        <v>-0.53282029497886763</v>
      </c>
      <c r="M436" s="54">
        <f>(VLOOKUP($A436,'The List'!$B1:$AH665,25,FALSE)-AVERAGE('The List'!Z2:Z665))/STDEV('The List'!Z2:Z665)</f>
        <v>-0.70548765189541895</v>
      </c>
      <c r="N436" s="54">
        <f>(VLOOKUP($A436,'The List'!$B1:$AH665,26,FALSE)-AVERAGE('The List'!AA2:AA665))/STDEV('The List'!AA2:AA665)</f>
        <v>-1.0651640255203587</v>
      </c>
      <c r="O436" s="54">
        <f>(VLOOKUP($A436,'The List'!$B1:$AH665,27,FALSE)-AVERAGE('The List'!AB2:AB665))/STDEV('The List'!AB2:AB665)</f>
        <v>0.59518952894343624</v>
      </c>
      <c r="P436" s="54">
        <f>(VLOOKUP($A436,'The List'!$B1:$AH665,28,FALSE)-AVERAGE('The List'!AC2:AC665))/STDEV('The List'!AC2:AC665)</f>
        <v>0.37053371972690924</v>
      </c>
      <c r="Q436" s="54">
        <f>(VLOOKUP($A436,'The List'!$B1:$AH665,29,FALSE)-AVERAGE('The List'!AD2:AD665))/STDEV('The List'!AD2:AD665)</f>
        <v>-0.87704915109508552</v>
      </c>
      <c r="R436" s="54">
        <f>(VLOOKUP($A436,'The List'!$B1:$AH665,30,FALSE)-AVERAGE('The List'!AE2:AE665))/STDEV('The List'!AE2:AE665)</f>
        <v>-0.50874928111287088</v>
      </c>
      <c r="S436" s="54">
        <f>(VLOOKUP($A436,'The List'!$B1:$AH665,31,FALSE)-AVERAGE('The List'!AF2:AF665))/STDEV('The List'!AF2:AF665)</f>
        <v>0.54382335376660773</v>
      </c>
      <c r="T436" s="54">
        <f>(VLOOKUP($A436,'The List'!$B1:$AH665,32,FALSE)-AVERAGE('The List'!AG2:AG665))/STDEV('The List'!AG2:AG665)</f>
        <v>0.9820135179791003</v>
      </c>
      <c r="U436" s="54">
        <f>(VLOOKUP($A436,'The List'!$B1:$AH665,33,FALSE)-AVERAGE('The List'!AH2:AH665))/STDEV('The List'!AH2:AH665)</f>
        <v>0.69557359970800181</v>
      </c>
      <c r="V436" s="54"/>
      <c r="W436" s="64"/>
      <c r="X436" s="56"/>
      <c r="Y436" s="56"/>
      <c r="Z436" s="56"/>
      <c r="AA436" s="56"/>
      <c r="AB436" s="56"/>
      <c r="AC436" s="59"/>
      <c r="AD436" s="60"/>
      <c r="AE436" s="54"/>
    </row>
    <row r="437" spans="1:31" ht="21.25" customHeight="1" x14ac:dyDescent="0.15">
      <c r="A437" s="9" t="s">
        <v>750</v>
      </c>
      <c r="B437" s="65" t="str">
        <f>VLOOKUP(A437,'Player Data'!A1:B667,2,FALSE)</f>
        <v>ANA</v>
      </c>
      <c r="C437" s="51">
        <f>((E437)*Settings!$C$12)+(F437*Settings!$C$2)+(G437*Settings!$C$3)+(H437*Settings!$C$4)+(I437*Settings!$C$5)+(K437*Settings!$C$9)+(N437*Settings!$C$6)+(J437*Settings!$C$8)+(O437*Settings!$C$7)+(P437*Settings!$C$14)+(Q437*Settings!$C$15)+(R437*Settings!$C$16)+(S437*Settings!$C$17)+(T437*Settings!$C$18)+(U437*Settings!$C$19)+(L437*Settings!$C$10)+(Settings!$C$11*M437)</f>
        <v>-5.2742436631082334</v>
      </c>
      <c r="D437" s="56">
        <f>IF(Settings!$E$12="YES",VLOOKUP(A437,'Player Data'!A1:E667,5,FALSE),82)</f>
        <v>72.552499999999995</v>
      </c>
      <c r="E437" s="54">
        <f>(VLOOKUP($A437,'The List'!$B1:$AH665,17,FALSE)-AVERAGE('The List'!R2:R665))/STDEV('The List'!R2:R665)</f>
        <v>-0.93428894047039424</v>
      </c>
      <c r="F437" s="54">
        <f>(VLOOKUP($A437,'The List'!$B1:$AH665,18,FALSE)-AVERAGE('The List'!S2:S665))/STDEV('The List'!S2:S665)</f>
        <v>-0.49447650429024231</v>
      </c>
      <c r="G437" s="54">
        <f>(VLOOKUP($A437,'The List'!$B1:$AH665,19,FALSE)-AVERAGE('The List'!T2:T665))/STDEV('The List'!T2:T665)</f>
        <v>-0.86141711105804397</v>
      </c>
      <c r="H437" s="54">
        <f>(VLOOKUP($A437,'The List'!$B1:$AH665,20,FALSE)-AVERAGE('The List'!U2:U665))/STDEV('The List'!U2:U665)</f>
        <v>-0.75975153738145751</v>
      </c>
      <c r="I437" s="54">
        <f>(VLOOKUP($A437,'The List'!$B1:$AH665,21,FALSE)-AVERAGE('The List'!V2:V665))/STDEV('The List'!V2:V665)</f>
        <v>-1.0987375914978432</v>
      </c>
      <c r="J437" s="54">
        <f>(VLOOKUP($A437,'The List'!$B1:$AH665,22,FALSE)-AVERAGE('The List'!W2:W665))/STDEV('The List'!W2:W665)</f>
        <v>-0.68782791550309674</v>
      </c>
      <c r="K437" s="54">
        <f>(VLOOKUP($A437,'The List'!$B1:$AH665,23,FALSE)-AVERAGE('The List'!X2:X665))/STDEV('The List'!X2:X665)</f>
        <v>-0.77855872001340787</v>
      </c>
      <c r="L437" s="54">
        <f>(VLOOKUP($A437,'The List'!$B1:$AH665,24,FALSE)-AVERAGE('The List'!Y2:Y665))/STDEV('The List'!Y2:Y665)</f>
        <v>1.9383583775959883</v>
      </c>
      <c r="M437" s="54">
        <f>(VLOOKUP($A437,'The List'!$B1:$AH665,25,FALSE)-AVERAGE('The List'!Z2:Z665))/STDEV('The List'!Z2:Z665)</f>
        <v>0.8999985636659692</v>
      </c>
      <c r="N437" s="54">
        <f>(VLOOKUP($A437,'The List'!$B1:$AH665,26,FALSE)-AVERAGE('The List'!AA2:AA665))/STDEV('The List'!AA2:AA665)</f>
        <v>-0.51218980210803144</v>
      </c>
      <c r="O437" s="54">
        <f>(VLOOKUP($A437,'The List'!$B1:$AH665,27,FALSE)-AVERAGE('The List'!AB2:AB665))/STDEV('The List'!AB2:AB665)</f>
        <v>-0.67111939279717714</v>
      </c>
      <c r="P437" s="54">
        <f>(VLOOKUP($A437,'The List'!$B1:$AH665,28,FALSE)-AVERAGE('The List'!AC2:AC665))/STDEV('The List'!AC2:AC665)</f>
        <v>-1.5288639341406651</v>
      </c>
      <c r="Q437" s="54">
        <f>(VLOOKUP($A437,'The List'!$B1:$AH665,29,FALSE)-AVERAGE('The List'!AD2:AD665))/STDEV('The List'!AD2:AD665)</f>
        <v>-1.6879299580805087</v>
      </c>
      <c r="R437" s="54">
        <f>(VLOOKUP($A437,'The List'!$B1:$AH665,30,FALSE)-AVERAGE('The List'!AE2:AE665))/STDEV('The List'!AE2:AE665)</f>
        <v>-0.64730026732790713</v>
      </c>
      <c r="S437" s="54">
        <f>(VLOOKUP($A437,'The List'!$B1:$AH665,31,FALSE)-AVERAGE('The List'!AF2:AF665))/STDEV('The List'!AF2:AF665)</f>
        <v>0.77533998536860094</v>
      </c>
      <c r="T437" s="54">
        <f>(VLOOKUP($A437,'The List'!$B1:$AH665,32,FALSE)-AVERAGE('The List'!AG2:AG665))/STDEV('The List'!AG2:AG665)</f>
        <v>1.1013335160930147</v>
      </c>
      <c r="U437" s="54">
        <f>(VLOOKUP($A437,'The List'!$B1:$AH665,33,FALSE)-AVERAGE('The List'!AH2:AH665))/STDEV('The List'!AH2:AH665)</f>
        <v>0.82580303263383914</v>
      </c>
      <c r="V437" s="54"/>
      <c r="W437" s="56"/>
      <c r="X437" s="54"/>
      <c r="Y437" s="54"/>
      <c r="Z437" s="54"/>
      <c r="AA437" s="54"/>
      <c r="AB437" s="54"/>
      <c r="AC437" s="54"/>
      <c r="AD437" s="54"/>
      <c r="AE437" s="54"/>
    </row>
    <row r="438" spans="1:31" ht="21.25" customHeight="1" x14ac:dyDescent="0.15">
      <c r="A438" s="9" t="s">
        <v>485</v>
      </c>
      <c r="B438" s="65" t="str">
        <f>VLOOKUP(A438,'Player Data'!A1:B667,2,FALSE)</f>
        <v>SEA</v>
      </c>
      <c r="C438" s="51">
        <f>((E438)*Settings!$C$12)+(F438*Settings!$C$2)+(G438*Settings!$C$3)+(H438*Settings!$C$4)+(I438*Settings!$C$5)+(K438*Settings!$C$9)+(N438*Settings!$C$6)+(J438*Settings!$C$8)+(O438*Settings!$C$7)+(P438*Settings!$C$14)+(Q438*Settings!$C$15)+(R438*Settings!$C$16)+(S438*Settings!$C$17)+(T438*Settings!$C$18)+(U438*Settings!$C$19)+(L438*Settings!$C$10)+(Settings!$C$11*M438)</f>
        <v>-2.5890097046609997</v>
      </c>
      <c r="D438" s="56">
        <f>IF(Settings!$E$12="YES",VLOOKUP(A438,'Player Data'!A1:E667,5,FALSE),82)</f>
        <v>77.430000000000007</v>
      </c>
      <c r="E438" s="54">
        <f>(VLOOKUP($A438,'The List'!$B1:$AH665,17,FALSE)-AVERAGE('The List'!R2:R665))/STDEV('The List'!R2:R665)</f>
        <v>0.21714806527412558</v>
      </c>
      <c r="F438" s="54">
        <f>(VLOOKUP($A438,'The List'!$B1:$AH665,18,FALSE)-AVERAGE('The List'!S2:S665))/STDEV('The List'!S2:S665)</f>
        <v>-1.0143153654730499</v>
      </c>
      <c r="G438" s="54">
        <f>(VLOOKUP($A438,'The List'!$B1:$AH665,19,FALSE)-AVERAGE('The List'!T2:T665))/STDEV('The List'!T2:T665)</f>
        <v>-0.38819778223583468</v>
      </c>
      <c r="H438" s="54">
        <f>(VLOOKUP($A438,'The List'!$B1:$AH665,20,FALSE)-AVERAGE('The List'!U2:U665))/STDEV('The List'!U2:U665)</f>
        <v>-0.70214719828460792</v>
      </c>
      <c r="I438" s="54">
        <f>(VLOOKUP($A438,'The List'!$B1:$AH665,21,FALSE)-AVERAGE('The List'!V2:V665))/STDEV('The List'!V2:V665)</f>
        <v>-0.74897181276876379</v>
      </c>
      <c r="J438" s="54">
        <f>(VLOOKUP($A438,'The List'!$B1:$AH665,22,FALSE)-AVERAGE('The List'!W2:W665))/STDEV('The List'!W2:W665)</f>
        <v>-0.74181916758345168</v>
      </c>
      <c r="K438" s="54">
        <f>(VLOOKUP($A438,'The List'!$B1:$AH665,23,FALSE)-AVERAGE('The List'!X2:X665))/STDEV('The List'!X2:X665)</f>
        <v>-0.81899412730431087</v>
      </c>
      <c r="L438" s="54">
        <f>(VLOOKUP($A438,'The List'!$B1:$AH665,24,FALSE)-AVERAGE('The List'!Y2:Y665))/STDEV('The List'!Y2:Y665)</f>
        <v>-0.52389561294962239</v>
      </c>
      <c r="M438" s="54">
        <f>(VLOOKUP($A438,'The List'!$B1:$AH665,25,FALSE)-AVERAGE('The List'!Z2:Z665))/STDEV('The List'!Z2:Z665)</f>
        <v>-0.60442532339336918</v>
      </c>
      <c r="N438" s="54">
        <f>(VLOOKUP($A438,'The List'!$B1:$AH665,26,FALSE)-AVERAGE('The List'!AA2:AA665))/STDEV('The List'!AA2:AA665)</f>
        <v>0.91905536747480832</v>
      </c>
      <c r="O438" s="54">
        <f>(VLOOKUP($A438,'The List'!$B1:$AH665,27,FALSE)-AVERAGE('The List'!AB2:AB665))/STDEV('The List'!AB2:AB665)</f>
        <v>1.707763999260562</v>
      </c>
      <c r="P438" s="54">
        <f>(VLOOKUP($A438,'The List'!$B1:$AH665,28,FALSE)-AVERAGE('The List'!AC2:AC665))/STDEV('The List'!AC2:AC665)</f>
        <v>-0.53758598435384819</v>
      </c>
      <c r="Q438" s="54">
        <f>(VLOOKUP($A438,'The List'!$B1:$AH665,29,FALSE)-AVERAGE('The List'!AD2:AD665))/STDEV('The List'!AD2:AD665)</f>
        <v>1.1172079131820616</v>
      </c>
      <c r="R438" s="54">
        <f>(VLOOKUP($A438,'The List'!$B1:$AH665,30,FALSE)-AVERAGE('The List'!AE2:AE665))/STDEV('The List'!AE2:AE665)</f>
        <v>-0.96394020377167933</v>
      </c>
      <c r="S438" s="54">
        <f>(VLOOKUP($A438,'The List'!$B1:$AH665,31,FALSE)-AVERAGE('The List'!AF2:AF665))/STDEV('The List'!AF2:AF665)</f>
        <v>-0.57389441068000469</v>
      </c>
      <c r="T438" s="54">
        <f>(VLOOKUP($A438,'The List'!$B1:$AH665,32,FALSE)-AVERAGE('The List'!AG2:AG665))/STDEV('The List'!AG2:AG665)</f>
        <v>-0.62577078713265111</v>
      </c>
      <c r="U438" s="54">
        <f>(VLOOKUP($A438,'The List'!$B1:$AH665,33,FALSE)-AVERAGE('The List'!AH2:AH665))/STDEV('The List'!AH2:AH665)</f>
        <v>-1.2314350945148611</v>
      </c>
      <c r="V438" s="54"/>
      <c r="W438" s="64"/>
      <c r="X438" s="56"/>
      <c r="Y438" s="56"/>
      <c r="Z438" s="56"/>
      <c r="AA438" s="56"/>
      <c r="AB438" s="56"/>
      <c r="AC438" s="59"/>
      <c r="AD438" s="60"/>
      <c r="AE438" s="54"/>
    </row>
    <row r="439" spans="1:31" ht="21.25" customHeight="1" x14ac:dyDescent="0.15">
      <c r="A439" s="9" t="s">
        <v>674</v>
      </c>
      <c r="B439" s="65" t="str">
        <f>VLOOKUP(A439,'Player Data'!A1:B667,2,FALSE)</f>
        <v>NSH</v>
      </c>
      <c r="C439" s="51">
        <f>((E439)*Settings!$C$12)+(F439*Settings!$C$2)+(G439*Settings!$C$3)+(H439*Settings!$C$4)+(I439*Settings!$C$5)+(K439*Settings!$C$9)+(N439*Settings!$C$6)+(J439*Settings!$C$8)+(O439*Settings!$C$7)+(P439*Settings!$C$14)+(Q439*Settings!$C$15)+(R439*Settings!$C$16)+(S439*Settings!$C$17)+(T439*Settings!$C$18)+(U439*Settings!$C$19)+(L439*Settings!$C$10)+(Settings!$C$11*M439)</f>
        <v>-2.7155062616481791</v>
      </c>
      <c r="D439" s="56">
        <f>IF(Settings!$E$12="YES",VLOOKUP(A439,'Player Data'!A1:E667,5,FALSE),82)</f>
        <v>81.552499999999995</v>
      </c>
      <c r="E439" s="54">
        <f>(VLOOKUP($A439,'The List'!$B1:$AH665,17,FALSE)-AVERAGE('The List'!R2:R665))/STDEV('The List'!R2:R665)</f>
        <v>-0.79343936901832046</v>
      </c>
      <c r="F439" s="54">
        <f>(VLOOKUP($A439,'The List'!$B1:$AH665,18,FALSE)-AVERAGE('The List'!S2:S665))/STDEV('The List'!S2:S665)</f>
        <v>-0.49123515467579837</v>
      </c>
      <c r="G439" s="54">
        <f>(VLOOKUP($A439,'The List'!$B1:$AH665,19,FALSE)-AVERAGE('The List'!T2:T665))/STDEV('The List'!T2:T665)</f>
        <v>-0.69555314226377618</v>
      </c>
      <c r="H439" s="54">
        <f>(VLOOKUP($A439,'The List'!$B1:$AH665,20,FALSE)-AVERAGE('The List'!U2:U665))/STDEV('The List'!U2:U665)</f>
        <v>-0.65526733906858614</v>
      </c>
      <c r="I439" s="54">
        <f>(VLOOKUP($A439,'The List'!$B1:$AH665,21,FALSE)-AVERAGE('The List'!V2:V665))/STDEV('The List'!V2:V665)</f>
        <v>-0.69295105406302415</v>
      </c>
      <c r="J439" s="54">
        <f>(VLOOKUP($A439,'The List'!$B1:$AH665,22,FALSE)-AVERAGE('The List'!W2:W665))/STDEV('The List'!W2:W665)</f>
        <v>-0.59142962503269614</v>
      </c>
      <c r="K439" s="54">
        <f>(VLOOKUP($A439,'The List'!$B1:$AH665,23,FALSE)-AVERAGE('The List'!X2:X665))/STDEV('The List'!X2:X665)</f>
        <v>-0.66580373100301238</v>
      </c>
      <c r="L439" s="54">
        <f>(VLOOKUP($A439,'The List'!$B1:$AH665,24,FALSE)-AVERAGE('The List'!Y2:Y665))/STDEV('The List'!Y2:Y665)</f>
        <v>1.6313712145765993</v>
      </c>
      <c r="M439" s="54">
        <f>(VLOOKUP($A439,'The List'!$B1:$AH665,25,FALSE)-AVERAGE('The List'!Z2:Z665))/STDEV('The List'!Z2:Z665)</f>
        <v>1.0717870619864938</v>
      </c>
      <c r="N439" s="54">
        <f>(VLOOKUP($A439,'The List'!$B1:$AH665,26,FALSE)-AVERAGE('The List'!AA2:AA665))/STDEV('The List'!AA2:AA665)</f>
        <v>-0.27975572189764747</v>
      </c>
      <c r="O439" s="54">
        <f>(VLOOKUP($A439,'The List'!$B1:$AH665,27,FALSE)-AVERAGE('The List'!AB2:AB665))/STDEV('The List'!AB2:AB665)</f>
        <v>0.74047157944866326</v>
      </c>
      <c r="P439" s="54">
        <f>(VLOOKUP($A439,'The List'!$B1:$AH665,28,FALSE)-AVERAGE('The List'!AC2:AC665))/STDEV('The List'!AC2:AC665)</f>
        <v>0.10979254225507976</v>
      </c>
      <c r="Q439" s="54">
        <f>(VLOOKUP($A439,'The List'!$B1:$AH665,29,FALSE)-AVERAGE('The List'!AD2:AD665))/STDEV('The List'!AD2:AD665)</f>
        <v>-0.40768785057117257</v>
      </c>
      <c r="R439" s="54">
        <f>(VLOOKUP($A439,'The List'!$B1:$AH665,30,FALSE)-AVERAGE('The List'!AE2:AE665))/STDEV('The List'!AE2:AE665)</f>
        <v>-0.5095497988627461</v>
      </c>
      <c r="S439" s="54">
        <f>(VLOOKUP($A439,'The List'!$B1:$AH665,31,FALSE)-AVERAGE('The List'!AF2:AF665))/STDEV('The List'!AF2:AF665)</f>
        <v>2.0531216917904187</v>
      </c>
      <c r="T439" s="54">
        <f>(VLOOKUP($A439,'The List'!$B1:$AH665,32,FALSE)-AVERAGE('The List'!AG2:AG665))/STDEV('The List'!AG2:AG665)</f>
        <v>1.7946900760902915</v>
      </c>
      <c r="U439" s="54">
        <f>(VLOOKUP($A439,'The List'!$B1:$AH665,33,FALSE)-AVERAGE('The List'!AH2:AH665))/STDEV('The List'!AH2:AH665)</f>
        <v>1.1975429989810977</v>
      </c>
      <c r="V439" s="54"/>
      <c r="W439" s="56"/>
      <c r="X439" s="54"/>
      <c r="Y439" s="54"/>
      <c r="Z439" s="54"/>
      <c r="AA439" s="54"/>
      <c r="AB439" s="54"/>
      <c r="AC439" s="54"/>
      <c r="AD439" s="54"/>
      <c r="AE439" s="54"/>
    </row>
    <row r="440" spans="1:31" ht="21.25" customHeight="1" x14ac:dyDescent="0.15">
      <c r="A440" s="9" t="s">
        <v>686</v>
      </c>
      <c r="B440" s="65" t="str">
        <f>VLOOKUP(A440,'Player Data'!A1:B667,2,FALSE)</f>
        <v>NYR</v>
      </c>
      <c r="C440" s="51">
        <f>((E440)*Settings!$C$12)+(F440*Settings!$C$2)+(G440*Settings!$C$3)+(H440*Settings!$C$4)+(I440*Settings!$C$5)+(K440*Settings!$C$9)+(N440*Settings!$C$6)+(J440*Settings!$C$8)+(O440*Settings!$C$7)+(P440*Settings!$C$14)+(Q440*Settings!$C$15)+(R440*Settings!$C$16)+(S440*Settings!$C$17)+(T440*Settings!$C$18)+(U440*Settings!$C$19)+(L440*Settings!$C$10)+(Settings!$C$11*M440)</f>
        <v>-2.7058683046701484</v>
      </c>
      <c r="D440" s="56">
        <f>IF(Settings!$E$12="YES",VLOOKUP(A440,'Player Data'!A1:E667,5,FALSE),82)</f>
        <v>80.137500000000003</v>
      </c>
      <c r="E440" s="54">
        <f>(VLOOKUP($A440,'The List'!$B1:$AH665,17,FALSE)-AVERAGE('The List'!R2:R665))/STDEV('The List'!R2:R665)</f>
        <v>-1.2162162731202271</v>
      </c>
      <c r="F440" s="54">
        <f>(VLOOKUP($A440,'The List'!$B1:$AH665,18,FALSE)-AVERAGE('The List'!S2:S665))/STDEV('The List'!S2:S665)</f>
        <v>-0.34009966596048929</v>
      </c>
      <c r="G440" s="54">
        <f>(VLOOKUP($A440,'The List'!$B1:$AH665,19,FALSE)-AVERAGE('The List'!T2:T665))/STDEV('The List'!T2:T665)</f>
        <v>-0.83525283034859399</v>
      </c>
      <c r="H440" s="54">
        <f>(VLOOKUP($A440,'The List'!$B1:$AH665,20,FALSE)-AVERAGE('The List'!U2:U665))/STDEV('The List'!U2:U665)</f>
        <v>-0.67333043675169912</v>
      </c>
      <c r="I440" s="54">
        <f>(VLOOKUP($A440,'The List'!$B1:$AH665,21,FALSE)-AVERAGE('The List'!V2:V665))/STDEV('The List'!V2:V665)</f>
        <v>-0.3688574058315694</v>
      </c>
      <c r="J440" s="54">
        <f>(VLOOKUP($A440,'The List'!$B1:$AH665,22,FALSE)-AVERAGE('The List'!W2:W665))/STDEV('The List'!W2:W665)</f>
        <v>-0.69460142891634458</v>
      </c>
      <c r="K440" s="54">
        <f>(VLOOKUP($A440,'The List'!$B1:$AH665,23,FALSE)-AVERAGE('The List'!X2:X665))/STDEV('The List'!X2:X665)</f>
        <v>-0.78412247744809216</v>
      </c>
      <c r="L440" s="54">
        <f>(VLOOKUP($A440,'The List'!$B1:$AH665,24,FALSE)-AVERAGE('The List'!Y2:Y665))/STDEV('The List'!Y2:Y665)</f>
        <v>0.42791918014898844</v>
      </c>
      <c r="M440" s="54">
        <f>(VLOOKUP($A440,'The List'!$B1:$AH665,25,FALSE)-AVERAGE('The List'!Z2:Z665))/STDEV('The List'!Z2:Z665)</f>
        <v>-6.7934430095176662E-2</v>
      </c>
      <c r="N440" s="54">
        <f>(VLOOKUP($A440,'The List'!$B1:$AH665,26,FALSE)-AVERAGE('The List'!AA2:AA665))/STDEV('The List'!AA2:AA665)</f>
        <v>-0.79463674980689936</v>
      </c>
      <c r="O440" s="54">
        <f>(VLOOKUP($A440,'The List'!$B1:$AH665,27,FALSE)-AVERAGE('The List'!AB2:AB665))/STDEV('The List'!AB2:AB665)</f>
        <v>-0.10955534724935222</v>
      </c>
      <c r="P440" s="54">
        <f>(VLOOKUP($A440,'The List'!$B1:$AH665,28,FALSE)-AVERAGE('The List'!AC2:AC665))/STDEV('The List'!AC2:AC665)</f>
        <v>0.41710082472549581</v>
      </c>
      <c r="Q440" s="54">
        <f>(VLOOKUP($A440,'The List'!$B1:$AH665,29,FALSE)-AVERAGE('The List'!AD2:AD665))/STDEV('The List'!AD2:AD665)</f>
        <v>-0.9622931955026095</v>
      </c>
      <c r="R440" s="54">
        <f>(VLOOKUP($A440,'The List'!$B1:$AH665,30,FALSE)-AVERAGE('The List'!AE2:AE665))/STDEV('The List'!AE2:AE665)</f>
        <v>-0.23277951234169697</v>
      </c>
      <c r="S440" s="54">
        <f>(VLOOKUP($A440,'The List'!$B1:$AH665,31,FALSE)-AVERAGE('The List'!AF2:AF665))/STDEV('The List'!AF2:AF665)</f>
        <v>-0.533115450166748</v>
      </c>
      <c r="T440" s="54">
        <f>(VLOOKUP($A440,'The List'!$B1:$AH665,32,FALSE)-AVERAGE('The List'!AG2:AG665))/STDEV('The List'!AG2:AG665)</f>
        <v>-0.52768901514184974</v>
      </c>
      <c r="U440" s="54">
        <f>(VLOOKUP($A440,'The List'!$B1:$AH665,33,FALSE)-AVERAGE('The List'!AH2:AH665))/STDEV('The List'!AH2:AH665)</f>
        <v>0.15852519238773663</v>
      </c>
      <c r="V440" s="54"/>
      <c r="W440" s="64"/>
      <c r="X440" s="56"/>
      <c r="Y440" s="56"/>
      <c r="Z440" s="56"/>
      <c r="AA440" s="56"/>
      <c r="AB440" s="56"/>
      <c r="AC440" s="59"/>
      <c r="AD440" s="60"/>
      <c r="AE440" s="54"/>
    </row>
    <row r="441" spans="1:31" ht="21.25" customHeight="1" x14ac:dyDescent="0.15">
      <c r="A441" s="9" t="s">
        <v>388</v>
      </c>
      <c r="B441" s="65" t="str">
        <f>VLOOKUP(A441,'Player Data'!A1:B667,2,FALSE)</f>
        <v>NYI</v>
      </c>
      <c r="C441" s="51">
        <f>((E441)*Settings!$C$12)+(F441*Settings!$C$2)+(G441*Settings!$C$3)+(H441*Settings!$C$4)+(I441*Settings!$C$5)+(K441*Settings!$C$9)+(N441*Settings!$C$6)+(J441*Settings!$C$8)+(O441*Settings!$C$7)+(P441*Settings!$C$14)+(Q441*Settings!$C$15)+(R441*Settings!$C$16)+(S441*Settings!$C$17)+(T441*Settings!$C$18)+(U441*Settings!$C$19)+(L441*Settings!$C$10)+(Settings!$C$11*M441)</f>
        <v>8.1567329937529687E-2</v>
      </c>
      <c r="D441" s="56">
        <f>IF(Settings!$E$12="YES",VLOOKUP(A441,'Player Data'!A1:E667,5,FALSE),82)</f>
        <v>80.727500000000006</v>
      </c>
      <c r="E441" s="54">
        <f>(VLOOKUP($A441,'The List'!$B1:$AH665,17,FALSE)-AVERAGE('The List'!R2:R665))/STDEV('The List'!R2:R665)</f>
        <v>0.85695606263457957</v>
      </c>
      <c r="F441" s="54">
        <f>(VLOOKUP($A441,'The List'!$B1:$AH665,18,FALSE)-AVERAGE('The List'!S2:S665))/STDEV('The List'!S2:S665)</f>
        <v>-0.85183532999670197</v>
      </c>
      <c r="G441" s="54">
        <f>(VLOOKUP($A441,'The List'!$B1:$AH665,19,FALSE)-AVERAGE('The List'!T2:T665))/STDEV('The List'!T2:T665)</f>
        <v>-0.46140757054771514</v>
      </c>
      <c r="H441" s="54">
        <f>(VLOOKUP($A441,'The List'!$B1:$AH665,20,FALSE)-AVERAGE('The List'!U2:U665))/STDEV('The List'!U2:U665)</f>
        <v>-0.67375969385457501</v>
      </c>
      <c r="I441" s="54">
        <f>(VLOOKUP($A441,'The List'!$B1:$AH665,21,FALSE)-AVERAGE('The List'!V2:V665))/STDEV('The List'!V2:V665)</f>
        <v>-0.37379539680792678</v>
      </c>
      <c r="J441" s="54">
        <f>(VLOOKUP($A441,'The List'!$B1:$AH665,22,FALSE)-AVERAGE('The List'!W2:W665))/STDEV('The List'!W2:W665)</f>
        <v>-0.73925930668638162</v>
      </c>
      <c r="K441" s="54">
        <f>(VLOOKUP($A441,'The List'!$B1:$AH665,23,FALSE)-AVERAGE('The List'!X2:X665))/STDEV('The List'!X2:X665)</f>
        <v>-0.81297604800672807</v>
      </c>
      <c r="L441" s="54">
        <f>(VLOOKUP($A441,'The List'!$B1:$AH665,24,FALSE)-AVERAGE('The List'!Y2:Y665))/STDEV('The List'!Y2:Y665)</f>
        <v>-0.52911531243305343</v>
      </c>
      <c r="M441" s="54">
        <f>(VLOOKUP($A441,'The List'!$B1:$AH665,25,FALSE)-AVERAGE('The List'!Z2:Z665))/STDEV('The List'!Z2:Z665)</f>
        <v>-0.62228010136132306</v>
      </c>
      <c r="N441" s="54">
        <f>(VLOOKUP($A441,'The List'!$B1:$AH665,26,FALSE)-AVERAGE('The List'!AA2:AA665))/STDEV('The List'!AA2:AA665)</f>
        <v>2.0512227466898829</v>
      </c>
      <c r="O441" s="54">
        <f>(VLOOKUP($A441,'The List'!$B1:$AH665,27,FALSE)-AVERAGE('The List'!AB2:AB665))/STDEV('The List'!AB2:AB665)</f>
        <v>1.3847785502557808</v>
      </c>
      <c r="P441" s="54">
        <f>(VLOOKUP($A441,'The List'!$B1:$AH665,28,FALSE)-AVERAGE('The List'!AC2:AC665))/STDEV('The List'!AC2:AC665)</f>
        <v>0.53035892860671896</v>
      </c>
      <c r="Q441" s="54">
        <f>(VLOOKUP($A441,'The List'!$B1:$AH665,29,FALSE)-AVERAGE('The List'!AD2:AD665))/STDEV('The List'!AD2:AD665)</f>
        <v>0.15176976729400357</v>
      </c>
      <c r="R441" s="54">
        <f>(VLOOKUP($A441,'The List'!$B1:$AH665,30,FALSE)-AVERAGE('The List'!AE2:AE665))/STDEV('The List'!AE2:AE665)</f>
        <v>-0.78915868691496671</v>
      </c>
      <c r="S441" s="54">
        <f>(VLOOKUP($A441,'The List'!$B1:$AH665,31,FALSE)-AVERAGE('The List'!AF2:AF665))/STDEV('The List'!AF2:AF665)</f>
        <v>-0.57389441068000469</v>
      </c>
      <c r="T441" s="54">
        <f>(VLOOKUP($A441,'The List'!$B1:$AH665,32,FALSE)-AVERAGE('The List'!AG2:AG665))/STDEV('The List'!AG2:AG665)</f>
        <v>-0.62577078713265111</v>
      </c>
      <c r="U441" s="54">
        <f>(VLOOKUP($A441,'The List'!$B1:$AH665,33,FALSE)-AVERAGE('The List'!AH2:AH665))/STDEV('The List'!AH2:AH665)</f>
        <v>-1.2314350945148611</v>
      </c>
      <c r="V441" s="54"/>
      <c r="W441" s="64"/>
      <c r="X441" s="56"/>
      <c r="Y441" s="56"/>
      <c r="Z441" s="56"/>
      <c r="AA441" s="56"/>
      <c r="AB441" s="56"/>
      <c r="AC441" s="59"/>
      <c r="AD441" s="60"/>
      <c r="AE441" s="54"/>
    </row>
    <row r="442" spans="1:31" ht="21.25" customHeight="1" x14ac:dyDescent="0.15">
      <c r="A442" s="9" t="s">
        <v>724</v>
      </c>
      <c r="B442" s="65" t="str">
        <f>VLOOKUP(A442,'Player Data'!A1:B667,2,FALSE)</f>
        <v>CGY</v>
      </c>
      <c r="C442" s="51">
        <f>((E442)*Settings!$C$12)+(F442*Settings!$C$2)+(G442*Settings!$C$3)+(H442*Settings!$C$4)+(I442*Settings!$C$5)+(K442*Settings!$C$9)+(N442*Settings!$C$6)+(J442*Settings!$C$8)+(O442*Settings!$C$7)+(P442*Settings!$C$14)+(Q442*Settings!$C$15)+(R442*Settings!$C$16)+(S442*Settings!$C$17)+(T442*Settings!$C$18)+(U442*Settings!$C$19)+(L442*Settings!$C$10)+(Settings!$C$11*M442)</f>
        <v>-4.9439397709957795</v>
      </c>
      <c r="D442" s="56">
        <f>IF(Settings!$E$12="YES",VLOOKUP(A442,'Player Data'!A1:E667,5,FALSE),82)</f>
        <v>62.11</v>
      </c>
      <c r="E442" s="54">
        <f>(VLOOKUP($A442,'The List'!$B1:$AH665,17,FALSE)-AVERAGE('The List'!R2:R665))/STDEV('The List'!R2:R665)</f>
        <v>-1.4859227053040016</v>
      </c>
      <c r="F442" s="54">
        <f>(VLOOKUP($A442,'The List'!$B1:$AH665,18,FALSE)-AVERAGE('The List'!S2:S665))/STDEV('The List'!S2:S665)</f>
        <v>-0.6994570656015634</v>
      </c>
      <c r="G442" s="54">
        <f>(VLOOKUP($A442,'The List'!$B1:$AH665,19,FALSE)-AVERAGE('The List'!T2:T665))/STDEV('The List'!T2:T665)</f>
        <v>-0.93400742633110312</v>
      </c>
      <c r="H442" s="54">
        <f>(VLOOKUP($A442,'The List'!$B1:$AH665,20,FALSE)-AVERAGE('The List'!U2:U665))/STDEV('The List'!U2:U665)</f>
        <v>-0.8980076134067394</v>
      </c>
      <c r="I442" s="54">
        <f>(VLOOKUP($A442,'The List'!$B1:$AH665,21,FALSE)-AVERAGE('The List'!V2:V665))/STDEV('The List'!V2:V665)</f>
        <v>-0.69770251219826329</v>
      </c>
      <c r="J442" s="54">
        <f>(VLOOKUP($A442,'The List'!$B1:$AH665,22,FALSE)-AVERAGE('The List'!W2:W665))/STDEV('The List'!W2:W665)</f>
        <v>-0.31919883772778823</v>
      </c>
      <c r="K442" s="54">
        <f>(VLOOKUP($A442,'The List'!$B1:$AH665,23,FALSE)-AVERAGE('The List'!X2:X665))/STDEV('The List'!X2:X665)</f>
        <v>-0.55551582227957008</v>
      </c>
      <c r="L442" s="54">
        <f>(VLOOKUP($A442,'The List'!$B1:$AH665,24,FALSE)-AVERAGE('The List'!Y2:Y665))/STDEV('The List'!Y2:Y665)</f>
        <v>-0.37356965179134199</v>
      </c>
      <c r="M442" s="54">
        <f>(VLOOKUP($A442,'The List'!$B1:$AH665,25,FALSE)-AVERAGE('The List'!Z2:Z665))/STDEV('The List'!Z2:Z665)</f>
        <v>-0.54602516187436279</v>
      </c>
      <c r="N442" s="54">
        <f>(VLOOKUP($A442,'The List'!$B1:$AH665,26,FALSE)-AVERAGE('The List'!AA2:AA665))/STDEV('The List'!AA2:AA665)</f>
        <v>-1.1224711787034327</v>
      </c>
      <c r="O442" s="54">
        <f>(VLOOKUP($A442,'The List'!$B1:$AH665,27,FALSE)-AVERAGE('The List'!AB2:AB665))/STDEV('The List'!AB2:AB665)</f>
        <v>-1.0086897545251154</v>
      </c>
      <c r="P442" s="54">
        <f>(VLOOKUP($A442,'The List'!$B1:$AH665,28,FALSE)-AVERAGE('The List'!AC2:AC665))/STDEV('The List'!AC2:AC665)</f>
        <v>-0.93478576588184648</v>
      </c>
      <c r="Q442" s="54">
        <f>(VLOOKUP($A442,'The List'!$B1:$AH665,29,FALSE)-AVERAGE('The List'!AD2:AD665))/STDEV('The List'!AD2:AD665)</f>
        <v>-1.0881158846166115</v>
      </c>
      <c r="R442" s="54">
        <f>(VLOOKUP($A442,'The List'!$B1:$AH665,30,FALSE)-AVERAGE('The List'!AE2:AE665))/STDEV('The List'!AE2:AE665)</f>
        <v>-0.68377037060564561</v>
      </c>
      <c r="S442" s="54">
        <f>(VLOOKUP($A442,'The List'!$B1:$AH665,31,FALSE)-AVERAGE('The List'!AF2:AF665))/STDEV('The List'!AF2:AF665)</f>
        <v>-0.53525703824862647</v>
      </c>
      <c r="T442" s="54">
        <f>(VLOOKUP($A442,'The List'!$B1:$AH665,32,FALSE)-AVERAGE('The List'!AG2:AG665))/STDEV('The List'!AG2:AG665)</f>
        <v>-0.50628116791950428</v>
      </c>
      <c r="U442" s="54">
        <f>(VLOOKUP($A442,'The List'!$B1:$AH665,33,FALSE)-AVERAGE('The List'!AH2:AH665))/STDEV('The List'!AH2:AH665)</f>
        <v>-7.1355824737580009E-2</v>
      </c>
      <c r="V442" s="54"/>
      <c r="W442" s="64"/>
      <c r="X442" s="56"/>
      <c r="Y442" s="56"/>
      <c r="Z442" s="56"/>
      <c r="AA442" s="56"/>
      <c r="AB442" s="56"/>
      <c r="AC442" s="59"/>
      <c r="AD442" s="60"/>
      <c r="AE442" s="54"/>
    </row>
    <row r="443" spans="1:31" ht="21.25" customHeight="1" x14ac:dyDescent="0.15">
      <c r="A443" s="9" t="s">
        <v>374</v>
      </c>
      <c r="B443" s="65" t="str">
        <f>VLOOKUP(A443,'Player Data'!A1:B667,2,FALSE)</f>
        <v>S.J</v>
      </c>
      <c r="C443" s="51">
        <f>((E443)*Settings!$C$12)+(F443*Settings!$C$2)+(G443*Settings!$C$3)+(H443*Settings!$C$4)+(I443*Settings!$C$5)+(K443*Settings!$C$9)+(N443*Settings!$C$6)+(J443*Settings!$C$8)+(O443*Settings!$C$7)+(P443*Settings!$C$14)+(Q443*Settings!$C$15)+(R443*Settings!$C$16)+(S443*Settings!$C$17)+(T443*Settings!$C$18)+(U443*Settings!$C$19)+(L443*Settings!$C$10)+(Settings!$C$11*M443)</f>
        <v>-3.0208098134641119</v>
      </c>
      <c r="D443" s="56">
        <f>IF(Settings!$E$12="YES",VLOOKUP(A443,'Player Data'!A1:E667,5,FALSE),82)</f>
        <v>78.045000000000002</v>
      </c>
      <c r="E443" s="54">
        <f>(VLOOKUP($A443,'The List'!$B1:$AH665,17,FALSE)-AVERAGE('The List'!R2:R665))/STDEV('The List'!R2:R665)</f>
        <v>1.5311517820414267</v>
      </c>
      <c r="F443" s="54">
        <f>(VLOOKUP($A443,'The List'!$B1:$AH665,18,FALSE)-AVERAGE('The List'!S2:S665))/STDEV('The List'!S2:S665)</f>
        <v>-0.92771843982926727</v>
      </c>
      <c r="G443" s="54">
        <f>(VLOOKUP($A443,'The List'!$B1:$AH665,19,FALSE)-AVERAGE('The List'!T2:T665))/STDEV('The List'!T2:T665)</f>
        <v>-0.45872582114430671</v>
      </c>
      <c r="H443" s="54">
        <f>(VLOOKUP($A443,'The List'!$B1:$AH665,20,FALSE)-AVERAGE('The List'!U2:U665))/STDEV('The List'!U2:U665)</f>
        <v>-0.70658665711799384</v>
      </c>
      <c r="I443" s="54">
        <f>(VLOOKUP($A443,'The List'!$B1:$AH665,21,FALSE)-AVERAGE('The List'!V2:V665))/STDEV('The List'!V2:V665)</f>
        <v>-0.41383713019103979</v>
      </c>
      <c r="J443" s="54">
        <f>(VLOOKUP($A443,'The List'!$B1:$AH665,22,FALSE)-AVERAGE('The List'!W2:W665))/STDEV('The List'!W2:W665)</f>
        <v>-0.71559182332923932</v>
      </c>
      <c r="K443" s="54">
        <f>(VLOOKUP($A443,'The List'!$B1:$AH665,23,FALSE)-AVERAGE('The List'!X2:X665))/STDEV('The List'!X2:X665)</f>
        <v>-0.7320628462522053</v>
      </c>
      <c r="L443" s="54">
        <f>(VLOOKUP($A443,'The List'!$B1:$AH665,24,FALSE)-AVERAGE('The List'!Y2:Y665))/STDEV('The List'!Y2:Y665)</f>
        <v>-0.53308986872848751</v>
      </c>
      <c r="M443" s="54">
        <f>(VLOOKUP($A443,'The List'!$B1:$AH665,25,FALSE)-AVERAGE('The List'!Z2:Z665))/STDEV('The List'!Z2:Z665)</f>
        <v>-0.63218363331017713</v>
      </c>
      <c r="N443" s="54">
        <f>(VLOOKUP($A443,'The List'!$B1:$AH665,26,FALSE)-AVERAGE('The List'!AA2:AA665))/STDEV('The List'!AA2:AA665)</f>
        <v>2.473991200752633</v>
      </c>
      <c r="O443" s="54">
        <f>(VLOOKUP($A443,'The List'!$B1:$AH665,27,FALSE)-AVERAGE('The List'!AB2:AB665))/STDEV('The List'!AB2:AB665)</f>
        <v>0.64083449938753168</v>
      </c>
      <c r="P443" s="54">
        <f>(VLOOKUP($A443,'The List'!$B1:$AH665,28,FALSE)-AVERAGE('The List'!AC2:AC665))/STDEV('The List'!AC2:AC665)</f>
        <v>-2.9624567767999261</v>
      </c>
      <c r="Q443" s="54">
        <f>(VLOOKUP($A443,'The List'!$B1:$AH665,29,FALSE)-AVERAGE('The List'!AD2:AD665))/STDEV('The List'!AD2:AD665)</f>
        <v>-8.5567149839622644E-2</v>
      </c>
      <c r="R443" s="54">
        <f>(VLOOKUP($A443,'The List'!$B1:$AH665,30,FALSE)-AVERAGE('The List'!AE2:AE665))/STDEV('The List'!AE2:AE665)</f>
        <v>-0.99682316594322662</v>
      </c>
      <c r="S443" s="54">
        <f>(VLOOKUP($A443,'The List'!$B1:$AH665,31,FALSE)-AVERAGE('The List'!AF2:AF665))/STDEV('The List'!AF2:AF665)</f>
        <v>-0.57389441068000469</v>
      </c>
      <c r="T443" s="54">
        <f>(VLOOKUP($A443,'The List'!$B1:$AH665,32,FALSE)-AVERAGE('The List'!AG2:AG665))/STDEV('The List'!AG2:AG665)</f>
        <v>-0.62500074682501749</v>
      </c>
      <c r="U443" s="54">
        <f>(VLOOKUP($A443,'The List'!$B1:$AH665,33,FALSE)-AVERAGE('The List'!AH2:AH665))/STDEV('The List'!AH2:AH665)</f>
        <v>-1.2314350945148611</v>
      </c>
      <c r="V443" s="54"/>
      <c r="W443" s="56"/>
      <c r="X443" s="54"/>
      <c r="Y443" s="54"/>
      <c r="Z443" s="54"/>
      <c r="AA443" s="54"/>
      <c r="AB443" s="54"/>
      <c r="AC443" s="54"/>
      <c r="AD443" s="54"/>
      <c r="AE443" s="54"/>
    </row>
    <row r="444" spans="1:31" ht="21.25" customHeight="1" x14ac:dyDescent="0.15">
      <c r="A444" s="9" t="s">
        <v>478</v>
      </c>
      <c r="B444" s="65" t="str">
        <f>VLOOKUP(A444,'Player Data'!A1:B667,2,FALSE)</f>
        <v>CHI</v>
      </c>
      <c r="C444" s="51">
        <f>((E444)*Settings!$C$12)+(F444*Settings!$C$2)+(G444*Settings!$C$3)+(H444*Settings!$C$4)+(I444*Settings!$C$5)+(K444*Settings!$C$9)+(N444*Settings!$C$6)+(J444*Settings!$C$8)+(O444*Settings!$C$7)+(P444*Settings!$C$14)+(Q444*Settings!$C$15)+(R444*Settings!$C$16)+(S444*Settings!$C$17)+(T444*Settings!$C$18)+(U444*Settings!$C$19)+(L444*Settings!$C$10)+(Settings!$C$11*M444)</f>
        <v>-0.5208700095316281</v>
      </c>
      <c r="D444" s="56">
        <f>IF(Settings!$E$12="YES",VLOOKUP(A444,'Player Data'!A1:E667,5,FALSE),82)</f>
        <v>78.02</v>
      </c>
      <c r="E444" s="54">
        <f>(VLOOKUP($A444,'The List'!$B1:$AH665,17,FALSE)-AVERAGE('The List'!R2:R665))/STDEV('The List'!R2:R665)</f>
        <v>0.997177545429209</v>
      </c>
      <c r="F444" s="54">
        <f>(VLOOKUP($A444,'The List'!$B1:$AH665,18,FALSE)-AVERAGE('The List'!S2:S665))/STDEV('The List'!S2:S665)</f>
        <v>-1.1321418998815456</v>
      </c>
      <c r="G444" s="54">
        <f>(VLOOKUP($A444,'The List'!$B1:$AH665,19,FALSE)-AVERAGE('The List'!T2:T665))/STDEV('The List'!T2:T665)</f>
        <v>-0.32252265393769175</v>
      </c>
      <c r="H444" s="54">
        <f>(VLOOKUP($A444,'The List'!$B1:$AH665,20,FALSE)-AVERAGE('The List'!U2:U665))/STDEV('The List'!U2:U665)</f>
        <v>-0.71491701145627207</v>
      </c>
      <c r="I444" s="54">
        <f>(VLOOKUP($A444,'The List'!$B1:$AH665,21,FALSE)-AVERAGE('The List'!V2:V665))/STDEV('The List'!V2:V665)</f>
        <v>-1.284918132217221</v>
      </c>
      <c r="J444" s="54">
        <f>(VLOOKUP($A444,'The List'!$B1:$AH665,22,FALSE)-AVERAGE('The List'!W2:W665))/STDEV('The List'!W2:W665)</f>
        <v>-0.74179027024376409</v>
      </c>
      <c r="K444" s="54">
        <f>(VLOOKUP($A444,'The List'!$B1:$AH665,23,FALSE)-AVERAGE('The List'!X2:X665))/STDEV('The List'!X2:X665)</f>
        <v>-0.8136771898554882</v>
      </c>
      <c r="L444" s="54">
        <f>(VLOOKUP($A444,'The List'!$B1:$AH665,24,FALSE)-AVERAGE('The List'!Y2:Y665))/STDEV('The List'!Y2:Y665)</f>
        <v>-0.54373445676627985</v>
      </c>
      <c r="M444" s="54">
        <f>(VLOOKUP($A444,'The List'!$B1:$AH665,25,FALSE)-AVERAGE('The List'!Z2:Z665))/STDEV('The List'!Z2:Z665)</f>
        <v>-8.3778082411758992E-2</v>
      </c>
      <c r="N444" s="54">
        <f>(VLOOKUP($A444,'The List'!$B1:$AH665,26,FALSE)-AVERAGE('The List'!AA2:AA665))/STDEV('The List'!AA2:AA665)</f>
        <v>1.8157944803788932</v>
      </c>
      <c r="O444" s="54">
        <f>(VLOOKUP($A444,'The List'!$B1:$AH665,27,FALSE)-AVERAGE('The List'!AB2:AB665))/STDEV('The List'!AB2:AB665)</f>
        <v>-0.71494068455347792</v>
      </c>
      <c r="P444" s="54">
        <f>(VLOOKUP($A444,'The List'!$B1:$AH665,28,FALSE)-AVERAGE('The List'!AC2:AC665))/STDEV('The List'!AC2:AC665)</f>
        <v>1.2165953859814249</v>
      </c>
      <c r="Q444" s="54">
        <f>(VLOOKUP($A444,'The List'!$B1:$AH665,29,FALSE)-AVERAGE('The List'!AD2:AD665))/STDEV('The List'!AD2:AD665)</f>
        <v>-0.24103877260182016</v>
      </c>
      <c r="R444" s="54">
        <f>(VLOOKUP($A444,'The List'!$B1:$AH665,30,FALSE)-AVERAGE('The List'!AE2:AE665))/STDEV('The List'!AE2:AE665)</f>
        <v>-1.1079975351691862</v>
      </c>
      <c r="S444" s="54">
        <f>(VLOOKUP($A444,'The List'!$B1:$AH665,31,FALSE)-AVERAGE('The List'!AF2:AF665))/STDEV('The List'!AF2:AF665)</f>
        <v>-0.57389441068000469</v>
      </c>
      <c r="T444" s="54">
        <f>(VLOOKUP($A444,'The List'!$B1:$AH665,32,FALSE)-AVERAGE('The List'!AG2:AG665))/STDEV('The List'!AG2:AG665)</f>
        <v>-0.62577078713265111</v>
      </c>
      <c r="U444" s="54">
        <f>(VLOOKUP($A444,'The List'!$B1:$AH665,33,FALSE)-AVERAGE('The List'!AH2:AH665))/STDEV('The List'!AH2:AH665)</f>
        <v>-1.2314350945148611</v>
      </c>
      <c r="V444" s="54"/>
      <c r="W444" s="64"/>
      <c r="X444" s="56"/>
      <c r="Y444" s="56"/>
      <c r="Z444" s="56"/>
      <c r="AA444" s="56"/>
      <c r="AB444" s="56"/>
      <c r="AC444" s="59"/>
      <c r="AD444" s="60"/>
      <c r="AE444" s="54"/>
    </row>
    <row r="445" spans="1:31" ht="21.25" customHeight="1" x14ac:dyDescent="0.15">
      <c r="A445" s="9" t="s">
        <v>471</v>
      </c>
      <c r="B445" s="65" t="str">
        <f>VLOOKUP(A445,'Player Data'!A1:B667,2,FALSE)</f>
        <v>WPG</v>
      </c>
      <c r="C445" s="51">
        <f>((E445)*Settings!$C$12)+(F445*Settings!$C$2)+(G445*Settings!$C$3)+(H445*Settings!$C$4)+(I445*Settings!$C$5)+(K445*Settings!$C$9)+(N445*Settings!$C$6)+(J445*Settings!$C$8)+(O445*Settings!$C$7)+(P445*Settings!$C$14)+(Q445*Settings!$C$15)+(R445*Settings!$C$16)+(S445*Settings!$C$17)+(T445*Settings!$C$18)+(U445*Settings!$C$19)+(L445*Settings!$C$10)+(Settings!$C$11*M445)</f>
        <v>-1.0149961942611805</v>
      </c>
      <c r="D445" s="56">
        <f>IF(Settings!$E$12="YES",VLOOKUP(A445,'Player Data'!A1:E667,5,FALSE),82)</f>
        <v>72.007499999999993</v>
      </c>
      <c r="E445" s="54">
        <f>(VLOOKUP($A445,'The List'!$B1:$AH665,17,FALSE)-AVERAGE('The List'!R2:R665))/STDEV('The List'!R2:R665)</f>
        <v>0.69766061527072443</v>
      </c>
      <c r="F445" s="54">
        <f>(VLOOKUP($A445,'The List'!$B1:$AH665,18,FALSE)-AVERAGE('The List'!S2:S665))/STDEV('The List'!S2:S665)</f>
        <v>-1.0845118119883201</v>
      </c>
      <c r="G445" s="54">
        <f>(VLOOKUP($A445,'The List'!$B1:$AH665,19,FALSE)-AVERAGE('The List'!T2:T665))/STDEV('The List'!T2:T665)</f>
        <v>-0.47486967410986386</v>
      </c>
      <c r="H445" s="54">
        <f>(VLOOKUP($A445,'The List'!$B1:$AH665,20,FALSE)-AVERAGE('The List'!U2:U665))/STDEV('The List'!U2:U665)</f>
        <v>-0.78788293818153099</v>
      </c>
      <c r="I445" s="54">
        <f>(VLOOKUP($A445,'The List'!$B1:$AH665,21,FALSE)-AVERAGE('The List'!V2:V665))/STDEV('The List'!V2:V665)</f>
        <v>-0.75324744624987161</v>
      </c>
      <c r="J445" s="54">
        <f>(VLOOKUP($A445,'The List'!$B1:$AH665,22,FALSE)-AVERAGE('The List'!W2:W665))/STDEV('The List'!W2:W665)</f>
        <v>-0.74314815076964669</v>
      </c>
      <c r="K445" s="54">
        <f>(VLOOKUP($A445,'The List'!$B1:$AH665,23,FALSE)-AVERAGE('The List'!X2:X665))/STDEV('The List'!X2:X665)</f>
        <v>-0.81910165966783266</v>
      </c>
      <c r="L445" s="54">
        <f>(VLOOKUP($A445,'The List'!$B1:$AH665,24,FALSE)-AVERAGE('The List'!Y2:Y665))/STDEV('The List'!Y2:Y665)</f>
        <v>-0.51860741605122818</v>
      </c>
      <c r="M445" s="54">
        <f>(VLOOKUP($A445,'The List'!$B1:$AH665,25,FALSE)-AVERAGE('The List'!Z2:Z665))/STDEV('The List'!Z2:Z665)</f>
        <v>-0.25531104986163822</v>
      </c>
      <c r="N445" s="54">
        <f>(VLOOKUP($A445,'The List'!$B1:$AH665,26,FALSE)-AVERAGE('The List'!AA2:AA665))/STDEV('The List'!AA2:AA665)</f>
        <v>1.4048287912915305</v>
      </c>
      <c r="O445" s="54">
        <f>(VLOOKUP($A445,'The List'!$B1:$AH665,27,FALSE)-AVERAGE('The List'!AB2:AB665))/STDEV('The List'!AB2:AB665)</f>
        <v>-4.6707737931568245E-2</v>
      </c>
      <c r="P445" s="54">
        <f>(VLOOKUP($A445,'The List'!$B1:$AH665,28,FALSE)-AVERAGE('The List'!AC2:AC665))/STDEV('The List'!AC2:AC665)</f>
        <v>0.71190560646317758</v>
      </c>
      <c r="Q445" s="54">
        <f>(VLOOKUP($A445,'The List'!$B1:$AH665,29,FALSE)-AVERAGE('The List'!AD2:AD665))/STDEV('The List'!AD2:AD665)</f>
        <v>0.23590107829630896</v>
      </c>
      <c r="R445" s="54">
        <f>(VLOOKUP($A445,'The List'!$B1:$AH665,30,FALSE)-AVERAGE('The List'!AE2:AE665))/STDEV('The List'!AE2:AE665)</f>
        <v>-1.0093838613486323</v>
      </c>
      <c r="S445" s="54">
        <f>(VLOOKUP($A445,'The List'!$B1:$AH665,31,FALSE)-AVERAGE('The List'!AF2:AF665))/STDEV('The List'!AF2:AF665)</f>
        <v>-0.57389441068000469</v>
      </c>
      <c r="T445" s="54">
        <f>(VLOOKUP($A445,'The List'!$B1:$AH665,32,FALSE)-AVERAGE('The List'!AG2:AG665))/STDEV('The List'!AG2:AG665)</f>
        <v>-0.62577078713265111</v>
      </c>
      <c r="U445" s="54">
        <f>(VLOOKUP($A445,'The List'!$B1:$AH665,33,FALSE)-AVERAGE('The List'!AH2:AH665))/STDEV('The List'!AH2:AH665)</f>
        <v>-1.2314350945148611</v>
      </c>
      <c r="V445" s="54"/>
      <c r="W445" s="64"/>
      <c r="X445" s="56"/>
      <c r="Y445" s="56"/>
      <c r="Z445" s="56"/>
      <c r="AA445" s="56"/>
      <c r="AB445" s="56"/>
      <c r="AC445" s="59"/>
      <c r="AD445" s="60"/>
      <c r="AE445" s="54"/>
    </row>
    <row r="446" spans="1:31" ht="21.25" customHeight="1" x14ac:dyDescent="0.15">
      <c r="A446" s="9" t="s">
        <v>696</v>
      </c>
      <c r="B446" s="65" t="str">
        <f>VLOOKUP(A446,'Player Data'!A1:B667,2,FALSE)</f>
        <v>MIN</v>
      </c>
      <c r="C446" s="51">
        <f>((E446)*Settings!$C$12)+(F446*Settings!$C$2)+(G446*Settings!$C$3)+(H446*Settings!$C$4)+(I446*Settings!$C$5)+(K446*Settings!$C$9)+(N446*Settings!$C$6)+(J446*Settings!$C$8)+(O446*Settings!$C$7)+(P446*Settings!$C$14)+(Q446*Settings!$C$15)+(R446*Settings!$C$16)+(S446*Settings!$C$17)+(T446*Settings!$C$18)+(U446*Settings!$C$19)+(L446*Settings!$C$10)+(Settings!$C$11*M446)</f>
        <v>-3.2239311065091463</v>
      </c>
      <c r="D446" s="56">
        <f>IF(Settings!$E$12="YES",VLOOKUP(A446,'Player Data'!A1:E667,5,FALSE),82)</f>
        <v>78.767499999999998</v>
      </c>
      <c r="E446" s="54">
        <f>(VLOOKUP($A446,'The List'!$B1:$AH665,17,FALSE)-AVERAGE('The List'!R2:R665))/STDEV('The List'!R2:R665)</f>
        <v>-1.0287619051478607</v>
      </c>
      <c r="F446" s="54">
        <f>(VLOOKUP($A446,'The List'!$B1:$AH665,18,FALSE)-AVERAGE('The List'!S2:S665))/STDEV('The List'!S2:S665)</f>
        <v>-0.52855864805657538</v>
      </c>
      <c r="G446" s="54">
        <f>(VLOOKUP($A446,'The List'!$B1:$AH665,19,FALSE)-AVERAGE('The List'!T2:T665))/STDEV('The List'!T2:T665)</f>
        <v>-0.75804202543086296</v>
      </c>
      <c r="H446" s="54">
        <f>(VLOOKUP($A446,'The List'!$B1:$AH665,20,FALSE)-AVERAGE('The List'!U2:U665))/STDEV('The List'!U2:U665)</f>
        <v>-0.71104175101700851</v>
      </c>
      <c r="I446" s="54">
        <f>(VLOOKUP($A446,'The List'!$B1:$AH665,21,FALSE)-AVERAGE('The List'!V2:V665))/STDEV('The List'!V2:V665)</f>
        <v>-0.44238046073976312</v>
      </c>
      <c r="J446" s="54">
        <f>(VLOOKUP($A446,'The List'!$B1:$AH665,22,FALSE)-AVERAGE('The List'!W2:W665))/STDEV('The List'!W2:W665)</f>
        <v>-0.52182177642425398</v>
      </c>
      <c r="K446" s="54">
        <f>(VLOOKUP($A446,'The List'!$B1:$AH665,23,FALSE)-AVERAGE('The List'!X2:X665))/STDEV('The List'!X2:X665)</f>
        <v>-0.61120595793139909</v>
      </c>
      <c r="L446" s="54">
        <f>(VLOOKUP($A446,'The List'!$B1:$AH665,24,FALSE)-AVERAGE('The List'!Y2:Y665))/STDEV('The List'!Y2:Y665)</f>
        <v>0.37205404712160794</v>
      </c>
      <c r="M446" s="54">
        <f>(VLOOKUP($A446,'The List'!$B1:$AH665,25,FALSE)-AVERAGE('The List'!Z2:Z665))/STDEV('The List'!Z2:Z665)</f>
        <v>0.47577884253989156</v>
      </c>
      <c r="N446" s="54">
        <f>(VLOOKUP($A446,'The List'!$B1:$AH665,26,FALSE)-AVERAGE('The List'!AA2:AA665))/STDEV('The List'!AA2:AA665)</f>
        <v>-0.40663611190856508</v>
      </c>
      <c r="O446" s="54">
        <f>(VLOOKUP($A446,'The List'!$B1:$AH665,27,FALSE)-AVERAGE('The List'!AB2:AB665))/STDEV('The List'!AB2:AB665)</f>
        <v>-0.9615315617045761</v>
      </c>
      <c r="P446" s="54">
        <f>(VLOOKUP($A446,'The List'!$B1:$AH665,28,FALSE)-AVERAGE('The List'!AC2:AC665))/STDEV('The List'!AC2:AC665)</f>
        <v>-0.47710790244198048</v>
      </c>
      <c r="Q446" s="54">
        <f>(VLOOKUP($A446,'The List'!$B1:$AH665,29,FALSE)-AVERAGE('The List'!AD2:AD665))/STDEV('The List'!AD2:AD665)</f>
        <v>-1.4204282986047727</v>
      </c>
      <c r="R446" s="54">
        <f>(VLOOKUP($A446,'The List'!$B1:$AH665,30,FALSE)-AVERAGE('The List'!AE2:AE665))/STDEV('The List'!AE2:AE665)</f>
        <v>-0.42213459788558788</v>
      </c>
      <c r="S446" s="54">
        <f>(VLOOKUP($A446,'The List'!$B1:$AH665,31,FALSE)-AVERAGE('The List'!AF2:AF665))/STDEV('The List'!AF2:AF665)</f>
        <v>1.0296267268479371</v>
      </c>
      <c r="T446" s="54">
        <f>(VLOOKUP($A446,'The List'!$B1:$AH665,32,FALSE)-AVERAGE('The List'!AG2:AG665))/STDEV('The List'!AG2:AG665)</f>
        <v>1.1020333972538965</v>
      </c>
      <c r="U446" s="54">
        <f>(VLOOKUP($A446,'The List'!$B1:$AH665,33,FALSE)-AVERAGE('The List'!AH2:AH665))/STDEV('The List'!AH2:AH665)</f>
        <v>1.0204208703740141</v>
      </c>
      <c r="V446" s="54"/>
      <c r="W446" s="64"/>
      <c r="X446" s="56"/>
      <c r="Y446" s="56"/>
      <c r="Z446" s="56"/>
      <c r="AA446" s="56"/>
      <c r="AB446" s="56"/>
      <c r="AC446" s="59"/>
      <c r="AD446" s="60"/>
      <c r="AE446" s="54"/>
    </row>
    <row r="447" spans="1:31" ht="21.25" customHeight="1" x14ac:dyDescent="0.15">
      <c r="A447" s="9" t="s">
        <v>639</v>
      </c>
      <c r="B447" s="65" t="str">
        <f>VLOOKUP(A447,'Player Data'!A1:B667,2,FALSE)</f>
        <v>MTL</v>
      </c>
      <c r="C447" s="51">
        <f>((E447)*Settings!$C$12)+(F447*Settings!$C$2)+(G447*Settings!$C$3)+(H447*Settings!$C$4)+(I447*Settings!$C$5)+(K447*Settings!$C$9)+(N447*Settings!$C$6)+(J447*Settings!$C$8)+(O447*Settings!$C$7)+(P447*Settings!$C$14)+(Q447*Settings!$C$15)+(R447*Settings!$C$16)+(S447*Settings!$C$17)+(T447*Settings!$C$18)+(U447*Settings!$C$19)+(L447*Settings!$C$10)+(Settings!$C$11*M447)</f>
        <v>-4.2229205280067577</v>
      </c>
      <c r="D447" s="56">
        <f>IF(Settings!$E$12="YES",VLOOKUP(A447,'Player Data'!A1:E667,5,FALSE),82)</f>
        <v>78.232500000000002</v>
      </c>
      <c r="E447" s="54">
        <f>(VLOOKUP($A447,'The List'!$B1:$AH665,17,FALSE)-AVERAGE('The List'!R2:R665))/STDEV('The List'!R2:R665)</f>
        <v>-1.2074148663194328</v>
      </c>
      <c r="F447" s="54">
        <f>(VLOOKUP($A447,'The List'!$B1:$AH665,18,FALSE)-AVERAGE('The List'!S2:S665))/STDEV('The List'!S2:S665)</f>
        <v>-0.25774323183768727</v>
      </c>
      <c r="G447" s="54">
        <f>(VLOOKUP($A447,'The List'!$B1:$AH665,19,FALSE)-AVERAGE('The List'!T2:T665))/STDEV('The List'!T2:T665)</f>
        <v>-0.96691638466851171</v>
      </c>
      <c r="H447" s="54">
        <f>(VLOOKUP($A447,'The List'!$B1:$AH665,20,FALSE)-AVERAGE('The List'!U2:U665))/STDEV('The List'!U2:U665)</f>
        <v>-0.71766599315335244</v>
      </c>
      <c r="I447" s="54">
        <f>(VLOOKUP($A447,'The List'!$B1:$AH665,21,FALSE)-AVERAGE('The List'!V2:V665))/STDEV('The List'!V2:V665)</f>
        <v>-0.24980213029623852</v>
      </c>
      <c r="J447" s="54">
        <f>(VLOOKUP($A447,'The List'!$B1:$AH665,22,FALSE)-AVERAGE('The List'!W2:W665))/STDEV('The List'!W2:W665)</f>
        <v>-0.31192417950871509</v>
      </c>
      <c r="K447" s="54">
        <f>(VLOOKUP($A447,'The List'!$B1:$AH665,23,FALSE)-AVERAGE('The List'!X2:X665))/STDEV('The List'!X2:X665)</f>
        <v>-0.49428991817063528</v>
      </c>
      <c r="L447" s="54">
        <f>(VLOOKUP($A447,'The List'!$B1:$AH665,24,FALSE)-AVERAGE('The List'!Y2:Y665))/STDEV('The List'!Y2:Y665)</f>
        <v>-0.51231987583433414</v>
      </c>
      <c r="M447" s="54">
        <f>(VLOOKUP($A447,'The List'!$B1:$AH665,25,FALSE)-AVERAGE('The List'!Z2:Z665))/STDEV('The List'!Z2:Z665)</f>
        <v>-0.70456572640866511</v>
      </c>
      <c r="N447" s="54">
        <f>(VLOOKUP($A447,'The List'!$B1:$AH665,26,FALSE)-AVERAGE('The List'!AA2:AA665))/STDEV('The List'!AA2:AA665)</f>
        <v>-0.75199735936590739</v>
      </c>
      <c r="O447" s="54">
        <f>(VLOOKUP($A447,'The List'!$B1:$AH665,27,FALSE)-AVERAGE('The List'!AB2:AB665))/STDEV('The List'!AB2:AB665)</f>
        <v>0.80857648809854188</v>
      </c>
      <c r="P447" s="54">
        <f>(VLOOKUP($A447,'The List'!$B1:$AH665,28,FALSE)-AVERAGE('The List'!AC2:AC665))/STDEV('The List'!AC2:AC665)</f>
        <v>-1.5021715036677774</v>
      </c>
      <c r="Q447" s="54">
        <f>(VLOOKUP($A447,'The List'!$B1:$AH665,29,FALSE)-AVERAGE('The List'!AD2:AD665))/STDEV('The List'!AD2:AD665)</f>
        <v>1.1942656270030341</v>
      </c>
      <c r="R447" s="54">
        <f>(VLOOKUP($A447,'The List'!$B1:$AH665,30,FALSE)-AVERAGE('The List'!AE2:AE665))/STDEV('The List'!AE2:AE665)</f>
        <v>-0.47473132376703137</v>
      </c>
      <c r="S447" s="54">
        <f>(VLOOKUP($A447,'The List'!$B1:$AH665,31,FALSE)-AVERAGE('The List'!AF2:AF665))/STDEV('The List'!AF2:AF665)</f>
        <v>-0.51099247433493289</v>
      </c>
      <c r="T447" s="54">
        <f>(VLOOKUP($A447,'The List'!$B1:$AH665,32,FALSE)-AVERAGE('The List'!AG2:AG665))/STDEV('The List'!AG2:AG665)</f>
        <v>-0.54861893599296985</v>
      </c>
      <c r="U447" s="54">
        <f>(VLOOKUP($A447,'The List'!$B1:$AH665,33,FALSE)-AVERAGE('The List'!AH2:AH665))/STDEV('The List'!AH2:AH665)</f>
        <v>0.87387983763440358</v>
      </c>
      <c r="V447" s="54"/>
      <c r="W447" s="56"/>
      <c r="X447" s="54"/>
      <c r="Y447" s="54"/>
      <c r="Z447" s="54"/>
      <c r="AA447" s="54"/>
      <c r="AB447" s="54"/>
      <c r="AC447" s="54"/>
      <c r="AD447" s="54"/>
      <c r="AE447" s="54"/>
    </row>
    <row r="448" spans="1:31" ht="21.25" customHeight="1" x14ac:dyDescent="0.15">
      <c r="A448" s="9" t="s">
        <v>420</v>
      </c>
      <c r="B448" s="65" t="str">
        <f>VLOOKUP(A448,'Player Data'!A1:B667,2,FALSE)</f>
        <v>PIT</v>
      </c>
      <c r="C448" s="51">
        <f>((E448)*Settings!$C$12)+(F448*Settings!$C$2)+(G448*Settings!$C$3)+(H448*Settings!$C$4)+(I448*Settings!$C$5)+(K448*Settings!$C$9)+(N448*Settings!$C$6)+(J448*Settings!$C$8)+(O448*Settings!$C$7)+(P448*Settings!$C$14)+(Q448*Settings!$C$15)+(R448*Settings!$C$16)+(S448*Settings!$C$17)+(T448*Settings!$C$18)+(U448*Settings!$C$19)+(L448*Settings!$C$10)+(Settings!$C$11*M448)</f>
        <v>-0.85164828227860001</v>
      </c>
      <c r="D448" s="56">
        <f>IF(Settings!$E$12="YES",VLOOKUP(A448,'Player Data'!A1:E667,5,FALSE),82)</f>
        <v>78.650000000000006</v>
      </c>
      <c r="E448" s="54">
        <f>(VLOOKUP($A448,'The List'!$B1:$AH665,17,FALSE)-AVERAGE('The List'!R2:R665))/STDEV('The List'!R2:R665)</f>
        <v>0.44768814598619211</v>
      </c>
      <c r="F448" s="54">
        <f>(VLOOKUP($A448,'The List'!$B1:$AH665,18,FALSE)-AVERAGE('The List'!S2:S665))/STDEV('The List'!S2:S665)</f>
        <v>-0.83375159540533872</v>
      </c>
      <c r="G448" s="54">
        <f>(VLOOKUP($A448,'The List'!$B1:$AH665,19,FALSE)-AVERAGE('The List'!T2:T665))/STDEV('The List'!T2:T665)</f>
        <v>-0.54111773755081971</v>
      </c>
      <c r="H448" s="54">
        <f>(VLOOKUP($A448,'The List'!$B1:$AH665,20,FALSE)-AVERAGE('The List'!U2:U665))/STDEV('The List'!U2:U665)</f>
        <v>-0.71504427255518399</v>
      </c>
      <c r="I448" s="54">
        <f>(VLOOKUP($A448,'The List'!$B1:$AH665,21,FALSE)-AVERAGE('The List'!V2:V665))/STDEV('The List'!V2:V665)</f>
        <v>-0.5545080886551188</v>
      </c>
      <c r="J448" s="54">
        <f>(VLOOKUP($A448,'The List'!$B1:$AH665,22,FALSE)-AVERAGE('The List'!W2:W665))/STDEV('The List'!W2:W665)</f>
        <v>-0.74438188132300243</v>
      </c>
      <c r="K448" s="54">
        <f>(VLOOKUP($A448,'The List'!$B1:$AH665,23,FALSE)-AVERAGE('The List'!X2:X665))/STDEV('The List'!X2:X665)</f>
        <v>-0.82523387909306367</v>
      </c>
      <c r="L448" s="54">
        <f>(VLOOKUP($A448,'The List'!$B1:$AH665,24,FALSE)-AVERAGE('The List'!Y2:Y665))/STDEV('The List'!Y2:Y665)</f>
        <v>-0.53222452462736924</v>
      </c>
      <c r="M448" s="54">
        <f>(VLOOKUP($A448,'The List'!$B1:$AH665,25,FALSE)-AVERAGE('The List'!Z2:Z665))/STDEV('The List'!Z2:Z665)</f>
        <v>-8.4977838048041918E-2</v>
      </c>
      <c r="N448" s="54">
        <f>(VLOOKUP($A448,'The List'!$B1:$AH665,26,FALSE)-AVERAGE('The List'!AA2:AA665))/STDEV('The List'!AA2:AA665)</f>
        <v>1.8981791570964746</v>
      </c>
      <c r="O448" s="54">
        <f>(VLOOKUP($A448,'The List'!$B1:$AH665,27,FALSE)-AVERAGE('The List'!AB2:AB665))/STDEV('The List'!AB2:AB665)</f>
        <v>-9.9550922816163387E-2</v>
      </c>
      <c r="P448" s="54">
        <f>(VLOOKUP($A448,'The List'!$B1:$AH665,28,FALSE)-AVERAGE('The List'!AC2:AC665))/STDEV('The List'!AC2:AC665)</f>
        <v>4.783861329266512E-3</v>
      </c>
      <c r="Q448" s="54">
        <f>(VLOOKUP($A448,'The List'!$B1:$AH665,29,FALSE)-AVERAGE('The List'!AD2:AD665))/STDEV('The List'!AD2:AD665)</f>
        <v>-0.20458023012577878</v>
      </c>
      <c r="R448" s="54">
        <f>(VLOOKUP($A448,'The List'!$B1:$AH665,30,FALSE)-AVERAGE('The List'!AE2:AE665))/STDEV('The List'!AE2:AE665)</f>
        <v>-0.79951323320227652</v>
      </c>
      <c r="S448" s="54">
        <f>(VLOOKUP($A448,'The List'!$B1:$AH665,31,FALSE)-AVERAGE('The List'!AF2:AF665))/STDEV('The List'!AF2:AF665)</f>
        <v>-0.57389441068000469</v>
      </c>
      <c r="T448" s="54">
        <f>(VLOOKUP($A448,'The List'!$B1:$AH665,32,FALSE)-AVERAGE('The List'!AG2:AG665))/STDEV('The List'!AG2:AG665)</f>
        <v>-0.62577078713265111</v>
      </c>
      <c r="U448" s="54">
        <f>(VLOOKUP($A448,'The List'!$B1:$AH665,33,FALSE)-AVERAGE('The List'!AH2:AH665))/STDEV('The List'!AH2:AH665)</f>
        <v>-1.2314350945148611</v>
      </c>
      <c r="V448" s="54"/>
      <c r="W448" s="64"/>
      <c r="X448" s="56"/>
      <c r="Y448" s="56"/>
      <c r="Z448" s="56"/>
      <c r="AA448" s="56"/>
      <c r="AB448" s="56"/>
      <c r="AC448" s="59"/>
      <c r="AD448" s="60"/>
      <c r="AE448" s="54"/>
    </row>
    <row r="449" spans="1:31" ht="21.25" customHeight="1" x14ac:dyDescent="0.15">
      <c r="A449" s="9" t="s">
        <v>718</v>
      </c>
      <c r="B449" s="65" t="str">
        <f>VLOOKUP(A449,'Player Data'!A1:B667,2,FALSE)</f>
        <v>TOR</v>
      </c>
      <c r="C449" s="51">
        <f>((E449)*Settings!$C$12)+(F449*Settings!$C$2)+(G449*Settings!$C$3)+(H449*Settings!$C$4)+(I449*Settings!$C$5)+(K449*Settings!$C$9)+(N449*Settings!$C$6)+(J449*Settings!$C$8)+(O449*Settings!$C$7)+(P449*Settings!$C$14)+(Q449*Settings!$C$15)+(R449*Settings!$C$16)+(S449*Settings!$C$17)+(T449*Settings!$C$18)+(U449*Settings!$C$19)+(L449*Settings!$C$10)+(Settings!$C$11*M449)</f>
        <v>-2.7389585517916695</v>
      </c>
      <c r="D449" s="56">
        <f>IF(Settings!$E$12="YES",VLOOKUP(A449,'Player Data'!A1:E667,5,FALSE),82)</f>
        <v>69.06</v>
      </c>
      <c r="E449" s="54">
        <f>(VLOOKUP($A449,'The List'!$B1:$AH665,17,FALSE)-AVERAGE('The List'!R2:R665))/STDEV('The List'!R2:R665)</f>
        <v>-1.543391086040123</v>
      </c>
      <c r="F449" s="54">
        <f>(VLOOKUP($A449,'The List'!$B1:$AH665,18,FALSE)-AVERAGE('The List'!S2:S665))/STDEV('The List'!S2:S665)</f>
        <v>-0.62232362054790091</v>
      </c>
      <c r="G449" s="54">
        <f>(VLOOKUP($A449,'The List'!$B1:$AH665,19,FALSE)-AVERAGE('The List'!T2:T665))/STDEV('The List'!T2:T665)</f>
        <v>-0.88156220687915199</v>
      </c>
      <c r="H449" s="54">
        <f>(VLOOKUP($A449,'The List'!$B1:$AH665,20,FALSE)-AVERAGE('The List'!U2:U665))/STDEV('The List'!U2:U665)</f>
        <v>-0.83037536600745865</v>
      </c>
      <c r="I449" s="54">
        <f>(VLOOKUP($A449,'The List'!$B1:$AH665,21,FALSE)-AVERAGE('The List'!V2:V665))/STDEV('The List'!V2:V665)</f>
        <v>-1.0825375852399777</v>
      </c>
      <c r="J449" s="54">
        <f>(VLOOKUP($A449,'The List'!$B1:$AH665,22,FALSE)-AVERAGE('The List'!W2:W665))/STDEV('The List'!W2:W665)</f>
        <v>-0.72721425189674671</v>
      </c>
      <c r="K449" s="54">
        <f>(VLOOKUP($A449,'The List'!$B1:$AH665,23,FALSE)-AVERAGE('The List'!X2:X665))/STDEV('The List'!X2:X665)</f>
        <v>-0.81585233949984504</v>
      </c>
      <c r="L449" s="54">
        <f>(VLOOKUP($A449,'The List'!$B1:$AH665,24,FALSE)-AVERAGE('The List'!Y2:Y665))/STDEV('The List'!Y2:Y665)</f>
        <v>-0.36805961224017741</v>
      </c>
      <c r="M449" s="54">
        <f>(VLOOKUP($A449,'The List'!$B1:$AH665,25,FALSE)-AVERAGE('The List'!Z2:Z665))/STDEV('The List'!Z2:Z665)</f>
        <v>-0.5368649655720259</v>
      </c>
      <c r="N449" s="54">
        <f>(VLOOKUP($A449,'The List'!$B1:$AH665,26,FALSE)-AVERAGE('The List'!AA2:AA665))/STDEV('The List'!AA2:AA665)</f>
        <v>-0.46637905840895411</v>
      </c>
      <c r="O449" s="54">
        <f>(VLOOKUP($A449,'The List'!$B1:$AH665,27,FALSE)-AVERAGE('The List'!AB2:AB665))/STDEV('The List'!AB2:AB665)</f>
        <v>-0.34304049051385271</v>
      </c>
      <c r="P449" s="54">
        <f>(VLOOKUP($A449,'The List'!$B1:$AH665,28,FALSE)-AVERAGE('The List'!AC2:AC665))/STDEV('The List'!AC2:AC665)</f>
        <v>1.1296962587841606</v>
      </c>
      <c r="Q449" s="54">
        <f>(VLOOKUP($A449,'The List'!$B1:$AH665,29,FALSE)-AVERAGE('The List'!AD2:AD665))/STDEV('The List'!AD2:AD665)</f>
        <v>-0.63424549876319702</v>
      </c>
      <c r="R449" s="54">
        <f>(VLOOKUP($A449,'The List'!$B1:$AH665,30,FALSE)-AVERAGE('The List'!AE2:AE665))/STDEV('The List'!AE2:AE665)</f>
        <v>-0.5447520816442406</v>
      </c>
      <c r="S449" s="54">
        <f>(VLOOKUP($A449,'The List'!$B1:$AH665,31,FALSE)-AVERAGE('The List'!AF2:AF665))/STDEV('The List'!AF2:AF665)</f>
        <v>2.0055332430560801E-2</v>
      </c>
      <c r="T449" s="54">
        <f>(VLOOKUP($A449,'The List'!$B1:$AH665,32,FALSE)-AVERAGE('The List'!AG2:AG665))/STDEV('The List'!AG2:AG665)</f>
        <v>0.14620120516297022</v>
      </c>
      <c r="U449" s="54">
        <f>(VLOOKUP($A449,'The List'!$B1:$AH665,33,FALSE)-AVERAGE('The List'!AH2:AH665))/STDEV('The List'!AH2:AH665)</f>
        <v>0.80868645652668469</v>
      </c>
      <c r="V449" s="54"/>
      <c r="W449" s="64"/>
      <c r="X449" s="56"/>
      <c r="Y449" s="56"/>
      <c r="Z449" s="56"/>
      <c r="AA449" s="56"/>
      <c r="AB449" s="56"/>
      <c r="AC449" s="59"/>
      <c r="AD449" s="60"/>
      <c r="AE449" s="54"/>
    </row>
    <row r="450" spans="1:31" ht="21.25" customHeight="1" x14ac:dyDescent="0.15">
      <c r="A450" s="9" t="s">
        <v>729</v>
      </c>
      <c r="B450" s="65" t="str">
        <f>VLOOKUP(A450,'Player Data'!A1:B667,2,FALSE)</f>
        <v>EDM</v>
      </c>
      <c r="C450" s="51">
        <f>((E450)*Settings!$C$12)+(F450*Settings!$C$2)+(G450*Settings!$C$3)+(H450*Settings!$C$4)+(I450*Settings!$C$5)+(K450*Settings!$C$9)+(N450*Settings!$C$6)+(J450*Settings!$C$8)+(O450*Settings!$C$7)+(P450*Settings!$C$14)+(Q450*Settings!$C$15)+(R450*Settings!$C$16)+(S450*Settings!$C$17)+(T450*Settings!$C$18)+(U450*Settings!$C$19)+(L450*Settings!$C$10)+(Settings!$C$11*M450)</f>
        <v>-3.5761825910062117</v>
      </c>
      <c r="D450" s="56">
        <f>IF(Settings!$E$12="YES",VLOOKUP(A450,'Player Data'!A1:E667,5,FALSE),82)</f>
        <v>64.635000000000005</v>
      </c>
      <c r="E450" s="54">
        <f>(VLOOKUP($A450,'The List'!$B1:$AH665,17,FALSE)-AVERAGE('The List'!R2:R665))/STDEV('The List'!R2:R665)</f>
        <v>-1.3112707059846052</v>
      </c>
      <c r="F450" s="54">
        <f>(VLOOKUP($A450,'The List'!$B1:$AH665,18,FALSE)-AVERAGE('The List'!S2:S665))/STDEV('The List'!S2:S665)</f>
        <v>-0.58882816822397444</v>
      </c>
      <c r="G450" s="54">
        <f>(VLOOKUP($A450,'The List'!$B1:$AH665,19,FALSE)-AVERAGE('The List'!T2:T665))/STDEV('The List'!T2:T665)</f>
        <v>-0.99422160011005634</v>
      </c>
      <c r="H450" s="54">
        <f>(VLOOKUP($A450,'The List'!$B1:$AH665,20,FALSE)-AVERAGE('The List'!U2:U665))/STDEV('The List'!U2:U665)</f>
        <v>-0.88511790858118289</v>
      </c>
      <c r="I450" s="54">
        <f>(VLOOKUP($A450,'The List'!$B1:$AH665,21,FALSE)-AVERAGE('The List'!V2:V665))/STDEV('The List'!V2:V665)</f>
        <v>-0.83204011938352684</v>
      </c>
      <c r="J450" s="54">
        <f>(VLOOKUP($A450,'The List'!$B1:$AH665,22,FALSE)-AVERAGE('The List'!W2:W665))/STDEV('The List'!W2:W665)</f>
        <v>-0.65929910332464681</v>
      </c>
      <c r="K450" s="54">
        <f>(VLOOKUP($A450,'The List'!$B1:$AH665,23,FALSE)-AVERAGE('The List'!X2:X665))/STDEV('The List'!X2:X665)</f>
        <v>-0.76314616580598282</v>
      </c>
      <c r="L450" s="54">
        <f>(VLOOKUP($A450,'The List'!$B1:$AH665,24,FALSE)-AVERAGE('The List'!Y2:Y665))/STDEV('The List'!Y2:Y665)</f>
        <v>-0.5801829139020841</v>
      </c>
      <c r="M450" s="54">
        <f>(VLOOKUP($A450,'The List'!$B1:$AH665,25,FALSE)-AVERAGE('The List'!Z2:Z665))/STDEV('The List'!Z2:Z665)</f>
        <v>-0.75403666498999722</v>
      </c>
      <c r="N450" s="54">
        <f>(VLOOKUP($A450,'The List'!$B1:$AH665,26,FALSE)-AVERAGE('The List'!AA2:AA665))/STDEV('The List'!AA2:AA665)</f>
        <v>-0.99982276645816148</v>
      </c>
      <c r="O450" s="54">
        <f>(VLOOKUP($A450,'The List'!$B1:$AH665,27,FALSE)-AVERAGE('The List'!AB2:AB665))/STDEV('The List'!AB2:AB665)</f>
        <v>0.83840982561724864</v>
      </c>
      <c r="P450" s="54">
        <f>(VLOOKUP($A450,'The List'!$B1:$AH665,28,FALSE)-AVERAGE('The List'!AC2:AC665))/STDEV('The List'!AC2:AC665)</f>
        <v>0.60187622897549053</v>
      </c>
      <c r="Q450" s="54">
        <f>(VLOOKUP($A450,'The List'!$B1:$AH665,29,FALSE)-AVERAGE('The List'!AD2:AD665))/STDEV('The List'!AD2:AD665)</f>
        <v>-0.84925668784842934</v>
      </c>
      <c r="R450" s="54">
        <f>(VLOOKUP($A450,'The List'!$B1:$AH665,30,FALSE)-AVERAGE('The List'!AE2:AE665))/STDEV('The List'!AE2:AE665)</f>
        <v>-0.50322042579828197</v>
      </c>
      <c r="S450" s="54">
        <f>(VLOOKUP($A450,'The List'!$B1:$AH665,31,FALSE)-AVERAGE('The List'!AF2:AF665))/STDEV('The List'!AF2:AF665)</f>
        <v>-0.52672202609924468</v>
      </c>
      <c r="T450" s="54">
        <f>(VLOOKUP($A450,'The List'!$B1:$AH665,32,FALSE)-AVERAGE('The List'!AG2:AG665))/STDEV('The List'!AG2:AG665)</f>
        <v>-0.55602173819169165</v>
      </c>
      <c r="U450" s="54">
        <f>(VLOOKUP($A450,'The List'!$B1:$AH665,33,FALSE)-AVERAGE('The List'!AH2:AH665))/STDEV('The List'!AH2:AH665)</f>
        <v>0.66514287824357987</v>
      </c>
      <c r="V450" s="54"/>
      <c r="W450" s="64"/>
      <c r="X450" s="56"/>
      <c r="Y450" s="56"/>
      <c r="Z450" s="56"/>
      <c r="AA450" s="56"/>
      <c r="AB450" s="56"/>
      <c r="AC450" s="59"/>
      <c r="AD450" s="60"/>
      <c r="AE450" s="54"/>
    </row>
    <row r="451" spans="1:31" ht="21.25" customHeight="1" x14ac:dyDescent="0.15">
      <c r="A451" s="9" t="s">
        <v>746</v>
      </c>
      <c r="B451" s="65" t="str">
        <f>VLOOKUP(A451,'Player Data'!A1:B667,2,FALSE)</f>
        <v>STL</v>
      </c>
      <c r="C451" s="51">
        <f>((E451)*Settings!$C$12)+(F451*Settings!$C$2)+(G451*Settings!$C$3)+(H451*Settings!$C$4)+(I451*Settings!$C$5)+(K451*Settings!$C$9)+(N451*Settings!$C$6)+(J451*Settings!$C$8)+(O451*Settings!$C$7)+(P451*Settings!$C$14)+(Q451*Settings!$C$15)+(R451*Settings!$C$16)+(S451*Settings!$C$17)+(T451*Settings!$C$18)+(U451*Settings!$C$19)+(L451*Settings!$C$10)+(Settings!$C$11*M451)</f>
        <v>-4.8051169780079972</v>
      </c>
      <c r="D451" s="56">
        <f>IF(Settings!$E$12="YES",VLOOKUP(A451,'Player Data'!A1:E667,5,FALSE),82)</f>
        <v>75.715000000000003</v>
      </c>
      <c r="E451" s="54">
        <f>(VLOOKUP($A451,'The List'!$B1:$AH665,17,FALSE)-AVERAGE('The List'!R2:R665))/STDEV('The List'!R2:R665)</f>
        <v>-1.2179480535327389</v>
      </c>
      <c r="F451" s="54">
        <f>(VLOOKUP($A451,'The List'!$B1:$AH665,18,FALSE)-AVERAGE('The List'!S2:S665))/STDEV('The List'!S2:S665)</f>
        <v>-0.72937438609245175</v>
      </c>
      <c r="G451" s="54">
        <f>(VLOOKUP($A451,'The List'!$B1:$AH665,19,FALSE)-AVERAGE('The List'!T2:T665))/STDEV('The List'!T2:T665)</f>
        <v>-0.68171981562857842</v>
      </c>
      <c r="H451" s="54">
        <f>(VLOOKUP($A451,'The List'!$B1:$AH665,20,FALSE)-AVERAGE('The List'!U2:U665))/STDEV('The List'!U2:U665)</f>
        <v>-0.75492166575143005</v>
      </c>
      <c r="I451" s="54">
        <f>(VLOOKUP($A451,'The List'!$B1:$AH665,21,FALSE)-AVERAGE('The List'!V2:V665))/STDEV('The List'!V2:V665)</f>
        <v>-1.0489902878514195</v>
      </c>
      <c r="J451" s="54">
        <f>(VLOOKUP($A451,'The List'!$B1:$AH665,22,FALSE)-AVERAGE('The List'!W2:W665))/STDEV('The List'!W2:W665)</f>
        <v>-0.50111043298350488</v>
      </c>
      <c r="K451" s="54">
        <f>(VLOOKUP($A451,'The List'!$B1:$AH665,23,FALSE)-AVERAGE('The List'!X2:X665))/STDEV('The List'!X2:X665)</f>
        <v>-0.62505360306986413</v>
      </c>
      <c r="L451" s="54">
        <f>(VLOOKUP($A451,'The List'!$B1:$AH665,24,FALSE)-AVERAGE('The List'!Y2:Y665))/STDEV('The List'!Y2:Y665)</f>
        <v>0.33575841101893211</v>
      </c>
      <c r="M451" s="54">
        <f>(VLOOKUP($A451,'The List'!$B1:$AH665,25,FALSE)-AVERAGE('The List'!Z2:Z665))/STDEV('The List'!Z2:Z665)</f>
        <v>0.86520326977953821</v>
      </c>
      <c r="N451" s="54">
        <f>(VLOOKUP($A451,'The List'!$B1:$AH665,26,FALSE)-AVERAGE('The List'!AA2:AA665))/STDEV('The List'!AA2:AA665)</f>
        <v>-0.50444106587275894</v>
      </c>
      <c r="O451" s="54">
        <f>(VLOOKUP($A451,'The List'!$B1:$AH665,27,FALSE)-AVERAGE('The List'!AB2:AB665))/STDEV('The List'!AB2:AB665)</f>
        <v>-9.3597609386851577E-2</v>
      </c>
      <c r="P451" s="54">
        <f>(VLOOKUP($A451,'The List'!$B1:$AH665,28,FALSE)-AVERAGE('The List'!AC2:AC665))/STDEV('The List'!AC2:AC665)</f>
        <v>-1.2155378194929243</v>
      </c>
      <c r="Q451" s="54">
        <f>(VLOOKUP($A451,'The List'!$B1:$AH665,29,FALSE)-AVERAGE('The List'!AD2:AD665))/STDEV('The List'!AD2:AD665)</f>
        <v>-0.38728144658896629</v>
      </c>
      <c r="R451" s="54">
        <f>(VLOOKUP($A451,'The List'!$B1:$AH665,30,FALSE)-AVERAGE('The List'!AE2:AE665))/STDEV('The List'!AE2:AE665)</f>
        <v>-0.80817352854762248</v>
      </c>
      <c r="S451" s="54">
        <f>(VLOOKUP($A451,'The List'!$B1:$AH665,31,FALSE)-AVERAGE('The List'!AF2:AF665))/STDEV('The List'!AF2:AF665)</f>
        <v>0.36457882849810536</v>
      </c>
      <c r="T451" s="54">
        <f>(VLOOKUP($A451,'The List'!$B1:$AH665,32,FALSE)-AVERAGE('The List'!AG2:AG665))/STDEV('The List'!AG2:AG665)</f>
        <v>0.74716531984569279</v>
      </c>
      <c r="U451" s="54">
        <f>(VLOOKUP($A451,'The List'!$B1:$AH665,33,FALSE)-AVERAGE('The List'!AH2:AH665))/STDEV('The List'!AH2:AH665)</f>
        <v>0.67689253822355011</v>
      </c>
      <c r="V451" s="54"/>
      <c r="W451" s="64"/>
      <c r="X451" s="56"/>
      <c r="Y451" s="56"/>
      <c r="Z451" s="56"/>
      <c r="AA451" s="56"/>
      <c r="AB451" s="56"/>
      <c r="AC451" s="59"/>
      <c r="AD451" s="60"/>
      <c r="AE451" s="54"/>
    </row>
    <row r="452" spans="1:31" ht="21.25" customHeight="1" x14ac:dyDescent="0.15">
      <c r="A452" s="9" t="s">
        <v>452</v>
      </c>
      <c r="B452" s="65" t="str">
        <f>VLOOKUP(A452,'Player Data'!A1:B667,2,FALSE)</f>
        <v>NSH</v>
      </c>
      <c r="C452" s="51">
        <f>((E452)*Settings!$C$12)+(F452*Settings!$C$2)+(G452*Settings!$C$3)+(H452*Settings!$C$4)+(I452*Settings!$C$5)+(K452*Settings!$C$9)+(N452*Settings!$C$6)+(J452*Settings!$C$8)+(O452*Settings!$C$7)+(P452*Settings!$C$14)+(Q452*Settings!$C$15)+(R452*Settings!$C$16)+(S452*Settings!$C$17)+(T452*Settings!$C$18)+(U452*Settings!$C$19)+(L452*Settings!$C$10)+(Settings!$C$11*M452)</f>
        <v>-1.0722640558947847</v>
      </c>
      <c r="D452" s="56">
        <f>IF(Settings!$E$12="YES",VLOOKUP(A452,'Player Data'!A1:E667,5,FALSE),82)</f>
        <v>75.402500000000003</v>
      </c>
      <c r="E452" s="54">
        <f>(VLOOKUP($A452,'The List'!$B1:$AH665,17,FALSE)-AVERAGE('The List'!R2:R665))/STDEV('The List'!R2:R665)</f>
        <v>0.40215715791407863</v>
      </c>
      <c r="F452" s="54">
        <f>(VLOOKUP($A452,'The List'!$B1:$AH665,18,FALSE)-AVERAGE('The List'!S2:S665))/STDEV('The List'!S2:S665)</f>
        <v>-0.96790199294910284</v>
      </c>
      <c r="G452" s="54">
        <f>(VLOOKUP($A452,'The List'!$B1:$AH665,19,FALSE)-AVERAGE('The List'!T2:T665))/STDEV('The List'!T2:T665)</f>
        <v>-0.51642410003495176</v>
      </c>
      <c r="H452" s="54">
        <f>(VLOOKUP($A452,'The List'!$B1:$AH665,20,FALSE)-AVERAGE('The List'!U2:U665))/STDEV('The List'!U2:U665)</f>
        <v>-0.76068586754505674</v>
      </c>
      <c r="I452" s="54">
        <f>(VLOOKUP($A452,'The List'!$B1:$AH665,21,FALSE)-AVERAGE('The List'!V2:V665))/STDEV('The List'!V2:V665)</f>
        <v>-0.56422848153450211</v>
      </c>
      <c r="J452" s="54">
        <f>(VLOOKUP($A452,'The List'!$B1:$AH665,22,FALSE)-AVERAGE('The List'!W2:W665))/STDEV('The List'!W2:W665)</f>
        <v>-0.74085868534768162</v>
      </c>
      <c r="K452" s="54">
        <f>(VLOOKUP($A452,'The List'!$B1:$AH665,23,FALSE)-AVERAGE('The List'!X2:X665))/STDEV('The List'!X2:X665)</f>
        <v>-0.81270152678465646</v>
      </c>
      <c r="L452" s="54">
        <f>(VLOOKUP($A452,'The List'!$B1:$AH665,24,FALSE)-AVERAGE('The List'!Y2:Y665))/STDEV('The List'!Y2:Y665)</f>
        <v>-0.53851469809048291</v>
      </c>
      <c r="M452" s="54">
        <f>(VLOOKUP($A452,'The List'!$B1:$AH665,25,FALSE)-AVERAGE('The List'!Z2:Z665))/STDEV('The List'!Z2:Z665)</f>
        <v>-0.62961876702848107</v>
      </c>
      <c r="N452" s="54">
        <f>(VLOOKUP($A452,'The List'!$B1:$AH665,26,FALSE)-AVERAGE('The List'!AA2:AA665))/STDEV('The List'!AA2:AA665)</f>
        <v>1.3669322598279712</v>
      </c>
      <c r="O452" s="54">
        <f>(VLOOKUP($A452,'The List'!$B1:$AH665,27,FALSE)-AVERAGE('The List'!AB2:AB665))/STDEV('The List'!AB2:AB665)</f>
        <v>-0.11597283859454792</v>
      </c>
      <c r="P452" s="54">
        <f>(VLOOKUP($A452,'The List'!$B1:$AH665,28,FALSE)-AVERAGE('The List'!AC2:AC665))/STDEV('The List'!AC2:AC665)</f>
        <v>0.42205978558045704</v>
      </c>
      <c r="Q452" s="54">
        <f>(VLOOKUP($A452,'The List'!$B1:$AH665,29,FALSE)-AVERAGE('The List'!AD2:AD665))/STDEV('The List'!AD2:AD665)</f>
        <v>0.21808500945191853</v>
      </c>
      <c r="R452" s="54">
        <f>(VLOOKUP($A452,'The List'!$B1:$AH665,30,FALSE)-AVERAGE('The List'!AE2:AE665))/STDEV('The List'!AE2:AE665)</f>
        <v>-0.94276330739713554</v>
      </c>
      <c r="S452" s="54">
        <f>(VLOOKUP($A452,'The List'!$B1:$AH665,31,FALSE)-AVERAGE('The List'!AF2:AF665))/STDEV('The List'!AF2:AF665)</f>
        <v>-0.57389441068000469</v>
      </c>
      <c r="T452" s="54">
        <f>(VLOOKUP($A452,'The List'!$B1:$AH665,32,FALSE)-AVERAGE('The List'!AG2:AG665))/STDEV('The List'!AG2:AG665)</f>
        <v>-0.62577078713265111</v>
      </c>
      <c r="U452" s="54">
        <f>(VLOOKUP($A452,'The List'!$B1:$AH665,33,FALSE)-AVERAGE('The List'!AH2:AH665))/STDEV('The List'!AH2:AH665)</f>
        <v>-1.2314350945148611</v>
      </c>
      <c r="V452" s="54"/>
      <c r="W452" s="64"/>
      <c r="X452" s="56"/>
      <c r="Y452" s="56"/>
      <c r="Z452" s="56"/>
      <c r="AA452" s="56"/>
      <c r="AB452" s="56"/>
      <c r="AC452" s="59"/>
      <c r="AD452" s="60"/>
      <c r="AE452" s="54"/>
    </row>
    <row r="453" spans="1:31" ht="21.25" customHeight="1" x14ac:dyDescent="0.15">
      <c r="A453" s="9" t="s">
        <v>489</v>
      </c>
      <c r="B453" s="65" t="str">
        <f>VLOOKUP(A453,'Player Data'!A1:B667,2,FALSE)</f>
        <v>STL</v>
      </c>
      <c r="C453" s="51">
        <f>((E453)*Settings!$C$12)+(F453*Settings!$C$2)+(G453*Settings!$C$3)+(H453*Settings!$C$4)+(I453*Settings!$C$5)+(K453*Settings!$C$9)+(N453*Settings!$C$6)+(J453*Settings!$C$8)+(O453*Settings!$C$7)+(P453*Settings!$C$14)+(Q453*Settings!$C$15)+(R453*Settings!$C$16)+(S453*Settings!$C$17)+(T453*Settings!$C$18)+(U453*Settings!$C$19)+(L453*Settings!$C$10)+(Settings!$C$11*M453)</f>
        <v>-3.280845693411389</v>
      </c>
      <c r="D453" s="56">
        <f>IF(Settings!$E$12="YES",VLOOKUP(A453,'Player Data'!A1:E667,5,FALSE),82)</f>
        <v>80.78</v>
      </c>
      <c r="E453" s="54">
        <f>(VLOOKUP($A453,'The List'!$B1:$AH665,17,FALSE)-AVERAGE('The List'!R2:R665))/STDEV('The List'!R2:R665)</f>
        <v>1.0159392853552958</v>
      </c>
      <c r="F453" s="54">
        <f>(VLOOKUP($A453,'The List'!$B1:$AH665,18,FALSE)-AVERAGE('The List'!S2:S665))/STDEV('The List'!S2:S665)</f>
        <v>-1.0771293152688397</v>
      </c>
      <c r="G453" s="54">
        <f>(VLOOKUP($A453,'The List'!$B1:$AH665,19,FALSE)-AVERAGE('The List'!T2:T665))/STDEV('The List'!T2:T665)</f>
        <v>-0.33603515136035977</v>
      </c>
      <c r="H453" s="54">
        <f>(VLOOKUP($A453,'The List'!$B1:$AH665,20,FALSE)-AVERAGE('The List'!U2:U665))/STDEV('The List'!U2:U665)</f>
        <v>-0.69830319747347047</v>
      </c>
      <c r="I453" s="54">
        <f>(VLOOKUP($A453,'The List'!$B1:$AH665,21,FALSE)-AVERAGE('The List'!V2:V665))/STDEV('The List'!V2:V665)</f>
        <v>-1.0038870215500875</v>
      </c>
      <c r="J453" s="54">
        <f>(VLOOKUP($A453,'The List'!$B1:$AH665,22,FALSE)-AVERAGE('The List'!W2:W665))/STDEV('The List'!W2:W665)</f>
        <v>-0.74397491515541581</v>
      </c>
      <c r="K453" s="54">
        <f>(VLOOKUP($A453,'The List'!$B1:$AH665,23,FALSE)-AVERAGE('The List'!X2:X665))/STDEV('The List'!X2:X665)</f>
        <v>-0.81239550265181348</v>
      </c>
      <c r="L453" s="54">
        <f>(VLOOKUP($A453,'The List'!$B1:$AH665,24,FALSE)-AVERAGE('The List'!Y2:Y665))/STDEV('The List'!Y2:Y665)</f>
        <v>0.36873215809954696</v>
      </c>
      <c r="M453" s="54">
        <f>(VLOOKUP($A453,'The List'!$B1:$AH665,25,FALSE)-AVERAGE('The List'!Z2:Z665))/STDEV('The List'!Z2:Z665)</f>
        <v>0.6635397104131916</v>
      </c>
      <c r="N453" s="54">
        <f>(VLOOKUP($A453,'The List'!$B1:$AH665,26,FALSE)-AVERAGE('The List'!AA2:AA665))/STDEV('The List'!AA2:AA665)</f>
        <v>1.1953952510521786</v>
      </c>
      <c r="O453" s="54">
        <f>(VLOOKUP($A453,'The List'!$B1:$AH665,27,FALSE)-AVERAGE('The List'!AB2:AB665))/STDEV('The List'!AB2:AB665)</f>
        <v>-0.71189860250062298</v>
      </c>
      <c r="P453" s="54">
        <f>(VLOOKUP($A453,'The List'!$B1:$AH665,28,FALSE)-AVERAGE('The List'!AC2:AC665))/STDEV('The List'!AC2:AC665)</f>
        <v>-1.246793953632467</v>
      </c>
      <c r="Q453" s="54">
        <f>(VLOOKUP($A453,'The List'!$B1:$AH665,29,FALSE)-AVERAGE('The List'!AD2:AD665))/STDEV('The List'!AD2:AD665)</f>
        <v>-0.76304418258650775</v>
      </c>
      <c r="R453" s="54">
        <f>(VLOOKUP($A453,'The List'!$B1:$AH665,30,FALSE)-AVERAGE('The List'!AE2:AE665))/STDEV('The List'!AE2:AE665)</f>
        <v>-1.0769085671318039</v>
      </c>
      <c r="S453" s="54">
        <f>(VLOOKUP($A453,'The List'!$B1:$AH665,31,FALSE)-AVERAGE('The List'!AF2:AF665))/STDEV('The List'!AF2:AF665)</f>
        <v>-0.57389441068000469</v>
      </c>
      <c r="T453" s="54">
        <f>(VLOOKUP($A453,'The List'!$B1:$AH665,32,FALSE)-AVERAGE('The List'!AG2:AG665))/STDEV('The List'!AG2:AG665)</f>
        <v>-0.62577078713265111</v>
      </c>
      <c r="U453" s="54">
        <f>(VLOOKUP($A453,'The List'!$B1:$AH665,33,FALSE)-AVERAGE('The List'!AH2:AH665))/STDEV('The List'!AH2:AH665)</f>
        <v>-1.2314350945148611</v>
      </c>
      <c r="V453" s="54"/>
      <c r="W453" s="56"/>
      <c r="X453" s="54"/>
      <c r="Y453" s="54"/>
      <c r="Z453" s="54"/>
      <c r="AA453" s="54"/>
      <c r="AB453" s="54"/>
      <c r="AC453" s="54"/>
      <c r="AD453" s="54"/>
      <c r="AE453" s="54"/>
    </row>
    <row r="454" spans="1:31" ht="21.25" customHeight="1" x14ac:dyDescent="0.15">
      <c r="A454" s="9" t="s">
        <v>715</v>
      </c>
      <c r="B454" s="65" t="str">
        <f>VLOOKUP(A454,'Player Data'!A1:B667,2,FALSE)</f>
        <v>SEA</v>
      </c>
      <c r="C454" s="51">
        <f>((E454)*Settings!$C$12)+(F454*Settings!$C$2)+(G454*Settings!$C$3)+(H454*Settings!$C$4)+(I454*Settings!$C$5)+(K454*Settings!$C$9)+(N454*Settings!$C$6)+(J454*Settings!$C$8)+(O454*Settings!$C$7)+(P454*Settings!$C$14)+(Q454*Settings!$C$15)+(R454*Settings!$C$16)+(S454*Settings!$C$17)+(T454*Settings!$C$18)+(U454*Settings!$C$19)+(L454*Settings!$C$10)+(Settings!$C$11*M454)</f>
        <v>-3.8949251083450163</v>
      </c>
      <c r="D454" s="56">
        <f>IF(Settings!$E$12="YES",VLOOKUP(A454,'Player Data'!A1:E667,5,FALSE),82)</f>
        <v>76.58</v>
      </c>
      <c r="E454" s="54">
        <f>(VLOOKUP($A454,'The List'!$B1:$AH665,17,FALSE)-AVERAGE('The List'!R2:R665))/STDEV('The List'!R2:R665)</f>
        <v>-1.5156588410627299</v>
      </c>
      <c r="F454" s="54">
        <f>(VLOOKUP($A454,'The List'!$B1:$AH665,18,FALSE)-AVERAGE('The List'!S2:S665))/STDEV('The List'!S2:S665)</f>
        <v>-0.32667478535962396</v>
      </c>
      <c r="G454" s="54">
        <f>(VLOOKUP($A454,'The List'!$B1:$AH665,19,FALSE)-AVERAGE('The List'!T2:T665))/STDEV('The List'!T2:T665)</f>
        <v>-0.96904724404921638</v>
      </c>
      <c r="H454" s="54">
        <f>(VLOOKUP($A454,'The List'!$B1:$AH665,20,FALSE)-AVERAGE('The List'!U2:U665))/STDEV('The List'!U2:U665)</f>
        <v>-0.75032204429844507</v>
      </c>
      <c r="I454" s="54">
        <f>(VLOOKUP($A454,'The List'!$B1:$AH665,21,FALSE)-AVERAGE('The List'!V2:V665))/STDEV('The List'!V2:V665)</f>
        <v>-0.54675398240915973</v>
      </c>
      <c r="J454" s="54">
        <f>(VLOOKUP($A454,'The List'!$B1:$AH665,22,FALSE)-AVERAGE('The List'!W2:W665))/STDEV('The List'!W2:W665)</f>
        <v>-0.72691663934466855</v>
      </c>
      <c r="K454" s="54">
        <f>(VLOOKUP($A454,'The List'!$B1:$AH665,23,FALSE)-AVERAGE('The List'!X2:X665))/STDEV('The List'!X2:X665)</f>
        <v>-0.8125614182125368</v>
      </c>
      <c r="L454" s="54">
        <f>(VLOOKUP($A454,'The List'!$B1:$AH665,24,FALSE)-AVERAGE('The List'!Y2:Y665))/STDEV('The List'!Y2:Y665)</f>
        <v>-0.2701959147902977</v>
      </c>
      <c r="M454" s="54">
        <f>(VLOOKUP($A454,'The List'!$B1:$AH665,25,FALSE)-AVERAGE('The List'!Z2:Z665))/STDEV('The List'!Z2:Z665)</f>
        <v>-0.43430029814244514</v>
      </c>
      <c r="N454" s="54">
        <f>(VLOOKUP($A454,'The List'!$B1:$AH665,26,FALSE)-AVERAGE('The List'!AA2:AA665))/STDEV('The List'!AA2:AA665)</f>
        <v>-0.87102737234552663</v>
      </c>
      <c r="O454" s="54">
        <f>(VLOOKUP($A454,'The List'!$B1:$AH665,27,FALSE)-AVERAGE('The List'!AB2:AB665))/STDEV('The List'!AB2:AB665)</f>
        <v>2.0630763795792775</v>
      </c>
      <c r="P454" s="54">
        <f>(VLOOKUP($A454,'The List'!$B1:$AH665,28,FALSE)-AVERAGE('The List'!AC2:AC665))/STDEV('The List'!AC2:AC665)</f>
        <v>-0.36886030596895286</v>
      </c>
      <c r="Q454" s="54">
        <f>(VLOOKUP($A454,'The List'!$B1:$AH665,29,FALSE)-AVERAGE('The List'!AD2:AD665))/STDEV('The List'!AD2:AD665)</f>
        <v>-0.59320322096389932</v>
      </c>
      <c r="R454" s="54">
        <f>(VLOOKUP($A454,'The List'!$B1:$AH665,30,FALSE)-AVERAGE('The List'!AE2:AE665))/STDEV('The List'!AE2:AE665)</f>
        <v>-0.29372318339516451</v>
      </c>
      <c r="S454" s="54">
        <f>(VLOOKUP($A454,'The List'!$B1:$AH665,31,FALSE)-AVERAGE('The List'!AF2:AF665))/STDEV('The List'!AF2:AF665)</f>
        <v>-0.38537718693196282</v>
      </c>
      <c r="T454" s="54">
        <f>(VLOOKUP($A454,'The List'!$B1:$AH665,32,FALSE)-AVERAGE('The List'!AG2:AG665))/STDEV('The List'!AG2:AG665)</f>
        <v>-0.40080234732696807</v>
      </c>
      <c r="U454" s="54">
        <f>(VLOOKUP($A454,'The List'!$B1:$AH665,33,FALSE)-AVERAGE('The List'!AH2:AH665))/STDEV('The List'!AH2:AH665)</f>
        <v>0.9048338760811897</v>
      </c>
      <c r="V454" s="54"/>
      <c r="W454" s="64"/>
      <c r="X454" s="56"/>
      <c r="Y454" s="56"/>
      <c r="Z454" s="56"/>
      <c r="AA454" s="56"/>
      <c r="AB454" s="56"/>
      <c r="AC454" s="59"/>
      <c r="AD454" s="60"/>
      <c r="AE454" s="54"/>
    </row>
    <row r="455" spans="1:31" ht="21.25" customHeight="1" x14ac:dyDescent="0.15">
      <c r="A455" s="9" t="s">
        <v>585</v>
      </c>
      <c r="B455" s="65" t="str">
        <f>VLOOKUP(A455,'Player Data'!A1:B667,2,FALSE)</f>
        <v>DAL</v>
      </c>
      <c r="C455" s="51">
        <f>((E455)*Settings!$C$12)+(F455*Settings!$C$2)+(G455*Settings!$C$3)+(H455*Settings!$C$4)+(I455*Settings!$C$5)+(K455*Settings!$C$9)+(N455*Settings!$C$6)+(J455*Settings!$C$8)+(O455*Settings!$C$7)+(P455*Settings!$C$14)+(Q455*Settings!$C$15)+(R455*Settings!$C$16)+(S455*Settings!$C$17)+(T455*Settings!$C$18)+(U455*Settings!$C$19)+(L455*Settings!$C$10)+(Settings!$C$11*M455)</f>
        <v>-2.2814907342049273</v>
      </c>
      <c r="D455" s="56">
        <f>IF(Settings!$E$12="YES",VLOOKUP(A455,'Player Data'!A1:E667,5,FALSE),82)</f>
        <v>69.222499999999997</v>
      </c>
      <c r="E455" s="54">
        <f>(VLOOKUP($A455,'The List'!$B1:$AH665,17,FALSE)-AVERAGE('The List'!R2:R665))/STDEV('The List'!R2:R665)</f>
        <v>-0.52431718037981156</v>
      </c>
      <c r="F455" s="54">
        <f>(VLOOKUP($A455,'The List'!$B1:$AH665,18,FALSE)-AVERAGE('The List'!S2:S665))/STDEV('The List'!S2:S665)</f>
        <v>-0.97237231116450817</v>
      </c>
      <c r="G455" s="54">
        <f>(VLOOKUP($A455,'The List'!$B1:$AH665,19,FALSE)-AVERAGE('The List'!T2:T665))/STDEV('The List'!T2:T665)</f>
        <v>-0.63768644931943275</v>
      </c>
      <c r="H455" s="54">
        <f>(VLOOKUP($A455,'The List'!$B1:$AH665,20,FALSE)-AVERAGE('The List'!U2:U665))/STDEV('The List'!U2:U665)</f>
        <v>-0.83802857692410626</v>
      </c>
      <c r="I455" s="54">
        <f>(VLOOKUP($A455,'The List'!$B1:$AH665,21,FALSE)-AVERAGE('The List'!V2:V665))/STDEV('The List'!V2:V665)</f>
        <v>-0.7809894567029495</v>
      </c>
      <c r="J455" s="54">
        <f>(VLOOKUP($A455,'The List'!$B1:$AH665,22,FALSE)-AVERAGE('The List'!W2:W665))/STDEV('The List'!W2:W665)</f>
        <v>-0.70352525034409508</v>
      </c>
      <c r="K455" s="54">
        <f>(VLOOKUP($A455,'The List'!$B1:$AH665,23,FALSE)-AVERAGE('The List'!X2:X665))/STDEV('The List'!X2:X665)</f>
        <v>-0.7538024104151646</v>
      </c>
      <c r="L455" s="54">
        <f>(VLOOKUP($A455,'The List'!$B1:$AH665,24,FALSE)-AVERAGE('The List'!Y2:Y665))/STDEV('The List'!Y2:Y665)</f>
        <v>-0.57939652940760566</v>
      </c>
      <c r="M455" s="54">
        <f>(VLOOKUP($A455,'The List'!$B1:$AH665,25,FALSE)-AVERAGE('The List'!Z2:Z665))/STDEV('The List'!Z2:Z665)</f>
        <v>-0.75170962090153226</v>
      </c>
      <c r="N455" s="54">
        <f>(VLOOKUP($A455,'The List'!$B1:$AH665,26,FALSE)-AVERAGE('The List'!AA2:AA665))/STDEV('The List'!AA2:AA665)</f>
        <v>-3.8655084737198933E-2</v>
      </c>
      <c r="O455" s="54">
        <f>(VLOOKUP($A455,'The List'!$B1:$AH665,27,FALSE)-AVERAGE('The List'!AB2:AB665))/STDEV('The List'!AB2:AB665)</f>
        <v>-0.55065008022230832</v>
      </c>
      <c r="P455" s="54">
        <f>(VLOOKUP($A455,'The List'!$B1:$AH665,28,FALSE)-AVERAGE('The List'!AC2:AC665))/STDEV('The List'!AC2:AC665)</f>
        <v>0.90201497813432618</v>
      </c>
      <c r="Q455" s="54">
        <f>(VLOOKUP($A455,'The List'!$B1:$AH665,29,FALSE)-AVERAGE('The List'!AD2:AD665))/STDEV('The List'!AD2:AD665)</f>
        <v>-0.93295378807364637</v>
      </c>
      <c r="R455" s="54">
        <f>(VLOOKUP($A455,'The List'!$B1:$AH665,30,FALSE)-AVERAGE('The List'!AE2:AE665))/STDEV('The List'!AE2:AE665)</f>
        <v>-0.90435481081852687</v>
      </c>
      <c r="S455" s="54">
        <f>(VLOOKUP($A455,'The List'!$B1:$AH665,31,FALSE)-AVERAGE('The List'!AF2:AF665))/STDEV('The List'!AF2:AF665)</f>
        <v>-0.57389441068000469</v>
      </c>
      <c r="T455" s="54">
        <f>(VLOOKUP($A455,'The List'!$B1:$AH665,32,FALSE)-AVERAGE('The List'!AG2:AG665))/STDEV('The List'!AG2:AG665)</f>
        <v>-0.62577078713265111</v>
      </c>
      <c r="U455" s="54">
        <f>(VLOOKUP($A455,'The List'!$B1:$AH665,33,FALSE)-AVERAGE('The List'!AH2:AH665))/STDEV('The List'!AH2:AH665)</f>
        <v>-1.2314350945148611</v>
      </c>
      <c r="V455" s="54"/>
      <c r="W455" s="56"/>
      <c r="X455" s="56"/>
      <c r="Y455" s="56"/>
      <c r="Z455" s="56"/>
      <c r="AA455" s="56"/>
      <c r="AB455" s="56"/>
      <c r="AC455" s="59"/>
      <c r="AD455" s="60"/>
      <c r="AE455" s="54"/>
    </row>
    <row r="456" spans="1:31" ht="21.25" customHeight="1" x14ac:dyDescent="0.15">
      <c r="A456" s="9" t="s">
        <v>550</v>
      </c>
      <c r="B456" s="65" t="str">
        <f>VLOOKUP(A456,'Player Data'!A1:B667,2,FALSE)</f>
        <v>UTA</v>
      </c>
      <c r="C456" s="51">
        <f>((E456)*Settings!$C$12)+(F456*Settings!$C$2)+(G456*Settings!$C$3)+(H456*Settings!$C$4)+(I456*Settings!$C$5)+(K456*Settings!$C$9)+(N456*Settings!$C$6)+(J456*Settings!$C$8)+(O456*Settings!$C$7)+(P456*Settings!$C$14)+(Q456*Settings!$C$15)+(R456*Settings!$C$16)+(S456*Settings!$C$17)+(T456*Settings!$C$18)+(U456*Settings!$C$19)+(L456*Settings!$C$10)+(Settings!$C$11*M456)</f>
        <v>-2.2488722726905901</v>
      </c>
      <c r="D456" s="56">
        <f>IF(Settings!$E$12="YES",VLOOKUP(A456,'Player Data'!A1:E667,5,FALSE),82)</f>
        <v>71.694999999999993</v>
      </c>
      <c r="E456" s="54">
        <f>(VLOOKUP($A456,'The List'!$B1:$AH665,17,FALSE)-AVERAGE('The List'!R2:R665))/STDEV('The List'!R2:R665)</f>
        <v>0.16630063994534269</v>
      </c>
      <c r="F456" s="54">
        <f>(VLOOKUP($A456,'The List'!$B1:$AH665,18,FALSE)-AVERAGE('The List'!S2:S665))/STDEV('The List'!S2:S665)</f>
        <v>-1.0665506511360736</v>
      </c>
      <c r="G456" s="54">
        <f>(VLOOKUP($A456,'The List'!$B1:$AH665,19,FALSE)-AVERAGE('The List'!T2:T665))/STDEV('The List'!T2:T665)</f>
        <v>-0.5307224493860031</v>
      </c>
      <c r="H456" s="54">
        <f>(VLOOKUP($A456,'The List'!$B1:$AH665,20,FALSE)-AVERAGE('The List'!U2:U665))/STDEV('The List'!U2:U665)</f>
        <v>-0.81440645075437768</v>
      </c>
      <c r="I456" s="54">
        <f>(VLOOKUP($A456,'The List'!$B1:$AH665,21,FALSE)-AVERAGE('The List'!V2:V665))/STDEV('The List'!V2:V665)</f>
        <v>-0.98993567554483008</v>
      </c>
      <c r="J456" s="54">
        <f>(VLOOKUP($A456,'The List'!$B1:$AH665,22,FALSE)-AVERAGE('The List'!W2:W665))/STDEV('The List'!W2:W665)</f>
        <v>-0.70847685489305123</v>
      </c>
      <c r="K456" s="54">
        <f>(VLOOKUP($A456,'The List'!$B1:$AH665,23,FALSE)-AVERAGE('The List'!X2:X665))/STDEV('The List'!X2:X665)</f>
        <v>-0.62939294921822431</v>
      </c>
      <c r="L456" s="54">
        <f>(VLOOKUP($A456,'The List'!$B1:$AH665,24,FALSE)-AVERAGE('The List'!Y2:Y665))/STDEV('The List'!Y2:Y665)</f>
        <v>-0.54563340948964223</v>
      </c>
      <c r="M456" s="54">
        <f>(VLOOKUP($A456,'The List'!$B1:$AH665,25,FALSE)-AVERAGE('The List'!Z2:Z665))/STDEV('The List'!Z2:Z665)</f>
        <v>-0.651659077773597</v>
      </c>
      <c r="N456" s="54">
        <f>(VLOOKUP($A456,'The List'!$B1:$AH665,26,FALSE)-AVERAGE('The List'!AA2:AA665))/STDEV('The List'!AA2:AA665)</f>
        <v>0.63843833362313707</v>
      </c>
      <c r="O456" s="54">
        <f>(VLOOKUP($A456,'The List'!$B1:$AH665,27,FALSE)-AVERAGE('The List'!AB2:AB665))/STDEV('The List'!AB2:AB665)</f>
        <v>-0.40586334307153216</v>
      </c>
      <c r="P456" s="54">
        <f>(VLOOKUP($A456,'The List'!$B1:$AH665,28,FALSE)-AVERAGE('The List'!AC2:AC665))/STDEV('The List'!AC2:AC665)</f>
        <v>0.32929111897140428</v>
      </c>
      <c r="Q456" s="54">
        <f>(VLOOKUP($A456,'The List'!$B1:$AH665,29,FALSE)-AVERAGE('The List'!AD2:AD665))/STDEV('The List'!AD2:AD665)</f>
        <v>-0.31266017223002324</v>
      </c>
      <c r="R456" s="54">
        <f>(VLOOKUP($A456,'The List'!$B1:$AH665,30,FALSE)-AVERAGE('The List'!AE2:AE665))/STDEV('The List'!AE2:AE665)</f>
        <v>-1.0243050611150217</v>
      </c>
      <c r="S456" s="54">
        <f>(VLOOKUP($A456,'The List'!$B1:$AH665,31,FALSE)-AVERAGE('The List'!AF2:AF665))/STDEV('The List'!AF2:AF665)</f>
        <v>-0.57389441068000469</v>
      </c>
      <c r="T456" s="54">
        <f>(VLOOKUP($A456,'The List'!$B1:$AH665,32,FALSE)-AVERAGE('The List'!AG2:AG665))/STDEV('The List'!AG2:AG665)</f>
        <v>-0.62577078713265111</v>
      </c>
      <c r="U456" s="54">
        <f>(VLOOKUP($A456,'The List'!$B1:$AH665,33,FALSE)-AVERAGE('The List'!AH2:AH665))/STDEV('The List'!AH2:AH665)</f>
        <v>-1.2314350945148611</v>
      </c>
      <c r="V456" s="54"/>
      <c r="W456" s="56"/>
      <c r="X456" s="54"/>
      <c r="Y456" s="54"/>
      <c r="Z456" s="54"/>
      <c r="AA456" s="54"/>
      <c r="AB456" s="54"/>
      <c r="AC456" s="54"/>
      <c r="AD456" s="54"/>
      <c r="AE456" s="54"/>
    </row>
    <row r="457" spans="1:31" ht="21.25" customHeight="1" x14ac:dyDescent="0.15">
      <c r="A457" s="9" t="s">
        <v>521</v>
      </c>
      <c r="B457" s="65" t="str">
        <f>VLOOKUP(A457,'Player Data'!A1:B667,2,FALSE)</f>
        <v>CAR</v>
      </c>
      <c r="C457" s="51">
        <f>((E457)*Settings!$C$12)+(F457*Settings!$C$2)+(G457*Settings!$C$3)+(H457*Settings!$C$4)+(I457*Settings!$C$5)+(K457*Settings!$C$9)+(N457*Settings!$C$6)+(J457*Settings!$C$8)+(O457*Settings!$C$7)+(P457*Settings!$C$14)+(Q457*Settings!$C$15)+(R457*Settings!$C$16)+(S457*Settings!$C$17)+(T457*Settings!$C$18)+(U457*Settings!$C$19)+(L457*Settings!$C$10)+(Settings!$C$11*M457)</f>
        <v>-2.2349556167053173</v>
      </c>
      <c r="D457" s="56">
        <f>IF(Settings!$E$12="YES",VLOOKUP(A457,'Player Data'!A1:E667,5,FALSE),82)</f>
        <v>73.105000000000004</v>
      </c>
      <c r="E457" s="54">
        <f>(VLOOKUP($A457,'The List'!$B1:$AH665,17,FALSE)-AVERAGE('The List'!R2:R665))/STDEV('The List'!R2:R665)</f>
        <v>7.77279965299843E-2</v>
      </c>
      <c r="F457" s="54">
        <f>(VLOOKUP($A457,'The List'!$B1:$AH665,18,FALSE)-AVERAGE('The List'!S2:S665))/STDEV('The List'!S2:S665)</f>
        <v>-0.72399208477301125</v>
      </c>
      <c r="G457" s="54">
        <f>(VLOOKUP($A457,'The List'!$B1:$AH665,19,FALSE)-AVERAGE('The List'!T2:T665))/STDEV('The List'!T2:T665)</f>
        <v>-0.76533453628266268</v>
      </c>
      <c r="H457" s="54">
        <f>(VLOOKUP($A457,'The List'!$B1:$AH665,20,FALSE)-AVERAGE('The List'!U2:U665))/STDEV('The List'!U2:U665)</f>
        <v>-0.80440459698466049</v>
      </c>
      <c r="I457" s="54">
        <f>(VLOOKUP($A457,'The List'!$B1:$AH665,21,FALSE)-AVERAGE('The List'!V2:V665))/STDEV('The List'!V2:V665)</f>
        <v>-0.58841796002692304</v>
      </c>
      <c r="J457" s="54">
        <f>(VLOOKUP($A457,'The List'!$B1:$AH665,22,FALSE)-AVERAGE('The List'!W2:W665))/STDEV('The List'!W2:W665)</f>
        <v>-0.73983118743248799</v>
      </c>
      <c r="K457" s="54">
        <f>(VLOOKUP($A457,'The List'!$B1:$AH665,23,FALSE)-AVERAGE('The List'!X2:X665))/STDEV('The List'!X2:X665)</f>
        <v>-0.8143245755995544</v>
      </c>
      <c r="L457" s="54">
        <f>(VLOOKUP($A457,'The List'!$B1:$AH665,24,FALSE)-AVERAGE('The List'!Y2:Y665))/STDEV('The List'!Y2:Y665)</f>
        <v>0.17571447925041939</v>
      </c>
      <c r="M457" s="54">
        <f>(VLOOKUP($A457,'The List'!$B1:$AH665,25,FALSE)-AVERAGE('The List'!Z2:Z665))/STDEV('The List'!Z2:Z665)</f>
        <v>0.28800207667833949</v>
      </c>
      <c r="N457" s="54">
        <f>(VLOOKUP($A457,'The List'!$B1:$AH665,26,FALSE)-AVERAGE('The List'!AA2:AA665))/STDEV('The List'!AA2:AA665)</f>
        <v>0.43660420934370447</v>
      </c>
      <c r="O457" s="54">
        <f>(VLOOKUP($A457,'The List'!$B1:$AH665,27,FALSE)-AVERAGE('The List'!AB2:AB665))/STDEV('The List'!AB2:AB665)</f>
        <v>-0.22977034163845023</v>
      </c>
      <c r="P457" s="54">
        <f>(VLOOKUP($A457,'The List'!$B1:$AH665,28,FALSE)-AVERAGE('The List'!AC2:AC665))/STDEV('The List'!AC2:AC665)</f>
        <v>0.22050933063312972</v>
      </c>
      <c r="Q457" s="54">
        <f>(VLOOKUP($A457,'The List'!$B1:$AH665,29,FALSE)-AVERAGE('The List'!AD2:AD665))/STDEV('The List'!AD2:AD665)</f>
        <v>-1.5146814789475653E-2</v>
      </c>
      <c r="R457" s="54">
        <f>(VLOOKUP($A457,'The List'!$B1:$AH665,30,FALSE)-AVERAGE('The List'!AE2:AE665))/STDEV('The List'!AE2:AE665)</f>
        <v>-0.59711170172840189</v>
      </c>
      <c r="S457" s="54">
        <f>(VLOOKUP($A457,'The List'!$B1:$AH665,31,FALSE)-AVERAGE('The List'!AF2:AF665))/STDEV('The List'!AF2:AF665)</f>
        <v>-0.57389441068000469</v>
      </c>
      <c r="T457" s="54">
        <f>(VLOOKUP($A457,'The List'!$B1:$AH665,32,FALSE)-AVERAGE('The List'!AG2:AG665))/STDEV('The List'!AG2:AG665)</f>
        <v>-0.62577078713265111</v>
      </c>
      <c r="U457" s="54">
        <f>(VLOOKUP($A457,'The List'!$B1:$AH665,33,FALSE)-AVERAGE('The List'!AH2:AH665))/STDEV('The List'!AH2:AH665)</f>
        <v>-1.2314350945148611</v>
      </c>
      <c r="V457" s="54"/>
      <c r="W457" s="56"/>
      <c r="X457" s="54"/>
      <c r="Y457" s="54"/>
      <c r="Z457" s="54"/>
      <c r="AA457" s="54"/>
      <c r="AB457" s="54"/>
      <c r="AC457" s="54"/>
      <c r="AD457" s="54"/>
      <c r="AE457" s="54"/>
    </row>
    <row r="458" spans="1:31" ht="21.25" customHeight="1" x14ac:dyDescent="0.15">
      <c r="A458" s="9" t="s">
        <v>496</v>
      </c>
      <c r="B458" s="65" t="str">
        <f>VLOOKUP(A458,'Player Data'!A1:B667,2,FALSE)</f>
        <v>COL</v>
      </c>
      <c r="C458" s="51">
        <f>((E458)*Settings!$C$12)+(F458*Settings!$C$2)+(G458*Settings!$C$3)+(H458*Settings!$C$4)+(I458*Settings!$C$5)+(K458*Settings!$C$9)+(N458*Settings!$C$6)+(J458*Settings!$C$8)+(O458*Settings!$C$7)+(P458*Settings!$C$14)+(Q458*Settings!$C$15)+(R458*Settings!$C$16)+(S458*Settings!$C$17)+(T458*Settings!$C$18)+(U458*Settings!$C$19)+(L458*Settings!$C$10)+(Settings!$C$11*M458)</f>
        <v>-2.2267241249665415</v>
      </c>
      <c r="D458" s="56">
        <f>IF(Settings!$E$12="YES",VLOOKUP(A458,'Player Data'!A1:E667,5,FALSE),82)</f>
        <v>76.965000000000003</v>
      </c>
      <c r="E458" s="54">
        <f>(VLOOKUP($A458,'The List'!$B1:$AH665,17,FALSE)-AVERAGE('The List'!R2:R665))/STDEV('The List'!R2:R665)</f>
        <v>-5.4841769780871651E-2</v>
      </c>
      <c r="F458" s="54">
        <f>(VLOOKUP($A458,'The List'!$B1:$AH665,18,FALSE)-AVERAGE('The List'!S2:S665))/STDEV('The List'!S2:S665)</f>
        <v>-1.063597651125922</v>
      </c>
      <c r="G458" s="54">
        <f>(VLOOKUP($A458,'The List'!$B1:$AH665,19,FALSE)-AVERAGE('The List'!T2:T665))/STDEV('The List'!T2:T665)</f>
        <v>-0.45584812324733465</v>
      </c>
      <c r="H458" s="54">
        <f>(VLOOKUP($A458,'The List'!$B1:$AH665,20,FALSE)-AVERAGE('The List'!U2:U665))/STDEV('The List'!U2:U665)</f>
        <v>-0.76656300530814458</v>
      </c>
      <c r="I458" s="54">
        <f>(VLOOKUP($A458,'The List'!$B1:$AH665,21,FALSE)-AVERAGE('The List'!V2:V665))/STDEV('The List'!V2:V665)</f>
        <v>-0.81371177802561678</v>
      </c>
      <c r="J458" s="54">
        <f>(VLOOKUP($A458,'The List'!$B1:$AH665,22,FALSE)-AVERAGE('The List'!W2:W665))/STDEV('The List'!W2:W665)</f>
        <v>-0.7363943725368417</v>
      </c>
      <c r="K458" s="54">
        <f>(VLOOKUP($A458,'The List'!$B1:$AH665,23,FALSE)-AVERAGE('The List'!X2:X665))/STDEV('The List'!X2:X665)</f>
        <v>-0.76588218810092412</v>
      </c>
      <c r="L458" s="54">
        <f>(VLOOKUP($A458,'The List'!$B1:$AH665,24,FALSE)-AVERAGE('The List'!Y2:Y665))/STDEV('The List'!Y2:Y665)</f>
        <v>-0.55797215234868081</v>
      </c>
      <c r="M458" s="54">
        <f>(VLOOKUP($A458,'The List'!$B1:$AH665,25,FALSE)-AVERAGE('The List'!Z2:Z665))/STDEV('The List'!Z2:Z665)</f>
        <v>-0.44356891994723285</v>
      </c>
      <c r="N458" s="54">
        <f>(VLOOKUP($A458,'The List'!$B1:$AH665,26,FALSE)-AVERAGE('The List'!AA2:AA665))/STDEV('The List'!AA2:AA665)</f>
        <v>0.97670727520018741</v>
      </c>
      <c r="O458" s="54">
        <f>(VLOOKUP($A458,'The List'!$B1:$AH665,27,FALSE)-AVERAGE('The List'!AB2:AB665))/STDEV('The List'!AB2:AB665)</f>
        <v>-0.5970478715596943</v>
      </c>
      <c r="P458" s="54">
        <f>(VLOOKUP($A458,'The List'!$B1:$AH665,28,FALSE)-AVERAGE('The List'!AC2:AC665))/STDEV('The List'!AC2:AC665)</f>
        <v>-0.1043916596669314</v>
      </c>
      <c r="Q458" s="54">
        <f>(VLOOKUP($A458,'The List'!$B1:$AH665,29,FALSE)-AVERAGE('The List'!AD2:AD665))/STDEV('The List'!AD2:AD665)</f>
        <v>5.3833691039140312E-2</v>
      </c>
      <c r="R458" s="54">
        <f>(VLOOKUP($A458,'The List'!$B1:$AH665,30,FALSE)-AVERAGE('The List'!AE2:AE665))/STDEV('The List'!AE2:AE665)</f>
        <v>-1.0161947031710798</v>
      </c>
      <c r="S458" s="54">
        <f>(VLOOKUP($A458,'The List'!$B1:$AH665,31,FALSE)-AVERAGE('The List'!AF2:AF665))/STDEV('The List'!AF2:AF665)</f>
        <v>-0.57389441068000469</v>
      </c>
      <c r="T458" s="54">
        <f>(VLOOKUP($A458,'The List'!$B1:$AH665,32,FALSE)-AVERAGE('The List'!AG2:AG665))/STDEV('The List'!AG2:AG665)</f>
        <v>-0.62577078713265111</v>
      </c>
      <c r="U458" s="54">
        <f>(VLOOKUP($A458,'The List'!$B1:$AH665,33,FALSE)-AVERAGE('The List'!AH2:AH665))/STDEV('The List'!AH2:AH665)</f>
        <v>-1.2314350945148611</v>
      </c>
      <c r="V458" s="54"/>
      <c r="W458" s="56"/>
      <c r="X458" s="54"/>
      <c r="Y458" s="54"/>
      <c r="Z458" s="54"/>
      <c r="AA458" s="54"/>
      <c r="AB458" s="54"/>
      <c r="AC458" s="54"/>
      <c r="AD458" s="54"/>
      <c r="AE458" s="54"/>
    </row>
    <row r="459" spans="1:31" ht="21.25" customHeight="1" x14ac:dyDescent="0.15">
      <c r="A459" s="9" t="s">
        <v>475</v>
      </c>
      <c r="B459" s="65" t="str">
        <f>VLOOKUP(A459,'Player Data'!A1:B667,2,FALSE)</f>
        <v>T.B</v>
      </c>
      <c r="C459" s="51">
        <f>((E459)*Settings!$C$12)+(F459*Settings!$C$2)+(G459*Settings!$C$3)+(H459*Settings!$C$4)+(I459*Settings!$C$5)+(K459*Settings!$C$9)+(N459*Settings!$C$6)+(J459*Settings!$C$8)+(O459*Settings!$C$7)+(P459*Settings!$C$14)+(Q459*Settings!$C$15)+(R459*Settings!$C$16)+(S459*Settings!$C$17)+(T459*Settings!$C$18)+(U459*Settings!$C$19)+(L459*Settings!$C$10)+(Settings!$C$11*M459)</f>
        <v>-1.7527546871880932</v>
      </c>
      <c r="D459" s="56">
        <f>IF(Settings!$E$12="YES",VLOOKUP(A459,'Player Data'!A1:E667,5,FALSE),82)</f>
        <v>75.372500000000002</v>
      </c>
      <c r="E459" s="54">
        <f>(VLOOKUP($A459,'The List'!$B1:$AH665,17,FALSE)-AVERAGE('The List'!R2:R665))/STDEV('The List'!R2:R665)</f>
        <v>1.0732320551549515</v>
      </c>
      <c r="F459" s="54">
        <f>(VLOOKUP($A459,'The List'!$B1:$AH665,18,FALSE)-AVERAGE('The List'!S2:S665))/STDEV('The List'!S2:S665)</f>
        <v>-1.0572003419868272</v>
      </c>
      <c r="G459" s="54">
        <f>(VLOOKUP($A459,'The List'!$B1:$AH665,19,FALSE)-AVERAGE('The List'!T2:T665))/STDEV('The List'!T2:T665)</f>
        <v>-0.49953004430623849</v>
      </c>
      <c r="H459" s="54">
        <f>(VLOOKUP($A459,'The List'!$B1:$AH665,20,FALSE)-AVERAGE('The List'!U2:U665))/STDEV('The List'!U2:U665)</f>
        <v>-0.79078405334553104</v>
      </c>
      <c r="I459" s="54">
        <f>(VLOOKUP($A459,'The List'!$B1:$AH665,21,FALSE)-AVERAGE('The List'!V2:V665))/STDEV('The List'!V2:V665)</f>
        <v>-0.79822013215491494</v>
      </c>
      <c r="J459" s="54">
        <f>(VLOOKUP($A459,'The List'!$B1:$AH665,22,FALSE)-AVERAGE('The List'!W2:W665))/STDEV('The List'!W2:W665)</f>
        <v>-0.74066562370179034</v>
      </c>
      <c r="K459" s="54">
        <f>(VLOOKUP($A459,'The List'!$B1:$AH665,23,FALSE)-AVERAGE('The List'!X2:X665))/STDEV('The List'!X2:X665)</f>
        <v>-0.81617221028386422</v>
      </c>
      <c r="L459" s="54">
        <f>(VLOOKUP($A459,'The List'!$B1:$AH665,24,FALSE)-AVERAGE('The List'!Y2:Y665))/STDEV('The List'!Y2:Y665)</f>
        <v>-0.52934905757869122</v>
      </c>
      <c r="M459" s="54">
        <f>(VLOOKUP($A459,'The List'!$B1:$AH665,25,FALSE)-AVERAGE('The List'!Z2:Z665))/STDEV('The List'!Z2:Z665)</f>
        <v>-0.331844116565985</v>
      </c>
      <c r="N459" s="54">
        <f>(VLOOKUP($A459,'The List'!$B1:$AH665,26,FALSE)-AVERAGE('The List'!AA2:AA665))/STDEV('The List'!AA2:AA665)</f>
        <v>1.3974757969944509</v>
      </c>
      <c r="O459" s="54">
        <f>(VLOOKUP($A459,'The List'!$B1:$AH665,27,FALSE)-AVERAGE('The List'!AB2:AB665))/STDEV('The List'!AB2:AB665)</f>
        <v>2.3853755218909831</v>
      </c>
      <c r="P459" s="54">
        <f>(VLOOKUP($A459,'The List'!$B1:$AH665,28,FALSE)-AVERAGE('The List'!AC2:AC665))/STDEV('The List'!AC2:AC665)</f>
        <v>2.0892244549300873E-2</v>
      </c>
      <c r="Q459" s="54">
        <f>(VLOOKUP($A459,'The List'!$B1:$AH665,29,FALSE)-AVERAGE('The List'!AD2:AD665))/STDEV('The List'!AD2:AD665)</f>
        <v>1.4324031820958962</v>
      </c>
      <c r="R459" s="54">
        <f>(VLOOKUP($A459,'The List'!$B1:$AH665,30,FALSE)-AVERAGE('The List'!AE2:AE665))/STDEV('The List'!AE2:AE665)</f>
        <v>-0.99560730319891588</v>
      </c>
      <c r="S459" s="54">
        <f>(VLOOKUP($A459,'The List'!$B1:$AH665,31,FALSE)-AVERAGE('The List'!AF2:AF665))/STDEV('The List'!AF2:AF665)</f>
        <v>-0.57389441068000469</v>
      </c>
      <c r="T459" s="54">
        <f>(VLOOKUP($A459,'The List'!$B1:$AH665,32,FALSE)-AVERAGE('The List'!AG2:AG665))/STDEV('The List'!AG2:AG665)</f>
        <v>-0.62577078713265111</v>
      </c>
      <c r="U459" s="54">
        <f>(VLOOKUP($A459,'The List'!$B1:$AH665,33,FALSE)-AVERAGE('The List'!AH2:AH665))/STDEV('The List'!AH2:AH665)</f>
        <v>-1.2314350945148611</v>
      </c>
      <c r="V459" s="54"/>
      <c r="W459" s="56"/>
      <c r="X459" s="56"/>
      <c r="Y459" s="56"/>
      <c r="Z459" s="56"/>
      <c r="AA459" s="56"/>
      <c r="AB459" s="56"/>
      <c r="AC459" s="59"/>
      <c r="AD459" s="60"/>
      <c r="AE459" s="54"/>
    </row>
    <row r="460" spans="1:31" ht="21.25" customHeight="1" x14ac:dyDescent="0.15">
      <c r="A460" s="9" t="s">
        <v>666</v>
      </c>
      <c r="B460" s="65" t="str">
        <f>VLOOKUP(A460,'Player Data'!A1:B667,2,FALSE)</f>
        <v>PIT</v>
      </c>
      <c r="C460" s="51">
        <f>((E460)*Settings!$C$12)+(F460*Settings!$C$2)+(G460*Settings!$C$3)+(H460*Settings!$C$4)+(I460*Settings!$C$5)+(K460*Settings!$C$9)+(N460*Settings!$C$6)+(J460*Settings!$C$8)+(O460*Settings!$C$7)+(P460*Settings!$C$14)+(Q460*Settings!$C$15)+(R460*Settings!$C$16)+(S460*Settings!$C$17)+(T460*Settings!$C$18)+(U460*Settings!$C$19)+(L460*Settings!$C$10)+(Settings!$C$11*M460)</f>
        <v>-2.6422972597926453</v>
      </c>
      <c r="D460" s="56">
        <f>IF(Settings!$E$12="YES",VLOOKUP(A460,'Player Data'!A1:E667,5,FALSE),82)</f>
        <v>81.305000000000007</v>
      </c>
      <c r="E460" s="54">
        <f>(VLOOKUP($A460,'The List'!$B1:$AH665,17,FALSE)-AVERAGE('The List'!R2:R665))/STDEV('The List'!R2:R665)</f>
        <v>-0.58407440840292713</v>
      </c>
      <c r="F460" s="54">
        <f>(VLOOKUP($A460,'The List'!$B1:$AH665,18,FALSE)-AVERAGE('The List'!S2:S665))/STDEV('The List'!S2:S665)</f>
        <v>-0.46756658366045389</v>
      </c>
      <c r="G460" s="54">
        <f>(VLOOKUP($A460,'The List'!$B1:$AH665,19,FALSE)-AVERAGE('The List'!T2:T665))/STDEV('The List'!T2:T665)</f>
        <v>-0.82506510562453328</v>
      </c>
      <c r="H460" s="54">
        <f>(VLOOKUP($A460,'The List'!$B1:$AH665,20,FALSE)-AVERAGE('The List'!U2:U665))/STDEV('The List'!U2:U665)</f>
        <v>-0.72494305994509811</v>
      </c>
      <c r="I460" s="54">
        <f>(VLOOKUP($A460,'The List'!$B1:$AH665,21,FALSE)-AVERAGE('The List'!V2:V665))/STDEV('The List'!V2:V665)</f>
        <v>-6.6040046850947748E-2</v>
      </c>
      <c r="J460" s="54">
        <f>(VLOOKUP($A460,'The List'!$B1:$AH665,22,FALSE)-AVERAGE('The List'!W2:W665))/STDEV('The List'!W2:W665)</f>
        <v>-0.52768974125663326</v>
      </c>
      <c r="K460" s="54">
        <f>(VLOOKUP($A460,'The List'!$B1:$AH665,23,FALSE)-AVERAGE('The List'!X2:X665))/STDEV('The List'!X2:X665)</f>
        <v>-0.69012855484629043</v>
      </c>
      <c r="L460" s="54">
        <f>(VLOOKUP($A460,'The List'!$B1:$AH665,24,FALSE)-AVERAGE('The List'!Y2:Y665))/STDEV('The List'!Y2:Y665)</f>
        <v>0.79839934197084828</v>
      </c>
      <c r="M460" s="54">
        <f>(VLOOKUP($A460,'The List'!$B1:$AH665,25,FALSE)-AVERAGE('The List'!Z2:Z665))/STDEV('The List'!Z2:Z665)</f>
        <v>0.6907124211638942</v>
      </c>
      <c r="N460" s="54">
        <f>(VLOOKUP($A460,'The List'!$B1:$AH665,26,FALSE)-AVERAGE('The List'!AA2:AA665))/STDEV('The List'!AA2:AA665)</f>
        <v>-0.35998771439285454</v>
      </c>
      <c r="O460" s="54">
        <f>(VLOOKUP($A460,'The List'!$B1:$AH665,27,FALSE)-AVERAGE('The List'!AB2:AB665))/STDEV('The List'!AB2:AB665)</f>
        <v>-0.49522644062151017</v>
      </c>
      <c r="P460" s="54">
        <f>(VLOOKUP($A460,'The List'!$B1:$AH665,28,FALSE)-AVERAGE('The List'!AC2:AC665))/STDEV('The List'!AC2:AC665)</f>
        <v>-0.23350925441756523</v>
      </c>
      <c r="Q460" s="54">
        <f>(VLOOKUP($A460,'The List'!$B1:$AH665,29,FALSE)-AVERAGE('The List'!AD2:AD665))/STDEV('The List'!AD2:AD665)</f>
        <v>0.25274196387860676</v>
      </c>
      <c r="R460" s="54">
        <f>(VLOOKUP($A460,'The List'!$B1:$AH665,30,FALSE)-AVERAGE('The List'!AE2:AE665))/STDEV('The List'!AE2:AE665)</f>
        <v>-0.45107942070409901</v>
      </c>
      <c r="S460" s="54">
        <f>(VLOOKUP($A460,'The List'!$B1:$AH665,31,FALSE)-AVERAGE('The List'!AF2:AF665))/STDEV('The List'!AF2:AF665)</f>
        <v>1.6877048911866335</v>
      </c>
      <c r="T460" s="54">
        <f>(VLOOKUP($A460,'The List'!$B1:$AH665,32,FALSE)-AVERAGE('The List'!AG2:AG665))/STDEV('The List'!AG2:AG665)</f>
        <v>1.5853820109036707</v>
      </c>
      <c r="U460" s="54">
        <f>(VLOOKUP($A460,'The List'!$B1:$AH665,33,FALSE)-AVERAGE('The List'!AH2:AH665))/STDEV('The List'!AH2:AH665)</f>
        <v>1.1305261842833747</v>
      </c>
      <c r="V460" s="54"/>
      <c r="W460" s="64"/>
      <c r="X460" s="56"/>
      <c r="Y460" s="56"/>
      <c r="Z460" s="56"/>
      <c r="AA460" s="56"/>
      <c r="AB460" s="56"/>
      <c r="AC460" s="59"/>
      <c r="AD460" s="60"/>
      <c r="AE460" s="54"/>
    </row>
    <row r="461" spans="1:31" ht="21.25" customHeight="1" x14ac:dyDescent="0.15">
      <c r="A461" s="9" t="s">
        <v>703</v>
      </c>
      <c r="B461" s="65" t="str">
        <f>VLOOKUP(A461,'Player Data'!A1:B667,2,FALSE)</f>
        <v>CAR</v>
      </c>
      <c r="C461" s="51">
        <f>((E461)*Settings!$C$12)+(F461*Settings!$C$2)+(G461*Settings!$C$3)+(H461*Settings!$C$4)+(I461*Settings!$C$5)+(K461*Settings!$C$9)+(N461*Settings!$C$6)+(J461*Settings!$C$8)+(O461*Settings!$C$7)+(P461*Settings!$C$14)+(Q461*Settings!$C$15)+(R461*Settings!$C$16)+(S461*Settings!$C$17)+(T461*Settings!$C$18)+(U461*Settings!$C$19)+(L461*Settings!$C$10)+(Settings!$C$11*M461)</f>
        <v>-2.6004503497479776</v>
      </c>
      <c r="D461" s="56">
        <f>IF(Settings!$E$12="YES",VLOOKUP(A461,'Player Data'!A1:E667,5,FALSE),82)</f>
        <v>80.157499999999999</v>
      </c>
      <c r="E461" s="54">
        <f>(VLOOKUP($A461,'The List'!$B1:$AH665,17,FALSE)-AVERAGE('The List'!R2:R665))/STDEV('The List'!R2:R665)</f>
        <v>-1.147363244378194</v>
      </c>
      <c r="F461" s="54">
        <f>(VLOOKUP($A461,'The List'!$B1:$AH665,18,FALSE)-AVERAGE('The List'!S2:S665))/STDEV('The List'!S2:S665)</f>
        <v>-0.66374271289388398</v>
      </c>
      <c r="G461" s="54">
        <f>(VLOOKUP($A461,'The List'!$B1:$AH665,19,FALSE)-AVERAGE('The List'!T2:T665))/STDEV('The List'!T2:T665)</f>
        <v>-0.70464343298572807</v>
      </c>
      <c r="H461" s="54">
        <f>(VLOOKUP($A461,'The List'!$B1:$AH665,20,FALSE)-AVERAGE('The List'!U2:U665))/STDEV('The List'!U2:U665)</f>
        <v>-0.73932580588939389</v>
      </c>
      <c r="I461" s="54">
        <f>(VLOOKUP($A461,'The List'!$B1:$AH665,21,FALSE)-AVERAGE('The List'!V2:V665))/STDEV('The List'!V2:V665)</f>
        <v>-0.87518834654523092</v>
      </c>
      <c r="J461" s="54">
        <f>(VLOOKUP($A461,'The List'!$B1:$AH665,22,FALSE)-AVERAGE('The List'!W2:W665))/STDEV('The List'!W2:W665)</f>
        <v>-0.73126500303348552</v>
      </c>
      <c r="K461" s="54">
        <f>(VLOOKUP($A461,'The List'!$B1:$AH665,23,FALSE)-AVERAGE('The List'!X2:X665))/STDEV('The List'!X2:X665)</f>
        <v>-0.81606966887713706</v>
      </c>
      <c r="L461" s="54">
        <f>(VLOOKUP($A461,'The List'!$B1:$AH665,24,FALSE)-AVERAGE('The List'!Y2:Y665))/STDEV('The List'!Y2:Y665)</f>
        <v>-0.43407731484417211</v>
      </c>
      <c r="M461" s="54">
        <f>(VLOOKUP($A461,'The List'!$B1:$AH665,25,FALSE)-AVERAGE('The List'!Z2:Z665))/STDEV('The List'!Z2:Z665)</f>
        <v>0.25061501611866277</v>
      </c>
      <c r="N461" s="54">
        <f>(VLOOKUP($A461,'The List'!$B1:$AH665,26,FALSE)-AVERAGE('The List'!AA2:AA665))/STDEV('The List'!AA2:AA665)</f>
        <v>-0.81988393861082332</v>
      </c>
      <c r="O461" s="54">
        <f>(VLOOKUP($A461,'The List'!$B1:$AH665,27,FALSE)-AVERAGE('The List'!AB2:AB665))/STDEV('The List'!AB2:AB665)</f>
        <v>-3.6012431803946594E-2</v>
      </c>
      <c r="P461" s="54">
        <f>(VLOOKUP($A461,'The List'!$B1:$AH665,28,FALSE)-AVERAGE('The List'!AC2:AC665))/STDEV('The List'!AC2:AC665)</f>
        <v>1.2790777501648252</v>
      </c>
      <c r="Q461" s="54">
        <f>(VLOOKUP($A461,'The List'!$B1:$AH665,29,FALSE)-AVERAGE('The List'!AD2:AD665))/STDEV('The List'!AD2:AD665)</f>
        <v>-1.2579864568669228</v>
      </c>
      <c r="R461" s="54">
        <f>(VLOOKUP($A461,'The List'!$B1:$AH665,30,FALSE)-AVERAGE('The List'!AE2:AE665))/STDEV('The List'!AE2:AE665)</f>
        <v>-0.5300984359255474</v>
      </c>
      <c r="S461" s="54">
        <f>(VLOOKUP($A461,'The List'!$B1:$AH665,31,FALSE)-AVERAGE('The List'!AF2:AF665))/STDEV('The List'!AF2:AF665)</f>
        <v>-0.53463778958651553</v>
      </c>
      <c r="T461" s="54">
        <f>(VLOOKUP($A461,'The List'!$B1:$AH665,32,FALSE)-AVERAGE('The List'!AG2:AG665))/STDEV('The List'!AG2:AG665)</f>
        <v>-0.56738952497494521</v>
      </c>
      <c r="U461" s="54">
        <f>(VLOOKUP($A461,'The List'!$B1:$AH665,33,FALSE)-AVERAGE('The List'!AH2:AH665))/STDEV('The List'!AH2:AH665)</f>
        <v>0.65877044419475861</v>
      </c>
      <c r="V461" s="54"/>
      <c r="W461" s="64"/>
      <c r="X461" s="56"/>
      <c r="Y461" s="56"/>
      <c r="Z461" s="56"/>
      <c r="AA461" s="56"/>
      <c r="AB461" s="56"/>
      <c r="AC461" s="59"/>
      <c r="AD461" s="60"/>
      <c r="AE461" s="54"/>
    </row>
    <row r="462" spans="1:31" ht="21.25" customHeight="1" x14ac:dyDescent="0.15">
      <c r="A462" s="9" t="s">
        <v>743</v>
      </c>
      <c r="B462" s="65" t="str">
        <f>VLOOKUP(A462,'Player Data'!A1:B667,2,FALSE)</f>
        <v>TOR</v>
      </c>
      <c r="C462" s="51">
        <f>((E462)*Settings!$C$12)+(F462*Settings!$C$2)+(G462*Settings!$C$3)+(H462*Settings!$C$4)+(I462*Settings!$C$5)+(K462*Settings!$C$9)+(N462*Settings!$C$6)+(J462*Settings!$C$8)+(O462*Settings!$C$7)+(P462*Settings!$C$14)+(Q462*Settings!$C$15)+(R462*Settings!$C$16)+(S462*Settings!$C$17)+(T462*Settings!$C$18)+(U462*Settings!$C$19)+(L462*Settings!$C$10)+(Settings!$C$11*M462)</f>
        <v>-3.0449539403812449</v>
      </c>
      <c r="D462" s="56">
        <f>IF(Settings!$E$12="YES",VLOOKUP(A462,'Player Data'!A1:E667,5,FALSE),82)</f>
        <v>81.319999999999993</v>
      </c>
      <c r="E462" s="54">
        <f>(VLOOKUP($A462,'The List'!$B1:$AH665,17,FALSE)-AVERAGE('The List'!R2:R665))/STDEV('The List'!R2:R665)</f>
        <v>-0.95278052359894672</v>
      </c>
      <c r="F462" s="54">
        <f>(VLOOKUP($A462,'The List'!$B1:$AH665,18,FALSE)-AVERAGE('The List'!S2:S665))/STDEV('The List'!S2:S665)</f>
        <v>-0.61043456594581225</v>
      </c>
      <c r="G462" s="54">
        <f>(VLOOKUP($A462,'The List'!$B1:$AH665,19,FALSE)-AVERAGE('The List'!T2:T665))/STDEV('The List'!T2:T665)</f>
        <v>-0.72400372718955563</v>
      </c>
      <c r="H462" s="54">
        <f>(VLOOKUP($A462,'The List'!$B1:$AH665,20,FALSE)-AVERAGE('The List'!U2:U665))/STDEV('The List'!U2:U665)</f>
        <v>-0.7271185504552784</v>
      </c>
      <c r="I462" s="54">
        <f>(VLOOKUP($A462,'The List'!$B1:$AH665,21,FALSE)-AVERAGE('The List'!V2:V665))/STDEV('The List'!V2:V665)</f>
        <v>-0.78380087060510217</v>
      </c>
      <c r="J462" s="54">
        <f>(VLOOKUP($A462,'The List'!$B1:$AH665,22,FALSE)-AVERAGE('The List'!W2:W665))/STDEV('The List'!W2:W665)</f>
        <v>-0.72903521100320645</v>
      </c>
      <c r="K462" s="54">
        <f>(VLOOKUP($A462,'The List'!$B1:$AH665,23,FALSE)-AVERAGE('The List'!X2:X665))/STDEV('The List'!X2:X665)</f>
        <v>-0.8140204495236858</v>
      </c>
      <c r="L462" s="54">
        <f>(VLOOKUP($A462,'The List'!$B1:$AH665,24,FALSE)-AVERAGE('The List'!Y2:Y665))/STDEV('The List'!Y2:Y665)</f>
        <v>6.7400416326258886E-2</v>
      </c>
      <c r="M462" s="54">
        <f>(VLOOKUP($A462,'The List'!$B1:$AH665,25,FALSE)-AVERAGE('The List'!Z2:Z665))/STDEV('The List'!Z2:Z665)</f>
        <v>0.60247515168742949</v>
      </c>
      <c r="N462" s="54">
        <f>(VLOOKUP($A462,'The List'!$B1:$AH665,26,FALSE)-AVERAGE('The List'!AA2:AA665))/STDEV('The List'!AA2:AA665)</f>
        <v>-0.82327152763336575</v>
      </c>
      <c r="O462" s="54">
        <f>(VLOOKUP($A462,'The List'!$B1:$AH665,27,FALSE)-AVERAGE('The List'!AB2:AB665))/STDEV('The List'!AB2:AB665)</f>
        <v>-0.169507117368175</v>
      </c>
      <c r="P462" s="54">
        <f>(VLOOKUP($A462,'The List'!$B1:$AH665,28,FALSE)-AVERAGE('The List'!AC2:AC665))/STDEV('The List'!AC2:AC665)</f>
        <v>0.71057720051627682</v>
      </c>
      <c r="Q462" s="54">
        <f>(VLOOKUP($A462,'The List'!$B1:$AH665,29,FALSE)-AVERAGE('The List'!AD2:AD665))/STDEV('The List'!AD2:AD665)</f>
        <v>-1.1207448427234294</v>
      </c>
      <c r="R462" s="54">
        <f>(VLOOKUP($A462,'The List'!$B1:$AH665,30,FALSE)-AVERAGE('The List'!AE2:AE665))/STDEV('The List'!AE2:AE665)</f>
        <v>-0.53254352098896085</v>
      </c>
      <c r="S462" s="54">
        <f>(VLOOKUP($A462,'The List'!$B1:$AH665,31,FALSE)-AVERAGE('The List'!AF2:AF665))/STDEV('The List'!AF2:AF665)</f>
        <v>1.8444041120195966</v>
      </c>
      <c r="T462" s="54">
        <f>(VLOOKUP($A462,'The List'!$B1:$AH665,32,FALSE)-AVERAGE('The List'!AG2:AG665))/STDEV('The List'!AG2:AG665)</f>
        <v>1.7837998306317968</v>
      </c>
      <c r="U462" s="54">
        <f>(VLOOKUP($A462,'The List'!$B1:$AH665,33,FALSE)-AVERAGE('The List'!AH2:AH665))/STDEV('The List'!AH2:AH665)</f>
        <v>1.1090893858314794</v>
      </c>
      <c r="V462" s="54"/>
      <c r="W462" s="64"/>
      <c r="X462" s="56"/>
      <c r="Y462" s="56"/>
      <c r="Z462" s="56"/>
      <c r="AA462" s="56"/>
      <c r="AB462" s="56"/>
      <c r="AC462" s="59"/>
      <c r="AD462" s="60"/>
      <c r="AE462" s="54"/>
    </row>
    <row r="463" spans="1:31" ht="21.25" customHeight="1" x14ac:dyDescent="0.15">
      <c r="A463" s="9" t="s">
        <v>591</v>
      </c>
      <c r="B463" s="65" t="str">
        <f>VLOOKUP(A463,'Player Data'!A1:B667,2,FALSE)</f>
        <v>CBJ</v>
      </c>
      <c r="C463" s="51">
        <f>((E463)*Settings!$C$12)+(F463*Settings!$C$2)+(G463*Settings!$C$3)+(H463*Settings!$C$4)+(I463*Settings!$C$5)+(K463*Settings!$C$9)+(N463*Settings!$C$6)+(J463*Settings!$C$8)+(O463*Settings!$C$7)+(P463*Settings!$C$14)+(Q463*Settings!$C$15)+(R463*Settings!$C$16)+(S463*Settings!$C$17)+(T463*Settings!$C$18)+(U463*Settings!$C$19)+(L463*Settings!$C$10)+(Settings!$C$11*M463)</f>
        <v>-4.8282442306122411</v>
      </c>
      <c r="D463" s="56">
        <f>IF(Settings!$E$12="YES",VLOOKUP(A463,'Player Data'!A1:E667,5,FALSE),82)</f>
        <v>65.844999999999999</v>
      </c>
      <c r="E463" s="54">
        <f>(VLOOKUP($A463,'The List'!$B1:$AH665,17,FALSE)-AVERAGE('The List'!R2:R665))/STDEV('The List'!R2:R665)</f>
        <v>-6.3171856644605395E-2</v>
      </c>
      <c r="F463" s="54">
        <f>(VLOOKUP($A463,'The List'!$B1:$AH665,18,FALSE)-AVERAGE('The List'!S2:S665))/STDEV('The List'!S2:S665)</f>
        <v>-1.0850024685105377</v>
      </c>
      <c r="G463" s="54">
        <f>(VLOOKUP($A463,'The List'!$B1:$AH665,19,FALSE)-AVERAGE('The List'!T2:T665))/STDEV('The List'!T2:T665)</f>
        <v>-0.66007361318134694</v>
      </c>
      <c r="H463" s="54">
        <f>(VLOOKUP($A463,'The List'!$B1:$AH665,20,FALSE)-AVERAGE('The List'!U2:U665))/STDEV('The List'!U2:U665)</f>
        <v>-0.90312802472525211</v>
      </c>
      <c r="I463" s="54">
        <f>(VLOOKUP($A463,'The List'!$B1:$AH665,21,FALSE)-AVERAGE('The List'!V2:V665))/STDEV('The List'!V2:V665)</f>
        <v>-1.0477072261717477</v>
      </c>
      <c r="J463" s="54">
        <f>(VLOOKUP($A463,'The List'!$B1:$AH665,22,FALSE)-AVERAGE('The List'!W2:W665))/STDEV('The List'!W2:W665)</f>
        <v>-0.74464350177939609</v>
      </c>
      <c r="K463" s="54">
        <f>(VLOOKUP($A463,'The List'!$B1:$AH665,23,FALSE)-AVERAGE('The List'!X2:X665))/STDEV('The List'!X2:X665)</f>
        <v>-0.82601898895289172</v>
      </c>
      <c r="L463" s="54">
        <f>(VLOOKUP($A463,'The List'!$B1:$AH665,24,FALSE)-AVERAGE('The List'!Y2:Y665))/STDEV('The List'!Y2:Y665)</f>
        <v>-0.56502627115007353</v>
      </c>
      <c r="M463" s="54">
        <f>(VLOOKUP($A463,'The List'!$B1:$AH665,25,FALSE)-AVERAGE('The List'!Z2:Z665))/STDEV('The List'!Z2:Z665)</f>
        <v>-0.71034451520856778</v>
      </c>
      <c r="N463" s="54">
        <f>(VLOOKUP($A463,'The List'!$B1:$AH665,26,FALSE)-AVERAGE('The List'!AA2:AA665))/STDEV('The List'!AA2:AA665)</f>
        <v>0.42809604631177434</v>
      </c>
      <c r="O463" s="54">
        <f>(VLOOKUP($A463,'The List'!$B1:$AH665,27,FALSE)-AVERAGE('The List'!AB2:AB665))/STDEV('The List'!AB2:AB665)</f>
        <v>-0.52694214842403864</v>
      </c>
      <c r="P463" s="54">
        <f>(VLOOKUP($A463,'The List'!$B1:$AH665,28,FALSE)-AVERAGE('The List'!AC2:AC665))/STDEV('The List'!AC2:AC665)</f>
        <v>-1.6375379801074914</v>
      </c>
      <c r="Q463" s="54">
        <f>(VLOOKUP($A463,'The List'!$B1:$AH665,29,FALSE)-AVERAGE('The List'!AD2:AD665))/STDEV('The List'!AD2:AD665)</f>
        <v>-7.1595911605701751E-2</v>
      </c>
      <c r="R463" s="54">
        <f>(VLOOKUP($A463,'The List'!$B1:$AH665,30,FALSE)-AVERAGE('The List'!AE2:AE665))/STDEV('The List'!AE2:AE665)</f>
        <v>-1.0986355241958627</v>
      </c>
      <c r="S463" s="54">
        <f>(VLOOKUP($A463,'The List'!$B1:$AH665,31,FALSE)-AVERAGE('The List'!AF2:AF665))/STDEV('The List'!AF2:AF665)</f>
        <v>-0.57389441068000469</v>
      </c>
      <c r="T463" s="54">
        <f>(VLOOKUP($A463,'The List'!$B1:$AH665,32,FALSE)-AVERAGE('The List'!AG2:AG665))/STDEV('The List'!AG2:AG665)</f>
        <v>-0.62577078713265111</v>
      </c>
      <c r="U463" s="54">
        <f>(VLOOKUP($A463,'The List'!$B1:$AH665,33,FALSE)-AVERAGE('The List'!AH2:AH665))/STDEV('The List'!AH2:AH665)</f>
        <v>-1.2314350945148611</v>
      </c>
      <c r="V463" s="54"/>
      <c r="W463" s="64"/>
      <c r="X463" s="56"/>
      <c r="Y463" s="56"/>
      <c r="Z463" s="56"/>
      <c r="AA463" s="56"/>
      <c r="AB463" s="56"/>
      <c r="AC463" s="59"/>
      <c r="AD463" s="60"/>
      <c r="AE463" s="54"/>
    </row>
    <row r="464" spans="1:31" ht="21.25" customHeight="1" x14ac:dyDescent="0.15">
      <c r="A464" s="9" t="s">
        <v>693</v>
      </c>
      <c r="B464" s="65" t="str">
        <f>VLOOKUP(A464,'Player Data'!A1:B667,2,FALSE)</f>
        <v>ANA</v>
      </c>
      <c r="C464" s="51">
        <f>((E464)*Settings!$C$12)+(F464*Settings!$C$2)+(G464*Settings!$C$3)+(H464*Settings!$C$4)+(I464*Settings!$C$5)+(K464*Settings!$C$9)+(N464*Settings!$C$6)+(J464*Settings!$C$8)+(O464*Settings!$C$7)+(P464*Settings!$C$14)+(Q464*Settings!$C$15)+(R464*Settings!$C$16)+(S464*Settings!$C$17)+(T464*Settings!$C$18)+(U464*Settings!$C$19)+(L464*Settings!$C$10)+(Settings!$C$11*M464)</f>
        <v>-5.215457537587012</v>
      </c>
      <c r="D464" s="56">
        <f>IF(Settings!$E$12="YES",VLOOKUP(A464,'Player Data'!A1:E667,5,FALSE),82)</f>
        <v>71.094999999999999</v>
      </c>
      <c r="E464" s="54">
        <f>(VLOOKUP($A464,'The List'!$B1:$AH665,17,FALSE)-AVERAGE('The List'!R2:R665))/STDEV('The List'!R2:R665)</f>
        <v>-1.4533318157880557</v>
      </c>
      <c r="F464" s="54">
        <f>(VLOOKUP($A464,'The List'!$B1:$AH665,18,FALSE)-AVERAGE('The List'!S2:S665))/STDEV('The List'!S2:S665)</f>
        <v>-0.41012747674475436</v>
      </c>
      <c r="G464" s="54">
        <f>(VLOOKUP($A464,'The List'!$B1:$AH665,19,FALSE)-AVERAGE('The List'!T2:T665))/STDEV('The List'!T2:T665)</f>
        <v>-1.0592930839434833</v>
      </c>
      <c r="H464" s="54">
        <f>(VLOOKUP($A464,'The List'!$B1:$AH665,20,FALSE)-AVERAGE('The List'!U2:U665))/STDEV('The List'!U2:U665)</f>
        <v>-0.84430300028554228</v>
      </c>
      <c r="I464" s="54">
        <f>(VLOOKUP($A464,'The List'!$B1:$AH665,21,FALSE)-AVERAGE('The List'!V2:V665))/STDEV('The List'!V2:V665)</f>
        <v>-0.81805261315883626</v>
      </c>
      <c r="J464" s="54">
        <f>(VLOOKUP($A464,'The List'!$B1:$AH665,22,FALSE)-AVERAGE('The List'!W2:W665))/STDEV('The List'!W2:W665)</f>
        <v>-0.7167302680475367</v>
      </c>
      <c r="K464" s="54">
        <f>(VLOOKUP($A464,'The List'!$B1:$AH665,23,FALSE)-AVERAGE('The List'!X2:X665))/STDEV('The List'!X2:X665)</f>
        <v>-0.80366082784918891</v>
      </c>
      <c r="L464" s="54">
        <f>(VLOOKUP($A464,'The List'!$B1:$AH665,24,FALSE)-AVERAGE('The List'!Y2:Y665))/STDEV('The List'!Y2:Y665)</f>
        <v>2.3961421666689802</v>
      </c>
      <c r="M464" s="54">
        <f>(VLOOKUP($A464,'The List'!$B1:$AH665,25,FALSE)-AVERAGE('The List'!Z2:Z665))/STDEV('The List'!Z2:Z665)</f>
        <v>1.2596695966235805</v>
      </c>
      <c r="N464" s="54">
        <f>(VLOOKUP($A464,'The List'!$B1:$AH665,26,FALSE)-AVERAGE('The List'!AA2:AA665))/STDEV('The List'!AA2:AA665)</f>
        <v>-0.34015005018876221</v>
      </c>
      <c r="O464" s="54">
        <f>(VLOOKUP($A464,'The List'!$B1:$AH665,27,FALSE)-AVERAGE('The List'!AB2:AB665))/STDEV('The List'!AB2:AB665)</f>
        <v>-0.39382915881161584</v>
      </c>
      <c r="P464" s="54">
        <f>(VLOOKUP($A464,'The List'!$B1:$AH665,28,FALSE)-AVERAGE('The List'!AC2:AC665))/STDEV('The List'!AC2:AC665)</f>
        <v>-1.7841734857019875</v>
      </c>
      <c r="Q464" s="54">
        <f>(VLOOKUP($A464,'The List'!$B1:$AH665,29,FALSE)-AVERAGE('The List'!AD2:AD665))/STDEV('The List'!AD2:AD665)</f>
        <v>-1.1572134712143578</v>
      </c>
      <c r="R464" s="54">
        <f>(VLOOKUP($A464,'The List'!$B1:$AH665,30,FALSE)-AVERAGE('The List'!AE2:AE665))/STDEV('The List'!AE2:AE665)</f>
        <v>-0.58419381595147268</v>
      </c>
      <c r="S464" s="54">
        <f>(VLOOKUP($A464,'The List'!$B1:$AH665,31,FALSE)-AVERAGE('The List'!AF2:AF665))/STDEV('The List'!AF2:AF665)</f>
        <v>-0.51145414927923194</v>
      </c>
      <c r="T464" s="54">
        <f>(VLOOKUP($A464,'The List'!$B1:$AH665,32,FALSE)-AVERAGE('The List'!AG2:AG665))/STDEV('The List'!AG2:AG665)</f>
        <v>-0.51942546374197041</v>
      </c>
      <c r="U464" s="54">
        <f>(VLOOKUP($A464,'The List'!$B1:$AH665,33,FALSE)-AVERAGE('The List'!AH2:AH665))/STDEV('The List'!AH2:AH665)</f>
        <v>0.5112162029584949</v>
      </c>
      <c r="V464" s="54"/>
      <c r="W464" s="56"/>
      <c r="X464" s="54"/>
      <c r="Y464" s="54"/>
      <c r="Z464" s="54"/>
      <c r="AA464" s="54"/>
      <c r="AB464" s="54"/>
      <c r="AC464" s="54"/>
      <c r="AD464" s="54"/>
      <c r="AE464" s="54"/>
    </row>
    <row r="465" spans="1:31" ht="21.25" customHeight="1" x14ac:dyDescent="0.15">
      <c r="A465" s="9" t="s">
        <v>697</v>
      </c>
      <c r="B465" s="65" t="str">
        <f>VLOOKUP(A465,'Player Data'!A1:B667,2,FALSE)</f>
        <v>NSH</v>
      </c>
      <c r="C465" s="51">
        <f>((E465)*Settings!$C$12)+(F465*Settings!$C$2)+(G465*Settings!$C$3)+(H465*Settings!$C$4)+(I465*Settings!$C$5)+(K465*Settings!$C$9)+(N465*Settings!$C$6)+(J465*Settings!$C$8)+(O465*Settings!$C$7)+(P465*Settings!$C$14)+(Q465*Settings!$C$15)+(R465*Settings!$C$16)+(S465*Settings!$C$17)+(T465*Settings!$C$18)+(U465*Settings!$C$19)+(L465*Settings!$C$10)+(Settings!$C$11*M465)</f>
        <v>-3.2222459869655062</v>
      </c>
      <c r="D465" s="56">
        <f>IF(Settings!$E$12="YES",VLOOKUP(A465,'Player Data'!A1:E667,5,FALSE),82)</f>
        <v>69.924999999999997</v>
      </c>
      <c r="E465" s="54">
        <f>(VLOOKUP($A465,'The List'!$B1:$AH665,17,FALSE)-AVERAGE('The List'!R2:R665))/STDEV('The List'!R2:R665)</f>
        <v>-1.2878874726416953</v>
      </c>
      <c r="F465" s="54">
        <f>(VLOOKUP($A465,'The List'!$B1:$AH665,18,FALSE)-AVERAGE('The List'!S2:S665))/STDEV('The List'!S2:S665)</f>
        <v>-0.44637329671842801</v>
      </c>
      <c r="G465" s="54">
        <f>(VLOOKUP($A465,'The List'!$B1:$AH665,19,FALSE)-AVERAGE('The List'!T2:T665))/STDEV('The List'!T2:T665)</f>
        <v>-1.0554077422536101</v>
      </c>
      <c r="H465" s="54">
        <f>(VLOOKUP($A465,'The List'!$B1:$AH665,20,FALSE)-AVERAGE('The List'!U2:U665))/STDEV('The List'!U2:U665)</f>
        <v>-0.85836543271085108</v>
      </c>
      <c r="I465" s="54">
        <f>(VLOOKUP($A465,'The List'!$B1:$AH665,21,FALSE)-AVERAGE('The List'!V2:V665))/STDEV('The List'!V2:V665)</f>
        <v>-0.7670260998333378</v>
      </c>
      <c r="J465" s="54">
        <f>(VLOOKUP($A465,'The List'!$B1:$AH665,22,FALSE)-AVERAGE('The List'!W2:W665))/STDEV('The List'!W2:W665)</f>
        <v>-0.72886938077600461</v>
      </c>
      <c r="K465" s="54">
        <f>(VLOOKUP($A465,'The List'!$B1:$AH665,23,FALSE)-AVERAGE('The List'!X2:X665))/STDEV('The List'!X2:X665)</f>
        <v>-0.81251810637585886</v>
      </c>
      <c r="L465" s="54">
        <f>(VLOOKUP($A465,'The List'!$B1:$AH665,24,FALSE)-AVERAGE('The List'!Y2:Y665))/STDEV('The List'!Y2:Y665)</f>
        <v>-1.225536555395953E-2</v>
      </c>
      <c r="M465" s="54">
        <f>(VLOOKUP($A465,'The List'!$B1:$AH665,25,FALSE)-AVERAGE('The List'!Z2:Z665))/STDEV('The List'!Z2:Z665)</f>
        <v>3.1643387444360384E-2</v>
      </c>
      <c r="N465" s="54">
        <f>(VLOOKUP($A465,'The List'!$B1:$AH665,26,FALSE)-AVERAGE('The List'!AA2:AA665))/STDEV('The List'!AA2:AA665)</f>
        <v>-0.38752331106894555</v>
      </c>
      <c r="O465" s="54">
        <f>(VLOOKUP($A465,'The List'!$B1:$AH665,27,FALSE)-AVERAGE('The List'!AB2:AB665))/STDEV('The List'!AB2:AB665)</f>
        <v>0.96509172261243537</v>
      </c>
      <c r="P465" s="54">
        <f>(VLOOKUP($A465,'The List'!$B1:$AH665,28,FALSE)-AVERAGE('The List'!AC2:AC665))/STDEV('The List'!AC2:AC665)</f>
        <v>0.24660256928467419</v>
      </c>
      <c r="Q465" s="54">
        <f>(VLOOKUP($A465,'The List'!$B1:$AH665,29,FALSE)-AVERAGE('The List'!AD2:AD665))/STDEV('The List'!AD2:AD665)</f>
        <v>1.7066648962610496</v>
      </c>
      <c r="R465" s="54">
        <f>(VLOOKUP($A465,'The List'!$B1:$AH665,30,FALSE)-AVERAGE('The List'!AE2:AE665))/STDEV('The List'!AE2:AE665)</f>
        <v>-0.46877758371246353</v>
      </c>
      <c r="S465" s="54">
        <f>(VLOOKUP($A465,'The List'!$B1:$AH665,31,FALSE)-AVERAGE('The List'!AF2:AF665))/STDEV('The List'!AF2:AF665)</f>
        <v>1.0274422473559948</v>
      </c>
      <c r="T465" s="54">
        <f>(VLOOKUP($A465,'The List'!$B1:$AH665,32,FALSE)-AVERAGE('The List'!AG2:AG665))/STDEV('The List'!AG2:AG665)</f>
        <v>0.78894881994870125</v>
      </c>
      <c r="U465" s="54">
        <f>(VLOOKUP($A465,'The List'!$B1:$AH665,33,FALSE)-AVERAGE('The List'!AH2:AH665))/STDEV('The List'!AH2:AH665)</f>
        <v>1.2448362206681736</v>
      </c>
      <c r="V465" s="54"/>
      <c r="W465" s="64"/>
      <c r="X465" s="56"/>
      <c r="Y465" s="56"/>
      <c r="Z465" s="56"/>
      <c r="AA465" s="56"/>
      <c r="AB465" s="56"/>
      <c r="AC465" s="59"/>
      <c r="AD465" s="60"/>
      <c r="AE465" s="54"/>
    </row>
    <row r="466" spans="1:31" ht="21.25" customHeight="1" x14ac:dyDescent="0.15">
      <c r="A466" s="9" t="s">
        <v>481</v>
      </c>
      <c r="B466" s="65" t="str">
        <f>VLOOKUP(A466,'Player Data'!A1:B667,2,FALSE)</f>
        <v>CHI</v>
      </c>
      <c r="C466" s="51">
        <f>((E466)*Settings!$C$12)+(F466*Settings!$C$2)+(G466*Settings!$C$3)+(H466*Settings!$C$4)+(I466*Settings!$C$5)+(K466*Settings!$C$9)+(N466*Settings!$C$6)+(J466*Settings!$C$8)+(O466*Settings!$C$7)+(P466*Settings!$C$14)+(Q466*Settings!$C$15)+(R466*Settings!$C$16)+(S466*Settings!$C$17)+(T466*Settings!$C$18)+(U466*Settings!$C$19)+(L466*Settings!$C$10)+(Settings!$C$11*M466)</f>
        <v>-3.9743424986977893</v>
      </c>
      <c r="D466" s="56">
        <f>IF(Settings!$E$12="YES",VLOOKUP(A466,'Player Data'!A1:E667,5,FALSE),82)</f>
        <v>79.540000000000006</v>
      </c>
      <c r="E466" s="54">
        <f>(VLOOKUP($A466,'The List'!$B1:$AH665,17,FALSE)-AVERAGE('The List'!R2:R665))/STDEV('The List'!R2:R665)</f>
        <v>0.4957028762152148</v>
      </c>
      <c r="F466" s="54">
        <f>(VLOOKUP($A466,'The List'!$B1:$AH665,18,FALSE)-AVERAGE('The List'!S2:S665))/STDEV('The List'!S2:S665)</f>
        <v>-0.81422368141119406</v>
      </c>
      <c r="G466" s="54">
        <f>(VLOOKUP($A466,'The List'!$B1:$AH665,19,FALSE)-AVERAGE('The List'!T2:T665))/STDEV('The List'!T2:T665)</f>
        <v>-0.61228151346401682</v>
      </c>
      <c r="H466" s="54">
        <f>(VLOOKUP($A466,'The List'!$B1:$AH665,20,FALSE)-AVERAGE('The List'!U2:U665))/STDEV('The List'!U2:U665)</f>
        <v>-0.75036461365558593</v>
      </c>
      <c r="I466" s="54">
        <f>(VLOOKUP($A466,'The List'!$B1:$AH665,21,FALSE)-AVERAGE('The List'!V2:V665))/STDEV('The List'!V2:V665)</f>
        <v>-0.62040692914461393</v>
      </c>
      <c r="J466" s="54">
        <f>(VLOOKUP($A466,'The List'!$B1:$AH665,22,FALSE)-AVERAGE('The List'!W2:W665))/STDEV('The List'!W2:W665)</f>
        <v>-0.64231924528737983</v>
      </c>
      <c r="K466" s="54">
        <f>(VLOOKUP($A466,'The List'!$B1:$AH665,23,FALSE)-AVERAGE('The List'!X2:X665))/STDEV('The List'!X2:X665)</f>
        <v>3.6153095701612237E-2</v>
      </c>
      <c r="L466" s="54">
        <f>(VLOOKUP($A466,'The List'!$B1:$AH665,24,FALSE)-AVERAGE('The List'!Y2:Y665))/STDEV('The List'!Y2:Y665)</f>
        <v>-0.56251493084674087</v>
      </c>
      <c r="M466" s="54">
        <f>(VLOOKUP($A466,'The List'!$B1:$AH665,25,FALSE)-AVERAGE('The List'!Z2:Z665))/STDEV('The List'!Z2:Z665)</f>
        <v>-0.70109392045401608</v>
      </c>
      <c r="N466" s="54">
        <f>(VLOOKUP($A466,'The List'!$B1:$AH665,26,FALSE)-AVERAGE('The List'!AA2:AA665))/STDEV('The List'!AA2:AA665)</f>
        <v>0.56899535376214461</v>
      </c>
      <c r="O466" s="54">
        <f>(VLOOKUP($A466,'The List'!$B1:$AH665,27,FALSE)-AVERAGE('The List'!AB2:AB665))/STDEV('The List'!AB2:AB665)</f>
        <v>-0.88813036429525816</v>
      </c>
      <c r="P466" s="54">
        <f>(VLOOKUP($A466,'The List'!$B1:$AH665,28,FALSE)-AVERAGE('The List'!AC2:AC665))/STDEV('The List'!AC2:AC665)</f>
        <v>-2.5325788241417215</v>
      </c>
      <c r="Q466" s="54">
        <f>(VLOOKUP($A466,'The List'!$B1:$AH665,29,FALSE)-AVERAGE('The List'!AD2:AD665))/STDEV('The List'!AD2:AD665)</f>
        <v>-0.50595457425531065</v>
      </c>
      <c r="R466" s="54">
        <f>(VLOOKUP($A466,'The List'!$B1:$AH665,30,FALSE)-AVERAGE('The List'!AE2:AE665))/STDEV('The List'!AE2:AE665)</f>
        <v>-0.84427805710540127</v>
      </c>
      <c r="S466" s="54">
        <f>(VLOOKUP($A466,'The List'!$B1:$AH665,31,FALSE)-AVERAGE('The List'!AF2:AF665))/STDEV('The List'!AF2:AF665)</f>
        <v>-0.57389441068000469</v>
      </c>
      <c r="T466" s="54">
        <f>(VLOOKUP($A466,'The List'!$B1:$AH665,32,FALSE)-AVERAGE('The List'!AG2:AG665))/STDEV('The List'!AG2:AG665)</f>
        <v>-0.62577078713265111</v>
      </c>
      <c r="U466" s="54">
        <f>(VLOOKUP($A466,'The List'!$B1:$AH665,33,FALSE)-AVERAGE('The List'!AH2:AH665))/STDEV('The List'!AH2:AH665)</f>
        <v>-1.2314350945148611</v>
      </c>
      <c r="V466" s="54"/>
      <c r="W466" s="56"/>
      <c r="X466" s="56"/>
      <c r="Y466" s="56"/>
      <c r="Z466" s="56"/>
      <c r="AA466" s="56"/>
      <c r="AB466" s="56"/>
      <c r="AC466" s="59"/>
      <c r="AD466" s="60"/>
      <c r="AE466" s="54"/>
    </row>
    <row r="467" spans="1:31" ht="21.25" customHeight="1" x14ac:dyDescent="0.15">
      <c r="A467" s="9" t="s">
        <v>698</v>
      </c>
      <c r="B467" s="65" t="str">
        <f>VLOOKUP(A467,'Player Data'!A1:B667,2,FALSE)</f>
        <v>S.J</v>
      </c>
      <c r="C467" s="51">
        <f>((E467)*Settings!$C$12)+(F467*Settings!$C$2)+(G467*Settings!$C$3)+(H467*Settings!$C$4)+(I467*Settings!$C$5)+(K467*Settings!$C$9)+(N467*Settings!$C$6)+(J467*Settings!$C$8)+(O467*Settings!$C$7)+(P467*Settings!$C$14)+(Q467*Settings!$C$15)+(R467*Settings!$C$16)+(S467*Settings!$C$17)+(T467*Settings!$C$18)+(U467*Settings!$C$19)+(L467*Settings!$C$10)+(Settings!$C$11*M467)</f>
        <v>-3.4166555835854875</v>
      </c>
      <c r="D467" s="56">
        <f>IF(Settings!$E$12="YES",VLOOKUP(A467,'Player Data'!A1:E667,5,FALSE),82)</f>
        <v>70.112499999999997</v>
      </c>
      <c r="E467" s="54">
        <f>(VLOOKUP($A467,'The List'!$B1:$AH665,17,FALSE)-AVERAGE('The List'!R2:R665))/STDEV('The List'!R2:R665)</f>
        <v>-1.7256322697387145</v>
      </c>
      <c r="F467" s="54">
        <f>(VLOOKUP($A467,'The List'!$B1:$AH665,18,FALSE)-AVERAGE('The List'!S2:S665))/STDEV('The List'!S2:S665)</f>
        <v>-0.35751899455635072</v>
      </c>
      <c r="G467" s="54">
        <f>(VLOOKUP($A467,'The List'!$B1:$AH665,19,FALSE)-AVERAGE('The List'!T2:T665))/STDEV('The List'!T2:T665)</f>
        <v>-1.1191234033020234</v>
      </c>
      <c r="H467" s="54">
        <f>(VLOOKUP($A467,'The List'!$B1:$AH665,20,FALSE)-AVERAGE('The List'!U2:U665))/STDEV('The List'!U2:U665)</f>
        <v>-0.8575479369166974</v>
      </c>
      <c r="I467" s="54">
        <f>(VLOOKUP($A467,'The List'!$B1:$AH665,21,FALSE)-AVERAGE('The List'!V2:V665))/STDEV('The List'!V2:V665)</f>
        <v>-0.32941580067321607</v>
      </c>
      <c r="J467" s="54">
        <f>(VLOOKUP($A467,'The List'!$B1:$AH665,22,FALSE)-AVERAGE('The List'!W2:W665))/STDEV('The List'!W2:W665)</f>
        <v>-0.71103591826007739</v>
      </c>
      <c r="K467" s="54">
        <f>(VLOOKUP($A467,'The List'!$B1:$AH665,23,FALSE)-AVERAGE('The List'!X2:X665))/STDEV('The List'!X2:X665)</f>
        <v>-0.80839263959527208</v>
      </c>
      <c r="L467" s="54">
        <f>(VLOOKUP($A467,'The List'!$B1:$AH665,24,FALSE)-AVERAGE('The List'!Y2:Y665))/STDEV('The List'!Y2:Y665)</f>
        <v>-0.46370758065669998</v>
      </c>
      <c r="M467" s="54">
        <f>(VLOOKUP($A467,'The List'!$B1:$AH665,25,FALSE)-AVERAGE('The List'!Z2:Z665))/STDEV('The List'!Z2:Z665)</f>
        <v>-0.6737349422648623</v>
      </c>
      <c r="N467" s="54">
        <f>(VLOOKUP($A467,'The List'!$B1:$AH665,26,FALSE)-AVERAGE('The List'!AA2:AA665))/STDEV('The List'!AA2:AA665)</f>
        <v>-0.99749017894101133</v>
      </c>
      <c r="O467" s="54">
        <f>(VLOOKUP($A467,'The List'!$B1:$AH665,27,FALSE)-AVERAGE('The List'!AB2:AB665))/STDEV('The List'!AB2:AB665)</f>
        <v>1.3610877976460507</v>
      </c>
      <c r="P467" s="54">
        <f>(VLOOKUP($A467,'The List'!$B1:$AH665,28,FALSE)-AVERAGE('The List'!AC2:AC665))/STDEV('The List'!AC2:AC665)</f>
        <v>0.19528543348238653</v>
      </c>
      <c r="Q467" s="54">
        <f>(VLOOKUP($A467,'The List'!$B1:$AH665,29,FALSE)-AVERAGE('The List'!AD2:AD665))/STDEV('The List'!AD2:AD665)</f>
        <v>-0.85983495507434282</v>
      </c>
      <c r="R467" s="54">
        <f>(VLOOKUP($A467,'The List'!$B1:$AH665,30,FALSE)-AVERAGE('The List'!AE2:AE665))/STDEV('The List'!AE2:AE665)</f>
        <v>-0.60590573739343023</v>
      </c>
      <c r="S467" s="54">
        <f>(VLOOKUP($A467,'The List'!$B1:$AH665,31,FALSE)-AVERAGE('The List'!AF2:AF665))/STDEV('The List'!AF2:AF665)</f>
        <v>-0.55135818855039831</v>
      </c>
      <c r="T467" s="54">
        <f>(VLOOKUP($A467,'The List'!$B1:$AH665,32,FALSE)-AVERAGE('The List'!AG2:AG665))/STDEV('The List'!AG2:AG665)</f>
        <v>-0.57419192137399433</v>
      </c>
      <c r="U467" s="54">
        <f>(VLOOKUP($A467,'The List'!$B1:$AH665,33,FALSE)-AVERAGE('The List'!AH2:AH665))/STDEV('The List'!AH2:AH665)</f>
        <v>0.20682692949429698</v>
      </c>
      <c r="V467" s="54"/>
      <c r="W467" s="56"/>
      <c r="X467" s="54"/>
      <c r="Y467" s="54"/>
      <c r="Z467" s="54"/>
      <c r="AA467" s="54"/>
      <c r="AB467" s="54"/>
      <c r="AC467" s="54"/>
      <c r="AD467" s="54"/>
      <c r="AE467" s="54"/>
    </row>
    <row r="468" spans="1:31" ht="21.25" customHeight="1" x14ac:dyDescent="0.15">
      <c r="A468" s="9" t="s">
        <v>701</v>
      </c>
      <c r="B468" s="65" t="str">
        <f>VLOOKUP(A468,'Player Data'!A1:B667,2,FALSE)</f>
        <v>NYR</v>
      </c>
      <c r="C468" s="51">
        <f>((E468)*Settings!$C$12)+(F468*Settings!$C$2)+(G468*Settings!$C$3)+(H468*Settings!$C$4)+(I468*Settings!$C$5)+(K468*Settings!$C$9)+(N468*Settings!$C$6)+(J468*Settings!$C$8)+(O468*Settings!$C$7)+(P468*Settings!$C$14)+(Q468*Settings!$C$15)+(R468*Settings!$C$16)+(S468*Settings!$C$17)+(T468*Settings!$C$18)+(U468*Settings!$C$19)+(L468*Settings!$C$10)+(Settings!$C$11*M468)</f>
        <v>-2.683961876102321</v>
      </c>
      <c r="D468" s="56">
        <f>IF(Settings!$E$12="YES",VLOOKUP(A468,'Player Data'!A1:E667,5,FALSE),82)</f>
        <v>80.265000000000001</v>
      </c>
      <c r="E468" s="54">
        <f>(VLOOKUP($A468,'The List'!$B1:$AH665,17,FALSE)-AVERAGE('The List'!R2:R665))/STDEV('The List'!R2:R665)</f>
        <v>-1.6010093771466976</v>
      </c>
      <c r="F468" s="54">
        <f>(VLOOKUP($A468,'The List'!$B1:$AH665,18,FALSE)-AVERAGE('The List'!S2:S665))/STDEV('The List'!S2:S665)</f>
        <v>-0.23091904305841898</v>
      </c>
      <c r="G468" s="54">
        <f>(VLOOKUP($A468,'The List'!$B1:$AH665,19,FALSE)-AVERAGE('The List'!T2:T665))/STDEV('The List'!T2:T665)</f>
        <v>-1.0362807553853071</v>
      </c>
      <c r="H468" s="54">
        <f>(VLOOKUP($A468,'The List'!$B1:$AH665,20,FALSE)-AVERAGE('The List'!U2:U665))/STDEV('The List'!U2:U665)</f>
        <v>-0.74855229874000984</v>
      </c>
      <c r="I468" s="54">
        <f>(VLOOKUP($A468,'The List'!$B1:$AH665,21,FALSE)-AVERAGE('The List'!V2:V665))/STDEV('The List'!V2:V665)</f>
        <v>-0.35962651612957941</v>
      </c>
      <c r="J468" s="54">
        <f>(VLOOKUP($A468,'The List'!$B1:$AH665,22,FALSE)-AVERAGE('The List'!W2:W665))/STDEV('The List'!W2:W665)</f>
        <v>-0.65509509719635595</v>
      </c>
      <c r="K468" s="54">
        <f>(VLOOKUP($A468,'The List'!$B1:$AH665,23,FALSE)-AVERAGE('The List'!X2:X665))/STDEV('The List'!X2:X665)</f>
        <v>-0.7534941745534538</v>
      </c>
      <c r="L468" s="54">
        <f>(VLOOKUP($A468,'The List'!$B1:$AH665,24,FALSE)-AVERAGE('The List'!Y2:Y665))/STDEV('The List'!Y2:Y665)</f>
        <v>-0.57966049640262141</v>
      </c>
      <c r="M468" s="54">
        <f>(VLOOKUP($A468,'The List'!$B1:$AH665,25,FALSE)-AVERAGE('The List'!Z2:Z665))/STDEV('The List'!Z2:Z665)</f>
        <v>-0.75349376657554945</v>
      </c>
      <c r="N468" s="54">
        <f>(VLOOKUP($A468,'The List'!$B1:$AH665,26,FALSE)-AVERAGE('The List'!AA2:AA665))/STDEV('The List'!AA2:AA665)</f>
        <v>-0.89096926056623837</v>
      </c>
      <c r="O468" s="54">
        <f>(VLOOKUP($A468,'The List'!$B1:$AH665,27,FALSE)-AVERAGE('The List'!AB2:AB665))/STDEV('The List'!AB2:AB665)</f>
        <v>2.7081337118598077</v>
      </c>
      <c r="P468" s="54">
        <f>(VLOOKUP($A468,'The List'!$B1:$AH665,28,FALSE)-AVERAGE('The List'!AC2:AC665))/STDEV('The List'!AC2:AC665)</f>
        <v>0.58732787359067673</v>
      </c>
      <c r="Q468" s="54">
        <f>(VLOOKUP($A468,'The List'!$B1:$AH665,29,FALSE)-AVERAGE('The List'!AD2:AD665))/STDEV('The List'!AD2:AD665)</f>
        <v>0.48074484636074294</v>
      </c>
      <c r="R468" s="54">
        <f>(VLOOKUP($A468,'The List'!$B1:$AH665,30,FALSE)-AVERAGE('The List'!AE2:AE665))/STDEV('The List'!AE2:AE665)</f>
        <v>-0.11822864663443824</v>
      </c>
      <c r="S468" s="54">
        <f>(VLOOKUP($A468,'The List'!$B1:$AH665,31,FALSE)-AVERAGE('The List'!AF2:AF665))/STDEV('The List'!AF2:AF665)</f>
        <v>-0.56432847346922421</v>
      </c>
      <c r="T468" s="54">
        <f>(VLOOKUP($A468,'The List'!$B1:$AH665,32,FALSE)-AVERAGE('The List'!AG2:AG665))/STDEV('The List'!AG2:AG665)</f>
        <v>-0.58376831124799378</v>
      </c>
      <c r="U468" s="54">
        <f>(VLOOKUP($A468,'The List'!$B1:$AH665,33,FALSE)-AVERAGE('The List'!AH2:AH665))/STDEV('The List'!AH2:AH665)</f>
        <v>-0.34747149037529734</v>
      </c>
      <c r="V468" s="54"/>
      <c r="W468" s="56"/>
      <c r="X468" s="56"/>
      <c r="Y468" s="56"/>
      <c r="Z468" s="56"/>
      <c r="AA468" s="56"/>
      <c r="AB468" s="56"/>
      <c r="AC468" s="59"/>
      <c r="AD468" s="60"/>
      <c r="AE468" s="54"/>
    </row>
    <row r="469" spans="1:31" ht="21.25" customHeight="1" x14ac:dyDescent="0.15">
      <c r="A469" s="9" t="s">
        <v>480</v>
      </c>
      <c r="B469" s="65" t="str">
        <f>VLOOKUP(A469,'Player Data'!A1:B667,2,FALSE)</f>
        <v>OTT</v>
      </c>
      <c r="C469" s="51">
        <f>((E469)*Settings!$C$12)+(F469*Settings!$C$2)+(G469*Settings!$C$3)+(H469*Settings!$C$4)+(I469*Settings!$C$5)+(K469*Settings!$C$9)+(N469*Settings!$C$6)+(J469*Settings!$C$8)+(O469*Settings!$C$7)+(P469*Settings!$C$14)+(Q469*Settings!$C$15)+(R469*Settings!$C$16)+(S469*Settings!$C$17)+(T469*Settings!$C$18)+(U469*Settings!$C$19)+(L469*Settings!$C$10)+(Settings!$C$11*M469)</f>
        <v>-2.5204592097222118</v>
      </c>
      <c r="D469" s="56">
        <f>IF(Settings!$E$12="YES",VLOOKUP(A469,'Player Data'!A1:E667,5,FALSE),82)</f>
        <v>80.032499999999999</v>
      </c>
      <c r="E469" s="54">
        <f>(VLOOKUP($A469,'The List'!$B1:$AH665,17,FALSE)-AVERAGE('The List'!R2:R665))/STDEV('The List'!R2:R665)</f>
        <v>0.64942419000251628</v>
      </c>
      <c r="F469" s="54">
        <f>(VLOOKUP($A469,'The List'!$B1:$AH665,18,FALSE)-AVERAGE('The List'!S2:S665))/STDEV('The List'!S2:S665)</f>
        <v>-1.0321223478078638</v>
      </c>
      <c r="G469" s="54">
        <f>(VLOOKUP($A469,'The List'!$B1:$AH665,19,FALSE)-AVERAGE('The List'!T2:T665))/STDEV('The List'!T2:T665)</f>
        <v>-0.45648007075135527</v>
      </c>
      <c r="H469" s="54">
        <f>(VLOOKUP($A469,'The List'!$B1:$AH665,20,FALSE)-AVERAGE('The List'!U2:U665))/STDEV('The List'!U2:U665)</f>
        <v>-0.7526484587420379</v>
      </c>
      <c r="I469" s="54">
        <f>(VLOOKUP($A469,'The List'!$B1:$AH665,21,FALSE)-AVERAGE('The List'!V2:V665))/STDEV('The List'!V2:V665)</f>
        <v>-0.88678490415515843</v>
      </c>
      <c r="J469" s="54">
        <f>(VLOOKUP($A469,'The List'!$B1:$AH665,22,FALSE)-AVERAGE('The List'!W2:W665))/STDEV('The List'!W2:W665)</f>
        <v>-0.74034241638091347</v>
      </c>
      <c r="K469" s="54">
        <f>(VLOOKUP($A469,'The List'!$B1:$AH665,23,FALSE)-AVERAGE('The List'!X2:X665))/STDEV('The List'!X2:X665)</f>
        <v>-0.81412208406166697</v>
      </c>
      <c r="L469" s="54">
        <f>(VLOOKUP($A469,'The List'!$B1:$AH665,24,FALSE)-AVERAGE('The List'!Y2:Y665))/STDEV('The List'!Y2:Y665)</f>
        <v>-0.54093141638110809</v>
      </c>
      <c r="M469" s="54">
        <f>(VLOOKUP($A469,'The List'!$B1:$AH665,25,FALSE)-AVERAGE('The List'!Z2:Z665))/STDEV('The List'!Z2:Z665)</f>
        <v>-0.39860575681967941</v>
      </c>
      <c r="N469" s="54">
        <f>(VLOOKUP($A469,'The List'!$B1:$AH665,26,FALSE)-AVERAGE('The List'!AA2:AA665))/STDEV('The List'!AA2:AA665)</f>
        <v>1.3590423913383147</v>
      </c>
      <c r="O469" s="54">
        <f>(VLOOKUP($A469,'The List'!$B1:$AH665,27,FALSE)-AVERAGE('The List'!AB2:AB665))/STDEV('The List'!AB2:AB665)</f>
        <v>-7.4731707385863863E-2</v>
      </c>
      <c r="P469" s="54">
        <f>(VLOOKUP($A469,'The List'!$B1:$AH665,28,FALSE)-AVERAGE('The List'!AC2:AC665))/STDEV('The List'!AC2:AC665)</f>
        <v>-0.68999219428448255</v>
      </c>
      <c r="Q469" s="54">
        <f>(VLOOKUP($A469,'The List'!$B1:$AH665,29,FALSE)-AVERAGE('The List'!AD2:AD665))/STDEV('The List'!AD2:AD665)</f>
        <v>-0.9573643576805364</v>
      </c>
      <c r="R469" s="54">
        <f>(VLOOKUP($A469,'The List'!$B1:$AH665,30,FALSE)-AVERAGE('The List'!AE2:AE665))/STDEV('The List'!AE2:AE665)</f>
        <v>-0.97468820895492081</v>
      </c>
      <c r="S469" s="54">
        <f>(VLOOKUP($A469,'The List'!$B1:$AH665,31,FALSE)-AVERAGE('The List'!AF2:AF665))/STDEV('The List'!AF2:AF665)</f>
        <v>-0.57389441068000469</v>
      </c>
      <c r="T469" s="54">
        <f>(VLOOKUP($A469,'The List'!$B1:$AH665,32,FALSE)-AVERAGE('The List'!AG2:AG665))/STDEV('The List'!AG2:AG665)</f>
        <v>-0.62577078713265111</v>
      </c>
      <c r="U469" s="54">
        <f>(VLOOKUP($A469,'The List'!$B1:$AH665,33,FALSE)-AVERAGE('The List'!AH2:AH665))/STDEV('The List'!AH2:AH665)</f>
        <v>-1.2314350945148611</v>
      </c>
      <c r="V469" s="54"/>
      <c r="W469" s="64"/>
      <c r="X469" s="56"/>
      <c r="Y469" s="56"/>
      <c r="Z469" s="56"/>
      <c r="AA469" s="56"/>
      <c r="AB469" s="56"/>
      <c r="AC469" s="59"/>
      <c r="AD469" s="60"/>
      <c r="AE469" s="54"/>
    </row>
    <row r="470" spans="1:31" ht="21.25" customHeight="1" x14ac:dyDescent="0.15">
      <c r="A470" s="9" t="s">
        <v>556</v>
      </c>
      <c r="B470" s="65" t="str">
        <f>VLOOKUP(A470,'Player Data'!A1:B667,2,FALSE)</f>
        <v>NYI</v>
      </c>
      <c r="C470" s="51">
        <f>((E470)*Settings!$C$12)+(F470*Settings!$C$2)+(G470*Settings!$C$3)+(H470*Settings!$C$4)+(I470*Settings!$C$5)+(K470*Settings!$C$9)+(N470*Settings!$C$6)+(J470*Settings!$C$8)+(O470*Settings!$C$7)+(P470*Settings!$C$14)+(Q470*Settings!$C$15)+(R470*Settings!$C$16)+(S470*Settings!$C$17)+(T470*Settings!$C$18)+(U470*Settings!$C$19)+(L470*Settings!$C$10)+(Settings!$C$11*M470)</f>
        <v>-2.668035324781624</v>
      </c>
      <c r="D470" s="56">
        <f>IF(Settings!$E$12="YES",VLOOKUP(A470,'Player Data'!A1:E667,5,FALSE),82)</f>
        <v>67.202500000000001</v>
      </c>
      <c r="E470" s="54">
        <f>(VLOOKUP($A470,'The List'!$B1:$AH665,17,FALSE)-AVERAGE('The List'!R2:R665))/STDEV('The List'!R2:R665)</f>
        <v>-0.3766350574581448</v>
      </c>
      <c r="F470" s="54">
        <f>(VLOOKUP($A470,'The List'!$B1:$AH665,18,FALSE)-AVERAGE('The List'!S2:S665))/STDEV('The List'!S2:S665)</f>
        <v>-1.0056911622042677</v>
      </c>
      <c r="G470" s="54">
        <f>(VLOOKUP($A470,'The List'!$B1:$AH665,19,FALSE)-AVERAGE('The List'!T2:T665))/STDEV('The List'!T2:T665)</f>
        <v>-0.71054586679604659</v>
      </c>
      <c r="H470" s="54">
        <f>(VLOOKUP($A470,'The List'!$B1:$AH665,20,FALSE)-AVERAGE('The List'!U2:U665))/STDEV('The List'!U2:U665)</f>
        <v>-0.89842337349440804</v>
      </c>
      <c r="I470" s="54">
        <f>(VLOOKUP($A470,'The List'!$B1:$AH665,21,FALSE)-AVERAGE('The List'!V2:V665))/STDEV('The List'!V2:V665)</f>
        <v>-0.42197141040012942</v>
      </c>
      <c r="J470" s="54">
        <f>(VLOOKUP($A470,'The List'!$B1:$AH665,22,FALSE)-AVERAGE('The List'!W2:W665))/STDEV('The List'!W2:W665)</f>
        <v>-0.70864271406284751</v>
      </c>
      <c r="K470" s="54">
        <f>(VLOOKUP($A470,'The List'!$B1:$AH665,23,FALSE)-AVERAGE('The List'!X2:X665))/STDEV('The List'!X2:X665)</f>
        <v>-0.4523074991952718</v>
      </c>
      <c r="L470" s="54">
        <f>(VLOOKUP($A470,'The List'!$B1:$AH665,24,FALSE)-AVERAGE('The List'!Y2:Y665))/STDEV('The List'!Y2:Y665)</f>
        <v>-0.46051982014636428</v>
      </c>
      <c r="M470" s="54">
        <f>(VLOOKUP($A470,'The List'!$B1:$AH665,25,FALSE)-AVERAGE('The List'!Z2:Z665))/STDEV('The List'!Z2:Z665)</f>
        <v>-0.66751831037885812</v>
      </c>
      <c r="N470" s="54">
        <f>(VLOOKUP($A470,'The List'!$B1:$AH665,26,FALSE)-AVERAGE('The List'!AA2:AA665))/STDEV('The List'!AA2:AA665)</f>
        <v>-5.0097872498866707E-2</v>
      </c>
      <c r="O470" s="54">
        <f>(VLOOKUP($A470,'The List'!$B1:$AH665,27,FALSE)-AVERAGE('The List'!AB2:AB665))/STDEV('The List'!AB2:AB665)</f>
        <v>-0.55588071296931374</v>
      </c>
      <c r="P470" s="54">
        <f>(VLOOKUP($A470,'The List'!$B1:$AH665,28,FALSE)-AVERAGE('The List'!AC2:AC665))/STDEV('The List'!AC2:AC665)</f>
        <v>-2.742151368704179E-2</v>
      </c>
      <c r="Q470" s="54">
        <f>(VLOOKUP($A470,'The List'!$B1:$AH665,29,FALSE)-AVERAGE('The List'!AD2:AD665))/STDEV('The List'!AD2:AD665)</f>
        <v>-0.28165178237002836</v>
      </c>
      <c r="R470" s="54">
        <f>(VLOOKUP($A470,'The List'!$B1:$AH665,30,FALSE)-AVERAGE('The List'!AE2:AE665))/STDEV('The List'!AE2:AE665)</f>
        <v>-0.94436124304864444</v>
      </c>
      <c r="S470" s="54">
        <f>(VLOOKUP($A470,'The List'!$B1:$AH665,31,FALSE)-AVERAGE('The List'!AF2:AF665))/STDEV('The List'!AF2:AF665)</f>
        <v>-0.57389441068000469</v>
      </c>
      <c r="T470" s="54">
        <f>(VLOOKUP($A470,'The List'!$B1:$AH665,32,FALSE)-AVERAGE('The List'!AG2:AG665))/STDEV('The List'!AG2:AG665)</f>
        <v>-0.62577078713265111</v>
      </c>
      <c r="U470" s="54">
        <f>(VLOOKUP($A470,'The List'!$B1:$AH665,33,FALSE)-AVERAGE('The List'!AH2:AH665))/STDEV('The List'!AH2:AH665)</f>
        <v>-1.2314350945148611</v>
      </c>
      <c r="V470" s="54"/>
      <c r="W470" s="56"/>
      <c r="X470" s="54"/>
      <c r="Y470" s="54"/>
      <c r="Z470" s="54"/>
      <c r="AA470" s="54"/>
      <c r="AB470" s="54"/>
      <c r="AC470" s="54"/>
      <c r="AD470" s="54"/>
      <c r="AE470" s="54"/>
    </row>
    <row r="471" spans="1:31" ht="21.25" customHeight="1" x14ac:dyDescent="0.15">
      <c r="A471" s="9" t="s">
        <v>738</v>
      </c>
      <c r="B471" s="65" t="str">
        <f>VLOOKUP(A471,'Player Data'!A1:B667,2,FALSE)</f>
        <v>S.J</v>
      </c>
      <c r="C471" s="51">
        <f>((E471)*Settings!$C$12)+(F471*Settings!$C$2)+(G471*Settings!$C$3)+(H471*Settings!$C$4)+(I471*Settings!$C$5)+(K471*Settings!$C$9)+(N471*Settings!$C$6)+(J471*Settings!$C$8)+(O471*Settings!$C$7)+(P471*Settings!$C$14)+(Q471*Settings!$C$15)+(R471*Settings!$C$16)+(S471*Settings!$C$17)+(T471*Settings!$C$18)+(U471*Settings!$C$19)+(L471*Settings!$C$10)+(Settings!$C$11*M471)</f>
        <v>-5.8401943301265398</v>
      </c>
      <c r="D471" s="56">
        <f>IF(Settings!$E$12="YES",VLOOKUP(A471,'Player Data'!A1:E667,5,FALSE),82)</f>
        <v>76.757499999999993</v>
      </c>
      <c r="E471" s="54">
        <f>(VLOOKUP($A471,'The List'!$B1:$AH665,17,FALSE)-AVERAGE('The List'!R2:R665))/STDEV('The List'!R2:R665)</f>
        <v>-1.1252306606973212</v>
      </c>
      <c r="F471" s="54">
        <f>(VLOOKUP($A471,'The List'!$B1:$AH665,18,FALSE)-AVERAGE('The List'!S2:S665))/STDEV('The List'!S2:S665)</f>
        <v>-0.50207004460170856</v>
      </c>
      <c r="G471" s="54">
        <f>(VLOOKUP($A471,'The List'!$B1:$AH665,19,FALSE)-AVERAGE('The List'!T2:T665))/STDEV('The List'!T2:T665)</f>
        <v>-0.90869950561673785</v>
      </c>
      <c r="H471" s="54">
        <f>(VLOOKUP($A471,'The List'!$B1:$AH665,20,FALSE)-AVERAGE('The List'!U2:U665))/STDEV('The List'!U2:U665)</f>
        <v>-0.79256818802378537</v>
      </c>
      <c r="I471" s="54">
        <f>(VLOOKUP($A471,'The List'!$B1:$AH665,21,FALSE)-AVERAGE('The List'!V2:V665))/STDEV('The List'!V2:V665)</f>
        <v>-0.72527360908045369</v>
      </c>
      <c r="J471" s="54">
        <f>(VLOOKUP($A471,'The List'!$B1:$AH665,22,FALSE)-AVERAGE('The List'!W2:W665))/STDEV('The List'!W2:W665)</f>
        <v>-0.7023972730437047</v>
      </c>
      <c r="K471" s="54">
        <f>(VLOOKUP($A471,'The List'!$B1:$AH665,23,FALSE)-AVERAGE('The List'!X2:X665))/STDEV('The List'!X2:X665)</f>
        <v>-0.79188775819380663</v>
      </c>
      <c r="L471" s="54">
        <f>(VLOOKUP($A471,'The List'!$B1:$AH665,24,FALSE)-AVERAGE('The List'!Y2:Y665))/STDEV('The List'!Y2:Y665)</f>
        <v>0.69316647599829184</v>
      </c>
      <c r="M471" s="54">
        <f>(VLOOKUP($A471,'The List'!$B1:$AH665,25,FALSE)-AVERAGE('The List'!Z2:Z665))/STDEV('The List'!Z2:Z665)</f>
        <v>9.0931722493199044E-2</v>
      </c>
      <c r="N471" s="54">
        <f>(VLOOKUP($A471,'The List'!$B1:$AH665,26,FALSE)-AVERAGE('The List'!AA2:AA665))/STDEV('The List'!AA2:AA665)</f>
        <v>-0.5945401682959488</v>
      </c>
      <c r="O471" s="54">
        <f>(VLOOKUP($A471,'The List'!$B1:$AH665,27,FALSE)-AVERAGE('The List'!AB2:AB665))/STDEV('The List'!AB2:AB665)</f>
        <v>-0.18352489147346515</v>
      </c>
      <c r="P471" s="54">
        <f>(VLOOKUP($A471,'The List'!$B1:$AH665,28,FALSE)-AVERAGE('The List'!AC2:AC665))/STDEV('The List'!AC2:AC665)</f>
        <v>-2.3177232443378841</v>
      </c>
      <c r="Q471" s="54">
        <f>(VLOOKUP($A471,'The List'!$B1:$AH665,29,FALSE)-AVERAGE('The List'!AD2:AD665))/STDEV('The List'!AD2:AD665)</f>
        <v>-1.0123004249891419</v>
      </c>
      <c r="R471" s="54">
        <f>(VLOOKUP($A471,'The List'!$B1:$AH665,30,FALSE)-AVERAGE('The List'!AE2:AE665))/STDEV('The List'!AE2:AE665)</f>
        <v>-0.70500706982432981</v>
      </c>
      <c r="S471" s="54">
        <f>(VLOOKUP($A471,'The List'!$B1:$AH665,31,FALSE)-AVERAGE('The List'!AF2:AF665))/STDEV('The List'!AF2:AF665)</f>
        <v>1.7062800377770861</v>
      </c>
      <c r="T471" s="54">
        <f>(VLOOKUP($A471,'The List'!$B1:$AH665,32,FALSE)-AVERAGE('The List'!AG2:AG665))/STDEV('The List'!AG2:AG665)</f>
        <v>1.2207783960033114</v>
      </c>
      <c r="U471" s="54">
        <f>(VLOOKUP($A471,'The List'!$B1:$AH665,33,FALSE)-AVERAGE('The List'!AH2:AH665))/STDEV('The List'!AH2:AH665)</f>
        <v>1.3421618664029213</v>
      </c>
      <c r="V471" s="54"/>
      <c r="W471" s="64"/>
      <c r="X471" s="56"/>
      <c r="Y471" s="56"/>
      <c r="Z471" s="56"/>
      <c r="AA471" s="56"/>
      <c r="AB471" s="56"/>
      <c r="AC471" s="59"/>
      <c r="AD471" s="60"/>
      <c r="AE471" s="54"/>
    </row>
    <row r="472" spans="1:31" ht="21.25" customHeight="1" x14ac:dyDescent="0.15">
      <c r="A472" s="9" t="s">
        <v>769</v>
      </c>
      <c r="B472" s="65" t="str">
        <f>VLOOKUP(A472,'Player Data'!A1:B667,2,FALSE)</f>
        <v>NSH</v>
      </c>
      <c r="C472" s="51">
        <f>((E472)*Settings!$C$12)+(F472*Settings!$C$2)+(G472*Settings!$C$3)+(H472*Settings!$C$4)+(I472*Settings!$C$5)+(K472*Settings!$C$9)+(N472*Settings!$C$6)+(J472*Settings!$C$8)+(O472*Settings!$C$7)+(P472*Settings!$C$14)+(Q472*Settings!$C$15)+(R472*Settings!$C$16)+(S472*Settings!$C$17)+(T472*Settings!$C$18)+(U472*Settings!$C$19)+(L472*Settings!$C$10)+(Settings!$C$11*M472)</f>
        <v>-3.7802716876733022</v>
      </c>
      <c r="D472" s="56">
        <f>IF(Settings!$E$12="YES",VLOOKUP(A472,'Player Data'!A1:E667,5,FALSE),82)</f>
        <v>62.454999999999998</v>
      </c>
      <c r="E472" s="54">
        <f>(VLOOKUP($A472,'The List'!$B1:$AH665,17,FALSE)-AVERAGE('The List'!R2:R665))/STDEV('The List'!R2:R665)</f>
        <v>-1.292320175167833</v>
      </c>
      <c r="F472" s="54">
        <f>(VLOOKUP($A472,'The List'!$B1:$AH665,18,FALSE)-AVERAGE('The List'!S2:S665))/STDEV('The List'!S2:S665)</f>
        <v>-0.5949085654616979</v>
      </c>
      <c r="G472" s="54">
        <f>(VLOOKUP($A472,'The List'!$B1:$AH665,19,FALSE)-AVERAGE('The List'!T2:T665))/STDEV('The List'!T2:T665)</f>
        <v>-1.0974982733957561</v>
      </c>
      <c r="H472" s="54">
        <f>(VLOOKUP($A472,'The List'!$B1:$AH665,20,FALSE)-AVERAGE('The List'!U2:U665))/STDEV('The List'!U2:U665)</f>
        <v>-0.95202235931319135</v>
      </c>
      <c r="I472" s="54">
        <f>(VLOOKUP($A472,'The List'!$B1:$AH665,21,FALSE)-AVERAGE('The List'!V2:V665))/STDEV('The List'!V2:V665)</f>
        <v>-0.90653224869767568</v>
      </c>
      <c r="J472" s="54">
        <f>(VLOOKUP($A472,'The List'!$B1:$AH665,22,FALSE)-AVERAGE('The List'!W2:W665))/STDEV('The List'!W2:W665)</f>
        <v>-0.68562251885281666</v>
      </c>
      <c r="K472" s="54">
        <f>(VLOOKUP($A472,'The List'!$B1:$AH665,23,FALSE)-AVERAGE('The List'!X2:X665))/STDEV('The List'!X2:X665)</f>
        <v>-0.7578439210977912</v>
      </c>
      <c r="L472" s="54">
        <f>(VLOOKUP($A472,'The List'!$B1:$AH665,24,FALSE)-AVERAGE('The List'!Y2:Y665))/STDEV('The List'!Y2:Y665)</f>
        <v>1.1937757580093373</v>
      </c>
      <c r="M472" s="54">
        <f>(VLOOKUP($A472,'The List'!$B1:$AH665,25,FALSE)-AVERAGE('The List'!Z2:Z665))/STDEV('The List'!Z2:Z665)</f>
        <v>0.4233233484356636</v>
      </c>
      <c r="N472" s="54">
        <f>(VLOOKUP($A472,'The List'!$B1:$AH665,26,FALSE)-AVERAGE('The List'!AA2:AA665))/STDEV('The List'!AA2:AA665)</f>
        <v>-0.87721610927141369</v>
      </c>
      <c r="O472" s="54">
        <f>(VLOOKUP($A472,'The List'!$B1:$AH665,27,FALSE)-AVERAGE('The List'!AB2:AB665))/STDEV('The List'!AB2:AB665)</f>
        <v>-0.90186043878622868</v>
      </c>
      <c r="P472" s="54">
        <f>(VLOOKUP($A472,'The List'!$B1:$AH665,28,FALSE)-AVERAGE('The List'!AC2:AC665))/STDEV('The List'!AC2:AC665)</f>
        <v>0.45372743025103279</v>
      </c>
      <c r="Q472" s="54">
        <f>(VLOOKUP($A472,'The List'!$B1:$AH665,29,FALSE)-AVERAGE('The List'!AD2:AD665))/STDEV('The List'!AD2:AD665)</f>
        <v>-1.0211064576640538</v>
      </c>
      <c r="R472" s="54">
        <f>(VLOOKUP($A472,'The List'!$B1:$AH665,30,FALSE)-AVERAGE('The List'!AE2:AE665))/STDEV('The List'!AE2:AE665)</f>
        <v>-0.60377225870698559</v>
      </c>
      <c r="S472" s="54">
        <f>(VLOOKUP($A472,'The List'!$B1:$AH665,31,FALSE)-AVERAGE('The List'!AF2:AF665))/STDEV('The List'!AF2:AF665)</f>
        <v>0.31259724227912589</v>
      </c>
      <c r="T472" s="54">
        <f>(VLOOKUP($A472,'The List'!$B1:$AH665,32,FALSE)-AVERAGE('The List'!AG2:AG665))/STDEV('The List'!AG2:AG665)</f>
        <v>0.22500932815788016</v>
      </c>
      <c r="U472" s="54">
        <f>(VLOOKUP($A472,'The List'!$B1:$AH665,33,FALSE)-AVERAGE('The List'!AH2:AH665))/STDEV('The List'!AH2:AH665)</f>
        <v>1.1515132442164331</v>
      </c>
      <c r="V472" s="54"/>
      <c r="W472" s="64"/>
      <c r="X472" s="56"/>
      <c r="Y472" s="56"/>
      <c r="Z472" s="56"/>
      <c r="AA472" s="56"/>
      <c r="AB472" s="56"/>
      <c r="AC472" s="59"/>
      <c r="AD472" s="60"/>
      <c r="AE472" s="54"/>
    </row>
    <row r="473" spans="1:31" ht="21.25" customHeight="1" x14ac:dyDescent="0.15">
      <c r="A473" s="9" t="s">
        <v>439</v>
      </c>
      <c r="B473" s="65" t="str">
        <f>VLOOKUP(A473,'Player Data'!A1:B667,2,FALSE)</f>
        <v>VAN</v>
      </c>
      <c r="C473" s="51">
        <f>((E473)*Settings!$C$12)+(F473*Settings!$C$2)+(G473*Settings!$C$3)+(H473*Settings!$C$4)+(I473*Settings!$C$5)+(K473*Settings!$C$9)+(N473*Settings!$C$6)+(J473*Settings!$C$8)+(O473*Settings!$C$7)+(P473*Settings!$C$14)+(Q473*Settings!$C$15)+(R473*Settings!$C$16)+(S473*Settings!$C$17)+(T473*Settings!$C$18)+(U473*Settings!$C$19)+(L473*Settings!$C$10)+(Settings!$C$11*M473)</f>
        <v>-1.3634521211082278</v>
      </c>
      <c r="D473" s="56">
        <f>IF(Settings!$E$12="YES",VLOOKUP(A473,'Player Data'!A1:E667,5,FALSE),82)</f>
        <v>80.592500000000001</v>
      </c>
      <c r="E473" s="54">
        <f>(VLOOKUP($A473,'The List'!$B1:$AH665,17,FALSE)-AVERAGE('The List'!R2:R665))/STDEV('The List'!R2:R665)</f>
        <v>0.70126414878789023</v>
      </c>
      <c r="F473" s="54">
        <f>(VLOOKUP($A473,'The List'!$B1:$AH665,18,FALSE)-AVERAGE('The List'!S2:S665))/STDEV('The List'!S2:S665)</f>
        <v>-1.0943925664610237</v>
      </c>
      <c r="G473" s="54">
        <f>(VLOOKUP($A473,'The List'!$B1:$AH665,19,FALSE)-AVERAGE('The List'!T2:T665))/STDEV('The List'!T2:T665)</f>
        <v>-0.41236224537595451</v>
      </c>
      <c r="H473" s="54">
        <f>(VLOOKUP($A473,'The List'!$B1:$AH665,20,FALSE)-AVERAGE('The List'!U2:U665))/STDEV('The List'!U2:U665)</f>
        <v>-0.75355358284074647</v>
      </c>
      <c r="I473" s="54">
        <f>(VLOOKUP($A473,'The List'!$B1:$AH665,21,FALSE)-AVERAGE('The List'!V2:V665))/STDEV('The List'!V2:V665)</f>
        <v>-0.63245297055903371</v>
      </c>
      <c r="J473" s="54">
        <f>(VLOOKUP($A473,'The List'!$B1:$AH665,22,FALSE)-AVERAGE('The List'!W2:W665))/STDEV('The List'!W2:W665)</f>
        <v>-0.74017502087233211</v>
      </c>
      <c r="K473" s="54">
        <f>(VLOOKUP($A473,'The List'!$B1:$AH665,23,FALSE)-AVERAGE('The List'!X2:X665))/STDEV('The List'!X2:X665)</f>
        <v>-0.80868099831364515</v>
      </c>
      <c r="L473" s="54">
        <f>(VLOOKUP($A473,'The List'!$B1:$AH665,24,FALSE)-AVERAGE('The List'!Y2:Y665))/STDEV('The List'!Y2:Y665)</f>
        <v>0.54957167006185892</v>
      </c>
      <c r="M473" s="54">
        <f>(VLOOKUP($A473,'The List'!$B1:$AH665,25,FALSE)-AVERAGE('The List'!Z2:Z665))/STDEV('The List'!Z2:Z665)</f>
        <v>0.37521566104038406</v>
      </c>
      <c r="N473" s="54">
        <f>(VLOOKUP($A473,'The List'!$B1:$AH665,26,FALSE)-AVERAGE('The List'!AA2:AA665))/STDEV('The List'!AA2:AA665)</f>
        <v>1.7505281680935905</v>
      </c>
      <c r="O473" s="54">
        <f>(VLOOKUP($A473,'The List'!$B1:$AH665,27,FALSE)-AVERAGE('The List'!AB2:AB665))/STDEV('The List'!AB2:AB665)</f>
        <v>0.4068753942954354</v>
      </c>
      <c r="P473" s="54">
        <f>(VLOOKUP($A473,'The List'!$B1:$AH665,28,FALSE)-AVERAGE('The List'!AC2:AC665))/STDEV('The List'!AC2:AC665)</f>
        <v>-0.16609150849216142</v>
      </c>
      <c r="Q473" s="54">
        <f>(VLOOKUP($A473,'The List'!$B1:$AH665,29,FALSE)-AVERAGE('The List'!AD2:AD665))/STDEV('The List'!AD2:AD665)</f>
        <v>1.9352412688746146</v>
      </c>
      <c r="R473" s="54">
        <f>(VLOOKUP($A473,'The List'!$B1:$AH665,30,FALSE)-AVERAGE('The List'!AE2:AE665))/STDEV('The List'!AE2:AE665)</f>
        <v>-1.0129485161977732</v>
      </c>
      <c r="S473" s="54">
        <f>(VLOOKUP($A473,'The List'!$B1:$AH665,31,FALSE)-AVERAGE('The List'!AF2:AF665))/STDEV('The List'!AF2:AF665)</f>
        <v>-0.57389441068000469</v>
      </c>
      <c r="T473" s="54">
        <f>(VLOOKUP($A473,'The List'!$B1:$AH665,32,FALSE)-AVERAGE('The List'!AG2:AG665))/STDEV('The List'!AG2:AG665)</f>
        <v>-0.62577078713265111</v>
      </c>
      <c r="U473" s="54">
        <f>(VLOOKUP($A473,'The List'!$B1:$AH665,33,FALSE)-AVERAGE('The List'!AH2:AH665))/STDEV('The List'!AH2:AH665)</f>
        <v>-1.2314350945148611</v>
      </c>
      <c r="V473" s="54"/>
      <c r="W473" s="64"/>
      <c r="X473" s="56"/>
      <c r="Y473" s="56"/>
      <c r="Z473" s="56"/>
      <c r="AA473" s="56"/>
      <c r="AB473" s="56"/>
      <c r="AC473" s="59"/>
      <c r="AD473" s="60"/>
      <c r="AE473" s="54"/>
    </row>
    <row r="474" spans="1:31" ht="21.25" customHeight="1" x14ac:dyDescent="0.15">
      <c r="A474" s="9" t="s">
        <v>501</v>
      </c>
      <c r="B474" s="65" t="str">
        <f>VLOOKUP(A474,'Player Data'!A1:B667,2,FALSE)</f>
        <v>FLA</v>
      </c>
      <c r="C474" s="51">
        <f>((E474)*Settings!$C$12)+(F474*Settings!$C$2)+(G474*Settings!$C$3)+(H474*Settings!$C$4)+(I474*Settings!$C$5)+(K474*Settings!$C$9)+(N474*Settings!$C$6)+(J474*Settings!$C$8)+(O474*Settings!$C$7)+(P474*Settings!$C$14)+(Q474*Settings!$C$15)+(R474*Settings!$C$16)+(S474*Settings!$C$17)+(T474*Settings!$C$18)+(U474*Settings!$C$19)+(L474*Settings!$C$10)+(Settings!$C$11*M474)</f>
        <v>-2.2926643760402774</v>
      </c>
      <c r="D474" s="56">
        <f>IF(Settings!$E$12="YES",VLOOKUP(A474,'Player Data'!A1:E667,5,FALSE),82)</f>
        <v>78.702500000000001</v>
      </c>
      <c r="E474" s="54">
        <f>(VLOOKUP($A474,'The List'!$B1:$AH665,17,FALSE)-AVERAGE('The List'!R2:R665))/STDEV('The List'!R2:R665)</f>
        <v>0.40594810262668291</v>
      </c>
      <c r="F474" s="54">
        <f>(VLOOKUP($A474,'The List'!$B1:$AH665,18,FALSE)-AVERAGE('The List'!S2:S665))/STDEV('The List'!S2:S665)</f>
        <v>-1.0360708809495358</v>
      </c>
      <c r="G474" s="54">
        <f>(VLOOKUP($A474,'The List'!$B1:$AH665,19,FALSE)-AVERAGE('The List'!T2:T665))/STDEV('The List'!T2:T665)</f>
        <v>-0.49043016355214292</v>
      </c>
      <c r="H474" s="54">
        <f>(VLOOKUP($A474,'The List'!$B1:$AH665,20,FALSE)-AVERAGE('The List'!U2:U665))/STDEV('The List'!U2:U665)</f>
        <v>-0.77552817132275265</v>
      </c>
      <c r="I474" s="54">
        <f>(VLOOKUP($A474,'The List'!$B1:$AH665,21,FALSE)-AVERAGE('The List'!V2:V665))/STDEV('The List'!V2:V665)</f>
        <v>-0.83485511927459632</v>
      </c>
      <c r="J474" s="54">
        <f>(VLOOKUP($A474,'The List'!$B1:$AH665,22,FALSE)-AVERAGE('The List'!W2:W665))/STDEV('The List'!W2:W665)</f>
        <v>-0.74111905383186616</v>
      </c>
      <c r="K474" s="54">
        <f>(VLOOKUP($A474,'The List'!$B1:$AH665,23,FALSE)-AVERAGE('The List'!X2:X665))/STDEV('The List'!X2:X665)</f>
        <v>-0.81627605543014858</v>
      </c>
      <c r="L474" s="54">
        <f>(VLOOKUP($A474,'The List'!$B1:$AH665,24,FALSE)-AVERAGE('The List'!Y2:Y665))/STDEV('The List'!Y2:Y665)</f>
        <v>-0.54336714425422794</v>
      </c>
      <c r="M474" s="54">
        <f>(VLOOKUP($A474,'The List'!$B1:$AH665,25,FALSE)-AVERAGE('The List'!Z2:Z665))/STDEV('The List'!Z2:Z665)</f>
        <v>-0.25291040194281245</v>
      </c>
      <c r="N474" s="54">
        <f>(VLOOKUP($A474,'The List'!$B1:$AH665,26,FALSE)-AVERAGE('The List'!AA2:AA665))/STDEV('The List'!AA2:AA665)</f>
        <v>0.962819884547227</v>
      </c>
      <c r="O474" s="54">
        <f>(VLOOKUP($A474,'The List'!$B1:$AH665,27,FALSE)-AVERAGE('The List'!AB2:AB665))/STDEV('The List'!AB2:AB665)</f>
        <v>0.96162870784197274</v>
      </c>
      <c r="P474" s="54">
        <f>(VLOOKUP($A474,'The List'!$B1:$AH665,28,FALSE)-AVERAGE('The List'!AC2:AC665))/STDEV('The List'!AC2:AC665)</f>
        <v>-7.785204138108065E-2</v>
      </c>
      <c r="Q474" s="54">
        <f>(VLOOKUP($A474,'The List'!$B1:$AH665,29,FALSE)-AVERAGE('The List'!AD2:AD665))/STDEV('The List'!AD2:AD665)</f>
        <v>0.60856007575227322</v>
      </c>
      <c r="R474" s="54">
        <f>(VLOOKUP($A474,'The List'!$B1:$AH665,30,FALSE)-AVERAGE('The List'!AE2:AE665))/STDEV('The List'!AE2:AE665)</f>
        <v>-0.94980676559741184</v>
      </c>
      <c r="S474" s="54">
        <f>(VLOOKUP($A474,'The List'!$B1:$AH665,31,FALSE)-AVERAGE('The List'!AF2:AF665))/STDEV('The List'!AF2:AF665)</f>
        <v>-0.57389441068000469</v>
      </c>
      <c r="T474" s="54">
        <f>(VLOOKUP($A474,'The List'!$B1:$AH665,32,FALSE)-AVERAGE('The List'!AG2:AG665))/STDEV('The List'!AG2:AG665)</f>
        <v>-0.62577078713265111</v>
      </c>
      <c r="U474" s="54">
        <f>(VLOOKUP($A474,'The List'!$B1:$AH665,33,FALSE)-AVERAGE('The List'!AH2:AH665))/STDEV('The List'!AH2:AH665)</f>
        <v>-1.2314350945148611</v>
      </c>
      <c r="V474" s="54"/>
      <c r="W474" s="64"/>
      <c r="X474" s="56"/>
      <c r="Y474" s="56"/>
      <c r="Z474" s="56"/>
      <c r="AA474" s="56"/>
      <c r="AB474" s="56"/>
      <c r="AC474" s="59"/>
      <c r="AD474" s="60"/>
      <c r="AE474" s="54"/>
    </row>
    <row r="475" spans="1:31" ht="21.25" customHeight="1" x14ac:dyDescent="0.15">
      <c r="A475" s="9" t="s">
        <v>461</v>
      </c>
      <c r="B475" s="65" t="str">
        <f>VLOOKUP(A475,'Player Data'!A1:B667,2,FALSE)</f>
        <v>L.A</v>
      </c>
      <c r="C475" s="51">
        <f>((E475)*Settings!$C$12)+(F475*Settings!$C$2)+(G475*Settings!$C$3)+(H475*Settings!$C$4)+(I475*Settings!$C$5)+(K475*Settings!$C$9)+(N475*Settings!$C$6)+(J475*Settings!$C$8)+(O475*Settings!$C$7)+(P475*Settings!$C$14)+(Q475*Settings!$C$15)+(R475*Settings!$C$16)+(S475*Settings!$C$17)+(T475*Settings!$C$18)+(U475*Settings!$C$19)+(L475*Settings!$C$10)+(Settings!$C$11*M475)</f>
        <v>-0.91081087981643871</v>
      </c>
      <c r="D475" s="56">
        <f>IF(Settings!$E$12="YES",VLOOKUP(A475,'Player Data'!A1:E667,5,FALSE),82)</f>
        <v>77.422499999999999</v>
      </c>
      <c r="E475" s="54">
        <f>(VLOOKUP($A475,'The List'!$B1:$AH665,17,FALSE)-AVERAGE('The List'!R2:R665))/STDEV('The List'!R2:R665)</f>
        <v>1.0039319054664313</v>
      </c>
      <c r="F475" s="54">
        <f>(VLOOKUP($A475,'The List'!$B1:$AH665,18,FALSE)-AVERAGE('The List'!S2:S665))/STDEV('The List'!S2:S665)</f>
        <v>-1.0017793054606403</v>
      </c>
      <c r="G475" s="54">
        <f>(VLOOKUP($A475,'The List'!$B1:$AH665,19,FALSE)-AVERAGE('The List'!T2:T665))/STDEV('The List'!T2:T665)</f>
        <v>-0.54380001014036405</v>
      </c>
      <c r="H475" s="54">
        <f>(VLOOKUP($A475,'The List'!$B1:$AH665,20,FALSE)-AVERAGE('The List'!U2:U665))/STDEV('The List'!U2:U665)</f>
        <v>-0.79308669587073088</v>
      </c>
      <c r="I475" s="54">
        <f>(VLOOKUP($A475,'The List'!$B1:$AH665,21,FALSE)-AVERAGE('The List'!V2:V665))/STDEV('The List'!V2:V665)</f>
        <v>-0.68089131722943386</v>
      </c>
      <c r="J475" s="54">
        <f>(VLOOKUP($A475,'The List'!$B1:$AH665,22,FALSE)-AVERAGE('The List'!W2:W665))/STDEV('The List'!W2:W665)</f>
        <v>-0.73752133218482618</v>
      </c>
      <c r="K475" s="54">
        <f>(VLOOKUP($A475,'The List'!$B1:$AH665,23,FALSE)-AVERAGE('The List'!X2:X665))/STDEV('The List'!X2:X665)</f>
        <v>-0.82047151556129139</v>
      </c>
      <c r="L475" s="54">
        <f>(VLOOKUP($A475,'The List'!$B1:$AH665,24,FALSE)-AVERAGE('The List'!Y2:Y665))/STDEV('The List'!Y2:Y665)</f>
        <v>-0.52701700795629514</v>
      </c>
      <c r="M475" s="54">
        <f>(VLOOKUP($A475,'The List'!$B1:$AH665,25,FALSE)-AVERAGE('The List'!Z2:Z665))/STDEV('The List'!Z2:Z665)</f>
        <v>-0.32044743926931513</v>
      </c>
      <c r="N475" s="54">
        <f>(VLOOKUP($A475,'The List'!$B1:$AH665,26,FALSE)-AVERAGE('The List'!AA2:AA665))/STDEV('The List'!AA2:AA665)</f>
        <v>1.5149501963060366</v>
      </c>
      <c r="O475" s="54">
        <f>(VLOOKUP($A475,'The List'!$B1:$AH665,27,FALSE)-AVERAGE('The List'!AB2:AB665))/STDEV('The List'!AB2:AB665)</f>
        <v>0.89398325266611534</v>
      </c>
      <c r="P475" s="54">
        <f>(VLOOKUP($A475,'The List'!$B1:$AH665,28,FALSE)-AVERAGE('The List'!AC2:AC665))/STDEV('The List'!AC2:AC665)</f>
        <v>0.62118107226925434</v>
      </c>
      <c r="Q475" s="54">
        <f>(VLOOKUP($A475,'The List'!$B1:$AH665,29,FALSE)-AVERAGE('The List'!AD2:AD665))/STDEV('The List'!AD2:AD665)</f>
        <v>-0.61728490997101459</v>
      </c>
      <c r="R475" s="54">
        <f>(VLOOKUP($A475,'The List'!$B1:$AH665,30,FALSE)-AVERAGE('The List'!AE2:AE665))/STDEV('The List'!AE2:AE665)</f>
        <v>-0.89559803591866738</v>
      </c>
      <c r="S475" s="54">
        <f>(VLOOKUP($A475,'The List'!$B1:$AH665,31,FALSE)-AVERAGE('The List'!AF2:AF665))/STDEV('The List'!AF2:AF665)</f>
        <v>-0.57389441068000469</v>
      </c>
      <c r="T475" s="54">
        <f>(VLOOKUP($A475,'The List'!$B1:$AH665,32,FALSE)-AVERAGE('The List'!AG2:AG665))/STDEV('The List'!AG2:AG665)</f>
        <v>-0.62577078713265111</v>
      </c>
      <c r="U475" s="54">
        <f>(VLOOKUP($A475,'The List'!$B1:$AH665,33,FALSE)-AVERAGE('The List'!AH2:AH665))/STDEV('The List'!AH2:AH665)</f>
        <v>-1.2314350945148611</v>
      </c>
      <c r="V475" s="54"/>
      <c r="W475" s="56"/>
      <c r="X475" s="54"/>
      <c r="Y475" s="54"/>
      <c r="Z475" s="54"/>
      <c r="AA475" s="54"/>
      <c r="AB475" s="54"/>
      <c r="AC475" s="54"/>
      <c r="AD475" s="54"/>
      <c r="AE475" s="54"/>
    </row>
    <row r="476" spans="1:31" ht="21.25" customHeight="1" x14ac:dyDescent="0.15">
      <c r="A476" s="9" t="s">
        <v>499</v>
      </c>
      <c r="B476" s="65" t="str">
        <f>VLOOKUP(A476,'Player Data'!A1:B667,2,FALSE)</f>
        <v>VAN</v>
      </c>
      <c r="C476" s="51">
        <f>((E476)*Settings!$C$12)+(F476*Settings!$C$2)+(G476*Settings!$C$3)+(H476*Settings!$C$4)+(I476*Settings!$C$5)+(K476*Settings!$C$9)+(N476*Settings!$C$6)+(J476*Settings!$C$8)+(O476*Settings!$C$7)+(P476*Settings!$C$14)+(Q476*Settings!$C$15)+(R476*Settings!$C$16)+(S476*Settings!$C$17)+(T476*Settings!$C$18)+(U476*Settings!$C$19)+(L476*Settings!$C$10)+(Settings!$C$11*M476)</f>
        <v>-1.0411136627937272</v>
      </c>
      <c r="D476" s="56">
        <f>IF(Settings!$E$12="YES",VLOOKUP(A476,'Player Data'!A1:E667,5,FALSE),82)</f>
        <v>72.224999999999994</v>
      </c>
      <c r="E476" s="54">
        <f>(VLOOKUP($A476,'The List'!$B1:$AH665,17,FALSE)-AVERAGE('The List'!R2:R665))/STDEV('The List'!R2:R665)</f>
        <v>0.68219558770269639</v>
      </c>
      <c r="F476" s="54">
        <f>(VLOOKUP($A476,'The List'!$B1:$AH665,18,FALSE)-AVERAGE('The List'!S2:S665))/STDEV('The List'!S2:S665)</f>
        <v>-0.80746998152900229</v>
      </c>
      <c r="G476" s="54">
        <f>(VLOOKUP($A476,'The List'!$B1:$AH665,19,FALSE)-AVERAGE('The List'!T2:T665))/STDEV('The List'!T2:T665)</f>
        <v>-0.78018792394421832</v>
      </c>
      <c r="H476" s="54">
        <f>(VLOOKUP($A476,'The List'!$B1:$AH665,20,FALSE)-AVERAGE('The List'!U2:U665))/STDEV('The List'!U2:U665)</f>
        <v>-0.8515740579990061</v>
      </c>
      <c r="I476" s="54">
        <f>(VLOOKUP($A476,'The List'!$B1:$AH665,21,FALSE)-AVERAGE('The List'!V2:V665))/STDEV('The List'!V2:V665)</f>
        <v>-0.81910403818148658</v>
      </c>
      <c r="J476" s="54">
        <f>(VLOOKUP($A476,'The List'!$B1:$AH665,22,FALSE)-AVERAGE('The List'!W2:W665))/STDEV('The List'!W2:W665)</f>
        <v>-0.6812321187168755</v>
      </c>
      <c r="K476" s="54">
        <f>(VLOOKUP($A476,'The List'!$B1:$AH665,23,FALSE)-AVERAGE('The List'!X2:X665))/STDEV('The List'!X2:X665)</f>
        <v>-0.7338001671960025</v>
      </c>
      <c r="L476" s="54">
        <f>(VLOOKUP($A476,'The List'!$B1:$AH665,24,FALSE)-AVERAGE('The List'!Y2:Y665))/STDEV('The List'!Y2:Y665)</f>
        <v>-0.20959281466588314</v>
      </c>
      <c r="M476" s="54">
        <f>(VLOOKUP($A476,'The List'!$B1:$AH665,25,FALSE)-AVERAGE('The List'!Z2:Z665))/STDEV('The List'!Z2:Z665)</f>
        <v>-0.2075557529137019</v>
      </c>
      <c r="N476" s="54">
        <f>(VLOOKUP($A476,'The List'!$B1:$AH665,26,FALSE)-AVERAGE('The List'!AA2:AA665))/STDEV('The List'!AA2:AA665)</f>
        <v>1.1800436053414449</v>
      </c>
      <c r="O476" s="54">
        <f>(VLOOKUP($A476,'The List'!$B1:$AH665,27,FALSE)-AVERAGE('The List'!AB2:AB665))/STDEV('The List'!AB2:AB665)</f>
        <v>0.74543728990807256</v>
      </c>
      <c r="P476" s="54">
        <f>(VLOOKUP($A476,'The List'!$B1:$AH665,28,FALSE)-AVERAGE('The List'!AC2:AC665))/STDEV('The List'!AC2:AC665)</f>
        <v>0.91940484271553735</v>
      </c>
      <c r="Q476" s="54">
        <f>(VLOOKUP($A476,'The List'!$B1:$AH665,29,FALSE)-AVERAGE('The List'!AD2:AD665))/STDEV('The List'!AD2:AD665)</f>
        <v>0.9300848621919009</v>
      </c>
      <c r="R476" s="54">
        <f>(VLOOKUP($A476,'The List'!$B1:$AH665,30,FALSE)-AVERAGE('The List'!AE2:AE665))/STDEV('The List'!AE2:AE665)</f>
        <v>-0.69843970070718864</v>
      </c>
      <c r="S476" s="54">
        <f>(VLOOKUP($A476,'The List'!$B1:$AH665,31,FALSE)-AVERAGE('The List'!AF2:AF665))/STDEV('The List'!AF2:AF665)</f>
        <v>-0.57389441068000469</v>
      </c>
      <c r="T476" s="54">
        <f>(VLOOKUP($A476,'The List'!$B1:$AH665,32,FALSE)-AVERAGE('The List'!AG2:AG665))/STDEV('The List'!AG2:AG665)</f>
        <v>-0.62577078713265111</v>
      </c>
      <c r="U476" s="54">
        <f>(VLOOKUP($A476,'The List'!$B1:$AH665,33,FALSE)-AVERAGE('The List'!AH2:AH665))/STDEV('The List'!AH2:AH665)</f>
        <v>-1.2314350945148611</v>
      </c>
      <c r="V476" s="54"/>
      <c r="W476" s="64"/>
      <c r="X476" s="56"/>
      <c r="Y476" s="56"/>
      <c r="Z476" s="56"/>
      <c r="AA476" s="56"/>
      <c r="AB476" s="56"/>
      <c r="AC476" s="59"/>
      <c r="AD476" s="60"/>
      <c r="AE476" s="54"/>
    </row>
    <row r="477" spans="1:31" ht="21.25" customHeight="1" x14ac:dyDescent="0.15">
      <c r="A477" s="9" t="s">
        <v>641</v>
      </c>
      <c r="B477" s="65" t="str">
        <f>VLOOKUP(A477,'Player Data'!A1:B667,2,FALSE)</f>
        <v>VGK</v>
      </c>
      <c r="C477" s="51">
        <f>((E477)*Settings!$C$12)+(F477*Settings!$C$2)+(G477*Settings!$C$3)+(H477*Settings!$C$4)+(I477*Settings!$C$5)+(K477*Settings!$C$9)+(N477*Settings!$C$6)+(J477*Settings!$C$8)+(O477*Settings!$C$7)+(P477*Settings!$C$14)+(Q477*Settings!$C$15)+(R477*Settings!$C$16)+(S477*Settings!$C$17)+(T477*Settings!$C$18)+(U477*Settings!$C$19)+(L477*Settings!$C$10)+(Settings!$C$11*M477)</f>
        <v>-3.4433427306093165</v>
      </c>
      <c r="D477" s="56">
        <f>IF(Settings!$E$12="YES",VLOOKUP(A477,'Player Data'!A1:E667,5,FALSE),82)</f>
        <v>58.79</v>
      </c>
      <c r="E477" s="54">
        <f>(VLOOKUP($A477,'The List'!$B1:$AH665,17,FALSE)-AVERAGE('The List'!R2:R665))/STDEV('The List'!R2:R665)</f>
        <v>-0.47573967526477751</v>
      </c>
      <c r="F477" s="54">
        <f>(VLOOKUP($A477,'The List'!$B1:$AH665,18,FALSE)-AVERAGE('The List'!S2:S665))/STDEV('The List'!S2:S665)</f>
        <v>-1.1133146564746799</v>
      </c>
      <c r="G477" s="54">
        <f>(VLOOKUP($A477,'The List'!$B1:$AH665,19,FALSE)-AVERAGE('The List'!T2:T665))/STDEV('The List'!T2:T665)</f>
        <v>-0.79651138609980021</v>
      </c>
      <c r="H477" s="54">
        <f>(VLOOKUP($A477,'The List'!$B1:$AH665,20,FALSE)-AVERAGE('The List'!U2:U665))/STDEV('The List'!U2:U665)</f>
        <v>-1.0007327885622892</v>
      </c>
      <c r="I477" s="54">
        <f>(VLOOKUP($A477,'The List'!$B1:$AH665,21,FALSE)-AVERAGE('The List'!V2:V665))/STDEV('The List'!V2:V665)</f>
        <v>-1.1474588872327725</v>
      </c>
      <c r="J477" s="54">
        <f>(VLOOKUP($A477,'The List'!$B1:$AH665,22,FALSE)-AVERAGE('The List'!W2:W665))/STDEV('The List'!W2:W665)</f>
        <v>-0.73563208176205486</v>
      </c>
      <c r="K477" s="54">
        <f>(VLOOKUP($A477,'The List'!$B1:$AH665,23,FALSE)-AVERAGE('The List'!X2:X665))/STDEV('The List'!X2:X665)</f>
        <v>-0.7931842859378484</v>
      </c>
      <c r="L477" s="54">
        <f>(VLOOKUP($A477,'The List'!$B1:$AH665,24,FALSE)-AVERAGE('The List'!Y2:Y665))/STDEV('The List'!Y2:Y665)</f>
        <v>-0.55839369871842315</v>
      </c>
      <c r="M477" s="54">
        <f>(VLOOKUP($A477,'The List'!$B1:$AH665,25,FALSE)-AVERAGE('The List'!Z2:Z665))/STDEV('The List'!Z2:Z665)</f>
        <v>-0.69045130472976568</v>
      </c>
      <c r="N477" s="54">
        <f>(VLOOKUP($A477,'The List'!$B1:$AH665,26,FALSE)-AVERAGE('The List'!AA2:AA665))/STDEV('The List'!AA2:AA665)</f>
        <v>5.7363880012714086E-3</v>
      </c>
      <c r="O477" s="54">
        <f>(VLOOKUP($A477,'The List'!$B1:$AH665,27,FALSE)-AVERAGE('The List'!AB2:AB665))/STDEV('The List'!AB2:AB665)</f>
        <v>-0.14728671336246105</v>
      </c>
      <c r="P477" s="54">
        <f>(VLOOKUP($A477,'The List'!$B1:$AH665,28,FALSE)-AVERAGE('The List'!AC2:AC665))/STDEV('The List'!AC2:AC665)</f>
        <v>0.40139009713451346</v>
      </c>
      <c r="Q477" s="54">
        <f>(VLOOKUP($A477,'The List'!$B1:$AH665,29,FALSE)-AVERAGE('The List'!AD2:AD665))/STDEV('The List'!AD2:AD665)</f>
        <v>-1.0659517751165792</v>
      </c>
      <c r="R477" s="54">
        <f>(VLOOKUP($A477,'The List'!$B1:$AH665,30,FALSE)-AVERAGE('The List'!AE2:AE665))/STDEV('The List'!AE2:AE665)</f>
        <v>-1.0600726979105961</v>
      </c>
      <c r="S477" s="54">
        <f>(VLOOKUP($A477,'The List'!$B1:$AH665,31,FALSE)-AVERAGE('The List'!AF2:AF665))/STDEV('The List'!AF2:AF665)</f>
        <v>-0.57389441068000469</v>
      </c>
      <c r="T477" s="54">
        <f>(VLOOKUP($A477,'The List'!$B1:$AH665,32,FALSE)-AVERAGE('The List'!AG2:AG665))/STDEV('The List'!AG2:AG665)</f>
        <v>-0.62577078713265111</v>
      </c>
      <c r="U477" s="54">
        <f>(VLOOKUP($A477,'The List'!$B1:$AH665,33,FALSE)-AVERAGE('The List'!AH2:AH665))/STDEV('The List'!AH2:AH665)</f>
        <v>-1.2314350945148611</v>
      </c>
      <c r="V477" s="54"/>
      <c r="W477" s="64"/>
      <c r="X477" s="56"/>
      <c r="Y477" s="56"/>
      <c r="Z477" s="56"/>
      <c r="AA477" s="56"/>
      <c r="AB477" s="56"/>
      <c r="AC477" s="59"/>
      <c r="AD477" s="60"/>
      <c r="AE477" s="54"/>
    </row>
    <row r="478" spans="1:31" ht="21.25" customHeight="1" x14ac:dyDescent="0.15">
      <c r="A478" s="9" t="s">
        <v>749</v>
      </c>
      <c r="B478" s="65" t="str">
        <f>VLOOKUP(A478,'Player Data'!A1:B667,2,FALSE)</f>
        <v>MTL</v>
      </c>
      <c r="C478" s="51">
        <f>((E478)*Settings!$C$12)+(F478*Settings!$C$2)+(G478*Settings!$C$3)+(H478*Settings!$C$4)+(I478*Settings!$C$5)+(K478*Settings!$C$9)+(N478*Settings!$C$6)+(J478*Settings!$C$8)+(O478*Settings!$C$7)+(P478*Settings!$C$14)+(Q478*Settings!$C$15)+(R478*Settings!$C$16)+(S478*Settings!$C$17)+(T478*Settings!$C$18)+(U478*Settings!$C$19)+(L478*Settings!$C$10)+(Settings!$C$11*M478)</f>
        <v>-5.0633232430269794</v>
      </c>
      <c r="D478" s="56">
        <f>IF(Settings!$E$12="YES",VLOOKUP(A478,'Player Data'!A1:E667,5,FALSE),82)</f>
        <v>72.59</v>
      </c>
      <c r="E478" s="54">
        <f>(VLOOKUP($A478,'The List'!$B1:$AH665,17,FALSE)-AVERAGE('The List'!R2:R665))/STDEV('The List'!R2:R665)</f>
        <v>-1.9072553724486143</v>
      </c>
      <c r="F478" s="54">
        <f>(VLOOKUP($A478,'The List'!$B1:$AH665,18,FALSE)-AVERAGE('The List'!S2:S665))/STDEV('The List'!S2:S665)</f>
        <v>-0.66822856112018114</v>
      </c>
      <c r="G478" s="54">
        <f>(VLOOKUP($A478,'The List'!$B1:$AH665,19,FALSE)-AVERAGE('The List'!T2:T665))/STDEV('The List'!T2:T665)</f>
        <v>-0.89268807170352982</v>
      </c>
      <c r="H478" s="54">
        <f>(VLOOKUP($A478,'The List'!$B1:$AH665,20,FALSE)-AVERAGE('The List'!U2:U665))/STDEV('The List'!U2:U665)</f>
        <v>-0.85815113117687247</v>
      </c>
      <c r="I478" s="54">
        <f>(VLOOKUP($A478,'The List'!$B1:$AH665,21,FALSE)-AVERAGE('The List'!V2:V665))/STDEV('The List'!V2:V665)</f>
        <v>-0.9942853133863998</v>
      </c>
      <c r="J478" s="54">
        <f>(VLOOKUP($A478,'The List'!$B1:$AH665,22,FALSE)-AVERAGE('The List'!W2:W665))/STDEV('The List'!W2:W665)</f>
        <v>-0.73649656853289525</v>
      </c>
      <c r="K478" s="54">
        <f>(VLOOKUP($A478,'The List'!$B1:$AH665,23,FALSE)-AVERAGE('The List'!X2:X665))/STDEV('The List'!X2:X665)</f>
        <v>-0.81931010371068158</v>
      </c>
      <c r="L478" s="54">
        <f>(VLOOKUP($A478,'The List'!$B1:$AH665,24,FALSE)-AVERAGE('The List'!Y2:Y665))/STDEV('The List'!Y2:Y665)</f>
        <v>-0.5105154744309367</v>
      </c>
      <c r="M478" s="54">
        <f>(VLOOKUP($A478,'The List'!$B1:$AH665,25,FALSE)-AVERAGE('The List'!Z2:Z665))/STDEV('The List'!Z2:Z665)</f>
        <v>-0.68239092018899727</v>
      </c>
      <c r="N478" s="54">
        <f>(VLOOKUP($A478,'The List'!$B1:$AH665,26,FALSE)-AVERAGE('The List'!AA2:AA665))/STDEV('The List'!AA2:AA665)</f>
        <v>-0.66750337354490574</v>
      </c>
      <c r="O478" s="54">
        <f>(VLOOKUP($A478,'The List'!$B1:$AH665,27,FALSE)-AVERAGE('The List'!AB2:AB665))/STDEV('The List'!AB2:AB665)</f>
        <v>4.1477975342910964</v>
      </c>
      <c r="P478" s="54">
        <f>(VLOOKUP($A478,'The List'!$B1:$AH665,28,FALSE)-AVERAGE('The List'!AC2:AC665))/STDEV('The List'!AC2:AC665)</f>
        <v>-1.021307819561281</v>
      </c>
      <c r="Q478" s="54">
        <f>(VLOOKUP($A478,'The List'!$B1:$AH665,29,FALSE)-AVERAGE('The List'!AD2:AD665))/STDEV('The List'!AD2:AD665)</f>
        <v>2.4639996356960747</v>
      </c>
      <c r="R478" s="54">
        <f>(VLOOKUP($A478,'The List'!$B1:$AH665,30,FALSE)-AVERAGE('The List'!AE2:AE665))/STDEV('The List'!AE2:AE665)</f>
        <v>-0.78010504738596087</v>
      </c>
      <c r="S478" s="54">
        <f>(VLOOKUP($A478,'The List'!$B1:$AH665,31,FALSE)-AVERAGE('The List'!AF2:AF665))/STDEV('The List'!AF2:AF665)</f>
        <v>-0.52801618194614031</v>
      </c>
      <c r="T478" s="54">
        <f>(VLOOKUP($A478,'The List'!$B1:$AH665,32,FALSE)-AVERAGE('The List'!AG2:AG665))/STDEV('The List'!AG2:AG665)</f>
        <v>-0.56363618393854709</v>
      </c>
      <c r="U478" s="54">
        <f>(VLOOKUP($A478,'The List'!$B1:$AH665,33,FALSE)-AVERAGE('The List'!AH2:AH665))/STDEV('The List'!AH2:AH665)</f>
        <v>0.7626092946229649</v>
      </c>
      <c r="V478" s="54"/>
      <c r="W478" s="64"/>
      <c r="X478" s="56"/>
      <c r="Y478" s="56"/>
      <c r="Z478" s="56"/>
      <c r="AA478" s="56"/>
      <c r="AB478" s="56"/>
      <c r="AC478" s="59"/>
      <c r="AD478" s="60"/>
      <c r="AE478" s="54"/>
    </row>
    <row r="479" spans="1:31" ht="21.25" customHeight="1" x14ac:dyDescent="0.15">
      <c r="A479" s="9" t="s">
        <v>740</v>
      </c>
      <c r="B479" s="65" t="str">
        <f>VLOOKUP(A479,'Player Data'!A1:B667,2,FALSE)</f>
        <v>S.J</v>
      </c>
      <c r="C479" s="51">
        <f>((E479)*Settings!$C$12)+(F479*Settings!$C$2)+(G479*Settings!$C$3)+(H479*Settings!$C$4)+(I479*Settings!$C$5)+(K479*Settings!$C$9)+(N479*Settings!$C$6)+(J479*Settings!$C$8)+(O479*Settings!$C$7)+(P479*Settings!$C$14)+(Q479*Settings!$C$15)+(R479*Settings!$C$16)+(S479*Settings!$C$17)+(T479*Settings!$C$18)+(U479*Settings!$C$19)+(L479*Settings!$C$10)+(Settings!$C$11*M479)</f>
        <v>-5.9128666472603637</v>
      </c>
      <c r="D479" s="56">
        <f>IF(Settings!$E$12="YES",VLOOKUP(A479,'Player Data'!A1:E667,5,FALSE),82)</f>
        <v>74.13</v>
      </c>
      <c r="E479" s="54">
        <f>(VLOOKUP($A479,'The List'!$B1:$AH665,17,FALSE)-AVERAGE('The List'!R2:R665))/STDEV('The List'!R2:R665)</f>
        <v>-1.1337011683483718</v>
      </c>
      <c r="F479" s="54">
        <f>(VLOOKUP($A479,'The List'!$B1:$AH665,18,FALSE)-AVERAGE('The List'!S2:S665))/STDEV('The List'!S2:S665)</f>
        <v>-0.40536581305347213</v>
      </c>
      <c r="G479" s="54">
        <f>(VLOOKUP($A479,'The List'!$B1:$AH665,19,FALSE)-AVERAGE('The List'!T2:T665))/STDEV('The List'!T2:T665)</f>
        <v>-1.0582734498091593</v>
      </c>
      <c r="H479" s="54">
        <f>(VLOOKUP($A479,'The List'!$B1:$AH665,20,FALSE)-AVERAGE('The List'!U2:U665))/STDEV('The List'!U2:U665)</f>
        <v>-0.84150534766829133</v>
      </c>
      <c r="I479" s="54">
        <f>(VLOOKUP($A479,'The List'!$B1:$AH665,21,FALSE)-AVERAGE('The List'!V2:V665))/STDEV('The List'!V2:V665)</f>
        <v>-0.7567025465610987</v>
      </c>
      <c r="J479" s="54">
        <f>(VLOOKUP($A479,'The List'!$B1:$AH665,22,FALSE)-AVERAGE('The List'!W2:W665))/STDEV('The List'!W2:W665)</f>
        <v>-0.45582663119185274</v>
      </c>
      <c r="K479" s="54">
        <f>(VLOOKUP($A479,'The List'!$B1:$AH665,23,FALSE)-AVERAGE('The List'!X2:X665))/STDEV('The List'!X2:X665)</f>
        <v>-0.55531852363285994</v>
      </c>
      <c r="L479" s="54">
        <f>(VLOOKUP($A479,'The List'!$B1:$AH665,24,FALSE)-AVERAGE('The List'!Y2:Y665))/STDEV('The List'!Y2:Y665)</f>
        <v>-0.47893538738991059</v>
      </c>
      <c r="M479" s="54">
        <f>(VLOOKUP($A479,'The List'!$B1:$AH665,25,FALSE)-AVERAGE('The List'!Z2:Z665))/STDEV('The List'!Z2:Z665)</f>
        <v>-0.64974782873916137</v>
      </c>
      <c r="N479" s="54">
        <f>(VLOOKUP($A479,'The List'!$B1:$AH665,26,FALSE)-AVERAGE('The List'!AA2:AA665))/STDEV('The List'!AA2:AA665)</f>
        <v>-0.52025644525179693</v>
      </c>
      <c r="O479" s="54">
        <f>(VLOOKUP($A479,'The List'!$B1:$AH665,27,FALSE)-AVERAGE('The List'!AB2:AB665))/STDEV('The List'!AB2:AB665)</f>
        <v>0.78410867725534772</v>
      </c>
      <c r="P479" s="54">
        <f>(VLOOKUP($A479,'The List'!$B1:$AH665,28,FALSE)-AVERAGE('The List'!AC2:AC665))/STDEV('The List'!AC2:AC665)</f>
        <v>-2.6169498689519766</v>
      </c>
      <c r="Q479" s="54">
        <f>(VLOOKUP($A479,'The List'!$B1:$AH665,29,FALSE)-AVERAGE('The List'!AD2:AD665))/STDEV('The List'!AD2:AD665)</f>
        <v>1.9244187264437669</v>
      </c>
      <c r="R479" s="54">
        <f>(VLOOKUP($A479,'The List'!$B1:$AH665,30,FALSE)-AVERAGE('The List'!AE2:AE665))/STDEV('The List'!AE2:AE665)</f>
        <v>-0.63870856701076284</v>
      </c>
      <c r="S479" s="54">
        <f>(VLOOKUP($A479,'The List'!$B1:$AH665,31,FALSE)-AVERAGE('The List'!AF2:AF665))/STDEV('The List'!AF2:AF665)</f>
        <v>8.6614068435180089E-2</v>
      </c>
      <c r="T479" s="54">
        <f>(VLOOKUP($A479,'The List'!$B1:$AH665,32,FALSE)-AVERAGE('The List'!AG2:AG665))/STDEV('The List'!AG2:AG665)</f>
        <v>0.25548602551201849</v>
      </c>
      <c r="U479" s="54">
        <f>(VLOOKUP($A479,'The List'!$B1:$AH665,33,FALSE)-AVERAGE('The List'!AH2:AH665))/STDEV('The List'!AH2:AH665)</f>
        <v>0.77934744319307314</v>
      </c>
      <c r="V479" s="54"/>
      <c r="W479" s="64"/>
      <c r="X479" s="56"/>
      <c r="Y479" s="56"/>
      <c r="Z479" s="56"/>
      <c r="AA479" s="56"/>
      <c r="AB479" s="56"/>
      <c r="AC479" s="59"/>
      <c r="AD479" s="60"/>
      <c r="AE479" s="54"/>
    </row>
    <row r="480" spans="1:31" ht="21.25" customHeight="1" x14ac:dyDescent="0.15">
      <c r="A480" s="9" t="s">
        <v>678</v>
      </c>
      <c r="B480" s="65" t="str">
        <f>VLOOKUP(A480,'Player Data'!A1:B667,2,FALSE)</f>
        <v>BUF</v>
      </c>
      <c r="C480" s="51">
        <f>((E480)*Settings!$C$12)+(F480*Settings!$C$2)+(G480*Settings!$C$3)+(H480*Settings!$C$4)+(I480*Settings!$C$5)+(K480*Settings!$C$9)+(N480*Settings!$C$6)+(J480*Settings!$C$8)+(O480*Settings!$C$7)+(P480*Settings!$C$14)+(Q480*Settings!$C$15)+(R480*Settings!$C$16)+(S480*Settings!$C$17)+(T480*Settings!$C$18)+(U480*Settings!$C$19)+(L480*Settings!$C$10)+(Settings!$C$11*M480)</f>
        <v>-3.5451756758601638</v>
      </c>
      <c r="D480" s="56">
        <f>IF(Settings!$E$12="YES",VLOOKUP(A480,'Player Data'!A1:E667,5,FALSE),82)</f>
        <v>77.952500000000001</v>
      </c>
      <c r="E480" s="54">
        <f>(VLOOKUP($A480,'The List'!$B1:$AH665,17,FALSE)-AVERAGE('The List'!R2:R665))/STDEV('The List'!R2:R665)</f>
        <v>-0.93974530733177231</v>
      </c>
      <c r="F480" s="54">
        <f>(VLOOKUP($A480,'The List'!$B1:$AH665,18,FALSE)-AVERAGE('The List'!S2:S665))/STDEV('The List'!S2:S665)</f>
        <v>-0.70763202001124781</v>
      </c>
      <c r="G480" s="54">
        <f>(VLOOKUP($A480,'The List'!$B1:$AH665,19,FALSE)-AVERAGE('The List'!T2:T665))/STDEV('The List'!T2:T665)</f>
        <v>-0.77334720592387529</v>
      </c>
      <c r="H480" s="54">
        <f>(VLOOKUP($A480,'The List'!$B1:$AH665,20,FALSE)-AVERAGE('The List'!U2:U665))/STDEV('The List'!U2:U665)</f>
        <v>-0.80194448827863363</v>
      </c>
      <c r="I480" s="54">
        <f>(VLOOKUP($A480,'The List'!$B1:$AH665,21,FALSE)-AVERAGE('The List'!V2:V665))/STDEV('The List'!V2:V665)</f>
        <v>-0.72457335141232582</v>
      </c>
      <c r="J480" s="54">
        <f>(VLOOKUP($A480,'The List'!$B1:$AH665,22,FALSE)-AVERAGE('The List'!W2:W665))/STDEV('The List'!W2:W665)</f>
        <v>-0.73576956168408003</v>
      </c>
      <c r="K480" s="54">
        <f>(VLOOKUP($A480,'The List'!$B1:$AH665,23,FALSE)-AVERAGE('The List'!X2:X665))/STDEV('The List'!X2:X665)</f>
        <v>-0.82028602875859324</v>
      </c>
      <c r="L480" s="54">
        <f>(VLOOKUP($A480,'The List'!$B1:$AH665,24,FALSE)-AVERAGE('The List'!Y2:Y665))/STDEV('The List'!Y2:Y665)</f>
        <v>-0.36176688676975827</v>
      </c>
      <c r="M480" s="54">
        <f>(VLOOKUP($A480,'The List'!$B1:$AH665,25,FALSE)-AVERAGE('The List'!Z2:Z665))/STDEV('The List'!Z2:Z665)</f>
        <v>0.30954140718044026</v>
      </c>
      <c r="N480" s="54">
        <f>(VLOOKUP($A480,'The List'!$B1:$AH665,26,FALSE)-AVERAGE('The List'!AA2:AA665))/STDEV('The List'!AA2:AA665)</f>
        <v>0.26379861291651363</v>
      </c>
      <c r="O480" s="54">
        <f>(VLOOKUP($A480,'The List'!$B1:$AH665,27,FALSE)-AVERAGE('The List'!AB2:AB665))/STDEV('The List'!AB2:AB665)</f>
        <v>2.2486276665862905</v>
      </c>
      <c r="P480" s="54">
        <f>(VLOOKUP($A480,'The List'!$B1:$AH665,28,FALSE)-AVERAGE('The List'!AC2:AC665))/STDEV('The List'!AC2:AC665)</f>
        <v>-0.78313568267063538</v>
      </c>
      <c r="Q480" s="54">
        <f>(VLOOKUP($A480,'The List'!$B1:$AH665,29,FALSE)-AVERAGE('The List'!AD2:AD665))/STDEV('The List'!AD2:AD665)</f>
        <v>-0.44973450286558603</v>
      </c>
      <c r="R480" s="54">
        <f>(VLOOKUP($A480,'The List'!$B1:$AH665,30,FALSE)-AVERAGE('The List'!AE2:AE665))/STDEV('The List'!AE2:AE665)</f>
        <v>-0.70677160328010291</v>
      </c>
      <c r="S480" s="54">
        <f>(VLOOKUP($A480,'The List'!$B1:$AH665,31,FALSE)-AVERAGE('The List'!AF2:AF665))/STDEV('The List'!AF2:AF665)</f>
        <v>-0.46981901461382308</v>
      </c>
      <c r="T480" s="54">
        <f>(VLOOKUP($A480,'The List'!$B1:$AH665,32,FALSE)-AVERAGE('The List'!AG2:AG665))/STDEV('The List'!AG2:AG665)</f>
        <v>-0.49953173845273807</v>
      </c>
      <c r="U480" s="54">
        <f>(VLOOKUP($A480,'The List'!$B1:$AH665,33,FALSE)-AVERAGE('The List'!AH2:AH665))/STDEV('The List'!AH2:AH665)</f>
        <v>0.88644188787618616</v>
      </c>
      <c r="V480" s="54"/>
      <c r="W480" s="56"/>
      <c r="X480" s="54"/>
      <c r="Y480" s="54"/>
      <c r="Z480" s="54"/>
      <c r="AA480" s="54"/>
      <c r="AB480" s="54"/>
      <c r="AC480" s="54"/>
      <c r="AD480" s="54"/>
      <c r="AE480" s="54"/>
    </row>
    <row r="481" spans="1:31" ht="21.25" customHeight="1" x14ac:dyDescent="0.15">
      <c r="A481" s="9" t="s">
        <v>706</v>
      </c>
      <c r="B481" s="65" t="str">
        <f>VLOOKUP(A481,'Player Data'!A1:B667,2,FALSE)</f>
        <v>NYI</v>
      </c>
      <c r="C481" s="51">
        <f>((E481)*Settings!$C$12)+(F481*Settings!$C$2)+(G481*Settings!$C$3)+(H481*Settings!$C$4)+(I481*Settings!$C$5)+(K481*Settings!$C$9)+(N481*Settings!$C$6)+(J481*Settings!$C$8)+(O481*Settings!$C$7)+(P481*Settings!$C$14)+(Q481*Settings!$C$15)+(R481*Settings!$C$16)+(S481*Settings!$C$17)+(T481*Settings!$C$18)+(U481*Settings!$C$19)+(L481*Settings!$C$10)+(Settings!$C$11*M481)</f>
        <v>-2.8818659525126109</v>
      </c>
      <c r="D481" s="56">
        <f>IF(Settings!$E$12="YES",VLOOKUP(A481,'Player Data'!A1:E667,5,FALSE),82)</f>
        <v>78.962500000000006</v>
      </c>
      <c r="E481" s="54">
        <f>(VLOOKUP($A481,'The List'!$B1:$AH665,17,FALSE)-AVERAGE('The List'!R2:R665))/STDEV('The List'!R2:R665)</f>
        <v>-0.9128246779247613</v>
      </c>
      <c r="F481" s="54">
        <f>(VLOOKUP($A481,'The List'!$B1:$AH665,18,FALSE)-AVERAGE('The List'!S2:S665))/STDEV('The List'!S2:S665)</f>
        <v>-0.58749573283279544</v>
      </c>
      <c r="G481" s="54">
        <f>(VLOOKUP($A481,'The List'!$B1:$AH665,19,FALSE)-AVERAGE('The List'!T2:T665))/STDEV('The List'!T2:T665)</f>
        <v>-0.84803453233720982</v>
      </c>
      <c r="H481" s="54">
        <f>(VLOOKUP($A481,'The List'!$B1:$AH665,20,FALSE)-AVERAGE('The List'!U2:U665))/STDEV('The List'!U2:U665)</f>
        <v>-0.79372186445009918</v>
      </c>
      <c r="I481" s="54">
        <f>(VLOOKUP($A481,'The List'!$B1:$AH665,21,FALSE)-AVERAGE('The List'!V2:V665))/STDEV('The List'!V2:V665)</f>
        <v>-0.69787362809953346</v>
      </c>
      <c r="J481" s="54">
        <f>(VLOOKUP($A481,'The List'!$B1:$AH665,22,FALSE)-AVERAGE('The List'!W2:W665))/STDEV('The List'!W2:W665)</f>
        <v>-0.7074458985342934</v>
      </c>
      <c r="K481" s="54">
        <f>(VLOOKUP($A481,'The List'!$B1:$AH665,23,FALSE)-AVERAGE('The List'!X2:X665))/STDEV('The List'!X2:X665)</f>
        <v>-0.78218653542911709</v>
      </c>
      <c r="L481" s="54">
        <f>(VLOOKUP($A481,'The List'!$B1:$AH665,24,FALSE)-AVERAGE('The List'!Y2:Y665))/STDEV('The List'!Y2:Y665)</f>
        <v>0.76034269968431312</v>
      </c>
      <c r="M481" s="54">
        <f>(VLOOKUP($A481,'The List'!$B1:$AH665,25,FALSE)-AVERAGE('The List'!Z2:Z665))/STDEV('The List'!Z2:Z665)</f>
        <v>0.50808796521451371</v>
      </c>
      <c r="N481" s="54">
        <f>(VLOOKUP($A481,'The List'!$B1:$AH665,26,FALSE)-AVERAGE('The List'!AA2:AA665))/STDEV('The List'!AA2:AA665)</f>
        <v>4.0801925289476251E-2</v>
      </c>
      <c r="O481" s="54">
        <f>(VLOOKUP($A481,'The List'!$B1:$AH665,27,FALSE)-AVERAGE('The List'!AB2:AB665))/STDEV('The List'!AB2:AB665)</f>
        <v>1.1021218339062395</v>
      </c>
      <c r="P481" s="54">
        <f>(VLOOKUP($A481,'The List'!$B1:$AH665,28,FALSE)-AVERAGE('The List'!AC2:AC665))/STDEV('The List'!AC2:AC665)</f>
        <v>-7.0774491034311495E-3</v>
      </c>
      <c r="Q481" s="54">
        <f>(VLOOKUP($A481,'The List'!$B1:$AH665,29,FALSE)-AVERAGE('The List'!AD2:AD665))/STDEV('The List'!AD2:AD665)</f>
        <v>0.11802241272332364</v>
      </c>
      <c r="R481" s="54">
        <f>(VLOOKUP($A481,'The List'!$B1:$AH665,30,FALSE)-AVERAGE('The List'!AE2:AE665))/STDEV('The List'!AE2:AE665)</f>
        <v>-0.52250528432027721</v>
      </c>
      <c r="S481" s="54">
        <f>(VLOOKUP($A481,'The List'!$B1:$AH665,31,FALSE)-AVERAGE('The List'!AF2:AF665))/STDEV('The List'!AF2:AF665)</f>
        <v>1.4450620485784145</v>
      </c>
      <c r="T481" s="54">
        <f>(VLOOKUP($A481,'The List'!$B1:$AH665,32,FALSE)-AVERAGE('The List'!AG2:AG665))/STDEV('The List'!AG2:AG665)</f>
        <v>1.2114253019091699</v>
      </c>
      <c r="U481" s="54">
        <f>(VLOOKUP($A481,'The List'!$B1:$AH665,33,FALSE)-AVERAGE('The List'!AH2:AH665))/STDEV('The List'!AH2:AH665)</f>
        <v>1.2115727169870598</v>
      </c>
      <c r="V481" s="54"/>
      <c r="W481" s="64"/>
      <c r="X481" s="56"/>
      <c r="Y481" s="56"/>
      <c r="Z481" s="56"/>
      <c r="AA481" s="56"/>
      <c r="AB481" s="56"/>
      <c r="AC481" s="59"/>
      <c r="AD481" s="60"/>
      <c r="AE481" s="54"/>
    </row>
    <row r="482" spans="1:31" ht="21.25" customHeight="1" x14ac:dyDescent="0.15">
      <c r="A482" s="9" t="s">
        <v>544</v>
      </c>
      <c r="B482" s="65" t="str">
        <f>VLOOKUP(A482,'Player Data'!A1:B667,2,FALSE)</f>
        <v>BUF</v>
      </c>
      <c r="C482" s="51">
        <f>((E482)*Settings!$C$12)+(F482*Settings!$C$2)+(G482*Settings!$C$3)+(H482*Settings!$C$4)+(I482*Settings!$C$5)+(K482*Settings!$C$9)+(N482*Settings!$C$6)+(J482*Settings!$C$8)+(O482*Settings!$C$7)+(P482*Settings!$C$14)+(Q482*Settings!$C$15)+(R482*Settings!$C$16)+(S482*Settings!$C$17)+(T482*Settings!$C$18)+(U482*Settings!$C$19)+(L482*Settings!$C$10)+(Settings!$C$11*M482)</f>
        <v>-2.998974157183306</v>
      </c>
      <c r="D482" s="56">
        <f>IF(Settings!$E$12="YES",VLOOKUP(A482,'Player Data'!A1:E667,5,FALSE),82)</f>
        <v>75.385000000000005</v>
      </c>
      <c r="E482" s="54">
        <f>(VLOOKUP($A482,'The List'!$B1:$AH665,17,FALSE)-AVERAGE('The List'!R2:R665))/STDEV('The List'!R2:R665)</f>
        <v>0.23761045453594593</v>
      </c>
      <c r="F482" s="54">
        <f>(VLOOKUP($A482,'The List'!$B1:$AH665,18,FALSE)-AVERAGE('The List'!S2:S665))/STDEV('The List'!S2:S665)</f>
        <v>-1.0038999415015484</v>
      </c>
      <c r="G482" s="54">
        <f>(VLOOKUP($A482,'The List'!$B1:$AH665,19,FALSE)-AVERAGE('The List'!T2:T665))/STDEV('The List'!T2:T665)</f>
        <v>-0.60749048128222405</v>
      </c>
      <c r="H482" s="54">
        <f>(VLOOKUP($A482,'The List'!$B1:$AH665,20,FALSE)-AVERAGE('The List'!U2:U665))/STDEV('The List'!U2:U665)</f>
        <v>-0.83360598952741549</v>
      </c>
      <c r="I482" s="54">
        <f>(VLOOKUP($A482,'The List'!$B1:$AH665,21,FALSE)-AVERAGE('The List'!V2:V665))/STDEV('The List'!V2:V665)</f>
        <v>-0.832290471432659</v>
      </c>
      <c r="J482" s="54">
        <f>(VLOOKUP($A482,'The List'!$B1:$AH665,22,FALSE)-AVERAGE('The List'!W2:W665))/STDEV('The List'!W2:W665)</f>
        <v>-0.73975634875944085</v>
      </c>
      <c r="K482" s="54">
        <f>(VLOOKUP($A482,'The List'!$B1:$AH665,23,FALSE)-AVERAGE('The List'!X2:X665))/STDEV('The List'!X2:X665)</f>
        <v>-0.7996360021457839</v>
      </c>
      <c r="L482" s="54">
        <f>(VLOOKUP($A482,'The List'!$B1:$AH665,24,FALSE)-AVERAGE('The List'!Y2:Y665))/STDEV('The List'!Y2:Y665)</f>
        <v>-0.55700356205571599</v>
      </c>
      <c r="M482" s="54">
        <f>(VLOOKUP($A482,'The List'!$B1:$AH665,25,FALSE)-AVERAGE('The List'!Z2:Z665))/STDEV('The List'!Z2:Z665)</f>
        <v>-0.42623524426895981</v>
      </c>
      <c r="N482" s="54">
        <f>(VLOOKUP($A482,'The List'!$B1:$AH665,26,FALSE)-AVERAGE('The List'!AA2:AA665))/STDEV('The List'!AA2:AA665)</f>
        <v>0.65817015517185995</v>
      </c>
      <c r="O482" s="54">
        <f>(VLOOKUP($A482,'The List'!$B1:$AH665,27,FALSE)-AVERAGE('The List'!AB2:AB665))/STDEV('The List'!AB2:AB665)</f>
        <v>-3.7232062446000067E-2</v>
      </c>
      <c r="P482" s="54">
        <f>(VLOOKUP($A482,'The List'!$B1:$AH665,28,FALSE)-AVERAGE('The List'!AC2:AC665))/STDEV('The List'!AC2:AC665)</f>
        <v>-0.41382741599295025</v>
      </c>
      <c r="Q482" s="54">
        <f>(VLOOKUP($A482,'The List'!$B1:$AH665,29,FALSE)-AVERAGE('The List'!AD2:AD665))/STDEV('The List'!AD2:AD665)</f>
        <v>-0.55113453893089515</v>
      </c>
      <c r="R482" s="54">
        <f>(VLOOKUP($A482,'The List'!$B1:$AH665,30,FALSE)-AVERAGE('The List'!AE2:AE665))/STDEV('The List'!AE2:AE665)</f>
        <v>-0.97577024790100053</v>
      </c>
      <c r="S482" s="54">
        <f>(VLOOKUP($A482,'The List'!$B1:$AH665,31,FALSE)-AVERAGE('The List'!AF2:AF665))/STDEV('The List'!AF2:AF665)</f>
        <v>-0.57389441068000469</v>
      </c>
      <c r="T482" s="54">
        <f>(VLOOKUP($A482,'The List'!$B1:$AH665,32,FALSE)-AVERAGE('The List'!AG2:AG665))/STDEV('The List'!AG2:AG665)</f>
        <v>-0.62577078713265111</v>
      </c>
      <c r="U482" s="54">
        <f>(VLOOKUP($A482,'The List'!$B1:$AH665,33,FALSE)-AVERAGE('The List'!AH2:AH665))/STDEV('The List'!AH2:AH665)</f>
        <v>-1.2314350945148611</v>
      </c>
      <c r="V482" s="54"/>
      <c r="W482" s="64"/>
      <c r="X482" s="56"/>
      <c r="Y482" s="56"/>
      <c r="Z482" s="56"/>
      <c r="AA482" s="56"/>
      <c r="AB482" s="56"/>
      <c r="AC482" s="59"/>
      <c r="AD482" s="60"/>
      <c r="AE482" s="54"/>
    </row>
    <row r="483" spans="1:31" ht="21.25" customHeight="1" x14ac:dyDescent="0.15">
      <c r="A483" s="9" t="s">
        <v>570</v>
      </c>
      <c r="B483" s="65" t="str">
        <f>VLOOKUP(A483,'Player Data'!A1:B667,2,FALSE)</f>
        <v>CBJ</v>
      </c>
      <c r="C483" s="51">
        <f>((E483)*Settings!$C$12)+(F483*Settings!$C$2)+(G483*Settings!$C$3)+(H483*Settings!$C$4)+(I483*Settings!$C$5)+(K483*Settings!$C$9)+(N483*Settings!$C$6)+(J483*Settings!$C$8)+(O483*Settings!$C$7)+(P483*Settings!$C$14)+(Q483*Settings!$C$15)+(R483*Settings!$C$16)+(S483*Settings!$C$17)+(T483*Settings!$C$18)+(U483*Settings!$C$19)+(L483*Settings!$C$10)+(Settings!$C$11*M483)</f>
        <v>-3.6901611321992052</v>
      </c>
      <c r="D483" s="56">
        <f>IF(Settings!$E$12="YES",VLOOKUP(A483,'Player Data'!A1:E667,5,FALSE),82)</f>
        <v>72.877499999999998</v>
      </c>
      <c r="E483" s="54">
        <f>(VLOOKUP($A483,'The List'!$B1:$AH665,17,FALSE)-AVERAGE('The List'!R2:R665))/STDEV('The List'!R2:R665)</f>
        <v>-3.3045611094339886E-2</v>
      </c>
      <c r="F483" s="54">
        <f>(VLOOKUP($A483,'The List'!$B1:$AH665,18,FALSE)-AVERAGE('The List'!S2:S665))/STDEV('The List'!S2:S665)</f>
        <v>-0.93100342277960957</v>
      </c>
      <c r="G483" s="54">
        <f>(VLOOKUP($A483,'The List'!$B1:$AH665,19,FALSE)-AVERAGE('The List'!T2:T665))/STDEV('The List'!T2:T665)</f>
        <v>-0.70533997641425239</v>
      </c>
      <c r="H483" s="54">
        <f>(VLOOKUP($A483,'The List'!$B1:$AH665,20,FALSE)-AVERAGE('The List'!U2:U665))/STDEV('The List'!U2:U665)</f>
        <v>-0.86124109508817948</v>
      </c>
      <c r="I483" s="54">
        <f>(VLOOKUP($A483,'The List'!$B1:$AH665,21,FALSE)-AVERAGE('The List'!V2:V665))/STDEV('The List'!V2:V665)</f>
        <v>-1.1291554386915399</v>
      </c>
      <c r="J483" s="54">
        <f>(VLOOKUP($A483,'The List'!$B1:$AH665,22,FALSE)-AVERAGE('The List'!W2:W665))/STDEV('The List'!W2:W665)</f>
        <v>-0.7395267378492052</v>
      </c>
      <c r="K483" s="54">
        <f>(VLOOKUP($A483,'The List'!$B1:$AH665,23,FALSE)-AVERAGE('The List'!X2:X665))/STDEV('The List'!X2:X665)</f>
        <v>-0.8085082240241811</v>
      </c>
      <c r="L483" s="54">
        <f>(VLOOKUP($A483,'The List'!$B1:$AH665,24,FALSE)-AVERAGE('The List'!Y2:Y665))/STDEV('The List'!Y2:Y665)</f>
        <v>-0.5453447779866395</v>
      </c>
      <c r="M483" s="54">
        <f>(VLOOKUP($A483,'The List'!$B1:$AH665,25,FALSE)-AVERAGE('The List'!Z2:Z665))/STDEV('The List'!Z2:Z665)</f>
        <v>-0.65027900624751811</v>
      </c>
      <c r="N483" s="54">
        <f>(VLOOKUP($A483,'The List'!$B1:$AH665,26,FALSE)-AVERAGE('The List'!AA2:AA665))/STDEV('The List'!AA2:AA665)</f>
        <v>0.82502309632609572</v>
      </c>
      <c r="O483" s="54">
        <f>(VLOOKUP($A483,'The List'!$B1:$AH665,27,FALSE)-AVERAGE('The List'!AB2:AB665))/STDEV('The List'!AB2:AB665)</f>
        <v>-0.67892669276239914</v>
      </c>
      <c r="P483" s="54">
        <f>(VLOOKUP($A483,'The List'!$B1:$AH665,28,FALSE)-AVERAGE('The List'!AC2:AC665))/STDEV('The List'!AC2:AC665)</f>
        <v>-0.94117716661571782</v>
      </c>
      <c r="Q483" s="54">
        <f>(VLOOKUP($A483,'The List'!$B1:$AH665,29,FALSE)-AVERAGE('The List'!AD2:AD665))/STDEV('The List'!AD2:AD665)</f>
        <v>-0.21430690136116068</v>
      </c>
      <c r="R483" s="54">
        <f>(VLOOKUP($A483,'The List'!$B1:$AH665,30,FALSE)-AVERAGE('The List'!AE2:AE665))/STDEV('The List'!AE2:AE665)</f>
        <v>-0.98932612287310684</v>
      </c>
      <c r="S483" s="54">
        <f>(VLOOKUP($A483,'The List'!$B1:$AH665,31,FALSE)-AVERAGE('The List'!AF2:AF665))/STDEV('The List'!AF2:AF665)</f>
        <v>-0.57389441068000469</v>
      </c>
      <c r="T483" s="54">
        <f>(VLOOKUP($A483,'The List'!$B1:$AH665,32,FALSE)-AVERAGE('The List'!AG2:AG665))/STDEV('The List'!AG2:AG665)</f>
        <v>-0.62577078713265111</v>
      </c>
      <c r="U483" s="54">
        <f>(VLOOKUP($A483,'The List'!$B1:$AH665,33,FALSE)-AVERAGE('The List'!AH2:AH665))/STDEV('The List'!AH2:AH665)</f>
        <v>-1.2314350945148611</v>
      </c>
      <c r="V483" s="54"/>
      <c r="W483" s="64"/>
      <c r="X483" s="56"/>
      <c r="Y483" s="56"/>
      <c r="Z483" s="56"/>
      <c r="AA483" s="56"/>
      <c r="AB483" s="56"/>
      <c r="AC483" s="59"/>
      <c r="AD483" s="60"/>
      <c r="AE483" s="54"/>
    </row>
    <row r="484" spans="1:31" ht="21.25" customHeight="1" x14ac:dyDescent="0.15">
      <c r="A484" s="9" t="s">
        <v>748</v>
      </c>
      <c r="B484" s="65" t="str">
        <f>VLOOKUP(A484,'Player Data'!A1:B667,2,FALSE)</f>
        <v>TOR</v>
      </c>
      <c r="C484" s="51">
        <f>((E484)*Settings!$C$12)+(F484*Settings!$C$2)+(G484*Settings!$C$3)+(H484*Settings!$C$4)+(I484*Settings!$C$5)+(K484*Settings!$C$9)+(N484*Settings!$C$6)+(J484*Settings!$C$8)+(O484*Settings!$C$7)+(P484*Settings!$C$14)+(Q484*Settings!$C$15)+(R484*Settings!$C$16)+(S484*Settings!$C$17)+(T484*Settings!$C$18)+(U484*Settings!$C$19)+(L484*Settings!$C$10)+(Settings!$C$11*M484)</f>
        <v>-3.9810208899954502</v>
      </c>
      <c r="D484" s="56">
        <f>IF(Settings!$E$12="YES",VLOOKUP(A484,'Player Data'!A1:E667,5,FALSE),82)</f>
        <v>75.772499999999994</v>
      </c>
      <c r="E484" s="54">
        <f>(VLOOKUP($A484,'The List'!$B1:$AH665,17,FALSE)-AVERAGE('The List'!R2:R665))/STDEV('The List'!R2:R665)</f>
        <v>-1.579631353433141</v>
      </c>
      <c r="F484" s="54">
        <f>(VLOOKUP($A484,'The List'!$B1:$AH665,18,FALSE)-AVERAGE('The List'!S2:S665))/STDEV('The List'!S2:S665)</f>
        <v>-0.50852983400168139</v>
      </c>
      <c r="G484" s="54">
        <f>(VLOOKUP($A484,'The List'!$B1:$AH665,19,FALSE)-AVERAGE('The List'!T2:T665))/STDEV('The List'!T2:T665)</f>
        <v>-0.96727332805051935</v>
      </c>
      <c r="H484" s="54">
        <f>(VLOOKUP($A484,'The List'!$B1:$AH665,20,FALSE)-AVERAGE('The List'!U2:U665))/STDEV('The List'!U2:U665)</f>
        <v>-0.83188210659145634</v>
      </c>
      <c r="I484" s="54">
        <f>(VLOOKUP($A484,'The List'!$B1:$AH665,21,FALSE)-AVERAGE('The List'!V2:V665))/STDEV('The List'!V2:V665)</f>
        <v>-0.86293799711742059</v>
      </c>
      <c r="J484" s="54">
        <f>(VLOOKUP($A484,'The List'!$B1:$AH665,22,FALSE)-AVERAGE('The List'!W2:W665))/STDEV('The List'!W2:W665)</f>
        <v>-0.72839518314045859</v>
      </c>
      <c r="K484" s="54">
        <f>(VLOOKUP($A484,'The List'!$B1:$AH665,23,FALSE)-AVERAGE('The List'!X2:X665))/STDEV('The List'!X2:X665)</f>
        <v>-0.81203648787246197</v>
      </c>
      <c r="L484" s="54">
        <f>(VLOOKUP($A484,'The List'!$B1:$AH665,24,FALSE)-AVERAGE('The List'!Y2:Y665))/STDEV('The List'!Y2:Y665)</f>
        <v>1.9767496893185217</v>
      </c>
      <c r="M484" s="54">
        <f>(VLOOKUP($A484,'The List'!$B1:$AH665,25,FALSE)-AVERAGE('The List'!Z2:Z665))/STDEV('The List'!Z2:Z665)</f>
        <v>1.2330661640239813</v>
      </c>
      <c r="N484" s="54">
        <f>(VLOOKUP($A484,'The List'!$B1:$AH665,26,FALSE)-AVERAGE('The List'!AA2:AA665))/STDEV('The List'!AA2:AA665)</f>
        <v>-0.6005783684226359</v>
      </c>
      <c r="O484" s="54">
        <f>(VLOOKUP($A484,'The List'!$B1:$AH665,27,FALSE)-AVERAGE('The List'!AB2:AB665))/STDEV('The List'!AB2:AB665)</f>
        <v>0.58362579162615003</v>
      </c>
      <c r="P484" s="54">
        <f>(VLOOKUP($A484,'The List'!$B1:$AH665,28,FALSE)-AVERAGE('The List'!AC2:AC665))/STDEV('The List'!AC2:AC665)</f>
        <v>-0.22966487453073123</v>
      </c>
      <c r="Q484" s="54">
        <f>(VLOOKUP($A484,'The List'!$B1:$AH665,29,FALSE)-AVERAGE('The List'!AD2:AD665))/STDEV('The List'!AD2:AD665)</f>
        <v>-0.42632672717690412</v>
      </c>
      <c r="R484" s="54">
        <f>(VLOOKUP($A484,'The List'!$B1:$AH665,30,FALSE)-AVERAGE('The List'!AE2:AE665))/STDEV('The List'!AE2:AE665)</f>
        <v>-0.4279002047086965</v>
      </c>
      <c r="S484" s="54">
        <f>(VLOOKUP($A484,'The List'!$B1:$AH665,31,FALSE)-AVERAGE('The List'!AF2:AF665))/STDEV('The List'!AF2:AF665)</f>
        <v>0.32562389519173196</v>
      </c>
      <c r="T484" s="54">
        <f>(VLOOKUP($A484,'The List'!$B1:$AH665,32,FALSE)-AVERAGE('The List'!AG2:AG665))/STDEV('The List'!AG2:AG665)</f>
        <v>0.51084611110859479</v>
      </c>
      <c r="U484" s="54">
        <f>(VLOOKUP($A484,'The List'!$B1:$AH665,33,FALSE)-AVERAGE('The List'!AH2:AH665))/STDEV('The List'!AH2:AH665)</f>
        <v>0.84036980667272287</v>
      </c>
      <c r="V484" s="54"/>
      <c r="W484" s="64"/>
      <c r="X484" s="56"/>
      <c r="Y484" s="56"/>
      <c r="Z484" s="56"/>
      <c r="AA484" s="56"/>
      <c r="AB484" s="56"/>
      <c r="AC484" s="59"/>
      <c r="AD484" s="60"/>
      <c r="AE484" s="54"/>
    </row>
    <row r="485" spans="1:31" ht="21.25" customHeight="1" x14ac:dyDescent="0.15">
      <c r="A485" s="9" t="s">
        <v>731</v>
      </c>
      <c r="B485" s="65" t="str">
        <f>VLOOKUP(A485,'Player Data'!A1:B667,2,FALSE)</f>
        <v>N.J</v>
      </c>
      <c r="C485" s="51">
        <f>((E485)*Settings!$C$12)+(F485*Settings!$C$2)+(G485*Settings!$C$3)+(H485*Settings!$C$4)+(I485*Settings!$C$5)+(K485*Settings!$C$9)+(N485*Settings!$C$6)+(J485*Settings!$C$8)+(O485*Settings!$C$7)+(P485*Settings!$C$14)+(Q485*Settings!$C$15)+(R485*Settings!$C$16)+(S485*Settings!$C$17)+(T485*Settings!$C$18)+(U485*Settings!$C$19)+(L485*Settings!$C$10)+(Settings!$C$11*M485)</f>
        <v>-2.9411153435958219</v>
      </c>
      <c r="D485" s="56">
        <f>IF(Settings!$E$12="YES",VLOOKUP(A485,'Player Data'!A1:E667,5,FALSE),82)</f>
        <v>74.34</v>
      </c>
      <c r="E485" s="54">
        <f>(VLOOKUP($A485,'The List'!$B1:$AH665,17,FALSE)-AVERAGE('The List'!R2:R665))/STDEV('The List'!R2:R665)</f>
        <v>-1.3852829290906836</v>
      </c>
      <c r="F485" s="54">
        <f>(VLOOKUP($A485,'The List'!$B1:$AH665,18,FALSE)-AVERAGE('The List'!S2:S665))/STDEV('The List'!S2:S665)</f>
        <v>-0.70854750373623965</v>
      </c>
      <c r="G485" s="54">
        <f>(VLOOKUP($A485,'The List'!$B1:$AH665,19,FALSE)-AVERAGE('The List'!T2:T665))/STDEV('The List'!T2:T665)</f>
        <v>-0.84628772227036664</v>
      </c>
      <c r="H485" s="54">
        <f>(VLOOKUP($A485,'The List'!$B1:$AH665,20,FALSE)-AVERAGE('The List'!U2:U665))/STDEV('The List'!U2:U665)</f>
        <v>-0.84766078110691889</v>
      </c>
      <c r="I485" s="54">
        <f>(VLOOKUP($A485,'The List'!$B1:$AH665,21,FALSE)-AVERAGE('The List'!V2:V665))/STDEV('The List'!V2:V665)</f>
        <v>-0.89244784933790566</v>
      </c>
      <c r="J485" s="54">
        <f>(VLOOKUP($A485,'The List'!$B1:$AH665,22,FALSE)-AVERAGE('The List'!W2:W665))/STDEV('The List'!W2:W665)</f>
        <v>-0.72867903948204471</v>
      </c>
      <c r="K485" s="54">
        <f>(VLOOKUP($A485,'The List'!$B1:$AH665,23,FALSE)-AVERAGE('The List'!X2:X665))/STDEV('The List'!X2:X665)</f>
        <v>-0.81374331236604625</v>
      </c>
      <c r="L485" s="54">
        <f>(VLOOKUP($A485,'The List'!$B1:$AH665,24,FALSE)-AVERAGE('The List'!Y2:Y665))/STDEV('The List'!Y2:Y665)</f>
        <v>0.42733251064133509</v>
      </c>
      <c r="M485" s="54">
        <f>(VLOOKUP($A485,'The List'!$B1:$AH665,25,FALSE)-AVERAGE('The List'!Z2:Z665))/STDEV('The List'!Z2:Z665)</f>
        <v>0.13963349202117778</v>
      </c>
      <c r="N485" s="54">
        <f>(VLOOKUP($A485,'The List'!$B1:$AH665,26,FALSE)-AVERAGE('The List'!AA2:AA665))/STDEV('The List'!AA2:AA665)</f>
        <v>-9.2366267940098043E-2</v>
      </c>
      <c r="O485" s="54">
        <f>(VLOOKUP($A485,'The List'!$B1:$AH665,27,FALSE)-AVERAGE('The List'!AB2:AB665))/STDEV('The List'!AB2:AB665)</f>
        <v>1.6974889296779716</v>
      </c>
      <c r="P485" s="54">
        <f>(VLOOKUP($A485,'The List'!$B1:$AH665,28,FALSE)-AVERAGE('The List'!AC2:AC665))/STDEV('The List'!AC2:AC665)</f>
        <v>0.41227731205483414</v>
      </c>
      <c r="Q485" s="54">
        <f>(VLOOKUP($A485,'The List'!$B1:$AH665,29,FALSE)-AVERAGE('The List'!AD2:AD665))/STDEV('The List'!AD2:AD665)</f>
        <v>-0.40425847439938389</v>
      </c>
      <c r="R485" s="54">
        <f>(VLOOKUP($A485,'The List'!$B1:$AH665,30,FALSE)-AVERAGE('The List'!AE2:AE665))/STDEV('The List'!AE2:AE665)</f>
        <v>-0.66981599172189954</v>
      </c>
      <c r="S485" s="54">
        <f>(VLOOKUP($A485,'The List'!$B1:$AH665,31,FALSE)-AVERAGE('The List'!AF2:AF665))/STDEV('The List'!AF2:AF665)</f>
        <v>0.28132456447427168</v>
      </c>
      <c r="T485" s="54">
        <f>(VLOOKUP($A485,'The List'!$B1:$AH665,32,FALSE)-AVERAGE('The List'!AG2:AG665))/STDEV('The List'!AG2:AG665)</f>
        <v>0.3034896590200023</v>
      </c>
      <c r="U485" s="54">
        <f>(VLOOKUP($A485,'The List'!$B1:$AH665,33,FALSE)-AVERAGE('The List'!AH2:AH665))/STDEV('The List'!AH2:AH665)</f>
        <v>1.0109224662875063</v>
      </c>
      <c r="V485" s="54"/>
      <c r="W485" s="64"/>
      <c r="X485" s="56"/>
      <c r="Y485" s="56"/>
      <c r="Z485" s="56"/>
      <c r="AA485" s="56"/>
      <c r="AB485" s="56"/>
      <c r="AC485" s="59"/>
      <c r="AD485" s="60"/>
      <c r="AE485" s="54"/>
    </row>
    <row r="486" spans="1:31" ht="21.25" customHeight="1" x14ac:dyDescent="0.15">
      <c r="A486" s="9" t="s">
        <v>772</v>
      </c>
      <c r="B486" s="65" t="str">
        <f>VLOOKUP(A486,'Player Data'!A1:B667,2,FALSE)</f>
        <v>S.J</v>
      </c>
      <c r="C486" s="51">
        <f>((E486)*Settings!$C$12)+(F486*Settings!$C$2)+(G486*Settings!$C$3)+(H486*Settings!$C$4)+(I486*Settings!$C$5)+(K486*Settings!$C$9)+(N486*Settings!$C$6)+(J486*Settings!$C$8)+(O486*Settings!$C$7)+(P486*Settings!$C$14)+(Q486*Settings!$C$15)+(R486*Settings!$C$16)+(S486*Settings!$C$17)+(T486*Settings!$C$18)+(U486*Settings!$C$19)+(L486*Settings!$C$10)+(Settings!$C$11*M486)</f>
        <v>-3.8205250827057706</v>
      </c>
      <c r="D486" s="56">
        <f>IF(Settings!$E$12="YES",VLOOKUP(A486,'Player Data'!A1:E667,5,FALSE),82)</f>
        <v>70.930000000000007</v>
      </c>
      <c r="E486" s="54">
        <f>(VLOOKUP($A486,'The List'!$B1:$AH665,17,FALSE)-AVERAGE('The List'!R2:R665))/STDEV('The List'!R2:R665)</f>
        <v>-1.7882190326852219</v>
      </c>
      <c r="F486" s="54">
        <f>(VLOOKUP($A486,'The List'!$B1:$AH665,18,FALSE)-AVERAGE('The List'!S2:S665))/STDEV('The List'!S2:S665)</f>
        <v>-0.76668195383371329</v>
      </c>
      <c r="G486" s="54">
        <f>(VLOOKUP($A486,'The List'!$B1:$AH665,19,FALSE)-AVERAGE('The List'!T2:T665))/STDEV('The List'!T2:T665)</f>
        <v>-0.86350347728092824</v>
      </c>
      <c r="H486" s="54">
        <f>(VLOOKUP($A486,'The List'!$B1:$AH665,20,FALSE)-AVERAGE('The List'!U2:U665))/STDEV('The List'!U2:U665)</f>
        <v>-0.88477760389944315</v>
      </c>
      <c r="I486" s="54">
        <f>(VLOOKUP($A486,'The List'!$B1:$AH665,21,FALSE)-AVERAGE('The List'!V2:V665))/STDEV('The List'!V2:V665)</f>
        <v>-1.0101859667334383</v>
      </c>
      <c r="J486" s="54">
        <f>(VLOOKUP($A486,'The List'!$B1:$AH665,22,FALSE)-AVERAGE('The List'!W2:W665))/STDEV('The List'!W2:W665)</f>
        <v>-0.72647329213122891</v>
      </c>
      <c r="K486" s="54">
        <f>(VLOOKUP($A486,'The List'!$B1:$AH665,23,FALSE)-AVERAGE('The List'!X2:X665))/STDEV('The List'!X2:X665)</f>
        <v>-0.81253642649594016</v>
      </c>
      <c r="L486" s="54">
        <f>(VLOOKUP($A486,'The List'!$B1:$AH665,24,FALSE)-AVERAGE('The List'!Y2:Y665))/STDEV('The List'!Y2:Y665)</f>
        <v>-0.50150599653708439</v>
      </c>
      <c r="M486" s="54">
        <f>(VLOOKUP($A486,'The List'!$B1:$AH665,25,FALSE)-AVERAGE('The List'!Z2:Z665))/STDEV('The List'!Z2:Z665)</f>
        <v>-0.32218849304000385</v>
      </c>
      <c r="N486" s="54">
        <f>(VLOOKUP($A486,'The List'!$B1:$AH665,26,FALSE)-AVERAGE('The List'!AA2:AA665))/STDEV('The List'!AA2:AA665)</f>
        <v>-0.95407284804544701</v>
      </c>
      <c r="O486" s="54">
        <f>(VLOOKUP($A486,'The List'!$B1:$AH665,27,FALSE)-AVERAGE('The List'!AB2:AB665))/STDEV('The List'!AB2:AB665)</f>
        <v>3.8176132458290782E-2</v>
      </c>
      <c r="P486" s="54">
        <f>(VLOOKUP($A486,'The List'!$B1:$AH665,28,FALSE)-AVERAGE('The List'!AC2:AC665))/STDEV('The List'!AC2:AC665)</f>
        <v>0.58645558968369593</v>
      </c>
      <c r="Q486" s="54">
        <f>(VLOOKUP($A486,'The List'!$B1:$AH665,29,FALSE)-AVERAGE('The List'!AD2:AD665))/STDEV('The List'!AD2:AD665)</f>
        <v>-0.31044863465216105</v>
      </c>
      <c r="R486" s="54">
        <f>(VLOOKUP($A486,'The List'!$B1:$AH665,30,FALSE)-AVERAGE('The List'!AE2:AE665))/STDEV('The List'!AE2:AE665)</f>
        <v>-0.88641974564886605</v>
      </c>
      <c r="S486" s="54">
        <f>(VLOOKUP($A486,'The List'!$B1:$AH665,31,FALSE)-AVERAGE('The List'!AF2:AF665))/STDEV('The List'!AF2:AF665)</f>
        <v>3.059135214385742E-3</v>
      </c>
      <c r="T486" s="54">
        <f>(VLOOKUP($A486,'The List'!$B1:$AH665,32,FALSE)-AVERAGE('The List'!AG2:AG665))/STDEV('The List'!AG2:AG665)</f>
        <v>5.4979520238298982E-2</v>
      </c>
      <c r="U486" s="54">
        <f>(VLOOKUP($A486,'The List'!$B1:$AH665,33,FALSE)-AVERAGE('The List'!AH2:AH665))/STDEV('The List'!AH2:AH665)</f>
        <v>0.9176432069169641</v>
      </c>
      <c r="V486" s="54"/>
      <c r="W486" s="64"/>
      <c r="X486" s="56"/>
      <c r="Y486" s="56"/>
      <c r="Z486" s="56"/>
      <c r="AA486" s="56"/>
      <c r="AB486" s="56"/>
      <c r="AC486" s="59"/>
      <c r="AD486" s="60"/>
      <c r="AE486" s="54"/>
    </row>
    <row r="487" spans="1:31" ht="21.25" customHeight="1" x14ac:dyDescent="0.15">
      <c r="A487" s="9" t="s">
        <v>709</v>
      </c>
      <c r="B487" s="65" t="str">
        <f>VLOOKUP(A487,'Player Data'!A1:B667,2,FALSE)</f>
        <v>VGK</v>
      </c>
      <c r="C487" s="51">
        <f>((E487)*Settings!$C$12)+(F487*Settings!$C$2)+(G487*Settings!$C$3)+(H487*Settings!$C$4)+(I487*Settings!$C$5)+(K487*Settings!$C$9)+(N487*Settings!$C$6)+(J487*Settings!$C$8)+(O487*Settings!$C$7)+(P487*Settings!$C$14)+(Q487*Settings!$C$15)+(R487*Settings!$C$16)+(S487*Settings!$C$17)+(T487*Settings!$C$18)+(U487*Settings!$C$19)+(L487*Settings!$C$10)+(Settings!$C$11*M487)</f>
        <v>-3.7679796199079063</v>
      </c>
      <c r="D487" s="56">
        <f>IF(Settings!$E$12="YES",VLOOKUP(A487,'Player Data'!A1:E667,5,FALSE),82)</f>
        <v>79.897499999999994</v>
      </c>
      <c r="E487" s="54">
        <f>(VLOOKUP($A487,'The List'!$B1:$AH665,17,FALSE)-AVERAGE('The List'!R2:R665))/STDEV('The List'!R2:R665)</f>
        <v>-1.6452022594883466</v>
      </c>
      <c r="F487" s="54">
        <f>(VLOOKUP($A487,'The List'!$B1:$AH665,18,FALSE)-AVERAGE('The List'!S2:S665))/STDEV('The List'!S2:S665)</f>
        <v>-0.57786609423766644</v>
      </c>
      <c r="G487" s="54">
        <f>(VLOOKUP($A487,'The List'!$B1:$AH665,19,FALSE)-AVERAGE('The List'!T2:T665))/STDEV('The List'!T2:T665)</f>
        <v>-0.85232247744661993</v>
      </c>
      <c r="H487" s="54">
        <f>(VLOOKUP($A487,'The List'!$B1:$AH665,20,FALSE)-AVERAGE('The List'!U2:U665))/STDEV('The List'!U2:U665)</f>
        <v>-0.79200779099115859</v>
      </c>
      <c r="I487" s="54">
        <f>(VLOOKUP($A487,'The List'!$B1:$AH665,21,FALSE)-AVERAGE('The List'!V2:V665))/STDEV('The List'!V2:V665)</f>
        <v>-0.96236839065960134</v>
      </c>
      <c r="J487" s="54">
        <f>(VLOOKUP($A487,'The List'!$B1:$AH665,22,FALSE)-AVERAGE('The List'!W2:W665))/STDEV('The List'!W2:W665)</f>
        <v>-0.72810201950916587</v>
      </c>
      <c r="K487" s="54">
        <f>(VLOOKUP($A487,'The List'!$B1:$AH665,23,FALSE)-AVERAGE('The List'!X2:X665))/STDEV('The List'!X2:X665)</f>
        <v>-0.81550203076371908</v>
      </c>
      <c r="L487" s="54">
        <f>(VLOOKUP($A487,'The List'!$B1:$AH665,24,FALSE)-AVERAGE('The List'!Y2:Y665))/STDEV('The List'!Y2:Y665)</f>
        <v>0.55886084406600689</v>
      </c>
      <c r="M487" s="54">
        <f>(VLOOKUP($A487,'The List'!$B1:$AH665,25,FALSE)-AVERAGE('The List'!Z2:Z665))/STDEV('The List'!Z2:Z665)</f>
        <v>0.46264696865254384</v>
      </c>
      <c r="N487" s="54">
        <f>(VLOOKUP($A487,'The List'!$B1:$AH665,26,FALSE)-AVERAGE('The List'!AA2:AA665))/STDEV('The List'!AA2:AA665)</f>
        <v>-0.64502230529726279</v>
      </c>
      <c r="O487" s="54">
        <f>(VLOOKUP($A487,'The List'!$B1:$AH665,27,FALSE)-AVERAGE('The List'!AB2:AB665))/STDEV('The List'!AB2:AB665)</f>
        <v>3.3950300328040393</v>
      </c>
      <c r="P487" s="54">
        <f>(VLOOKUP($A487,'The List'!$B1:$AH665,28,FALSE)-AVERAGE('The List'!AC2:AC665))/STDEV('The List'!AC2:AC665)</f>
        <v>8.5101678496962943E-2</v>
      </c>
      <c r="Q487" s="54">
        <f>(VLOOKUP($A487,'The List'!$B1:$AH665,29,FALSE)-AVERAGE('The List'!AD2:AD665))/STDEV('The List'!AD2:AD665)</f>
        <v>1.0614598379485516</v>
      </c>
      <c r="R487" s="54">
        <f>(VLOOKUP($A487,'The List'!$B1:$AH665,30,FALSE)-AVERAGE('The List'!AE2:AE665))/STDEV('The List'!AE2:AE665)</f>
        <v>-0.53731977348616689</v>
      </c>
      <c r="S487" s="54">
        <f>(VLOOKUP($A487,'The List'!$B1:$AH665,31,FALSE)-AVERAGE('The List'!AF2:AF665))/STDEV('The List'!AF2:AF665)</f>
        <v>-0.49910336509035341</v>
      </c>
      <c r="T487" s="54">
        <f>(VLOOKUP($A487,'The List'!$B1:$AH665,32,FALSE)-AVERAGE('The List'!AG2:AG665))/STDEV('The List'!AG2:AG665)</f>
        <v>-0.48979963494241452</v>
      </c>
      <c r="U487" s="54">
        <f>(VLOOKUP($A487,'The List'!$B1:$AH665,33,FALSE)-AVERAGE('The List'!AH2:AH665))/STDEV('The List'!AH2:AH665)</f>
        <v>0.4417554506454609</v>
      </c>
      <c r="V487" s="54"/>
      <c r="W487" s="64"/>
      <c r="X487" s="56"/>
      <c r="Y487" s="56"/>
      <c r="Z487" s="56"/>
      <c r="AA487" s="56"/>
      <c r="AB487" s="56"/>
      <c r="AC487" s="59"/>
      <c r="AD487" s="60"/>
      <c r="AE487" s="54"/>
    </row>
    <row r="488" spans="1:31" ht="21.25" customHeight="1" x14ac:dyDescent="0.15">
      <c r="A488" s="9" t="s">
        <v>651</v>
      </c>
      <c r="B488" s="65" t="str">
        <f>VLOOKUP(A488,'Player Data'!A1:B667,2,FALSE)</f>
        <v>CHI</v>
      </c>
      <c r="C488" s="51">
        <f>((E488)*Settings!$C$12)+(F488*Settings!$C$2)+(G488*Settings!$C$3)+(H488*Settings!$C$4)+(I488*Settings!$C$5)+(K488*Settings!$C$9)+(N488*Settings!$C$6)+(J488*Settings!$C$8)+(O488*Settings!$C$7)+(P488*Settings!$C$14)+(Q488*Settings!$C$15)+(R488*Settings!$C$16)+(S488*Settings!$C$17)+(T488*Settings!$C$18)+(U488*Settings!$C$19)+(L488*Settings!$C$10)+(Settings!$C$11*M488)</f>
        <v>-5.1584107789097429</v>
      </c>
      <c r="D488" s="56">
        <f>IF(Settings!$E$12="YES",VLOOKUP(A488,'Player Data'!A1:E667,5,FALSE),82)</f>
        <v>61.28</v>
      </c>
      <c r="E488" s="54">
        <f>(VLOOKUP($A488,'The List'!$B1:$AH665,17,FALSE)-AVERAGE('The List'!R2:R665))/STDEV('The List'!R2:R665)</f>
        <v>-0.23680419275545767</v>
      </c>
      <c r="F488" s="54">
        <f>(VLOOKUP($A488,'The List'!$B1:$AH665,18,FALSE)-AVERAGE('The List'!S2:S665))/STDEV('The List'!S2:S665)</f>
        <v>-1.1848370582641048</v>
      </c>
      <c r="G488" s="54">
        <f>(VLOOKUP($A488,'The List'!$B1:$AH665,19,FALSE)-AVERAGE('The List'!T2:T665))/STDEV('The List'!T2:T665)</f>
        <v>-0.73162217119309425</v>
      </c>
      <c r="H488" s="54">
        <f>(VLOOKUP($A488,'The List'!$B1:$AH665,20,FALSE)-AVERAGE('The List'!U2:U665))/STDEV('The List'!U2:U665)</f>
        <v>-0.992943268852997</v>
      </c>
      <c r="I488" s="54">
        <f>(VLOOKUP($A488,'The List'!$B1:$AH665,21,FALSE)-AVERAGE('The List'!V2:V665))/STDEV('The List'!V2:V665)</f>
        <v>-1.3767832094157113</v>
      </c>
      <c r="J488" s="54">
        <f>(VLOOKUP($A488,'The List'!$B1:$AH665,22,FALSE)-AVERAGE('The List'!W2:W665))/STDEV('The List'!W2:W665)</f>
        <v>-0.73945745776709471</v>
      </c>
      <c r="K488" s="54">
        <f>(VLOOKUP($A488,'The List'!$B1:$AH665,23,FALSE)-AVERAGE('The List'!X2:X665))/STDEV('The List'!X2:X665)</f>
        <v>-0.81451802705874765</v>
      </c>
      <c r="L488" s="54">
        <f>(VLOOKUP($A488,'The List'!$B1:$AH665,24,FALSE)-AVERAGE('The List'!Y2:Y665))/STDEV('The List'!Y2:Y665)</f>
        <v>-0.55494331247118656</v>
      </c>
      <c r="M488" s="54">
        <f>(VLOOKUP($A488,'The List'!$B1:$AH665,25,FALSE)-AVERAGE('The List'!Z2:Z665))/STDEV('The List'!Z2:Z665)</f>
        <v>-0.68386620546680787</v>
      </c>
      <c r="N488" s="54">
        <f>(VLOOKUP($A488,'The List'!$B1:$AH665,26,FALSE)-AVERAGE('The List'!AA2:AA665))/STDEV('The List'!AA2:AA665)</f>
        <v>0.16554980698639726</v>
      </c>
      <c r="O488" s="54">
        <f>(VLOOKUP($A488,'The List'!$B1:$AH665,27,FALSE)-AVERAGE('The List'!AB2:AB665))/STDEV('The List'!AB2:AB665)</f>
        <v>-0.65345054925777735</v>
      </c>
      <c r="P488" s="54">
        <f>(VLOOKUP($A488,'The List'!$B1:$AH665,28,FALSE)-AVERAGE('The List'!AC2:AC665))/STDEV('The List'!AC2:AC665)</f>
        <v>-1.2162001199644816</v>
      </c>
      <c r="Q488" s="54">
        <f>(VLOOKUP($A488,'The List'!$B1:$AH665,29,FALSE)-AVERAGE('The List'!AD2:AD665))/STDEV('The List'!AD2:AD665)</f>
        <v>-0.23735551141954728</v>
      </c>
      <c r="R488" s="54">
        <f>(VLOOKUP($A488,'The List'!$B1:$AH665,30,FALSE)-AVERAGE('The List'!AE2:AE665))/STDEV('The List'!AE2:AE665)</f>
        <v>-1.1517092159026796</v>
      </c>
      <c r="S488" s="54">
        <f>(VLOOKUP($A488,'The List'!$B1:$AH665,31,FALSE)-AVERAGE('The List'!AF2:AF665))/STDEV('The List'!AF2:AF665)</f>
        <v>-0.57389441068000469</v>
      </c>
      <c r="T488" s="54">
        <f>(VLOOKUP($A488,'The List'!$B1:$AH665,32,FALSE)-AVERAGE('The List'!AG2:AG665))/STDEV('The List'!AG2:AG665)</f>
        <v>-0.62577078713265111</v>
      </c>
      <c r="U488" s="54">
        <f>(VLOOKUP($A488,'The List'!$B1:$AH665,33,FALSE)-AVERAGE('The List'!AH2:AH665))/STDEV('The List'!AH2:AH665)</f>
        <v>-1.2314350945148611</v>
      </c>
      <c r="V488" s="54"/>
      <c r="W488" s="64"/>
      <c r="X488" s="56"/>
      <c r="Y488" s="56"/>
      <c r="Z488" s="56"/>
      <c r="AA488" s="56"/>
      <c r="AB488" s="56"/>
      <c r="AC488" s="59"/>
      <c r="AD488" s="60"/>
      <c r="AE488" s="54"/>
    </row>
    <row r="489" spans="1:31" ht="21.25" customHeight="1" x14ac:dyDescent="0.15">
      <c r="A489" s="9" t="s">
        <v>704</v>
      </c>
      <c r="B489" s="65" t="str">
        <f>VLOOKUP(A489,'Player Data'!A1:B667,2,FALSE)</f>
        <v>EDM</v>
      </c>
      <c r="C489" s="51">
        <f>((E489)*Settings!$C$12)+(F489*Settings!$C$2)+(G489*Settings!$C$3)+(H489*Settings!$C$4)+(I489*Settings!$C$5)+(K489*Settings!$C$9)+(N489*Settings!$C$6)+(J489*Settings!$C$8)+(O489*Settings!$C$7)+(P489*Settings!$C$14)+(Q489*Settings!$C$15)+(R489*Settings!$C$16)+(S489*Settings!$C$17)+(T489*Settings!$C$18)+(U489*Settings!$C$19)+(L489*Settings!$C$10)+(Settings!$C$11*M489)</f>
        <v>-3.7999811482212444</v>
      </c>
      <c r="D489" s="56">
        <f>IF(Settings!$E$12="YES",VLOOKUP(A489,'Player Data'!A1:E667,5,FALSE),82)</f>
        <v>76.922499999999999</v>
      </c>
      <c r="E489" s="54">
        <f>(VLOOKUP($A489,'The List'!$B1:$AH665,17,FALSE)-AVERAGE('The List'!R2:R665))/STDEV('The List'!R2:R665)</f>
        <v>-1.5475566754042094</v>
      </c>
      <c r="F489" s="54">
        <f>(VLOOKUP($A489,'The List'!$B1:$AH665,18,FALSE)-AVERAGE('The List'!S2:S665))/STDEV('The List'!S2:S665)</f>
        <v>-0.48356364329426937</v>
      </c>
      <c r="G489" s="54">
        <f>(VLOOKUP($A489,'The List'!$B1:$AH665,19,FALSE)-AVERAGE('The List'!T2:T665))/STDEV('The List'!T2:T665)</f>
        <v>-0.98038133930305071</v>
      </c>
      <c r="H489" s="54">
        <f>(VLOOKUP($A489,'The List'!$B1:$AH665,20,FALSE)-AVERAGE('The List'!U2:U665))/STDEV('The List'!U2:U665)</f>
        <v>-0.82867459820320699</v>
      </c>
      <c r="I489" s="54">
        <f>(VLOOKUP($A489,'The List'!$B1:$AH665,21,FALSE)-AVERAGE('The List'!V2:V665))/STDEV('The List'!V2:V665)</f>
        <v>-0.61266951597355745</v>
      </c>
      <c r="J489" s="54">
        <f>(VLOOKUP($A489,'The List'!$B1:$AH665,22,FALSE)-AVERAGE('The List'!W2:W665))/STDEV('The List'!W2:W665)</f>
        <v>-0.53455072240873391</v>
      </c>
      <c r="K489" s="54">
        <f>(VLOOKUP($A489,'The List'!$B1:$AH665,23,FALSE)-AVERAGE('The List'!X2:X665))/STDEV('The List'!X2:X665)</f>
        <v>-0.69178193974313007</v>
      </c>
      <c r="L489" s="54">
        <f>(VLOOKUP($A489,'The List'!$B1:$AH665,24,FALSE)-AVERAGE('The List'!Y2:Y665))/STDEV('The List'!Y2:Y665)</f>
        <v>-0.5801829139020841</v>
      </c>
      <c r="M489" s="54">
        <f>(VLOOKUP($A489,'The List'!$B1:$AH665,25,FALSE)-AVERAGE('The List'!Z2:Z665))/STDEV('The List'!Z2:Z665)</f>
        <v>-0.75403666498999722</v>
      </c>
      <c r="N489" s="54">
        <f>(VLOOKUP($A489,'The List'!$B1:$AH665,26,FALSE)-AVERAGE('The List'!AA2:AA665))/STDEV('The List'!AA2:AA665)</f>
        <v>-0.9312833082271591</v>
      </c>
      <c r="O489" s="54">
        <f>(VLOOKUP($A489,'The List'!$B1:$AH665,27,FALSE)-AVERAGE('The List'!AB2:AB665))/STDEV('The List'!AB2:AB665)</f>
        <v>-0.50114138139982278</v>
      </c>
      <c r="P489" s="54">
        <f>(VLOOKUP($A489,'The List'!$B1:$AH665,28,FALSE)-AVERAGE('The List'!AC2:AC665))/STDEV('The List'!AC2:AC665)</f>
        <v>-0.10030140168007771</v>
      </c>
      <c r="Q489" s="54">
        <f>(VLOOKUP($A489,'The List'!$B1:$AH665,29,FALSE)-AVERAGE('The List'!AD2:AD665))/STDEV('The List'!AD2:AD665)</f>
        <v>1.0883614319113541</v>
      </c>
      <c r="R489" s="54">
        <f>(VLOOKUP($A489,'The List'!$B1:$AH665,30,FALSE)-AVERAGE('The List'!AE2:AE665))/STDEV('The List'!AE2:AE665)</f>
        <v>-0.39411820985638507</v>
      </c>
      <c r="S489" s="54">
        <f>(VLOOKUP($A489,'The List'!$B1:$AH665,31,FALSE)-AVERAGE('The List'!AF2:AF665))/STDEV('The List'!AF2:AF665)</f>
        <v>-0.57288795147271832</v>
      </c>
      <c r="T489" s="54">
        <f>(VLOOKUP($A489,'The List'!$B1:$AH665,32,FALSE)-AVERAGE('The List'!AG2:AG665))/STDEV('The List'!AG2:AG665)</f>
        <v>-0.61977477768430289</v>
      </c>
      <c r="U489" s="54">
        <f>(VLOOKUP($A489,'The List'!$B1:$AH665,33,FALSE)-AVERAGE('The List'!AH2:AH665))/STDEV('The List'!AH2:AH665)</f>
        <v>-0.54471742073811336</v>
      </c>
      <c r="V489" s="54"/>
      <c r="W489" s="64"/>
      <c r="X489" s="56"/>
      <c r="Y489" s="56"/>
      <c r="Z489" s="56"/>
      <c r="AA489" s="56"/>
      <c r="AB489" s="56"/>
      <c r="AC489" s="59"/>
      <c r="AD489" s="60"/>
      <c r="AE489" s="54"/>
    </row>
    <row r="490" spans="1:31" ht="21.25" customHeight="1" x14ac:dyDescent="0.15">
      <c r="A490" s="9" t="s">
        <v>498</v>
      </c>
      <c r="B490" s="65" t="str">
        <f>VLOOKUP(A490,'Player Data'!A1:B667,2,FALSE)</f>
        <v>ANA</v>
      </c>
      <c r="C490" s="51">
        <f>((E490)*Settings!$C$12)+(F490*Settings!$C$2)+(G490*Settings!$C$3)+(H490*Settings!$C$4)+(I490*Settings!$C$5)+(K490*Settings!$C$9)+(N490*Settings!$C$6)+(J490*Settings!$C$8)+(O490*Settings!$C$7)+(P490*Settings!$C$14)+(Q490*Settings!$C$15)+(R490*Settings!$C$16)+(S490*Settings!$C$17)+(T490*Settings!$C$18)+(U490*Settings!$C$19)+(L490*Settings!$C$10)+(Settings!$C$11*M490)</f>
        <v>-3.8650777135902183</v>
      </c>
      <c r="D490" s="56">
        <f>IF(Settings!$E$12="YES",VLOOKUP(A490,'Player Data'!A1:E667,5,FALSE),82)</f>
        <v>77.465000000000003</v>
      </c>
      <c r="E490" s="54">
        <f>(VLOOKUP($A490,'The List'!$B1:$AH665,17,FALSE)-AVERAGE('The List'!R2:R665))/STDEV('The List'!R2:R665)</f>
        <v>0.43415741521085732</v>
      </c>
      <c r="F490" s="54">
        <f>(VLOOKUP($A490,'The List'!$B1:$AH665,18,FALSE)-AVERAGE('The List'!S2:S665))/STDEV('The List'!S2:S665)</f>
        <v>-1.0464176941047314</v>
      </c>
      <c r="G490" s="54">
        <f>(VLOOKUP($A490,'The List'!$B1:$AH665,19,FALSE)-AVERAGE('The List'!T2:T665))/STDEV('The List'!T2:T665)</f>
        <v>-0.55955562826405347</v>
      </c>
      <c r="H490" s="54">
        <f>(VLOOKUP($A490,'The List'!$B1:$AH665,20,FALSE)-AVERAGE('The List'!U2:U665))/STDEV('The List'!U2:U665)</f>
        <v>-0.82316209010590602</v>
      </c>
      <c r="I490" s="54">
        <f>(VLOOKUP($A490,'The List'!$B1:$AH665,21,FALSE)-AVERAGE('The List'!V2:V665))/STDEV('The List'!V2:V665)</f>
        <v>-1.1194074735031583</v>
      </c>
      <c r="J490" s="54">
        <f>(VLOOKUP($A490,'The List'!$B1:$AH665,22,FALSE)-AVERAGE('The List'!W2:W665))/STDEV('The List'!W2:W665)</f>
        <v>-0.72533269101063036</v>
      </c>
      <c r="K490" s="54">
        <f>(VLOOKUP($A490,'The List'!$B1:$AH665,23,FALSE)-AVERAGE('The List'!X2:X665))/STDEV('The List'!X2:X665)</f>
        <v>-0.73458219309858186</v>
      </c>
      <c r="L490" s="54">
        <f>(VLOOKUP($A490,'The List'!$B1:$AH665,24,FALSE)-AVERAGE('The List'!Y2:Y665))/STDEV('The List'!Y2:Y665)</f>
        <v>-0.49753290677335171</v>
      </c>
      <c r="M490" s="54">
        <f>(VLOOKUP($A490,'The List'!$B1:$AH665,25,FALSE)-AVERAGE('The List'!Z2:Z665))/STDEV('The List'!Z2:Z665)</f>
        <v>-0.54172528593407121</v>
      </c>
      <c r="N490" s="54">
        <f>(VLOOKUP($A490,'The List'!$B1:$AH665,26,FALSE)-AVERAGE('The List'!AA2:AA665))/STDEV('The List'!AA2:AA665)</f>
        <v>1.547350702917285</v>
      </c>
      <c r="O490" s="54">
        <f>(VLOOKUP($A490,'The List'!$B1:$AH665,27,FALSE)-AVERAGE('The List'!AB2:AB665))/STDEV('The List'!AB2:AB665)</f>
        <v>-0.39589541596156724</v>
      </c>
      <c r="P490" s="54">
        <f>(VLOOKUP($A490,'The List'!$B1:$AH665,28,FALSE)-AVERAGE('The List'!AC2:AC665))/STDEV('The List'!AC2:AC665)</f>
        <v>-1.9524654275369784</v>
      </c>
      <c r="Q490" s="54">
        <f>(VLOOKUP($A490,'The List'!$B1:$AH665,29,FALSE)-AVERAGE('The List'!AD2:AD665))/STDEV('The List'!AD2:AD665)</f>
        <v>-0.31968002566292458</v>
      </c>
      <c r="R490" s="54">
        <f>(VLOOKUP($A490,'The List'!$B1:$AH665,30,FALSE)-AVERAGE('The List'!AE2:AE665))/STDEV('The List'!AE2:AE665)</f>
        <v>-1.0602398218342923</v>
      </c>
      <c r="S490" s="54">
        <f>(VLOOKUP($A490,'The List'!$B1:$AH665,31,FALSE)-AVERAGE('The List'!AF2:AF665))/STDEV('The List'!AF2:AF665)</f>
        <v>-0.57389441068000469</v>
      </c>
      <c r="T490" s="54">
        <f>(VLOOKUP($A490,'The List'!$B1:$AH665,32,FALSE)-AVERAGE('The List'!AG2:AG665))/STDEV('The List'!AG2:AG665)</f>
        <v>-0.62577078713265111</v>
      </c>
      <c r="U490" s="54">
        <f>(VLOOKUP($A490,'The List'!$B1:$AH665,33,FALSE)-AVERAGE('The List'!AH2:AH665))/STDEV('The List'!AH2:AH665)</f>
        <v>-1.2314350945148611</v>
      </c>
      <c r="V490" s="54"/>
      <c r="W490" s="64"/>
      <c r="X490" s="56"/>
      <c r="Y490" s="56"/>
      <c r="Z490" s="56"/>
      <c r="AA490" s="56"/>
      <c r="AB490" s="56"/>
      <c r="AC490" s="59"/>
      <c r="AD490" s="60"/>
      <c r="AE490" s="54"/>
    </row>
    <row r="491" spans="1:31" ht="21.25" customHeight="1" x14ac:dyDescent="0.15">
      <c r="A491" s="9" t="s">
        <v>707</v>
      </c>
      <c r="B491" s="65" t="str">
        <f>VLOOKUP(A491,'Player Data'!A1:B667,2,FALSE)</f>
        <v>DET</v>
      </c>
      <c r="C491" s="51">
        <f>((E491)*Settings!$C$12)+(F491*Settings!$C$2)+(G491*Settings!$C$3)+(H491*Settings!$C$4)+(I491*Settings!$C$5)+(K491*Settings!$C$9)+(N491*Settings!$C$6)+(J491*Settings!$C$8)+(O491*Settings!$C$7)+(P491*Settings!$C$14)+(Q491*Settings!$C$15)+(R491*Settings!$C$16)+(S491*Settings!$C$17)+(T491*Settings!$C$18)+(U491*Settings!$C$19)+(L491*Settings!$C$10)+(Settings!$C$11*M491)</f>
        <v>-4.6467128558687412</v>
      </c>
      <c r="D491" s="56">
        <f>IF(Settings!$E$12="YES",VLOOKUP(A491,'Player Data'!A1:E667,5,FALSE),82)</f>
        <v>78.322500000000005</v>
      </c>
      <c r="E491" s="54">
        <f>(VLOOKUP($A491,'The List'!$B1:$AH665,17,FALSE)-AVERAGE('The List'!R2:R665))/STDEV('The List'!R2:R665)</f>
        <v>-1.4978814078937053</v>
      </c>
      <c r="F491" s="54">
        <f>(VLOOKUP($A491,'The List'!$B1:$AH665,18,FALSE)-AVERAGE('The List'!S2:S665))/STDEV('The List'!S2:S665)</f>
        <v>-0.64575906241839576</v>
      </c>
      <c r="G491" s="54">
        <f>(VLOOKUP($A491,'The List'!$B1:$AH665,19,FALSE)-AVERAGE('The List'!T2:T665))/STDEV('The List'!T2:T665)</f>
        <v>-0.84181055583333775</v>
      </c>
      <c r="H491" s="54">
        <f>(VLOOKUP($A491,'The List'!$B1:$AH665,20,FALSE)-AVERAGE('The List'!U2:U665))/STDEV('The List'!U2:U665)</f>
        <v>-0.81633987785375084</v>
      </c>
      <c r="I491" s="54">
        <f>(VLOOKUP($A491,'The List'!$B1:$AH665,21,FALSE)-AVERAGE('The List'!V2:V665))/STDEV('The List'!V2:V665)</f>
        <v>-0.72832219683097688</v>
      </c>
      <c r="J491" s="54">
        <f>(VLOOKUP($A491,'The List'!$B1:$AH665,22,FALSE)-AVERAGE('The List'!W2:W665))/STDEV('The List'!W2:W665)</f>
        <v>-0.72854525832897632</v>
      </c>
      <c r="K491" s="54">
        <f>(VLOOKUP($A491,'The List'!$B1:$AH665,23,FALSE)-AVERAGE('The List'!X2:X665))/STDEV('The List'!X2:X665)</f>
        <v>-0.81338341362055633</v>
      </c>
      <c r="L491" s="54">
        <f>(VLOOKUP($A491,'The List'!$B1:$AH665,24,FALSE)-AVERAGE('The List'!Y2:Y665))/STDEV('The List'!Y2:Y665)</f>
        <v>0.36477721441842931</v>
      </c>
      <c r="M491" s="54">
        <f>(VLOOKUP($A491,'The List'!$B1:$AH665,25,FALSE)-AVERAGE('The List'!Z2:Z665))/STDEV('The List'!Z2:Z665)</f>
        <v>-0.11928446564845048</v>
      </c>
      <c r="N491" s="54">
        <f>(VLOOKUP($A491,'The List'!$B1:$AH665,26,FALSE)-AVERAGE('The List'!AA2:AA665))/STDEV('The List'!AA2:AA665)</f>
        <v>-0.80230605672365241</v>
      </c>
      <c r="O491" s="54">
        <f>(VLOOKUP($A491,'The List'!$B1:$AH665,27,FALSE)-AVERAGE('The List'!AB2:AB665))/STDEV('The List'!AB2:AB665)</f>
        <v>0.70486193668213504</v>
      </c>
      <c r="P491" s="54">
        <f>(VLOOKUP($A491,'The List'!$B1:$AH665,28,FALSE)-AVERAGE('The List'!AC2:AC665))/STDEV('The List'!AC2:AC665)</f>
        <v>-0.81513157044182216</v>
      </c>
      <c r="Q491" s="54">
        <f>(VLOOKUP($A491,'The List'!$B1:$AH665,29,FALSE)-AVERAGE('The List'!AD2:AD665))/STDEV('The List'!AD2:AD665)</f>
        <v>-0.63105141566046363</v>
      </c>
      <c r="R491" s="54">
        <f>(VLOOKUP($A491,'The List'!$B1:$AH665,30,FALSE)-AVERAGE('The List'!AE2:AE665))/STDEV('The List'!AE2:AE665)</f>
        <v>-0.66874729538141686</v>
      </c>
      <c r="S491" s="54">
        <f>(VLOOKUP($A491,'The List'!$B1:$AH665,31,FALSE)-AVERAGE('The List'!AF2:AF665))/STDEV('The List'!AF2:AF665)</f>
        <v>-0.30076970122357854</v>
      </c>
      <c r="T491" s="54">
        <f>(VLOOKUP($A491,'The List'!$B1:$AH665,32,FALSE)-AVERAGE('The List'!AG2:AG665))/STDEV('The List'!AG2:AG665)</f>
        <v>5.8426456961423512E-2</v>
      </c>
      <c r="U491" s="54">
        <f>(VLOOKUP($A491,'The List'!$B1:$AH665,33,FALSE)-AVERAGE('The List'!AH2:AH665))/STDEV('The List'!AH2:AH665)</f>
        <v>0.11962839647331082</v>
      </c>
      <c r="V491" s="54"/>
      <c r="W491" s="64"/>
      <c r="X491" s="56"/>
      <c r="Y491" s="56"/>
      <c r="Z491" s="56"/>
      <c r="AA491" s="56"/>
      <c r="AB491" s="56"/>
      <c r="AC491" s="59"/>
      <c r="AD491" s="60"/>
      <c r="AE491" s="54"/>
    </row>
    <row r="492" spans="1:31" ht="21.25" customHeight="1" x14ac:dyDescent="0.15">
      <c r="A492" s="9" t="s">
        <v>766</v>
      </c>
      <c r="B492" s="65" t="str">
        <f>VLOOKUP(A492,'Player Data'!A1:B667,2,FALSE)</f>
        <v>NYR</v>
      </c>
      <c r="C492" s="51">
        <f>((E492)*Settings!$C$12)+(F492*Settings!$C$2)+(G492*Settings!$C$3)+(H492*Settings!$C$4)+(I492*Settings!$C$5)+(K492*Settings!$C$9)+(N492*Settings!$C$6)+(J492*Settings!$C$8)+(O492*Settings!$C$7)+(P492*Settings!$C$14)+(Q492*Settings!$C$15)+(R492*Settings!$C$16)+(S492*Settings!$C$17)+(T492*Settings!$C$18)+(U492*Settings!$C$19)+(L492*Settings!$C$10)+(Settings!$C$11*M492)</f>
        <v>-3.7744264855989464</v>
      </c>
      <c r="D492" s="56">
        <f>IF(Settings!$E$12="YES",VLOOKUP(A492,'Player Data'!A1:E667,5,FALSE),82)</f>
        <v>62.655000000000001</v>
      </c>
      <c r="E492" s="54">
        <f>(VLOOKUP($A492,'The List'!$B1:$AH665,17,FALSE)-AVERAGE('The List'!R2:R665))/STDEV('The List'!R2:R665)</f>
        <v>-1.6726072838051083</v>
      </c>
      <c r="F492" s="54">
        <f>(VLOOKUP($A492,'The List'!$B1:$AH665,18,FALSE)-AVERAGE('The List'!S2:S665))/STDEV('The List'!S2:S665)</f>
        <v>-0.8338289000098863</v>
      </c>
      <c r="G492" s="54">
        <f>(VLOOKUP($A492,'The List'!$B1:$AH665,19,FALSE)-AVERAGE('The List'!T2:T665))/STDEV('The List'!T2:T665)</f>
        <v>-0.97312992008600219</v>
      </c>
      <c r="H492" s="54">
        <f>(VLOOKUP($A492,'The List'!$B1:$AH665,20,FALSE)-AVERAGE('The List'!U2:U665))/STDEV('The List'!U2:U665)</f>
        <v>-0.98338326775714591</v>
      </c>
      <c r="I492" s="54">
        <f>(VLOOKUP($A492,'The List'!$B1:$AH665,21,FALSE)-AVERAGE('The List'!V2:V665))/STDEV('The List'!V2:V665)</f>
        <v>-0.71016530807331457</v>
      </c>
      <c r="J492" s="54">
        <f>(VLOOKUP($A492,'The List'!$B1:$AH665,22,FALSE)-AVERAGE('The List'!W2:W665))/STDEV('The List'!W2:W665)</f>
        <v>-0.60276339648091759</v>
      </c>
      <c r="K492" s="54">
        <f>(VLOOKUP($A492,'The List'!$B1:$AH665,23,FALSE)-AVERAGE('The List'!X2:X665))/STDEV('The List'!X2:X665)</f>
        <v>-0.70659303740137924</v>
      </c>
      <c r="L492" s="54">
        <f>(VLOOKUP($A492,'The List'!$B1:$AH665,24,FALSE)-AVERAGE('The List'!Y2:Y665))/STDEV('The List'!Y2:Y665)</f>
        <v>-0.57733936606382164</v>
      </c>
      <c r="M492" s="54">
        <f>(VLOOKUP($A492,'The List'!$B1:$AH665,25,FALSE)-AVERAGE('The List'!Z2:Z665))/STDEV('The List'!Z2:Z665)</f>
        <v>-0.75100102685532533</v>
      </c>
      <c r="N492" s="54">
        <f>(VLOOKUP($A492,'The List'!$B1:$AH665,26,FALSE)-AVERAGE('The List'!AA2:AA665))/STDEV('The List'!AA2:AA665)</f>
        <v>-0.93685574919305714</v>
      </c>
      <c r="O492" s="54">
        <f>(VLOOKUP($A492,'The List'!$B1:$AH665,27,FALSE)-AVERAGE('The List'!AB2:AB665))/STDEV('The List'!AB2:AB665)</f>
        <v>-0.84892709976894476</v>
      </c>
      <c r="P492" s="54">
        <f>(VLOOKUP($A492,'The List'!$B1:$AH665,28,FALSE)-AVERAGE('The List'!AC2:AC665))/STDEV('The List'!AC2:AC665)</f>
        <v>0.38614642916469294</v>
      </c>
      <c r="Q492" s="54">
        <f>(VLOOKUP($A492,'The List'!$B1:$AH665,29,FALSE)-AVERAGE('The List'!AD2:AD665))/STDEV('The List'!AD2:AD665)</f>
        <v>-1.2004706849264977</v>
      </c>
      <c r="R492" s="54">
        <f>(VLOOKUP($A492,'The List'!$B1:$AH665,30,FALSE)-AVERAGE('The List'!AE2:AE665))/STDEV('The List'!AE2:AE665)</f>
        <v>-0.75079369546343444</v>
      </c>
      <c r="S492" s="54">
        <f>(VLOOKUP($A492,'The List'!$B1:$AH665,31,FALSE)-AVERAGE('The List'!AF2:AF665))/STDEV('The List'!AF2:AF665)</f>
        <v>0.2613334577714887</v>
      </c>
      <c r="T492" s="54">
        <f>(VLOOKUP($A492,'The List'!$B1:$AH665,32,FALSE)-AVERAGE('The List'!AG2:AG665))/STDEV('The List'!AG2:AG665)</f>
        <v>0.24011058656440978</v>
      </c>
      <c r="U492" s="54">
        <f>(VLOOKUP($A492,'The List'!$B1:$AH665,33,FALSE)-AVERAGE('The List'!AH2:AH665))/STDEV('The List'!AH2:AH665)</f>
        <v>1.0641699859336111</v>
      </c>
      <c r="V492" s="54"/>
      <c r="W492" s="64"/>
      <c r="X492" s="56"/>
      <c r="Y492" s="56"/>
      <c r="Z492" s="56"/>
      <c r="AA492" s="56"/>
      <c r="AB492" s="56"/>
      <c r="AC492" s="59"/>
      <c r="AD492" s="60"/>
      <c r="AE492" s="54"/>
    </row>
    <row r="493" spans="1:31" ht="21.25" customHeight="1" x14ac:dyDescent="0.15">
      <c r="A493" s="9" t="s">
        <v>557</v>
      </c>
      <c r="B493" s="65" t="str">
        <f>VLOOKUP(A493,'Player Data'!A1:B667,2,FALSE)</f>
        <v>PIT</v>
      </c>
      <c r="C493" s="51">
        <f>((E493)*Settings!$C$12)+(F493*Settings!$C$2)+(G493*Settings!$C$3)+(H493*Settings!$C$4)+(I493*Settings!$C$5)+(K493*Settings!$C$9)+(N493*Settings!$C$6)+(J493*Settings!$C$8)+(O493*Settings!$C$7)+(P493*Settings!$C$14)+(Q493*Settings!$C$15)+(R493*Settings!$C$16)+(S493*Settings!$C$17)+(T493*Settings!$C$18)+(U493*Settings!$C$19)+(L493*Settings!$C$10)+(Settings!$C$11*M493)</f>
        <v>-2.7230957800953437</v>
      </c>
      <c r="D493" s="56">
        <f>IF(Settings!$E$12="YES",VLOOKUP(A493,'Player Data'!A1:E667,5,FALSE),82)</f>
        <v>76.795000000000002</v>
      </c>
      <c r="E493" s="54">
        <f>(VLOOKUP($A493,'The List'!$B1:$AH665,17,FALSE)-AVERAGE('The List'!R2:R665))/STDEV('The List'!R2:R665)</f>
        <v>-0.15109371953405934</v>
      </c>
      <c r="F493" s="54">
        <f>(VLOOKUP($A493,'The List'!$B1:$AH665,18,FALSE)-AVERAGE('The List'!S2:S665))/STDEV('The List'!S2:S665)</f>
        <v>-1.0279331351844831</v>
      </c>
      <c r="G493" s="54">
        <f>(VLOOKUP($A493,'The List'!$B1:$AH665,19,FALSE)-AVERAGE('The List'!T2:T665))/STDEV('The List'!T2:T665)</f>
        <v>-0.59187223604807393</v>
      </c>
      <c r="H493" s="54">
        <f>(VLOOKUP($A493,'The List'!$B1:$AH665,20,FALSE)-AVERAGE('The List'!U2:U665))/STDEV('The List'!U2:U665)</f>
        <v>-0.83483040997082336</v>
      </c>
      <c r="I493" s="54">
        <f>(VLOOKUP($A493,'The List'!$B1:$AH665,21,FALSE)-AVERAGE('The List'!V2:V665))/STDEV('The List'!V2:V665)</f>
        <v>-0.88399253568761338</v>
      </c>
      <c r="J493" s="54">
        <f>(VLOOKUP($A493,'The List'!$B1:$AH665,22,FALSE)-AVERAGE('The List'!W2:W665))/STDEV('The List'!W2:W665)</f>
        <v>-0.74085453514837374</v>
      </c>
      <c r="K493" s="54">
        <f>(VLOOKUP($A493,'The List'!$B1:$AH665,23,FALSE)-AVERAGE('The List'!X2:X665))/STDEV('The List'!X2:X665)</f>
        <v>-0.80054433116064583</v>
      </c>
      <c r="L493" s="54">
        <f>(VLOOKUP($A493,'The List'!$B1:$AH665,24,FALSE)-AVERAGE('The List'!Y2:Y665))/STDEV('The List'!Y2:Y665)</f>
        <v>-0.5536653526199099</v>
      </c>
      <c r="M493" s="54">
        <f>(VLOOKUP($A493,'The List'!$B1:$AH665,25,FALSE)-AVERAGE('The List'!Z2:Z665))/STDEV('The List'!Z2:Z665)</f>
        <v>-0.67184958218819224</v>
      </c>
      <c r="N493" s="54">
        <f>(VLOOKUP($A493,'The List'!$B1:$AH665,26,FALSE)-AVERAGE('The List'!AA2:AA665))/STDEV('The List'!AA2:AA665)</f>
        <v>0.53093207952472188</v>
      </c>
      <c r="O493" s="54">
        <f>(VLOOKUP($A493,'The List'!$B1:$AH665,27,FALSE)-AVERAGE('The List'!AB2:AB665))/STDEV('The List'!AB2:AB665)</f>
        <v>-0.48431220425177052</v>
      </c>
      <c r="P493" s="54">
        <f>(VLOOKUP($A493,'The List'!$B1:$AH665,28,FALSE)-AVERAGE('The List'!AC2:AC665))/STDEV('The List'!AC2:AC665)</f>
        <v>5.0314378460750708E-2</v>
      </c>
      <c r="Q493" s="54">
        <f>(VLOOKUP($A493,'The List'!$B1:$AH665,29,FALSE)-AVERAGE('The List'!AD2:AD665))/STDEV('The List'!AD2:AD665)</f>
        <v>-0.36265985755800256</v>
      </c>
      <c r="R493" s="54">
        <f>(VLOOKUP($A493,'The List'!$B1:$AH665,30,FALSE)-AVERAGE('The List'!AE2:AE665))/STDEV('The List'!AE2:AE665)</f>
        <v>-0.98428162090775484</v>
      </c>
      <c r="S493" s="54">
        <f>(VLOOKUP($A493,'The List'!$B1:$AH665,31,FALSE)-AVERAGE('The List'!AF2:AF665))/STDEV('The List'!AF2:AF665)</f>
        <v>-0.57389441068000469</v>
      </c>
      <c r="T493" s="54">
        <f>(VLOOKUP($A493,'The List'!$B1:$AH665,32,FALSE)-AVERAGE('The List'!AG2:AG665))/STDEV('The List'!AG2:AG665)</f>
        <v>-0.62577078713265111</v>
      </c>
      <c r="U493" s="54">
        <f>(VLOOKUP($A493,'The List'!$B1:$AH665,33,FALSE)-AVERAGE('The List'!AH2:AH665))/STDEV('The List'!AH2:AH665)</f>
        <v>-1.2314350945148611</v>
      </c>
      <c r="V493" s="54"/>
      <c r="W493" s="56"/>
      <c r="X493" s="54"/>
      <c r="Y493" s="54"/>
      <c r="Z493" s="54"/>
      <c r="AA493" s="54"/>
      <c r="AB493" s="54"/>
      <c r="AC493" s="54"/>
      <c r="AD493" s="54"/>
      <c r="AE493" s="54"/>
    </row>
    <row r="494" spans="1:31" ht="21.25" customHeight="1" x14ac:dyDescent="0.15">
      <c r="A494" s="9" t="s">
        <v>682</v>
      </c>
      <c r="B494" s="65" t="str">
        <f>VLOOKUP(A494,'Player Data'!A1:B667,2,FALSE)</f>
        <v>MTL</v>
      </c>
      <c r="C494" s="51">
        <f>((E494)*Settings!$C$12)+(F494*Settings!$C$2)+(G494*Settings!$C$3)+(H494*Settings!$C$4)+(I494*Settings!$C$5)+(K494*Settings!$C$9)+(N494*Settings!$C$6)+(J494*Settings!$C$8)+(O494*Settings!$C$7)+(P494*Settings!$C$14)+(Q494*Settings!$C$15)+(R494*Settings!$C$16)+(S494*Settings!$C$17)+(T494*Settings!$C$18)+(U494*Settings!$C$19)+(L494*Settings!$C$10)+(Settings!$C$11*M494)</f>
        <v>-4.3548838273651072</v>
      </c>
      <c r="D494" s="56">
        <f>IF(Settings!$E$12="YES",VLOOKUP(A494,'Player Data'!A1:E667,5,FALSE),82)</f>
        <v>71.627499999999998</v>
      </c>
      <c r="E494" s="54">
        <f>(VLOOKUP($A494,'The List'!$B1:$AH665,17,FALSE)-AVERAGE('The List'!R2:R665))/STDEV('The List'!R2:R665)</f>
        <v>-1.1169547770120123</v>
      </c>
      <c r="F494" s="54">
        <f>(VLOOKUP($A494,'The List'!$B1:$AH665,18,FALSE)-AVERAGE('The List'!S2:S665))/STDEV('The List'!S2:S665)</f>
        <v>-0.33521671666474989</v>
      </c>
      <c r="G494" s="54">
        <f>(VLOOKUP($A494,'The List'!$B1:$AH665,19,FALSE)-AVERAGE('The List'!T2:T665))/STDEV('The List'!T2:T665)</f>
        <v>-1.190176513196963</v>
      </c>
      <c r="H494" s="54">
        <f>(VLOOKUP($A494,'The List'!$B1:$AH665,20,FALSE)-AVERAGE('The List'!U2:U665))/STDEV('The List'!U2:U665)</f>
        <v>-0.89153846792972447</v>
      </c>
      <c r="I494" s="54">
        <f>(VLOOKUP($A494,'The List'!$B1:$AH665,21,FALSE)-AVERAGE('The List'!V2:V665))/STDEV('The List'!V2:V665)</f>
        <v>-0.38615336987709153</v>
      </c>
      <c r="J494" s="54">
        <f>(VLOOKUP($A494,'The List'!$B1:$AH665,22,FALSE)-AVERAGE('The List'!W2:W665))/STDEV('The List'!W2:W665)</f>
        <v>-0.6867837992078466</v>
      </c>
      <c r="K494" s="54">
        <f>(VLOOKUP($A494,'The List'!$B1:$AH665,23,FALSE)-AVERAGE('The List'!X2:X665))/STDEV('The List'!X2:X665)</f>
        <v>-0.76702248973478249</v>
      </c>
      <c r="L494" s="54">
        <f>(VLOOKUP($A494,'The List'!$B1:$AH665,24,FALSE)-AVERAGE('The List'!Y2:Y665))/STDEV('The List'!Y2:Y665)</f>
        <v>2.7640629586750696</v>
      </c>
      <c r="M494" s="54">
        <f>(VLOOKUP($A494,'The List'!$B1:$AH665,25,FALSE)-AVERAGE('The List'!Z2:Z665))/STDEV('The List'!Z2:Z665)</f>
        <v>1.3665291777405162</v>
      </c>
      <c r="N494" s="54">
        <f>(VLOOKUP($A494,'The List'!$B1:$AH665,26,FALSE)-AVERAGE('The List'!AA2:AA665))/STDEV('The List'!AA2:AA665)</f>
        <v>-0.65629462327642463</v>
      </c>
      <c r="O494" s="54">
        <f>(VLOOKUP($A494,'The List'!$B1:$AH665,27,FALSE)-AVERAGE('The List'!AB2:AB665))/STDEV('The List'!AB2:AB665)</f>
        <v>-0.69998744453109019</v>
      </c>
      <c r="P494" s="54">
        <f>(VLOOKUP($A494,'The List'!$B1:$AH665,28,FALSE)-AVERAGE('The List'!AC2:AC665))/STDEV('The List'!AC2:AC665)</f>
        <v>-1.0200201146150949</v>
      </c>
      <c r="Q494" s="54">
        <f>(VLOOKUP($A494,'The List'!$B1:$AH665,29,FALSE)-AVERAGE('The List'!AD2:AD665))/STDEV('The List'!AD2:AD665)</f>
        <v>-0.23108605061357926</v>
      </c>
      <c r="R494" s="54">
        <f>(VLOOKUP($A494,'The List'!$B1:$AH665,30,FALSE)-AVERAGE('The List'!AE2:AE665))/STDEV('The List'!AE2:AE665)</f>
        <v>-0.5323664323949755</v>
      </c>
      <c r="S494" s="54">
        <f>(VLOOKUP($A494,'The List'!$B1:$AH665,31,FALSE)-AVERAGE('The List'!AF2:AF665))/STDEV('The List'!AF2:AF665)</f>
        <v>-0.55358840571602796</v>
      </c>
      <c r="T494" s="54">
        <f>(VLOOKUP($A494,'The List'!$B1:$AH665,32,FALSE)-AVERAGE('The List'!AG2:AG665))/STDEV('The List'!AG2:AG665)</f>
        <v>-0.57177106925417742</v>
      </c>
      <c r="U494" s="54">
        <f>(VLOOKUP($A494,'The List'!$B1:$AH665,33,FALSE)-AVERAGE('The List'!AH2:AH665))/STDEV('The List'!AH2:AH665)</f>
        <v>6.3659717528579962E-2</v>
      </c>
      <c r="V494" s="54"/>
      <c r="W494" s="64"/>
      <c r="X494" s="56"/>
      <c r="Y494" s="56"/>
      <c r="Z494" s="56"/>
      <c r="AA494" s="56"/>
      <c r="AB494" s="56"/>
      <c r="AC494" s="59"/>
      <c r="AD494" s="60"/>
      <c r="AE494" s="54"/>
    </row>
    <row r="495" spans="1:31" ht="21.25" customHeight="1" x14ac:dyDescent="0.15">
      <c r="A495" s="9" t="s">
        <v>722</v>
      </c>
      <c r="B495" s="65" t="str">
        <f>VLOOKUP(A495,'Player Data'!A1:B667,2,FALSE)</f>
        <v>NSH</v>
      </c>
      <c r="C495" s="51">
        <f>((E495)*Settings!$C$12)+(F495*Settings!$C$2)+(G495*Settings!$C$3)+(H495*Settings!$C$4)+(I495*Settings!$C$5)+(K495*Settings!$C$9)+(N495*Settings!$C$6)+(J495*Settings!$C$8)+(O495*Settings!$C$7)+(P495*Settings!$C$14)+(Q495*Settings!$C$15)+(R495*Settings!$C$16)+(S495*Settings!$C$17)+(T495*Settings!$C$18)+(U495*Settings!$C$19)+(L495*Settings!$C$10)+(Settings!$C$11*M495)</f>
        <v>-3.5999095728919137</v>
      </c>
      <c r="D495" s="56">
        <f>IF(Settings!$E$12="YES",VLOOKUP(A495,'Player Data'!A1:E667,5,FALSE),82)</f>
        <v>77.587500000000006</v>
      </c>
      <c r="E495" s="54">
        <f>(VLOOKUP($A495,'The List'!$B1:$AH665,17,FALSE)-AVERAGE('The List'!R2:R665))/STDEV('The List'!R2:R665)</f>
        <v>-1.0448301503013089</v>
      </c>
      <c r="F495" s="54">
        <f>(VLOOKUP($A495,'The List'!$B1:$AH665,18,FALSE)-AVERAGE('The List'!S2:S665))/STDEV('The List'!S2:S665)</f>
        <v>-0.71324361215569509</v>
      </c>
      <c r="G495" s="54">
        <f>(VLOOKUP($A495,'The List'!$B1:$AH665,19,FALSE)-AVERAGE('The List'!T2:T665))/STDEV('The List'!T2:T665)</f>
        <v>-0.81251894748526654</v>
      </c>
      <c r="H495" s="54">
        <f>(VLOOKUP($A495,'The List'!$B1:$AH665,20,FALSE)-AVERAGE('The List'!U2:U665))/STDEV('The List'!U2:U665)</f>
        <v>-0.82882307771144625</v>
      </c>
      <c r="I495" s="54">
        <f>(VLOOKUP($A495,'The List'!$B1:$AH665,21,FALSE)-AVERAGE('The List'!V2:V665))/STDEV('The List'!V2:V665)</f>
        <v>-0.61776192066847413</v>
      </c>
      <c r="J495" s="54">
        <f>(VLOOKUP($A495,'The List'!$B1:$AH665,22,FALSE)-AVERAGE('The List'!W2:W665))/STDEV('The List'!W2:W665)</f>
        <v>-0.73461615943684222</v>
      </c>
      <c r="K495" s="54">
        <f>(VLOOKUP($A495,'The List'!$B1:$AH665,23,FALSE)-AVERAGE('The List'!X2:X665))/STDEV('The List'!X2:X665)</f>
        <v>-0.81905883395149137</v>
      </c>
      <c r="L495" s="54">
        <f>(VLOOKUP($A495,'The List'!$B1:$AH665,24,FALSE)-AVERAGE('The List'!Y2:Y665))/STDEV('The List'!Y2:Y665)</f>
        <v>0.48627329160073779</v>
      </c>
      <c r="M495" s="54">
        <f>(VLOOKUP($A495,'The List'!$B1:$AH665,25,FALSE)-AVERAGE('The List'!Z2:Z665))/STDEV('The List'!Z2:Z665)</f>
        <v>1.8202855428477156</v>
      </c>
      <c r="N495" s="54">
        <f>(VLOOKUP($A495,'The List'!$B1:$AH665,26,FALSE)-AVERAGE('The List'!AA2:AA665))/STDEV('The List'!AA2:AA665)</f>
        <v>-0.78008679564559846</v>
      </c>
      <c r="O495" s="54">
        <f>(VLOOKUP($A495,'The List'!$B1:$AH665,27,FALSE)-AVERAGE('The List'!AB2:AB665))/STDEV('The List'!AB2:AB665)</f>
        <v>2.4172032808295754</v>
      </c>
      <c r="P495" s="54">
        <f>(VLOOKUP($A495,'The List'!$B1:$AH665,28,FALSE)-AVERAGE('The List'!AC2:AC665))/STDEV('The List'!AC2:AC665)</f>
        <v>0.14276053701461253</v>
      </c>
      <c r="Q495" s="54">
        <f>(VLOOKUP($A495,'The List'!$B1:$AH665,29,FALSE)-AVERAGE('The List'!AD2:AD665))/STDEV('The List'!AD2:AD665)</f>
        <v>1.0625358612213991</v>
      </c>
      <c r="R495" s="54">
        <f>(VLOOKUP($A495,'The List'!$B1:$AH665,30,FALSE)-AVERAGE('The List'!AE2:AE665))/STDEV('The List'!AE2:AE665)</f>
        <v>-0.71131978801821039</v>
      </c>
      <c r="S495" s="54">
        <f>(VLOOKUP($A495,'The List'!$B1:$AH665,31,FALSE)-AVERAGE('The List'!AF2:AF665))/STDEV('The List'!AF2:AF665)</f>
        <v>-0.56197625486753855</v>
      </c>
      <c r="T495" s="54">
        <f>(VLOOKUP($A495,'The List'!$B1:$AH665,32,FALSE)-AVERAGE('The List'!AG2:AG665))/STDEV('The List'!AG2:AG665)</f>
        <v>-0.5650093707010001</v>
      </c>
      <c r="U495" s="54">
        <f>(VLOOKUP($A495,'The List'!$B1:$AH665,33,FALSE)-AVERAGE('The List'!AH2:AH665))/STDEV('The List'!AH2:AH665)</f>
        <v>-0.44895095778834659</v>
      </c>
      <c r="V495" s="54"/>
      <c r="W495" s="56"/>
      <c r="X495" s="54"/>
      <c r="Y495" s="54"/>
      <c r="Z495" s="54"/>
      <c r="AA495" s="54"/>
      <c r="AB495" s="54"/>
      <c r="AC495" s="54"/>
      <c r="AD495" s="54"/>
      <c r="AE495" s="54"/>
    </row>
    <row r="496" spans="1:31" ht="21.25" customHeight="1" x14ac:dyDescent="0.15">
      <c r="A496" s="9" t="s">
        <v>536</v>
      </c>
      <c r="B496" s="65" t="str">
        <f>VLOOKUP(A496,'Player Data'!A1:B667,2,FALSE)</f>
        <v>VGK</v>
      </c>
      <c r="C496" s="51">
        <f>((E496)*Settings!$C$12)+(F496*Settings!$C$2)+(G496*Settings!$C$3)+(H496*Settings!$C$4)+(I496*Settings!$C$5)+(K496*Settings!$C$9)+(N496*Settings!$C$6)+(J496*Settings!$C$8)+(O496*Settings!$C$7)+(P496*Settings!$C$14)+(Q496*Settings!$C$15)+(R496*Settings!$C$16)+(S496*Settings!$C$17)+(T496*Settings!$C$18)+(U496*Settings!$C$19)+(L496*Settings!$C$10)+(Settings!$C$11*M496)</f>
        <v>-1.9123469609629711</v>
      </c>
      <c r="D496" s="56">
        <f>IF(Settings!$E$12="YES",VLOOKUP(A496,'Player Data'!A1:E667,5,FALSE),82)</f>
        <v>72.84</v>
      </c>
      <c r="E496" s="54">
        <f>(VLOOKUP($A496,'The List'!$B1:$AH665,17,FALSE)-AVERAGE('The List'!R2:R665))/STDEV('The List'!R2:R665)</f>
        <v>2.7598499182582517E-2</v>
      </c>
      <c r="F496" s="54">
        <f>(VLOOKUP($A496,'The List'!$B1:$AH665,18,FALSE)-AVERAGE('The List'!S2:S665))/STDEV('The List'!S2:S665)</f>
        <v>-0.850753434363549</v>
      </c>
      <c r="G496" s="54">
        <f>(VLOOKUP($A496,'The List'!$B1:$AH665,19,FALSE)-AVERAGE('The List'!T2:T665))/STDEV('The List'!T2:T665)</f>
        <v>-0.79305606715609578</v>
      </c>
      <c r="H496" s="54">
        <f>(VLOOKUP($A496,'The List'!$B1:$AH665,20,FALSE)-AVERAGE('The List'!U2:U665))/STDEV('The List'!U2:U665)</f>
        <v>-0.87924028522597075</v>
      </c>
      <c r="I496" s="54">
        <f>(VLOOKUP($A496,'The List'!$B1:$AH665,21,FALSE)-AVERAGE('The List'!V2:V665))/STDEV('The List'!V2:V665)</f>
        <v>-0.99227150024475563</v>
      </c>
      <c r="J496" s="54">
        <f>(VLOOKUP($A496,'The List'!$B1:$AH665,22,FALSE)-AVERAGE('The List'!W2:W665))/STDEV('The List'!W2:W665)</f>
        <v>-0.73991720626494417</v>
      </c>
      <c r="K496" s="54">
        <f>(VLOOKUP($A496,'The List'!$B1:$AH665,23,FALSE)-AVERAGE('The List'!X2:X665))/STDEV('The List'!X2:X665)</f>
        <v>-0.81447746151855649</v>
      </c>
      <c r="L496" s="54">
        <f>(VLOOKUP($A496,'The List'!$B1:$AH665,24,FALSE)-AVERAGE('The List'!Y2:Y665))/STDEV('The List'!Y2:Y665)</f>
        <v>-0.3740599520268203</v>
      </c>
      <c r="M496" s="54">
        <f>(VLOOKUP($A496,'The List'!$B1:$AH665,25,FALSE)-AVERAGE('The List'!Z2:Z665))/STDEV('The List'!Z2:Z665)</f>
        <v>-0.244937879275994</v>
      </c>
      <c r="N496" s="54">
        <f>(VLOOKUP($A496,'The List'!$B1:$AH665,26,FALSE)-AVERAGE('The List'!AA2:AA665))/STDEV('The List'!AA2:AA665)</f>
        <v>1.1080139191532548</v>
      </c>
      <c r="O496" s="54">
        <f>(VLOOKUP($A496,'The List'!$B1:$AH665,27,FALSE)-AVERAGE('The List'!AB2:AB665))/STDEV('The List'!AB2:AB665)</f>
        <v>0.75880370812737608</v>
      </c>
      <c r="P496" s="54">
        <f>(VLOOKUP($A496,'The List'!$B1:$AH665,28,FALSE)-AVERAGE('The List'!AC2:AC665))/STDEV('The List'!AC2:AC665)</f>
        <v>0.43019758316673129</v>
      </c>
      <c r="Q496" s="54">
        <f>(VLOOKUP($A496,'The List'!$B1:$AH665,29,FALSE)-AVERAGE('The List'!AD2:AD665))/STDEV('The List'!AD2:AD665)</f>
        <v>-1.7061174830420165E-2</v>
      </c>
      <c r="R496" s="54">
        <f>(VLOOKUP($A496,'The List'!$B1:$AH665,30,FALSE)-AVERAGE('The List'!AE2:AE665))/STDEV('The List'!AE2:AE665)</f>
        <v>-0.80373687710715735</v>
      </c>
      <c r="S496" s="54">
        <f>(VLOOKUP($A496,'The List'!$B1:$AH665,31,FALSE)-AVERAGE('The List'!AF2:AF665))/STDEV('The List'!AF2:AF665)</f>
        <v>-0.57389441068000469</v>
      </c>
      <c r="T496" s="54">
        <f>(VLOOKUP($A496,'The List'!$B1:$AH665,32,FALSE)-AVERAGE('The List'!AG2:AG665))/STDEV('The List'!AG2:AG665)</f>
        <v>-0.62577078713265111</v>
      </c>
      <c r="U496" s="54">
        <f>(VLOOKUP($A496,'The List'!$B1:$AH665,33,FALSE)-AVERAGE('The List'!AH2:AH665))/STDEV('The List'!AH2:AH665)</f>
        <v>-1.2314350945148611</v>
      </c>
      <c r="V496" s="54"/>
      <c r="W496" s="64"/>
      <c r="X496" s="56"/>
      <c r="Y496" s="56"/>
      <c r="Z496" s="56"/>
      <c r="AA496" s="56"/>
      <c r="AB496" s="56"/>
      <c r="AC496" s="59"/>
      <c r="AD496" s="60"/>
      <c r="AE496" s="54"/>
    </row>
    <row r="497" spans="1:31" ht="21.25" customHeight="1" x14ac:dyDescent="0.15">
      <c r="A497" s="9" t="s">
        <v>728</v>
      </c>
      <c r="B497" s="65" t="str">
        <f>VLOOKUP(A497,'Player Data'!A1:B667,2,FALSE)</f>
        <v>CBJ</v>
      </c>
      <c r="C497" s="51">
        <f>((E497)*Settings!$C$12)+(F497*Settings!$C$2)+(G497*Settings!$C$3)+(H497*Settings!$C$4)+(I497*Settings!$C$5)+(K497*Settings!$C$9)+(N497*Settings!$C$6)+(J497*Settings!$C$8)+(O497*Settings!$C$7)+(P497*Settings!$C$14)+(Q497*Settings!$C$15)+(R497*Settings!$C$16)+(S497*Settings!$C$17)+(T497*Settings!$C$18)+(U497*Settings!$C$19)+(L497*Settings!$C$10)+(Settings!$C$11*M497)</f>
        <v>-5.4185242951961285</v>
      </c>
      <c r="D497" s="56">
        <f>IF(Settings!$E$12="YES",VLOOKUP(A497,'Player Data'!A1:E667,5,FALSE),82)</f>
        <v>76.467500000000001</v>
      </c>
      <c r="E497" s="54">
        <f>(VLOOKUP($A497,'The List'!$B1:$AH665,17,FALSE)-AVERAGE('The List'!R2:R665))/STDEV('The List'!R2:R665)</f>
        <v>-1.0125894390012624</v>
      </c>
      <c r="F497" s="54">
        <f>(VLOOKUP($A497,'The List'!$B1:$AH665,18,FALSE)-AVERAGE('The List'!S2:S665))/STDEV('The List'!S2:S665)</f>
        <v>-0.49676474118632996</v>
      </c>
      <c r="G497" s="54">
        <f>(VLOOKUP($A497,'The List'!$B1:$AH665,19,FALSE)-AVERAGE('The List'!T2:T665))/STDEV('The List'!T2:T665)</f>
        <v>-0.99203370929436918</v>
      </c>
      <c r="H497" s="54">
        <f>(VLOOKUP($A497,'The List'!$B1:$AH665,20,FALSE)-AVERAGE('The List'!U2:U665))/STDEV('The List'!U2:U665)</f>
        <v>-0.84191190164909835</v>
      </c>
      <c r="I497" s="54">
        <f>(VLOOKUP($A497,'The List'!$B1:$AH665,21,FALSE)-AVERAGE('The List'!V2:V665))/STDEV('The List'!V2:V665)</f>
        <v>-0.54636331238080427</v>
      </c>
      <c r="J497" s="54">
        <f>(VLOOKUP($A497,'The List'!$B1:$AH665,22,FALSE)-AVERAGE('The List'!W2:W665))/STDEV('The List'!W2:W665)</f>
        <v>-0.72365525665296693</v>
      </c>
      <c r="K497" s="54">
        <f>(VLOOKUP($A497,'The List'!$B1:$AH665,23,FALSE)-AVERAGE('The List'!X2:X665))/STDEV('The List'!X2:X665)</f>
        <v>-0.81311698949218514</v>
      </c>
      <c r="L497" s="54">
        <f>(VLOOKUP($A497,'The List'!$B1:$AH665,24,FALSE)-AVERAGE('The List'!Y2:Y665))/STDEV('The List'!Y2:Y665)</f>
        <v>-4.520493520759148E-3</v>
      </c>
      <c r="M497" s="54">
        <f>(VLOOKUP($A497,'The List'!$B1:$AH665,25,FALSE)-AVERAGE('The List'!Z2:Z665))/STDEV('The List'!Z2:Z665)</f>
        <v>0.32632194021285876</v>
      </c>
      <c r="N497" s="54">
        <f>(VLOOKUP($A497,'The List'!$B1:$AH665,26,FALSE)-AVERAGE('The List'!AA2:AA665))/STDEV('The List'!AA2:AA665)</f>
        <v>-0.56801809363692202</v>
      </c>
      <c r="O497" s="54">
        <f>(VLOOKUP($A497,'The List'!$B1:$AH665,27,FALSE)-AVERAGE('The List'!AB2:AB665))/STDEV('The List'!AB2:AB665)</f>
        <v>1.5927425455458917</v>
      </c>
      <c r="P497" s="54">
        <f>(VLOOKUP($A497,'The List'!$B1:$AH665,28,FALSE)-AVERAGE('The List'!AC2:AC665))/STDEV('The List'!AC2:AC665)</f>
        <v>-2.0022274492055177</v>
      </c>
      <c r="Q497" s="54">
        <f>(VLOOKUP($A497,'The List'!$B1:$AH665,29,FALSE)-AVERAGE('The List'!AD2:AD665))/STDEV('The List'!AD2:AD665)</f>
        <v>0.58990980545559191</v>
      </c>
      <c r="R497" s="54">
        <f>(VLOOKUP($A497,'The List'!$B1:$AH665,30,FALSE)-AVERAGE('The List'!AE2:AE665))/STDEV('The List'!AE2:AE665)</f>
        <v>-0.68110102906909298</v>
      </c>
      <c r="S497" s="54">
        <f>(VLOOKUP($A497,'The List'!$B1:$AH665,31,FALSE)-AVERAGE('The List'!AF2:AF665))/STDEV('The List'!AF2:AF665)</f>
        <v>1.3390876312114455</v>
      </c>
      <c r="T497" s="54">
        <f>(VLOOKUP($A497,'The List'!$B1:$AH665,32,FALSE)-AVERAGE('The List'!AG2:AG665))/STDEV('The List'!AG2:AG665)</f>
        <v>1.4862217787803</v>
      </c>
      <c r="U497" s="54">
        <f>(VLOOKUP($A497,'The List'!$B1:$AH665,33,FALSE)-AVERAGE('The List'!AH2:AH665))/STDEV('The List'!AH2:AH665)</f>
        <v>0.99286555357006656</v>
      </c>
      <c r="V497" s="54"/>
      <c r="W497" s="64"/>
      <c r="X497" s="56"/>
      <c r="Y497" s="56"/>
      <c r="Z497" s="56"/>
      <c r="AA497" s="56"/>
      <c r="AB497" s="56"/>
      <c r="AC497" s="59"/>
      <c r="AD497" s="60"/>
      <c r="AE497" s="54"/>
    </row>
    <row r="498" spans="1:31" ht="21.25" customHeight="1" x14ac:dyDescent="0.15">
      <c r="A498" s="9" t="s">
        <v>503</v>
      </c>
      <c r="B498" s="65" t="str">
        <f>VLOOKUP(A498,'Player Data'!A1:B667,2,FALSE)</f>
        <v>NYR</v>
      </c>
      <c r="C498" s="51">
        <f>((E498)*Settings!$C$12)+(F498*Settings!$C$2)+(G498*Settings!$C$3)+(H498*Settings!$C$4)+(I498*Settings!$C$5)+(K498*Settings!$C$9)+(N498*Settings!$C$6)+(J498*Settings!$C$8)+(O498*Settings!$C$7)+(P498*Settings!$C$14)+(Q498*Settings!$C$15)+(R498*Settings!$C$16)+(S498*Settings!$C$17)+(T498*Settings!$C$18)+(U498*Settings!$C$19)+(L498*Settings!$C$10)+(Settings!$C$11*M498)</f>
        <v>-1.3777515184013622</v>
      </c>
      <c r="D498" s="56">
        <f>IF(Settings!$E$12="YES",VLOOKUP(A498,'Player Data'!A1:E667,5,FALSE),82)</f>
        <v>77.952500000000001</v>
      </c>
      <c r="E498" s="54">
        <f>(VLOOKUP($A498,'The List'!$B1:$AH665,17,FALSE)-AVERAGE('The List'!R2:R665))/STDEV('The List'!R2:R665)</f>
        <v>0.66919130107313851</v>
      </c>
      <c r="F498" s="54">
        <f>(VLOOKUP($A498,'The List'!$B1:$AH665,18,FALSE)-AVERAGE('The List'!S2:S665))/STDEV('The List'!S2:S665)</f>
        <v>-1.0454004870410116</v>
      </c>
      <c r="G498" s="54">
        <f>(VLOOKUP($A498,'The List'!$B1:$AH665,19,FALSE)-AVERAGE('The List'!T2:T665))/STDEV('The List'!T2:T665)</f>
        <v>-0.56779441930815788</v>
      </c>
      <c r="H498" s="54">
        <f>(VLOOKUP($A498,'The List'!$B1:$AH665,20,FALSE)-AVERAGE('The List'!U2:U665))/STDEV('The List'!U2:U665)</f>
        <v>-0.82781647363378363</v>
      </c>
      <c r="I498" s="54">
        <f>(VLOOKUP($A498,'The List'!$B1:$AH665,21,FALSE)-AVERAGE('The List'!V2:V665))/STDEV('The List'!V2:V665)</f>
        <v>-0.89118765647781972</v>
      </c>
      <c r="J498" s="54">
        <f>(VLOOKUP($A498,'The List'!$B1:$AH665,22,FALSE)-AVERAGE('The List'!W2:W665))/STDEV('The List'!W2:W665)</f>
        <v>-0.74304885541404142</v>
      </c>
      <c r="K498" s="54">
        <f>(VLOOKUP($A498,'The List'!$B1:$AH665,23,FALSE)-AVERAGE('The List'!X2:X665))/STDEV('The List'!X2:X665)</f>
        <v>-0.82204040674436007</v>
      </c>
      <c r="L498" s="54">
        <f>(VLOOKUP($A498,'The List'!$B1:$AH665,24,FALSE)-AVERAGE('The List'!Y2:Y665))/STDEV('The List'!Y2:Y665)</f>
        <v>-0.52200270125950632</v>
      </c>
      <c r="M498" s="54">
        <f>(VLOOKUP($A498,'The List'!$B1:$AH665,25,FALSE)-AVERAGE('The List'!Z2:Z665))/STDEV('The List'!Z2:Z665)</f>
        <v>-0.27509550654858766</v>
      </c>
      <c r="N498" s="54">
        <f>(VLOOKUP($A498,'The List'!$B1:$AH665,26,FALSE)-AVERAGE('The List'!AA2:AA665))/STDEV('The List'!AA2:AA665)</f>
        <v>1.1820785509053784</v>
      </c>
      <c r="O498" s="54">
        <f>(VLOOKUP($A498,'The List'!$B1:$AH665,27,FALSE)-AVERAGE('The List'!AB2:AB665))/STDEV('The List'!AB2:AB665)</f>
        <v>0.46316875126483487</v>
      </c>
      <c r="P498" s="54">
        <f>(VLOOKUP($A498,'The List'!$B1:$AH665,28,FALSE)-AVERAGE('The List'!AC2:AC665))/STDEV('The List'!AC2:AC665)</f>
        <v>0.7665929002646088</v>
      </c>
      <c r="Q498" s="54">
        <f>(VLOOKUP($A498,'The List'!$B1:$AH665,29,FALSE)-AVERAGE('The List'!AD2:AD665))/STDEV('The List'!AD2:AD665)</f>
        <v>0.75054915257158994</v>
      </c>
      <c r="R498" s="54">
        <f>(VLOOKUP($A498,'The List'!$B1:$AH665,30,FALSE)-AVERAGE('The List'!AE2:AE665))/STDEV('The List'!AE2:AE665)</f>
        <v>-0.97277180668204943</v>
      </c>
      <c r="S498" s="54">
        <f>(VLOOKUP($A498,'The List'!$B1:$AH665,31,FALSE)-AVERAGE('The List'!AF2:AF665))/STDEV('The List'!AF2:AF665)</f>
        <v>-0.57389441068000469</v>
      </c>
      <c r="T498" s="54">
        <f>(VLOOKUP($A498,'The List'!$B1:$AH665,32,FALSE)-AVERAGE('The List'!AG2:AG665))/STDEV('The List'!AG2:AG665)</f>
        <v>-0.62577078713265111</v>
      </c>
      <c r="U498" s="54">
        <f>(VLOOKUP($A498,'The List'!$B1:$AH665,33,FALSE)-AVERAGE('The List'!AH2:AH665))/STDEV('The List'!AH2:AH665)</f>
        <v>-1.2314350945148611</v>
      </c>
      <c r="V498" s="54"/>
      <c r="W498" s="64"/>
      <c r="X498" s="56"/>
      <c r="Y498" s="56"/>
      <c r="Z498" s="56"/>
      <c r="AA498" s="56"/>
      <c r="AB498" s="56"/>
      <c r="AC498" s="59"/>
      <c r="AD498" s="60"/>
      <c r="AE498" s="54"/>
    </row>
    <row r="499" spans="1:31" ht="21.25" customHeight="1" x14ac:dyDescent="0.15">
      <c r="A499" s="9" t="s">
        <v>711</v>
      </c>
      <c r="B499" s="65" t="str">
        <f>VLOOKUP(A499,'Player Data'!A1:B667,2,FALSE)</f>
        <v>MIN</v>
      </c>
      <c r="C499" s="51">
        <f>((E499)*Settings!$C$12)+(F499*Settings!$C$2)+(G499*Settings!$C$3)+(H499*Settings!$C$4)+(I499*Settings!$C$5)+(K499*Settings!$C$9)+(N499*Settings!$C$6)+(J499*Settings!$C$8)+(O499*Settings!$C$7)+(P499*Settings!$C$14)+(Q499*Settings!$C$15)+(R499*Settings!$C$16)+(S499*Settings!$C$17)+(T499*Settings!$C$18)+(U499*Settings!$C$19)+(L499*Settings!$C$10)+(Settings!$C$11*M499)</f>
        <v>-3.2190697165672977</v>
      </c>
      <c r="D499" s="56">
        <f>IF(Settings!$E$12="YES",VLOOKUP(A499,'Player Data'!A1:E667,5,FALSE),82)</f>
        <v>80.077500000000001</v>
      </c>
      <c r="E499" s="54">
        <f>(VLOOKUP($A499,'The List'!$B1:$AH665,17,FALSE)-AVERAGE('The List'!R2:R665))/STDEV('The List'!R2:R665)</f>
        <v>-0.8071510628647377</v>
      </c>
      <c r="F499" s="54">
        <f>(VLOOKUP($A499,'The List'!$B1:$AH665,18,FALSE)-AVERAGE('The List'!S2:S665))/STDEV('The List'!S2:S665)</f>
        <v>-0.23739273466195893</v>
      </c>
      <c r="G499" s="54">
        <f>(VLOOKUP($A499,'The List'!$B1:$AH665,19,FALSE)-AVERAGE('The List'!T2:T665))/STDEV('The List'!T2:T665)</f>
        <v>-1.1286721345534119</v>
      </c>
      <c r="H499" s="54">
        <f>(VLOOKUP($A499,'The List'!$B1:$AH665,20,FALSE)-AVERAGE('The List'!U2:U665))/STDEV('The List'!U2:U665)</f>
        <v>-0.80887514074947831</v>
      </c>
      <c r="I499" s="54">
        <f>(VLOOKUP($A499,'The List'!$B1:$AH665,21,FALSE)-AVERAGE('The List'!V2:V665))/STDEV('The List'!V2:V665)</f>
        <v>-0.21946117593671749</v>
      </c>
      <c r="J499" s="54">
        <f>(VLOOKUP($A499,'The List'!$B1:$AH665,22,FALSE)-AVERAGE('The List'!W2:W665))/STDEV('The List'!W2:W665)</f>
        <v>-0.7342274005637961</v>
      </c>
      <c r="K499" s="54">
        <f>(VLOOKUP($A499,'The List'!$B1:$AH665,23,FALSE)-AVERAGE('The List'!X2:X665))/STDEV('The List'!X2:X665)</f>
        <v>-0.81487984301068628</v>
      </c>
      <c r="L499" s="54">
        <f>(VLOOKUP($A499,'The List'!$B1:$AH665,24,FALSE)-AVERAGE('The List'!Y2:Y665))/STDEV('The List'!Y2:Y665)</f>
        <v>0.43131953011528579</v>
      </c>
      <c r="M499" s="54">
        <f>(VLOOKUP($A499,'The List'!$B1:$AH665,25,FALSE)-AVERAGE('The List'!Z2:Z665))/STDEV('The List'!Z2:Z665)</f>
        <v>0.4016912099303227</v>
      </c>
      <c r="N499" s="54">
        <f>(VLOOKUP($A499,'The List'!$B1:$AH665,26,FALSE)-AVERAGE('The List'!AA2:AA665))/STDEV('The List'!AA2:AA665)</f>
        <v>-0.70495035735698031</v>
      </c>
      <c r="O499" s="54">
        <f>(VLOOKUP($A499,'The List'!$B1:$AH665,27,FALSE)-AVERAGE('The List'!AB2:AB665))/STDEV('The List'!AB2:AB665)</f>
        <v>1.8954515191380017</v>
      </c>
      <c r="P499" s="54">
        <f>(VLOOKUP($A499,'The List'!$B1:$AH665,28,FALSE)-AVERAGE('The List'!AC2:AC665))/STDEV('The List'!AC2:AC665)</f>
        <v>-0.1137134710475429</v>
      </c>
      <c r="Q499" s="54">
        <f>(VLOOKUP($A499,'The List'!$B1:$AH665,29,FALSE)-AVERAGE('The List'!AD2:AD665))/STDEV('The List'!AD2:AD665)</f>
        <v>9.9774910867976255E-2</v>
      </c>
      <c r="R499" s="54">
        <f>(VLOOKUP($A499,'The List'!$B1:$AH665,30,FALSE)-AVERAGE('The List'!AE2:AE665))/STDEV('The List'!AE2:AE665)</f>
        <v>-0.11361801354830219</v>
      </c>
      <c r="S499" s="54">
        <f>(VLOOKUP($A499,'The List'!$B1:$AH665,31,FALSE)-AVERAGE('The List'!AF2:AF665))/STDEV('The List'!AF2:AF665)</f>
        <v>-0.25482290414483527</v>
      </c>
      <c r="T499" s="54">
        <f>(VLOOKUP($A499,'The List'!$B1:$AH665,32,FALSE)-AVERAGE('The List'!AG2:AG665))/STDEV('The List'!AG2:AG665)</f>
        <v>-0.12066243065420405</v>
      </c>
      <c r="U499" s="54">
        <f>(VLOOKUP($A499,'The List'!$B1:$AH665,33,FALSE)-AVERAGE('The List'!AH2:AH665))/STDEV('The List'!AH2:AH665)</f>
        <v>0.59029036918078193</v>
      </c>
      <c r="V499" s="54"/>
      <c r="W499" s="56"/>
      <c r="X499" s="54"/>
      <c r="Y499" s="54"/>
      <c r="Z499" s="54"/>
      <c r="AA499" s="54"/>
      <c r="AB499" s="54"/>
      <c r="AC499" s="54"/>
      <c r="AD499" s="54"/>
      <c r="AE499" s="54"/>
    </row>
    <row r="500" spans="1:31" ht="21.25" customHeight="1" x14ac:dyDescent="0.15">
      <c r="A500" s="9" t="s">
        <v>401</v>
      </c>
      <c r="B500" s="65" t="str">
        <f>VLOOKUP(A500,'Player Data'!A1:B667,2,FALSE)</f>
        <v>VGK</v>
      </c>
      <c r="C500" s="51">
        <f>((E500)*Settings!$C$12)+(F500*Settings!$C$2)+(G500*Settings!$C$3)+(H500*Settings!$C$4)+(I500*Settings!$C$5)+(K500*Settings!$C$9)+(N500*Settings!$C$6)+(J500*Settings!$C$8)+(O500*Settings!$C$7)+(P500*Settings!$C$14)+(Q500*Settings!$C$15)+(R500*Settings!$C$16)+(S500*Settings!$C$17)+(T500*Settings!$C$18)+(U500*Settings!$C$19)+(L500*Settings!$C$10)+(Settings!$C$11*M500)</f>
        <v>0.14590450679694189</v>
      </c>
      <c r="D500" s="56">
        <f>IF(Settings!$E$12="YES",VLOOKUP(A500,'Player Data'!A1:E667,5,FALSE),82)</f>
        <v>80.73</v>
      </c>
      <c r="E500" s="54">
        <f>(VLOOKUP($A500,'The List'!$B1:$AH665,17,FALSE)-AVERAGE('The List'!R2:R665))/STDEV('The List'!R2:R665)</f>
        <v>0.69179726206581671</v>
      </c>
      <c r="F500" s="54">
        <f>(VLOOKUP($A500,'The List'!$B1:$AH665,18,FALSE)-AVERAGE('The List'!S2:S665))/STDEV('The List'!S2:S665)</f>
        <v>-1.1114213411697682</v>
      </c>
      <c r="G500" s="54">
        <f>(VLOOKUP($A500,'The List'!$B1:$AH665,19,FALSE)-AVERAGE('The List'!T2:T665))/STDEV('The List'!T2:T665)</f>
        <v>-0.48199864858011693</v>
      </c>
      <c r="H500" s="54">
        <f>(VLOOKUP($A500,'The List'!$B1:$AH665,20,FALSE)-AVERAGE('The List'!U2:U665))/STDEV('The List'!U2:U665)</f>
        <v>-0.80454209230191209</v>
      </c>
      <c r="I500" s="54">
        <f>(VLOOKUP($A500,'The List'!$B1:$AH665,21,FALSE)-AVERAGE('The List'!V2:V665))/STDEV('The List'!V2:V665)</f>
        <v>-0.85545619751404145</v>
      </c>
      <c r="J500" s="54">
        <f>(VLOOKUP($A500,'The List'!$B1:$AH665,22,FALSE)-AVERAGE('The List'!W2:W665))/STDEV('The List'!W2:W665)</f>
        <v>-0.74100807545358016</v>
      </c>
      <c r="K500" s="54">
        <f>(VLOOKUP($A500,'The List'!$B1:$AH665,23,FALSE)-AVERAGE('The List'!X2:X665))/STDEV('The List'!X2:X665)</f>
        <v>-0.81515268245453432</v>
      </c>
      <c r="L500" s="54">
        <f>(VLOOKUP($A500,'The List'!$B1:$AH665,24,FALSE)-AVERAGE('The List'!Y2:Y665))/STDEV('The List'!Y2:Y665)</f>
        <v>-0.53953543056948849</v>
      </c>
      <c r="M500" s="54">
        <f>(VLOOKUP($A500,'The List'!$B1:$AH665,25,FALSE)-AVERAGE('The List'!Z2:Z665))/STDEV('The List'!Z2:Z665)</f>
        <v>0.36539328306838886</v>
      </c>
      <c r="N500" s="54">
        <f>(VLOOKUP($A500,'The List'!$B1:$AH665,26,FALSE)-AVERAGE('The List'!AA2:AA665))/STDEV('The List'!AA2:AA665)</f>
        <v>2.8794717634877025</v>
      </c>
      <c r="O500" s="54">
        <f>(VLOOKUP($A500,'The List'!$B1:$AH665,27,FALSE)-AVERAGE('The List'!AB2:AB665))/STDEV('The List'!AB2:AB665)</f>
        <v>1.3150285291194841</v>
      </c>
      <c r="P500" s="54">
        <f>(VLOOKUP($A500,'The List'!$B1:$AH665,28,FALSE)-AVERAGE('The List'!AC2:AC665))/STDEV('The List'!AC2:AC665)</f>
        <v>0.5304616130276999</v>
      </c>
      <c r="Q500" s="54">
        <f>(VLOOKUP($A500,'The List'!$B1:$AH665,29,FALSE)-AVERAGE('The List'!AD2:AD665))/STDEV('The List'!AD2:AD665)</f>
        <v>0.50430326631248623</v>
      </c>
      <c r="R500" s="54">
        <f>(VLOOKUP($A500,'The List'!$B1:$AH665,30,FALSE)-AVERAGE('The List'!AE2:AE665))/STDEV('The List'!AE2:AE665)</f>
        <v>-1.0582242736504484</v>
      </c>
      <c r="S500" s="54">
        <f>(VLOOKUP($A500,'The List'!$B1:$AH665,31,FALSE)-AVERAGE('The List'!AF2:AF665))/STDEV('The List'!AF2:AF665)</f>
        <v>-0.57389441068000469</v>
      </c>
      <c r="T500" s="54">
        <f>(VLOOKUP($A500,'The List'!$B1:$AH665,32,FALSE)-AVERAGE('The List'!AG2:AG665))/STDEV('The List'!AG2:AG665)</f>
        <v>-0.62577078713265111</v>
      </c>
      <c r="U500" s="54">
        <f>(VLOOKUP($A500,'The List'!$B1:$AH665,33,FALSE)-AVERAGE('The List'!AH2:AH665))/STDEV('The List'!AH2:AH665)</f>
        <v>-1.2314350945148611</v>
      </c>
      <c r="V500" s="54"/>
      <c r="W500" s="64"/>
      <c r="X500" s="56"/>
      <c r="Y500" s="56"/>
      <c r="Z500" s="56"/>
      <c r="AA500" s="56"/>
      <c r="AB500" s="56"/>
      <c r="AC500" s="59"/>
      <c r="AD500" s="60"/>
      <c r="AE500" s="54"/>
    </row>
    <row r="501" spans="1:31" ht="21.25" customHeight="1" x14ac:dyDescent="0.15">
      <c r="A501" s="9" t="s">
        <v>428</v>
      </c>
      <c r="B501" s="65" t="str">
        <f>VLOOKUP(A501,'Player Data'!A1:B667,2,FALSE)</f>
        <v>SEA</v>
      </c>
      <c r="C501" s="51">
        <f>((E501)*Settings!$C$12)+(F501*Settings!$C$2)+(G501*Settings!$C$3)+(H501*Settings!$C$4)+(I501*Settings!$C$5)+(K501*Settings!$C$9)+(N501*Settings!$C$6)+(J501*Settings!$C$8)+(O501*Settings!$C$7)+(P501*Settings!$C$14)+(Q501*Settings!$C$15)+(R501*Settings!$C$16)+(S501*Settings!$C$17)+(T501*Settings!$C$18)+(U501*Settings!$C$19)+(L501*Settings!$C$10)+(Settings!$C$11*M501)</f>
        <v>-1.2688591836608649</v>
      </c>
      <c r="D501" s="56">
        <f>IF(Settings!$E$12="YES",VLOOKUP(A501,'Player Data'!A1:E667,5,FALSE),82)</f>
        <v>80.067499999999995</v>
      </c>
      <c r="E501" s="54">
        <f>(VLOOKUP($A501,'The List'!$B1:$AH665,17,FALSE)-AVERAGE('The List'!R2:R665))/STDEV('The List'!R2:R665)</f>
        <v>0.81109633833102168</v>
      </c>
      <c r="F501" s="54">
        <f>(VLOOKUP($A501,'The List'!$B1:$AH665,18,FALSE)-AVERAGE('The List'!S2:S665))/STDEV('The List'!S2:S665)</f>
        <v>-0.95098543262252533</v>
      </c>
      <c r="G501" s="54">
        <f>(VLOOKUP($A501,'The List'!$B1:$AH665,19,FALSE)-AVERAGE('The List'!T2:T665))/STDEV('The List'!T2:T665)</f>
        <v>-0.61434274142902501</v>
      </c>
      <c r="H501" s="54">
        <f>(VLOOKUP($A501,'The List'!$B1:$AH665,20,FALSE)-AVERAGE('The List'!U2:U665))/STDEV('The List'!U2:U665)</f>
        <v>-0.81380946885422301</v>
      </c>
      <c r="I501" s="54">
        <f>(VLOOKUP($A501,'The List'!$B1:$AH665,21,FALSE)-AVERAGE('The List'!V2:V665))/STDEV('The List'!V2:V665)</f>
        <v>-0.62374817737456545</v>
      </c>
      <c r="J501" s="54">
        <f>(VLOOKUP($A501,'The List'!$B1:$AH665,22,FALSE)-AVERAGE('The List'!W2:W665))/STDEV('The List'!W2:W665)</f>
        <v>-0.74328906298216613</v>
      </c>
      <c r="K501" s="54">
        <f>(VLOOKUP($A501,'The List'!$B1:$AH665,23,FALSE)-AVERAGE('The List'!X2:X665))/STDEV('The List'!X2:X665)</f>
        <v>-0.82238051836503911</v>
      </c>
      <c r="L501" s="54">
        <f>(VLOOKUP($A501,'The List'!$B1:$AH665,24,FALSE)-AVERAGE('The List'!Y2:Y665))/STDEV('The List'!Y2:Y665)</f>
        <v>-0.52719257878453962</v>
      </c>
      <c r="M501" s="54">
        <f>(VLOOKUP($A501,'The List'!$B1:$AH665,25,FALSE)-AVERAGE('The List'!Z2:Z665))/STDEV('The List'!Z2:Z665)</f>
        <v>0.11758304563102949</v>
      </c>
      <c r="N501" s="54">
        <f>(VLOOKUP($A501,'The List'!$B1:$AH665,26,FALSE)-AVERAGE('The List'!AA2:AA665))/STDEV('The List'!AA2:AA665)</f>
        <v>2.1422924376055317</v>
      </c>
      <c r="O501" s="54">
        <f>(VLOOKUP($A501,'The List'!$B1:$AH665,27,FALSE)-AVERAGE('The List'!AB2:AB665))/STDEV('The List'!AB2:AB665)</f>
        <v>0.6652050247050656</v>
      </c>
      <c r="P501" s="54">
        <f>(VLOOKUP($A501,'The List'!$B1:$AH665,28,FALSE)-AVERAGE('The List'!AC2:AC665))/STDEV('The List'!AC2:AC665)</f>
        <v>-0.39969475147524153</v>
      </c>
      <c r="Q501" s="54">
        <f>(VLOOKUP($A501,'The List'!$B1:$AH665,29,FALSE)-AVERAGE('The List'!AD2:AD665))/STDEV('The List'!AD2:AD665)</f>
        <v>1.0961987152622412</v>
      </c>
      <c r="R501" s="54">
        <f>(VLOOKUP($A501,'The List'!$B1:$AH665,30,FALSE)-AVERAGE('The List'!AE2:AE665))/STDEV('The List'!AE2:AE665)</f>
        <v>-0.90221493606173386</v>
      </c>
      <c r="S501" s="54">
        <f>(VLOOKUP($A501,'The List'!$B1:$AH665,31,FALSE)-AVERAGE('The List'!AF2:AF665))/STDEV('The List'!AF2:AF665)</f>
        <v>-0.57389441068000469</v>
      </c>
      <c r="T501" s="54">
        <f>(VLOOKUP($A501,'The List'!$B1:$AH665,32,FALSE)-AVERAGE('The List'!AG2:AG665))/STDEV('The List'!AG2:AG665)</f>
        <v>-0.62577078713265111</v>
      </c>
      <c r="U501" s="54">
        <f>(VLOOKUP($A501,'The List'!$B1:$AH665,33,FALSE)-AVERAGE('The List'!AH2:AH665))/STDEV('The List'!AH2:AH665)</f>
        <v>-1.2314350945148611</v>
      </c>
      <c r="V501" s="54"/>
      <c r="W501" s="64"/>
      <c r="X501" s="56"/>
      <c r="Y501" s="56"/>
      <c r="Z501" s="56"/>
      <c r="AA501" s="56"/>
      <c r="AB501" s="56"/>
      <c r="AC501" s="59"/>
      <c r="AD501" s="60"/>
      <c r="AE501" s="54"/>
    </row>
    <row r="502" spans="1:31" ht="21.25" customHeight="1" x14ac:dyDescent="0.15">
      <c r="A502" s="9" t="s">
        <v>763</v>
      </c>
      <c r="B502" s="65" t="str">
        <f>VLOOKUP(A502,'Player Data'!A1:B667,2,FALSE)</f>
        <v>N.J</v>
      </c>
      <c r="C502" s="51">
        <f>((E502)*Settings!$C$12)+(F502*Settings!$C$2)+(G502*Settings!$C$3)+(H502*Settings!$C$4)+(I502*Settings!$C$5)+(K502*Settings!$C$9)+(N502*Settings!$C$6)+(J502*Settings!$C$8)+(O502*Settings!$C$7)+(P502*Settings!$C$14)+(Q502*Settings!$C$15)+(R502*Settings!$C$16)+(S502*Settings!$C$17)+(T502*Settings!$C$18)+(U502*Settings!$C$19)+(L502*Settings!$C$10)+(Settings!$C$11*M502)</f>
        <v>-4.0991566325060571</v>
      </c>
      <c r="D502" s="56">
        <f>IF(Settings!$E$12="YES",VLOOKUP(A502,'Player Data'!A1:E667,5,FALSE),82)</f>
        <v>74.552499999999995</v>
      </c>
      <c r="E502" s="54">
        <f>(VLOOKUP($A502,'The List'!$B1:$AH665,17,FALSE)-AVERAGE('The List'!R2:R665))/STDEV('The List'!R2:R665)</f>
        <v>-1.6275440422813694</v>
      </c>
      <c r="F502" s="54">
        <f>(VLOOKUP($A502,'The List'!$B1:$AH665,18,FALSE)-AVERAGE('The List'!S2:S665))/STDEV('The List'!S2:S665)</f>
        <v>-0.61640270716005829</v>
      </c>
      <c r="G502" s="54">
        <f>(VLOOKUP($A502,'The List'!$B1:$AH665,19,FALSE)-AVERAGE('The List'!T2:T665))/STDEV('The List'!T2:T665)</f>
        <v>-0.95454176823353432</v>
      </c>
      <c r="H502" s="54">
        <f>(VLOOKUP($A502,'The List'!$B1:$AH665,20,FALSE)-AVERAGE('The List'!U2:U665))/STDEV('The List'!U2:U665)</f>
        <v>-0.87300844053324878</v>
      </c>
      <c r="I502" s="54">
        <f>(VLOOKUP($A502,'The List'!$B1:$AH665,21,FALSE)-AVERAGE('The List'!V2:V665))/STDEV('The List'!V2:V665)</f>
        <v>-0.77967416818715929</v>
      </c>
      <c r="J502" s="54">
        <f>(VLOOKUP($A502,'The List'!$B1:$AH665,22,FALSE)-AVERAGE('The List'!W2:W665))/STDEV('The List'!W2:W665)</f>
        <v>-0.69452838492130453</v>
      </c>
      <c r="K502" s="54">
        <f>(VLOOKUP($A502,'The List'!$B1:$AH665,23,FALSE)-AVERAGE('The List'!X2:X665))/STDEV('The List'!X2:X665)</f>
        <v>-0.78797759132512235</v>
      </c>
      <c r="L502" s="54">
        <f>(VLOOKUP($A502,'The List'!$B1:$AH665,24,FALSE)-AVERAGE('The List'!Y2:Y665))/STDEV('The List'!Y2:Y665)</f>
        <v>-0.57931370820567774</v>
      </c>
      <c r="M502" s="54">
        <f>(VLOOKUP($A502,'The List'!$B1:$AH665,25,FALSE)-AVERAGE('The List'!Z2:Z665))/STDEV('The List'!Z2:Z665)</f>
        <v>-0.75314659909252402</v>
      </c>
      <c r="N502" s="54">
        <f>(VLOOKUP($A502,'The List'!$B1:$AH665,26,FALSE)-AVERAGE('The List'!AA2:AA665))/STDEV('The List'!AA2:AA665)</f>
        <v>-0.94027356895445591</v>
      </c>
      <c r="O502" s="54">
        <f>(VLOOKUP($A502,'The List'!$B1:$AH665,27,FALSE)-AVERAGE('The List'!AB2:AB665))/STDEV('The List'!AB2:AB665)</f>
        <v>1.9937917292845466</v>
      </c>
      <c r="P502" s="54">
        <f>(VLOOKUP($A502,'The List'!$B1:$AH665,28,FALSE)-AVERAGE('The List'!AC2:AC665))/STDEV('The List'!AC2:AC665)</f>
        <v>-2.0286828645726424E-2</v>
      </c>
      <c r="Q502" s="54">
        <f>(VLOOKUP($A502,'The List'!$B1:$AH665,29,FALSE)-AVERAGE('The List'!AD2:AD665))/STDEV('The List'!AD2:AD665)</f>
        <v>-0.66830175247579615</v>
      </c>
      <c r="R502" s="54">
        <f>(VLOOKUP($A502,'The List'!$B1:$AH665,30,FALSE)-AVERAGE('The List'!AE2:AE665))/STDEV('The List'!AE2:AE665)</f>
        <v>-0.58058047942030933</v>
      </c>
      <c r="S502" s="54">
        <f>(VLOOKUP($A502,'The List'!$B1:$AH665,31,FALSE)-AVERAGE('The List'!AF2:AF665))/STDEV('The List'!AF2:AF665)</f>
        <v>-0.47887278863627442</v>
      </c>
      <c r="T502" s="54">
        <f>(VLOOKUP($A502,'The List'!$B1:$AH665,32,FALSE)-AVERAGE('The List'!AG2:AG665))/STDEV('The List'!AG2:AG665)</f>
        <v>-0.51064421405463756</v>
      </c>
      <c r="U502" s="54">
        <f>(VLOOKUP($A502,'The List'!$B1:$AH665,33,FALSE)-AVERAGE('The List'!AH2:AH665))/STDEV('The List'!AH2:AH665)</f>
        <v>0.88772156354313136</v>
      </c>
      <c r="V502" s="54"/>
      <c r="W502" s="56"/>
      <c r="X502" s="56"/>
      <c r="Y502" s="56"/>
      <c r="Z502" s="56"/>
      <c r="AA502" s="56"/>
      <c r="AB502" s="56"/>
      <c r="AC502" s="59"/>
      <c r="AD502" s="60"/>
      <c r="AE502" s="54"/>
    </row>
    <row r="503" spans="1:31" ht="21.25" customHeight="1" x14ac:dyDescent="0.15">
      <c r="A503" s="9" t="s">
        <v>633</v>
      </c>
      <c r="B503" s="65" t="str">
        <f>VLOOKUP(A503,'Player Data'!A1:B667,2,FALSE)</f>
        <v>PHI</v>
      </c>
      <c r="C503" s="51">
        <f>((E503)*Settings!$C$12)+(F503*Settings!$C$2)+(G503*Settings!$C$3)+(H503*Settings!$C$4)+(I503*Settings!$C$5)+(K503*Settings!$C$9)+(N503*Settings!$C$6)+(J503*Settings!$C$8)+(O503*Settings!$C$7)+(P503*Settings!$C$14)+(Q503*Settings!$C$15)+(R503*Settings!$C$16)+(S503*Settings!$C$17)+(T503*Settings!$C$18)+(U503*Settings!$C$19)+(L503*Settings!$C$10)+(Settings!$C$11*M503)</f>
        <v>-4.2645635910268034</v>
      </c>
      <c r="D503" s="56">
        <f>IF(Settings!$E$12="YES",VLOOKUP(A503,'Player Data'!A1:E667,5,FALSE),82)</f>
        <v>62.64</v>
      </c>
      <c r="E503" s="54">
        <f>(VLOOKUP($A503,'The List'!$B1:$AH665,17,FALSE)-AVERAGE('The List'!R2:R665))/STDEV('The List'!R2:R665)</f>
        <v>-0.48131075958073311</v>
      </c>
      <c r="F503" s="54">
        <f>(VLOOKUP($A503,'The List'!$B1:$AH665,18,FALSE)-AVERAGE('The List'!S2:S665))/STDEV('The List'!S2:S665)</f>
        <v>-1.0279140179962636</v>
      </c>
      <c r="G503" s="54">
        <f>(VLOOKUP($A503,'The List'!$B1:$AH665,19,FALSE)-AVERAGE('The List'!T2:T665))/STDEV('The List'!T2:T665)</f>
        <v>-0.85293869129850131</v>
      </c>
      <c r="H503" s="54">
        <f>(VLOOKUP($A503,'The List'!$B1:$AH665,20,FALSE)-AVERAGE('The List'!U2:U665))/STDEV('The List'!U2:U665)</f>
        <v>-0.99695866828499669</v>
      </c>
      <c r="I503" s="54">
        <f>(VLOOKUP($A503,'The List'!$B1:$AH665,21,FALSE)-AVERAGE('The List'!V2:V665))/STDEV('The List'!V2:V665)</f>
        <v>-1.3008205938419175</v>
      </c>
      <c r="J503" s="54">
        <f>(VLOOKUP($A503,'The List'!$B1:$AH665,22,FALSE)-AVERAGE('The List'!W2:W665))/STDEV('The List'!W2:W665)</f>
        <v>-0.61145897544259986</v>
      </c>
      <c r="K503" s="54">
        <f>(VLOOKUP($A503,'The List'!$B1:$AH665,23,FALSE)-AVERAGE('The List'!X2:X665))/STDEV('The List'!X2:X665)</f>
        <v>-0.60795821148521478</v>
      </c>
      <c r="L503" s="54">
        <f>(VLOOKUP($A503,'The List'!$B1:$AH665,24,FALSE)-AVERAGE('The List'!Y2:Y665))/STDEV('The List'!Y2:Y665)</f>
        <v>-0.5607964688408632</v>
      </c>
      <c r="M503" s="54">
        <f>(VLOOKUP($A503,'The List'!$B1:$AH665,25,FALSE)-AVERAGE('The List'!Z2:Z665))/STDEV('The List'!Z2:Z665)</f>
        <v>-0.4796531492453156</v>
      </c>
      <c r="N503" s="54">
        <f>(VLOOKUP($A503,'The List'!$B1:$AH665,26,FALSE)-AVERAGE('The List'!AA2:AA665))/STDEV('The List'!AA2:AA665)</f>
        <v>0.18838995319876617</v>
      </c>
      <c r="O503" s="54">
        <f>(VLOOKUP($A503,'The List'!$B1:$AH665,27,FALSE)-AVERAGE('The List'!AB2:AB665))/STDEV('The List'!AB2:AB665)</f>
        <v>-0.81747952888782682</v>
      </c>
      <c r="P503" s="54">
        <f>(VLOOKUP($A503,'The List'!$B1:$AH665,28,FALSE)-AVERAGE('The List'!AC2:AC665))/STDEV('The List'!AC2:AC665)</f>
        <v>-0.66332202960367226</v>
      </c>
      <c r="Q503" s="54">
        <f>(VLOOKUP($A503,'The List'!$B1:$AH665,29,FALSE)-AVERAGE('The List'!AD2:AD665))/STDEV('The List'!AD2:AD665)</f>
        <v>-0.55961792000912935</v>
      </c>
      <c r="R503" s="54">
        <f>(VLOOKUP($A503,'The List'!$B1:$AH665,30,FALSE)-AVERAGE('The List'!AE2:AE665))/STDEV('The List'!AE2:AE665)</f>
        <v>-0.99072191091515904</v>
      </c>
      <c r="S503" s="54">
        <f>(VLOOKUP($A503,'The List'!$B1:$AH665,31,FALSE)-AVERAGE('The List'!AF2:AF665))/STDEV('The List'!AF2:AF665)</f>
        <v>-0.57389441068000469</v>
      </c>
      <c r="T503" s="54">
        <f>(VLOOKUP($A503,'The List'!$B1:$AH665,32,FALSE)-AVERAGE('The List'!AG2:AG665))/STDEV('The List'!AG2:AG665)</f>
        <v>-0.62577078713265111</v>
      </c>
      <c r="U503" s="54">
        <f>(VLOOKUP($A503,'The List'!$B1:$AH665,33,FALSE)-AVERAGE('The List'!AH2:AH665))/STDEV('The List'!AH2:AH665)</f>
        <v>-1.2314350945148611</v>
      </c>
      <c r="V503" s="54"/>
      <c r="W503" s="64"/>
      <c r="X503" s="56"/>
      <c r="Y503" s="56"/>
      <c r="Z503" s="56"/>
      <c r="AA503" s="56"/>
      <c r="AB503" s="56"/>
      <c r="AC503" s="59"/>
      <c r="AD503" s="60"/>
      <c r="AE503" s="54"/>
    </row>
    <row r="504" spans="1:31" ht="21.25" customHeight="1" x14ac:dyDescent="0.15">
      <c r="A504" s="9" t="s">
        <v>458</v>
      </c>
      <c r="B504" s="65" t="str">
        <f>VLOOKUP(A504,'Player Data'!A1:B667,2,FALSE)</f>
        <v>MIN</v>
      </c>
      <c r="C504" s="51">
        <f>((E504)*Settings!$C$12)+(F504*Settings!$C$2)+(G504*Settings!$C$3)+(H504*Settings!$C$4)+(I504*Settings!$C$5)+(K504*Settings!$C$9)+(N504*Settings!$C$6)+(J504*Settings!$C$8)+(O504*Settings!$C$7)+(P504*Settings!$C$14)+(Q504*Settings!$C$15)+(R504*Settings!$C$16)+(S504*Settings!$C$17)+(T504*Settings!$C$18)+(U504*Settings!$C$19)+(L504*Settings!$C$10)+(Settings!$C$11*M504)</f>
        <v>-1.8807391283998984</v>
      </c>
      <c r="D504" s="56">
        <f>IF(Settings!$E$12="YES",VLOOKUP(A504,'Player Data'!A1:E667,5,FALSE),82)</f>
        <v>79.662499999999994</v>
      </c>
      <c r="E504" s="54">
        <f>(VLOOKUP($A504,'The List'!$B1:$AH665,17,FALSE)-AVERAGE('The List'!R2:R665))/STDEV('The List'!R2:R665)</f>
        <v>0.50462774169699032</v>
      </c>
      <c r="F504" s="54">
        <f>(VLOOKUP($A504,'The List'!$B1:$AH665,18,FALSE)-AVERAGE('The List'!S2:S665))/STDEV('The List'!S2:S665)</f>
        <v>-0.88521068846513484</v>
      </c>
      <c r="G504" s="54">
        <f>(VLOOKUP($A504,'The List'!$B1:$AH665,19,FALSE)-AVERAGE('The List'!T2:T665))/STDEV('The List'!T2:T665)</f>
        <v>-0.67553590175400691</v>
      </c>
      <c r="H504" s="54">
        <f>(VLOOKUP($A504,'The List'!$B1:$AH665,20,FALSE)-AVERAGE('The List'!U2:U665))/STDEV('The List'!U2:U665)</f>
        <v>-0.82191611444794321</v>
      </c>
      <c r="I504" s="54">
        <f>(VLOOKUP($A504,'The List'!$B1:$AH665,21,FALSE)-AVERAGE('The List'!V2:V665))/STDEV('The List'!V2:V665)</f>
        <v>-0.88110539863003312</v>
      </c>
      <c r="J504" s="54">
        <f>(VLOOKUP($A504,'The List'!$B1:$AH665,22,FALSE)-AVERAGE('The List'!W2:W665))/STDEV('The List'!W2:W665)</f>
        <v>-0.74236961725469253</v>
      </c>
      <c r="K504" s="54">
        <f>(VLOOKUP($A504,'The List'!$B1:$AH665,23,FALSE)-AVERAGE('The List'!X2:X665))/STDEV('The List'!X2:X665)</f>
        <v>-0.81816194255015751</v>
      </c>
      <c r="L504" s="54">
        <f>(VLOOKUP($A504,'The List'!$B1:$AH665,24,FALSE)-AVERAGE('The List'!Y2:Y665))/STDEV('The List'!Y2:Y665)</f>
        <v>-0.53326089098966578</v>
      </c>
      <c r="M504" s="54">
        <f>(VLOOKUP($A504,'The List'!$B1:$AH665,25,FALSE)-AVERAGE('The List'!Z2:Z665))/STDEV('The List'!Z2:Z665)</f>
        <v>0.26280462538681787</v>
      </c>
      <c r="N504" s="54">
        <f>(VLOOKUP($A504,'The List'!$B1:$AH665,26,FALSE)-AVERAGE('The List'!AA2:AA665))/STDEV('The List'!AA2:AA665)</f>
        <v>1.904102229600446</v>
      </c>
      <c r="O504" s="54">
        <f>(VLOOKUP($A504,'The List'!$B1:$AH665,27,FALSE)-AVERAGE('The List'!AB2:AB665))/STDEV('The List'!AB2:AB665)</f>
        <v>0.77915440174979356</v>
      </c>
      <c r="P504" s="54">
        <f>(VLOOKUP($A504,'The List'!$B1:$AH665,28,FALSE)-AVERAGE('The List'!AC2:AC665))/STDEV('The List'!AC2:AC665)</f>
        <v>-0.52482742660101223</v>
      </c>
      <c r="Q504" s="54">
        <f>(VLOOKUP($A504,'The List'!$B1:$AH665,29,FALSE)-AVERAGE('The List'!AD2:AD665))/STDEV('The List'!AD2:AD665)</f>
        <v>2.2969162200788156</v>
      </c>
      <c r="R504" s="54">
        <f>(VLOOKUP($A504,'The List'!$B1:$AH665,30,FALSE)-AVERAGE('The List'!AE2:AE665))/STDEV('The List'!AE2:AE665)</f>
        <v>-0.80003964872388333</v>
      </c>
      <c r="S504" s="54">
        <f>(VLOOKUP($A504,'The List'!$B1:$AH665,31,FALSE)-AVERAGE('The List'!AF2:AF665))/STDEV('The List'!AF2:AF665)</f>
        <v>-0.57389441068000469</v>
      </c>
      <c r="T504" s="54">
        <f>(VLOOKUP($A504,'The List'!$B1:$AH665,32,FALSE)-AVERAGE('The List'!AG2:AG665))/STDEV('The List'!AG2:AG665)</f>
        <v>-0.62577078713265111</v>
      </c>
      <c r="U504" s="54">
        <f>(VLOOKUP($A504,'The List'!$B1:$AH665,33,FALSE)-AVERAGE('The List'!AH2:AH665))/STDEV('The List'!AH2:AH665)</f>
        <v>-1.2314350945148611</v>
      </c>
      <c r="V504" s="54"/>
      <c r="W504" s="64"/>
      <c r="X504" s="56"/>
      <c r="Y504" s="56"/>
      <c r="Z504" s="56"/>
      <c r="AA504" s="56"/>
      <c r="AB504" s="56"/>
      <c r="AC504" s="59"/>
      <c r="AD504" s="60"/>
      <c r="AE504" s="54"/>
    </row>
    <row r="505" spans="1:31" ht="21.25" customHeight="1" x14ac:dyDescent="0.15">
      <c r="A505" s="9" t="s">
        <v>672</v>
      </c>
      <c r="B505" s="65" t="str">
        <f>VLOOKUP(A505,'Player Data'!A1:B667,2,FALSE)</f>
        <v>NYR</v>
      </c>
      <c r="C505" s="51">
        <f>((E505)*Settings!$C$12)+(F505*Settings!$C$2)+(G505*Settings!$C$3)+(H505*Settings!$C$4)+(I505*Settings!$C$5)+(K505*Settings!$C$9)+(N505*Settings!$C$6)+(J505*Settings!$C$8)+(O505*Settings!$C$7)+(P505*Settings!$C$14)+(Q505*Settings!$C$15)+(R505*Settings!$C$16)+(S505*Settings!$C$17)+(T505*Settings!$C$18)+(U505*Settings!$C$19)+(L505*Settings!$C$10)+(Settings!$C$11*M505)</f>
        <v>-3.998638311990109</v>
      </c>
      <c r="D505" s="56">
        <f>IF(Settings!$E$12="YES",VLOOKUP(A505,'Player Data'!A1:E667,5,FALSE),82)</f>
        <v>56.902500000000003</v>
      </c>
      <c r="E505" s="54">
        <f>(VLOOKUP($A505,'The List'!$B1:$AH665,17,FALSE)-AVERAGE('The List'!R2:R665))/STDEV('The List'!R2:R665)</f>
        <v>-0.61557336699672449</v>
      </c>
      <c r="F505" s="54">
        <f>(VLOOKUP($A505,'The List'!$B1:$AH665,18,FALSE)-AVERAGE('The List'!S2:S665))/STDEV('The List'!S2:S665)</f>
        <v>-1.0318883380706119</v>
      </c>
      <c r="G505" s="54">
        <f>(VLOOKUP($A505,'The List'!$B1:$AH665,19,FALSE)-AVERAGE('The List'!T2:T665))/STDEV('The List'!T2:T665)</f>
        <v>-0.95850580714955735</v>
      </c>
      <c r="H505" s="54">
        <f>(VLOOKUP($A505,'The List'!$B1:$AH665,20,FALSE)-AVERAGE('The List'!U2:U665))/STDEV('The List'!U2:U665)</f>
        <v>-1.0643283004567194</v>
      </c>
      <c r="I505" s="54">
        <f>(VLOOKUP($A505,'The List'!$B1:$AH665,21,FALSE)-AVERAGE('The List'!V2:V665))/STDEV('The List'!V2:V665)</f>
        <v>-1.1244152302135479</v>
      </c>
      <c r="J505" s="54">
        <f>(VLOOKUP($A505,'The List'!$B1:$AH665,22,FALSE)-AVERAGE('The List'!W2:W665))/STDEV('The List'!W2:W665)</f>
        <v>-0.74248846659246892</v>
      </c>
      <c r="K505" s="54">
        <f>(VLOOKUP($A505,'The List'!$B1:$AH665,23,FALSE)-AVERAGE('The List'!X2:X665))/STDEV('The List'!X2:X665)</f>
        <v>-0.82074258275690182</v>
      </c>
      <c r="L505" s="54">
        <f>(VLOOKUP($A505,'The List'!$B1:$AH665,24,FALSE)-AVERAGE('The List'!Y2:Y665))/STDEV('The List'!Y2:Y665)</f>
        <v>-0.56919440825192635</v>
      </c>
      <c r="M505" s="54">
        <f>(VLOOKUP($A505,'The List'!$B1:$AH665,25,FALSE)-AVERAGE('The List'!Z2:Z665))/STDEV('The List'!Z2:Z665)</f>
        <v>-0.72133912392748045</v>
      </c>
      <c r="N505" s="54">
        <f>(VLOOKUP($A505,'The List'!$B1:$AH665,26,FALSE)-AVERAGE('The List'!AA2:AA665))/STDEV('The List'!AA2:AA665)</f>
        <v>-0.26706299558021412</v>
      </c>
      <c r="O505" s="54">
        <f>(VLOOKUP($A505,'The List'!$B1:$AH665,27,FALSE)-AVERAGE('The List'!AB2:AB665))/STDEV('The List'!AB2:AB665)</f>
        <v>-0.76191950360373784</v>
      </c>
      <c r="P505" s="54">
        <f>(VLOOKUP($A505,'The List'!$B1:$AH665,28,FALSE)-AVERAGE('The List'!AC2:AC665))/STDEV('The List'!AC2:AC665)</f>
        <v>0.20397664178072447</v>
      </c>
      <c r="Q505" s="54">
        <f>(VLOOKUP($A505,'The List'!$B1:$AH665,29,FALSE)-AVERAGE('The List'!AD2:AD665))/STDEV('The List'!AD2:AD665)</f>
        <v>-1.0804344194554694</v>
      </c>
      <c r="R505" s="54">
        <f>(VLOOKUP($A505,'The List'!$B1:$AH665,30,FALSE)-AVERAGE('The List'!AE2:AE665))/STDEV('The List'!AE2:AE665)</f>
        <v>-0.95859503867154761</v>
      </c>
      <c r="S505" s="54">
        <f>(VLOOKUP($A505,'The List'!$B1:$AH665,31,FALSE)-AVERAGE('The List'!AF2:AF665))/STDEV('The List'!AF2:AF665)</f>
        <v>-0.57389441068000469</v>
      </c>
      <c r="T505" s="54">
        <f>(VLOOKUP($A505,'The List'!$B1:$AH665,32,FALSE)-AVERAGE('The List'!AG2:AG665))/STDEV('The List'!AG2:AG665)</f>
        <v>-0.62577078713265111</v>
      </c>
      <c r="U505" s="54">
        <f>(VLOOKUP($A505,'The List'!$B1:$AH665,33,FALSE)-AVERAGE('The List'!AH2:AH665))/STDEV('The List'!AH2:AH665)</f>
        <v>-1.2314350945148611</v>
      </c>
      <c r="V505" s="54"/>
      <c r="W505" s="64"/>
      <c r="X505" s="56"/>
      <c r="Y505" s="56"/>
      <c r="Z505" s="56"/>
      <c r="AA505" s="56"/>
      <c r="AB505" s="56"/>
      <c r="AC505" s="59"/>
      <c r="AD505" s="60"/>
      <c r="AE505" s="54"/>
    </row>
    <row r="506" spans="1:31" ht="21.25" customHeight="1" x14ac:dyDescent="0.15">
      <c r="A506" s="9" t="s">
        <v>427</v>
      </c>
      <c r="B506" s="65" t="str">
        <f>VLOOKUP(A506,'Player Data'!A1:B667,2,FALSE)</f>
        <v>ANA</v>
      </c>
      <c r="C506" s="51">
        <f>((E506)*Settings!$C$12)+(F506*Settings!$C$2)+(G506*Settings!$C$3)+(H506*Settings!$C$4)+(I506*Settings!$C$5)+(K506*Settings!$C$9)+(N506*Settings!$C$6)+(J506*Settings!$C$8)+(O506*Settings!$C$7)+(P506*Settings!$C$14)+(Q506*Settings!$C$15)+(R506*Settings!$C$16)+(S506*Settings!$C$17)+(T506*Settings!$C$18)+(U506*Settings!$C$19)+(L506*Settings!$C$10)+(Settings!$C$11*M506)</f>
        <v>-1.8466618027797452</v>
      </c>
      <c r="D506" s="56">
        <f>IF(Settings!$E$12="YES",VLOOKUP(A506,'Player Data'!A1:E667,5,FALSE),82)</f>
        <v>77.314999999999998</v>
      </c>
      <c r="E506" s="54">
        <f>(VLOOKUP($A506,'The List'!$B1:$AH665,17,FALSE)-AVERAGE('The List'!R2:R665))/STDEV('The List'!R2:R665)</f>
        <v>0.61318696132080408</v>
      </c>
      <c r="F506" s="54">
        <f>(VLOOKUP($A506,'The List'!$B1:$AH665,18,FALSE)-AVERAGE('The List'!S2:S665))/STDEV('The List'!S2:S665)</f>
        <v>-0.98847182582525017</v>
      </c>
      <c r="G506" s="54">
        <f>(VLOOKUP($A506,'The List'!$B1:$AH665,19,FALSE)-AVERAGE('The List'!T2:T665))/STDEV('The List'!T2:T665)</f>
        <v>-0.66042694564089899</v>
      </c>
      <c r="H506" s="54">
        <f>(VLOOKUP($A506,'The List'!$B1:$AH665,20,FALSE)-AVERAGE('The List'!U2:U665))/STDEV('The List'!U2:U665)</f>
        <v>-0.85946969847962484</v>
      </c>
      <c r="I506" s="54">
        <f>(VLOOKUP($A506,'The List'!$B1:$AH665,21,FALSE)-AVERAGE('The List'!V2:V665))/STDEV('The List'!V2:V665)</f>
        <v>-0.50874794358926312</v>
      </c>
      <c r="J506" s="54">
        <f>(VLOOKUP($A506,'The List'!$B1:$AH665,22,FALSE)-AVERAGE('The List'!W2:W665))/STDEV('The List'!W2:W665)</f>
        <v>-0.73920635982263982</v>
      </c>
      <c r="K506" s="54">
        <f>(VLOOKUP($A506,'The List'!$B1:$AH665,23,FALSE)-AVERAGE('The List'!X2:X665))/STDEV('The List'!X2:X665)</f>
        <v>-0.8117276902948285</v>
      </c>
      <c r="L506" s="54">
        <f>(VLOOKUP($A506,'The List'!$B1:$AH665,24,FALSE)-AVERAGE('The List'!Y2:Y665))/STDEV('The List'!Y2:Y665)</f>
        <v>-0.286622632316828</v>
      </c>
      <c r="M506" s="54">
        <f>(VLOOKUP($A506,'The List'!$B1:$AH665,25,FALSE)-AVERAGE('The List'!Z2:Z665))/STDEV('The List'!Z2:Z665)</f>
        <v>1.8264224372715568E-4</v>
      </c>
      <c r="N506" s="54">
        <f>(VLOOKUP($A506,'The List'!$B1:$AH665,26,FALSE)-AVERAGE('The List'!AA2:AA665))/STDEV('The List'!AA2:AA665)</f>
        <v>2.1351542123450722</v>
      </c>
      <c r="O506" s="54">
        <f>(VLOOKUP($A506,'The List'!$B1:$AH665,27,FALSE)-AVERAGE('The List'!AB2:AB665))/STDEV('The List'!AB2:AB665)</f>
        <v>3.5136997924712836</v>
      </c>
      <c r="P506" s="54">
        <f>(VLOOKUP($A506,'The List'!$B1:$AH665,28,FALSE)-AVERAGE('The List'!AC2:AC665))/STDEV('The List'!AC2:AC665)</f>
        <v>-1.0124416097745768</v>
      </c>
      <c r="Q506" s="54">
        <f>(VLOOKUP($A506,'The List'!$B1:$AH665,29,FALSE)-AVERAGE('The List'!AD2:AD665))/STDEV('The List'!AD2:AD665)</f>
        <v>4.0719946859447536</v>
      </c>
      <c r="R506" s="54">
        <f>(VLOOKUP($A506,'The List'!$B1:$AH665,30,FALSE)-AVERAGE('The List'!AE2:AE665))/STDEV('The List'!AE2:AE665)</f>
        <v>-1.0168871214481212</v>
      </c>
      <c r="S506" s="54">
        <f>(VLOOKUP($A506,'The List'!$B1:$AH665,31,FALSE)-AVERAGE('The List'!AF2:AF665))/STDEV('The List'!AF2:AF665)</f>
        <v>-0.57389441068000469</v>
      </c>
      <c r="T506" s="54">
        <f>(VLOOKUP($A506,'The List'!$B1:$AH665,32,FALSE)-AVERAGE('The List'!AG2:AG665))/STDEV('The List'!AG2:AG665)</f>
        <v>-0.62577078713265111</v>
      </c>
      <c r="U506" s="54">
        <f>(VLOOKUP($A506,'The List'!$B1:$AH665,33,FALSE)-AVERAGE('The List'!AH2:AH665))/STDEV('The List'!AH2:AH665)</f>
        <v>-1.2314350945148611</v>
      </c>
      <c r="V506" s="54"/>
      <c r="W506" s="64"/>
      <c r="X506" s="56"/>
      <c r="Y506" s="56"/>
      <c r="Z506" s="56"/>
      <c r="AA506" s="56"/>
      <c r="AB506" s="56"/>
      <c r="AC506" s="59"/>
      <c r="AD506" s="60"/>
      <c r="AE506" s="54"/>
    </row>
    <row r="507" spans="1:31" ht="21.25" customHeight="1" x14ac:dyDescent="0.15">
      <c r="A507" s="9" t="s">
        <v>425</v>
      </c>
      <c r="B507" s="65" t="str">
        <f>VLOOKUP(A507,'Player Data'!A1:B667,2,FALSE)</f>
        <v>DET</v>
      </c>
      <c r="C507" s="51">
        <f>((E507)*Settings!$C$12)+(F507*Settings!$C$2)+(G507*Settings!$C$3)+(H507*Settings!$C$4)+(I507*Settings!$C$5)+(K507*Settings!$C$9)+(N507*Settings!$C$6)+(J507*Settings!$C$8)+(O507*Settings!$C$7)+(P507*Settings!$C$14)+(Q507*Settings!$C$15)+(R507*Settings!$C$16)+(S507*Settings!$C$17)+(T507*Settings!$C$18)+(U507*Settings!$C$19)+(L507*Settings!$C$10)+(Settings!$C$11*M507)</f>
        <v>-2.1080865126993524</v>
      </c>
      <c r="D507" s="56">
        <f>IF(Settings!$E$12="YES",VLOOKUP(A507,'Player Data'!A1:E667,5,FALSE),82)</f>
        <v>79.517499999999998</v>
      </c>
      <c r="E507" s="54">
        <f>(VLOOKUP($A507,'The List'!$B1:$AH665,17,FALSE)-AVERAGE('The List'!R2:R665))/STDEV('The List'!R2:R665)</f>
        <v>0.61677696724311759</v>
      </c>
      <c r="F507" s="54">
        <f>(VLOOKUP($A507,'The List'!$B1:$AH665,18,FALSE)-AVERAGE('The List'!S2:S665))/STDEV('The List'!S2:S665)</f>
        <v>-0.88670892278475877</v>
      </c>
      <c r="G507" s="54">
        <f>(VLOOKUP($A507,'The List'!$B1:$AH665,19,FALSE)-AVERAGE('The List'!T2:T665))/STDEV('The List'!T2:T665)</f>
        <v>-0.69993453973415021</v>
      </c>
      <c r="H507" s="54">
        <f>(VLOOKUP($A507,'The List'!$B1:$AH665,20,FALSE)-AVERAGE('The List'!U2:U665))/STDEV('The List'!U2:U665)</f>
        <v>-0.83775005923807377</v>
      </c>
      <c r="I507" s="54">
        <f>(VLOOKUP($A507,'The List'!$B1:$AH665,21,FALSE)-AVERAGE('The List'!V2:V665))/STDEV('The List'!V2:V665)</f>
        <v>-0.48837455861808909</v>
      </c>
      <c r="J507" s="54">
        <f>(VLOOKUP($A507,'The List'!$B1:$AH665,22,FALSE)-AVERAGE('The List'!W2:W665))/STDEV('The List'!W2:W665)</f>
        <v>-0.73453622324948042</v>
      </c>
      <c r="K507" s="54">
        <f>(VLOOKUP($A507,'The List'!$B1:$AH665,23,FALSE)-AVERAGE('The List'!X2:X665))/STDEV('The List'!X2:X665)</f>
        <v>-0.81720710099739013</v>
      </c>
      <c r="L507" s="54">
        <f>(VLOOKUP($A507,'The List'!$B1:$AH665,24,FALSE)-AVERAGE('The List'!Y2:Y665))/STDEV('The List'!Y2:Y665)</f>
        <v>-0.53515649010358235</v>
      </c>
      <c r="M507" s="54">
        <f>(VLOOKUP($A507,'The List'!$B1:$AH665,25,FALSE)-AVERAGE('The List'!Z2:Z665))/STDEV('The List'!Z2:Z665)</f>
        <v>-0.63461059067718362</v>
      </c>
      <c r="N507" s="54">
        <f>(VLOOKUP($A507,'The List'!$B1:$AH665,26,FALSE)-AVERAGE('The List'!AA2:AA665))/STDEV('The List'!AA2:AA665)</f>
        <v>2.1369852509207443</v>
      </c>
      <c r="O507" s="54">
        <f>(VLOOKUP($A507,'The List'!$B1:$AH665,27,FALSE)-AVERAGE('The List'!AB2:AB665))/STDEV('The List'!AB2:AB665)</f>
        <v>1.2190158136890905</v>
      </c>
      <c r="P507" s="54">
        <f>(VLOOKUP($A507,'The List'!$B1:$AH665,28,FALSE)-AVERAGE('The List'!AC2:AC665))/STDEV('The List'!AC2:AC665)</f>
        <v>-1.3528466414857088</v>
      </c>
      <c r="Q507" s="54">
        <f>(VLOOKUP($A507,'The List'!$B1:$AH665,29,FALSE)-AVERAGE('The List'!AD2:AD665))/STDEV('The List'!AD2:AD665)</f>
        <v>1.0999482101653848</v>
      </c>
      <c r="R507" s="54">
        <f>(VLOOKUP($A507,'The List'!$B1:$AH665,30,FALSE)-AVERAGE('The List'!AE2:AE665))/STDEV('The List'!AE2:AE665)</f>
        <v>-0.88115876779248814</v>
      </c>
      <c r="S507" s="54">
        <f>(VLOOKUP($A507,'The List'!$B1:$AH665,31,FALSE)-AVERAGE('The List'!AF2:AF665))/STDEV('The List'!AF2:AF665)</f>
        <v>-0.57389441068000469</v>
      </c>
      <c r="T507" s="54">
        <f>(VLOOKUP($A507,'The List'!$B1:$AH665,32,FALSE)-AVERAGE('The List'!AG2:AG665))/STDEV('The List'!AG2:AG665)</f>
        <v>-0.62577078713265111</v>
      </c>
      <c r="U507" s="54">
        <f>(VLOOKUP($A507,'The List'!$B1:$AH665,33,FALSE)-AVERAGE('The List'!AH2:AH665))/STDEV('The List'!AH2:AH665)</f>
        <v>-1.2314350945148611</v>
      </c>
      <c r="V507" s="54"/>
      <c r="W507" s="64"/>
      <c r="X507" s="56"/>
      <c r="Y507" s="56"/>
      <c r="Z507" s="56"/>
      <c r="AA507" s="56"/>
      <c r="AB507" s="56"/>
      <c r="AC507" s="59"/>
      <c r="AD507" s="60"/>
      <c r="AE507" s="54"/>
    </row>
    <row r="508" spans="1:31" ht="21.25" customHeight="1" x14ac:dyDescent="0.15">
      <c r="A508" s="9" t="s">
        <v>727</v>
      </c>
      <c r="B508" s="65" t="str">
        <f>VLOOKUP(A508,'Player Data'!A1:B667,2,FALSE)</f>
        <v>N.J</v>
      </c>
      <c r="C508" s="51">
        <f>((E508)*Settings!$C$12)+(F508*Settings!$C$2)+(G508*Settings!$C$3)+(H508*Settings!$C$4)+(I508*Settings!$C$5)+(K508*Settings!$C$9)+(N508*Settings!$C$6)+(J508*Settings!$C$8)+(O508*Settings!$C$7)+(P508*Settings!$C$14)+(Q508*Settings!$C$15)+(R508*Settings!$C$16)+(S508*Settings!$C$17)+(T508*Settings!$C$18)+(U508*Settings!$C$19)+(L508*Settings!$C$10)+(Settings!$C$11*M508)</f>
        <v>-3.7909802294555601</v>
      </c>
      <c r="D508" s="56">
        <f>IF(Settings!$E$12="YES",VLOOKUP(A508,'Player Data'!A1:E667,5,FALSE),82)</f>
        <v>70.697500000000005</v>
      </c>
      <c r="E508" s="54">
        <f>(VLOOKUP($A508,'The List'!$B1:$AH665,17,FALSE)-AVERAGE('The List'!R2:R665))/STDEV('The List'!R2:R665)</f>
        <v>-1.8727137822548745</v>
      </c>
      <c r="F508" s="54">
        <f>(VLOOKUP($A508,'The List'!$B1:$AH665,18,FALSE)-AVERAGE('The List'!S2:S665))/STDEV('The List'!S2:S665)</f>
        <v>-0.62406452013627833</v>
      </c>
      <c r="G508" s="54">
        <f>(VLOOKUP($A508,'The List'!$B1:$AH665,19,FALSE)-AVERAGE('The List'!T2:T665))/STDEV('The List'!T2:T665)</f>
        <v>-1.0398438012536948</v>
      </c>
      <c r="H508" s="54">
        <f>(VLOOKUP($A508,'The List'!$B1:$AH665,20,FALSE)-AVERAGE('The List'!U2:U665))/STDEV('The List'!U2:U665)</f>
        <v>-0.92946845760410535</v>
      </c>
      <c r="I508" s="54">
        <f>(VLOOKUP($A508,'The List'!$B1:$AH665,21,FALSE)-AVERAGE('The List'!V2:V665))/STDEV('The List'!V2:V665)</f>
        <v>-0.98178401699028861</v>
      </c>
      <c r="J508" s="54">
        <f>(VLOOKUP($A508,'The List'!$B1:$AH665,22,FALSE)-AVERAGE('The List'!W2:W665))/STDEV('The List'!W2:W665)</f>
        <v>-0.67417323107772009</v>
      </c>
      <c r="K508" s="54">
        <f>(VLOOKUP($A508,'The List'!$B1:$AH665,23,FALSE)-AVERAGE('The List'!X2:X665))/STDEV('The List'!X2:X665)</f>
        <v>-0.77839814433671073</v>
      </c>
      <c r="L508" s="54">
        <f>(VLOOKUP($A508,'The List'!$B1:$AH665,24,FALSE)-AVERAGE('The List'!Y2:Y665))/STDEV('The List'!Y2:Y665)</f>
        <v>-0.3109090460847459</v>
      </c>
      <c r="M508" s="54">
        <f>(VLOOKUP($A508,'The List'!$B1:$AH665,25,FALSE)-AVERAGE('The List'!Z2:Z665))/STDEV('The List'!Z2:Z665)</f>
        <v>-0.47691436012712213</v>
      </c>
      <c r="N508" s="54">
        <f>(VLOOKUP($A508,'The List'!$B1:$AH665,26,FALSE)-AVERAGE('The List'!AA2:AA665))/STDEV('The List'!AA2:AA665)</f>
        <v>-0.6311619084432567</v>
      </c>
      <c r="O508" s="54">
        <f>(VLOOKUP($A508,'The List'!$B1:$AH665,27,FALSE)-AVERAGE('The List'!AB2:AB665))/STDEV('The List'!AB2:AB665)</f>
        <v>1.3798276228896835</v>
      </c>
      <c r="P508" s="54">
        <f>(VLOOKUP($A508,'The List'!$B1:$AH665,28,FALSE)-AVERAGE('The List'!AC2:AC665))/STDEV('The List'!AC2:AC665)</f>
        <v>0.26427216170466888</v>
      </c>
      <c r="Q508" s="54">
        <f>(VLOOKUP($A508,'The List'!$B1:$AH665,29,FALSE)-AVERAGE('The List'!AD2:AD665))/STDEV('The List'!AD2:AD665)</f>
        <v>2.4777873613978291E-2</v>
      </c>
      <c r="R508" s="54">
        <f>(VLOOKUP($A508,'The List'!$B1:$AH665,30,FALSE)-AVERAGE('The List'!AE2:AE665))/STDEV('The List'!AE2:AE665)</f>
        <v>-0.5880003862571187</v>
      </c>
      <c r="S508" s="54">
        <f>(VLOOKUP($A508,'The List'!$B1:$AH665,31,FALSE)-AVERAGE('The List'!AF2:AF665))/STDEV('The List'!AF2:AF665)</f>
        <v>-0.49366803180875873</v>
      </c>
      <c r="T508" s="54">
        <f>(VLOOKUP($A508,'The List'!$B1:$AH665,32,FALSE)-AVERAGE('The List'!AG2:AG665))/STDEV('The List'!AG2:AG665)</f>
        <v>-0.51703170357287376</v>
      </c>
      <c r="U508" s="54">
        <f>(VLOOKUP($A508,'The List'!$B1:$AH665,33,FALSE)-AVERAGE('The List'!AH2:AH665))/STDEV('The List'!AH2:AH665)</f>
        <v>0.76173085730904477</v>
      </c>
      <c r="V508" s="54"/>
      <c r="W508" s="64"/>
      <c r="X508" s="56"/>
      <c r="Y508" s="56"/>
      <c r="Z508" s="56"/>
      <c r="AA508" s="56"/>
      <c r="AB508" s="56"/>
      <c r="AC508" s="59"/>
      <c r="AD508" s="60"/>
      <c r="AE508" s="54"/>
    </row>
    <row r="509" spans="1:31" ht="21.25" customHeight="1" x14ac:dyDescent="0.15">
      <c r="A509" s="9" t="s">
        <v>590</v>
      </c>
      <c r="B509" s="65" t="str">
        <f>VLOOKUP(A509,'Player Data'!A1:B667,2,FALSE)</f>
        <v>MTL</v>
      </c>
      <c r="C509" s="51">
        <f>((E509)*Settings!$C$12)+(F509*Settings!$C$2)+(G509*Settings!$C$3)+(H509*Settings!$C$4)+(I509*Settings!$C$5)+(K509*Settings!$C$9)+(N509*Settings!$C$6)+(J509*Settings!$C$8)+(O509*Settings!$C$7)+(P509*Settings!$C$14)+(Q509*Settings!$C$15)+(R509*Settings!$C$16)+(S509*Settings!$C$17)+(T509*Settings!$C$18)+(U509*Settings!$C$19)+(L509*Settings!$C$10)+(Settings!$C$11*M509)</f>
        <v>-3.9174236848961193</v>
      </c>
      <c r="D509" s="56">
        <f>IF(Settings!$E$12="YES",VLOOKUP(A509,'Player Data'!A1:E667,5,FALSE),82)</f>
        <v>67.522499999999994</v>
      </c>
      <c r="E509" s="54">
        <f>(VLOOKUP($A509,'The List'!$B1:$AH665,17,FALSE)-AVERAGE('The List'!R2:R665))/STDEV('The List'!R2:R665)</f>
        <v>-0.34600055636550292</v>
      </c>
      <c r="F509" s="54">
        <f>(VLOOKUP($A509,'The List'!$B1:$AH665,18,FALSE)-AVERAGE('The List'!S2:S665))/STDEV('The List'!S2:S665)</f>
        <v>-0.91123024246195072</v>
      </c>
      <c r="G509" s="54">
        <f>(VLOOKUP($A509,'The List'!$B1:$AH665,19,FALSE)-AVERAGE('The List'!T2:T665))/STDEV('The List'!T2:T665)</f>
        <v>-0.88570986919136097</v>
      </c>
      <c r="H509" s="54">
        <f>(VLOOKUP($A509,'The List'!$B1:$AH665,20,FALSE)-AVERAGE('The List'!U2:U665))/STDEV('The List'!U2:U665)</f>
        <v>-0.96427309001258144</v>
      </c>
      <c r="I509" s="54">
        <f>(VLOOKUP($A509,'The List'!$B1:$AH665,21,FALSE)-AVERAGE('The List'!V2:V665))/STDEV('The List'!V2:V665)</f>
        <v>-0.81773247394743764</v>
      </c>
      <c r="J509" s="54">
        <f>(VLOOKUP($A509,'The List'!$B1:$AH665,22,FALSE)-AVERAGE('The List'!W2:W665))/STDEV('The List'!W2:W665)</f>
        <v>-0.67350496168066665</v>
      </c>
      <c r="K509" s="54">
        <f>(VLOOKUP($A509,'The List'!$B1:$AH665,23,FALSE)-AVERAGE('The List'!X2:X665))/STDEV('The List'!X2:X665)</f>
        <v>-0.76143406479176068</v>
      </c>
      <c r="L509" s="54">
        <f>(VLOOKUP($A509,'The List'!$B1:$AH665,24,FALSE)-AVERAGE('The List'!Y2:Y665))/STDEV('The List'!Y2:Y665)</f>
        <v>-0.52018694542560617</v>
      </c>
      <c r="M509" s="54">
        <f>(VLOOKUP($A509,'The List'!$B1:$AH665,25,FALSE)-AVERAGE('The List'!Z2:Z665))/STDEV('The List'!Z2:Z665)</f>
        <v>-0.57423324532278219</v>
      </c>
      <c r="N509" s="54">
        <f>(VLOOKUP($A509,'The List'!$B1:$AH665,26,FALSE)-AVERAGE('The List'!AA2:AA665))/STDEV('The List'!AA2:AA665)</f>
        <v>0.30070946621717176</v>
      </c>
      <c r="O509" s="54">
        <f>(VLOOKUP($A509,'The List'!$B1:$AH665,27,FALSE)-AVERAGE('The List'!AB2:AB665))/STDEV('The List'!AB2:AB665)</f>
        <v>1.3553184298948404</v>
      </c>
      <c r="P509" s="54">
        <f>(VLOOKUP($A509,'The List'!$B1:$AH665,28,FALSE)-AVERAGE('The List'!AC2:AC665))/STDEV('The List'!AC2:AC665)</f>
        <v>-0.84202650072078111</v>
      </c>
      <c r="Q509" s="54">
        <f>(VLOOKUP($A509,'The List'!$B1:$AH665,29,FALSE)-AVERAGE('The List'!AD2:AD665))/STDEV('The List'!AD2:AD665)</f>
        <v>2.969366828884048</v>
      </c>
      <c r="R509" s="54">
        <f>(VLOOKUP($A509,'The List'!$B1:$AH665,30,FALSE)-AVERAGE('The List'!AE2:AE665))/STDEV('The List'!AE2:AE665)</f>
        <v>-0.96088210075033775</v>
      </c>
      <c r="S509" s="54">
        <f>(VLOOKUP($A509,'The List'!$B1:$AH665,31,FALSE)-AVERAGE('The List'!AF2:AF665))/STDEV('The List'!AF2:AF665)</f>
        <v>-0.57389441068000469</v>
      </c>
      <c r="T509" s="54">
        <f>(VLOOKUP($A509,'The List'!$B1:$AH665,32,FALSE)-AVERAGE('The List'!AG2:AG665))/STDEV('The List'!AG2:AG665)</f>
        <v>-0.62577078713265111</v>
      </c>
      <c r="U509" s="54">
        <f>(VLOOKUP($A509,'The List'!$B1:$AH665,33,FALSE)-AVERAGE('The List'!AH2:AH665))/STDEV('The List'!AH2:AH665)</f>
        <v>-1.2314350945148611</v>
      </c>
      <c r="V509" s="54"/>
      <c r="W509" s="64"/>
      <c r="X509" s="56"/>
      <c r="Y509" s="56"/>
      <c r="Z509" s="56"/>
      <c r="AA509" s="56"/>
      <c r="AB509" s="56"/>
      <c r="AC509" s="59"/>
      <c r="AD509" s="60"/>
      <c r="AE509" s="54"/>
    </row>
    <row r="510" spans="1:31" ht="21.25" customHeight="1" x14ac:dyDescent="0.15">
      <c r="A510" s="9" t="s">
        <v>577</v>
      </c>
      <c r="B510" s="65" t="str">
        <f>VLOOKUP(A510,'Player Data'!A1:B667,2,FALSE)</f>
        <v>CGY</v>
      </c>
      <c r="C510" s="51">
        <f>((E510)*Settings!$C$12)+(F510*Settings!$C$2)+(G510*Settings!$C$3)+(H510*Settings!$C$4)+(I510*Settings!$C$5)+(K510*Settings!$C$9)+(N510*Settings!$C$6)+(J510*Settings!$C$8)+(O510*Settings!$C$7)+(P510*Settings!$C$14)+(Q510*Settings!$C$15)+(R510*Settings!$C$16)+(S510*Settings!$C$17)+(T510*Settings!$C$18)+(U510*Settings!$C$19)+(L510*Settings!$C$10)+(Settings!$C$11*M510)</f>
        <v>-4.5317131965574804</v>
      </c>
      <c r="D510" s="56">
        <f>IF(Settings!$E$12="YES",VLOOKUP(A510,'Player Data'!A1:E667,5,FALSE),82)</f>
        <v>69.405000000000001</v>
      </c>
      <c r="E510" s="54">
        <f>(VLOOKUP($A510,'The List'!$B1:$AH665,17,FALSE)-AVERAGE('The List'!R2:R665))/STDEV('The List'!R2:R665)</f>
        <v>-0.14413075399478681</v>
      </c>
      <c r="F510" s="54">
        <f>(VLOOKUP($A510,'The List'!$B1:$AH665,18,FALSE)-AVERAGE('The List'!S2:S665))/STDEV('The List'!S2:S665)</f>
        <v>-0.92966861045448002</v>
      </c>
      <c r="G510" s="54">
        <f>(VLOOKUP($A510,'The List'!$B1:$AH665,19,FALSE)-AVERAGE('The List'!T2:T665))/STDEV('The List'!T2:T665)</f>
        <v>-0.84166753566232289</v>
      </c>
      <c r="H510" s="54">
        <f>(VLOOKUP($A510,'The List'!$B1:$AH665,20,FALSE)-AVERAGE('The List'!U2:U665))/STDEV('The List'!U2:U665)</f>
        <v>-0.94530143917228449</v>
      </c>
      <c r="I510" s="54">
        <f>(VLOOKUP($A510,'The List'!$B1:$AH665,21,FALSE)-AVERAGE('The List'!V2:V665))/STDEV('The List'!V2:V665)</f>
        <v>-0.99763622381825745</v>
      </c>
      <c r="J510" s="54">
        <f>(VLOOKUP($A510,'The List'!$B1:$AH665,22,FALSE)-AVERAGE('The List'!W2:W665))/STDEV('The List'!W2:W665)</f>
        <v>-0.73638607037134929</v>
      </c>
      <c r="K510" s="54">
        <f>(VLOOKUP($A510,'The List'!$B1:$AH665,23,FALSE)-AVERAGE('The List'!X2:X665))/STDEV('The List'!X2:X665)</f>
        <v>-0.80929132852096786</v>
      </c>
      <c r="L510" s="54">
        <f>(VLOOKUP($A510,'The List'!$B1:$AH665,24,FALSE)-AVERAGE('The List'!Y2:Y665))/STDEV('The List'!Y2:Y665)</f>
        <v>-0.53608885003789697</v>
      </c>
      <c r="M510" s="54">
        <f>(VLOOKUP($A510,'The List'!$B1:$AH665,25,FALSE)-AVERAGE('The List'!Z2:Z665))/STDEV('The List'!Z2:Z665)</f>
        <v>-0.44943130474850401</v>
      </c>
      <c r="N510" s="54">
        <f>(VLOOKUP($A510,'The List'!$B1:$AH665,26,FALSE)-AVERAGE('The List'!AA2:AA665))/STDEV('The List'!AA2:AA665)</f>
        <v>0.79351564106973205</v>
      </c>
      <c r="O510" s="54">
        <f>(VLOOKUP($A510,'The List'!$B1:$AH665,27,FALSE)-AVERAGE('The List'!AB2:AB665))/STDEV('The List'!AB2:AB665)</f>
        <v>-0.91051261881920509</v>
      </c>
      <c r="P510" s="54">
        <f>(VLOOKUP($A510,'The List'!$B1:$AH665,28,FALSE)-AVERAGE('The List'!AC2:AC665))/STDEV('The List'!AC2:AC665)</f>
        <v>-1.7469651391711847</v>
      </c>
      <c r="Q510" s="54">
        <f>(VLOOKUP($A510,'The List'!$B1:$AH665,29,FALSE)-AVERAGE('The List'!AD2:AD665))/STDEV('The List'!AD2:AD665)</f>
        <v>-0.38750370637589188</v>
      </c>
      <c r="R510" s="54">
        <f>(VLOOKUP($A510,'The List'!$B1:$AH665,30,FALSE)-AVERAGE('The List'!AE2:AE665))/STDEV('The List'!AE2:AE665)</f>
        <v>-0.8984496085426118</v>
      </c>
      <c r="S510" s="54">
        <f>(VLOOKUP($A510,'The List'!$B1:$AH665,31,FALSE)-AVERAGE('The List'!AF2:AF665))/STDEV('The List'!AF2:AF665)</f>
        <v>-0.57389441068000469</v>
      </c>
      <c r="T510" s="54">
        <f>(VLOOKUP($A510,'The List'!$B1:$AH665,32,FALSE)-AVERAGE('The List'!AG2:AG665))/STDEV('The List'!AG2:AG665)</f>
        <v>-0.62577078713265111</v>
      </c>
      <c r="U510" s="54">
        <f>(VLOOKUP($A510,'The List'!$B1:$AH665,33,FALSE)-AVERAGE('The List'!AH2:AH665))/STDEV('The List'!AH2:AH665)</f>
        <v>-1.2314350945148611</v>
      </c>
      <c r="V510" s="54"/>
      <c r="W510" s="64"/>
      <c r="X510" s="56"/>
      <c r="Y510" s="56"/>
      <c r="Z510" s="56"/>
      <c r="AA510" s="56"/>
      <c r="AB510" s="56"/>
      <c r="AC510" s="59"/>
      <c r="AD510" s="60"/>
      <c r="AE510" s="54"/>
    </row>
    <row r="511" spans="1:31" ht="21.25" customHeight="1" x14ac:dyDescent="0.15">
      <c r="A511" s="9" t="s">
        <v>622</v>
      </c>
      <c r="B511" s="65" t="str">
        <f>VLOOKUP(A511,'Player Data'!A1:B667,2,FALSE)</f>
        <v>STL</v>
      </c>
      <c r="C511" s="51">
        <f>((E511)*Settings!$C$12)+(F511*Settings!$C$2)+(G511*Settings!$C$3)+(H511*Settings!$C$4)+(I511*Settings!$C$5)+(K511*Settings!$C$9)+(N511*Settings!$C$6)+(J511*Settings!$C$8)+(O511*Settings!$C$7)+(P511*Settings!$C$14)+(Q511*Settings!$C$15)+(R511*Settings!$C$16)+(S511*Settings!$C$17)+(T511*Settings!$C$18)+(U511*Settings!$C$19)+(L511*Settings!$C$10)+(Settings!$C$11*M511)</f>
        <v>-3.8904964621298284</v>
      </c>
      <c r="D511" s="56">
        <f>IF(Settings!$E$12="YES",VLOOKUP(A511,'Player Data'!A1:E667,5,FALSE),82)</f>
        <v>70.542500000000004</v>
      </c>
      <c r="E511" s="54">
        <f>(VLOOKUP($A511,'The List'!$B1:$AH665,17,FALSE)-AVERAGE('The List'!R2:R665))/STDEV('The List'!R2:R665)</f>
        <v>-0.5641575689856726</v>
      </c>
      <c r="F511" s="54">
        <f>(VLOOKUP($A511,'The List'!$B1:$AH665,18,FALSE)-AVERAGE('The List'!S2:S665))/STDEV('The List'!S2:S665)</f>
        <v>-1.0138708089116524</v>
      </c>
      <c r="G511" s="54">
        <f>(VLOOKUP($A511,'The List'!$B1:$AH665,19,FALSE)-AVERAGE('The List'!T2:T665))/STDEV('The List'!T2:T665)</f>
        <v>-0.76380749955977945</v>
      </c>
      <c r="H511" s="54">
        <f>(VLOOKUP($A511,'The List'!$B1:$AH665,20,FALSE)-AVERAGE('The List'!U2:U665))/STDEV('The List'!U2:U665)</f>
        <v>-0.93521988048017113</v>
      </c>
      <c r="I511" s="54">
        <f>(VLOOKUP($A511,'The List'!$B1:$AH665,21,FALSE)-AVERAGE('The List'!V2:V665))/STDEV('The List'!V2:V665)</f>
        <v>-1.0291644001635523</v>
      </c>
      <c r="J511" s="54">
        <f>(VLOOKUP($A511,'The List'!$B1:$AH665,22,FALSE)-AVERAGE('The List'!W2:W665))/STDEV('The List'!W2:W665)</f>
        <v>-0.73450104430150764</v>
      </c>
      <c r="K511" s="54">
        <f>(VLOOKUP($A511,'The List'!$B1:$AH665,23,FALSE)-AVERAGE('The List'!X2:X665))/STDEV('The List'!X2:X665)</f>
        <v>-0.81139305215574731</v>
      </c>
      <c r="L511" s="54">
        <f>(VLOOKUP($A511,'The List'!$B1:$AH665,24,FALSE)-AVERAGE('The List'!Y2:Y665))/STDEV('The List'!Y2:Y665)</f>
        <v>-0.56251242626915965</v>
      </c>
      <c r="M511" s="54">
        <f>(VLOOKUP($A511,'The List'!$B1:$AH665,25,FALSE)-AVERAGE('The List'!Z2:Z665))/STDEV('The List'!Z2:Z665)</f>
        <v>-0.70152111662228511</v>
      </c>
      <c r="N511" s="54">
        <f>(VLOOKUP($A511,'The List'!$B1:$AH665,26,FALSE)-AVERAGE('The List'!AA2:AA665))/STDEV('The List'!AA2:AA665)</f>
        <v>-0.10455275821338852</v>
      </c>
      <c r="O511" s="54">
        <f>(VLOOKUP($A511,'The List'!$B1:$AH665,27,FALSE)-AVERAGE('The List'!AB2:AB665))/STDEV('The List'!AB2:AB665)</f>
        <v>-0.32117535011772863</v>
      </c>
      <c r="P511" s="54">
        <f>(VLOOKUP($A511,'The List'!$B1:$AH665,28,FALSE)-AVERAGE('The List'!AC2:AC665))/STDEV('The List'!AC2:AC665)</f>
        <v>-0.16770794312570853</v>
      </c>
      <c r="Q511" s="54">
        <f>(VLOOKUP($A511,'The List'!$B1:$AH665,29,FALSE)-AVERAGE('The List'!AD2:AD665))/STDEV('The List'!AD2:AD665)</f>
        <v>-0.32593242270513018</v>
      </c>
      <c r="R511" s="54">
        <f>(VLOOKUP($A511,'The List'!$B1:$AH665,30,FALSE)-AVERAGE('The List'!AE2:AE665))/STDEV('The List'!AE2:AE665)</f>
        <v>-1.0280242071403058</v>
      </c>
      <c r="S511" s="54">
        <f>(VLOOKUP($A511,'The List'!$B1:$AH665,31,FALSE)-AVERAGE('The List'!AF2:AF665))/STDEV('The List'!AF2:AF665)</f>
        <v>-0.57389441068000469</v>
      </c>
      <c r="T511" s="54">
        <f>(VLOOKUP($A511,'The List'!$B1:$AH665,32,FALSE)-AVERAGE('The List'!AG2:AG665))/STDEV('The List'!AG2:AG665)</f>
        <v>-0.62577078713265111</v>
      </c>
      <c r="U511" s="54">
        <f>(VLOOKUP($A511,'The List'!$B1:$AH665,33,FALSE)-AVERAGE('The List'!AH2:AH665))/STDEV('The List'!AH2:AH665)</f>
        <v>-1.2314350945148611</v>
      </c>
      <c r="V511" s="54"/>
      <c r="W511" s="56"/>
      <c r="X511" s="54"/>
      <c r="Y511" s="54"/>
      <c r="Z511" s="54"/>
      <c r="AA511" s="54"/>
      <c r="AB511" s="54"/>
      <c r="AC511" s="54"/>
      <c r="AD511" s="54"/>
      <c r="AE511" s="54"/>
    </row>
    <row r="512" spans="1:31" ht="21.25" customHeight="1" x14ac:dyDescent="0.15">
      <c r="A512" s="9" t="s">
        <v>504</v>
      </c>
      <c r="B512" s="65" t="str">
        <f>VLOOKUP(A512,'Player Data'!A1:B667,2,FALSE)</f>
        <v>WSH</v>
      </c>
      <c r="C512" s="51">
        <f>((E512)*Settings!$C$12)+(F512*Settings!$C$2)+(G512*Settings!$C$3)+(H512*Settings!$C$4)+(I512*Settings!$C$5)+(K512*Settings!$C$9)+(N512*Settings!$C$6)+(J512*Settings!$C$8)+(O512*Settings!$C$7)+(P512*Settings!$C$14)+(Q512*Settings!$C$15)+(R512*Settings!$C$16)+(S512*Settings!$C$17)+(T512*Settings!$C$18)+(U512*Settings!$C$19)+(L512*Settings!$C$10)+(Settings!$C$11*M512)</f>
        <v>-2.9438143228908045</v>
      </c>
      <c r="D512" s="56">
        <f>IF(Settings!$E$12="YES",VLOOKUP(A512,'Player Data'!A1:E667,5,FALSE),82)</f>
        <v>76.827500000000001</v>
      </c>
      <c r="E512" s="54">
        <f>(VLOOKUP($A512,'The List'!$B1:$AH665,17,FALSE)-AVERAGE('The List'!R2:R665))/STDEV('The List'!R2:R665)</f>
        <v>0.33703787922265388</v>
      </c>
      <c r="F512" s="54">
        <f>(VLOOKUP($A512,'The List'!$B1:$AH665,18,FALSE)-AVERAGE('The List'!S2:S665))/STDEV('The List'!S2:S665)</f>
        <v>-0.85079484691059193</v>
      </c>
      <c r="G512" s="54">
        <f>(VLOOKUP($A512,'The List'!$B1:$AH665,19,FALSE)-AVERAGE('The List'!T2:T665))/STDEV('The List'!T2:T665)</f>
        <v>-0.78144985598156291</v>
      </c>
      <c r="H512" s="54">
        <f>(VLOOKUP($A512,'The List'!$B1:$AH665,20,FALSE)-AVERAGE('The List'!U2:U665))/STDEV('The List'!U2:U665)</f>
        <v>-0.87205099946234788</v>
      </c>
      <c r="I512" s="54">
        <f>(VLOOKUP($A512,'The List'!$B1:$AH665,21,FALSE)-AVERAGE('The List'!V2:V665))/STDEV('The List'!V2:V665)</f>
        <v>-0.94426475769990448</v>
      </c>
      <c r="J512" s="54">
        <f>(VLOOKUP($A512,'The List'!$B1:$AH665,22,FALSE)-AVERAGE('The List'!W2:W665))/STDEV('The List'!W2:W665)</f>
        <v>-0.74063948681071723</v>
      </c>
      <c r="K512" s="54">
        <f>(VLOOKUP($A512,'The List'!$B1:$AH665,23,FALSE)-AVERAGE('The List'!X2:X665))/STDEV('The List'!X2:X665)</f>
        <v>-0.81618365827294515</v>
      </c>
      <c r="L512" s="54">
        <f>(VLOOKUP($A512,'The List'!$B1:$AH665,24,FALSE)-AVERAGE('The List'!Y2:Y665))/STDEV('The List'!Y2:Y665)</f>
        <v>-0.17877970847458138</v>
      </c>
      <c r="M512" s="54">
        <f>(VLOOKUP($A512,'The List'!$B1:$AH665,25,FALSE)-AVERAGE('The List'!Z2:Z665))/STDEV('The List'!Z2:Z665)</f>
        <v>0.42905710737625902</v>
      </c>
      <c r="N512" s="54">
        <f>(VLOOKUP($A512,'The List'!$B1:$AH665,26,FALSE)-AVERAGE('The List'!AA2:AA665))/STDEV('The List'!AA2:AA665)</f>
        <v>1.3352936426380082</v>
      </c>
      <c r="O512" s="54">
        <f>(VLOOKUP($A512,'The List'!$B1:$AH665,27,FALSE)-AVERAGE('The List'!AB2:AB665))/STDEV('The List'!AB2:AB665)</f>
        <v>2.0390751751119196</v>
      </c>
      <c r="P512" s="54">
        <f>(VLOOKUP($A512,'The List'!$B1:$AH665,28,FALSE)-AVERAGE('The List'!AC2:AC665))/STDEV('The List'!AC2:AC665)</f>
        <v>-0.88641484666380821</v>
      </c>
      <c r="Q512" s="54">
        <f>(VLOOKUP($A512,'The List'!$B1:$AH665,29,FALSE)-AVERAGE('The List'!AD2:AD665))/STDEV('The List'!AD2:AD665)</f>
        <v>-0.31472075915557918</v>
      </c>
      <c r="R512" s="54">
        <f>(VLOOKUP($A512,'The List'!$B1:$AH665,30,FALSE)-AVERAGE('The List'!AE2:AE665))/STDEV('The List'!AE2:AE665)</f>
        <v>-0.83534128963924248</v>
      </c>
      <c r="S512" s="54">
        <f>(VLOOKUP($A512,'The List'!$B1:$AH665,31,FALSE)-AVERAGE('The List'!AF2:AF665))/STDEV('The List'!AF2:AF665)</f>
        <v>-0.57389441068000469</v>
      </c>
      <c r="T512" s="54">
        <f>(VLOOKUP($A512,'The List'!$B1:$AH665,32,FALSE)-AVERAGE('The List'!AG2:AG665))/STDEV('The List'!AG2:AG665)</f>
        <v>-0.62577078713265111</v>
      </c>
      <c r="U512" s="54">
        <f>(VLOOKUP($A512,'The List'!$B1:$AH665,33,FALSE)-AVERAGE('The List'!AH2:AH665))/STDEV('The List'!AH2:AH665)</f>
        <v>-1.2314350945148611</v>
      </c>
      <c r="V512" s="54"/>
      <c r="W512" s="64"/>
      <c r="X512" s="56"/>
      <c r="Y512" s="56"/>
      <c r="Z512" s="56"/>
      <c r="AA512" s="56"/>
      <c r="AB512" s="56"/>
      <c r="AC512" s="59"/>
      <c r="AD512" s="60"/>
      <c r="AE512" s="54"/>
    </row>
    <row r="513" spans="1:31" ht="21.25" customHeight="1" x14ac:dyDescent="0.15">
      <c r="A513" s="9" t="s">
        <v>726</v>
      </c>
      <c r="B513" s="65" t="str">
        <f>VLOOKUP(A513,'Player Data'!A1:B667,2,FALSE)</f>
        <v>S.J</v>
      </c>
      <c r="C513" s="51">
        <f>((E513)*Settings!$C$12)+(F513*Settings!$C$2)+(G513*Settings!$C$3)+(H513*Settings!$C$4)+(I513*Settings!$C$5)+(K513*Settings!$C$9)+(N513*Settings!$C$6)+(J513*Settings!$C$8)+(O513*Settings!$C$7)+(P513*Settings!$C$14)+(Q513*Settings!$C$15)+(R513*Settings!$C$16)+(S513*Settings!$C$17)+(T513*Settings!$C$18)+(U513*Settings!$C$19)+(L513*Settings!$C$10)+(Settings!$C$11*M513)</f>
        <v>-3.0327725615505989</v>
      </c>
      <c r="D513" s="56">
        <f>IF(Settings!$E$12="YES",VLOOKUP(A513,'Player Data'!A1:E667,5,FALSE),82)</f>
        <v>81.375</v>
      </c>
      <c r="E513" s="54">
        <f>(VLOOKUP($A513,'The List'!$B1:$AH665,17,FALSE)-AVERAGE('The List'!R2:R665))/STDEV('The List'!R2:R665)</f>
        <v>-1.2120100951675419</v>
      </c>
      <c r="F513" s="54">
        <f>(VLOOKUP($A513,'The List'!$B1:$AH665,18,FALSE)-AVERAGE('The List'!S2:S665))/STDEV('The List'!S2:S665)</f>
        <v>-0.71025306932334142</v>
      </c>
      <c r="G513" s="54">
        <f>(VLOOKUP($A513,'The List'!$B1:$AH665,19,FALSE)-AVERAGE('The List'!T2:T665))/STDEV('The List'!T2:T665)</f>
        <v>-0.8162080738395332</v>
      </c>
      <c r="H513" s="54">
        <f>(VLOOKUP($A513,'The List'!$B1:$AH665,20,FALSE)-AVERAGE('The List'!U2:U665))/STDEV('The List'!U2:U665)</f>
        <v>-0.82975488874084713</v>
      </c>
      <c r="I513" s="54">
        <f>(VLOOKUP($A513,'The List'!$B1:$AH665,21,FALSE)-AVERAGE('The List'!V2:V665))/STDEV('The List'!V2:V665)</f>
        <v>-1.0381237317789689</v>
      </c>
      <c r="J513" s="54">
        <f>(VLOOKUP($A513,'The List'!$B1:$AH665,22,FALSE)-AVERAGE('The List'!W2:W665))/STDEV('The List'!W2:W665)</f>
        <v>-0.7295365933550213</v>
      </c>
      <c r="K513" s="54">
        <f>(VLOOKUP($A513,'The List'!$B1:$AH665,23,FALSE)-AVERAGE('The List'!X2:X665))/STDEV('The List'!X2:X665)</f>
        <v>-0.81688308653097252</v>
      </c>
      <c r="L513" s="54">
        <f>(VLOOKUP($A513,'The List'!$B1:$AH665,24,FALSE)-AVERAGE('The List'!Y2:Y665))/STDEV('The List'!Y2:Y665)</f>
        <v>0.53921248612370676</v>
      </c>
      <c r="M513" s="54">
        <f>(VLOOKUP($A513,'The List'!$B1:$AH665,25,FALSE)-AVERAGE('The List'!Z2:Z665))/STDEV('The List'!Z2:Z665)</f>
        <v>0.62881767866326088</v>
      </c>
      <c r="N513" s="54">
        <f>(VLOOKUP($A513,'The List'!$B1:$AH665,26,FALSE)-AVERAGE('The List'!AA2:AA665))/STDEV('The List'!AA2:AA665)</f>
        <v>0.11064404882194383</v>
      </c>
      <c r="O513" s="54">
        <f>(VLOOKUP($A513,'The List'!$B1:$AH665,27,FALSE)-AVERAGE('The List'!AB2:AB665))/STDEV('The List'!AB2:AB665)</f>
        <v>1.1113047954346627</v>
      </c>
      <c r="P513" s="54">
        <f>(VLOOKUP($A513,'The List'!$B1:$AH665,28,FALSE)-AVERAGE('The List'!AC2:AC665))/STDEV('The List'!AC2:AC665)</f>
        <v>0.23805135110027284</v>
      </c>
      <c r="Q513" s="54">
        <f>(VLOOKUP($A513,'The List'!$B1:$AH665,29,FALSE)-AVERAGE('The List'!AD2:AD665))/STDEV('The List'!AD2:AD665)</f>
        <v>1.0496908131956575</v>
      </c>
      <c r="R513" s="54">
        <f>(VLOOKUP($A513,'The List'!$B1:$AH665,30,FALSE)-AVERAGE('The List'!AE2:AE665))/STDEV('The List'!AE2:AE665)</f>
        <v>-0.84773322181654309</v>
      </c>
      <c r="S513" s="54">
        <f>(VLOOKUP($A513,'The List'!$B1:$AH665,31,FALSE)-AVERAGE('The List'!AF2:AF665))/STDEV('The List'!AF2:AF665)</f>
        <v>0.86978757139788287</v>
      </c>
      <c r="T513" s="54">
        <f>(VLOOKUP($A513,'The List'!$B1:$AH665,32,FALSE)-AVERAGE('The List'!AG2:AG665))/STDEV('The List'!AG2:AG665)</f>
        <v>0.91936929409349577</v>
      </c>
      <c r="U513" s="54">
        <f>(VLOOKUP($A513,'The List'!$B1:$AH665,33,FALSE)-AVERAGE('The List'!AH2:AH665))/STDEV('The List'!AH2:AH665)</f>
        <v>1.028049407483413</v>
      </c>
      <c r="V513" s="54"/>
      <c r="W513" s="64"/>
      <c r="X513" s="56"/>
      <c r="Y513" s="56"/>
      <c r="Z513" s="56"/>
      <c r="AA513" s="56"/>
      <c r="AB513" s="56"/>
      <c r="AC513" s="59"/>
      <c r="AD513" s="60"/>
      <c r="AE513" s="54"/>
    </row>
    <row r="514" spans="1:31" ht="21.25" customHeight="1" x14ac:dyDescent="0.15">
      <c r="A514" s="9" t="s">
        <v>644</v>
      </c>
      <c r="B514" s="65" t="str">
        <f>VLOOKUP(A514,'Player Data'!A1:B667,2,FALSE)</f>
        <v>MIN</v>
      </c>
      <c r="C514" s="51">
        <f>((E514)*Settings!$C$12)+(F514*Settings!$C$2)+(G514*Settings!$C$3)+(H514*Settings!$C$4)+(I514*Settings!$C$5)+(K514*Settings!$C$9)+(N514*Settings!$C$6)+(J514*Settings!$C$8)+(O514*Settings!$C$7)+(P514*Settings!$C$14)+(Q514*Settings!$C$15)+(R514*Settings!$C$16)+(S514*Settings!$C$17)+(T514*Settings!$C$18)+(U514*Settings!$C$19)+(L514*Settings!$C$10)+(Settings!$C$11*M514)</f>
        <v>-3.7344626154663101</v>
      </c>
      <c r="D514" s="56">
        <f>IF(Settings!$E$12="YES",VLOOKUP(A514,'Player Data'!A1:E667,5,FALSE),82)</f>
        <v>60.865000000000002</v>
      </c>
      <c r="E514" s="54">
        <f>(VLOOKUP($A514,'The List'!$B1:$AH665,17,FALSE)-AVERAGE('The List'!R2:R665))/STDEV('The List'!R2:R665)</f>
        <v>-0.37931092842032404</v>
      </c>
      <c r="F514" s="54">
        <f>(VLOOKUP($A514,'The List'!$B1:$AH665,18,FALSE)-AVERAGE('The List'!S2:S665))/STDEV('The List'!S2:S665)</f>
        <v>-0.98458618214087956</v>
      </c>
      <c r="G514" s="54">
        <f>(VLOOKUP($A514,'The List'!$B1:$AH665,19,FALSE)-AVERAGE('The List'!T2:T665))/STDEV('The List'!T2:T665)</f>
        <v>-0.9513359991993986</v>
      </c>
      <c r="H514" s="54">
        <f>(VLOOKUP($A514,'The List'!$B1:$AH665,20,FALSE)-AVERAGE('The List'!U2:U665))/STDEV('The List'!U2:U665)</f>
        <v>-1.0383743682528737</v>
      </c>
      <c r="I514" s="54">
        <f>(VLOOKUP($A514,'The List'!$B1:$AH665,21,FALSE)-AVERAGE('The List'!V2:V665))/STDEV('The List'!V2:V665)</f>
        <v>-1.2815756077741396</v>
      </c>
      <c r="J514" s="54">
        <f>(VLOOKUP($A514,'The List'!$B1:$AH665,22,FALSE)-AVERAGE('The List'!W2:W665))/STDEV('The List'!W2:W665)</f>
        <v>-0.44598875905073659</v>
      </c>
      <c r="K514" s="54">
        <f>(VLOOKUP($A514,'The List'!$B1:$AH665,23,FALSE)-AVERAGE('The List'!X2:X665))/STDEV('The List'!X2:X665)</f>
        <v>-0.47971813770385824</v>
      </c>
      <c r="L514" s="54">
        <f>(VLOOKUP($A514,'The List'!$B1:$AH665,24,FALSE)-AVERAGE('The List'!Y2:Y665))/STDEV('The List'!Y2:Y665)</f>
        <v>-0.54133937698322376</v>
      </c>
      <c r="M514" s="54">
        <f>(VLOOKUP($A514,'The List'!$B1:$AH665,25,FALSE)-AVERAGE('The List'!Z2:Z665))/STDEV('The List'!Z2:Z665)</f>
        <v>-0.63790201959430926</v>
      </c>
      <c r="N514" s="54">
        <f>(VLOOKUP($A514,'The List'!$B1:$AH665,26,FALSE)-AVERAGE('The List'!AA2:AA665))/STDEV('The List'!AA2:AA665)</f>
        <v>0.11349958659118957</v>
      </c>
      <c r="O514" s="54">
        <f>(VLOOKUP($A514,'The List'!$B1:$AH665,27,FALSE)-AVERAGE('The List'!AB2:AB665))/STDEV('The List'!AB2:AB665)</f>
        <v>-0.77865813310510879</v>
      </c>
      <c r="P514" s="54">
        <f>(VLOOKUP($A514,'The List'!$B1:$AH665,28,FALSE)-AVERAGE('The List'!AC2:AC665))/STDEV('The List'!AC2:AC665)</f>
        <v>-0.15074627523922374</v>
      </c>
      <c r="Q514" s="54">
        <f>(VLOOKUP($A514,'The List'!$B1:$AH665,29,FALSE)-AVERAGE('The List'!AD2:AD665))/STDEV('The List'!AD2:AD665)</f>
        <v>-0.94877872028510202</v>
      </c>
      <c r="R514" s="54">
        <f>(VLOOKUP($A514,'The List'!$B1:$AH665,30,FALSE)-AVERAGE('The List'!AE2:AE665))/STDEV('The List'!AE2:AE665)</f>
        <v>-0.90533696020594578</v>
      </c>
      <c r="S514" s="54">
        <f>(VLOOKUP($A514,'The List'!$B1:$AH665,31,FALSE)-AVERAGE('The List'!AF2:AF665))/STDEV('The List'!AF2:AF665)</f>
        <v>-0.57389441068000469</v>
      </c>
      <c r="T514" s="54">
        <f>(VLOOKUP($A514,'The List'!$B1:$AH665,32,FALSE)-AVERAGE('The List'!AG2:AG665))/STDEV('The List'!AG2:AG665)</f>
        <v>-0.62577078713265111</v>
      </c>
      <c r="U514" s="54">
        <f>(VLOOKUP($A514,'The List'!$B1:$AH665,33,FALSE)-AVERAGE('The List'!AH2:AH665))/STDEV('The List'!AH2:AH665)</f>
        <v>-1.2314350945148611</v>
      </c>
      <c r="V514" s="54"/>
      <c r="W514" s="64"/>
      <c r="X514" s="56"/>
      <c r="Y514" s="56"/>
      <c r="Z514" s="56"/>
      <c r="AA514" s="56"/>
      <c r="AB514" s="56"/>
      <c r="AC514" s="59"/>
      <c r="AD514" s="60"/>
      <c r="AE514" s="54"/>
    </row>
    <row r="515" spans="1:31" ht="21.25" customHeight="1" x14ac:dyDescent="0.15">
      <c r="A515" s="9" t="s">
        <v>531</v>
      </c>
      <c r="B515" s="65" t="str">
        <f>VLOOKUP(A515,'Player Data'!A1:B667,2,FALSE)</f>
        <v>BUF</v>
      </c>
      <c r="C515" s="51">
        <f>((E515)*Settings!$C$12)+(F515*Settings!$C$2)+(G515*Settings!$C$3)+(H515*Settings!$C$4)+(I515*Settings!$C$5)+(K515*Settings!$C$9)+(N515*Settings!$C$6)+(J515*Settings!$C$8)+(O515*Settings!$C$7)+(P515*Settings!$C$14)+(Q515*Settings!$C$15)+(R515*Settings!$C$16)+(S515*Settings!$C$17)+(T515*Settings!$C$18)+(U515*Settings!$C$19)+(L515*Settings!$C$10)+(Settings!$C$11*M515)</f>
        <v>-2.4209196654671516</v>
      </c>
      <c r="D515" s="56">
        <f>IF(Settings!$E$12="YES",VLOOKUP(A515,'Player Data'!A1:E667,5,FALSE),82)</f>
        <v>67.040000000000006</v>
      </c>
      <c r="E515" s="54">
        <f>(VLOOKUP($A515,'The List'!$B1:$AH665,17,FALSE)-AVERAGE('The List'!R2:R665))/STDEV('The List'!R2:R665)</f>
        <v>0.96020538523359478</v>
      </c>
      <c r="F515" s="54">
        <f>(VLOOKUP($A515,'The List'!$B1:$AH665,18,FALSE)-AVERAGE('The List'!S2:S665))/STDEV('The List'!S2:S665)</f>
        <v>-1.0949329707992259</v>
      </c>
      <c r="G515" s="54">
        <f>(VLOOKUP($A515,'The List'!$B1:$AH665,19,FALSE)-AVERAGE('The List'!T2:T665))/STDEV('The List'!T2:T665)</f>
        <v>-0.77678494000667608</v>
      </c>
      <c r="H515" s="54">
        <f>(VLOOKUP($A515,'The List'!$B1:$AH665,20,FALSE)-AVERAGE('The List'!U2:U665))/STDEV('The List'!U2:U665)</f>
        <v>-0.98012620646644832</v>
      </c>
      <c r="I515" s="54">
        <f>(VLOOKUP($A515,'The List'!$B1:$AH665,21,FALSE)-AVERAGE('The List'!V2:V665))/STDEV('The List'!V2:V665)</f>
        <v>-0.87219179817594839</v>
      </c>
      <c r="J515" s="54">
        <f>(VLOOKUP($A515,'The List'!$B1:$AH665,22,FALSE)-AVERAGE('The List'!W2:W665))/STDEV('The List'!W2:W665)</f>
        <v>-0.74104587239298414</v>
      </c>
      <c r="K515" s="54">
        <f>(VLOOKUP($A515,'The List'!$B1:$AH665,23,FALSE)-AVERAGE('The List'!X2:X665))/STDEV('The List'!X2:X665)</f>
        <v>-0.81744235481860295</v>
      </c>
      <c r="L515" s="54">
        <f>(VLOOKUP($A515,'The List'!$B1:$AH665,24,FALSE)-AVERAGE('The List'!Y2:Y665))/STDEV('The List'!Y2:Y665)</f>
        <v>-0.50933469078301818</v>
      </c>
      <c r="M515" s="54">
        <f>(VLOOKUP($A515,'The List'!$B1:$AH665,25,FALSE)-AVERAGE('The List'!Z2:Z665))/STDEV('The List'!Z2:Z665)</f>
        <v>-0.18211858232753672</v>
      </c>
      <c r="N515" s="54">
        <f>(VLOOKUP($A515,'The List'!$B1:$AH665,26,FALSE)-AVERAGE('The List'!AA2:AA665))/STDEV('The List'!AA2:AA665)</f>
        <v>1.343885468719054</v>
      </c>
      <c r="O515" s="54">
        <f>(VLOOKUP($A515,'The List'!$B1:$AH665,27,FALSE)-AVERAGE('The List'!AB2:AB665))/STDEV('The List'!AB2:AB665)</f>
        <v>0.92412236629676192</v>
      </c>
      <c r="P515" s="54">
        <f>(VLOOKUP($A515,'The List'!$B1:$AH665,28,FALSE)-AVERAGE('The List'!AC2:AC665))/STDEV('The List'!AC2:AC665)</f>
        <v>-0.2034530703857525</v>
      </c>
      <c r="Q515" s="54">
        <f>(VLOOKUP($A515,'The List'!$B1:$AH665,29,FALSE)-AVERAGE('The List'!AD2:AD665))/STDEV('The List'!AD2:AD665)</f>
        <v>-9.5657868931699419E-2</v>
      </c>
      <c r="R515" s="54">
        <f>(VLOOKUP($A515,'The List'!$B1:$AH665,30,FALSE)-AVERAGE('The List'!AE2:AE665))/STDEV('The List'!AE2:AE665)</f>
        <v>-1.0584243583211572</v>
      </c>
      <c r="S515" s="54">
        <f>(VLOOKUP($A515,'The List'!$B1:$AH665,31,FALSE)-AVERAGE('The List'!AF2:AF665))/STDEV('The List'!AF2:AF665)</f>
        <v>-0.57389441068000469</v>
      </c>
      <c r="T515" s="54">
        <f>(VLOOKUP($A515,'The List'!$B1:$AH665,32,FALSE)-AVERAGE('The List'!AG2:AG665))/STDEV('The List'!AG2:AG665)</f>
        <v>-0.62577078713265111</v>
      </c>
      <c r="U515" s="54">
        <f>(VLOOKUP($A515,'The List'!$B1:$AH665,33,FALSE)-AVERAGE('The List'!AH2:AH665))/STDEV('The List'!AH2:AH665)</f>
        <v>-1.2314350945148611</v>
      </c>
      <c r="V515" s="54"/>
      <c r="W515" s="64"/>
      <c r="X515" s="56"/>
      <c r="Y515" s="56"/>
      <c r="Z515" s="56"/>
      <c r="AA515" s="56"/>
      <c r="AB515" s="56"/>
      <c r="AC515" s="59"/>
      <c r="AD515" s="60"/>
      <c r="AE515" s="54"/>
    </row>
    <row r="516" spans="1:31" ht="21.25" customHeight="1" x14ac:dyDescent="0.15">
      <c r="A516" s="9" t="s">
        <v>635</v>
      </c>
      <c r="B516" s="65" t="str">
        <f>VLOOKUP(A516,'Player Data'!A1:B667,2,FALSE)</f>
        <v>NSH</v>
      </c>
      <c r="C516" s="51">
        <f>((E516)*Settings!$C$12)+(F516*Settings!$C$2)+(G516*Settings!$C$3)+(H516*Settings!$C$4)+(I516*Settings!$C$5)+(K516*Settings!$C$9)+(N516*Settings!$C$6)+(J516*Settings!$C$8)+(O516*Settings!$C$7)+(P516*Settings!$C$14)+(Q516*Settings!$C$15)+(R516*Settings!$C$16)+(S516*Settings!$C$17)+(T516*Settings!$C$18)+(U516*Settings!$C$19)+(L516*Settings!$C$10)+(Settings!$C$11*M516)</f>
        <v>-3.1540617037632543</v>
      </c>
      <c r="D516" s="56">
        <f>IF(Settings!$E$12="YES",VLOOKUP(A516,'Player Data'!A1:E667,5,FALSE),82)</f>
        <v>63.05</v>
      </c>
      <c r="E516" s="54">
        <f>(VLOOKUP($A516,'The List'!$B1:$AH665,17,FALSE)-AVERAGE('The List'!R2:R665))/STDEV('The List'!R2:R665)</f>
        <v>-0.18751844583058414</v>
      </c>
      <c r="F516" s="54">
        <f>(VLOOKUP($A516,'The List'!$B1:$AH665,18,FALSE)-AVERAGE('The List'!S2:S665))/STDEV('The List'!S2:S665)</f>
        <v>-0.93901155497462219</v>
      </c>
      <c r="G516" s="54">
        <f>(VLOOKUP($A516,'The List'!$B1:$AH665,19,FALSE)-AVERAGE('The List'!T2:T665))/STDEV('The List'!T2:T665)</f>
        <v>-0.95657014395644469</v>
      </c>
      <c r="H516" s="54">
        <f>(VLOOKUP($A516,'The List'!$B1:$AH665,20,FALSE)-AVERAGE('The List'!U2:U665))/STDEV('The List'!U2:U665)</f>
        <v>-1.0209092320701023</v>
      </c>
      <c r="I516" s="54">
        <f>(VLOOKUP($A516,'The List'!$B1:$AH665,21,FALSE)-AVERAGE('The List'!V2:V665))/STDEV('The List'!V2:V665)</f>
        <v>-1.3369882776343474</v>
      </c>
      <c r="J516" s="54">
        <f>(VLOOKUP($A516,'The List'!$B1:$AH665,22,FALSE)-AVERAGE('The List'!W2:W665))/STDEV('The List'!W2:W665)</f>
        <v>-0.7396394141324546</v>
      </c>
      <c r="K516" s="54">
        <f>(VLOOKUP($A516,'The List'!$B1:$AH665,23,FALSE)-AVERAGE('The List'!X2:X665))/STDEV('The List'!X2:X665)</f>
        <v>-0.81378467157009715</v>
      </c>
      <c r="L516" s="54">
        <f>(VLOOKUP($A516,'The List'!$B1:$AH665,24,FALSE)-AVERAGE('The List'!Y2:Y665))/STDEV('The List'!Y2:Y665)</f>
        <v>-0.55072905912237247</v>
      </c>
      <c r="M516" s="54">
        <f>(VLOOKUP($A516,'The List'!$B1:$AH665,25,FALSE)-AVERAGE('The List'!Z2:Z665))/STDEV('The List'!Z2:Z665)</f>
        <v>-0.47551114801659838</v>
      </c>
      <c r="N516" s="54">
        <f>(VLOOKUP($A516,'The List'!$B1:$AH665,26,FALSE)-AVERAGE('The List'!AA2:AA665))/STDEV('The List'!AA2:AA665)</f>
        <v>0.38910460264924812</v>
      </c>
      <c r="O516" s="54">
        <f>(VLOOKUP($A516,'The List'!$B1:$AH665,27,FALSE)-AVERAGE('The List'!AB2:AB665))/STDEV('The List'!AB2:AB665)</f>
        <v>-0.75257632646726136</v>
      </c>
      <c r="P516" s="54">
        <f>(VLOOKUP($A516,'The List'!$B1:$AH665,28,FALSE)-AVERAGE('The List'!AC2:AC665))/STDEV('The List'!AC2:AC665)</f>
        <v>0.50318834172300908</v>
      </c>
      <c r="Q516" s="54">
        <f>(VLOOKUP($A516,'The List'!$B1:$AH665,29,FALSE)-AVERAGE('The List'!AD2:AD665))/STDEV('The List'!AD2:AD665)</f>
        <v>-0.99409845176333522</v>
      </c>
      <c r="R516" s="54">
        <f>(VLOOKUP($A516,'The List'!$B1:$AH665,30,FALSE)-AVERAGE('The List'!AE2:AE665))/STDEV('The List'!AE2:AE665)</f>
        <v>-0.91650654482611804</v>
      </c>
      <c r="S516" s="54">
        <f>(VLOOKUP($A516,'The List'!$B1:$AH665,31,FALSE)-AVERAGE('The List'!AF2:AF665))/STDEV('The List'!AF2:AF665)</f>
        <v>-0.57389441068000469</v>
      </c>
      <c r="T516" s="54">
        <f>(VLOOKUP($A516,'The List'!$B1:$AH665,32,FALSE)-AVERAGE('The List'!AG2:AG665))/STDEV('The List'!AG2:AG665)</f>
        <v>-0.62577078713265111</v>
      </c>
      <c r="U516" s="54">
        <f>(VLOOKUP($A516,'The List'!$B1:$AH665,33,FALSE)-AVERAGE('The List'!AH2:AH665))/STDEV('The List'!AH2:AH665)</f>
        <v>-1.2314350945148611</v>
      </c>
      <c r="V516" s="54"/>
      <c r="W516" s="56"/>
      <c r="X516" s="54"/>
      <c r="Y516" s="54"/>
      <c r="Z516" s="54"/>
      <c r="AA516" s="54"/>
      <c r="AB516" s="54"/>
      <c r="AC516" s="54"/>
      <c r="AD516" s="54"/>
      <c r="AE516" s="54"/>
    </row>
    <row r="517" spans="1:31" ht="21.25" customHeight="1" x14ac:dyDescent="0.15">
      <c r="A517" s="9" t="s">
        <v>518</v>
      </c>
      <c r="B517" s="65" t="str">
        <f>VLOOKUP(A517,'Player Data'!A1:B667,2,FALSE)</f>
        <v>N.J</v>
      </c>
      <c r="C517" s="51">
        <f>((E517)*Settings!$C$12)+(F517*Settings!$C$2)+(G517*Settings!$C$3)+(H517*Settings!$C$4)+(I517*Settings!$C$5)+(K517*Settings!$C$9)+(N517*Settings!$C$6)+(J517*Settings!$C$8)+(O517*Settings!$C$7)+(P517*Settings!$C$14)+(Q517*Settings!$C$15)+(R517*Settings!$C$16)+(S517*Settings!$C$17)+(T517*Settings!$C$18)+(U517*Settings!$C$19)+(L517*Settings!$C$10)+(Settings!$C$11*M517)</f>
        <v>-2.4232655747734926</v>
      </c>
      <c r="D517" s="56">
        <f>IF(Settings!$E$12="YES",VLOOKUP(A517,'Player Data'!A1:E667,5,FALSE),82)</f>
        <v>80.842500000000001</v>
      </c>
      <c r="E517" s="54">
        <f>(VLOOKUP($A517,'The List'!$B1:$AH665,17,FALSE)-AVERAGE('The List'!R2:R665))/STDEV('The List'!R2:R665)</f>
        <v>0.34495536234953178</v>
      </c>
      <c r="F517" s="54">
        <f>(VLOOKUP($A517,'The List'!$B1:$AH665,18,FALSE)-AVERAGE('The List'!S2:S665))/STDEV('The List'!S2:S665)</f>
        <v>-0.98079837899266342</v>
      </c>
      <c r="G517" s="54">
        <f>(VLOOKUP($A517,'The List'!$B1:$AH665,19,FALSE)-AVERAGE('The List'!T2:T665))/STDEV('The List'!T2:T665)</f>
        <v>-0.64397370202746573</v>
      </c>
      <c r="H517" s="54">
        <f>(VLOOKUP($A517,'The List'!$B1:$AH665,20,FALSE)-AVERAGE('The List'!U2:U665))/STDEV('The List'!U2:U665)</f>
        <v>-0.84576336272720753</v>
      </c>
      <c r="I517" s="54">
        <f>(VLOOKUP($A517,'The List'!$B1:$AH665,21,FALSE)-AVERAGE('The List'!V2:V665))/STDEV('The List'!V2:V665)</f>
        <v>-0.95509493129466516</v>
      </c>
      <c r="J517" s="54">
        <f>(VLOOKUP($A517,'The List'!$B1:$AH665,22,FALSE)-AVERAGE('The List'!W2:W665))/STDEV('The List'!W2:W665)</f>
        <v>-0.7409722807561826</v>
      </c>
      <c r="K517" s="54">
        <f>(VLOOKUP($A517,'The List'!$B1:$AH665,23,FALSE)-AVERAGE('The List'!X2:X665))/STDEV('The List'!X2:X665)</f>
        <v>-0.81633693281931685</v>
      </c>
      <c r="L517" s="54">
        <f>(VLOOKUP($A517,'The List'!$B1:$AH665,24,FALSE)-AVERAGE('The List'!Y2:Y665))/STDEV('The List'!Y2:Y665)</f>
        <v>-0.53151180169309398</v>
      </c>
      <c r="M517" s="54">
        <f>(VLOOKUP($A517,'The List'!$B1:$AH665,25,FALSE)-AVERAGE('The List'!Z2:Z665))/STDEV('The List'!Z2:Z665)</f>
        <v>-0.33092147323017224</v>
      </c>
      <c r="N517" s="54">
        <f>(VLOOKUP($A517,'The List'!$B1:$AH665,26,FALSE)-AVERAGE('The List'!AA2:AA665))/STDEV('The List'!AA2:AA665)</f>
        <v>1.1350600424204331</v>
      </c>
      <c r="O517" s="54">
        <f>(VLOOKUP($A517,'The List'!$B1:$AH665,27,FALSE)-AVERAGE('The List'!AB2:AB665))/STDEV('The List'!AB2:AB665)</f>
        <v>2.2631095440000086</v>
      </c>
      <c r="P517" s="54">
        <f>(VLOOKUP($A517,'The List'!$B1:$AH665,28,FALSE)-AVERAGE('The List'!AC2:AC665))/STDEV('The List'!AC2:AC665)</f>
        <v>-0.16212167205981443</v>
      </c>
      <c r="Q517" s="54">
        <f>(VLOOKUP($A517,'The List'!$B1:$AH665,29,FALSE)-AVERAGE('The List'!AD2:AD665))/STDEV('The List'!AD2:AD665)</f>
        <v>2.3183678209576306</v>
      </c>
      <c r="R517" s="54">
        <f>(VLOOKUP($A517,'The List'!$B1:$AH665,30,FALSE)-AVERAGE('The List'!AE2:AE665))/STDEV('The List'!AE2:AE665)</f>
        <v>-0.93347110010317391</v>
      </c>
      <c r="S517" s="54">
        <f>(VLOOKUP($A517,'The List'!$B1:$AH665,31,FALSE)-AVERAGE('The List'!AF2:AF665))/STDEV('The List'!AF2:AF665)</f>
        <v>-0.57389441068000469</v>
      </c>
      <c r="T517" s="54">
        <f>(VLOOKUP($A517,'The List'!$B1:$AH665,32,FALSE)-AVERAGE('The List'!AG2:AG665))/STDEV('The List'!AG2:AG665)</f>
        <v>-0.62577078713265111</v>
      </c>
      <c r="U517" s="54">
        <f>(VLOOKUP($A517,'The List'!$B1:$AH665,33,FALSE)-AVERAGE('The List'!AH2:AH665))/STDEV('The List'!AH2:AH665)</f>
        <v>-1.2314350945148611</v>
      </c>
      <c r="V517" s="54"/>
      <c r="W517" s="64"/>
      <c r="X517" s="56"/>
      <c r="Y517" s="56"/>
      <c r="Z517" s="56"/>
      <c r="AA517" s="56"/>
      <c r="AB517" s="56"/>
      <c r="AC517" s="59"/>
      <c r="AD517" s="60"/>
      <c r="AE517" s="54"/>
    </row>
    <row r="518" spans="1:31" ht="21.25" customHeight="1" x14ac:dyDescent="0.15">
      <c r="A518" s="9" t="s">
        <v>636</v>
      </c>
      <c r="B518" s="65" t="str">
        <f>VLOOKUP(A518,'Player Data'!A1:B667,2,FALSE)</f>
        <v>S.J</v>
      </c>
      <c r="C518" s="51">
        <f>((E518)*Settings!$C$12)+(F518*Settings!$C$2)+(G518*Settings!$C$3)+(H518*Settings!$C$4)+(I518*Settings!$C$5)+(K518*Settings!$C$9)+(N518*Settings!$C$6)+(J518*Settings!$C$8)+(O518*Settings!$C$7)+(P518*Settings!$C$14)+(Q518*Settings!$C$15)+(R518*Settings!$C$16)+(S518*Settings!$C$17)+(T518*Settings!$C$18)+(U518*Settings!$C$19)+(L518*Settings!$C$10)+(Settings!$C$11*M518)</f>
        <v>-5.7449353841740454</v>
      </c>
      <c r="D518" s="56">
        <f>IF(Settings!$E$12="YES",VLOOKUP(A518,'Player Data'!A1:E667,5,FALSE),82)</f>
        <v>67.572500000000005</v>
      </c>
      <c r="E518" s="54">
        <f>(VLOOKUP($A518,'The List'!$B1:$AH665,17,FALSE)-AVERAGE('The List'!R2:R665))/STDEV('The List'!R2:R665)</f>
        <v>-0.30810394974117422</v>
      </c>
      <c r="F518" s="54">
        <f>(VLOOKUP($A518,'The List'!$B1:$AH665,18,FALSE)-AVERAGE('The List'!S2:S665))/STDEV('The List'!S2:S665)</f>
        <v>-1.2409677596961595</v>
      </c>
      <c r="G518" s="54">
        <f>(VLOOKUP($A518,'The List'!$B1:$AH665,19,FALSE)-AVERAGE('The List'!T2:T665))/STDEV('The List'!T2:T665)</f>
        <v>-0.67430512198108072</v>
      </c>
      <c r="H518" s="54">
        <f>(VLOOKUP($A518,'The List'!$B1:$AH665,20,FALSE)-AVERAGE('The List'!U2:U665))/STDEV('The List'!U2:U665)</f>
        <v>-0.98286023037003445</v>
      </c>
      <c r="I518" s="54">
        <f>(VLOOKUP($A518,'The List'!$B1:$AH665,21,FALSE)-AVERAGE('The List'!V2:V665))/STDEV('The List'!V2:V665)</f>
        <v>-1.3108246360024465</v>
      </c>
      <c r="J518" s="54">
        <f>(VLOOKUP($A518,'The List'!$B1:$AH665,22,FALSE)-AVERAGE('The List'!W2:W665))/STDEV('The List'!W2:W665)</f>
        <v>-0.7457195575473855</v>
      </c>
      <c r="K518" s="54">
        <f>(VLOOKUP($A518,'The List'!$B1:$AH665,23,FALSE)-AVERAGE('The List'!X2:X665))/STDEV('The List'!X2:X665)</f>
        <v>-0.82799877623243745</v>
      </c>
      <c r="L518" s="54">
        <f>(VLOOKUP($A518,'The List'!$B1:$AH665,24,FALSE)-AVERAGE('The List'!Y2:Y665))/STDEV('The List'!Y2:Y665)</f>
        <v>-0.57520438328652801</v>
      </c>
      <c r="M518" s="54">
        <f>(VLOOKUP($A518,'The List'!$B1:$AH665,25,FALSE)-AVERAGE('The List'!Z2:Z665))/STDEV('The List'!Z2:Z665)</f>
        <v>-0.69914652369020769</v>
      </c>
      <c r="N518" s="54">
        <f>(VLOOKUP($A518,'The List'!$B1:$AH665,26,FALSE)-AVERAGE('The List'!AA2:AA665))/STDEV('The List'!AA2:AA665)</f>
        <v>0.24327820172658918</v>
      </c>
      <c r="O518" s="54">
        <f>(VLOOKUP($A518,'The List'!$B1:$AH665,27,FALSE)-AVERAGE('The List'!AB2:AB665))/STDEV('The List'!AB2:AB665)</f>
        <v>-0.1763657465979992</v>
      </c>
      <c r="P518" s="54">
        <f>(VLOOKUP($A518,'The List'!$B1:$AH665,28,FALSE)-AVERAGE('The List'!AC2:AC665))/STDEV('The List'!AC2:AC665)</f>
        <v>-1.9341172919885106</v>
      </c>
      <c r="Q518" s="54">
        <f>(VLOOKUP($A518,'The List'!$B1:$AH665,29,FALSE)-AVERAGE('The List'!AD2:AD665))/STDEV('The List'!AD2:AD665)</f>
        <v>-0.36345272268125356</v>
      </c>
      <c r="R518" s="54">
        <f>(VLOOKUP($A518,'The List'!$B1:$AH665,30,FALSE)-AVERAGE('The List'!AE2:AE665))/STDEV('The List'!AE2:AE665)</f>
        <v>-1.2115806856716558</v>
      </c>
      <c r="S518" s="54">
        <f>(VLOOKUP($A518,'The List'!$B1:$AH665,31,FALSE)-AVERAGE('The List'!AF2:AF665))/STDEV('The List'!AF2:AF665)</f>
        <v>-0.57389441068000469</v>
      </c>
      <c r="T518" s="54">
        <f>(VLOOKUP($A518,'The List'!$B1:$AH665,32,FALSE)-AVERAGE('The List'!AG2:AG665))/STDEV('The List'!AG2:AG665)</f>
        <v>-0.62577078713265111</v>
      </c>
      <c r="U518" s="54">
        <f>(VLOOKUP($A518,'The List'!$B1:$AH665,33,FALSE)-AVERAGE('The List'!AH2:AH665))/STDEV('The List'!AH2:AH665)</f>
        <v>-1.2314350945148611</v>
      </c>
      <c r="V518" s="54"/>
      <c r="W518" s="64"/>
      <c r="X518" s="56"/>
      <c r="Y518" s="56"/>
      <c r="Z518" s="56"/>
      <c r="AA518" s="56"/>
      <c r="AB518" s="56"/>
      <c r="AC518" s="59"/>
      <c r="AD518" s="60"/>
      <c r="AE518" s="54"/>
    </row>
    <row r="519" spans="1:31" ht="21.25" customHeight="1" x14ac:dyDescent="0.15">
      <c r="A519" s="9" t="s">
        <v>519</v>
      </c>
      <c r="B519" s="65" t="str">
        <f>VLOOKUP(A519,'Player Data'!A1:B667,2,FALSE)</f>
        <v>BUF</v>
      </c>
      <c r="C519" s="51">
        <f>((E519)*Settings!$C$12)+(F519*Settings!$C$2)+(G519*Settings!$C$3)+(H519*Settings!$C$4)+(I519*Settings!$C$5)+(K519*Settings!$C$9)+(N519*Settings!$C$6)+(J519*Settings!$C$8)+(O519*Settings!$C$7)+(P519*Settings!$C$14)+(Q519*Settings!$C$15)+(R519*Settings!$C$16)+(S519*Settings!$C$17)+(T519*Settings!$C$18)+(U519*Settings!$C$19)+(L519*Settings!$C$10)+(Settings!$C$11*M519)</f>
        <v>-2.5901547590707832</v>
      </c>
      <c r="D519" s="56">
        <f>IF(Settings!$E$12="YES",VLOOKUP(A519,'Player Data'!A1:E667,5,FALSE),82)</f>
        <v>78.747500000000002</v>
      </c>
      <c r="E519" s="54">
        <f>(VLOOKUP($A519,'The List'!$B1:$AH665,17,FALSE)-AVERAGE('The List'!R2:R665))/STDEV('The List'!R2:R665)</f>
        <v>-0.10959428576097892</v>
      </c>
      <c r="F519" s="54">
        <f>(VLOOKUP($A519,'The List'!$B1:$AH665,18,FALSE)-AVERAGE('The List'!S2:S665))/STDEV('The List'!S2:S665)</f>
        <v>-0.97851586143348235</v>
      </c>
      <c r="G519" s="54">
        <f>(VLOOKUP($A519,'The List'!$B1:$AH665,19,FALSE)-AVERAGE('The List'!T2:T665))/STDEV('The List'!T2:T665)</f>
        <v>-0.69241101205113975</v>
      </c>
      <c r="H519" s="54">
        <f>(VLOOKUP($A519,'The List'!$B1:$AH665,20,FALSE)-AVERAGE('The List'!U2:U665))/STDEV('The List'!U2:U665)</f>
        <v>-0.8748081430630843</v>
      </c>
      <c r="I519" s="54">
        <f>(VLOOKUP($A519,'The List'!$B1:$AH665,21,FALSE)-AVERAGE('The List'!V2:V665))/STDEV('The List'!V2:V665)</f>
        <v>-0.8820142221541184</v>
      </c>
      <c r="J519" s="54">
        <f>(VLOOKUP($A519,'The List'!$B1:$AH665,22,FALSE)-AVERAGE('The List'!W2:W665))/STDEV('The List'!W2:W665)</f>
        <v>-0.74373256355466755</v>
      </c>
      <c r="K519" s="54">
        <f>(VLOOKUP($A519,'The List'!$B1:$AH665,23,FALSE)-AVERAGE('The List'!X2:X665))/STDEV('The List'!X2:X665)</f>
        <v>-0.82360760399869659</v>
      </c>
      <c r="L519" s="54">
        <f>(VLOOKUP($A519,'The List'!$B1:$AH665,24,FALSE)-AVERAGE('The List'!Y2:Y665))/STDEV('The List'!Y2:Y665)</f>
        <v>-3.4719413662595455E-2</v>
      </c>
      <c r="M519" s="54">
        <f>(VLOOKUP($A519,'The List'!$B1:$AH665,25,FALSE)-AVERAGE('The List'!Z2:Z665))/STDEV('The List'!Z2:Z665)</f>
        <v>-0.2869234649823057</v>
      </c>
      <c r="N519" s="54">
        <f>(VLOOKUP($A519,'The List'!$B1:$AH665,26,FALSE)-AVERAGE('The List'!AA2:AA665))/STDEV('The List'!AA2:AA665)</f>
        <v>1.1227374830828463</v>
      </c>
      <c r="O519" s="54">
        <f>(VLOOKUP($A519,'The List'!$B1:$AH665,27,FALSE)-AVERAGE('The List'!AB2:AB665))/STDEV('The List'!AB2:AB665)</f>
        <v>1.8323737416960135</v>
      </c>
      <c r="P519" s="54">
        <f>(VLOOKUP($A519,'The List'!$B1:$AH665,28,FALSE)-AVERAGE('The List'!AC2:AC665))/STDEV('The List'!AC2:AC665)</f>
        <v>-0.33634354251619231</v>
      </c>
      <c r="Q519" s="54">
        <f>(VLOOKUP($A519,'The List'!$B1:$AH665,29,FALSE)-AVERAGE('The List'!AD2:AD665))/STDEV('The List'!AD2:AD665)</f>
        <v>1.4340638965094881</v>
      </c>
      <c r="R519" s="54">
        <f>(VLOOKUP($A519,'The List'!$B1:$AH665,30,FALSE)-AVERAGE('The List'!AE2:AE665))/STDEV('The List'!AE2:AE665)</f>
        <v>-0.95272258516751873</v>
      </c>
      <c r="S519" s="54">
        <f>(VLOOKUP($A519,'The List'!$B1:$AH665,31,FALSE)-AVERAGE('The List'!AF2:AF665))/STDEV('The List'!AF2:AF665)</f>
        <v>-0.57389441068000469</v>
      </c>
      <c r="T519" s="54">
        <f>(VLOOKUP($A519,'The List'!$B1:$AH665,32,FALSE)-AVERAGE('The List'!AG2:AG665))/STDEV('The List'!AG2:AG665)</f>
        <v>-0.62577078713265111</v>
      </c>
      <c r="U519" s="54">
        <f>(VLOOKUP($A519,'The List'!$B1:$AH665,33,FALSE)-AVERAGE('The List'!AH2:AH665))/STDEV('The List'!AH2:AH665)</f>
        <v>-1.2314350945148611</v>
      </c>
      <c r="V519" s="54"/>
      <c r="W519" s="56"/>
      <c r="X519" s="54"/>
      <c r="Y519" s="54"/>
      <c r="Z519" s="54"/>
      <c r="AA519" s="54"/>
      <c r="AB519" s="54"/>
      <c r="AC519" s="54"/>
      <c r="AD519" s="54"/>
      <c r="AE519" s="54"/>
    </row>
    <row r="520" spans="1:31" ht="21.25" customHeight="1" x14ac:dyDescent="0.15">
      <c r="A520" s="9" t="s">
        <v>615</v>
      </c>
      <c r="B520" s="65" t="str">
        <f>VLOOKUP(A520,'Player Data'!A1:B667,2,FALSE)</f>
        <v>SEA</v>
      </c>
      <c r="C520" s="51">
        <f>((E520)*Settings!$C$12)+(F520*Settings!$C$2)+(G520*Settings!$C$3)+(H520*Settings!$C$4)+(I520*Settings!$C$5)+(K520*Settings!$C$9)+(N520*Settings!$C$6)+(J520*Settings!$C$8)+(O520*Settings!$C$7)+(P520*Settings!$C$14)+(Q520*Settings!$C$15)+(R520*Settings!$C$16)+(S520*Settings!$C$17)+(T520*Settings!$C$18)+(U520*Settings!$C$19)+(L520*Settings!$C$10)+(Settings!$C$11*M520)</f>
        <v>-3.5223540908270841</v>
      </c>
      <c r="D520" s="56">
        <f>IF(Settings!$E$12="YES",VLOOKUP(A520,'Player Data'!A1:E667,5,FALSE),82)</f>
        <v>62.94</v>
      </c>
      <c r="E520" s="54">
        <f>(VLOOKUP($A520,'The List'!$B1:$AH665,17,FALSE)-AVERAGE('The List'!R2:R665))/STDEV('The List'!R2:R665)</f>
        <v>0.15551169679580509</v>
      </c>
      <c r="F520" s="54">
        <f>(VLOOKUP($A520,'The List'!$B1:$AH665,18,FALSE)-AVERAGE('The List'!S2:S665))/STDEV('The List'!S2:S665)</f>
        <v>-1.0790203737648103</v>
      </c>
      <c r="G520" s="54">
        <f>(VLOOKUP($A520,'The List'!$B1:$AH665,19,FALSE)-AVERAGE('The List'!T2:T665))/STDEV('The List'!T2:T665)</f>
        <v>-0.87062193053092007</v>
      </c>
      <c r="H520" s="54">
        <f>(VLOOKUP($A520,'The List'!$B1:$AH665,20,FALSE)-AVERAGE('The List'!U2:U665))/STDEV('The List'!U2:U665)</f>
        <v>-1.0311712221204135</v>
      </c>
      <c r="I520" s="54">
        <f>(VLOOKUP($A520,'The List'!$B1:$AH665,21,FALSE)-AVERAGE('The List'!V2:V665))/STDEV('The List'!V2:V665)</f>
        <v>-1.0362652841670561</v>
      </c>
      <c r="J520" s="54">
        <f>(VLOOKUP($A520,'The List'!$B1:$AH665,22,FALSE)-AVERAGE('The List'!W2:W665))/STDEV('The List'!W2:W665)</f>
        <v>-0.70701529626849258</v>
      </c>
      <c r="K520" s="54">
        <f>(VLOOKUP($A520,'The List'!$B1:$AH665,23,FALSE)-AVERAGE('The List'!X2:X665))/STDEV('The List'!X2:X665)</f>
        <v>-0.51868186763400626</v>
      </c>
      <c r="L520" s="54">
        <f>(VLOOKUP($A520,'The List'!$B1:$AH665,24,FALSE)-AVERAGE('The List'!Y2:Y665))/STDEV('The List'!Y2:Y665)</f>
        <v>-0.52164313083361924</v>
      </c>
      <c r="M520" s="54">
        <f>(VLOOKUP($A520,'The List'!$B1:$AH665,25,FALSE)-AVERAGE('The List'!Z2:Z665))/STDEV('The List'!Z2:Z665)</f>
        <v>-0.58205591850979044</v>
      </c>
      <c r="N520" s="54">
        <f>(VLOOKUP($A520,'The List'!$B1:$AH665,26,FALSE)-AVERAGE('The List'!AA2:AA665))/STDEV('The List'!AA2:AA665)</f>
        <v>0.21230332147331193</v>
      </c>
      <c r="O520" s="54">
        <f>(VLOOKUP($A520,'The List'!$B1:$AH665,27,FALSE)-AVERAGE('The List'!AB2:AB665))/STDEV('The List'!AB2:AB665)</f>
        <v>1.6555965030852559E-2</v>
      </c>
      <c r="P520" s="54">
        <f>(VLOOKUP($A520,'The List'!$B1:$AH665,28,FALSE)-AVERAGE('The List'!AC2:AC665))/STDEV('The List'!AC2:AC665)</f>
        <v>-0.23006795620360357</v>
      </c>
      <c r="Q520" s="54">
        <f>(VLOOKUP($A520,'The List'!$B1:$AH665,29,FALSE)-AVERAGE('The List'!AD2:AD665))/STDEV('The List'!AD2:AD665)</f>
        <v>-0.26471976081701581</v>
      </c>
      <c r="R520" s="54">
        <f>(VLOOKUP($A520,'The List'!$B1:$AH665,30,FALSE)-AVERAGE('The List'!AE2:AE665))/STDEV('The List'!AE2:AE665)</f>
        <v>-1.0270057050159311</v>
      </c>
      <c r="S520" s="54">
        <f>(VLOOKUP($A520,'The List'!$B1:$AH665,31,FALSE)-AVERAGE('The List'!AF2:AF665))/STDEV('The List'!AF2:AF665)</f>
        <v>-0.57389441068000469</v>
      </c>
      <c r="T520" s="54">
        <f>(VLOOKUP($A520,'The List'!$B1:$AH665,32,FALSE)-AVERAGE('The List'!AG2:AG665))/STDEV('The List'!AG2:AG665)</f>
        <v>-0.62577078713265111</v>
      </c>
      <c r="U520" s="54">
        <f>(VLOOKUP($A520,'The List'!$B1:$AH665,33,FALSE)-AVERAGE('The List'!AH2:AH665))/STDEV('The List'!AH2:AH665)</f>
        <v>-1.2314350945148611</v>
      </c>
      <c r="V520" s="54"/>
      <c r="W520" s="64"/>
      <c r="X520" s="56"/>
      <c r="Y520" s="56"/>
      <c r="Z520" s="56"/>
      <c r="AA520" s="56"/>
      <c r="AB520" s="56"/>
      <c r="AC520" s="59"/>
      <c r="AD520" s="60"/>
      <c r="AE520" s="54"/>
    </row>
    <row r="521" spans="1:31" ht="21.25" customHeight="1" x14ac:dyDescent="0.15">
      <c r="A521" s="9" t="s">
        <v>754</v>
      </c>
      <c r="B521" s="65" t="str">
        <f>VLOOKUP(A521,'Player Data'!A1:B667,2,FALSE)</f>
        <v>WPG</v>
      </c>
      <c r="C521" s="51">
        <f>((E521)*Settings!$C$12)+(F521*Settings!$C$2)+(G521*Settings!$C$3)+(H521*Settings!$C$4)+(I521*Settings!$C$5)+(K521*Settings!$C$9)+(N521*Settings!$C$6)+(J521*Settings!$C$8)+(O521*Settings!$C$7)+(P521*Settings!$C$14)+(Q521*Settings!$C$15)+(R521*Settings!$C$16)+(S521*Settings!$C$17)+(T521*Settings!$C$18)+(U521*Settings!$C$19)+(L521*Settings!$C$10)+(Settings!$C$11*M521)</f>
        <v>-3.3999603475106248</v>
      </c>
      <c r="D521" s="56">
        <f>IF(Settings!$E$12="YES",VLOOKUP(A521,'Player Data'!A1:E667,5,FALSE),82)</f>
        <v>74.525000000000006</v>
      </c>
      <c r="E521" s="54">
        <f>(VLOOKUP($A521,'The List'!$B1:$AH665,17,FALSE)-AVERAGE('The List'!R2:R665))/STDEV('The List'!R2:R665)</f>
        <v>-1.7132452611542748</v>
      </c>
      <c r="F521" s="54">
        <f>(VLOOKUP($A521,'The List'!$B1:$AH665,18,FALSE)-AVERAGE('The List'!S2:S665))/STDEV('The List'!S2:S665)</f>
        <v>-0.5476631012246852</v>
      </c>
      <c r="G521" s="54">
        <f>(VLOOKUP($A521,'The List'!$B1:$AH665,19,FALSE)-AVERAGE('The List'!T2:T665))/STDEV('The List'!T2:T665)</f>
        <v>-1.077538067499936</v>
      </c>
      <c r="H521" s="54">
        <f>(VLOOKUP($A521,'The List'!$B1:$AH665,20,FALSE)-AVERAGE('The List'!U2:U665))/STDEV('The List'!U2:U665)</f>
        <v>-0.91815063987424905</v>
      </c>
      <c r="I521" s="54">
        <f>(VLOOKUP($A521,'The List'!$B1:$AH665,21,FALSE)-AVERAGE('The List'!V2:V665))/STDEV('The List'!V2:V665)</f>
        <v>-0.73103945135502191</v>
      </c>
      <c r="J521" s="54">
        <f>(VLOOKUP($A521,'The List'!$B1:$AH665,22,FALSE)-AVERAGE('The List'!W2:W665))/STDEV('The List'!W2:W665)</f>
        <v>-0.73373562584854535</v>
      </c>
      <c r="K521" s="54">
        <f>(VLOOKUP($A521,'The List'!$B1:$AH665,23,FALSE)-AVERAGE('The List'!X2:X665))/STDEV('The List'!X2:X665)</f>
        <v>-0.81477332992186624</v>
      </c>
      <c r="L521" s="54">
        <f>(VLOOKUP($A521,'The List'!$B1:$AH665,24,FALSE)-AVERAGE('The List'!Y2:Y665))/STDEV('The List'!Y2:Y665)</f>
        <v>-0.30256426079307153</v>
      </c>
      <c r="M521" s="54">
        <f>(VLOOKUP($A521,'The List'!$B1:$AH665,25,FALSE)-AVERAGE('The List'!Z2:Z665))/STDEV('The List'!Z2:Z665)</f>
        <v>0.25976545000697449</v>
      </c>
      <c r="N521" s="54">
        <f>(VLOOKUP($A521,'The List'!$B1:$AH665,26,FALSE)-AVERAGE('The List'!AA2:AA665))/STDEV('The List'!AA2:AA665)</f>
        <v>-0.59404217958811067</v>
      </c>
      <c r="O521" s="54">
        <f>(VLOOKUP($A521,'The List'!$B1:$AH665,27,FALSE)-AVERAGE('The List'!AB2:AB665))/STDEV('The List'!AB2:AB665)</f>
        <v>0.36930656758038988</v>
      </c>
      <c r="P521" s="54">
        <f>(VLOOKUP($A521,'The List'!$B1:$AH665,28,FALSE)-AVERAGE('The List'!AC2:AC665))/STDEV('The List'!AC2:AC665)</f>
        <v>0.36509578207899457</v>
      </c>
      <c r="Q521" s="54">
        <f>(VLOOKUP($A521,'The List'!$B1:$AH665,29,FALSE)-AVERAGE('The List'!AD2:AD665))/STDEV('The List'!AD2:AD665)</f>
        <v>-0.70793030196613393</v>
      </c>
      <c r="R521" s="54">
        <f>(VLOOKUP($A521,'The List'!$B1:$AH665,30,FALSE)-AVERAGE('The List'!AE2:AE665))/STDEV('The List'!AE2:AE665)</f>
        <v>-0.43659027537614092</v>
      </c>
      <c r="S521" s="54">
        <f>(VLOOKUP($A521,'The List'!$B1:$AH665,31,FALSE)-AVERAGE('The List'!AF2:AF665))/STDEV('The List'!AF2:AF665)</f>
        <v>-0.32678192105683457</v>
      </c>
      <c r="T521" s="54">
        <f>(VLOOKUP($A521,'The List'!$B1:$AH665,32,FALSE)-AVERAGE('The List'!AG2:AG665))/STDEV('The List'!AG2:AG665)</f>
        <v>-0.322881558250458</v>
      </c>
      <c r="U521" s="54">
        <f>(VLOOKUP($A521,'The List'!$B1:$AH665,33,FALSE)-AVERAGE('The List'!AH2:AH665))/STDEV('The List'!AH2:AH665)</f>
        <v>0.87464107916944844</v>
      </c>
      <c r="V521" s="54"/>
      <c r="W521" s="64"/>
      <c r="X521" s="56"/>
      <c r="Y521" s="56"/>
      <c r="Z521" s="56"/>
      <c r="AA521" s="56"/>
      <c r="AB521" s="56"/>
      <c r="AC521" s="59"/>
      <c r="AD521" s="60"/>
      <c r="AE521" s="54"/>
    </row>
    <row r="522" spans="1:31" ht="21.25" customHeight="1" x14ac:dyDescent="0.15">
      <c r="A522" s="9" t="s">
        <v>771</v>
      </c>
      <c r="B522" s="65" t="str">
        <f>VLOOKUP(A522,'Player Data'!A1:B667,2,FALSE)</f>
        <v>BOS</v>
      </c>
      <c r="C522" s="51">
        <f>((E522)*Settings!$C$12)+(F522*Settings!$C$2)+(G522*Settings!$C$3)+(H522*Settings!$C$4)+(I522*Settings!$C$5)+(K522*Settings!$C$9)+(N522*Settings!$C$6)+(J522*Settings!$C$8)+(O522*Settings!$C$7)+(P522*Settings!$C$14)+(Q522*Settings!$C$15)+(R522*Settings!$C$16)+(S522*Settings!$C$17)+(T522*Settings!$C$18)+(U522*Settings!$C$19)+(L522*Settings!$C$10)+(Settings!$C$11*M522)</f>
        <v>-6.1351110972197223</v>
      </c>
      <c r="D522" s="56">
        <f>IF(Settings!$E$12="YES",VLOOKUP(A522,'Player Data'!A1:E667,5,FALSE),82)</f>
        <v>66.917500000000004</v>
      </c>
      <c r="E522" s="54">
        <f>(VLOOKUP($A522,'The List'!$B1:$AH665,17,FALSE)-AVERAGE('The List'!R2:R665))/STDEV('The List'!R2:R665)</f>
        <v>-1.9103493020029185</v>
      </c>
      <c r="F522" s="54">
        <f>(VLOOKUP($A522,'The List'!$B1:$AH665,18,FALSE)-AVERAGE('The List'!S2:S665))/STDEV('The List'!S2:S665)</f>
        <v>-0.74721471034013198</v>
      </c>
      <c r="G522" s="54">
        <f>(VLOOKUP($A522,'The List'!$B1:$AH665,19,FALSE)-AVERAGE('The List'!T2:T665))/STDEV('The List'!T2:T665)</f>
        <v>-1.0512344354960383</v>
      </c>
      <c r="H522" s="54">
        <f>(VLOOKUP($A522,'The List'!$B1:$AH665,20,FALSE)-AVERAGE('The List'!U2:U665))/STDEV('The List'!U2:U665)</f>
        <v>-0.99252029718855883</v>
      </c>
      <c r="I522" s="54">
        <f>(VLOOKUP($A522,'The List'!$B1:$AH665,21,FALSE)-AVERAGE('The List'!V2:V665))/STDEV('The List'!V2:V665)</f>
        <v>-0.92347074054104406</v>
      </c>
      <c r="J522" s="54">
        <f>(VLOOKUP($A522,'The List'!$B1:$AH665,22,FALSE)-AVERAGE('The List'!W2:W665))/STDEV('The List'!W2:W665)</f>
        <v>-0.69928340208743467</v>
      </c>
      <c r="K522" s="54">
        <f>(VLOOKUP($A522,'The List'!$B1:$AH665,23,FALSE)-AVERAGE('The List'!X2:X665))/STDEV('The List'!X2:X665)</f>
        <v>-0.77404607640271139</v>
      </c>
      <c r="L522" s="54">
        <f>(VLOOKUP($A522,'The List'!$B1:$AH665,24,FALSE)-AVERAGE('The List'!Y2:Y665))/STDEV('The List'!Y2:Y665)</f>
        <v>-0.5740752225167699</v>
      </c>
      <c r="M522" s="54">
        <f>(VLOOKUP($A522,'The List'!$B1:$AH665,25,FALSE)-AVERAGE('The List'!Z2:Z665))/STDEV('The List'!Z2:Z665)</f>
        <v>-0.74774744155405248</v>
      </c>
      <c r="N522" s="54">
        <f>(VLOOKUP($A522,'The List'!$B1:$AH665,26,FALSE)-AVERAGE('The List'!AA2:AA665))/STDEV('The List'!AA2:AA665)</f>
        <v>-1.1365532984211273</v>
      </c>
      <c r="O522" s="54">
        <f>(VLOOKUP($A522,'The List'!$B1:$AH665,27,FALSE)-AVERAGE('The List'!AB2:AB665))/STDEV('The List'!AB2:AB665)</f>
        <v>0.44343056453283641</v>
      </c>
      <c r="P522" s="54">
        <f>(VLOOKUP($A522,'The List'!$B1:$AH665,28,FALSE)-AVERAGE('The List'!AC2:AC665))/STDEV('The List'!AC2:AC665)</f>
        <v>-1.502591836018669</v>
      </c>
      <c r="Q522" s="54">
        <f>(VLOOKUP($A522,'The List'!$B1:$AH665,29,FALSE)-AVERAGE('The List'!AD2:AD665))/STDEV('The List'!AD2:AD665)</f>
        <v>0.14242248968045831</v>
      </c>
      <c r="R522" s="54">
        <f>(VLOOKUP($A522,'The List'!$B1:$AH665,30,FALSE)-AVERAGE('The List'!AE2:AE665))/STDEV('The List'!AE2:AE665)</f>
        <v>-0.68890982970511083</v>
      </c>
      <c r="S522" s="54">
        <f>(VLOOKUP($A522,'The List'!$B1:$AH665,31,FALSE)-AVERAGE('The List'!AF2:AF665))/STDEV('The List'!AF2:AF665)</f>
        <v>-0.54173970579772301</v>
      </c>
      <c r="T522" s="54">
        <f>(VLOOKUP($A522,'The List'!$B1:$AH665,32,FALSE)-AVERAGE('The List'!AG2:AG665))/STDEV('The List'!AG2:AG665)</f>
        <v>-0.5722191600828167</v>
      </c>
      <c r="U522" s="54">
        <f>(VLOOKUP($A522,'The List'!$B1:$AH665,33,FALSE)-AVERAGE('The List'!AH2:AH665))/STDEV('The List'!AH2:AH665)</f>
        <v>0.53529991636185326</v>
      </c>
      <c r="V522" s="54"/>
      <c r="W522" s="64"/>
      <c r="X522" s="56"/>
      <c r="Y522" s="56"/>
      <c r="Z522" s="56"/>
      <c r="AA522" s="56"/>
      <c r="AB522" s="56"/>
      <c r="AC522" s="59"/>
      <c r="AD522" s="60"/>
      <c r="AE522" s="54"/>
    </row>
    <row r="523" spans="1:31" ht="21.25" customHeight="1" x14ac:dyDescent="0.15">
      <c r="A523" s="9" t="s">
        <v>762</v>
      </c>
      <c r="B523" s="65" t="str">
        <f>VLOOKUP(A523,'Player Data'!A1:B667,2,FALSE)</f>
        <v>DAL</v>
      </c>
      <c r="C523" s="51">
        <f>((E523)*Settings!$C$12)+(F523*Settings!$C$2)+(G523*Settings!$C$3)+(H523*Settings!$C$4)+(I523*Settings!$C$5)+(K523*Settings!$C$9)+(N523*Settings!$C$6)+(J523*Settings!$C$8)+(O523*Settings!$C$7)+(P523*Settings!$C$14)+(Q523*Settings!$C$15)+(R523*Settings!$C$16)+(S523*Settings!$C$17)+(T523*Settings!$C$18)+(U523*Settings!$C$19)+(L523*Settings!$C$10)+(Settings!$C$11*M523)</f>
        <v>-5.4127184700341191</v>
      </c>
      <c r="D523" s="56">
        <f>IF(Settings!$E$12="YES",VLOOKUP(A523,'Player Data'!A1:E667,5,FALSE),82)</f>
        <v>68.897499999999994</v>
      </c>
      <c r="E523" s="54">
        <f>(VLOOKUP($A523,'The List'!$B1:$AH665,17,FALSE)-AVERAGE('The List'!R2:R665))/STDEV('The List'!R2:R665)</f>
        <v>-1.2550838767341526</v>
      </c>
      <c r="F523" s="54">
        <f>(VLOOKUP($A523,'The List'!$B1:$AH665,18,FALSE)-AVERAGE('The List'!S2:S665))/STDEV('The List'!S2:S665)</f>
        <v>-0.64420210171852588</v>
      </c>
      <c r="G523" s="54">
        <f>(VLOOKUP($A523,'The List'!$B1:$AH665,19,FALSE)-AVERAGE('The List'!T2:T665))/STDEV('The List'!T2:T665)</f>
        <v>-1.096276519900875</v>
      </c>
      <c r="H523" s="54">
        <f>(VLOOKUP($A523,'The List'!$B1:$AH665,20,FALSE)-AVERAGE('The List'!U2:U665))/STDEV('The List'!U2:U665)</f>
        <v>-0.97366983703456356</v>
      </c>
      <c r="I523" s="54">
        <f>(VLOOKUP($A523,'The List'!$B1:$AH665,21,FALSE)-AVERAGE('The List'!V2:V665))/STDEV('The List'!V2:V665)</f>
        <v>-0.5795314780418428</v>
      </c>
      <c r="J523" s="54">
        <f>(VLOOKUP($A523,'The List'!$B1:$AH665,22,FALSE)-AVERAGE('The List'!W2:W665))/STDEV('The List'!W2:W665)</f>
        <v>-0.70003663424937612</v>
      </c>
      <c r="K523" s="54">
        <f>(VLOOKUP($A523,'The List'!$B1:$AH665,23,FALSE)-AVERAGE('The List'!X2:X665))/STDEV('The List'!X2:X665)</f>
        <v>-0.79893376886411838</v>
      </c>
      <c r="L523" s="54">
        <f>(VLOOKUP($A523,'The List'!$B1:$AH665,24,FALSE)-AVERAGE('The List'!Y2:Y665))/STDEV('The List'!Y2:Y665)</f>
        <v>0.27686467084532052</v>
      </c>
      <c r="M523" s="54">
        <f>(VLOOKUP($A523,'The List'!$B1:$AH665,25,FALSE)-AVERAGE('The List'!Z2:Z665))/STDEV('The List'!Z2:Z665)</f>
        <v>0.19327314426478648</v>
      </c>
      <c r="N523" s="54">
        <f>(VLOOKUP($A523,'The List'!$B1:$AH665,26,FALSE)-AVERAGE('The List'!AA2:AA665))/STDEV('The List'!AA2:AA665)</f>
        <v>-0.85021548657807311</v>
      </c>
      <c r="O523" s="54">
        <f>(VLOOKUP($A523,'The List'!$B1:$AH665,27,FALSE)-AVERAGE('The List'!AB2:AB665))/STDEV('The List'!AB2:AB665)</f>
        <v>-0.33659527280616425</v>
      </c>
      <c r="P523" s="54">
        <f>(VLOOKUP($A523,'The List'!$B1:$AH665,28,FALSE)-AVERAGE('The List'!AC2:AC665))/STDEV('The List'!AC2:AC665)</f>
        <v>-1.4435591149306841</v>
      </c>
      <c r="Q523" s="54">
        <f>(VLOOKUP($A523,'The List'!$B1:$AH665,29,FALSE)-AVERAGE('The List'!AD2:AD665))/STDEV('The List'!AD2:AD665)</f>
        <v>-1.3428316358361436</v>
      </c>
      <c r="R523" s="54">
        <f>(VLOOKUP($A523,'The List'!$B1:$AH665,30,FALSE)-AVERAGE('The List'!AE2:AE665))/STDEV('The List'!AE2:AE665)</f>
        <v>-0.56749883029076587</v>
      </c>
      <c r="S523" s="54">
        <f>(VLOOKUP($A523,'The List'!$B1:$AH665,31,FALSE)-AVERAGE('The List'!AF2:AF665))/STDEV('The List'!AF2:AF665)</f>
        <v>-0.33171940430291552</v>
      </c>
      <c r="T523" s="54">
        <f>(VLOOKUP($A523,'The List'!$B1:$AH665,32,FALSE)-AVERAGE('The List'!AG2:AG665))/STDEV('The List'!AG2:AG665)</f>
        <v>-0.34695243071504867</v>
      </c>
      <c r="U523" s="54">
        <f>(VLOOKUP($A523,'The List'!$B1:$AH665,33,FALSE)-AVERAGE('The List'!AH2:AH665))/STDEV('The List'!AH2:AH665)</f>
        <v>0.945388242483161</v>
      </c>
      <c r="V523" s="54"/>
      <c r="W523" s="56"/>
      <c r="X523" s="54"/>
      <c r="Y523" s="54"/>
      <c r="Z523" s="54"/>
      <c r="AA523" s="54"/>
      <c r="AB523" s="54"/>
      <c r="AC523" s="54"/>
      <c r="AD523" s="54"/>
      <c r="AE523" s="54"/>
    </row>
    <row r="524" spans="1:31" ht="21.25" customHeight="1" x14ac:dyDescent="0.15">
      <c r="A524" s="9" t="s">
        <v>446</v>
      </c>
      <c r="B524" s="65" t="str">
        <f>VLOOKUP(A524,'Player Data'!A1:B667,2,FALSE)</f>
        <v>CBJ</v>
      </c>
      <c r="C524" s="51">
        <f>((E524)*Settings!$C$12)+(F524*Settings!$C$2)+(G524*Settings!$C$3)+(H524*Settings!$C$4)+(I524*Settings!$C$5)+(K524*Settings!$C$9)+(N524*Settings!$C$6)+(J524*Settings!$C$8)+(O524*Settings!$C$7)+(P524*Settings!$C$14)+(Q524*Settings!$C$15)+(R524*Settings!$C$16)+(S524*Settings!$C$17)+(T524*Settings!$C$18)+(U524*Settings!$C$19)+(L524*Settings!$C$10)+(Settings!$C$11*M524)</f>
        <v>-3.4426925903548242</v>
      </c>
      <c r="D524" s="56">
        <f>IF(Settings!$E$12="YES",VLOOKUP(A524,'Player Data'!A1:E667,5,FALSE),82)</f>
        <v>79.27</v>
      </c>
      <c r="E524" s="54">
        <f>(VLOOKUP($A524,'The List'!$B1:$AH665,17,FALSE)-AVERAGE('The List'!R2:R665))/STDEV('The List'!R2:R665)</f>
        <v>0.51268334909585722</v>
      </c>
      <c r="F524" s="54">
        <f>(VLOOKUP($A524,'The List'!$B1:$AH665,18,FALSE)-AVERAGE('The List'!S2:S665))/STDEV('The List'!S2:S665)</f>
        <v>-0.99332724182674104</v>
      </c>
      <c r="G524" s="54">
        <f>(VLOOKUP($A524,'The List'!$B1:$AH665,19,FALSE)-AVERAGE('The List'!T2:T665))/STDEV('The List'!T2:T665)</f>
        <v>-0.6880874937626138</v>
      </c>
      <c r="H524" s="54">
        <f>(VLOOKUP($A524,'The List'!$B1:$AH665,20,FALSE)-AVERAGE('The List'!U2:U665))/STDEV('The List'!U2:U665)</f>
        <v>-0.87885547153278987</v>
      </c>
      <c r="I524" s="54">
        <f>(VLOOKUP($A524,'The List'!$B1:$AH665,21,FALSE)-AVERAGE('The List'!V2:V665))/STDEV('The List'!V2:V665)</f>
        <v>-0.67781240161228407</v>
      </c>
      <c r="J524" s="54">
        <f>(VLOOKUP($A524,'The List'!$B1:$AH665,22,FALSE)-AVERAGE('The List'!W2:W665))/STDEV('The List'!W2:W665)</f>
        <v>-0.7413161489150919</v>
      </c>
      <c r="K524" s="54">
        <f>(VLOOKUP($A524,'The List'!$B1:$AH665,23,FALSE)-AVERAGE('The List'!X2:X665))/STDEV('The List'!X2:X665)</f>
        <v>-0.81730087602604629</v>
      </c>
      <c r="L524" s="54">
        <f>(VLOOKUP($A524,'The List'!$B1:$AH665,24,FALSE)-AVERAGE('The List'!Y2:Y665))/STDEV('The List'!Y2:Y665)</f>
        <v>-0.53131197783813577</v>
      </c>
      <c r="M524" s="54">
        <f>(VLOOKUP($A524,'The List'!$B1:$AH665,25,FALSE)-AVERAGE('The List'!Z2:Z665))/STDEV('The List'!Z2:Z665)</f>
        <v>-0.11553605685840269</v>
      </c>
      <c r="N524" s="54">
        <f>(VLOOKUP($A524,'The List'!$B1:$AH665,26,FALSE)-AVERAGE('The List'!AA2:AA665))/STDEV('The List'!AA2:AA665)</f>
        <v>2.0186864832158342</v>
      </c>
      <c r="O524" s="54">
        <f>(VLOOKUP($A524,'The List'!$B1:$AH665,27,FALSE)-AVERAGE('The List'!AB2:AB665))/STDEV('The List'!AB2:AB665)</f>
        <v>0.20856944082275133</v>
      </c>
      <c r="P524" s="54">
        <f>(VLOOKUP($A524,'The List'!$B1:$AH665,28,FALSE)-AVERAGE('The List'!AC2:AC665))/STDEV('The List'!AC2:AC665)</f>
        <v>-2.284851060342973</v>
      </c>
      <c r="Q524" s="54">
        <f>(VLOOKUP($A524,'The List'!$B1:$AH665,29,FALSE)-AVERAGE('The List'!AD2:AD665))/STDEV('The List'!AD2:AD665)</f>
        <v>1.5727036686495508</v>
      </c>
      <c r="R524" s="54">
        <f>(VLOOKUP($A524,'The List'!$B1:$AH665,30,FALSE)-AVERAGE('The List'!AE2:AE665))/STDEV('The List'!AE2:AE665)</f>
        <v>-1.033563925229966</v>
      </c>
      <c r="S524" s="54">
        <f>(VLOOKUP($A524,'The List'!$B1:$AH665,31,FALSE)-AVERAGE('The List'!AF2:AF665))/STDEV('The List'!AF2:AF665)</f>
        <v>-0.57389441068000469</v>
      </c>
      <c r="T524" s="54">
        <f>(VLOOKUP($A524,'The List'!$B1:$AH665,32,FALSE)-AVERAGE('The List'!AG2:AG665))/STDEV('The List'!AG2:AG665)</f>
        <v>-0.62577078713265111</v>
      </c>
      <c r="U524" s="54">
        <f>(VLOOKUP($A524,'The List'!$B1:$AH665,33,FALSE)-AVERAGE('The List'!AH2:AH665))/STDEV('The List'!AH2:AH665)</f>
        <v>-1.2314350945148611</v>
      </c>
      <c r="V524" s="54"/>
      <c r="W524" s="56"/>
      <c r="X524" s="54"/>
      <c r="Y524" s="54"/>
      <c r="Z524" s="54"/>
      <c r="AA524" s="54"/>
      <c r="AB524" s="54"/>
      <c r="AC524" s="54"/>
      <c r="AD524" s="54"/>
      <c r="AE524" s="54"/>
    </row>
    <row r="525" spans="1:31" ht="21.25" customHeight="1" x14ac:dyDescent="0.15">
      <c r="A525" s="9" t="s">
        <v>735</v>
      </c>
      <c r="B525" s="65" t="str">
        <f>VLOOKUP(A525,'Player Data'!A1:B667,2,FALSE)</f>
        <v>BUF</v>
      </c>
      <c r="C525" s="51">
        <f>((E525)*Settings!$C$12)+(F525*Settings!$C$2)+(G525*Settings!$C$3)+(H525*Settings!$C$4)+(I525*Settings!$C$5)+(K525*Settings!$C$9)+(N525*Settings!$C$6)+(J525*Settings!$C$8)+(O525*Settings!$C$7)+(P525*Settings!$C$14)+(Q525*Settings!$C$15)+(R525*Settings!$C$16)+(S525*Settings!$C$17)+(T525*Settings!$C$18)+(U525*Settings!$C$19)+(L525*Settings!$C$10)+(Settings!$C$11*M525)</f>
        <v>-3.6392595927483846</v>
      </c>
      <c r="D525" s="56">
        <f>IF(Settings!$E$12="YES",VLOOKUP(A525,'Player Data'!A1:E667,5,FALSE),82)</f>
        <v>77.247500000000002</v>
      </c>
      <c r="E525" s="54">
        <f>(VLOOKUP($A525,'The List'!$B1:$AH665,17,FALSE)-AVERAGE('The List'!R2:R665))/STDEV('The List'!R2:R665)</f>
        <v>-1.6364842966643136</v>
      </c>
      <c r="F525" s="54">
        <f>(VLOOKUP($A525,'The List'!$B1:$AH665,18,FALSE)-AVERAGE('The List'!S2:S665))/STDEV('The List'!S2:S665)</f>
        <v>-0.5893742025632468</v>
      </c>
      <c r="G525" s="54">
        <f>(VLOOKUP($A525,'The List'!$B1:$AH665,19,FALSE)-AVERAGE('The List'!T2:T665))/STDEV('The List'!T2:T665)</f>
        <v>-1.0165195586399907</v>
      </c>
      <c r="H525" s="54">
        <f>(VLOOKUP($A525,'The List'!$B1:$AH665,20,FALSE)-AVERAGE('The List'!U2:U665))/STDEV('The List'!U2:U665)</f>
        <v>-0.89921439316272189</v>
      </c>
      <c r="I525" s="54">
        <f>(VLOOKUP($A525,'The List'!$B1:$AH665,21,FALSE)-AVERAGE('The List'!V2:V665))/STDEV('The List'!V2:V665)</f>
        <v>-0.95677532320507985</v>
      </c>
      <c r="J525" s="54">
        <f>(VLOOKUP($A525,'The List'!$B1:$AH665,22,FALSE)-AVERAGE('The List'!W2:W665))/STDEV('The List'!W2:W665)</f>
        <v>-0.72911403139296849</v>
      </c>
      <c r="K525" s="54">
        <f>(VLOOKUP($A525,'The List'!$B1:$AH665,23,FALSE)-AVERAGE('The List'!X2:X665))/STDEV('The List'!X2:X665)</f>
        <v>-0.81442908378861856</v>
      </c>
      <c r="L525" s="54">
        <f>(VLOOKUP($A525,'The List'!$B1:$AH665,24,FALSE)-AVERAGE('The List'!Y2:Y665))/STDEV('The List'!Y2:Y665)</f>
        <v>0.21774719133059325</v>
      </c>
      <c r="M525" s="54">
        <f>(VLOOKUP($A525,'The List'!$B1:$AH665,25,FALSE)-AVERAGE('The List'!Z2:Z665))/STDEV('The List'!Z2:Z665)</f>
        <v>-0.15944254257527252</v>
      </c>
      <c r="N525" s="54">
        <f>(VLOOKUP($A525,'The List'!$B1:$AH665,26,FALSE)-AVERAGE('The List'!AA2:AA665))/STDEV('The List'!AA2:AA665)</f>
        <v>-0.85430045074934458</v>
      </c>
      <c r="O525" s="54">
        <f>(VLOOKUP($A525,'The List'!$B1:$AH665,27,FALSE)-AVERAGE('The List'!AB2:AB665))/STDEV('The List'!AB2:AB665)</f>
        <v>1.2622514829322855</v>
      </c>
      <c r="P525" s="54">
        <f>(VLOOKUP($A525,'The List'!$B1:$AH665,28,FALSE)-AVERAGE('The List'!AC2:AC665))/STDEV('The List'!AC2:AC665)</f>
        <v>0.59213902619789593</v>
      </c>
      <c r="Q525" s="54">
        <f>(VLOOKUP($A525,'The List'!$B1:$AH665,29,FALSE)-AVERAGE('The List'!AD2:AD665))/STDEV('The List'!AD2:AD665)</f>
        <v>-0.50161414318829578</v>
      </c>
      <c r="R525" s="54">
        <f>(VLOOKUP($A525,'The List'!$B1:$AH665,30,FALSE)-AVERAGE('The List'!AE2:AE665))/STDEV('The List'!AE2:AE665)</f>
        <v>-0.59939854564591921</v>
      </c>
      <c r="S525" s="54">
        <f>(VLOOKUP($A525,'The List'!$B1:$AH665,31,FALSE)-AVERAGE('The List'!AF2:AF665))/STDEV('The List'!AF2:AF665)</f>
        <v>0.14576682289247583</v>
      </c>
      <c r="T525" s="54">
        <f>(VLOOKUP($A525,'The List'!$B1:$AH665,32,FALSE)-AVERAGE('The List'!AG2:AG665))/STDEV('The List'!AG2:AG665)</f>
        <v>0.29713219298816268</v>
      </c>
      <c r="U525" s="54">
        <f>(VLOOKUP($A525,'The List'!$B1:$AH665,33,FALSE)-AVERAGE('The List'!AH2:AH665))/STDEV('The List'!AH2:AH665)</f>
        <v>0.82374179472390952</v>
      </c>
      <c r="V525" s="54"/>
      <c r="W525" s="64"/>
      <c r="X525" s="56"/>
      <c r="Y525" s="56"/>
      <c r="Z525" s="56"/>
      <c r="AA525" s="56"/>
      <c r="AB525" s="56"/>
      <c r="AC525" s="59"/>
      <c r="AD525" s="60"/>
      <c r="AE525" s="54"/>
    </row>
    <row r="526" spans="1:31" ht="21.25" customHeight="1" x14ac:dyDescent="0.15">
      <c r="A526" s="9" t="s">
        <v>747</v>
      </c>
      <c r="B526" s="65" t="str">
        <f>VLOOKUP(A526,'Player Data'!A1:B667,2,FALSE)</f>
        <v>STL</v>
      </c>
      <c r="C526" s="51">
        <f>((E526)*Settings!$C$12)+(F526*Settings!$C$2)+(G526*Settings!$C$3)+(H526*Settings!$C$4)+(I526*Settings!$C$5)+(K526*Settings!$C$9)+(N526*Settings!$C$6)+(J526*Settings!$C$8)+(O526*Settings!$C$7)+(P526*Settings!$C$14)+(Q526*Settings!$C$15)+(R526*Settings!$C$16)+(S526*Settings!$C$17)+(T526*Settings!$C$18)+(U526*Settings!$C$19)+(L526*Settings!$C$10)+(Settings!$C$11*M526)</f>
        <v>-3.1030010416887013</v>
      </c>
      <c r="D526" s="56">
        <f>IF(Settings!$E$12="YES",VLOOKUP(A526,'Player Data'!A1:E667,5,FALSE),82)</f>
        <v>79.972499999999997</v>
      </c>
      <c r="E526" s="54">
        <f>(VLOOKUP($A526,'The List'!$B1:$AH665,17,FALSE)-AVERAGE('The List'!R2:R665))/STDEV('The List'!R2:R665)</f>
        <v>-1.2061366903814237</v>
      </c>
      <c r="F526" s="54">
        <f>(VLOOKUP($A526,'The List'!$B1:$AH665,18,FALSE)-AVERAGE('The List'!S2:S665))/STDEV('The List'!S2:S665)</f>
        <v>-0.66070559598631506</v>
      </c>
      <c r="G526" s="54">
        <f>(VLOOKUP($A526,'The List'!$B1:$AH665,19,FALSE)-AVERAGE('The List'!T2:T665))/STDEV('The List'!T2:T665)</f>
        <v>-0.92501882890095355</v>
      </c>
      <c r="H526" s="54">
        <f>(VLOOKUP($A526,'The List'!$B1:$AH665,20,FALSE)-AVERAGE('The List'!U2:U665))/STDEV('The List'!U2:U665)</f>
        <v>-0.87481080404539613</v>
      </c>
      <c r="I526" s="54">
        <f>(VLOOKUP($A526,'The List'!$B1:$AH665,21,FALSE)-AVERAGE('The List'!V2:V665))/STDEV('The List'!V2:V665)</f>
        <v>-0.94805746018174708</v>
      </c>
      <c r="J526" s="54">
        <f>(VLOOKUP($A526,'The List'!$B1:$AH665,22,FALSE)-AVERAGE('The List'!W2:W665))/STDEV('The List'!W2:W665)</f>
        <v>-0.72500946016054502</v>
      </c>
      <c r="K526" s="54">
        <f>(VLOOKUP($A526,'The List'!$B1:$AH665,23,FALSE)-AVERAGE('The List'!X2:X665))/STDEV('The List'!X2:X665)</f>
        <v>-0.81276146617222744</v>
      </c>
      <c r="L526" s="54">
        <f>(VLOOKUP($A526,'The List'!$B1:$AH665,24,FALSE)-AVERAGE('The List'!Y2:Y665))/STDEV('The List'!Y2:Y665)</f>
        <v>1.8975149079351405</v>
      </c>
      <c r="M526" s="54">
        <f>(VLOOKUP($A526,'The List'!$B1:$AH665,25,FALSE)-AVERAGE('The List'!Z2:Z665))/STDEV('The List'!Z2:Z665)</f>
        <v>2.3642178333678405</v>
      </c>
      <c r="N526" s="54">
        <f>(VLOOKUP($A526,'The List'!$B1:$AH665,26,FALSE)-AVERAGE('The List'!AA2:AA665))/STDEV('The List'!AA2:AA665)</f>
        <v>-0.3517329521604452</v>
      </c>
      <c r="O526" s="54">
        <f>(VLOOKUP($A526,'The List'!$B1:$AH665,27,FALSE)-AVERAGE('The List'!AB2:AB665))/STDEV('The List'!AB2:AB665)</f>
        <v>0.19806686371747345</v>
      </c>
      <c r="P526" s="54">
        <f>(VLOOKUP($A526,'The List'!$B1:$AH665,28,FALSE)-AVERAGE('The List'!AC2:AC665))/STDEV('The List'!AC2:AC665)</f>
        <v>0.59527526171298706</v>
      </c>
      <c r="Q526" s="54">
        <f>(VLOOKUP($A526,'The List'!$B1:$AH665,29,FALSE)-AVERAGE('The List'!AD2:AD665))/STDEV('The List'!AD2:AD665)</f>
        <v>-0.1521270965592432</v>
      </c>
      <c r="R526" s="54">
        <f>(VLOOKUP($A526,'The List'!$B1:$AH665,30,FALSE)-AVERAGE('The List'!AE2:AE665))/STDEV('The List'!AE2:AE665)</f>
        <v>-0.75510825639632195</v>
      </c>
      <c r="S526" s="54">
        <f>(VLOOKUP($A526,'The List'!$B1:$AH665,31,FALSE)-AVERAGE('The List'!AF2:AF665))/STDEV('The List'!AF2:AF665)</f>
        <v>0.89356058275815997</v>
      </c>
      <c r="T526" s="54">
        <f>(VLOOKUP($A526,'The List'!$B1:$AH665,32,FALSE)-AVERAGE('The List'!AG2:AG665))/STDEV('The List'!AG2:AG665)</f>
        <v>0.64236490750672159</v>
      </c>
      <c r="U526" s="54">
        <f>(VLOOKUP($A526,'The List'!$B1:$AH665,33,FALSE)-AVERAGE('The List'!AH2:AH665))/STDEV('The List'!AH2:AH665)</f>
        <v>1.26961182287748</v>
      </c>
      <c r="V526" s="54"/>
      <c r="W526" s="64"/>
      <c r="X526" s="56"/>
      <c r="Y526" s="56"/>
      <c r="Z526" s="56"/>
      <c r="AA526" s="56"/>
      <c r="AB526" s="56"/>
      <c r="AC526" s="59"/>
      <c r="AD526" s="60"/>
      <c r="AE526" s="54"/>
    </row>
    <row r="527" spans="1:31" ht="21.25" customHeight="1" x14ac:dyDescent="0.15">
      <c r="A527" s="9" t="s">
        <v>786</v>
      </c>
      <c r="B527" s="65" t="str">
        <f>VLOOKUP(A527,'Player Data'!A1:B667,2,FALSE)</f>
        <v>MIN</v>
      </c>
      <c r="C527" s="51">
        <f>((E527)*Settings!$C$12)+(F527*Settings!$C$2)+(G527*Settings!$C$3)+(H527*Settings!$C$4)+(I527*Settings!$C$5)+(K527*Settings!$C$9)+(N527*Settings!$C$6)+(J527*Settings!$C$8)+(O527*Settings!$C$7)+(P527*Settings!$C$14)+(Q527*Settings!$C$15)+(R527*Settings!$C$16)+(S527*Settings!$C$17)+(T527*Settings!$C$18)+(U527*Settings!$C$19)+(L527*Settings!$C$10)+(Settings!$C$11*M527)</f>
        <v>-4.8621090346937184</v>
      </c>
      <c r="D527" s="56">
        <f>IF(Settings!$E$12="YES",VLOOKUP(A527,'Player Data'!A1:E667,5,FALSE),82)</f>
        <v>64.112499999999997</v>
      </c>
      <c r="E527" s="54">
        <f>(VLOOKUP($A527,'The List'!$B1:$AH665,17,FALSE)-AVERAGE('The List'!R2:R665))/STDEV('The List'!R2:R665)</f>
        <v>-1.9463902111611127</v>
      </c>
      <c r="F527" s="54">
        <f>(VLOOKUP($A527,'The List'!$B1:$AH665,18,FALSE)-AVERAGE('The List'!S2:S665))/STDEV('The List'!S2:S665)</f>
        <v>-0.83959199034717047</v>
      </c>
      <c r="G527" s="54">
        <f>(VLOOKUP($A527,'The List'!$B1:$AH665,19,FALSE)-AVERAGE('The List'!T2:T665))/STDEV('The List'!T2:T665)</f>
        <v>-1.044173750192414</v>
      </c>
      <c r="H527" s="54">
        <f>(VLOOKUP($A527,'The List'!$B1:$AH665,20,FALSE)-AVERAGE('The List'!U2:U665))/STDEV('The List'!U2:U665)</f>
        <v>-1.0301250794137771</v>
      </c>
      <c r="I527" s="54">
        <f>(VLOOKUP($A527,'The List'!$B1:$AH665,21,FALSE)-AVERAGE('The List'!V2:V665))/STDEV('The List'!V2:V665)</f>
        <v>-1.3598808386704475</v>
      </c>
      <c r="J527" s="54">
        <f>(VLOOKUP($A527,'The List'!$B1:$AH665,22,FALSE)-AVERAGE('The List'!W2:W665))/STDEV('The List'!W2:W665)</f>
        <v>-0.72948450114516694</v>
      </c>
      <c r="K527" s="54">
        <f>(VLOOKUP($A527,'The List'!$B1:$AH665,23,FALSE)-AVERAGE('The List'!X2:X665))/STDEV('The List'!X2:X665)</f>
        <v>-0.81503084723872998</v>
      </c>
      <c r="L527" s="54">
        <f>(VLOOKUP($A527,'The List'!$B1:$AH665,24,FALSE)-AVERAGE('The List'!Y2:Y665))/STDEV('The List'!Y2:Y665)</f>
        <v>-0.51180681447083187</v>
      </c>
      <c r="M527" s="54">
        <f>(VLOOKUP($A527,'The List'!$B1:$AH665,25,FALSE)-AVERAGE('The List'!Z2:Z665))/STDEV('The List'!Z2:Z665)</f>
        <v>-0.68456266984625491</v>
      </c>
      <c r="N527" s="54">
        <f>(VLOOKUP($A527,'The List'!$B1:$AH665,26,FALSE)-AVERAGE('The List'!AA2:AA665))/STDEV('The List'!AA2:AA665)</f>
        <v>-0.94559516576652969</v>
      </c>
      <c r="O527" s="54">
        <f>(VLOOKUP($A527,'The List'!$B1:$AH665,27,FALSE)-AVERAGE('The List'!AB2:AB665))/STDEV('The List'!AB2:AB665)</f>
        <v>1.4713117768645667</v>
      </c>
      <c r="P527" s="54">
        <f>(VLOOKUP($A527,'The List'!$B1:$AH665,28,FALSE)-AVERAGE('The List'!AC2:AC665))/STDEV('The List'!AC2:AC665)</f>
        <v>0.14216355752157314</v>
      </c>
      <c r="Q527" s="54">
        <f>(VLOOKUP($A527,'The List'!$B1:$AH665,29,FALSE)-AVERAGE('The List'!AD2:AD665))/STDEV('The List'!AD2:AD665)</f>
        <v>-0.51563051668051307</v>
      </c>
      <c r="R527" s="54">
        <f>(VLOOKUP($A527,'The List'!$B1:$AH665,30,FALSE)-AVERAGE('The List'!AE2:AE665))/STDEV('The List'!AE2:AE665)</f>
        <v>-0.75170251763191698</v>
      </c>
      <c r="S527" s="54">
        <f>(VLOOKUP($A527,'The List'!$B1:$AH665,31,FALSE)-AVERAGE('The List'!AF2:AF665))/STDEV('The List'!AF2:AF665)</f>
        <v>-0.54650104649705455</v>
      </c>
      <c r="T527" s="54">
        <f>(VLOOKUP($A527,'The List'!$B1:$AH665,32,FALSE)-AVERAGE('The List'!AG2:AG665))/STDEV('The List'!AG2:AG665)</f>
        <v>-0.56920108325132956</v>
      </c>
      <c r="U527" s="54">
        <f>(VLOOKUP($A527,'The List'!$B1:$AH665,33,FALSE)-AVERAGE('The List'!AH2:AH665))/STDEV('The List'!AH2:AH665)</f>
        <v>0.30962462994459861</v>
      </c>
      <c r="V527" s="54"/>
      <c r="W527" s="56"/>
      <c r="X527" s="54"/>
      <c r="Y527" s="54"/>
      <c r="Z527" s="54"/>
      <c r="AA527" s="54"/>
      <c r="AB527" s="54"/>
      <c r="AC527" s="54"/>
      <c r="AD527" s="54"/>
      <c r="AE527" s="54"/>
    </row>
    <row r="528" spans="1:31" ht="21.25" customHeight="1" x14ac:dyDescent="0.15">
      <c r="A528" s="9" t="s">
        <v>583</v>
      </c>
      <c r="B528" s="65" t="str">
        <f>VLOOKUP(A528,'Player Data'!A1:B667,2,FALSE)</f>
        <v>DET</v>
      </c>
      <c r="C528" s="51">
        <f>((E528)*Settings!$C$12)+(F528*Settings!$C$2)+(G528*Settings!$C$3)+(H528*Settings!$C$4)+(I528*Settings!$C$5)+(K528*Settings!$C$9)+(N528*Settings!$C$6)+(J528*Settings!$C$8)+(O528*Settings!$C$7)+(P528*Settings!$C$14)+(Q528*Settings!$C$15)+(R528*Settings!$C$16)+(S528*Settings!$C$17)+(T528*Settings!$C$18)+(U528*Settings!$C$19)+(L528*Settings!$C$10)+(Settings!$C$11*M528)</f>
        <v>-3.3475660880734046</v>
      </c>
      <c r="D528" s="56">
        <f>IF(Settings!$E$12="YES",VLOOKUP(A528,'Player Data'!A1:E667,5,FALSE),82)</f>
        <v>78.105000000000004</v>
      </c>
      <c r="E528" s="54">
        <f>(VLOOKUP($A528,'The List'!$B1:$AH665,17,FALSE)-AVERAGE('The List'!R2:R665))/STDEV('The List'!R2:R665)</f>
        <v>-0.21629687966702837</v>
      </c>
      <c r="F528" s="54">
        <f>(VLOOKUP($A528,'The List'!$B1:$AH665,18,FALSE)-AVERAGE('The List'!S2:S665))/STDEV('The List'!S2:S665)</f>
        <v>-0.97220267640487179</v>
      </c>
      <c r="G528" s="54">
        <f>(VLOOKUP($A528,'The List'!$B1:$AH665,19,FALSE)-AVERAGE('The List'!T2:T665))/STDEV('The List'!T2:T665)</f>
        <v>-0.73134288559897209</v>
      </c>
      <c r="H528" s="54">
        <f>(VLOOKUP($A528,'The List'!$B1:$AH665,20,FALSE)-AVERAGE('The List'!U2:U665))/STDEV('The List'!U2:U665)</f>
        <v>-0.89611738291683729</v>
      </c>
      <c r="I528" s="54">
        <f>(VLOOKUP($A528,'The List'!$B1:$AH665,21,FALSE)-AVERAGE('The List'!V2:V665))/STDEV('The List'!V2:V665)</f>
        <v>-1.2572123661270684</v>
      </c>
      <c r="J528" s="54">
        <f>(VLOOKUP($A528,'The List'!$B1:$AH665,22,FALSE)-AVERAGE('The List'!W2:W665))/STDEV('The List'!W2:W665)</f>
        <v>-0.74107095481436336</v>
      </c>
      <c r="K528" s="54">
        <f>(VLOOKUP($A528,'The List'!$B1:$AH665,23,FALSE)-AVERAGE('The List'!X2:X665))/STDEV('The List'!X2:X665)</f>
        <v>-0.81707598336180087</v>
      </c>
      <c r="L528" s="54">
        <f>(VLOOKUP($A528,'The List'!$B1:$AH665,24,FALSE)-AVERAGE('The List'!Y2:Y665))/STDEV('The List'!Y2:Y665)</f>
        <v>-0.55515990004974336</v>
      </c>
      <c r="M528" s="54">
        <f>(VLOOKUP($A528,'The List'!$B1:$AH665,25,FALSE)-AVERAGE('The List'!Z2:Z665))/STDEV('The List'!Z2:Z665)</f>
        <v>-0.6779249491710706</v>
      </c>
      <c r="N528" s="54">
        <f>(VLOOKUP($A528,'The List'!$B1:$AH665,26,FALSE)-AVERAGE('The List'!AA2:AA665))/STDEV('The List'!AA2:AA665)</f>
        <v>0.90357052745567012</v>
      </c>
      <c r="O528" s="54">
        <f>(VLOOKUP($A528,'The List'!$B1:$AH665,27,FALSE)-AVERAGE('The List'!AB2:AB665))/STDEV('The List'!AB2:AB665)</f>
        <v>-0.44538046354668703</v>
      </c>
      <c r="P528" s="54">
        <f>(VLOOKUP($A528,'The List'!$B1:$AH665,28,FALSE)-AVERAGE('The List'!AC2:AC665))/STDEV('The List'!AC2:AC665)</f>
        <v>-0.47330270403636115</v>
      </c>
      <c r="Q528" s="54">
        <f>(VLOOKUP($A528,'The List'!$B1:$AH665,29,FALSE)-AVERAGE('The List'!AD2:AD665))/STDEV('The List'!AD2:AD665)</f>
        <v>-1.1549674461161448</v>
      </c>
      <c r="R528" s="54">
        <f>(VLOOKUP($A528,'The List'!$B1:$AH665,30,FALSE)-AVERAGE('The List'!AE2:AE665))/STDEV('The List'!AE2:AE665)</f>
        <v>-0.95652653958030187</v>
      </c>
      <c r="S528" s="54">
        <f>(VLOOKUP($A528,'The List'!$B1:$AH665,31,FALSE)-AVERAGE('The List'!AF2:AF665))/STDEV('The List'!AF2:AF665)</f>
        <v>-0.57389441068000469</v>
      </c>
      <c r="T528" s="54">
        <f>(VLOOKUP($A528,'The List'!$B1:$AH665,32,FALSE)-AVERAGE('The List'!AG2:AG665))/STDEV('The List'!AG2:AG665)</f>
        <v>-0.62577078713265111</v>
      </c>
      <c r="U528" s="54">
        <f>(VLOOKUP($A528,'The List'!$B1:$AH665,33,FALSE)-AVERAGE('The List'!AH2:AH665))/STDEV('The List'!AH2:AH665)</f>
        <v>-1.2314350945148611</v>
      </c>
      <c r="V528" s="54"/>
      <c r="W528" s="64"/>
      <c r="X528" s="56"/>
      <c r="Y528" s="56"/>
      <c r="Z528" s="56"/>
      <c r="AA528" s="56"/>
      <c r="AB528" s="56"/>
      <c r="AC528" s="59"/>
      <c r="AD528" s="60"/>
      <c r="AE528" s="54"/>
    </row>
    <row r="529" spans="1:31" ht="21.25" customHeight="1" x14ac:dyDescent="0.15">
      <c r="A529" s="9" t="s">
        <v>768</v>
      </c>
      <c r="B529" s="65" t="str">
        <f>VLOOKUP(A529,'Player Data'!A1:B667,2,FALSE)</f>
        <v>T.B</v>
      </c>
      <c r="C529" s="51">
        <f>((E529)*Settings!$C$12)+(F529*Settings!$C$2)+(G529*Settings!$C$3)+(H529*Settings!$C$4)+(I529*Settings!$C$5)+(K529*Settings!$C$9)+(N529*Settings!$C$6)+(J529*Settings!$C$8)+(O529*Settings!$C$7)+(P529*Settings!$C$14)+(Q529*Settings!$C$15)+(R529*Settings!$C$16)+(S529*Settings!$C$17)+(T529*Settings!$C$18)+(U529*Settings!$C$19)+(L529*Settings!$C$10)+(Settings!$C$11*M529)</f>
        <v>-4.7887702341387017</v>
      </c>
      <c r="D529" s="56">
        <f>IF(Settings!$E$12="YES",VLOOKUP(A529,'Player Data'!A1:E667,5,FALSE),82)</f>
        <v>60.45</v>
      </c>
      <c r="E529" s="54">
        <f>(VLOOKUP($A529,'The List'!$B1:$AH665,17,FALSE)-AVERAGE('The List'!R2:R665))/STDEV('The List'!R2:R665)</f>
        <v>-1.8432689195250669</v>
      </c>
      <c r="F529" s="54">
        <f>(VLOOKUP($A529,'The List'!$B1:$AH665,18,FALSE)-AVERAGE('The List'!S2:S665))/STDEV('The List'!S2:S665)</f>
        <v>-0.70662114376136309</v>
      </c>
      <c r="G529" s="54">
        <f>(VLOOKUP($A529,'The List'!$B1:$AH665,19,FALSE)-AVERAGE('The List'!T2:T665))/STDEV('The List'!T2:T665)</f>
        <v>-1.2027578993814418</v>
      </c>
      <c r="H529" s="54">
        <f>(VLOOKUP($A529,'The List'!$B1:$AH665,20,FALSE)-AVERAGE('The List'!U2:U665))/STDEV('The List'!U2:U665)</f>
        <v>-1.068173182562844</v>
      </c>
      <c r="I529" s="54">
        <f>(VLOOKUP($A529,'The List'!$B1:$AH665,21,FALSE)-AVERAGE('The List'!V2:V665))/STDEV('The List'!V2:V665)</f>
        <v>-1.3386115599031141</v>
      </c>
      <c r="J529" s="54">
        <f>(VLOOKUP($A529,'The List'!$B1:$AH665,22,FALSE)-AVERAGE('The List'!W2:W665))/STDEV('The List'!W2:W665)</f>
        <v>-0.73164736311203793</v>
      </c>
      <c r="K529" s="54">
        <f>(VLOOKUP($A529,'The List'!$B1:$AH665,23,FALSE)-AVERAGE('The List'!X2:X665))/STDEV('The List'!X2:X665)</f>
        <v>-0.81673802644970594</v>
      </c>
      <c r="L529" s="54">
        <f>(VLOOKUP($A529,'The List'!$B1:$AH665,24,FALSE)-AVERAGE('The List'!Y2:Y665))/STDEV('The List'!Y2:Y665)</f>
        <v>-0.52288170055803129</v>
      </c>
      <c r="M529" s="54">
        <f>(VLOOKUP($A529,'The List'!$B1:$AH665,25,FALSE)-AVERAGE('The List'!Z2:Z665))/STDEV('The List'!Z2:Z665)</f>
        <v>-0.69506214868703076</v>
      </c>
      <c r="N529" s="54">
        <f>(VLOOKUP($A529,'The List'!$B1:$AH665,26,FALSE)-AVERAGE('The List'!AA2:AA665))/STDEV('The List'!AA2:AA665)</f>
        <v>-0.78137592579650594</v>
      </c>
      <c r="O529" s="54">
        <f>(VLOOKUP($A529,'The List'!$B1:$AH665,27,FALSE)-AVERAGE('The List'!AB2:AB665))/STDEV('The List'!AB2:AB665)</f>
        <v>0.94940651797273345</v>
      </c>
      <c r="P529" s="54">
        <f>(VLOOKUP($A529,'The List'!$B1:$AH665,28,FALSE)-AVERAGE('The List'!AC2:AC665))/STDEV('The List'!AC2:AC665)</f>
        <v>5.7334321153428534E-2</v>
      </c>
      <c r="Q529" s="54">
        <f>(VLOOKUP($A529,'The List'!$B1:$AH665,29,FALSE)-AVERAGE('The List'!AD2:AD665))/STDEV('The List'!AD2:AD665)</f>
        <v>-1.3282424566441497</v>
      </c>
      <c r="R529" s="54">
        <f>(VLOOKUP($A529,'The List'!$B1:$AH665,30,FALSE)-AVERAGE('The List'!AE2:AE665))/STDEV('The List'!AE2:AE665)</f>
        <v>-0.64105328941694628</v>
      </c>
      <c r="S529" s="54">
        <f>(VLOOKUP($A529,'The List'!$B1:$AH665,31,FALSE)-AVERAGE('The List'!AF2:AF665))/STDEV('The List'!AF2:AF665)</f>
        <v>-0.57389441068000469</v>
      </c>
      <c r="T529" s="54">
        <f>(VLOOKUP($A529,'The List'!$B1:$AH665,32,FALSE)-AVERAGE('The List'!AG2:AG665))/STDEV('The List'!AG2:AG665)</f>
        <v>-0.5887736109950541</v>
      </c>
      <c r="U529" s="54">
        <f>(VLOOKUP($A529,'The List'!$B1:$AH665,33,FALSE)-AVERAGE('The List'!AH2:AH665))/STDEV('The List'!AH2:AH665)</f>
        <v>-1.2314350945148611</v>
      </c>
      <c r="V529" s="54"/>
      <c r="W529" s="56"/>
      <c r="X529" s="54"/>
      <c r="Y529" s="54"/>
      <c r="Z529" s="54"/>
      <c r="AA529" s="54"/>
      <c r="AB529" s="54"/>
      <c r="AC529" s="54"/>
      <c r="AD529" s="54"/>
      <c r="AE529" s="54"/>
    </row>
    <row r="530" spans="1:31" ht="21.25" customHeight="1" x14ac:dyDescent="0.15">
      <c r="A530" s="9" t="s">
        <v>597</v>
      </c>
      <c r="B530" s="65" t="str">
        <f>VLOOKUP(A530,'Player Data'!A1:B667,2,FALSE)</f>
        <v>WPG</v>
      </c>
      <c r="C530" s="51">
        <f>((E530)*Settings!$C$12)+(F530*Settings!$C$2)+(G530*Settings!$C$3)+(H530*Settings!$C$4)+(I530*Settings!$C$5)+(K530*Settings!$C$9)+(N530*Settings!$C$6)+(J530*Settings!$C$8)+(O530*Settings!$C$7)+(P530*Settings!$C$14)+(Q530*Settings!$C$15)+(R530*Settings!$C$16)+(S530*Settings!$C$17)+(T530*Settings!$C$18)+(U530*Settings!$C$19)+(L530*Settings!$C$10)+(Settings!$C$11*M530)</f>
        <v>-3.1442905354661543</v>
      </c>
      <c r="D530" s="56">
        <f>IF(Settings!$E$12="YES",VLOOKUP(A530,'Player Data'!A1:E667,5,FALSE),82)</f>
        <v>70.827500000000001</v>
      </c>
      <c r="E530" s="54">
        <f>(VLOOKUP($A530,'The List'!$B1:$AH665,17,FALSE)-AVERAGE('The List'!R2:R665))/STDEV('The List'!R2:R665)</f>
        <v>-0.32409674541213951</v>
      </c>
      <c r="F530" s="54">
        <f>(VLOOKUP($A530,'The List'!$B1:$AH665,18,FALSE)-AVERAGE('The List'!S2:S665))/STDEV('The List'!S2:S665)</f>
        <v>-0.93343518296870076</v>
      </c>
      <c r="G530" s="54">
        <f>(VLOOKUP($A530,'The List'!$B1:$AH665,19,FALSE)-AVERAGE('The List'!T2:T665))/STDEV('The List'!T2:T665)</f>
        <v>-0.88231907946963384</v>
      </c>
      <c r="H530" s="54">
        <f>(VLOOKUP($A530,'The List'!$B1:$AH665,20,FALSE)-AVERAGE('The List'!U2:U665))/STDEV('The List'!U2:U665)</f>
        <v>-0.97226041988354206</v>
      </c>
      <c r="I530" s="54">
        <f>(VLOOKUP($A530,'The List'!$B1:$AH665,21,FALSE)-AVERAGE('The List'!V2:V665))/STDEV('The List'!V2:V665)</f>
        <v>-0.75155020386292459</v>
      </c>
      <c r="J530" s="54">
        <f>(VLOOKUP($A530,'The List'!$B1:$AH665,22,FALSE)-AVERAGE('The List'!W2:W665))/STDEV('The List'!W2:W665)</f>
        <v>-0.70063096474816511</v>
      </c>
      <c r="K530" s="54">
        <f>(VLOOKUP($A530,'The List'!$B1:$AH665,23,FALSE)-AVERAGE('The List'!X2:X665))/STDEV('The List'!X2:X665)</f>
        <v>-0.73800143608734314</v>
      </c>
      <c r="L530" s="54">
        <f>(VLOOKUP($A530,'The List'!$B1:$AH665,24,FALSE)-AVERAGE('The List'!Y2:Y665))/STDEV('The List'!Y2:Y665)</f>
        <v>-0.53618751416900445</v>
      </c>
      <c r="M530" s="54">
        <f>(VLOOKUP($A530,'The List'!$B1:$AH665,25,FALSE)-AVERAGE('The List'!Z2:Z665))/STDEV('The List'!Z2:Z665)</f>
        <v>-0.6213138728621368</v>
      </c>
      <c r="N530" s="54">
        <f>(VLOOKUP($A530,'The List'!$B1:$AH665,26,FALSE)-AVERAGE('The List'!AA2:AA665))/STDEV('The List'!AA2:AA665)</f>
        <v>5.4391033183771906E-2</v>
      </c>
      <c r="O530" s="54">
        <f>(VLOOKUP($A530,'The List'!$B1:$AH665,27,FALSE)-AVERAGE('The List'!AB2:AB665))/STDEV('The List'!AB2:AB665)</f>
        <v>0.39356962824110248</v>
      </c>
      <c r="P530" s="54">
        <f>(VLOOKUP($A530,'The List'!$B1:$AH665,28,FALSE)-AVERAGE('The List'!AC2:AC665))/STDEV('The List'!AC2:AC665)</f>
        <v>0.10662433373867644</v>
      </c>
      <c r="Q530" s="54">
        <f>(VLOOKUP($A530,'The List'!$B1:$AH665,29,FALSE)-AVERAGE('The List'!AD2:AD665))/STDEV('The List'!AD2:AD665)</f>
        <v>-3.2040398510809094E-2</v>
      </c>
      <c r="R530" s="54">
        <f>(VLOOKUP($A530,'The List'!$B1:$AH665,30,FALSE)-AVERAGE('The List'!AE2:AE665))/STDEV('The List'!AE2:AE665)</f>
        <v>-0.84819184885466214</v>
      </c>
      <c r="S530" s="54">
        <f>(VLOOKUP($A530,'The List'!$B1:$AH665,31,FALSE)-AVERAGE('The List'!AF2:AF665))/STDEV('The List'!AF2:AF665)</f>
        <v>-0.57389441068000469</v>
      </c>
      <c r="T530" s="54">
        <f>(VLOOKUP($A530,'The List'!$B1:$AH665,32,FALSE)-AVERAGE('The List'!AG2:AG665))/STDEV('The List'!AG2:AG665)</f>
        <v>-0.62577078713265111</v>
      </c>
      <c r="U530" s="54">
        <f>(VLOOKUP($A530,'The List'!$B1:$AH665,33,FALSE)-AVERAGE('The List'!AH2:AH665))/STDEV('The List'!AH2:AH665)</f>
        <v>-1.2314350945148611</v>
      </c>
      <c r="V530" s="54"/>
      <c r="W530" s="64"/>
      <c r="X530" s="56"/>
      <c r="Y530" s="56"/>
      <c r="Z530" s="56"/>
      <c r="AA530" s="56"/>
      <c r="AB530" s="56"/>
      <c r="AC530" s="59"/>
      <c r="AD530" s="60"/>
      <c r="AE530" s="54"/>
    </row>
    <row r="531" spans="1:31" ht="21.25" customHeight="1" x14ac:dyDescent="0.15">
      <c r="A531" s="9" t="s">
        <v>520</v>
      </c>
      <c r="B531" s="65" t="str">
        <f>VLOOKUP(A531,'Player Data'!A1:B667,2,FALSE)</f>
        <v>DAL</v>
      </c>
      <c r="C531" s="51">
        <f>((E531)*Settings!$C$12)+(F531*Settings!$C$2)+(G531*Settings!$C$3)+(H531*Settings!$C$4)+(I531*Settings!$C$5)+(K531*Settings!$C$9)+(N531*Settings!$C$6)+(J531*Settings!$C$8)+(O531*Settings!$C$7)+(P531*Settings!$C$14)+(Q531*Settings!$C$15)+(R531*Settings!$C$16)+(S531*Settings!$C$17)+(T531*Settings!$C$18)+(U531*Settings!$C$19)+(L531*Settings!$C$10)+(Settings!$C$11*M531)</f>
        <v>-2.6072609372706781</v>
      </c>
      <c r="D531" s="56">
        <f>IF(Settings!$E$12="YES",VLOOKUP(A531,'Player Data'!A1:E667,5,FALSE),82)</f>
        <v>78.052499999999995</v>
      </c>
      <c r="E531" s="54">
        <f>(VLOOKUP($A531,'The List'!$B1:$AH665,17,FALSE)-AVERAGE('The List'!R2:R665))/STDEV('The List'!R2:R665)</f>
        <v>0.58166418973414302</v>
      </c>
      <c r="F531" s="54">
        <f>(VLOOKUP($A531,'The List'!$B1:$AH665,18,FALSE)-AVERAGE('The List'!S2:S665))/STDEV('The List'!S2:S665)</f>
        <v>-0.89786831600753192</v>
      </c>
      <c r="G531" s="54">
        <f>(VLOOKUP($A531,'The List'!$B1:$AH665,19,FALSE)-AVERAGE('The List'!T2:T665))/STDEV('The List'!T2:T665)</f>
        <v>-0.8043716158762434</v>
      </c>
      <c r="H531" s="54">
        <f>(VLOOKUP($A531,'The List'!$B1:$AH665,20,FALSE)-AVERAGE('The List'!U2:U665))/STDEV('The List'!U2:U665)</f>
        <v>-0.90768383049042989</v>
      </c>
      <c r="I531" s="54">
        <f>(VLOOKUP($A531,'The List'!$B1:$AH665,21,FALSE)-AVERAGE('The List'!V2:V665))/STDEV('The List'!V2:V665)</f>
        <v>-0.73889665335227672</v>
      </c>
      <c r="J531" s="54">
        <f>(VLOOKUP($A531,'The List'!$B1:$AH665,22,FALSE)-AVERAGE('The List'!W2:W665))/STDEV('The List'!W2:W665)</f>
        <v>-0.71089676940594837</v>
      </c>
      <c r="K531" s="54">
        <f>(VLOOKUP($A531,'The List'!$B1:$AH665,23,FALSE)-AVERAGE('The List'!X2:X665))/STDEV('The List'!X2:X665)</f>
        <v>-0.75437122096596576</v>
      </c>
      <c r="L531" s="54">
        <f>(VLOOKUP($A531,'The List'!$B1:$AH665,24,FALSE)-AVERAGE('The List'!Y2:Y665))/STDEV('The List'!Y2:Y665)</f>
        <v>-0.52950845456102669</v>
      </c>
      <c r="M531" s="54">
        <f>(VLOOKUP($A531,'The List'!$B1:$AH665,25,FALSE)-AVERAGE('The List'!Z2:Z665))/STDEV('The List'!Z2:Z665)</f>
        <v>-0.61917714361254894</v>
      </c>
      <c r="N531" s="54">
        <f>(VLOOKUP($A531,'The List'!$B1:$AH665,26,FALSE)-AVERAGE('The List'!AA2:AA665))/STDEV('The List'!AA2:AA665)</f>
        <v>1.000343740194064</v>
      </c>
      <c r="O531" s="54">
        <f>(VLOOKUP($A531,'The List'!$B1:$AH665,27,FALSE)-AVERAGE('The List'!AB2:AB665))/STDEV('The List'!AB2:AB665)</f>
        <v>1.3003657989533541</v>
      </c>
      <c r="P531" s="54">
        <f>(VLOOKUP($A531,'The List'!$B1:$AH665,28,FALSE)-AVERAGE('The List'!AC2:AC665))/STDEV('The List'!AC2:AC665)</f>
        <v>-0.41209687126272415</v>
      </c>
      <c r="Q531" s="54">
        <f>(VLOOKUP($A531,'The List'!$B1:$AH665,29,FALSE)-AVERAGE('The List'!AD2:AD665))/STDEV('The List'!AD2:AD665)</f>
        <v>1.7815358886735477</v>
      </c>
      <c r="R531" s="54">
        <f>(VLOOKUP($A531,'The List'!$B1:$AH665,30,FALSE)-AVERAGE('The List'!AE2:AE665))/STDEV('The List'!AE2:AE665)</f>
        <v>-0.82787889795548053</v>
      </c>
      <c r="S531" s="54">
        <f>(VLOOKUP($A531,'The List'!$B1:$AH665,31,FALSE)-AVERAGE('The List'!AF2:AF665))/STDEV('The List'!AF2:AF665)</f>
        <v>-0.57389441068000469</v>
      </c>
      <c r="T531" s="54">
        <f>(VLOOKUP($A531,'The List'!$B1:$AH665,32,FALSE)-AVERAGE('The List'!AG2:AG665))/STDEV('The List'!AG2:AG665)</f>
        <v>-0.6221804909001365</v>
      </c>
      <c r="U531" s="54">
        <f>(VLOOKUP($A531,'The List'!$B1:$AH665,33,FALSE)-AVERAGE('The List'!AH2:AH665))/STDEV('The List'!AH2:AH665)</f>
        <v>-1.2314350945148611</v>
      </c>
      <c r="V531" s="54"/>
      <c r="W531" s="64"/>
      <c r="X531" s="56"/>
      <c r="Y531" s="56"/>
      <c r="Z531" s="56"/>
      <c r="AA531" s="56"/>
      <c r="AB531" s="56"/>
      <c r="AC531" s="59"/>
      <c r="AD531" s="60"/>
      <c r="AE531" s="54"/>
    </row>
    <row r="532" spans="1:31" ht="21.25" customHeight="1" x14ac:dyDescent="0.15">
      <c r="A532" s="9" t="s">
        <v>470</v>
      </c>
      <c r="B532" s="65" t="str">
        <f>VLOOKUP(A532,'Player Data'!A1:B667,2,FALSE)</f>
        <v>VGK</v>
      </c>
      <c r="C532" s="51">
        <f>((E532)*Settings!$C$12)+(F532*Settings!$C$2)+(G532*Settings!$C$3)+(H532*Settings!$C$4)+(I532*Settings!$C$5)+(K532*Settings!$C$9)+(N532*Settings!$C$6)+(J532*Settings!$C$8)+(O532*Settings!$C$7)+(P532*Settings!$C$14)+(Q532*Settings!$C$15)+(R532*Settings!$C$16)+(S532*Settings!$C$17)+(T532*Settings!$C$18)+(U532*Settings!$C$19)+(L532*Settings!$C$10)+(Settings!$C$11*M532)</f>
        <v>-1.4434735634834601</v>
      </c>
      <c r="D532" s="56">
        <f>IF(Settings!$E$12="YES",VLOOKUP(A532,'Player Data'!A1:E667,5,FALSE),82)</f>
        <v>77.295000000000002</v>
      </c>
      <c r="E532" s="54">
        <f>(VLOOKUP($A532,'The List'!$B1:$AH665,17,FALSE)-AVERAGE('The List'!R2:R665))/STDEV('The List'!R2:R665)</f>
        <v>0.46092282106253624</v>
      </c>
      <c r="F532" s="54">
        <f>(VLOOKUP($A532,'The List'!$B1:$AH665,18,FALSE)-AVERAGE('The List'!S2:S665))/STDEV('The List'!S2:S665)</f>
        <v>-1.0169671011924728</v>
      </c>
      <c r="G532" s="54">
        <f>(VLOOKUP($A532,'The List'!$B1:$AH665,19,FALSE)-AVERAGE('The List'!T2:T665))/STDEV('The List'!T2:T665)</f>
        <v>-0.73038358690559435</v>
      </c>
      <c r="H532" s="54">
        <f>(VLOOKUP($A532,'The List'!$B1:$AH665,20,FALSE)-AVERAGE('The List'!U2:U665))/STDEV('The List'!U2:U665)</f>
        <v>-0.91586916337856905</v>
      </c>
      <c r="I532" s="54">
        <f>(VLOOKUP($A532,'The List'!$B1:$AH665,21,FALSE)-AVERAGE('The List'!V2:V665))/STDEV('The List'!V2:V665)</f>
        <v>-0.40293069132994025</v>
      </c>
      <c r="J532" s="54">
        <f>(VLOOKUP($A532,'The List'!$B1:$AH665,22,FALSE)-AVERAGE('The List'!W2:W665))/STDEV('The List'!W2:W665)</f>
        <v>-0.74067836492551564</v>
      </c>
      <c r="K532" s="54">
        <f>(VLOOKUP($A532,'The List'!$B1:$AH665,23,FALSE)-AVERAGE('The List'!X2:X665))/STDEV('The List'!X2:X665)</f>
        <v>-0.81635150752527497</v>
      </c>
      <c r="L532" s="54">
        <f>(VLOOKUP($A532,'The List'!$B1:$AH665,24,FALSE)-AVERAGE('The List'!Y2:Y665))/STDEV('The List'!Y2:Y665)</f>
        <v>-0.51030232177853163</v>
      </c>
      <c r="M532" s="54">
        <f>(VLOOKUP($A532,'The List'!$B1:$AH665,25,FALSE)-AVERAGE('The List'!Z2:Z665))/STDEV('The List'!Z2:Z665)</f>
        <v>-0.57015205373887967</v>
      </c>
      <c r="N532" s="54">
        <f>(VLOOKUP($A532,'The List'!$B1:$AH665,26,FALSE)-AVERAGE('The List'!AA2:AA665))/STDEV('The List'!AA2:AA665)</f>
        <v>1.3227901791888674</v>
      </c>
      <c r="O532" s="54">
        <f>(VLOOKUP($A532,'The List'!$B1:$AH665,27,FALSE)-AVERAGE('The List'!AB2:AB665))/STDEV('The List'!AB2:AB665)</f>
        <v>0.98527332183142358</v>
      </c>
      <c r="P532" s="54">
        <f>(VLOOKUP($A532,'The List'!$B1:$AH665,28,FALSE)-AVERAGE('The List'!AC2:AC665))/STDEV('The List'!AC2:AC665)</f>
        <v>0.20036914428095445</v>
      </c>
      <c r="Q532" s="54">
        <f>(VLOOKUP($A532,'The List'!$B1:$AH665,29,FALSE)-AVERAGE('The List'!AD2:AD665))/STDEV('The List'!AD2:AD665)</f>
        <v>0.56494949152605656</v>
      </c>
      <c r="R532" s="54">
        <f>(VLOOKUP($A532,'The List'!$B1:$AH665,30,FALSE)-AVERAGE('The List'!AE2:AE665))/STDEV('The List'!AE2:AE665)</f>
        <v>-0.96600957058703452</v>
      </c>
      <c r="S532" s="54">
        <f>(VLOOKUP($A532,'The List'!$B1:$AH665,31,FALSE)-AVERAGE('The List'!AF2:AF665))/STDEV('The List'!AF2:AF665)</f>
        <v>-0.57389441068000469</v>
      </c>
      <c r="T532" s="54">
        <f>(VLOOKUP($A532,'The List'!$B1:$AH665,32,FALSE)-AVERAGE('The List'!AG2:AG665))/STDEV('The List'!AG2:AG665)</f>
        <v>-0.62577078713265111</v>
      </c>
      <c r="U532" s="54">
        <f>(VLOOKUP($A532,'The List'!$B1:$AH665,33,FALSE)-AVERAGE('The List'!AH2:AH665))/STDEV('The List'!AH2:AH665)</f>
        <v>-1.2314350945148611</v>
      </c>
      <c r="V532" s="54"/>
      <c r="W532" s="64"/>
      <c r="X532" s="56"/>
      <c r="Y532" s="56"/>
      <c r="Z532" s="56"/>
      <c r="AA532" s="56"/>
      <c r="AB532" s="56"/>
      <c r="AC532" s="59"/>
      <c r="AD532" s="60"/>
      <c r="AE532" s="54"/>
    </row>
    <row r="533" spans="1:31" ht="21.25" customHeight="1" x14ac:dyDescent="0.15">
      <c r="A533" s="9" t="s">
        <v>555</v>
      </c>
      <c r="B533" s="65" t="str">
        <f>VLOOKUP(A533,'Player Data'!A1:B667,2,FALSE)</f>
        <v>S.J</v>
      </c>
      <c r="C533" s="51">
        <f>((E533)*Settings!$C$12)+(F533*Settings!$C$2)+(G533*Settings!$C$3)+(H533*Settings!$C$4)+(I533*Settings!$C$5)+(K533*Settings!$C$9)+(N533*Settings!$C$6)+(J533*Settings!$C$8)+(O533*Settings!$C$7)+(P533*Settings!$C$14)+(Q533*Settings!$C$15)+(R533*Settings!$C$16)+(S533*Settings!$C$17)+(T533*Settings!$C$18)+(U533*Settings!$C$19)+(L533*Settings!$C$10)+(Settings!$C$11*M533)</f>
        <v>-4.9339007306042788</v>
      </c>
      <c r="D533" s="56">
        <f>IF(Settings!$E$12="YES",VLOOKUP(A533,'Player Data'!A1:E667,5,FALSE),82)</f>
        <v>75.547499999999999</v>
      </c>
      <c r="E533" s="54">
        <f>(VLOOKUP($A533,'The List'!$B1:$AH665,17,FALSE)-AVERAGE('The List'!R2:R665))/STDEV('The List'!R2:R665)</f>
        <v>0.28632466781457561</v>
      </c>
      <c r="F533" s="54">
        <f>(VLOOKUP($A533,'The List'!$B1:$AH665,18,FALSE)-AVERAGE('The List'!S2:S665))/STDEV('The List'!S2:S665)</f>
        <v>-0.97778971737441911</v>
      </c>
      <c r="G533" s="54">
        <f>(VLOOKUP($A533,'The List'!$B1:$AH665,19,FALSE)-AVERAGE('The List'!T2:T665))/STDEV('The List'!T2:T665)</f>
        <v>-0.78885313010913727</v>
      </c>
      <c r="H533" s="54">
        <f>(VLOOKUP($A533,'The List'!$B1:$AH665,20,FALSE)-AVERAGE('The List'!U2:U665))/STDEV('The List'!U2:U665)</f>
        <v>-0.93437405414427055</v>
      </c>
      <c r="I533" s="54">
        <f>(VLOOKUP($A533,'The List'!$B1:$AH665,21,FALSE)-AVERAGE('The List'!V2:V665))/STDEV('The List'!V2:V665)</f>
        <v>-0.95686370063096182</v>
      </c>
      <c r="J533" s="54">
        <f>(VLOOKUP($A533,'The List'!$B1:$AH665,22,FALSE)-AVERAGE('The List'!W2:W665))/STDEV('The List'!W2:W665)</f>
        <v>-0.73550057135043967</v>
      </c>
      <c r="K533" s="54">
        <f>(VLOOKUP($A533,'The List'!$B1:$AH665,23,FALSE)-AVERAGE('The List'!X2:X665))/STDEV('The List'!X2:X665)</f>
        <v>-0.80276793130060242</v>
      </c>
      <c r="L533" s="54">
        <f>(VLOOKUP($A533,'The List'!$B1:$AH665,24,FALSE)-AVERAGE('The List'!Y2:Y665))/STDEV('The List'!Y2:Y665)</f>
        <v>-0.54099571392029733</v>
      </c>
      <c r="M533" s="54">
        <f>(VLOOKUP($A533,'The List'!$B1:$AH665,25,FALSE)-AVERAGE('The List'!Z2:Z665))/STDEV('The List'!Z2:Z665)</f>
        <v>0.15716437958052054</v>
      </c>
      <c r="N533" s="54">
        <f>(VLOOKUP($A533,'The List'!$B1:$AH665,26,FALSE)-AVERAGE('The List'!AA2:AA665))/STDEV('The List'!AA2:AA665)</f>
        <v>0.9564829079688949</v>
      </c>
      <c r="O533" s="54">
        <f>(VLOOKUP($A533,'The List'!$B1:$AH665,27,FALSE)-AVERAGE('The List'!AB2:AB665))/STDEV('The List'!AB2:AB665)</f>
        <v>-0.13691331520961716</v>
      </c>
      <c r="P533" s="54">
        <f>(VLOOKUP($A533,'The List'!$B1:$AH665,28,FALSE)-AVERAGE('The List'!AC2:AC665))/STDEV('The List'!AC2:AC665)</f>
        <v>-2.364109159158053</v>
      </c>
      <c r="Q533" s="54">
        <f>(VLOOKUP($A533,'The List'!$B1:$AH665,29,FALSE)-AVERAGE('The List'!AD2:AD665))/STDEV('The List'!AD2:AD665)</f>
        <v>0.33593646050981119</v>
      </c>
      <c r="R533" s="54">
        <f>(VLOOKUP($A533,'The List'!$B1:$AH665,30,FALSE)-AVERAGE('The List'!AE2:AE665))/STDEV('The List'!AE2:AE665)</f>
        <v>-1.0311510405569684</v>
      </c>
      <c r="S533" s="54">
        <f>(VLOOKUP($A533,'The List'!$B1:$AH665,31,FALSE)-AVERAGE('The List'!AF2:AF665))/STDEV('The List'!AF2:AF665)</f>
        <v>-0.57389441068000469</v>
      </c>
      <c r="T533" s="54">
        <f>(VLOOKUP($A533,'The List'!$B1:$AH665,32,FALSE)-AVERAGE('The List'!AG2:AG665))/STDEV('The List'!AG2:AG665)</f>
        <v>-0.62577078713265111</v>
      </c>
      <c r="U533" s="54">
        <f>(VLOOKUP($A533,'The List'!$B1:$AH665,33,FALSE)-AVERAGE('The List'!AH2:AH665))/STDEV('The List'!AH2:AH665)</f>
        <v>-1.2314350945148611</v>
      </c>
      <c r="V533" s="54"/>
      <c r="W533" s="64"/>
      <c r="X533" s="56"/>
      <c r="Y533" s="56"/>
      <c r="Z533" s="56"/>
      <c r="AA533" s="56"/>
      <c r="AB533" s="56"/>
      <c r="AC533" s="59"/>
      <c r="AD533" s="60"/>
      <c r="AE533" s="54"/>
    </row>
    <row r="534" spans="1:31" ht="21.25" customHeight="1" x14ac:dyDescent="0.15">
      <c r="A534" s="9" t="s">
        <v>534</v>
      </c>
      <c r="B534" s="65" t="str">
        <f>VLOOKUP(A534,'Player Data'!A1:B667,2,FALSE)</f>
        <v>WSH</v>
      </c>
      <c r="C534" s="51">
        <f>((E534)*Settings!$C$12)+(F534*Settings!$C$2)+(G534*Settings!$C$3)+(H534*Settings!$C$4)+(I534*Settings!$C$5)+(K534*Settings!$C$9)+(N534*Settings!$C$6)+(J534*Settings!$C$8)+(O534*Settings!$C$7)+(P534*Settings!$C$14)+(Q534*Settings!$C$15)+(R534*Settings!$C$16)+(S534*Settings!$C$17)+(T534*Settings!$C$18)+(U534*Settings!$C$19)+(L534*Settings!$C$10)+(Settings!$C$11*M534)</f>
        <v>-2.6482707318018917</v>
      </c>
      <c r="D534" s="56">
        <f>IF(Settings!$E$12="YES",VLOOKUP(A534,'Player Data'!A1:E667,5,FALSE),82)</f>
        <v>77.9375</v>
      </c>
      <c r="E534" s="54">
        <f>(VLOOKUP($A534,'The List'!$B1:$AH665,17,FALSE)-AVERAGE('The List'!R2:R665))/STDEV('The List'!R2:R665)</f>
        <v>6.6629621401256079E-3</v>
      </c>
      <c r="F534" s="54">
        <f>(VLOOKUP($A534,'The List'!$B1:$AH665,18,FALSE)-AVERAGE('The List'!S2:S665))/STDEV('The List'!S2:S665)</f>
        <v>-1.0898110021846694</v>
      </c>
      <c r="G534" s="54">
        <f>(VLOOKUP($A534,'The List'!$B1:$AH665,19,FALSE)-AVERAGE('The List'!T2:T665))/STDEV('The List'!T2:T665)</f>
        <v>-0.688443791970065</v>
      </c>
      <c r="H534" s="54">
        <f>(VLOOKUP($A534,'The List'!$B1:$AH665,20,FALSE)-AVERAGE('The List'!U2:U665))/STDEV('The List'!U2:U665)</f>
        <v>-0.92293320807753976</v>
      </c>
      <c r="I534" s="54">
        <f>(VLOOKUP($A534,'The List'!$B1:$AH665,21,FALSE)-AVERAGE('The List'!V2:V665))/STDEV('The List'!V2:V665)</f>
        <v>-0.95735017248530885</v>
      </c>
      <c r="J534" s="54">
        <f>(VLOOKUP($A534,'The List'!$B1:$AH665,22,FALSE)-AVERAGE('The List'!W2:W665))/STDEV('The List'!W2:W665)</f>
        <v>-0.74210190603905579</v>
      </c>
      <c r="K534" s="54">
        <f>(VLOOKUP($A534,'The List'!$B1:$AH665,23,FALSE)-AVERAGE('The List'!X2:X665))/STDEV('The List'!X2:X665)</f>
        <v>-0.8154415792404468</v>
      </c>
      <c r="L534" s="54">
        <f>(VLOOKUP($A534,'The List'!$B1:$AH665,24,FALSE)-AVERAGE('The List'!Y2:Y665))/STDEV('The List'!Y2:Y665)</f>
        <v>-0.53333805304280657</v>
      </c>
      <c r="M534" s="54">
        <f>(VLOOKUP($A534,'The List'!$B1:$AH665,25,FALSE)-AVERAGE('The List'!Z2:Z665))/STDEV('The List'!Z2:Z665)</f>
        <v>-3.8617756441231367E-2</v>
      </c>
      <c r="N534" s="54">
        <f>(VLOOKUP($A534,'The List'!$B1:$AH665,26,FALSE)-AVERAGE('The List'!AA2:AA665))/STDEV('The List'!AA2:AA665)</f>
        <v>1.2339974216777814</v>
      </c>
      <c r="O534" s="54">
        <f>(VLOOKUP($A534,'The List'!$B1:$AH665,27,FALSE)-AVERAGE('The List'!AB2:AB665))/STDEV('The List'!AB2:AB665)</f>
        <v>-1.0513459199842548</v>
      </c>
      <c r="P534" s="54">
        <f>(VLOOKUP($A534,'The List'!$B1:$AH665,28,FALSE)-AVERAGE('The List'!AC2:AC665))/STDEV('The List'!AC2:AC665)</f>
        <v>-0.33122160759918301</v>
      </c>
      <c r="Q534" s="54">
        <f>(VLOOKUP($A534,'The List'!$B1:$AH665,29,FALSE)-AVERAGE('The List'!AD2:AD665))/STDEV('The List'!AD2:AD665)</f>
        <v>-0.7477167685006566</v>
      </c>
      <c r="R534" s="54">
        <f>(VLOOKUP($A534,'The List'!$B1:$AH665,30,FALSE)-AVERAGE('The List'!AE2:AE665))/STDEV('The List'!AE2:AE665)</f>
        <v>-1.053059037987307</v>
      </c>
      <c r="S534" s="54">
        <f>(VLOOKUP($A534,'The List'!$B1:$AH665,31,FALSE)-AVERAGE('The List'!AF2:AF665))/STDEV('The List'!AF2:AF665)</f>
        <v>-0.57389441068000469</v>
      </c>
      <c r="T534" s="54">
        <f>(VLOOKUP($A534,'The List'!$B1:$AH665,32,FALSE)-AVERAGE('The List'!AG2:AG665))/STDEV('The List'!AG2:AG665)</f>
        <v>-0.62577078713265111</v>
      </c>
      <c r="U534" s="54">
        <f>(VLOOKUP($A534,'The List'!$B1:$AH665,33,FALSE)-AVERAGE('The List'!AH2:AH665))/STDEV('The List'!AH2:AH665)</f>
        <v>-1.2314350945148611</v>
      </c>
      <c r="V534" s="54"/>
      <c r="W534" s="64"/>
      <c r="X534" s="56"/>
      <c r="Y534" s="56"/>
      <c r="Z534" s="56"/>
      <c r="AA534" s="56"/>
      <c r="AB534" s="56"/>
      <c r="AC534" s="59"/>
      <c r="AD534" s="60"/>
      <c r="AE534" s="54"/>
    </row>
    <row r="535" spans="1:31" ht="21.25" customHeight="1" x14ac:dyDescent="0.15">
      <c r="A535" s="9" t="s">
        <v>623</v>
      </c>
      <c r="B535" s="65" t="str">
        <f>VLOOKUP(A535,'Player Data'!A1:B667,2,FALSE)</f>
        <v>STL</v>
      </c>
      <c r="C535" s="51">
        <f>((E535)*Settings!$C$12)+(F535*Settings!$C$2)+(G535*Settings!$C$3)+(H535*Settings!$C$4)+(I535*Settings!$C$5)+(K535*Settings!$C$9)+(N535*Settings!$C$6)+(J535*Settings!$C$8)+(O535*Settings!$C$7)+(P535*Settings!$C$14)+(Q535*Settings!$C$15)+(R535*Settings!$C$16)+(S535*Settings!$C$17)+(T535*Settings!$C$18)+(U535*Settings!$C$19)+(L535*Settings!$C$10)+(Settings!$C$11*M535)</f>
        <v>-4.3425372564696909</v>
      </c>
      <c r="D535" s="56">
        <f>IF(Settings!$E$12="YES",VLOOKUP(A535,'Player Data'!A1:E667,5,FALSE),82)</f>
        <v>64.185000000000002</v>
      </c>
      <c r="E535" s="54">
        <f>(VLOOKUP($A535,'The List'!$B1:$AH665,17,FALSE)-AVERAGE('The List'!R2:R665))/STDEV('The List'!R2:R665)</f>
        <v>-0.10919712442902835</v>
      </c>
      <c r="F535" s="54">
        <f>(VLOOKUP($A535,'The List'!$B1:$AH665,18,FALSE)-AVERAGE('The List'!S2:S665))/STDEV('The List'!S2:S665)</f>
        <v>-1.0990429835843902</v>
      </c>
      <c r="G535" s="54">
        <f>(VLOOKUP($A535,'The List'!$B1:$AH665,19,FALSE)-AVERAGE('The List'!T2:T665))/STDEV('The List'!T2:T665)</f>
        <v>-0.89020578271104089</v>
      </c>
      <c r="H535" s="54">
        <f>(VLOOKUP($A535,'The List'!$B1:$AH665,20,FALSE)-AVERAGE('The List'!U2:U665))/STDEV('The List'!U2:U665)</f>
        <v>-1.0524351234013833</v>
      </c>
      <c r="I535" s="54">
        <f>(VLOOKUP($A535,'The List'!$B1:$AH665,21,FALSE)-AVERAGE('The List'!V2:V665))/STDEV('The List'!V2:V665)</f>
        <v>-1.2913614631467649</v>
      </c>
      <c r="J535" s="54">
        <f>(VLOOKUP($A535,'The List'!$B1:$AH665,22,FALSE)-AVERAGE('The List'!W2:W665))/STDEV('The List'!W2:W665)</f>
        <v>-0.74180702717749258</v>
      </c>
      <c r="K535" s="54">
        <f>(VLOOKUP($A535,'The List'!$B1:$AH665,23,FALSE)-AVERAGE('The List'!X2:X665))/STDEV('The List'!X2:X665)</f>
        <v>-0.81920465392376851</v>
      </c>
      <c r="L535" s="54">
        <f>(VLOOKUP($A535,'The List'!$B1:$AH665,24,FALSE)-AVERAGE('The List'!Y2:Y665))/STDEV('The List'!Y2:Y665)</f>
        <v>-0.56143765397664813</v>
      </c>
      <c r="M535" s="54">
        <f>(VLOOKUP($A535,'The List'!$B1:$AH665,25,FALSE)-AVERAGE('The List'!Z2:Z665))/STDEV('The List'!Z2:Z665)</f>
        <v>-0.69878123638791401</v>
      </c>
      <c r="N535" s="54">
        <f>(VLOOKUP($A535,'The List'!$B1:$AH665,26,FALSE)-AVERAGE('The List'!AA2:AA665))/STDEV('The List'!AA2:AA665)</f>
        <v>0.6411694674740962</v>
      </c>
      <c r="O535" s="54">
        <f>(VLOOKUP($A535,'The List'!$B1:$AH665,27,FALSE)-AVERAGE('The List'!AB2:AB665))/STDEV('The List'!AB2:AB665)</f>
        <v>-0.30554747642268193</v>
      </c>
      <c r="P535" s="54">
        <f>(VLOOKUP($A535,'The List'!$B1:$AH665,28,FALSE)-AVERAGE('The List'!AC2:AC665))/STDEV('The List'!AC2:AC665)</f>
        <v>-0.88389184057782277</v>
      </c>
      <c r="Q535" s="54">
        <f>(VLOOKUP($A535,'The List'!$B1:$AH665,29,FALSE)-AVERAGE('The List'!AD2:AD665))/STDEV('The List'!AD2:AD665)</f>
        <v>-0.73231126918002609</v>
      </c>
      <c r="R535" s="54">
        <f>(VLOOKUP($A535,'The List'!$B1:$AH665,30,FALSE)-AVERAGE('The List'!AE2:AE665))/STDEV('The List'!AE2:AE665)</f>
        <v>-1.0938428217065632</v>
      </c>
      <c r="S535" s="54">
        <f>(VLOOKUP($A535,'The List'!$B1:$AH665,31,FALSE)-AVERAGE('The List'!AF2:AF665))/STDEV('The List'!AF2:AF665)</f>
        <v>-0.57389441068000469</v>
      </c>
      <c r="T535" s="54">
        <f>(VLOOKUP($A535,'The List'!$B1:$AH665,32,FALSE)-AVERAGE('The List'!AG2:AG665))/STDEV('The List'!AG2:AG665)</f>
        <v>-0.62577078713265111</v>
      </c>
      <c r="U535" s="54">
        <f>(VLOOKUP($A535,'The List'!$B1:$AH665,33,FALSE)-AVERAGE('The List'!AH2:AH665))/STDEV('The List'!AH2:AH665)</f>
        <v>-1.2314350945148611</v>
      </c>
      <c r="V535" s="54"/>
      <c r="W535" s="64"/>
      <c r="X535" s="56"/>
      <c r="Y535" s="56"/>
      <c r="Z535" s="56"/>
      <c r="AA535" s="56"/>
      <c r="AB535" s="56"/>
      <c r="AC535" s="59"/>
      <c r="AD535" s="60"/>
      <c r="AE535" s="54"/>
    </row>
    <row r="536" spans="1:31" ht="21.25" customHeight="1" x14ac:dyDescent="0.15">
      <c r="A536" s="9" t="s">
        <v>563</v>
      </c>
      <c r="B536" s="65" t="str">
        <f>VLOOKUP(A536,'Player Data'!A1:B667,2,FALSE)</f>
        <v>ANA</v>
      </c>
      <c r="C536" s="51">
        <f>((E536)*Settings!$C$12)+(F536*Settings!$C$2)+(G536*Settings!$C$3)+(H536*Settings!$C$4)+(I536*Settings!$C$5)+(K536*Settings!$C$9)+(N536*Settings!$C$6)+(J536*Settings!$C$8)+(O536*Settings!$C$7)+(P536*Settings!$C$14)+(Q536*Settings!$C$15)+(R536*Settings!$C$16)+(S536*Settings!$C$17)+(T536*Settings!$C$18)+(U536*Settings!$C$19)+(L536*Settings!$C$10)+(Settings!$C$11*M536)</f>
        <v>-3.0217318494349681</v>
      </c>
      <c r="D536" s="56">
        <f>IF(Settings!$E$12="YES",VLOOKUP(A536,'Player Data'!A1:E667,5,FALSE),82)</f>
        <v>81.075000000000003</v>
      </c>
      <c r="E536" s="54">
        <f>(VLOOKUP($A536,'The List'!$B1:$AH665,17,FALSE)-AVERAGE('The List'!R2:R665))/STDEV('The List'!R2:R665)</f>
        <v>0.20628521199312777</v>
      </c>
      <c r="F536" s="54">
        <f>(VLOOKUP($A536,'The List'!$B1:$AH665,18,FALSE)-AVERAGE('The List'!S2:S665))/STDEV('The List'!S2:S665)</f>
        <v>-1.065997460858551</v>
      </c>
      <c r="G536" s="54">
        <f>(VLOOKUP($A536,'The List'!$B1:$AH665,19,FALSE)-AVERAGE('The List'!T2:T665))/STDEV('The List'!T2:T665)</f>
        <v>-0.66636485902467224</v>
      </c>
      <c r="H536" s="54">
        <f>(VLOOKUP($A536,'The List'!$B1:$AH665,20,FALSE)-AVERAGE('The List'!U2:U665))/STDEV('The List'!U2:U665)</f>
        <v>-0.89839656278048974</v>
      </c>
      <c r="I536" s="54">
        <f>(VLOOKUP($A536,'The List'!$B1:$AH665,21,FALSE)-AVERAGE('The List'!V2:V665))/STDEV('The List'!V2:V665)</f>
        <v>-1.0466612806888362</v>
      </c>
      <c r="J536" s="54">
        <f>(VLOOKUP($A536,'The List'!$B1:$AH665,22,FALSE)-AVERAGE('The List'!W2:W665))/STDEV('The List'!W2:W665)</f>
        <v>-0.73646923968246136</v>
      </c>
      <c r="K536" s="54">
        <f>(VLOOKUP($A536,'The List'!$B1:$AH665,23,FALSE)-AVERAGE('The List'!X2:X665))/STDEV('The List'!X2:X665)</f>
        <v>-0.80418229918288842</v>
      </c>
      <c r="L536" s="54">
        <f>(VLOOKUP($A536,'The List'!$B1:$AH665,24,FALSE)-AVERAGE('The List'!Y2:Y665))/STDEV('The List'!Y2:Y665)</f>
        <v>-0.53906853614659733</v>
      </c>
      <c r="M536" s="54">
        <f>(VLOOKUP($A536,'The List'!$B1:$AH665,25,FALSE)-AVERAGE('The List'!Z2:Z665))/STDEV('The List'!Z2:Z665)</f>
        <v>-0.13511163501985671</v>
      </c>
      <c r="N536" s="54">
        <f>(VLOOKUP($A536,'The List'!$B1:$AH665,26,FALSE)-AVERAGE('The List'!AA2:AA665))/STDEV('The List'!AA2:AA665)</f>
        <v>0.89447125676194161</v>
      </c>
      <c r="O536" s="54">
        <f>(VLOOKUP($A536,'The List'!$B1:$AH665,27,FALSE)-AVERAGE('The List'!AB2:AB665))/STDEV('The List'!AB2:AB665)</f>
        <v>-3.6501380433621486E-2</v>
      </c>
      <c r="P536" s="54">
        <f>(VLOOKUP($A536,'The List'!$B1:$AH665,28,FALSE)-AVERAGE('The List'!AC2:AC665))/STDEV('The List'!AC2:AC665)</f>
        <v>-0.33299720644196246</v>
      </c>
      <c r="Q536" s="54">
        <f>(VLOOKUP($A536,'The List'!$B1:$AH665,29,FALSE)-AVERAGE('The List'!AD2:AD665))/STDEV('The List'!AD2:AD665)</f>
        <v>-0.7865700539477064</v>
      </c>
      <c r="R536" s="54">
        <f>(VLOOKUP($A536,'The List'!$B1:$AH665,30,FALSE)-AVERAGE('The List'!AE2:AE665))/STDEV('The List'!AE2:AE665)</f>
        <v>-1.074888592953148</v>
      </c>
      <c r="S536" s="54">
        <f>(VLOOKUP($A536,'The List'!$B1:$AH665,31,FALSE)-AVERAGE('The List'!AF2:AF665))/STDEV('The List'!AF2:AF665)</f>
        <v>-0.57389441068000469</v>
      </c>
      <c r="T536" s="54">
        <f>(VLOOKUP($A536,'The List'!$B1:$AH665,32,FALSE)-AVERAGE('The List'!AG2:AG665))/STDEV('The List'!AG2:AG665)</f>
        <v>-0.62577078713265111</v>
      </c>
      <c r="U536" s="54">
        <f>(VLOOKUP($A536,'The List'!$B1:$AH665,33,FALSE)-AVERAGE('The List'!AH2:AH665))/STDEV('The List'!AH2:AH665)</f>
        <v>-1.2314350945148611</v>
      </c>
      <c r="V536" s="54"/>
      <c r="W536" s="64"/>
      <c r="X536" s="56"/>
      <c r="Y536" s="56"/>
      <c r="Z536" s="56"/>
      <c r="AA536" s="56"/>
      <c r="AB536" s="56"/>
      <c r="AC536" s="59"/>
      <c r="AD536" s="60"/>
      <c r="AE536" s="54"/>
    </row>
    <row r="537" spans="1:31" ht="21.25" customHeight="1" x14ac:dyDescent="0.15">
      <c r="A537" s="9" t="s">
        <v>781</v>
      </c>
      <c r="B537" s="65" t="str">
        <f>VLOOKUP(A537,'Player Data'!A1:B667,2,FALSE)</f>
        <v>BOS</v>
      </c>
      <c r="C537" s="51">
        <f>((E537)*Settings!$C$12)+(F537*Settings!$C$2)+(G537*Settings!$C$3)+(H537*Settings!$C$4)+(I537*Settings!$C$5)+(K537*Settings!$C$9)+(N537*Settings!$C$6)+(J537*Settings!$C$8)+(O537*Settings!$C$7)+(P537*Settings!$C$14)+(Q537*Settings!$C$15)+(R537*Settings!$C$16)+(S537*Settings!$C$17)+(T537*Settings!$C$18)+(U537*Settings!$C$19)+(L537*Settings!$C$10)+(Settings!$C$11*M537)</f>
        <v>-4.3965794956576705</v>
      </c>
      <c r="D537" s="56">
        <f>IF(Settings!$E$12="YES",VLOOKUP(A537,'Player Data'!A1:E667,5,FALSE),82)</f>
        <v>69.58</v>
      </c>
      <c r="E537" s="54">
        <f>(VLOOKUP($A537,'The List'!$B1:$AH665,17,FALSE)-AVERAGE('The List'!R2:R665))/STDEV('The List'!R2:R665)</f>
        <v>-1.8212818974906815</v>
      </c>
      <c r="F537" s="54">
        <f>(VLOOKUP($A537,'The List'!$B1:$AH665,18,FALSE)-AVERAGE('The List'!S2:S665))/STDEV('The List'!S2:S665)</f>
        <v>-0.52831928396560068</v>
      </c>
      <c r="G537" s="54">
        <f>(VLOOKUP($A537,'The List'!$B1:$AH665,19,FALSE)-AVERAGE('The List'!T2:T665))/STDEV('The List'!T2:T665)</f>
        <v>-1.233187854864118</v>
      </c>
      <c r="H537" s="54">
        <f>(VLOOKUP($A537,'The List'!$B1:$AH665,20,FALSE)-AVERAGE('The List'!U2:U665))/STDEV('The List'!U2:U665)</f>
        <v>-1.0060252252917041</v>
      </c>
      <c r="I537" s="54">
        <f>(VLOOKUP($A537,'The List'!$B1:$AH665,21,FALSE)-AVERAGE('The List'!V2:V665))/STDEV('The List'!V2:V665)</f>
        <v>-1.2806227757427249</v>
      </c>
      <c r="J537" s="54">
        <f>(VLOOKUP($A537,'The List'!$B1:$AH665,22,FALSE)-AVERAGE('The List'!W2:W665))/STDEV('The List'!W2:W665)</f>
        <v>-0.74146497675142253</v>
      </c>
      <c r="K537" s="54">
        <f>(VLOOKUP($A537,'The List'!$B1:$AH665,23,FALSE)-AVERAGE('The List'!X2:X665))/STDEV('The List'!X2:X665)</f>
        <v>-0.825284470669292</v>
      </c>
      <c r="L537" s="54">
        <f>(VLOOKUP($A537,'The List'!$B1:$AH665,24,FALSE)-AVERAGE('The List'!Y2:Y665))/STDEV('The List'!Y2:Y665)</f>
        <v>-0.26065416771904593</v>
      </c>
      <c r="M537" s="54">
        <f>(VLOOKUP($A537,'The List'!$B1:$AH665,25,FALSE)-AVERAGE('The List'!Z2:Z665))/STDEV('The List'!Z2:Z665)</f>
        <v>-0.42150828667790952</v>
      </c>
      <c r="N537" s="54">
        <f>(VLOOKUP($A537,'The List'!$B1:$AH665,26,FALSE)-AVERAGE('The List'!AA2:AA665))/STDEV('The List'!AA2:AA665)</f>
        <v>-0.61592056860275846</v>
      </c>
      <c r="O537" s="54">
        <f>(VLOOKUP($A537,'The List'!$B1:$AH665,27,FALSE)-AVERAGE('The List'!AB2:AB665))/STDEV('The List'!AB2:AB665)</f>
        <v>0.82887563559118249</v>
      </c>
      <c r="P537" s="54">
        <f>(VLOOKUP($A537,'The List'!$B1:$AH665,28,FALSE)-AVERAGE('The List'!AC2:AC665))/STDEV('The List'!AC2:AC665)</f>
        <v>8.6755458186824091E-2</v>
      </c>
      <c r="Q537" s="54">
        <f>(VLOOKUP($A537,'The List'!$B1:$AH665,29,FALSE)-AVERAGE('The List'!AD2:AD665))/STDEV('The List'!AD2:AD665)</f>
        <v>-0.61403158134946223</v>
      </c>
      <c r="R537" s="54">
        <f>(VLOOKUP($A537,'The List'!$B1:$AH665,30,FALSE)-AVERAGE('The List'!AE2:AE665))/STDEV('The List'!AE2:AE665)</f>
        <v>-0.47007274037696328</v>
      </c>
      <c r="S537" s="54">
        <f>(VLOOKUP($A537,'The List'!$B1:$AH665,31,FALSE)-AVERAGE('The List'!AF2:AF665))/STDEV('The List'!AF2:AF665)</f>
        <v>1.1231107239019285</v>
      </c>
      <c r="T537" s="54">
        <f>(VLOOKUP($A537,'The List'!$B1:$AH665,32,FALSE)-AVERAGE('The List'!AG2:AG665))/STDEV('The List'!AG2:AG665)</f>
        <v>0.87509878349996062</v>
      </c>
      <c r="U537" s="54">
        <f>(VLOOKUP($A537,'The List'!$B1:$AH665,33,FALSE)-AVERAGE('The List'!AH2:AH665))/STDEV('The List'!AH2:AH665)</f>
        <v>1.2436148723449829</v>
      </c>
      <c r="V537" s="54"/>
      <c r="W537" s="56"/>
      <c r="X537" s="54"/>
      <c r="Y537" s="54"/>
      <c r="Z537" s="54"/>
      <c r="AA537" s="54"/>
      <c r="AB537" s="54"/>
      <c r="AC537" s="54"/>
      <c r="AD537" s="54"/>
      <c r="AE537" s="54"/>
    </row>
    <row r="538" spans="1:31" ht="21.25" customHeight="1" x14ac:dyDescent="0.15">
      <c r="A538" s="9" t="s">
        <v>476</v>
      </c>
      <c r="B538" s="65" t="str">
        <f>VLOOKUP(A538,'Player Data'!A1:B667,2,FALSE)</f>
        <v>BOS</v>
      </c>
      <c r="C538" s="51">
        <f>((E538)*Settings!$C$12)+(F538*Settings!$C$2)+(G538*Settings!$C$3)+(H538*Settings!$C$4)+(I538*Settings!$C$5)+(K538*Settings!$C$9)+(N538*Settings!$C$6)+(J538*Settings!$C$8)+(O538*Settings!$C$7)+(P538*Settings!$C$14)+(Q538*Settings!$C$15)+(R538*Settings!$C$16)+(S538*Settings!$C$17)+(T538*Settings!$C$18)+(U538*Settings!$C$19)+(L538*Settings!$C$10)+(Settings!$C$11*M538)</f>
        <v>-1.0147676664102911</v>
      </c>
      <c r="D538" s="56">
        <f>IF(Settings!$E$12="YES",VLOOKUP(A538,'Player Data'!A1:E667,5,FALSE),82)</f>
        <v>79.702500000000001</v>
      </c>
      <c r="E538" s="54">
        <f>(VLOOKUP($A538,'The List'!$B1:$AH665,17,FALSE)-AVERAGE('The List'!R2:R665))/STDEV('The List'!R2:R665)</f>
        <v>0.69139623920247739</v>
      </c>
      <c r="F538" s="54">
        <f>(VLOOKUP($A538,'The List'!$B1:$AH665,18,FALSE)-AVERAGE('The List'!S2:S665))/STDEV('The List'!S2:S665)</f>
        <v>-0.92004670710935599</v>
      </c>
      <c r="G538" s="54">
        <f>(VLOOKUP($A538,'The List'!$B1:$AH665,19,FALSE)-AVERAGE('The List'!T2:T665))/STDEV('The List'!T2:T665)</f>
        <v>-0.79974546061125062</v>
      </c>
      <c r="H538" s="54">
        <f>(VLOOKUP($A538,'The List'!$B1:$AH665,20,FALSE)-AVERAGE('The List'!U2:U665))/STDEV('The List'!U2:U665)</f>
        <v>-0.91489186093021435</v>
      </c>
      <c r="I538" s="54">
        <f>(VLOOKUP($A538,'The List'!$B1:$AH665,21,FALSE)-AVERAGE('The List'!V2:V665))/STDEV('The List'!V2:V665)</f>
        <v>-0.66932447215015034</v>
      </c>
      <c r="J538" s="54">
        <f>(VLOOKUP($A538,'The List'!$B1:$AH665,22,FALSE)-AVERAGE('The List'!W2:W665))/STDEV('The List'!W2:W665)</f>
        <v>-0.74068484037081106</v>
      </c>
      <c r="K538" s="54">
        <f>(VLOOKUP($A538,'The List'!$B1:$AH665,23,FALSE)-AVERAGE('The List'!X2:X665))/STDEV('The List'!X2:X665)</f>
        <v>-0.81307161075562029</v>
      </c>
      <c r="L538" s="54">
        <f>(VLOOKUP($A538,'The List'!$B1:$AH665,24,FALSE)-AVERAGE('The List'!Y2:Y665))/STDEV('The List'!Y2:Y665)</f>
        <v>-0.29563214654760844</v>
      </c>
      <c r="M538" s="54">
        <f>(VLOOKUP($A538,'The List'!$B1:$AH665,25,FALSE)-AVERAGE('The List'!Z2:Z665))/STDEV('The List'!Z2:Z665)</f>
        <v>-0.49151488453295683</v>
      </c>
      <c r="N538" s="54">
        <f>(VLOOKUP($A538,'The List'!$B1:$AH665,26,FALSE)-AVERAGE('The List'!AA2:AA665))/STDEV('The List'!AA2:AA665)</f>
        <v>1.6102135529818873</v>
      </c>
      <c r="O538" s="54">
        <f>(VLOOKUP($A538,'The List'!$B1:$AH665,27,FALSE)-AVERAGE('The List'!AB2:AB665))/STDEV('The List'!AB2:AB665)</f>
        <v>1.0575389904124213</v>
      </c>
      <c r="P538" s="54">
        <f>(VLOOKUP($A538,'The List'!$B1:$AH665,28,FALSE)-AVERAGE('The List'!AC2:AC665))/STDEV('The List'!AC2:AC665)</f>
        <v>0.57720703123419859</v>
      </c>
      <c r="Q538" s="54">
        <f>(VLOOKUP($A538,'The List'!$B1:$AH665,29,FALSE)-AVERAGE('The List'!AD2:AD665))/STDEV('The List'!AD2:AD665)</f>
        <v>0.45000787344746412</v>
      </c>
      <c r="R538" s="54">
        <f>(VLOOKUP($A538,'The List'!$B1:$AH665,30,FALSE)-AVERAGE('The List'!AE2:AE665))/STDEV('The List'!AE2:AE665)</f>
        <v>-0.86169576562976324</v>
      </c>
      <c r="S538" s="54">
        <f>(VLOOKUP($A538,'The List'!$B1:$AH665,31,FALSE)-AVERAGE('The List'!AF2:AF665))/STDEV('The List'!AF2:AF665)</f>
        <v>-0.57389441068000469</v>
      </c>
      <c r="T538" s="54">
        <f>(VLOOKUP($A538,'The List'!$B1:$AH665,32,FALSE)-AVERAGE('The List'!AG2:AG665))/STDEV('The List'!AG2:AG665)</f>
        <v>-0.62577078713265111</v>
      </c>
      <c r="U538" s="54">
        <f>(VLOOKUP($A538,'The List'!$B1:$AH665,33,FALSE)-AVERAGE('The List'!AH2:AH665))/STDEV('The List'!AH2:AH665)</f>
        <v>-1.2314350945148611</v>
      </c>
      <c r="V538" s="54"/>
      <c r="W538" s="64"/>
      <c r="X538" s="56"/>
      <c r="Y538" s="56"/>
      <c r="Z538" s="56"/>
      <c r="AA538" s="56"/>
      <c r="AB538" s="56"/>
      <c r="AC538" s="59"/>
      <c r="AD538" s="60"/>
      <c r="AE538" s="54"/>
    </row>
    <row r="539" spans="1:31" ht="21.25" customHeight="1" x14ac:dyDescent="0.15">
      <c r="A539" s="9" t="s">
        <v>751</v>
      </c>
      <c r="B539" s="65" t="str">
        <f>VLOOKUP(A539,'Player Data'!A1:B667,2,FALSE)</f>
        <v>BUF</v>
      </c>
      <c r="C539" s="51">
        <f>((E539)*Settings!$C$12)+(F539*Settings!$C$2)+(G539*Settings!$C$3)+(H539*Settings!$C$4)+(I539*Settings!$C$5)+(K539*Settings!$C$9)+(N539*Settings!$C$6)+(J539*Settings!$C$8)+(O539*Settings!$C$7)+(P539*Settings!$C$14)+(Q539*Settings!$C$15)+(R539*Settings!$C$16)+(S539*Settings!$C$17)+(T539*Settings!$C$18)+(U539*Settings!$C$19)+(L539*Settings!$C$10)+(Settings!$C$11*M539)</f>
        <v>-4.947657465572318</v>
      </c>
      <c r="D539" s="56">
        <f>IF(Settings!$E$12="YES",VLOOKUP(A539,'Player Data'!A1:E667,5,FALSE),82)</f>
        <v>73.337500000000006</v>
      </c>
      <c r="E539" s="54">
        <f>(VLOOKUP($A539,'The List'!$B1:$AH665,17,FALSE)-AVERAGE('The List'!R2:R665))/STDEV('The List'!R2:R665)</f>
        <v>-1.642792842335121</v>
      </c>
      <c r="F539" s="54">
        <f>(VLOOKUP($A539,'The List'!$B1:$AH665,18,FALSE)-AVERAGE('The List'!S2:S665))/STDEV('The List'!S2:S665)</f>
        <v>-0.75397998678263967</v>
      </c>
      <c r="G539" s="54">
        <f>(VLOOKUP($A539,'The List'!$B1:$AH665,19,FALSE)-AVERAGE('The List'!T2:T665))/STDEV('The List'!T2:T665)</f>
        <v>-1.017802197361998</v>
      </c>
      <c r="H539" s="54">
        <f>(VLOOKUP($A539,'The List'!$B1:$AH665,20,FALSE)-AVERAGE('The List'!U2:U665))/STDEV('The List'!U2:U665)</f>
        <v>-0.97483213719814388</v>
      </c>
      <c r="I539" s="54">
        <f>(VLOOKUP($A539,'The List'!$B1:$AH665,21,FALSE)-AVERAGE('The List'!V2:V665))/STDEV('The List'!V2:V665)</f>
        <v>-0.98183780958243638</v>
      </c>
      <c r="J539" s="54">
        <f>(VLOOKUP($A539,'The List'!$B1:$AH665,22,FALSE)-AVERAGE('The List'!W2:W665))/STDEV('The List'!W2:W665)</f>
        <v>-0.73252725247253858</v>
      </c>
      <c r="K539" s="54">
        <f>(VLOOKUP($A539,'The List'!$B1:$AH665,23,FALSE)-AVERAGE('The List'!X2:X665))/STDEV('The List'!X2:X665)</f>
        <v>-0.81735440777258161</v>
      </c>
      <c r="L539" s="54">
        <f>(VLOOKUP($A539,'The List'!$B1:$AH665,24,FALSE)-AVERAGE('The List'!Y2:Y665))/STDEV('The List'!Y2:Y665)</f>
        <v>-0.47914407601041903</v>
      </c>
      <c r="M539" s="54">
        <f>(VLOOKUP($A539,'The List'!$B1:$AH665,25,FALSE)-AVERAGE('The List'!Z2:Z665))/STDEV('The List'!Z2:Z665)</f>
        <v>-0.64870113718231615</v>
      </c>
      <c r="N539" s="54">
        <f>(VLOOKUP($A539,'The List'!$B1:$AH665,26,FALSE)-AVERAGE('The List'!AA2:AA665))/STDEV('The List'!AA2:AA665)</f>
        <v>-0.93255312500253507</v>
      </c>
      <c r="O539" s="54">
        <f>(VLOOKUP($A539,'The List'!$B1:$AH665,27,FALSE)-AVERAGE('The List'!AB2:AB665))/STDEV('The List'!AB2:AB665)</f>
        <v>1.4065881609636384</v>
      </c>
      <c r="P539" s="54">
        <f>(VLOOKUP($A539,'The List'!$B1:$AH665,28,FALSE)-AVERAGE('The List'!AC2:AC665))/STDEV('The List'!AC2:AC665)</f>
        <v>-0.44412993907012771</v>
      </c>
      <c r="Q539" s="54">
        <f>(VLOOKUP($A539,'The List'!$B1:$AH665,29,FALSE)-AVERAGE('The List'!AD2:AD665))/STDEV('The List'!AD2:AD665)</f>
        <v>0.1023952004643736</v>
      </c>
      <c r="R539" s="54">
        <f>(VLOOKUP($A539,'The List'!$B1:$AH665,30,FALSE)-AVERAGE('The List'!AE2:AE665))/STDEV('The List'!AE2:AE665)</f>
        <v>-0.74885358157773596</v>
      </c>
      <c r="S539" s="54">
        <f>(VLOOKUP($A539,'The List'!$B1:$AH665,31,FALSE)-AVERAGE('The List'!AF2:AF665))/STDEV('The List'!AF2:AF665)</f>
        <v>-0.54346349026292473</v>
      </c>
      <c r="T539" s="54">
        <f>(VLOOKUP($A539,'The List'!$B1:$AH665,32,FALSE)-AVERAGE('The List'!AG2:AG665))/STDEV('The List'!AG2:AG665)</f>
        <v>-0.56308443309776401</v>
      </c>
      <c r="U539" s="54">
        <f>(VLOOKUP($A539,'The List'!$B1:$AH665,33,FALSE)-AVERAGE('The List'!AH2:AH665))/STDEV('The List'!AH2:AH665)</f>
        <v>0.31215653539936139</v>
      </c>
      <c r="V539" s="54"/>
      <c r="W539" s="64"/>
      <c r="X539" s="56"/>
      <c r="Y539" s="56"/>
      <c r="Z539" s="56"/>
      <c r="AA539" s="56"/>
      <c r="AB539" s="56"/>
      <c r="AC539" s="59"/>
      <c r="AD539" s="60"/>
      <c r="AE539" s="54"/>
    </row>
    <row r="540" spans="1:31" ht="21.25" customHeight="1" x14ac:dyDescent="0.15">
      <c r="A540" s="9" t="s">
        <v>542</v>
      </c>
      <c r="B540" s="65" t="str">
        <f>VLOOKUP(A540,'Player Data'!A1:B667,2,FALSE)</f>
        <v>OTT</v>
      </c>
      <c r="C540" s="51">
        <f>((E540)*Settings!$C$12)+(F540*Settings!$C$2)+(G540*Settings!$C$3)+(H540*Settings!$C$4)+(I540*Settings!$C$5)+(K540*Settings!$C$9)+(N540*Settings!$C$6)+(J540*Settings!$C$8)+(O540*Settings!$C$7)+(P540*Settings!$C$14)+(Q540*Settings!$C$15)+(R540*Settings!$C$16)+(S540*Settings!$C$17)+(T540*Settings!$C$18)+(U540*Settings!$C$19)+(L540*Settings!$C$10)+(Settings!$C$11*M540)</f>
        <v>-2.8409316834660405</v>
      </c>
      <c r="D540" s="56">
        <f>IF(Settings!$E$12="YES",VLOOKUP(A540,'Player Data'!A1:E667,5,FALSE),82)</f>
        <v>70.417500000000004</v>
      </c>
      <c r="E540" s="54">
        <f>(VLOOKUP($A540,'The List'!$B1:$AH665,17,FALSE)-AVERAGE('The List'!R2:R665))/STDEV('The List'!R2:R665)</f>
        <v>-1.861950001662608E-3</v>
      </c>
      <c r="F540" s="54">
        <f>(VLOOKUP($A540,'The List'!$B1:$AH665,18,FALSE)-AVERAGE('The List'!S2:S665))/STDEV('The List'!S2:S665)</f>
        <v>-0.98963295886863678</v>
      </c>
      <c r="G540" s="54">
        <f>(VLOOKUP($A540,'The List'!$B1:$AH665,19,FALSE)-AVERAGE('The List'!T2:T665))/STDEV('The List'!T2:T665)</f>
        <v>-0.89116402749556944</v>
      </c>
      <c r="H540" s="54">
        <f>(VLOOKUP($A540,'The List'!$B1:$AH665,20,FALSE)-AVERAGE('The List'!U2:U665))/STDEV('The List'!U2:U665)</f>
        <v>-1.0032981903836289</v>
      </c>
      <c r="I540" s="54">
        <f>(VLOOKUP($A540,'The List'!$B1:$AH665,21,FALSE)-AVERAGE('The List'!V2:V665))/STDEV('The List'!V2:V665)</f>
        <v>-1.18793794522477</v>
      </c>
      <c r="J540" s="54">
        <f>(VLOOKUP($A540,'The List'!$B1:$AH665,22,FALSE)-AVERAGE('The List'!W2:W665))/STDEV('The List'!W2:W665)</f>
        <v>-0.73953318948744662</v>
      </c>
      <c r="K540" s="54">
        <f>(VLOOKUP($A540,'The List'!$B1:$AH665,23,FALSE)-AVERAGE('The List'!X2:X665))/STDEV('The List'!X2:X665)</f>
        <v>-0.81357881904316542</v>
      </c>
      <c r="L540" s="54">
        <f>(VLOOKUP($A540,'The List'!$B1:$AH665,24,FALSE)-AVERAGE('The List'!Y2:Y665))/STDEV('The List'!Y2:Y665)</f>
        <v>-0.51959489087379795</v>
      </c>
      <c r="M540" s="54">
        <f>(VLOOKUP($A540,'The List'!$B1:$AH665,25,FALSE)-AVERAGE('The List'!Z2:Z665))/STDEV('The List'!Z2:Z665)</f>
        <v>0.10951349263602478</v>
      </c>
      <c r="N540" s="54">
        <f>(VLOOKUP($A540,'The List'!$B1:$AH665,26,FALSE)-AVERAGE('The List'!AA2:AA665))/STDEV('The List'!AA2:AA665)</f>
        <v>1.698540550008325</v>
      </c>
      <c r="O540" s="54">
        <f>(VLOOKUP($A540,'The List'!$B1:$AH665,27,FALSE)-AVERAGE('The List'!AB2:AB665))/STDEV('The List'!AB2:AB665)</f>
        <v>-0.34858805377143365</v>
      </c>
      <c r="P540" s="54">
        <f>(VLOOKUP($A540,'The List'!$B1:$AH665,28,FALSE)-AVERAGE('The List'!AC2:AC665))/STDEV('The List'!AC2:AC665)</f>
        <v>-0.65715848284222378</v>
      </c>
      <c r="Q540" s="54">
        <f>(VLOOKUP($A540,'The List'!$B1:$AH665,29,FALSE)-AVERAGE('The List'!AD2:AD665))/STDEV('The List'!AD2:AD665)</f>
        <v>-0.24787625388769574</v>
      </c>
      <c r="R540" s="54">
        <f>(VLOOKUP($A540,'The List'!$B1:$AH665,30,FALSE)-AVERAGE('The List'!AE2:AE665))/STDEV('The List'!AE2:AE665)</f>
        <v>-0.93234363721086611</v>
      </c>
      <c r="S540" s="54">
        <f>(VLOOKUP($A540,'The List'!$B1:$AH665,31,FALSE)-AVERAGE('The List'!AF2:AF665))/STDEV('The List'!AF2:AF665)</f>
        <v>-0.57389441068000469</v>
      </c>
      <c r="T540" s="54">
        <f>(VLOOKUP($A540,'The List'!$B1:$AH665,32,FALSE)-AVERAGE('The List'!AG2:AG665))/STDEV('The List'!AG2:AG665)</f>
        <v>-0.62577078713265111</v>
      </c>
      <c r="U540" s="54">
        <f>(VLOOKUP($A540,'The List'!$B1:$AH665,33,FALSE)-AVERAGE('The List'!AH2:AH665))/STDEV('The List'!AH2:AH665)</f>
        <v>-1.2314350945148611</v>
      </c>
      <c r="V540" s="54"/>
      <c r="W540" s="64"/>
      <c r="X540" s="56"/>
      <c r="Y540" s="56"/>
      <c r="Z540" s="56"/>
      <c r="AA540" s="56"/>
      <c r="AB540" s="56"/>
      <c r="AC540" s="59"/>
      <c r="AD540" s="60"/>
      <c r="AE540" s="54"/>
    </row>
    <row r="541" spans="1:31" ht="21.25" customHeight="1" x14ac:dyDescent="0.15">
      <c r="A541" s="9" t="s">
        <v>540</v>
      </c>
      <c r="B541" s="65" t="str">
        <f>VLOOKUP(A541,'Player Data'!A1:B667,2,FALSE)</f>
        <v>EDM</v>
      </c>
      <c r="C541" s="51">
        <f>((E541)*Settings!$C$12)+(F541*Settings!$C$2)+(G541*Settings!$C$3)+(H541*Settings!$C$4)+(I541*Settings!$C$5)+(K541*Settings!$C$9)+(N541*Settings!$C$6)+(J541*Settings!$C$8)+(O541*Settings!$C$7)+(P541*Settings!$C$14)+(Q541*Settings!$C$15)+(R541*Settings!$C$16)+(S541*Settings!$C$17)+(T541*Settings!$C$18)+(U541*Settings!$C$19)+(L541*Settings!$C$10)+(Settings!$C$11*M541)</f>
        <v>-1.1715038381839893</v>
      </c>
      <c r="D541" s="56">
        <f>IF(Settings!$E$12="YES",VLOOKUP(A541,'Player Data'!A1:E667,5,FALSE),82)</f>
        <v>81.23</v>
      </c>
      <c r="E541" s="54">
        <f>(VLOOKUP($A541,'The List'!$B1:$AH665,17,FALSE)-AVERAGE('The List'!R2:R665))/STDEV('The List'!R2:R665)</f>
        <v>-0.27648442303953863</v>
      </c>
      <c r="F541" s="54">
        <f>(VLOOKUP($A541,'The List'!$B1:$AH665,18,FALSE)-AVERAGE('The List'!S2:S665))/STDEV('The List'!S2:S665)</f>
        <v>-1.0235497511997569</v>
      </c>
      <c r="G541" s="54">
        <f>(VLOOKUP($A541,'The List'!$B1:$AH665,19,FALSE)-AVERAGE('The List'!T2:T665))/STDEV('The List'!T2:T665)</f>
        <v>-0.7088719853476656</v>
      </c>
      <c r="H541" s="54">
        <f>(VLOOKUP($A541,'The List'!$B1:$AH665,20,FALSE)-AVERAGE('The List'!U2:U665))/STDEV('The List'!U2:U665)</f>
        <v>-0.90550137658109164</v>
      </c>
      <c r="I541" s="54">
        <f>(VLOOKUP($A541,'The List'!$B1:$AH665,21,FALSE)-AVERAGE('The List'!V2:V665))/STDEV('The List'!V2:V665)</f>
        <v>-0.68229898146083778</v>
      </c>
      <c r="J541" s="54">
        <f>(VLOOKUP($A541,'The List'!$B1:$AH665,22,FALSE)-AVERAGE('The List'!W2:W665))/STDEV('The List'!W2:W665)</f>
        <v>-0.74105086861627112</v>
      </c>
      <c r="K541" s="54">
        <f>(VLOOKUP($A541,'The List'!$B1:$AH665,23,FALSE)-AVERAGE('The List'!X2:X665))/STDEV('The List'!X2:X665)</f>
        <v>-0.8109176301182216</v>
      </c>
      <c r="L541" s="54">
        <f>(VLOOKUP($A541,'The List'!$B1:$AH665,24,FALSE)-AVERAGE('The List'!Y2:Y665))/STDEV('The List'!Y2:Y665)</f>
        <v>-0.5384212707896382</v>
      </c>
      <c r="M541" s="54">
        <f>(VLOOKUP($A541,'The List'!$B1:$AH665,25,FALSE)-AVERAGE('The List'!Z2:Z665))/STDEV('The List'!Z2:Z665)</f>
        <v>9.8966996147493491E-2</v>
      </c>
      <c r="N541" s="54">
        <f>(VLOOKUP($A541,'The List'!$B1:$AH665,26,FALSE)-AVERAGE('The List'!AA2:AA665))/STDEV('The List'!AA2:AA665)</f>
        <v>0.6714241628410258</v>
      </c>
      <c r="O541" s="54">
        <f>(VLOOKUP($A541,'The List'!$B1:$AH665,27,FALSE)-AVERAGE('The List'!AB2:AB665))/STDEV('The List'!AB2:AB665)</f>
        <v>-3.7247990943014542E-3</v>
      </c>
      <c r="P541" s="54">
        <f>(VLOOKUP($A541,'The List'!$B1:$AH665,28,FALSE)-AVERAGE('The List'!AC2:AC665))/STDEV('The List'!AC2:AC665)</f>
        <v>1.382710347101467</v>
      </c>
      <c r="Q541" s="54">
        <f>(VLOOKUP($A541,'The List'!$B1:$AH665,29,FALSE)-AVERAGE('The List'!AD2:AD665))/STDEV('The List'!AD2:AD665)</f>
        <v>0.22663304788055247</v>
      </c>
      <c r="R541" s="54">
        <f>(VLOOKUP($A541,'The List'!$B1:$AH665,30,FALSE)-AVERAGE('The List'!AE2:AE665))/STDEV('The List'!AE2:AE665)</f>
        <v>-0.95379091050906861</v>
      </c>
      <c r="S541" s="54">
        <f>(VLOOKUP($A541,'The List'!$B1:$AH665,31,FALSE)-AVERAGE('The List'!AF2:AF665))/STDEV('The List'!AF2:AF665)</f>
        <v>-0.57389441068000469</v>
      </c>
      <c r="T541" s="54">
        <f>(VLOOKUP($A541,'The List'!$B1:$AH665,32,FALSE)-AVERAGE('The List'!AG2:AG665))/STDEV('The List'!AG2:AG665)</f>
        <v>-0.62577078713265111</v>
      </c>
      <c r="U541" s="54">
        <f>(VLOOKUP($A541,'The List'!$B1:$AH665,33,FALSE)-AVERAGE('The List'!AH2:AH665))/STDEV('The List'!AH2:AH665)</f>
        <v>-1.2314350945148611</v>
      </c>
      <c r="V541" s="54"/>
      <c r="W541" s="56"/>
      <c r="X541" s="54"/>
      <c r="Y541" s="54"/>
      <c r="Z541" s="54"/>
      <c r="AA541" s="54"/>
      <c r="AB541" s="54"/>
      <c r="AC541" s="54"/>
      <c r="AD541" s="54"/>
      <c r="AE541" s="54"/>
    </row>
    <row r="542" spans="1:31" ht="21.25" customHeight="1" x14ac:dyDescent="0.15">
      <c r="A542" s="9" t="s">
        <v>513</v>
      </c>
      <c r="B542" s="65" t="str">
        <f>VLOOKUP(A542,'Player Data'!A1:B667,2,FALSE)</f>
        <v>N.J</v>
      </c>
      <c r="C542" s="51">
        <f>((E542)*Settings!$C$12)+(F542*Settings!$C$2)+(G542*Settings!$C$3)+(H542*Settings!$C$4)+(I542*Settings!$C$5)+(K542*Settings!$C$9)+(N542*Settings!$C$6)+(J542*Settings!$C$8)+(O542*Settings!$C$7)+(P542*Settings!$C$14)+(Q542*Settings!$C$15)+(R542*Settings!$C$16)+(S542*Settings!$C$17)+(T542*Settings!$C$18)+(U542*Settings!$C$19)+(L542*Settings!$C$10)+(Settings!$C$11*M542)</f>
        <v>-1.7074969239090068</v>
      </c>
      <c r="D542" s="56">
        <f>IF(Settings!$E$12="YES",VLOOKUP(A542,'Player Data'!A1:E667,5,FALSE),82)</f>
        <v>76.117500000000007</v>
      </c>
      <c r="E542" s="54">
        <f>(VLOOKUP($A542,'The List'!$B1:$AH665,17,FALSE)-AVERAGE('The List'!R2:R665))/STDEV('The List'!R2:R665)</f>
        <v>0.4787370154629304</v>
      </c>
      <c r="F542" s="54">
        <f>(VLOOKUP($A542,'The List'!$B1:$AH665,18,FALSE)-AVERAGE('The List'!S2:S665))/STDEV('The List'!S2:S665)</f>
        <v>-1.1211001624642951</v>
      </c>
      <c r="G542" s="54">
        <f>(VLOOKUP($A542,'The List'!$B1:$AH665,19,FALSE)-AVERAGE('The List'!T2:T665))/STDEV('The List'!T2:T665)</f>
        <v>-0.71761419709403584</v>
      </c>
      <c r="H542" s="54">
        <f>(VLOOKUP($A542,'The List'!$B1:$AH665,20,FALSE)-AVERAGE('The List'!U2:U665))/STDEV('The List'!U2:U665)</f>
        <v>-0.95527208049665469</v>
      </c>
      <c r="I542" s="54">
        <f>(VLOOKUP($A542,'The List'!$B1:$AH665,21,FALSE)-AVERAGE('The List'!V2:V665))/STDEV('The List'!V2:V665)</f>
        <v>-0.88159330508952849</v>
      </c>
      <c r="J542" s="54">
        <f>(VLOOKUP($A542,'The List'!$B1:$AH665,22,FALSE)-AVERAGE('The List'!W2:W665))/STDEV('The List'!W2:W665)</f>
        <v>-0.72686371277206852</v>
      </c>
      <c r="K542" s="54">
        <f>(VLOOKUP($A542,'The List'!$B1:$AH665,23,FALSE)-AVERAGE('The List'!X2:X665))/STDEV('The List'!X2:X665)</f>
        <v>-0.80893044879991127</v>
      </c>
      <c r="L542" s="54">
        <f>(VLOOKUP($A542,'The List'!$B1:$AH665,24,FALSE)-AVERAGE('The List'!Y2:Y665))/STDEV('The List'!Y2:Y665)</f>
        <v>-0.52727974360234786</v>
      </c>
      <c r="M542" s="54">
        <f>(VLOOKUP($A542,'The List'!$B1:$AH665,25,FALSE)-AVERAGE('The List'!Z2:Z665))/STDEV('The List'!Z2:Z665)</f>
        <v>-0.43137684152874478</v>
      </c>
      <c r="N542" s="54">
        <f>(VLOOKUP($A542,'The List'!$B1:$AH665,26,FALSE)-AVERAGE('The List'!AA2:AA665))/STDEV('The List'!AA2:AA665)</f>
        <v>1.4145673028434897</v>
      </c>
      <c r="O542" s="54">
        <f>(VLOOKUP($A542,'The List'!$B1:$AH665,27,FALSE)-AVERAGE('The List'!AB2:AB665))/STDEV('The List'!AB2:AB665)</f>
        <v>0.26744386259665476</v>
      </c>
      <c r="P542" s="54">
        <f>(VLOOKUP($A542,'The List'!$B1:$AH665,28,FALSE)-AVERAGE('The List'!AC2:AC665))/STDEV('The List'!AC2:AC665)</f>
        <v>0.4071738866952741</v>
      </c>
      <c r="Q542" s="54">
        <f>(VLOOKUP($A542,'The List'!$B1:$AH665,29,FALSE)-AVERAGE('The List'!AD2:AD665))/STDEV('The List'!AD2:AD665)</f>
        <v>0.14207062687616173</v>
      </c>
      <c r="R542" s="54">
        <f>(VLOOKUP($A542,'The List'!$B1:$AH665,30,FALSE)-AVERAGE('The List'!AE2:AE665))/STDEV('The List'!AE2:AE665)</f>
        <v>-1.0693431405234592</v>
      </c>
      <c r="S542" s="54">
        <f>(VLOOKUP($A542,'The List'!$B1:$AH665,31,FALSE)-AVERAGE('The List'!AF2:AF665))/STDEV('The List'!AF2:AF665)</f>
        <v>-0.57389441068000469</v>
      </c>
      <c r="T542" s="54">
        <f>(VLOOKUP($A542,'The List'!$B1:$AH665,32,FALSE)-AVERAGE('The List'!AG2:AG665))/STDEV('The List'!AG2:AG665)</f>
        <v>-0.62577078713265111</v>
      </c>
      <c r="U542" s="54">
        <f>(VLOOKUP($A542,'The List'!$B1:$AH665,33,FALSE)-AVERAGE('The List'!AH2:AH665))/STDEV('The List'!AH2:AH665)</f>
        <v>-1.2314350945148611</v>
      </c>
      <c r="V542" s="54"/>
      <c r="W542" s="64"/>
      <c r="X542" s="56"/>
      <c r="Y542" s="56"/>
      <c r="Z542" s="56"/>
      <c r="AA542" s="56"/>
      <c r="AB542" s="56"/>
      <c r="AC542" s="59"/>
      <c r="AD542" s="60"/>
      <c r="AE542" s="54"/>
    </row>
    <row r="543" spans="1:31" ht="21.25" customHeight="1" x14ac:dyDescent="0.15">
      <c r="A543" s="9" t="s">
        <v>767</v>
      </c>
      <c r="B543" s="65" t="str">
        <f>VLOOKUP(A543,'Player Data'!A1:B667,2,FALSE)</f>
        <v>BOS</v>
      </c>
      <c r="C543" s="51">
        <f>((E543)*Settings!$C$12)+(F543*Settings!$C$2)+(G543*Settings!$C$3)+(H543*Settings!$C$4)+(I543*Settings!$C$5)+(K543*Settings!$C$9)+(N543*Settings!$C$6)+(J543*Settings!$C$8)+(O543*Settings!$C$7)+(P543*Settings!$C$14)+(Q543*Settings!$C$15)+(R543*Settings!$C$16)+(S543*Settings!$C$17)+(T543*Settings!$C$18)+(U543*Settings!$C$19)+(L543*Settings!$C$10)+(Settings!$C$11*M543)</f>
        <v>-4.3738885344281559</v>
      </c>
      <c r="D543" s="56">
        <f>IF(Settings!$E$12="YES",VLOOKUP(A543,'Player Data'!A1:E667,5,FALSE),82)</f>
        <v>69.72</v>
      </c>
      <c r="E543" s="54">
        <f>(VLOOKUP($A543,'The List'!$B1:$AH665,17,FALSE)-AVERAGE('The List'!R2:R665))/STDEV('The List'!R2:R665)</f>
        <v>-1.927168528348844</v>
      </c>
      <c r="F543" s="54">
        <f>(VLOOKUP($A543,'The List'!$B1:$AH665,18,FALSE)-AVERAGE('The List'!S2:S665))/STDEV('The List'!S2:S665)</f>
        <v>-0.62024196823885813</v>
      </c>
      <c r="G543" s="54">
        <f>(VLOOKUP($A543,'The List'!$B1:$AH665,19,FALSE)-AVERAGE('The List'!T2:T665))/STDEV('The List'!T2:T665)</f>
        <v>-1.1825873103753997</v>
      </c>
      <c r="H543" s="54">
        <f>(VLOOKUP($A543,'The List'!$B1:$AH665,20,FALSE)-AVERAGE('The List'!U2:U665))/STDEV('The List'!U2:U665)</f>
        <v>-1.0163826714291384</v>
      </c>
      <c r="I543" s="54">
        <f>(VLOOKUP($A543,'The List'!$B1:$AH665,21,FALSE)-AVERAGE('The List'!V2:V665))/STDEV('The List'!V2:V665)</f>
        <v>-0.84504515724467655</v>
      </c>
      <c r="J543" s="54">
        <f>(VLOOKUP($A543,'The List'!$B1:$AH665,22,FALSE)-AVERAGE('The List'!W2:W665))/STDEV('The List'!W2:W665)</f>
        <v>-0.73184512929769485</v>
      </c>
      <c r="K543" s="54">
        <f>(VLOOKUP($A543,'The List'!$B1:$AH665,23,FALSE)-AVERAGE('The List'!X2:X665))/STDEV('The List'!X2:X665)</f>
        <v>-0.81689558176918042</v>
      </c>
      <c r="L543" s="54">
        <f>(VLOOKUP($A543,'The List'!$B1:$AH665,24,FALSE)-AVERAGE('The List'!Y2:Y665))/STDEV('The List'!Y2:Y665)</f>
        <v>-0.5177849527688384</v>
      </c>
      <c r="M543" s="54">
        <f>(VLOOKUP($A543,'The List'!$B1:$AH665,25,FALSE)-AVERAGE('The List'!Z2:Z665))/STDEV('The List'!Z2:Z665)</f>
        <v>-0.6897366355042085</v>
      </c>
      <c r="N543" s="54">
        <f>(VLOOKUP($A543,'The List'!$B1:$AH665,26,FALSE)-AVERAGE('The List'!AA2:AA665))/STDEV('The List'!AA2:AA665)</f>
        <v>-0.60013296417869622</v>
      </c>
      <c r="O543" s="54">
        <f>(VLOOKUP($A543,'The List'!$B1:$AH665,27,FALSE)-AVERAGE('The List'!AB2:AB665))/STDEV('The List'!AB2:AB665)</f>
        <v>1.4954074784947409</v>
      </c>
      <c r="P543" s="54">
        <f>(VLOOKUP($A543,'The List'!$B1:$AH665,28,FALSE)-AVERAGE('The List'!AC2:AC665))/STDEV('The List'!AC2:AC665)</f>
        <v>-0.30898555262134503</v>
      </c>
      <c r="Q543" s="54">
        <f>(VLOOKUP($A543,'The List'!$B1:$AH665,29,FALSE)-AVERAGE('The List'!AD2:AD665))/STDEV('The List'!AD2:AD665)</f>
        <v>1.6159842324322338</v>
      </c>
      <c r="R543" s="54">
        <f>(VLOOKUP($A543,'The List'!$B1:$AH665,30,FALSE)-AVERAGE('The List'!AE2:AE665))/STDEV('The List'!AE2:AE665)</f>
        <v>-0.56197092666054149</v>
      </c>
      <c r="S543" s="54">
        <f>(VLOOKUP($A543,'The List'!$B1:$AH665,31,FALSE)-AVERAGE('The List'!AF2:AF665))/STDEV('The List'!AF2:AF665)</f>
        <v>0.8664197320050202</v>
      </c>
      <c r="T543" s="54">
        <f>(VLOOKUP($A543,'The List'!$B1:$AH665,32,FALSE)-AVERAGE('The List'!AG2:AG665))/STDEV('The List'!AG2:AG665)</f>
        <v>0.58431972091770856</v>
      </c>
      <c r="U543" s="54">
        <f>(VLOOKUP($A543,'The List'!$B1:$AH665,33,FALSE)-AVERAGE('The List'!AH2:AH665))/STDEV('The List'!AH2:AH665)</f>
        <v>1.3011621026273581</v>
      </c>
      <c r="V543" s="54"/>
      <c r="W543" s="56"/>
      <c r="X543" s="54"/>
      <c r="Y543" s="54"/>
      <c r="Z543" s="54"/>
      <c r="AA543" s="54"/>
      <c r="AB543" s="54"/>
      <c r="AC543" s="54"/>
      <c r="AD543" s="54"/>
      <c r="AE543" s="54"/>
    </row>
    <row r="544" spans="1:31" ht="21.25" customHeight="1" x14ac:dyDescent="0.15">
      <c r="A544" s="9" t="s">
        <v>533</v>
      </c>
      <c r="B544" s="65" t="str">
        <f>VLOOKUP(A544,'Player Data'!A1:B667,2,FALSE)</f>
        <v>PHI</v>
      </c>
      <c r="C544" s="51">
        <f>((E544)*Settings!$C$12)+(F544*Settings!$C$2)+(G544*Settings!$C$3)+(H544*Settings!$C$4)+(I544*Settings!$C$5)+(K544*Settings!$C$9)+(N544*Settings!$C$6)+(J544*Settings!$C$8)+(O544*Settings!$C$7)+(P544*Settings!$C$14)+(Q544*Settings!$C$15)+(R544*Settings!$C$16)+(S544*Settings!$C$17)+(T544*Settings!$C$18)+(U544*Settings!$C$19)+(L544*Settings!$C$10)+(Settings!$C$11*M544)</f>
        <v>-2.8628791988282778</v>
      </c>
      <c r="D544" s="56">
        <f>IF(Settings!$E$12="YES",VLOOKUP(A544,'Player Data'!A1:E667,5,FALSE),82)</f>
        <v>70.277500000000003</v>
      </c>
      <c r="E544" s="54">
        <f>(VLOOKUP($A544,'The List'!$B1:$AH665,17,FALSE)-AVERAGE('The List'!R2:R665))/STDEV('The List'!R2:R665)</f>
        <v>0.37737123440637393</v>
      </c>
      <c r="F544" s="54">
        <f>(VLOOKUP($A544,'The List'!$B1:$AH665,18,FALSE)-AVERAGE('The List'!S2:S665))/STDEV('The List'!S2:S665)</f>
        <v>-1.1180784441994698</v>
      </c>
      <c r="G544" s="54">
        <f>(VLOOKUP($A544,'The List'!$B1:$AH665,19,FALSE)-AVERAGE('The List'!T2:T665))/STDEV('The List'!T2:T665)</f>
        <v>-0.81620756492173474</v>
      </c>
      <c r="H544" s="54">
        <f>(VLOOKUP($A544,'The List'!$B1:$AH665,20,FALSE)-AVERAGE('The List'!U2:U665))/STDEV('The List'!U2:U665)</f>
        <v>-1.0151305910516233</v>
      </c>
      <c r="I544" s="54">
        <f>(VLOOKUP($A544,'The List'!$B1:$AH665,21,FALSE)-AVERAGE('The List'!V2:V665))/STDEV('The List'!V2:V665)</f>
        <v>-0.76483530660143006</v>
      </c>
      <c r="J544" s="54">
        <f>(VLOOKUP($A544,'The List'!$B1:$AH665,22,FALSE)-AVERAGE('The List'!W2:W665))/STDEV('The List'!W2:W665)</f>
        <v>-0.71192604736160581</v>
      </c>
      <c r="K544" s="54">
        <f>(VLOOKUP($A544,'The List'!$B1:$AH665,23,FALSE)-AVERAGE('The List'!X2:X665))/STDEV('The List'!X2:X665)</f>
        <v>-0.74804038363935255</v>
      </c>
      <c r="L544" s="54">
        <f>(VLOOKUP($A544,'The List'!$B1:$AH665,24,FALSE)-AVERAGE('The List'!Y2:Y665))/STDEV('The List'!Y2:Y665)</f>
        <v>-2.6354369194715777E-2</v>
      </c>
      <c r="M544" s="54">
        <f>(VLOOKUP($A544,'The List'!$B1:$AH665,25,FALSE)-AVERAGE('The List'!Z2:Z665))/STDEV('The List'!Z2:Z665)</f>
        <v>0.36986511551932671</v>
      </c>
      <c r="N544" s="54">
        <f>(VLOOKUP($A544,'The List'!$B1:$AH665,26,FALSE)-AVERAGE('The List'!AA2:AA665))/STDEV('The List'!AA2:AA665)</f>
        <v>1.2222891572170087</v>
      </c>
      <c r="O544" s="54">
        <f>(VLOOKUP($A544,'The List'!$B1:$AH665,27,FALSE)-AVERAGE('The List'!AB2:AB665))/STDEV('The List'!AB2:AB665)</f>
        <v>1.0008942997225423</v>
      </c>
      <c r="P544" s="54">
        <f>(VLOOKUP($A544,'The List'!$B1:$AH665,28,FALSE)-AVERAGE('The List'!AC2:AC665))/STDEV('The List'!AC2:AC665)</f>
        <v>-0.63800665668329892</v>
      </c>
      <c r="Q544" s="54">
        <f>(VLOOKUP($A544,'The List'!$B1:$AH665,29,FALSE)-AVERAGE('The List'!AD2:AD665))/STDEV('The List'!AD2:AD665)</f>
        <v>-0.23306111053015358</v>
      </c>
      <c r="R544" s="54">
        <f>(VLOOKUP($A544,'The List'!$B1:$AH665,30,FALSE)-AVERAGE('The List'!AE2:AE665))/STDEV('The List'!AE2:AE665)</f>
        <v>-1.0746095256112986</v>
      </c>
      <c r="S544" s="54">
        <f>(VLOOKUP($A544,'The List'!$B1:$AH665,31,FALSE)-AVERAGE('The List'!AF2:AF665))/STDEV('The List'!AF2:AF665)</f>
        <v>-0.57389441068000469</v>
      </c>
      <c r="T544" s="54">
        <f>(VLOOKUP($A544,'The List'!$B1:$AH665,32,FALSE)-AVERAGE('The List'!AG2:AG665))/STDEV('The List'!AG2:AG665)</f>
        <v>-0.62577078713265111</v>
      </c>
      <c r="U544" s="54">
        <f>(VLOOKUP($A544,'The List'!$B1:$AH665,33,FALSE)-AVERAGE('The List'!AH2:AH665))/STDEV('The List'!AH2:AH665)</f>
        <v>-1.2314350945148611</v>
      </c>
      <c r="V544" s="54"/>
      <c r="W544" s="64"/>
      <c r="X544" s="56"/>
      <c r="Y544" s="56"/>
      <c r="Z544" s="56"/>
      <c r="AA544" s="56"/>
      <c r="AB544" s="56"/>
      <c r="AC544" s="59"/>
      <c r="AD544" s="60"/>
      <c r="AE544" s="54"/>
    </row>
    <row r="545" spans="1:31" ht="21.25" customHeight="1" x14ac:dyDescent="0.15">
      <c r="A545" s="9" t="s">
        <v>650</v>
      </c>
      <c r="B545" s="65" t="str">
        <f>VLOOKUP(A545,'Player Data'!A1:B667,2,FALSE)</f>
        <v>BOS</v>
      </c>
      <c r="C545" s="51">
        <f>((E545)*Settings!$C$12)+(F545*Settings!$C$2)+(G545*Settings!$C$3)+(H545*Settings!$C$4)+(I545*Settings!$C$5)+(K545*Settings!$C$9)+(N545*Settings!$C$6)+(J545*Settings!$C$8)+(O545*Settings!$C$7)+(P545*Settings!$C$14)+(Q545*Settings!$C$15)+(R545*Settings!$C$16)+(S545*Settings!$C$17)+(T545*Settings!$C$18)+(U545*Settings!$C$19)+(L545*Settings!$C$10)+(Settings!$C$11*M545)</f>
        <v>-3.4050549508075503</v>
      </c>
      <c r="D545" s="56">
        <f>IF(Settings!$E$12="YES",VLOOKUP(A545,'Player Data'!A1:E667,5,FALSE),82)</f>
        <v>61.027500000000003</v>
      </c>
      <c r="E545" s="54">
        <f>(VLOOKUP($A545,'The List'!$B1:$AH665,17,FALSE)-AVERAGE('The List'!R2:R665))/STDEV('The List'!R2:R665)</f>
        <v>-3.4935711441331563E-2</v>
      </c>
      <c r="F545" s="54">
        <f>(VLOOKUP($A545,'The List'!$B1:$AH665,18,FALSE)-AVERAGE('The List'!S2:S665))/STDEV('The List'!S2:S665)</f>
        <v>-1.2016473951488011</v>
      </c>
      <c r="G545" s="54">
        <f>(VLOOKUP($A545,'The List'!$B1:$AH665,19,FALSE)-AVERAGE('The List'!T2:T665))/STDEV('The List'!T2:T665)</f>
        <v>-0.88933745446584667</v>
      </c>
      <c r="H545" s="54">
        <f>(VLOOKUP($A545,'The List'!$B1:$AH665,20,FALSE)-AVERAGE('The List'!U2:U665))/STDEV('The List'!U2:U665)</f>
        <v>-1.0985344249718563</v>
      </c>
      <c r="I545" s="54">
        <f>(VLOOKUP($A545,'The List'!$B1:$AH665,21,FALSE)-AVERAGE('The List'!V2:V665))/STDEV('The List'!V2:V665)</f>
        <v>-1.3241421429412243</v>
      </c>
      <c r="J545" s="54">
        <f>(VLOOKUP($A545,'The List'!$B1:$AH665,22,FALSE)-AVERAGE('The List'!W2:W665))/STDEV('The List'!W2:W665)</f>
        <v>-0.74054381556886928</v>
      </c>
      <c r="K545" s="54">
        <f>(VLOOKUP($A545,'The List'!$B1:$AH665,23,FALSE)-AVERAGE('The List'!X2:X665))/STDEV('The List'!X2:X665)</f>
        <v>-0.81588383605981574</v>
      </c>
      <c r="L545" s="54">
        <f>(VLOOKUP($A545,'The List'!$B1:$AH665,24,FALSE)-AVERAGE('The List'!Y2:Y665))/STDEV('The List'!Y2:Y665)</f>
        <v>-0.53999176601971566</v>
      </c>
      <c r="M545" s="54">
        <f>(VLOOKUP($A545,'The List'!$B1:$AH665,25,FALSE)-AVERAGE('The List'!Z2:Z665))/STDEV('The List'!Z2:Z665)</f>
        <v>-0.63268891271065586</v>
      </c>
      <c r="N545" s="54">
        <f>(VLOOKUP($A545,'The List'!$B1:$AH665,26,FALSE)-AVERAGE('The List'!AA2:AA665))/STDEV('The List'!AA2:AA665)</f>
        <v>0.4473312449208785</v>
      </c>
      <c r="O545" s="54">
        <f>(VLOOKUP($A545,'The List'!$B1:$AH665,27,FALSE)-AVERAGE('The List'!AB2:AB665))/STDEV('The List'!AB2:AB665)</f>
        <v>0.24875647926427347</v>
      </c>
      <c r="P545" s="54">
        <f>(VLOOKUP($A545,'The List'!$B1:$AH665,28,FALSE)-AVERAGE('The List'!AC2:AC665))/STDEV('The List'!AC2:AC665)</f>
        <v>0.37862463288725873</v>
      </c>
      <c r="Q545" s="54">
        <f>(VLOOKUP($A545,'The List'!$B1:$AH665,29,FALSE)-AVERAGE('The List'!AD2:AD665))/STDEV('The List'!AD2:AD665)</f>
        <v>0.11579664482483923</v>
      </c>
      <c r="R545" s="54">
        <f>(VLOOKUP($A545,'The List'!$B1:$AH665,30,FALSE)-AVERAGE('The List'!AE2:AE665))/STDEV('The List'!AE2:AE665)</f>
        <v>-1.1432214052651735</v>
      </c>
      <c r="S545" s="54">
        <f>(VLOOKUP($A545,'The List'!$B1:$AH665,31,FALSE)-AVERAGE('The List'!AF2:AF665))/STDEV('The List'!AF2:AF665)</f>
        <v>-0.57389441068000469</v>
      </c>
      <c r="T545" s="54">
        <f>(VLOOKUP($A545,'The List'!$B1:$AH665,32,FALSE)-AVERAGE('The List'!AG2:AG665))/STDEV('The List'!AG2:AG665)</f>
        <v>-0.62577078713265111</v>
      </c>
      <c r="U545" s="54">
        <f>(VLOOKUP($A545,'The List'!$B1:$AH665,33,FALSE)-AVERAGE('The List'!AH2:AH665))/STDEV('The List'!AH2:AH665)</f>
        <v>-1.2314350945148611</v>
      </c>
      <c r="V545" s="54"/>
      <c r="W545" s="64"/>
      <c r="X545" s="56"/>
      <c r="Y545" s="56"/>
      <c r="Z545" s="56"/>
      <c r="AA545" s="56"/>
      <c r="AB545" s="56"/>
      <c r="AC545" s="59"/>
      <c r="AD545" s="60"/>
      <c r="AE545" s="54"/>
    </row>
    <row r="546" spans="1:31" ht="21.25" customHeight="1" x14ac:dyDescent="0.15">
      <c r="A546" s="9" t="s">
        <v>753</v>
      </c>
      <c r="B546" s="65" t="str">
        <f>VLOOKUP(A546,'Player Data'!A1:B667,2,FALSE)</f>
        <v>T.B</v>
      </c>
      <c r="C546" s="51">
        <f>((E546)*Settings!$C$12)+(F546*Settings!$C$2)+(G546*Settings!$C$3)+(H546*Settings!$C$4)+(I546*Settings!$C$5)+(K546*Settings!$C$9)+(N546*Settings!$C$6)+(J546*Settings!$C$8)+(O546*Settings!$C$7)+(P546*Settings!$C$14)+(Q546*Settings!$C$15)+(R546*Settings!$C$16)+(S546*Settings!$C$17)+(T546*Settings!$C$18)+(U546*Settings!$C$19)+(L546*Settings!$C$10)+(Settings!$C$11*M546)</f>
        <v>-4.485967016486768</v>
      </c>
      <c r="D546" s="56">
        <f>IF(Settings!$E$12="YES",VLOOKUP(A546,'Player Data'!A1:E667,5,FALSE),82)</f>
        <v>75.782499999999999</v>
      </c>
      <c r="E546" s="54">
        <f>(VLOOKUP($A546,'The List'!$B1:$AH665,17,FALSE)-AVERAGE('The List'!R2:R665))/STDEV('The List'!R2:R665)</f>
        <v>-1.6663823291017286</v>
      </c>
      <c r="F546" s="54">
        <f>(VLOOKUP($A546,'The List'!$B1:$AH665,18,FALSE)-AVERAGE('The List'!S2:S665))/STDEV('The List'!S2:S665)</f>
        <v>-0.52905029762956457</v>
      </c>
      <c r="G546" s="54">
        <f>(VLOOKUP($A546,'The List'!$B1:$AH665,19,FALSE)-AVERAGE('The List'!T2:T665))/STDEV('The List'!T2:T665)</f>
        <v>-1.1688103939245647</v>
      </c>
      <c r="H546" s="54">
        <f>(VLOOKUP($A546,'The List'!$B1:$AH665,20,FALSE)-AVERAGE('The List'!U2:U665))/STDEV('The List'!U2:U665)</f>
        <v>-0.96637548268316664</v>
      </c>
      <c r="I546" s="54">
        <f>(VLOOKUP($A546,'The List'!$B1:$AH665,21,FALSE)-AVERAGE('The List'!V2:V665))/STDEV('The List'!V2:V665)</f>
        <v>-0.83748638396134867</v>
      </c>
      <c r="J546" s="54">
        <f>(VLOOKUP($A546,'The List'!$B1:$AH665,22,FALSE)-AVERAGE('The List'!W2:W665))/STDEV('The List'!W2:W665)</f>
        <v>-0.72818903409402658</v>
      </c>
      <c r="K546" s="54">
        <f>(VLOOKUP($A546,'The List'!$B1:$AH665,23,FALSE)-AVERAGE('The List'!X2:X665))/STDEV('The List'!X2:X665)</f>
        <v>-0.81372969753331392</v>
      </c>
      <c r="L546" s="54">
        <f>(VLOOKUP($A546,'The List'!$B1:$AH665,24,FALSE)-AVERAGE('The List'!Y2:Y665))/STDEV('The List'!Y2:Y665)</f>
        <v>-0.43703672779821223</v>
      </c>
      <c r="M546" s="54">
        <f>(VLOOKUP($A546,'The List'!$B1:$AH665,25,FALSE)-AVERAGE('The List'!Z2:Z665))/STDEV('The List'!Z2:Z665)</f>
        <v>-0.60766053472346648</v>
      </c>
      <c r="N546" s="54">
        <f>(VLOOKUP($A546,'The List'!$B1:$AH665,26,FALSE)-AVERAGE('The List'!AA2:AA665))/STDEV('The List'!AA2:AA665)</f>
        <v>-0.66096814364607781</v>
      </c>
      <c r="O546" s="54">
        <f>(VLOOKUP($A546,'The List'!$B1:$AH665,27,FALSE)-AVERAGE('The List'!AB2:AB665))/STDEV('The List'!AB2:AB665)</f>
        <v>0.62072085752913031</v>
      </c>
      <c r="P546" s="54">
        <f>(VLOOKUP($A546,'The List'!$B1:$AH665,28,FALSE)-AVERAGE('The List'!AC2:AC665))/STDEV('The List'!AC2:AC665)</f>
        <v>-0.47592209979189792</v>
      </c>
      <c r="Q546" s="54">
        <f>(VLOOKUP($A546,'The List'!$B1:$AH665,29,FALSE)-AVERAGE('The List'!AD2:AD665))/STDEV('The List'!AD2:AD665)</f>
        <v>-0.94215755067266993</v>
      </c>
      <c r="R546" s="54">
        <f>(VLOOKUP($A546,'The List'!$B1:$AH665,30,FALSE)-AVERAGE('The List'!AE2:AE665))/STDEV('The List'!AE2:AE665)</f>
        <v>-0.4614691710626086</v>
      </c>
      <c r="S546" s="54">
        <f>(VLOOKUP($A546,'The List'!$B1:$AH665,31,FALSE)-AVERAGE('The List'!AF2:AF665))/STDEV('The List'!AF2:AF665)</f>
        <v>-8.1255386572852695E-2</v>
      </c>
      <c r="T546" s="54">
        <f>(VLOOKUP($A546,'The List'!$B1:$AH665,32,FALSE)-AVERAGE('The List'!AG2:AG665))/STDEV('The List'!AG2:AG665)</f>
        <v>-4.099343641873926E-2</v>
      </c>
      <c r="U546" s="54">
        <f>(VLOOKUP($A546,'The List'!$B1:$AH665,33,FALSE)-AVERAGE('The List'!AH2:AH665))/STDEV('The List'!AH2:AH665)</f>
        <v>0.91083962641914862</v>
      </c>
      <c r="V546" s="54"/>
      <c r="W546" s="64"/>
      <c r="X546" s="56"/>
      <c r="Y546" s="56"/>
      <c r="Z546" s="56"/>
      <c r="AA546" s="56"/>
      <c r="AB546" s="56"/>
      <c r="AC546" s="59"/>
      <c r="AD546" s="60"/>
      <c r="AE546" s="54"/>
    </row>
    <row r="547" spans="1:31" ht="21.25" customHeight="1" x14ac:dyDescent="0.15">
      <c r="A547" s="9" t="s">
        <v>572</v>
      </c>
      <c r="B547" s="65" t="str">
        <f>VLOOKUP(A547,'Player Data'!A1:B667,2,FALSE)</f>
        <v>FLA</v>
      </c>
      <c r="C547" s="51">
        <f>((E547)*Settings!$C$12)+(F547*Settings!$C$2)+(G547*Settings!$C$3)+(H547*Settings!$C$4)+(I547*Settings!$C$5)+(K547*Settings!$C$9)+(N547*Settings!$C$6)+(J547*Settings!$C$8)+(O547*Settings!$C$7)+(P547*Settings!$C$14)+(Q547*Settings!$C$15)+(R547*Settings!$C$16)+(S547*Settings!$C$17)+(T547*Settings!$C$18)+(U547*Settings!$C$19)+(L547*Settings!$C$10)+(Settings!$C$11*M547)</f>
        <v>-2.1657553408205805</v>
      </c>
      <c r="D547" s="56">
        <f>IF(Settings!$E$12="YES",VLOOKUP(A547,'Player Data'!A1:E667,5,FALSE),82)</f>
        <v>76.644999999999996</v>
      </c>
      <c r="E547" s="54">
        <f>(VLOOKUP($A547,'The List'!$B1:$AH665,17,FALSE)-AVERAGE('The List'!R2:R665))/STDEV('The List'!R2:R665)</f>
        <v>-0.28521779360585242</v>
      </c>
      <c r="F547" s="54">
        <f>(VLOOKUP($A547,'The List'!$B1:$AH665,18,FALSE)-AVERAGE('The List'!S2:S665))/STDEV('The List'!S2:S665)</f>
        <v>-1.0376381111514399</v>
      </c>
      <c r="G547" s="54">
        <f>(VLOOKUP($A547,'The List'!$B1:$AH665,19,FALSE)-AVERAGE('The List'!T2:T665))/STDEV('The List'!T2:T665)</f>
        <v>-0.78757824956548483</v>
      </c>
      <c r="H547" s="54">
        <f>(VLOOKUP($A547,'The List'!$B1:$AH665,20,FALSE)-AVERAGE('The List'!U2:U665))/STDEV('The List'!U2:U665)</f>
        <v>-0.96078622143670034</v>
      </c>
      <c r="I547" s="54">
        <f>(VLOOKUP($A547,'The List'!$B1:$AH665,21,FALSE)-AVERAGE('The List'!V2:V665))/STDEV('The List'!V2:V665)</f>
        <v>-0.84636610595434936</v>
      </c>
      <c r="J547" s="54">
        <f>(VLOOKUP($A547,'The List'!$B1:$AH665,22,FALSE)-AVERAGE('The List'!W2:W665))/STDEV('The List'!W2:W665)</f>
        <v>-0.64669337407481553</v>
      </c>
      <c r="K547" s="54">
        <f>(VLOOKUP($A547,'The List'!$B1:$AH665,23,FALSE)-AVERAGE('The List'!X2:X665))/STDEV('The List'!X2:X665)</f>
        <v>-0.64957295815068339</v>
      </c>
      <c r="L547" s="54">
        <f>(VLOOKUP($A547,'The List'!$B1:$AH665,24,FALSE)-AVERAGE('The List'!Y2:Y665))/STDEV('The List'!Y2:Y665)</f>
        <v>-0.54965324737812737</v>
      </c>
      <c r="M547" s="54">
        <f>(VLOOKUP($A547,'The List'!$B1:$AH665,25,FALSE)-AVERAGE('The List'!Z2:Z665))/STDEV('The List'!Z2:Z665)</f>
        <v>-0.53240118134443903</v>
      </c>
      <c r="N547" s="54">
        <f>(VLOOKUP($A547,'The List'!$B1:$AH665,26,FALSE)-AVERAGE('The List'!AA2:AA665))/STDEV('The List'!AA2:AA665)</f>
        <v>0.59397444852821024</v>
      </c>
      <c r="O547" s="54">
        <f>(VLOOKUP($A547,'The List'!$B1:$AH665,27,FALSE)-AVERAGE('The List'!AB2:AB665))/STDEV('The List'!AB2:AB665)</f>
        <v>-0.37619716102048989</v>
      </c>
      <c r="P547" s="54">
        <f>(VLOOKUP($A547,'The List'!$B1:$AH665,28,FALSE)-AVERAGE('The List'!AC2:AC665))/STDEV('The List'!AC2:AC665)</f>
        <v>0.56142563547316615</v>
      </c>
      <c r="Q547" s="54">
        <f>(VLOOKUP($A547,'The List'!$B1:$AH665,29,FALSE)-AVERAGE('The List'!AD2:AD665))/STDEV('The List'!AD2:AD665)</f>
        <v>-1.2512430317468564</v>
      </c>
      <c r="R547" s="54">
        <f>(VLOOKUP($A547,'The List'!$B1:$AH665,30,FALSE)-AVERAGE('The List'!AE2:AE665))/STDEV('The List'!AE2:AE665)</f>
        <v>-0.95152052817512067</v>
      </c>
      <c r="S547" s="54">
        <f>(VLOOKUP($A547,'The List'!$B1:$AH665,31,FALSE)-AVERAGE('The List'!AF2:AF665))/STDEV('The List'!AF2:AF665)</f>
        <v>-0.57389441068000469</v>
      </c>
      <c r="T547" s="54">
        <f>(VLOOKUP($A547,'The List'!$B1:$AH665,32,FALSE)-AVERAGE('The List'!AG2:AG665))/STDEV('The List'!AG2:AG665)</f>
        <v>-0.62577078713265111</v>
      </c>
      <c r="U547" s="54">
        <f>(VLOOKUP($A547,'The List'!$B1:$AH665,33,FALSE)-AVERAGE('The List'!AH2:AH665))/STDEV('The List'!AH2:AH665)</f>
        <v>-1.2314350945148611</v>
      </c>
      <c r="V547" s="54"/>
      <c r="W547" s="56"/>
      <c r="X547" s="54"/>
      <c r="Y547" s="54"/>
      <c r="Z547" s="54"/>
      <c r="AA547" s="54"/>
      <c r="AB547" s="54"/>
      <c r="AC547" s="54"/>
      <c r="AD547" s="54"/>
      <c r="AE547" s="54"/>
    </row>
    <row r="548" spans="1:31" ht="21.25" customHeight="1" x14ac:dyDescent="0.15">
      <c r="A548" s="9" t="s">
        <v>514</v>
      </c>
      <c r="B548" s="65" t="str">
        <f>VLOOKUP(A548,'Player Data'!A1:B667,2,FALSE)</f>
        <v>NYI</v>
      </c>
      <c r="C548" s="51">
        <f>((E548)*Settings!$C$12)+(F548*Settings!$C$2)+(G548*Settings!$C$3)+(H548*Settings!$C$4)+(I548*Settings!$C$5)+(K548*Settings!$C$9)+(N548*Settings!$C$6)+(J548*Settings!$C$8)+(O548*Settings!$C$7)+(P548*Settings!$C$14)+(Q548*Settings!$C$15)+(R548*Settings!$C$16)+(S548*Settings!$C$17)+(T548*Settings!$C$18)+(U548*Settings!$C$19)+(L548*Settings!$C$10)+(Settings!$C$11*M548)</f>
        <v>-1.9218815653726589</v>
      </c>
      <c r="D548" s="56">
        <f>IF(Settings!$E$12="YES",VLOOKUP(A548,'Player Data'!A1:E667,5,FALSE),82)</f>
        <v>72.652500000000003</v>
      </c>
      <c r="E548" s="54">
        <f>(VLOOKUP($A548,'The List'!$B1:$AH665,17,FALSE)-AVERAGE('The List'!R2:R665))/STDEV('The List'!R2:R665)</f>
        <v>0.18540202518820995</v>
      </c>
      <c r="F548" s="54">
        <f>(VLOOKUP($A548,'The List'!$B1:$AH665,18,FALSE)-AVERAGE('The List'!S2:S665))/STDEV('The List'!S2:S665)</f>
        <v>-1.0696810411212363</v>
      </c>
      <c r="G548" s="54">
        <f>(VLOOKUP($A548,'The List'!$B1:$AH665,19,FALSE)-AVERAGE('The List'!T2:T665))/STDEV('The List'!T2:T665)</f>
        <v>-0.82280418888510753</v>
      </c>
      <c r="H548" s="54">
        <f>(VLOOKUP($A548,'The List'!$B1:$AH665,20,FALSE)-AVERAGE('The List'!U2:U665))/STDEV('The List'!U2:U665)</f>
        <v>-0.99722854523631443</v>
      </c>
      <c r="I548" s="54">
        <f>(VLOOKUP($A548,'The List'!$B1:$AH665,21,FALSE)-AVERAGE('The List'!V2:V665))/STDEV('The List'!V2:V665)</f>
        <v>-1.0138248985565588</v>
      </c>
      <c r="J548" s="54">
        <f>(VLOOKUP($A548,'The List'!$B1:$AH665,22,FALSE)-AVERAGE('The List'!W2:W665))/STDEV('The List'!W2:W665)</f>
        <v>-0.74354259111830168</v>
      </c>
      <c r="K548" s="54">
        <f>(VLOOKUP($A548,'The List'!$B1:$AH665,23,FALSE)-AVERAGE('The List'!X2:X665))/STDEV('The List'!X2:X665)</f>
        <v>-0.82290294841848555</v>
      </c>
      <c r="L548" s="54">
        <f>(VLOOKUP($A548,'The List'!$B1:$AH665,24,FALSE)-AVERAGE('The List'!Y2:Y665))/STDEV('The List'!Y2:Y665)</f>
        <v>-0.52868448346439989</v>
      </c>
      <c r="M548" s="54">
        <f>(VLOOKUP($A548,'The List'!$B1:$AH665,25,FALSE)-AVERAGE('The List'!Z2:Z665))/STDEV('The List'!Z2:Z665)</f>
        <v>-0.42759499749836749</v>
      </c>
      <c r="N548" s="54">
        <f>(VLOOKUP($A548,'The List'!$B1:$AH665,26,FALSE)-AVERAGE('The List'!AA2:AA665))/STDEV('The List'!AA2:AA665)</f>
        <v>1.7409665488586026</v>
      </c>
      <c r="O548" s="54">
        <f>(VLOOKUP($A548,'The List'!$B1:$AH665,27,FALSE)-AVERAGE('The List'!AB2:AB665))/STDEV('The List'!AB2:AB665)</f>
        <v>0.12820978240630368</v>
      </c>
      <c r="P548" s="54">
        <f>(VLOOKUP($A548,'The List'!$B1:$AH665,28,FALSE)-AVERAGE('The List'!AC2:AC665))/STDEV('The List'!AC2:AC665)</f>
        <v>6.636496275012696E-2</v>
      </c>
      <c r="Q548" s="54">
        <f>(VLOOKUP($A548,'The List'!$B1:$AH665,29,FALSE)-AVERAGE('The List'!AD2:AD665))/STDEV('The List'!AD2:AD665)</f>
        <v>0.93338909098517708</v>
      </c>
      <c r="R548" s="54">
        <f>(VLOOKUP($A548,'The List'!$B1:$AH665,30,FALSE)-AVERAGE('The List'!AE2:AE665))/STDEV('The List'!AE2:AE665)</f>
        <v>-1.0089112352855307</v>
      </c>
      <c r="S548" s="54">
        <f>(VLOOKUP($A548,'The List'!$B1:$AH665,31,FALSE)-AVERAGE('The List'!AF2:AF665))/STDEV('The List'!AF2:AF665)</f>
        <v>-0.57389441068000469</v>
      </c>
      <c r="T548" s="54">
        <f>(VLOOKUP($A548,'The List'!$B1:$AH665,32,FALSE)-AVERAGE('The List'!AG2:AG665))/STDEV('The List'!AG2:AG665)</f>
        <v>-0.62577078713265111</v>
      </c>
      <c r="U548" s="54">
        <f>(VLOOKUP($A548,'The List'!$B1:$AH665,33,FALSE)-AVERAGE('The List'!AH2:AH665))/STDEV('The List'!AH2:AH665)</f>
        <v>-1.2314350945148611</v>
      </c>
      <c r="V548" s="54"/>
      <c r="W548" s="56"/>
      <c r="X548" s="54"/>
      <c r="Y548" s="54"/>
      <c r="Z548" s="54"/>
      <c r="AA548" s="54"/>
      <c r="AB548" s="54"/>
      <c r="AC548" s="54"/>
      <c r="AD548" s="54"/>
      <c r="AE548" s="54"/>
    </row>
    <row r="549" spans="1:31" ht="21.25" customHeight="1" x14ac:dyDescent="0.15">
      <c r="A549" s="9" t="s">
        <v>673</v>
      </c>
      <c r="B549" s="65" t="str">
        <f>VLOOKUP(A549,'Player Data'!A1:B667,2,FALSE)</f>
        <v>PHI</v>
      </c>
      <c r="C549" s="51">
        <f>((E549)*Settings!$C$12)+(F549*Settings!$C$2)+(G549*Settings!$C$3)+(H549*Settings!$C$4)+(I549*Settings!$C$5)+(K549*Settings!$C$9)+(N549*Settings!$C$6)+(J549*Settings!$C$8)+(O549*Settings!$C$7)+(P549*Settings!$C$14)+(Q549*Settings!$C$15)+(R549*Settings!$C$16)+(S549*Settings!$C$17)+(T549*Settings!$C$18)+(U549*Settings!$C$19)+(L549*Settings!$C$10)+(Settings!$C$11*M549)</f>
        <v>-3.6810984283043156</v>
      </c>
      <c r="D549" s="56">
        <f>IF(Settings!$E$12="YES",VLOOKUP(A549,'Player Data'!A1:E667,5,FALSE),82)</f>
        <v>81.704999999999998</v>
      </c>
      <c r="E549" s="54">
        <f>(VLOOKUP($A549,'The List'!$B1:$AH665,17,FALSE)-AVERAGE('The List'!R2:R665))/STDEV('The List'!R2:R665)</f>
        <v>-1.4786220897022988</v>
      </c>
      <c r="F549" s="54">
        <f>(VLOOKUP($A549,'The List'!$B1:$AH665,18,FALSE)-AVERAGE('The List'!S2:S665))/STDEV('The List'!S2:S665)</f>
        <v>-0.56637148451302421</v>
      </c>
      <c r="G549" s="54">
        <f>(VLOOKUP($A549,'The List'!$B1:$AH665,19,FALSE)-AVERAGE('The List'!T2:T665))/STDEV('The List'!T2:T665)</f>
        <v>-1.0627521230930099</v>
      </c>
      <c r="H549" s="54">
        <f>(VLOOKUP($A549,'The List'!$B1:$AH665,20,FALSE)-AVERAGE('The List'!U2:U665))/STDEV('The List'!U2:U665)</f>
        <v>-0.9174715864971702</v>
      </c>
      <c r="I549" s="54">
        <f>(VLOOKUP($A549,'The List'!$B1:$AH665,21,FALSE)-AVERAGE('The List'!V2:V665))/STDEV('The List'!V2:V665)</f>
        <v>-0.66446161424583561</v>
      </c>
      <c r="J549" s="54">
        <f>(VLOOKUP($A549,'The List'!$B1:$AH665,22,FALSE)-AVERAGE('The List'!W2:W665))/STDEV('The List'!W2:W665)</f>
        <v>-0.73037740200223278</v>
      </c>
      <c r="K549" s="54">
        <f>(VLOOKUP($A549,'The List'!$B1:$AH665,23,FALSE)-AVERAGE('The List'!X2:X665))/STDEV('The List'!X2:X665)</f>
        <v>-0.81555853980157933</v>
      </c>
      <c r="L549" s="54">
        <f>(VLOOKUP($A549,'The List'!$B1:$AH665,24,FALSE)-AVERAGE('The List'!Y2:Y665))/STDEV('The List'!Y2:Y665)</f>
        <v>0.33052757688346662</v>
      </c>
      <c r="M549" s="54">
        <f>(VLOOKUP($A549,'The List'!$B1:$AH665,25,FALSE)-AVERAGE('The List'!Z2:Z665))/STDEV('The List'!Z2:Z665)</f>
        <v>1.2108773273556117</v>
      </c>
      <c r="N549" s="54">
        <f>(VLOOKUP($A549,'The List'!$B1:$AH665,26,FALSE)-AVERAGE('The List'!AA2:AA665))/STDEV('The List'!AA2:AA665)</f>
        <v>1.6972996038099396E-2</v>
      </c>
      <c r="O549" s="54">
        <f>(VLOOKUP($A549,'The List'!$B1:$AH665,27,FALSE)-AVERAGE('The List'!AB2:AB665))/STDEV('The List'!AB2:AB665)</f>
        <v>3.5192759525226505</v>
      </c>
      <c r="P549" s="54">
        <f>(VLOOKUP($A549,'The List'!$B1:$AH665,28,FALSE)-AVERAGE('The List'!AC2:AC665))/STDEV('The List'!AC2:AC665)</f>
        <v>-0.58892766268896601</v>
      </c>
      <c r="Q549" s="54">
        <f>(VLOOKUP($A549,'The List'!$B1:$AH665,29,FALSE)-AVERAGE('The List'!AD2:AD665))/STDEV('The List'!AD2:AD665)</f>
        <v>1.3632654891330551</v>
      </c>
      <c r="R549" s="54">
        <f>(VLOOKUP($A549,'The List'!$B1:$AH665,30,FALSE)-AVERAGE('The List'!AE2:AE665))/STDEV('The List'!AE2:AE665)</f>
        <v>-0.56130973756573732</v>
      </c>
      <c r="S549" s="54">
        <f>(VLOOKUP($A549,'The List'!$B1:$AH665,31,FALSE)-AVERAGE('The List'!AF2:AF665))/STDEV('The List'!AF2:AF665)</f>
        <v>-0.51596469928516486</v>
      </c>
      <c r="T549" s="54">
        <f>(VLOOKUP($A549,'The List'!$B1:$AH665,32,FALSE)-AVERAGE('The List'!AG2:AG665))/STDEV('The List'!AG2:AG665)</f>
        <v>-0.54873089103508299</v>
      </c>
      <c r="U549" s="54">
        <f>(VLOOKUP($A549,'The List'!$B1:$AH665,33,FALSE)-AVERAGE('The List'!AH2:AH665))/STDEV('The List'!AH2:AH665)</f>
        <v>0.78297996712455487</v>
      </c>
      <c r="V549" s="54"/>
      <c r="W549" s="64"/>
      <c r="X549" s="56"/>
      <c r="Y549" s="56"/>
      <c r="Z549" s="56"/>
      <c r="AA549" s="56"/>
      <c r="AB549" s="56"/>
      <c r="AC549" s="59"/>
      <c r="AD549" s="60"/>
      <c r="AE549" s="54"/>
    </row>
    <row r="550" spans="1:31" ht="21.25" customHeight="1" x14ac:dyDescent="0.15">
      <c r="A550" s="9" t="s">
        <v>581</v>
      </c>
      <c r="B550" s="65" t="str">
        <f>VLOOKUP(A550,'Player Data'!A1:B667,2,FALSE)</f>
        <v>CGY</v>
      </c>
      <c r="C550" s="51">
        <f>((E550)*Settings!$C$12)+(F550*Settings!$C$2)+(G550*Settings!$C$3)+(H550*Settings!$C$4)+(I550*Settings!$C$5)+(K550*Settings!$C$9)+(N550*Settings!$C$6)+(J550*Settings!$C$8)+(O550*Settings!$C$7)+(P550*Settings!$C$14)+(Q550*Settings!$C$15)+(R550*Settings!$C$16)+(S550*Settings!$C$17)+(T550*Settings!$C$18)+(U550*Settings!$C$19)+(L550*Settings!$C$10)+(Settings!$C$11*M550)</f>
        <v>-2.2958559359402471</v>
      </c>
      <c r="D550" s="56">
        <f>IF(Settings!$E$12="YES",VLOOKUP(A550,'Player Data'!A1:E667,5,FALSE),82)</f>
        <v>75.28</v>
      </c>
      <c r="E550" s="54">
        <f>(VLOOKUP($A550,'The List'!$B1:$AH665,17,FALSE)-AVERAGE('The List'!R2:R665))/STDEV('The List'!R2:R665)</f>
        <v>0.49221448520473404</v>
      </c>
      <c r="F550" s="54">
        <f>(VLOOKUP($A550,'The List'!$B1:$AH665,18,FALSE)-AVERAGE('The List'!S2:S665))/STDEV('The List'!S2:S665)</f>
        <v>-1.0810237218982703</v>
      </c>
      <c r="G550" s="54">
        <f>(VLOOKUP($A550,'The List'!$B1:$AH665,19,FALSE)-AVERAGE('The List'!T2:T665))/STDEV('The List'!T2:T665)</f>
        <v>-0.7868951044199709</v>
      </c>
      <c r="H550" s="54">
        <f>(VLOOKUP($A550,'The List'!$B1:$AH665,20,FALSE)-AVERAGE('The List'!U2:U665))/STDEV('The List'!U2:U665)</f>
        <v>-0.98008277225742613</v>
      </c>
      <c r="I550" s="54">
        <f>(VLOOKUP($A550,'The List'!$B1:$AH665,21,FALSE)-AVERAGE('The List'!V2:V665))/STDEV('The List'!V2:V665)</f>
        <v>-1.0935099475089041</v>
      </c>
      <c r="J550" s="54">
        <f>(VLOOKUP($A550,'The List'!$B1:$AH665,22,FALSE)-AVERAGE('The List'!W2:W665))/STDEV('The List'!W2:W665)</f>
        <v>-0.73924309522701726</v>
      </c>
      <c r="K550" s="54">
        <f>(VLOOKUP($A550,'The List'!$B1:$AH665,23,FALSE)-AVERAGE('The List'!X2:X665))/STDEV('The List'!X2:X665)</f>
        <v>-0.81315627536022128</v>
      </c>
      <c r="L550" s="54">
        <f>(VLOOKUP($A550,'The List'!$B1:$AH665,24,FALSE)-AVERAGE('The List'!Y2:Y665))/STDEV('The List'!Y2:Y665)</f>
        <v>-0.49863956273471954</v>
      </c>
      <c r="M550" s="54">
        <f>(VLOOKUP($A550,'The List'!$B1:$AH665,25,FALSE)-AVERAGE('The List'!Z2:Z665))/STDEV('The List'!Z2:Z665)</f>
        <v>-0.54645627523526208</v>
      </c>
      <c r="N550" s="54">
        <f>(VLOOKUP($A550,'The List'!$B1:$AH665,26,FALSE)-AVERAGE('The List'!AA2:AA665))/STDEV('The List'!AA2:AA665)</f>
        <v>0.96664528900123825</v>
      </c>
      <c r="O550" s="54">
        <f>(VLOOKUP($A550,'The List'!$B1:$AH665,27,FALSE)-AVERAGE('The List'!AB2:AB665))/STDEV('The List'!AB2:AB665)</f>
        <v>0.99465563280856484</v>
      </c>
      <c r="P550" s="54">
        <f>(VLOOKUP($A550,'The List'!$B1:$AH665,28,FALSE)-AVERAGE('The List'!AC2:AC665))/STDEV('The List'!AC2:AC665)</f>
        <v>0.51208382424588084</v>
      </c>
      <c r="Q550" s="54">
        <f>(VLOOKUP($A550,'The List'!$B1:$AH665,29,FALSE)-AVERAGE('The List'!AD2:AD665))/STDEV('The List'!AD2:AD665)</f>
        <v>1.7931201043544938</v>
      </c>
      <c r="R550" s="54">
        <f>(VLOOKUP($A550,'The List'!$B1:$AH665,30,FALSE)-AVERAGE('The List'!AE2:AE665))/STDEV('The List'!AE2:AE665)</f>
        <v>-1.0395928340197573</v>
      </c>
      <c r="S550" s="54">
        <f>(VLOOKUP($A550,'The List'!$B1:$AH665,31,FALSE)-AVERAGE('The List'!AF2:AF665))/STDEV('The List'!AF2:AF665)</f>
        <v>-0.57389441068000469</v>
      </c>
      <c r="T550" s="54">
        <f>(VLOOKUP($A550,'The List'!$B1:$AH665,32,FALSE)-AVERAGE('The List'!AG2:AG665))/STDEV('The List'!AG2:AG665)</f>
        <v>-0.62577078713265111</v>
      </c>
      <c r="U550" s="54">
        <f>(VLOOKUP($A550,'The List'!$B1:$AH665,33,FALSE)-AVERAGE('The List'!AH2:AH665))/STDEV('The List'!AH2:AH665)</f>
        <v>-1.2314350945148611</v>
      </c>
      <c r="V550" s="54"/>
      <c r="W550" s="64"/>
      <c r="X550" s="56"/>
      <c r="Y550" s="56"/>
      <c r="Z550" s="56"/>
      <c r="AA550" s="56"/>
      <c r="AB550" s="56"/>
      <c r="AC550" s="59"/>
      <c r="AD550" s="60"/>
      <c r="AE550" s="54"/>
    </row>
    <row r="551" spans="1:31" ht="21.25" customHeight="1" x14ac:dyDescent="0.15">
      <c r="A551" s="9" t="s">
        <v>765</v>
      </c>
      <c r="B551" s="65" t="str">
        <f>VLOOKUP(A551,'Player Data'!A1:B667,2,FALSE)</f>
        <v>ANA</v>
      </c>
      <c r="C551" s="51">
        <f>((E551)*Settings!$C$12)+(F551*Settings!$C$2)+(G551*Settings!$C$3)+(H551*Settings!$C$4)+(I551*Settings!$C$5)+(K551*Settings!$C$9)+(N551*Settings!$C$6)+(J551*Settings!$C$8)+(O551*Settings!$C$7)+(P551*Settings!$C$14)+(Q551*Settings!$C$15)+(R551*Settings!$C$16)+(S551*Settings!$C$17)+(T551*Settings!$C$18)+(U551*Settings!$C$19)+(L551*Settings!$C$10)+(Settings!$C$11*M551)</f>
        <v>-5.9338682737662252</v>
      </c>
      <c r="D551" s="56">
        <f>IF(Settings!$E$12="YES",VLOOKUP(A551,'Player Data'!A1:E667,5,FALSE),82)</f>
        <v>68.972499999999997</v>
      </c>
      <c r="E551" s="54">
        <f>(VLOOKUP($A551,'The List'!$B1:$AH665,17,FALSE)-AVERAGE('The List'!R2:R665))/STDEV('The List'!R2:R665)</f>
        <v>-1.5313404834387572</v>
      </c>
      <c r="F551" s="54">
        <f>(VLOOKUP($A551,'The List'!$B1:$AH665,18,FALSE)-AVERAGE('The List'!S2:S665))/STDEV('The List'!S2:S665)</f>
        <v>-0.63045163602405518</v>
      </c>
      <c r="G551" s="54">
        <f>(VLOOKUP($A551,'The List'!$B1:$AH665,19,FALSE)-AVERAGE('The List'!T2:T665))/STDEV('The List'!T2:T665)</f>
        <v>-1.2086187053000084</v>
      </c>
      <c r="H551" s="54">
        <f>(VLOOKUP($A551,'The List'!$B1:$AH665,20,FALSE)-AVERAGE('The List'!U2:U665))/STDEV('The List'!U2:U665)</f>
        <v>-1.0371904106864001</v>
      </c>
      <c r="I551" s="54">
        <f>(VLOOKUP($A551,'The List'!$B1:$AH665,21,FALSE)-AVERAGE('The List'!V2:V665))/STDEV('The List'!V2:V665)</f>
        <v>-0.98131199492676136</v>
      </c>
      <c r="J551" s="54">
        <f>(VLOOKUP($A551,'The List'!$B1:$AH665,22,FALSE)-AVERAGE('The List'!W2:W665))/STDEV('The List'!W2:W665)</f>
        <v>-0.72960455556768722</v>
      </c>
      <c r="K551" s="54">
        <f>(VLOOKUP($A551,'The List'!$B1:$AH665,23,FALSE)-AVERAGE('The List'!X2:X665))/STDEV('The List'!X2:X665)</f>
        <v>-0.81500497478163692</v>
      </c>
      <c r="L551" s="54">
        <f>(VLOOKUP($A551,'The List'!$B1:$AH665,24,FALSE)-AVERAGE('The List'!Y2:Y665))/STDEV('The List'!Y2:Y665)</f>
        <v>0.61550573787669438</v>
      </c>
      <c r="M551" s="54">
        <f>(VLOOKUP($A551,'The List'!$B1:$AH665,25,FALSE)-AVERAGE('The List'!Z2:Z665))/STDEV('The List'!Z2:Z665)</f>
        <v>9.5956407910541233E-2</v>
      </c>
      <c r="N551" s="54">
        <f>(VLOOKUP($A551,'The List'!$B1:$AH665,26,FALSE)-AVERAGE('The List'!AA2:AA665))/STDEV('The List'!AA2:AA665)</f>
        <v>-0.73580761166794462</v>
      </c>
      <c r="O551" s="54">
        <f>(VLOOKUP($A551,'The List'!$B1:$AH665,27,FALSE)-AVERAGE('The List'!AB2:AB665))/STDEV('The List'!AB2:AB665)</f>
        <v>-5.1226473460603911E-2</v>
      </c>
      <c r="P551" s="54">
        <f>(VLOOKUP($A551,'The List'!$B1:$AH665,28,FALSE)-AVERAGE('The List'!AC2:AC665))/STDEV('The List'!AC2:AC665)</f>
        <v>-1.5626733510658191</v>
      </c>
      <c r="Q551" s="54">
        <f>(VLOOKUP($A551,'The List'!$B1:$AH665,29,FALSE)-AVERAGE('The List'!AD2:AD665))/STDEV('The List'!AD2:AD665)</f>
        <v>-1.2178404606437647</v>
      </c>
      <c r="R551" s="54">
        <f>(VLOOKUP($A551,'The List'!$B1:$AH665,30,FALSE)-AVERAGE('The List'!AE2:AE665))/STDEV('The List'!AE2:AE665)</f>
        <v>-0.7490312331595752</v>
      </c>
      <c r="S551" s="54">
        <f>(VLOOKUP($A551,'The List'!$B1:$AH665,31,FALSE)-AVERAGE('The List'!AF2:AF665))/STDEV('The List'!AF2:AF665)</f>
        <v>-0.52875948911012904</v>
      </c>
      <c r="T551" s="54">
        <f>(VLOOKUP($A551,'The List'!$B1:$AH665,32,FALSE)-AVERAGE('The List'!AG2:AG665))/STDEV('The List'!AG2:AG665)</f>
        <v>-0.52992740387461579</v>
      </c>
      <c r="U551" s="54">
        <f>(VLOOKUP($A551,'The List'!$B1:$AH665,33,FALSE)-AVERAGE('The List'!AH2:AH665))/STDEV('The List'!AH2:AH665)</f>
        <v>0.28138753073665851</v>
      </c>
      <c r="V551" s="54"/>
      <c r="W551" s="56"/>
      <c r="X551" s="54"/>
      <c r="Y551" s="54"/>
      <c r="Z551" s="54"/>
      <c r="AA551" s="54"/>
      <c r="AB551" s="54"/>
      <c r="AC551" s="54"/>
      <c r="AD551" s="54"/>
      <c r="AE551" s="54"/>
    </row>
    <row r="552" spans="1:31" ht="21.25" customHeight="1" x14ac:dyDescent="0.15">
      <c r="A552" s="9" t="s">
        <v>396</v>
      </c>
      <c r="B552" s="65" t="str">
        <f>VLOOKUP(A552,'Player Data'!A1:B667,2,FALSE)</f>
        <v>PHI</v>
      </c>
      <c r="C552" s="51">
        <f>((E552)*Settings!$C$12)+(F552*Settings!$C$2)+(G552*Settings!$C$3)+(H552*Settings!$C$4)+(I552*Settings!$C$5)+(K552*Settings!$C$9)+(N552*Settings!$C$6)+(J552*Settings!$C$8)+(O552*Settings!$C$7)+(P552*Settings!$C$14)+(Q552*Settings!$C$15)+(R552*Settings!$C$16)+(S552*Settings!$C$17)+(T552*Settings!$C$18)+(U552*Settings!$C$19)+(L552*Settings!$C$10)+(Settings!$C$11*M552)</f>
        <v>-0.71462461774356645</v>
      </c>
      <c r="D552" s="56">
        <f>IF(Settings!$E$12="YES",VLOOKUP(A552,'Player Data'!A1:E667,5,FALSE),82)</f>
        <v>75.489999999999995</v>
      </c>
      <c r="E552" s="54">
        <f>(VLOOKUP($A552,'The List'!$B1:$AH665,17,FALSE)-AVERAGE('The List'!R2:R665))/STDEV('The List'!R2:R665)</f>
        <v>0.31692960450744728</v>
      </c>
      <c r="F552" s="54">
        <f>(VLOOKUP($A552,'The List'!$B1:$AH665,18,FALSE)-AVERAGE('The List'!S2:S665))/STDEV('The List'!S2:S665)</f>
        <v>-1.0744648967467343</v>
      </c>
      <c r="G552" s="54">
        <f>(VLOOKUP($A552,'The List'!$B1:$AH665,19,FALSE)-AVERAGE('The List'!T2:T665))/STDEV('The List'!T2:T665)</f>
        <v>-0.80232056531655349</v>
      </c>
      <c r="H552" s="54">
        <f>(VLOOKUP($A552,'The List'!$B1:$AH665,20,FALSE)-AVERAGE('The List'!U2:U665))/STDEV('The List'!U2:U665)</f>
        <v>-0.98668155302142002</v>
      </c>
      <c r="I552" s="54">
        <f>(VLOOKUP($A552,'The List'!$B1:$AH665,21,FALSE)-AVERAGE('The List'!V2:V665))/STDEV('The List'!V2:V665)</f>
        <v>-0.5503062863185767</v>
      </c>
      <c r="J552" s="54">
        <f>(VLOOKUP($A552,'The List'!$B1:$AH665,22,FALSE)-AVERAGE('The List'!W2:W665))/STDEV('The List'!W2:W665)</f>
        <v>-0.7405286764637462</v>
      </c>
      <c r="K552" s="54">
        <f>(VLOOKUP($A552,'The List'!$B1:$AH665,23,FALSE)-AVERAGE('The List'!X2:X665))/STDEV('The List'!X2:X665)</f>
        <v>-0.81523394222896928</v>
      </c>
      <c r="L552" s="54">
        <f>(VLOOKUP($A552,'The List'!$B1:$AH665,24,FALSE)-AVERAGE('The List'!Y2:Y665))/STDEV('The List'!Y2:Y665)</f>
        <v>-0.51631019868205774</v>
      </c>
      <c r="M552" s="54">
        <f>(VLOOKUP($A552,'The List'!$B1:$AH665,25,FALSE)-AVERAGE('The List'!Z2:Z665))/STDEV('The List'!Z2:Z665)</f>
        <v>2.0128334225638089</v>
      </c>
      <c r="N552" s="54">
        <f>(VLOOKUP($A552,'The List'!$B1:$AH665,26,FALSE)-AVERAGE('The List'!AA2:AA665))/STDEV('The List'!AA2:AA665)</f>
        <v>3.0013985946700967</v>
      </c>
      <c r="O552" s="54">
        <f>(VLOOKUP($A552,'The List'!$B1:$AH665,27,FALSE)-AVERAGE('The List'!AB2:AB665))/STDEV('The List'!AB2:AB665)</f>
        <v>1.0657229371054155</v>
      </c>
      <c r="P552" s="54">
        <f>(VLOOKUP($A552,'The List'!$B1:$AH665,28,FALSE)-AVERAGE('The List'!AC2:AC665))/STDEV('The List'!AC2:AC665)</f>
        <v>-0.47369752180282959</v>
      </c>
      <c r="Q552" s="54">
        <f>(VLOOKUP($A552,'The List'!$B1:$AH665,29,FALSE)-AVERAGE('The List'!AD2:AD665))/STDEV('The List'!AD2:AD665)</f>
        <v>1.5365514294779683</v>
      </c>
      <c r="R552" s="54">
        <f>(VLOOKUP($A552,'The List'!$B1:$AH665,30,FALSE)-AVERAGE('The List'!AE2:AE665))/STDEV('The List'!AE2:AE665)</f>
        <v>-1.0340321425089951</v>
      </c>
      <c r="S552" s="54">
        <f>(VLOOKUP($A552,'The List'!$B1:$AH665,31,FALSE)-AVERAGE('The List'!AF2:AF665))/STDEV('The List'!AF2:AF665)</f>
        <v>-0.57389441068000469</v>
      </c>
      <c r="T552" s="54">
        <f>(VLOOKUP($A552,'The List'!$B1:$AH665,32,FALSE)-AVERAGE('The List'!AG2:AG665))/STDEV('The List'!AG2:AG665)</f>
        <v>-0.62577078713265111</v>
      </c>
      <c r="U552" s="54">
        <f>(VLOOKUP($A552,'The List'!$B1:$AH665,33,FALSE)-AVERAGE('The List'!AH2:AH665))/STDEV('The List'!AH2:AH665)</f>
        <v>-1.2314350945148611</v>
      </c>
      <c r="V552" s="54"/>
      <c r="W552" s="64"/>
      <c r="X552" s="56"/>
      <c r="Y552" s="56"/>
      <c r="Z552" s="56"/>
      <c r="AA552" s="56"/>
      <c r="AB552" s="56"/>
      <c r="AC552" s="59"/>
      <c r="AD552" s="60"/>
      <c r="AE552" s="54"/>
    </row>
    <row r="553" spans="1:31" ht="21.25" customHeight="1" x14ac:dyDescent="0.15">
      <c r="A553" s="9" t="s">
        <v>511</v>
      </c>
      <c r="B553" s="65" t="str">
        <f>VLOOKUP(A553,'Player Data'!A1:B667,2,FALSE)</f>
        <v>FLA</v>
      </c>
      <c r="C553" s="51">
        <f>((E553)*Settings!$C$12)+(F553*Settings!$C$2)+(G553*Settings!$C$3)+(H553*Settings!$C$4)+(I553*Settings!$C$5)+(K553*Settings!$C$9)+(N553*Settings!$C$6)+(J553*Settings!$C$8)+(O553*Settings!$C$7)+(P553*Settings!$C$14)+(Q553*Settings!$C$15)+(R553*Settings!$C$16)+(S553*Settings!$C$17)+(T553*Settings!$C$18)+(U553*Settings!$C$19)+(L553*Settings!$C$10)+(Settings!$C$11*M553)</f>
        <v>-1.4704547265765218</v>
      </c>
      <c r="D553" s="56">
        <f>IF(Settings!$E$12="YES",VLOOKUP(A553,'Player Data'!A1:E667,5,FALSE),82)</f>
        <v>79.092500000000001</v>
      </c>
      <c r="E553" s="54">
        <f>(VLOOKUP($A553,'The List'!$B1:$AH665,17,FALSE)-AVERAGE('The List'!R2:R665))/STDEV('The List'!R2:R665)</f>
        <v>0.76714107338564297</v>
      </c>
      <c r="F553" s="54">
        <f>(VLOOKUP($A553,'The List'!$B1:$AH665,18,FALSE)-AVERAGE('The List'!S2:S665))/STDEV('The List'!S2:S665)</f>
        <v>-1.0496284271358201</v>
      </c>
      <c r="G553" s="54">
        <f>(VLOOKUP($A553,'The List'!$B1:$AH665,19,FALSE)-AVERAGE('The List'!T2:T665))/STDEV('The List'!T2:T665)</f>
        <v>-0.77515411518040445</v>
      </c>
      <c r="H553" s="54">
        <f>(VLOOKUP($A553,'The List'!$B1:$AH665,20,FALSE)-AVERAGE('The List'!U2:U665))/STDEV('The List'!U2:U665)</f>
        <v>-0.95852030395828947</v>
      </c>
      <c r="I553" s="54">
        <f>(VLOOKUP($A553,'The List'!$B1:$AH665,21,FALSE)-AVERAGE('The List'!V2:V665))/STDEV('The List'!V2:V665)</f>
        <v>-0.78002154076860575</v>
      </c>
      <c r="J553" s="54">
        <f>(VLOOKUP($A553,'The List'!$B1:$AH665,22,FALSE)-AVERAGE('The List'!W2:W665))/STDEV('The List'!W2:W665)</f>
        <v>-0.73976146037086588</v>
      </c>
      <c r="K553" s="54">
        <f>(VLOOKUP($A553,'The List'!$B1:$AH665,23,FALSE)-AVERAGE('The List'!X2:X665))/STDEV('The List'!X2:X665)</f>
        <v>-0.81376852927843357</v>
      </c>
      <c r="L553" s="54">
        <f>(VLOOKUP($A553,'The List'!$B1:$AH665,24,FALSE)-AVERAGE('The List'!Y2:Y665))/STDEV('The List'!Y2:Y665)</f>
        <v>-0.27335119610322872</v>
      </c>
      <c r="M553" s="54">
        <f>(VLOOKUP($A553,'The List'!$B1:$AH665,25,FALSE)-AVERAGE('The List'!Z2:Z665))/STDEV('The List'!Z2:Z665)</f>
        <v>4.2841941206347382E-3</v>
      </c>
      <c r="N553" s="54">
        <f>(VLOOKUP($A553,'The List'!$B1:$AH665,26,FALSE)-AVERAGE('The List'!AA2:AA665))/STDEV('The List'!AA2:AA665)</f>
        <v>1.2756550160749296</v>
      </c>
      <c r="O553" s="54">
        <f>(VLOOKUP($A553,'The List'!$B1:$AH665,27,FALSE)-AVERAGE('The List'!AB2:AB665))/STDEV('The List'!AB2:AB665)</f>
        <v>1.580812837655962</v>
      </c>
      <c r="P553" s="54">
        <f>(VLOOKUP($A553,'The List'!$B1:$AH665,28,FALSE)-AVERAGE('The List'!AC2:AC665))/STDEV('The List'!AC2:AC665)</f>
        <v>0.67246286971181213</v>
      </c>
      <c r="Q553" s="54">
        <f>(VLOOKUP($A553,'The List'!$B1:$AH665,29,FALSE)-AVERAGE('The List'!AD2:AD665))/STDEV('The List'!AD2:AD665)</f>
        <v>1.6314027031293192</v>
      </c>
      <c r="R553" s="54">
        <f>(VLOOKUP($A553,'The List'!$B1:$AH665,30,FALSE)-AVERAGE('The List'!AE2:AE665))/STDEV('The List'!AE2:AE665)</f>
        <v>-0.96463191079394317</v>
      </c>
      <c r="S553" s="54">
        <f>(VLOOKUP($A553,'The List'!$B1:$AH665,31,FALSE)-AVERAGE('The List'!AF2:AF665))/STDEV('The List'!AF2:AF665)</f>
        <v>-0.57389441068000469</v>
      </c>
      <c r="T553" s="54">
        <f>(VLOOKUP($A553,'The List'!$B1:$AH665,32,FALSE)-AVERAGE('The List'!AG2:AG665))/STDEV('The List'!AG2:AG665)</f>
        <v>-0.62577078713265111</v>
      </c>
      <c r="U553" s="54">
        <f>(VLOOKUP($A553,'The List'!$B1:$AH665,33,FALSE)-AVERAGE('The List'!AH2:AH665))/STDEV('The List'!AH2:AH665)</f>
        <v>-1.2314350945148611</v>
      </c>
      <c r="V553" s="54"/>
      <c r="W553" s="56"/>
      <c r="X553" s="54"/>
      <c r="Y553" s="54"/>
      <c r="Z553" s="54"/>
      <c r="AA553" s="54"/>
      <c r="AB553" s="54"/>
      <c r="AC553" s="54"/>
      <c r="AD553" s="54"/>
      <c r="AE553" s="54"/>
    </row>
    <row r="554" spans="1:31" ht="21.25" customHeight="1" x14ac:dyDescent="0.15">
      <c r="A554" s="9" t="s">
        <v>630</v>
      </c>
      <c r="B554" s="65" t="str">
        <f>VLOOKUP(A554,'Player Data'!A1:B667,2,FALSE)</f>
        <v>N.J</v>
      </c>
      <c r="C554" s="51">
        <f>((E554)*Settings!$C$12)+(F554*Settings!$C$2)+(G554*Settings!$C$3)+(H554*Settings!$C$4)+(I554*Settings!$C$5)+(K554*Settings!$C$9)+(N554*Settings!$C$6)+(J554*Settings!$C$8)+(O554*Settings!$C$7)+(P554*Settings!$C$14)+(Q554*Settings!$C$15)+(R554*Settings!$C$16)+(S554*Settings!$C$17)+(T554*Settings!$C$18)+(U554*Settings!$C$19)+(L554*Settings!$C$10)+(Settings!$C$11*M554)</f>
        <v>-4.3829203488679465</v>
      </c>
      <c r="D554" s="56">
        <f>IF(Settings!$E$12="YES",VLOOKUP(A554,'Player Data'!A1:E667,5,FALSE),82)</f>
        <v>69.992500000000007</v>
      </c>
      <c r="E554" s="54">
        <f>(VLOOKUP($A554,'The List'!$B1:$AH665,17,FALSE)-AVERAGE('The List'!R2:R665))/STDEV('The List'!R2:R665)</f>
        <v>-0.4330851025616681</v>
      </c>
      <c r="F554" s="54">
        <f>(VLOOKUP($A554,'The List'!$B1:$AH665,18,FALSE)-AVERAGE('The List'!S2:S665))/STDEV('The List'!S2:S665)</f>
        <v>-0.9376599607446503</v>
      </c>
      <c r="G554" s="54">
        <f>(VLOOKUP($A554,'The List'!$B1:$AH665,19,FALSE)-AVERAGE('The List'!T2:T665))/STDEV('The List'!T2:T665)</f>
        <v>-0.98746222223474978</v>
      </c>
      <c r="H554" s="54">
        <f>(VLOOKUP($A554,'The List'!$B1:$AH665,20,FALSE)-AVERAGE('The List'!U2:U665))/STDEV('The List'!U2:U665)</f>
        <v>-1.0394805858602769</v>
      </c>
      <c r="I554" s="54">
        <f>(VLOOKUP($A554,'The List'!$B1:$AH665,21,FALSE)-AVERAGE('The List'!V2:V665))/STDEV('The List'!V2:V665)</f>
        <v>-1.1658667140617007</v>
      </c>
      <c r="J554" s="54">
        <f>(VLOOKUP($A554,'The List'!$B1:$AH665,22,FALSE)-AVERAGE('The List'!W2:W665))/STDEV('The List'!W2:W665)</f>
        <v>-0.74176058380515075</v>
      </c>
      <c r="K554" s="54">
        <f>(VLOOKUP($A554,'The List'!$B1:$AH665,23,FALSE)-AVERAGE('The List'!X2:X665))/STDEV('The List'!X2:X665)</f>
        <v>-0.81891191648874095</v>
      </c>
      <c r="L554" s="54">
        <f>(VLOOKUP($A554,'The List'!$B1:$AH665,24,FALSE)-AVERAGE('The List'!Y2:Y665))/STDEV('The List'!Y2:Y665)</f>
        <v>-0.5560942225558414</v>
      </c>
      <c r="M554" s="54">
        <f>(VLOOKUP($A554,'The List'!$B1:$AH665,25,FALSE)-AVERAGE('The List'!Z2:Z665))/STDEV('The List'!Z2:Z665)</f>
        <v>-0.6817706504583142</v>
      </c>
      <c r="N554" s="54">
        <f>(VLOOKUP($A554,'The List'!$B1:$AH665,26,FALSE)-AVERAGE('The List'!AA2:AA665))/STDEV('The List'!AA2:AA665)</f>
        <v>0.32796580247858409</v>
      </c>
      <c r="O554" s="54">
        <f>(VLOOKUP($A554,'The List'!$B1:$AH665,27,FALSE)-AVERAGE('The List'!AB2:AB665))/STDEV('The List'!AB2:AB665)</f>
        <v>-0.19790348053818388</v>
      </c>
      <c r="P554" s="54">
        <f>(VLOOKUP($A554,'The List'!$B1:$AH665,28,FALSE)-AVERAGE('The List'!AC2:AC665))/STDEV('The List'!AC2:AC665)</f>
        <v>-0.80098533781668868</v>
      </c>
      <c r="Q554" s="54">
        <f>(VLOOKUP($A554,'The List'!$B1:$AH665,29,FALSE)-AVERAGE('The List'!AD2:AD665))/STDEV('The List'!AD2:AD665)</f>
        <v>-7.6811083678331046E-2</v>
      </c>
      <c r="R554" s="54">
        <f>(VLOOKUP($A554,'The List'!$B1:$AH665,30,FALSE)-AVERAGE('The List'!AE2:AE665))/STDEV('The List'!AE2:AE665)</f>
        <v>-0.89169468954851838</v>
      </c>
      <c r="S554" s="54">
        <f>(VLOOKUP($A554,'The List'!$B1:$AH665,31,FALSE)-AVERAGE('The List'!AF2:AF665))/STDEV('The List'!AF2:AF665)</f>
        <v>-0.57389441068000469</v>
      </c>
      <c r="T554" s="54">
        <f>(VLOOKUP($A554,'The List'!$B1:$AH665,32,FALSE)-AVERAGE('The List'!AG2:AG665))/STDEV('The List'!AG2:AG665)</f>
        <v>-0.62577078713265111</v>
      </c>
      <c r="U554" s="54">
        <f>(VLOOKUP($A554,'The List'!$B1:$AH665,33,FALSE)-AVERAGE('The List'!AH2:AH665))/STDEV('The List'!AH2:AH665)</f>
        <v>-1.2314350945148611</v>
      </c>
      <c r="V554" s="54"/>
      <c r="W554" s="64"/>
      <c r="X554" s="56"/>
      <c r="Y554" s="56"/>
      <c r="Z554" s="56"/>
      <c r="AA554" s="56"/>
      <c r="AB554" s="56"/>
      <c r="AC554" s="59"/>
      <c r="AD554" s="60"/>
      <c r="AE554" s="54"/>
    </row>
    <row r="555" spans="1:31" ht="21.25" customHeight="1" x14ac:dyDescent="0.15">
      <c r="A555" s="9" t="s">
        <v>733</v>
      </c>
      <c r="B555" s="65" t="str">
        <f>VLOOKUP(A555,'Player Data'!A1:B667,2,FALSE)</f>
        <v>DET</v>
      </c>
      <c r="C555" s="51">
        <f>((E555)*Settings!$C$12)+(F555*Settings!$C$2)+(G555*Settings!$C$3)+(H555*Settings!$C$4)+(I555*Settings!$C$5)+(K555*Settings!$C$9)+(N555*Settings!$C$6)+(J555*Settings!$C$8)+(O555*Settings!$C$7)+(P555*Settings!$C$14)+(Q555*Settings!$C$15)+(R555*Settings!$C$16)+(S555*Settings!$C$17)+(T555*Settings!$C$18)+(U555*Settings!$C$19)+(L555*Settings!$C$10)+(Settings!$C$11*M555)</f>
        <v>-3.6980204158437546</v>
      </c>
      <c r="D555" s="56">
        <f>IF(Settings!$E$12="YES",VLOOKUP(A555,'Player Data'!A1:E667,5,FALSE),82)</f>
        <v>74.572500000000005</v>
      </c>
      <c r="E555" s="54">
        <f>(VLOOKUP($A555,'The List'!$B1:$AH665,17,FALSE)-AVERAGE('The List'!R2:R665))/STDEV('The List'!R2:R665)</f>
        <v>-1.3449543859934654</v>
      </c>
      <c r="F555" s="54">
        <f>(VLOOKUP($A555,'The List'!$B1:$AH665,18,FALSE)-AVERAGE('The List'!S2:S665))/STDEV('The List'!S2:S665)</f>
        <v>-0.65183385530275073</v>
      </c>
      <c r="G555" s="54">
        <f>(VLOOKUP($A555,'The List'!$B1:$AH665,19,FALSE)-AVERAGE('The List'!T2:T665))/STDEV('The List'!T2:T665)</f>
        <v>-1.1443213021140657</v>
      </c>
      <c r="H555" s="54">
        <f>(VLOOKUP($A555,'The List'!$B1:$AH665,20,FALSE)-AVERAGE('The List'!U2:U665))/STDEV('The List'!U2:U665)</f>
        <v>-1.0069773430268454</v>
      </c>
      <c r="I555" s="54">
        <f>(VLOOKUP($A555,'The List'!$B1:$AH665,21,FALSE)-AVERAGE('The List'!V2:V665))/STDEV('The List'!V2:V665)</f>
        <v>-0.63032641755326568</v>
      </c>
      <c r="J555" s="54">
        <f>(VLOOKUP($A555,'The List'!$B1:$AH665,22,FALSE)-AVERAGE('The List'!W2:W665))/STDEV('The List'!W2:W665)</f>
        <v>-0.73739059866656431</v>
      </c>
      <c r="K555" s="54">
        <f>(VLOOKUP($A555,'The List'!$B1:$AH665,23,FALSE)-AVERAGE('The List'!X2:X665))/STDEV('The List'!X2:X665)</f>
        <v>-0.82172391500339426</v>
      </c>
      <c r="L555" s="54">
        <f>(VLOOKUP($A555,'The List'!$B1:$AH665,24,FALSE)-AVERAGE('The List'!Y2:Y665))/STDEV('The List'!Y2:Y665)</f>
        <v>1.7039314981870484</v>
      </c>
      <c r="M555" s="54">
        <f>(VLOOKUP($A555,'The List'!$B1:$AH665,25,FALSE)-AVERAGE('The List'!Z2:Z665))/STDEV('The List'!Z2:Z665)</f>
        <v>0.75696604272992063</v>
      </c>
      <c r="N555" s="54">
        <f>(VLOOKUP($A555,'The List'!$B1:$AH665,26,FALSE)-AVERAGE('The List'!AA2:AA665))/STDEV('The List'!AA2:AA665)</f>
        <v>-0.41178347795072789</v>
      </c>
      <c r="O555" s="54">
        <f>(VLOOKUP($A555,'The List'!$B1:$AH665,27,FALSE)-AVERAGE('The List'!AB2:AB665))/STDEV('The List'!AB2:AB665)</f>
        <v>0.5434131386544534</v>
      </c>
      <c r="P555" s="54">
        <f>(VLOOKUP($A555,'The List'!$B1:$AH665,28,FALSE)-AVERAGE('The List'!AC2:AC665))/STDEV('The List'!AC2:AC665)</f>
        <v>-3.803144791955046E-2</v>
      </c>
      <c r="Q555" s="54">
        <f>(VLOOKUP($A555,'The List'!$B1:$AH665,29,FALSE)-AVERAGE('The List'!AD2:AD665))/STDEV('The List'!AD2:AD665)</f>
        <v>-1.0402554773426584</v>
      </c>
      <c r="R555" s="54">
        <f>(VLOOKUP($A555,'The List'!$B1:$AH665,30,FALSE)-AVERAGE('The List'!AE2:AE665))/STDEV('The List'!AE2:AE665)</f>
        <v>-0.6741025825735143</v>
      </c>
      <c r="S555" s="54">
        <f>(VLOOKUP($A555,'The List'!$B1:$AH665,31,FALSE)-AVERAGE('The List'!AF2:AF665))/STDEV('The List'!AF2:AF665)</f>
        <v>-0.27200783125645372</v>
      </c>
      <c r="T555" s="54">
        <f>(VLOOKUP($A555,'The List'!$B1:$AH665,32,FALSE)-AVERAGE('The List'!AG2:AG665))/STDEV('The List'!AG2:AG665)</f>
        <v>-0.29378612184480385</v>
      </c>
      <c r="U555" s="54">
        <f>(VLOOKUP($A555,'The List'!$B1:$AH665,33,FALSE)-AVERAGE('The List'!AH2:AH665))/STDEV('The List'!AH2:AH665)</f>
        <v>0.99731919315521778</v>
      </c>
      <c r="V555" s="54"/>
      <c r="W555" s="64"/>
      <c r="X555" s="56"/>
      <c r="Y555" s="56"/>
      <c r="Z555" s="56"/>
      <c r="AA555" s="56"/>
      <c r="AB555" s="56"/>
      <c r="AC555" s="59"/>
      <c r="AD555" s="60"/>
      <c r="AE555" s="54"/>
    </row>
    <row r="556" spans="1:31" ht="21.25" customHeight="1" x14ac:dyDescent="0.15">
      <c r="A556" s="9" t="s">
        <v>764</v>
      </c>
      <c r="B556" s="65" t="str">
        <f>VLOOKUP(A556,'Player Data'!A1:B667,2,FALSE)</f>
        <v>FLA</v>
      </c>
      <c r="C556" s="51">
        <f>((E556)*Settings!$C$12)+(F556*Settings!$C$2)+(G556*Settings!$C$3)+(H556*Settings!$C$4)+(I556*Settings!$C$5)+(K556*Settings!$C$9)+(N556*Settings!$C$6)+(J556*Settings!$C$8)+(O556*Settings!$C$7)+(P556*Settings!$C$14)+(Q556*Settings!$C$15)+(R556*Settings!$C$16)+(S556*Settings!$C$17)+(T556*Settings!$C$18)+(U556*Settings!$C$19)+(L556*Settings!$C$10)+(Settings!$C$11*M556)</f>
        <v>-5.174829742049452</v>
      </c>
      <c r="D556" s="56">
        <f>IF(Settings!$E$12="YES",VLOOKUP(A556,'Player Data'!A1:E667,5,FALSE),82)</f>
        <v>72.959999999999994</v>
      </c>
      <c r="E556" s="54">
        <f>(VLOOKUP($A556,'The List'!$B1:$AH665,17,FALSE)-AVERAGE('The List'!R2:R665))/STDEV('The List'!R2:R665)</f>
        <v>-1.9566602702905629</v>
      </c>
      <c r="F556" s="54">
        <f>(VLOOKUP($A556,'The List'!$B1:$AH665,18,FALSE)-AVERAGE('The List'!S2:S665))/STDEV('The List'!S2:S665)</f>
        <v>-0.73925129909091947</v>
      </c>
      <c r="G556" s="54">
        <f>(VLOOKUP($A556,'The List'!$B1:$AH665,19,FALSE)-AVERAGE('The List'!T2:T665))/STDEV('The List'!T2:T665)</f>
        <v>-1.1098110273097559</v>
      </c>
      <c r="H556" s="54">
        <f>(VLOOKUP($A556,'The List'!$B1:$AH665,20,FALSE)-AVERAGE('The List'!U2:U665))/STDEV('The List'!U2:U665)</f>
        <v>-1.0252799054120731</v>
      </c>
      <c r="I556" s="54">
        <f>(VLOOKUP($A556,'The List'!$B1:$AH665,21,FALSE)-AVERAGE('The List'!V2:V665))/STDEV('The List'!V2:V665)</f>
        <v>-0.89962599699765389</v>
      </c>
      <c r="J556" s="54">
        <f>(VLOOKUP($A556,'The List'!$B1:$AH665,22,FALSE)-AVERAGE('The List'!W2:W665))/STDEV('The List'!W2:W665)</f>
        <v>-0.7181795288316748</v>
      </c>
      <c r="K556" s="54">
        <f>(VLOOKUP($A556,'The List'!$B1:$AH665,23,FALSE)-AVERAGE('The List'!X2:X665))/STDEV('The List'!X2:X665)</f>
        <v>-0.81098092508071229</v>
      </c>
      <c r="L556" s="54">
        <f>(VLOOKUP($A556,'The List'!$B1:$AH665,24,FALSE)-AVERAGE('The List'!Y2:Y665))/STDEV('The List'!Y2:Y665)</f>
        <v>-0.42910338891168109</v>
      </c>
      <c r="M556" s="54">
        <f>(VLOOKUP($A556,'The List'!$B1:$AH665,25,FALSE)-AVERAGE('The List'!Z2:Z665))/STDEV('The List'!Z2:Z665)</f>
        <v>-0.59776795918172776</v>
      </c>
      <c r="N556" s="54">
        <f>(VLOOKUP($A556,'The List'!$B1:$AH665,26,FALSE)-AVERAGE('The List'!AA2:AA665))/STDEV('The List'!AA2:AA665)</f>
        <v>-0.78909974879404043</v>
      </c>
      <c r="O556" s="54">
        <f>(VLOOKUP($A556,'The List'!$B1:$AH665,27,FALSE)-AVERAGE('The List'!AB2:AB665))/STDEV('The List'!AB2:AB665)</f>
        <v>0.77406654710472278</v>
      </c>
      <c r="P556" s="54">
        <f>(VLOOKUP($A556,'The List'!$B1:$AH665,28,FALSE)-AVERAGE('The List'!AC2:AC665))/STDEV('The List'!AC2:AC665)</f>
        <v>-0.82606074477637059</v>
      </c>
      <c r="Q556" s="54">
        <f>(VLOOKUP($A556,'The List'!$B1:$AH665,29,FALSE)-AVERAGE('The List'!AD2:AD665))/STDEV('The List'!AD2:AD665)</f>
        <v>0.77025388965903396</v>
      </c>
      <c r="R556" s="54">
        <f>(VLOOKUP($A556,'The List'!$B1:$AH665,30,FALSE)-AVERAGE('The List'!AE2:AE665))/STDEV('The List'!AE2:AE665)</f>
        <v>-0.62523524374786554</v>
      </c>
      <c r="S556" s="54">
        <f>(VLOOKUP($A556,'The List'!$B1:$AH665,31,FALSE)-AVERAGE('The List'!AF2:AF665))/STDEV('The List'!AF2:AF665)</f>
        <v>-0.54556383886003146</v>
      </c>
      <c r="T556" s="54">
        <f>(VLOOKUP($A556,'The List'!$B1:$AH665,32,FALSE)-AVERAGE('The List'!AG2:AG665))/STDEV('The List'!AG2:AG665)</f>
        <v>-0.60411226271640195</v>
      </c>
      <c r="U556" s="54">
        <f>(VLOOKUP($A556,'The List'!$B1:$AH665,33,FALSE)-AVERAGE('The List'!AH2:AH665))/STDEV('The List'!AH2:AH665)</f>
        <v>1.4059831216586314</v>
      </c>
      <c r="V556" s="54"/>
      <c r="W556" s="56"/>
      <c r="X556" s="54"/>
      <c r="Y556" s="54"/>
      <c r="Z556" s="54"/>
      <c r="AA556" s="54"/>
      <c r="AB556" s="54"/>
      <c r="AC556" s="54"/>
      <c r="AD556" s="54"/>
      <c r="AE556" s="54"/>
    </row>
    <row r="557" spans="1:31" ht="21.25" customHeight="1" x14ac:dyDescent="0.15">
      <c r="A557" s="9" t="s">
        <v>629</v>
      </c>
      <c r="B557" s="65" t="str">
        <f>VLOOKUP(A557,'Player Data'!A1:B667,2,FALSE)</f>
        <v>WPG</v>
      </c>
      <c r="C557" s="51">
        <f>((E557)*Settings!$C$12)+(F557*Settings!$C$2)+(G557*Settings!$C$3)+(H557*Settings!$C$4)+(I557*Settings!$C$5)+(K557*Settings!$C$9)+(N557*Settings!$C$6)+(J557*Settings!$C$8)+(O557*Settings!$C$7)+(P557*Settings!$C$14)+(Q557*Settings!$C$15)+(R557*Settings!$C$16)+(S557*Settings!$C$17)+(T557*Settings!$C$18)+(U557*Settings!$C$19)+(L557*Settings!$C$10)+(Settings!$C$11*M557)</f>
        <v>-3.3117245663221504</v>
      </c>
      <c r="D557" s="56">
        <f>IF(Settings!$E$12="YES",VLOOKUP(A557,'Player Data'!A1:E667,5,FALSE),82)</f>
        <v>60.85</v>
      </c>
      <c r="E557" s="54">
        <f>(VLOOKUP($A557,'The List'!$B1:$AH665,17,FALSE)-AVERAGE('The List'!R2:R665))/STDEV('The List'!R2:R665)</f>
        <v>-0.43157362493508722</v>
      </c>
      <c r="F557" s="54">
        <f>(VLOOKUP($A557,'The List'!$B1:$AH665,18,FALSE)-AVERAGE('The List'!S2:S665))/STDEV('The List'!S2:S665)</f>
        <v>-1.092426812049254</v>
      </c>
      <c r="G557" s="54">
        <f>(VLOOKUP($A557,'The List'!$B1:$AH665,19,FALSE)-AVERAGE('The List'!T2:T665))/STDEV('The List'!T2:T665)</f>
        <v>-1.0173101313169579</v>
      </c>
      <c r="H557" s="54">
        <f>(VLOOKUP($A557,'The List'!$B1:$AH665,20,FALSE)-AVERAGE('The List'!U2:U665))/STDEV('The List'!U2:U665)</f>
        <v>-1.1283667062688687</v>
      </c>
      <c r="I557" s="54">
        <f>(VLOOKUP($A557,'The List'!$B1:$AH665,21,FALSE)-AVERAGE('The List'!V2:V665))/STDEV('The List'!V2:V665)</f>
        <v>-1.0551950778668628</v>
      </c>
      <c r="J557" s="54">
        <f>(VLOOKUP($A557,'The List'!$B1:$AH665,22,FALSE)-AVERAGE('The List'!W2:W665))/STDEV('The List'!W2:W665)</f>
        <v>-0.74056087048447738</v>
      </c>
      <c r="K557" s="54">
        <f>(VLOOKUP($A557,'The List'!$B1:$AH665,23,FALSE)-AVERAGE('The List'!X2:X665))/STDEV('The List'!X2:X665)</f>
        <v>-0.81603632935142678</v>
      </c>
      <c r="L557" s="54">
        <f>(VLOOKUP($A557,'The List'!$B1:$AH665,24,FALSE)-AVERAGE('The List'!Y2:Y665))/STDEV('The List'!Y2:Y665)</f>
        <v>-0.53967939929122433</v>
      </c>
      <c r="M557" s="54">
        <f>(VLOOKUP($A557,'The List'!$B1:$AH665,25,FALSE)-AVERAGE('The List'!Z2:Z665))/STDEV('The List'!Z2:Z665)</f>
        <v>-0.47426159848799004</v>
      </c>
      <c r="N557" s="54">
        <f>(VLOOKUP($A557,'The List'!$B1:$AH665,26,FALSE)-AVERAGE('The List'!AA2:AA665))/STDEV('The List'!AA2:AA665)</f>
        <v>0.45213440014885137</v>
      </c>
      <c r="O557" s="54">
        <f>(VLOOKUP($A557,'The List'!$B1:$AH665,27,FALSE)-AVERAGE('The List'!AB2:AB665))/STDEV('The List'!AB2:AB665)</f>
        <v>0.28264035261746095</v>
      </c>
      <c r="P557" s="54">
        <f>(VLOOKUP($A557,'The List'!$B1:$AH665,28,FALSE)-AVERAGE('The List'!AC2:AC665))/STDEV('The List'!AC2:AC665)</f>
        <v>0.21710938411349889</v>
      </c>
      <c r="Q557" s="54">
        <f>(VLOOKUP($A557,'The List'!$B1:$AH665,29,FALSE)-AVERAGE('The List'!AD2:AD665))/STDEV('The List'!AD2:AD665)</f>
        <v>1.0926632280718438</v>
      </c>
      <c r="R557" s="54">
        <f>(VLOOKUP($A557,'The List'!$B1:$AH665,30,FALSE)-AVERAGE('The List'!AE2:AE665))/STDEV('The List'!AE2:AE665)</f>
        <v>-1.0178288127417834</v>
      </c>
      <c r="S557" s="54">
        <f>(VLOOKUP($A557,'The List'!$B1:$AH665,31,FALSE)-AVERAGE('The List'!AF2:AF665))/STDEV('The List'!AF2:AF665)</f>
        <v>-0.57389441068000469</v>
      </c>
      <c r="T557" s="54">
        <f>(VLOOKUP($A557,'The List'!$B1:$AH665,32,FALSE)-AVERAGE('The List'!AG2:AG665))/STDEV('The List'!AG2:AG665)</f>
        <v>-0.62577078713265111</v>
      </c>
      <c r="U557" s="54">
        <f>(VLOOKUP($A557,'The List'!$B1:$AH665,33,FALSE)-AVERAGE('The List'!AH2:AH665))/STDEV('The List'!AH2:AH665)</f>
        <v>-1.2314350945148611</v>
      </c>
      <c r="V557" s="54"/>
      <c r="W557" s="56"/>
      <c r="X557" s="54"/>
      <c r="Y557" s="54"/>
      <c r="Z557" s="54"/>
      <c r="AA557" s="54"/>
      <c r="AB557" s="54"/>
      <c r="AC557" s="54"/>
      <c r="AD557" s="54"/>
      <c r="AE557" s="54"/>
    </row>
    <row r="558" spans="1:31" ht="21.25" customHeight="1" x14ac:dyDescent="0.15">
      <c r="A558" s="9" t="s">
        <v>702</v>
      </c>
      <c r="B558" s="65" t="str">
        <f>VLOOKUP(A558,'Player Data'!A1:B667,2,FALSE)</f>
        <v>N.J</v>
      </c>
      <c r="C558" s="51">
        <f>((E558)*Settings!$C$12)+(F558*Settings!$C$2)+(G558*Settings!$C$3)+(H558*Settings!$C$4)+(I558*Settings!$C$5)+(K558*Settings!$C$9)+(N558*Settings!$C$6)+(J558*Settings!$C$8)+(O558*Settings!$C$7)+(P558*Settings!$C$14)+(Q558*Settings!$C$15)+(R558*Settings!$C$16)+(S558*Settings!$C$17)+(T558*Settings!$C$18)+(U558*Settings!$C$19)+(L558*Settings!$C$10)+(Settings!$C$11*M558)</f>
        <v>-4.2121150881411076</v>
      </c>
      <c r="D558" s="56">
        <f>IF(Settings!$E$12="YES",VLOOKUP(A558,'Player Data'!A1:E667,5,FALSE),82)</f>
        <v>55</v>
      </c>
      <c r="E558" s="54">
        <f>(VLOOKUP($A558,'The List'!$B1:$AH665,17,FALSE)-AVERAGE('The List'!R2:R665))/STDEV('The List'!R2:R665)</f>
        <v>-0.7949591800408301</v>
      </c>
      <c r="F558" s="54">
        <f>(VLOOKUP($A558,'The List'!$B1:$AH665,18,FALSE)-AVERAGE('The List'!S2:S665))/STDEV('The List'!S2:S665)</f>
        <v>-1.1580706661254581</v>
      </c>
      <c r="G558" s="54">
        <f>(VLOOKUP($A558,'The List'!$B1:$AH665,19,FALSE)-AVERAGE('The List'!T2:T665))/STDEV('The List'!T2:T665)</f>
        <v>-1.0597980500271411</v>
      </c>
      <c r="H558" s="54">
        <f>(VLOOKUP($A558,'The List'!$B1:$AH665,20,FALSE)-AVERAGE('The List'!U2:U665))/STDEV('The List'!U2:U665)</f>
        <v>-1.1845923447839168</v>
      </c>
      <c r="I558" s="54">
        <f>(VLOOKUP($A558,'The List'!$B1:$AH665,21,FALSE)-AVERAGE('The List'!V2:V665))/STDEV('The List'!V2:V665)</f>
        <v>-1.3721426673089727</v>
      </c>
      <c r="J558" s="54">
        <f>(VLOOKUP($A558,'The List'!$B1:$AH665,22,FALSE)-AVERAGE('The List'!W2:W665))/STDEV('The List'!W2:W665)</f>
        <v>-0.74554349927083885</v>
      </c>
      <c r="K558" s="54">
        <f>(VLOOKUP($A558,'The List'!$B1:$AH665,23,FALSE)-AVERAGE('The List'!X2:X665))/STDEV('The List'!X2:X665)</f>
        <v>-0.82808787726545752</v>
      </c>
      <c r="L558" s="54">
        <f>(VLOOKUP($A558,'The List'!$B1:$AH665,24,FALSE)-AVERAGE('The List'!Y2:Y665))/STDEV('The List'!Y2:Y665)</f>
        <v>-0.51278914765560624</v>
      </c>
      <c r="M558" s="54">
        <f>(VLOOKUP($A558,'The List'!$B1:$AH665,25,FALSE)-AVERAGE('The List'!Z2:Z665))/STDEV('The List'!Z2:Z665)</f>
        <v>-0.55636659401752087</v>
      </c>
      <c r="N558" s="54">
        <f>(VLOOKUP($A558,'The List'!$B1:$AH665,26,FALSE)-AVERAGE('The List'!AA2:AA665))/STDEV('The List'!AA2:AA665)</f>
        <v>-0.16930341014138844</v>
      </c>
      <c r="O558" s="54">
        <f>(VLOOKUP($A558,'The List'!$B1:$AH665,27,FALSE)-AVERAGE('The List'!AB2:AB665))/STDEV('The List'!AB2:AB665)</f>
        <v>-0.5243866676461939</v>
      </c>
      <c r="P558" s="54">
        <f>(VLOOKUP($A558,'The List'!$B1:$AH665,28,FALSE)-AVERAGE('The List'!AC2:AC665))/STDEV('The List'!AC2:AC665)</f>
        <v>0.37528758272730989</v>
      </c>
      <c r="Q558" s="54">
        <f>(VLOOKUP($A558,'The List'!$B1:$AH665,29,FALSE)-AVERAGE('The List'!AD2:AD665))/STDEV('The List'!AD2:AD665)</f>
        <v>-1.0484526172819864</v>
      </c>
      <c r="R558" s="54">
        <f>(VLOOKUP($A558,'The List'!$B1:$AH665,30,FALSE)-AVERAGE('The List'!AE2:AE665))/STDEV('The List'!AE2:AE665)</f>
        <v>-1.1051463758317515</v>
      </c>
      <c r="S558" s="54">
        <f>(VLOOKUP($A558,'The List'!$B1:$AH665,31,FALSE)-AVERAGE('The List'!AF2:AF665))/STDEV('The List'!AF2:AF665)</f>
        <v>-0.57389441068000469</v>
      </c>
      <c r="T558" s="54">
        <f>(VLOOKUP($A558,'The List'!$B1:$AH665,32,FALSE)-AVERAGE('The List'!AG2:AG665))/STDEV('The List'!AG2:AG665)</f>
        <v>-0.62577078713265111</v>
      </c>
      <c r="U558" s="54">
        <f>(VLOOKUP($A558,'The List'!$B1:$AH665,33,FALSE)-AVERAGE('The List'!AH2:AH665))/STDEV('The List'!AH2:AH665)</f>
        <v>-1.2314350945148611</v>
      </c>
      <c r="V558" s="54"/>
      <c r="W558" s="56"/>
      <c r="X558" s="54"/>
      <c r="Y558" s="54"/>
      <c r="Z558" s="54"/>
      <c r="AA558" s="54"/>
      <c r="AB558" s="54"/>
      <c r="AC558" s="54"/>
      <c r="AD558" s="54"/>
      <c r="AE558" s="54"/>
    </row>
    <row r="559" spans="1:31" ht="21.25" customHeight="1" x14ac:dyDescent="0.15">
      <c r="A559" s="9" t="s">
        <v>741</v>
      </c>
      <c r="B559" s="65" t="str">
        <f>VLOOKUP(A559,'Player Data'!A1:B667,2,FALSE)</f>
        <v>OTT</v>
      </c>
      <c r="C559" s="51">
        <f>((E559)*Settings!$C$12)+(F559*Settings!$C$2)+(G559*Settings!$C$3)+(H559*Settings!$C$4)+(I559*Settings!$C$5)+(K559*Settings!$C$9)+(N559*Settings!$C$6)+(J559*Settings!$C$8)+(O559*Settings!$C$7)+(P559*Settings!$C$14)+(Q559*Settings!$C$15)+(R559*Settings!$C$16)+(S559*Settings!$C$17)+(T559*Settings!$C$18)+(U559*Settings!$C$19)+(L559*Settings!$C$10)+(Settings!$C$11*M559)</f>
        <v>-3.0029115185464477</v>
      </c>
      <c r="D559" s="56">
        <f>IF(Settings!$E$12="YES",VLOOKUP(A559,'Player Data'!A1:E667,5,FALSE),82)</f>
        <v>73.319999999999993</v>
      </c>
      <c r="E559" s="54">
        <f>(VLOOKUP($A559,'The List'!$B1:$AH665,17,FALSE)-AVERAGE('The List'!R2:R665))/STDEV('The List'!R2:R665)</f>
        <v>-1.4371704041865132</v>
      </c>
      <c r="F559" s="54">
        <f>(VLOOKUP($A559,'The List'!$B1:$AH665,18,FALSE)-AVERAGE('The List'!S2:S665))/STDEV('The List'!S2:S665)</f>
        <v>-0.70447763647900397</v>
      </c>
      <c r="G559" s="54">
        <f>(VLOOKUP($A559,'The List'!$B1:$AH665,19,FALSE)-AVERAGE('The List'!T2:T665))/STDEV('The List'!T2:T665)</f>
        <v>-1.1447684008766121</v>
      </c>
      <c r="H559" s="54">
        <f>(VLOOKUP($A559,'The List'!$B1:$AH665,20,FALSE)-AVERAGE('The List'!U2:U665))/STDEV('The List'!U2:U665)</f>
        <v>-1.0311841174022982</v>
      </c>
      <c r="I559" s="54">
        <f>(VLOOKUP($A559,'The List'!$B1:$AH665,21,FALSE)-AVERAGE('The List'!V2:V665))/STDEV('The List'!V2:V665)</f>
        <v>-0.16798855282009664</v>
      </c>
      <c r="J559" s="54">
        <f>(VLOOKUP($A559,'The List'!$B1:$AH665,22,FALSE)-AVERAGE('The List'!W2:W665))/STDEV('The List'!W2:W665)</f>
        <v>-0.72893215470257267</v>
      </c>
      <c r="K559" s="54">
        <f>(VLOOKUP($A559,'The List'!$B1:$AH665,23,FALSE)-AVERAGE('The List'!X2:X665))/STDEV('The List'!X2:X665)</f>
        <v>-0.81503061838439317</v>
      </c>
      <c r="L559" s="54">
        <f>(VLOOKUP($A559,'The List'!$B1:$AH665,24,FALSE)-AVERAGE('The List'!Y2:Y665))/STDEV('The List'!Y2:Y665)</f>
        <v>-0.27253330862490066</v>
      </c>
      <c r="M559" s="54">
        <f>(VLOOKUP($A559,'The List'!$B1:$AH665,25,FALSE)-AVERAGE('The List'!Z2:Z665))/STDEV('The List'!Z2:Z665)</f>
        <v>3.3955367396687121E-2</v>
      </c>
      <c r="N559" s="54">
        <f>(VLOOKUP($A559,'The List'!$B1:$AH665,26,FALSE)-AVERAGE('The List'!AA2:AA665))/STDEV('The List'!AA2:AA665)</f>
        <v>-0.69335150140292423</v>
      </c>
      <c r="O559" s="54">
        <f>(VLOOKUP($A559,'The List'!$B1:$AH665,27,FALSE)-AVERAGE('The List'!AB2:AB665))/STDEV('The List'!AB2:AB665)</f>
        <v>1.0739069595512527</v>
      </c>
      <c r="P559" s="54">
        <f>(VLOOKUP($A559,'The List'!$B1:$AH665,28,FALSE)-AVERAGE('The List'!AC2:AC665))/STDEV('The List'!AC2:AC665)</f>
        <v>0.52270519141658289</v>
      </c>
      <c r="Q559" s="54">
        <f>(VLOOKUP($A559,'The List'!$B1:$AH665,29,FALSE)-AVERAGE('The List'!AD2:AD665))/STDEV('The List'!AD2:AD665)</f>
        <v>-0.56440864362332044</v>
      </c>
      <c r="R559" s="54">
        <f>(VLOOKUP($A559,'The List'!$B1:$AH665,30,FALSE)-AVERAGE('The List'!AE2:AE665))/STDEV('The List'!AE2:AE665)</f>
        <v>-0.64816021380607935</v>
      </c>
      <c r="S559" s="54">
        <f>(VLOOKUP($A559,'The List'!$B1:$AH665,31,FALSE)-AVERAGE('The List'!AF2:AF665))/STDEV('The List'!AF2:AF665)</f>
        <v>-0.51527319645389846</v>
      </c>
      <c r="T559" s="54">
        <f>(VLOOKUP($A559,'The List'!$B1:$AH665,32,FALSE)-AVERAGE('The List'!AG2:AG665))/STDEV('The List'!AG2:AG665)</f>
        <v>-0.54034792354017269</v>
      </c>
      <c r="U559" s="54">
        <f>(VLOOKUP($A559,'The List'!$B1:$AH665,33,FALSE)-AVERAGE('The List'!AH2:AH665))/STDEV('The List'!AH2:AH665)</f>
        <v>0.68124233027265435</v>
      </c>
      <c r="V559" s="54"/>
      <c r="W559" s="64"/>
      <c r="X559" s="56"/>
      <c r="Y559" s="56"/>
      <c r="Z559" s="56"/>
      <c r="AA559" s="56"/>
      <c r="AB559" s="56"/>
      <c r="AC559" s="59"/>
      <c r="AD559" s="60"/>
      <c r="AE559" s="54"/>
    </row>
    <row r="560" spans="1:31" ht="21.25" customHeight="1" x14ac:dyDescent="0.15">
      <c r="A560" s="9" t="s">
        <v>582</v>
      </c>
      <c r="B560" s="65" t="str">
        <f>VLOOKUP(A560,'Player Data'!A1:B667,2,FALSE)</f>
        <v>NSH</v>
      </c>
      <c r="C560" s="51">
        <f>((E560)*Settings!$C$12)+(F560*Settings!$C$2)+(G560*Settings!$C$3)+(H560*Settings!$C$4)+(I560*Settings!$C$5)+(K560*Settings!$C$9)+(N560*Settings!$C$6)+(J560*Settings!$C$8)+(O560*Settings!$C$7)+(P560*Settings!$C$14)+(Q560*Settings!$C$15)+(R560*Settings!$C$16)+(S560*Settings!$C$17)+(T560*Settings!$C$18)+(U560*Settings!$C$19)+(L560*Settings!$C$10)+(Settings!$C$11*M560)</f>
        <v>-2.7573429833077903</v>
      </c>
      <c r="D560" s="56">
        <f>IF(Settings!$E$12="YES",VLOOKUP(A560,'Player Data'!A1:E667,5,FALSE),82)</f>
        <v>75.407499999999999</v>
      </c>
      <c r="E560" s="54">
        <f>(VLOOKUP($A560,'The List'!$B1:$AH665,17,FALSE)-AVERAGE('The List'!R2:R665))/STDEV('The List'!R2:R665)</f>
        <v>-0.44465586909244814</v>
      </c>
      <c r="F560" s="54">
        <f>(VLOOKUP($A560,'The List'!$B1:$AH665,18,FALSE)-AVERAGE('The List'!S2:S665))/STDEV('The List'!S2:S665)</f>
        <v>-1.063194376862487</v>
      </c>
      <c r="G560" s="54">
        <f>(VLOOKUP($A560,'The List'!$B1:$AH665,19,FALSE)-AVERAGE('The List'!T2:T665))/STDEV('The List'!T2:T665)</f>
        <v>-0.86027569811117199</v>
      </c>
      <c r="H560" s="54">
        <f>(VLOOKUP($A560,'The List'!$B1:$AH665,20,FALSE)-AVERAGE('The List'!U2:U665))/STDEV('The List'!U2:U665)</f>
        <v>-1.0175519621764901</v>
      </c>
      <c r="I560" s="54">
        <f>(VLOOKUP($A560,'The List'!$B1:$AH665,21,FALSE)-AVERAGE('The List'!V2:V665))/STDEV('The List'!V2:V665)</f>
        <v>-0.82817213435969261</v>
      </c>
      <c r="J560" s="54">
        <f>(VLOOKUP($A560,'The List'!$B1:$AH665,22,FALSE)-AVERAGE('The List'!W2:W665))/STDEV('The List'!W2:W665)</f>
        <v>-0.74276935924432819</v>
      </c>
      <c r="K560" s="54">
        <f>(VLOOKUP($A560,'The List'!$B1:$AH665,23,FALSE)-AVERAGE('The List'!X2:X665))/STDEV('The List'!X2:X665)</f>
        <v>-0.82080649254570426</v>
      </c>
      <c r="L560" s="54">
        <f>(VLOOKUP($A560,'The List'!$B1:$AH665,24,FALSE)-AVERAGE('The List'!Y2:Y665))/STDEV('The List'!Y2:Y665)</f>
        <v>-0.5299499004603232</v>
      </c>
      <c r="M560" s="54">
        <f>(VLOOKUP($A560,'The List'!$B1:$AH665,25,FALSE)-AVERAGE('The List'!Z2:Z665))/STDEV('The List'!Z2:Z665)</f>
        <v>-0.61227386149231233</v>
      </c>
      <c r="N560" s="54">
        <f>(VLOOKUP($A560,'The List'!$B1:$AH665,26,FALSE)-AVERAGE('The List'!AA2:AA665))/STDEV('The List'!AA2:AA665)</f>
        <v>0.68278797545351688</v>
      </c>
      <c r="O560" s="54">
        <f>(VLOOKUP($A560,'The List'!$B1:$AH665,27,FALSE)-AVERAGE('The List'!AB2:AB665))/STDEV('The List'!AB2:AB665)</f>
        <v>2.6986713048263091</v>
      </c>
      <c r="P560" s="54">
        <f>(VLOOKUP($A560,'The List'!$B1:$AH665,28,FALSE)-AVERAGE('The List'!AC2:AC665))/STDEV('The List'!AC2:AC665)</f>
        <v>0.13231774311774852</v>
      </c>
      <c r="Q560" s="54">
        <f>(VLOOKUP($A560,'The List'!$B1:$AH665,29,FALSE)-AVERAGE('The List'!AD2:AD665))/STDEV('The List'!AD2:AD665)</f>
        <v>1.6918745021325081</v>
      </c>
      <c r="R560" s="54">
        <f>(VLOOKUP($A560,'The List'!$B1:$AH665,30,FALSE)-AVERAGE('The List'!AE2:AE665))/STDEV('The List'!AE2:AE665)</f>
        <v>-1.0293687614733296</v>
      </c>
      <c r="S560" s="54">
        <f>(VLOOKUP($A560,'The List'!$B1:$AH665,31,FALSE)-AVERAGE('The List'!AF2:AF665))/STDEV('The List'!AF2:AF665)</f>
        <v>-0.57389441068000469</v>
      </c>
      <c r="T560" s="54">
        <f>(VLOOKUP($A560,'The List'!$B1:$AH665,32,FALSE)-AVERAGE('The List'!AG2:AG665))/STDEV('The List'!AG2:AG665)</f>
        <v>-0.62577078713265111</v>
      </c>
      <c r="U560" s="54">
        <f>(VLOOKUP($A560,'The List'!$B1:$AH665,33,FALSE)-AVERAGE('The List'!AH2:AH665))/STDEV('The List'!AH2:AH665)</f>
        <v>-1.2314350945148611</v>
      </c>
      <c r="V560" s="54"/>
      <c r="W560" s="56"/>
      <c r="X560" s="54"/>
      <c r="Y560" s="54"/>
      <c r="Z560" s="54"/>
      <c r="AA560" s="54"/>
      <c r="AB560" s="54"/>
      <c r="AC560" s="54"/>
      <c r="AD560" s="54"/>
      <c r="AE560" s="54"/>
    </row>
    <row r="561" spans="1:31" ht="21.25" customHeight="1" x14ac:dyDescent="0.15">
      <c r="A561" s="9" t="s">
        <v>778</v>
      </c>
      <c r="B561" s="65" t="str">
        <f>VLOOKUP(A561,'Player Data'!A1:B667,2,FALSE)</f>
        <v>EDM</v>
      </c>
      <c r="C561" s="51">
        <f>((E561)*Settings!$C$12)+(F561*Settings!$C$2)+(G561*Settings!$C$3)+(H561*Settings!$C$4)+(I561*Settings!$C$5)+(K561*Settings!$C$9)+(N561*Settings!$C$6)+(J561*Settings!$C$8)+(O561*Settings!$C$7)+(P561*Settings!$C$14)+(Q561*Settings!$C$15)+(R561*Settings!$C$16)+(S561*Settings!$C$17)+(T561*Settings!$C$18)+(U561*Settings!$C$19)+(L561*Settings!$C$10)+(Settings!$C$11*M561)</f>
        <v>-3.4738996580694321</v>
      </c>
      <c r="D561" s="56">
        <f>IF(Settings!$E$12="YES",VLOOKUP(A561,'Player Data'!A1:E667,5,FALSE),82)</f>
        <v>76.377499999999998</v>
      </c>
      <c r="E561" s="54">
        <f>(VLOOKUP($A561,'The List'!$B1:$AH665,17,FALSE)-AVERAGE('The List'!R2:R665))/STDEV('The List'!R2:R665)</f>
        <v>-1.3358855219260299</v>
      </c>
      <c r="F561" s="54">
        <f>(VLOOKUP($A561,'The List'!$B1:$AH665,18,FALSE)-AVERAGE('The List'!S2:S665))/STDEV('The List'!S2:S665)</f>
        <v>-0.82287800303635006</v>
      </c>
      <c r="G561" s="54">
        <f>(VLOOKUP($A561,'The List'!$B1:$AH665,19,FALSE)-AVERAGE('The List'!T2:T665))/STDEV('The List'!T2:T665)</f>
        <v>-1.0299149191773342</v>
      </c>
      <c r="H561" s="54">
        <f>(VLOOKUP($A561,'The List'!$B1:$AH665,20,FALSE)-AVERAGE('The List'!U2:U665))/STDEV('The List'!U2:U665)</f>
        <v>-1.0136722418938786</v>
      </c>
      <c r="I561" s="54">
        <f>(VLOOKUP($A561,'The List'!$B1:$AH665,21,FALSE)-AVERAGE('The List'!V2:V665))/STDEV('The List'!V2:V665)</f>
        <v>-0.9706771978935107</v>
      </c>
      <c r="J561" s="54">
        <f>(VLOOKUP($A561,'The List'!$B1:$AH665,22,FALSE)-AVERAGE('The List'!W2:W665))/STDEV('The List'!W2:W665)</f>
        <v>-0.73972387967373199</v>
      </c>
      <c r="K561" s="54">
        <f>(VLOOKUP($A561,'The List'!$B1:$AH665,23,FALSE)-AVERAGE('The List'!X2:X665))/STDEV('The List'!X2:X665)</f>
        <v>-0.82353371111305096</v>
      </c>
      <c r="L561" s="54">
        <f>(VLOOKUP($A561,'The List'!$B1:$AH665,24,FALSE)-AVERAGE('The List'!Y2:Y665))/STDEV('The List'!Y2:Y665)</f>
        <v>1.3619840911485415</v>
      </c>
      <c r="M561" s="54">
        <f>(VLOOKUP($A561,'The List'!$B1:$AH665,25,FALSE)-AVERAGE('The List'!Z2:Z665))/STDEV('The List'!Z2:Z665)</f>
        <v>1.031093457613107</v>
      </c>
      <c r="N561" s="54">
        <f>(VLOOKUP($A561,'The List'!$B1:$AH665,26,FALSE)-AVERAGE('The List'!AA2:AA665))/STDEV('The List'!AA2:AA665)</f>
        <v>-0.93671391399382431</v>
      </c>
      <c r="O561" s="54">
        <f>(VLOOKUP($A561,'The List'!$B1:$AH665,27,FALSE)-AVERAGE('The List'!AB2:AB665))/STDEV('The List'!AB2:AB665)</f>
        <v>-0.74851861978289314</v>
      </c>
      <c r="P561" s="54">
        <f>(VLOOKUP($A561,'The List'!$B1:$AH665,28,FALSE)-AVERAGE('The List'!AC2:AC665))/STDEV('The List'!AC2:AC665)</f>
        <v>1.1098180871446379</v>
      </c>
      <c r="Q561" s="54">
        <f>(VLOOKUP($A561,'The List'!$B1:$AH665,29,FALSE)-AVERAGE('The List'!AD2:AD665))/STDEV('The List'!AD2:AD665)</f>
        <v>-0.26297641551145334</v>
      </c>
      <c r="R561" s="54">
        <f>(VLOOKUP($A561,'The List'!$B1:$AH665,30,FALSE)-AVERAGE('The List'!AE2:AE665))/STDEV('The List'!AE2:AE665)</f>
        <v>-0.74580315379632256</v>
      </c>
      <c r="S561" s="54">
        <f>(VLOOKUP($A561,'The List'!$B1:$AH665,31,FALSE)-AVERAGE('The List'!AF2:AF665))/STDEV('The List'!AF2:AF665)</f>
        <v>-0.43302561201947737</v>
      </c>
      <c r="T561" s="54">
        <f>(VLOOKUP($A561,'The List'!$B1:$AH665,32,FALSE)-AVERAGE('The List'!AG2:AG665))/STDEV('The List'!AG2:AG665)</f>
        <v>-0.42456458940466285</v>
      </c>
      <c r="U561" s="54">
        <f>(VLOOKUP($A561,'The List'!$B1:$AH665,33,FALSE)-AVERAGE('The List'!AH2:AH665))/STDEV('The List'!AH2:AH665)</f>
        <v>0.7034066019229418</v>
      </c>
      <c r="V561" s="54"/>
      <c r="W561" s="64"/>
      <c r="X561" s="56"/>
      <c r="Y561" s="56"/>
      <c r="Z561" s="56"/>
      <c r="AA561" s="56"/>
      <c r="AB561" s="56"/>
      <c r="AC561" s="59"/>
      <c r="AD561" s="60"/>
      <c r="AE561" s="54"/>
    </row>
    <row r="562" spans="1:31" ht="21.25" customHeight="1" x14ac:dyDescent="0.15">
      <c r="A562" s="9" t="s">
        <v>484</v>
      </c>
      <c r="B562" s="65" t="str">
        <f>VLOOKUP(A562,'Player Data'!A1:B667,2,FALSE)</f>
        <v>CHI</v>
      </c>
      <c r="C562" s="51">
        <f>((E562)*Settings!$C$12)+(F562*Settings!$C$2)+(G562*Settings!$C$3)+(H562*Settings!$C$4)+(I562*Settings!$C$5)+(K562*Settings!$C$9)+(N562*Settings!$C$6)+(J562*Settings!$C$8)+(O562*Settings!$C$7)+(P562*Settings!$C$14)+(Q562*Settings!$C$15)+(R562*Settings!$C$16)+(S562*Settings!$C$17)+(T562*Settings!$C$18)+(U562*Settings!$C$19)+(L562*Settings!$C$10)+(Settings!$C$11*M562)</f>
        <v>-1.4900249207970759</v>
      </c>
      <c r="D562" s="56">
        <f>IF(Settings!$E$12="YES",VLOOKUP(A562,'Player Data'!A1:E667,5,FALSE),82)</f>
        <v>70.95</v>
      </c>
      <c r="E562" s="54">
        <f>(VLOOKUP($A562,'The List'!$B1:$AH665,17,FALSE)-AVERAGE('The List'!R2:R665))/STDEV('The List'!R2:R665)</f>
        <v>0.11650145956506705</v>
      </c>
      <c r="F562" s="54">
        <f>(VLOOKUP($A562,'The List'!$B1:$AH665,18,FALSE)-AVERAGE('The List'!S2:S665))/STDEV('The List'!S2:S665)</f>
        <v>-1.0311646964872601</v>
      </c>
      <c r="G562" s="54">
        <f>(VLOOKUP($A562,'The List'!$B1:$AH665,19,FALSE)-AVERAGE('The List'!T2:T665))/STDEV('The List'!T2:T665)</f>
        <v>-0.95498727262453031</v>
      </c>
      <c r="H562" s="54">
        <f>(VLOOKUP($A562,'The List'!$B1:$AH665,20,FALSE)-AVERAGE('The List'!U2:U665))/STDEV('The List'!U2:U665)</f>
        <v>-1.0618141631790383</v>
      </c>
      <c r="I562" s="54">
        <f>(VLOOKUP($A562,'The List'!$B1:$AH665,21,FALSE)-AVERAGE('The List'!V2:V665))/STDEV('The List'!V2:V665)</f>
        <v>-1.0052277387478894</v>
      </c>
      <c r="J562" s="54">
        <f>(VLOOKUP($A562,'The List'!$B1:$AH665,22,FALSE)-AVERAGE('The List'!W2:W665))/STDEV('The List'!W2:W665)</f>
        <v>-0.74338417711306781</v>
      </c>
      <c r="K562" s="54">
        <f>(VLOOKUP($A562,'The List'!$B1:$AH665,23,FALSE)-AVERAGE('The List'!X2:X665))/STDEV('The List'!X2:X665)</f>
        <v>-0.81262872423021915</v>
      </c>
      <c r="L562" s="54">
        <f>(VLOOKUP($A562,'The List'!$B1:$AH665,24,FALSE)-AVERAGE('The List'!Y2:Y665))/STDEV('The List'!Y2:Y665)</f>
        <v>-0.55483280470346374</v>
      </c>
      <c r="M562" s="54">
        <f>(VLOOKUP($A562,'The List'!$B1:$AH665,25,FALSE)-AVERAGE('The List'!Z2:Z665))/STDEV('The List'!Z2:Z665)</f>
        <v>-0.67337259933312532</v>
      </c>
      <c r="N562" s="54">
        <f>(VLOOKUP($A562,'The List'!$B1:$AH665,26,FALSE)-AVERAGE('The List'!AA2:AA665))/STDEV('The List'!AA2:AA665)</f>
        <v>2.4494640840758093</v>
      </c>
      <c r="O562" s="54">
        <f>(VLOOKUP($A562,'The List'!$B1:$AH665,27,FALSE)-AVERAGE('The List'!AB2:AB665))/STDEV('The List'!AB2:AB665)</f>
        <v>-0.7527266809980746</v>
      </c>
      <c r="P562" s="54">
        <f>(VLOOKUP($A562,'The List'!$B1:$AH665,28,FALSE)-AVERAGE('The List'!AC2:AC665))/STDEV('The List'!AC2:AC665)</f>
        <v>-0.13548057278298656</v>
      </c>
      <c r="Q562" s="54">
        <f>(VLOOKUP($A562,'The List'!$B1:$AH665,29,FALSE)-AVERAGE('The List'!AD2:AD665))/STDEV('The List'!AD2:AD665)</f>
        <v>-1.0171218629760637</v>
      </c>
      <c r="R562" s="54">
        <f>(VLOOKUP($A562,'The List'!$B1:$AH665,30,FALSE)-AVERAGE('The List'!AE2:AE665))/STDEV('The List'!AE2:AE665)</f>
        <v>-1.0242349389153165</v>
      </c>
      <c r="S562" s="54">
        <f>(VLOOKUP($A562,'The List'!$B1:$AH665,31,FALSE)-AVERAGE('The List'!AF2:AF665))/STDEV('The List'!AF2:AF665)</f>
        <v>-0.57389441068000469</v>
      </c>
      <c r="T562" s="54">
        <f>(VLOOKUP($A562,'The List'!$B1:$AH665,32,FALSE)-AVERAGE('The List'!AG2:AG665))/STDEV('The List'!AG2:AG665)</f>
        <v>-0.62577078713265111</v>
      </c>
      <c r="U562" s="54">
        <f>(VLOOKUP($A562,'The List'!$B1:$AH665,33,FALSE)-AVERAGE('The List'!AH2:AH665))/STDEV('The List'!AH2:AH665)</f>
        <v>-1.2314350945148611</v>
      </c>
      <c r="V562" s="54"/>
      <c r="W562" s="64"/>
      <c r="X562" s="56"/>
      <c r="Y562" s="56"/>
      <c r="Z562" s="56"/>
      <c r="AA562" s="56"/>
      <c r="AB562" s="56"/>
      <c r="AC562" s="59"/>
      <c r="AD562" s="60"/>
      <c r="AE562" s="54"/>
    </row>
    <row r="563" spans="1:31" ht="21.25" customHeight="1" x14ac:dyDescent="0.15">
      <c r="A563" s="9" t="s">
        <v>662</v>
      </c>
      <c r="B563" s="65" t="str">
        <f>VLOOKUP(A563,'Player Data'!A1:B667,2,FALSE)</f>
        <v>UTA</v>
      </c>
      <c r="C563" s="51">
        <f>((E563)*Settings!$C$12)+(F563*Settings!$C$2)+(G563*Settings!$C$3)+(H563*Settings!$C$4)+(I563*Settings!$C$5)+(K563*Settings!$C$9)+(N563*Settings!$C$6)+(J563*Settings!$C$8)+(O563*Settings!$C$7)+(P563*Settings!$C$14)+(Q563*Settings!$C$15)+(R563*Settings!$C$16)+(S563*Settings!$C$17)+(T563*Settings!$C$18)+(U563*Settings!$C$19)+(L563*Settings!$C$10)+(Settings!$C$11*M563)</f>
        <v>-4.1274684537530417</v>
      </c>
      <c r="D563" s="56">
        <f>IF(Settings!$E$12="YES",VLOOKUP(A563,'Player Data'!A1:E667,5,FALSE),82)</f>
        <v>62</v>
      </c>
      <c r="E563" s="54">
        <f>(VLOOKUP($A563,'The List'!$B1:$AH665,17,FALSE)-AVERAGE('The List'!R2:R665))/STDEV('The List'!R2:R665)</f>
        <v>-0.46555525110354573</v>
      </c>
      <c r="F563" s="54">
        <f>(VLOOKUP($A563,'The List'!$B1:$AH665,18,FALSE)-AVERAGE('The List'!S2:S665))/STDEV('The List'!S2:S665)</f>
        <v>-1.1745132707185484</v>
      </c>
      <c r="G563" s="54">
        <f>(VLOOKUP($A563,'The List'!$B1:$AH665,19,FALSE)-AVERAGE('The List'!T2:T665))/STDEV('The List'!T2:T665)</f>
        <v>-0.97126465119442229</v>
      </c>
      <c r="H563" s="54">
        <f>(VLOOKUP($A563,'The List'!$B1:$AH665,20,FALSE)-AVERAGE('The List'!U2:U665))/STDEV('The List'!U2:U665)</f>
        <v>-1.1370820714100462</v>
      </c>
      <c r="I563" s="54">
        <f>(VLOOKUP($A563,'The List'!$B1:$AH665,21,FALSE)-AVERAGE('The List'!V2:V665))/STDEV('The List'!V2:V665)</f>
        <v>-1.2611264879614732</v>
      </c>
      <c r="J563" s="54">
        <f>(VLOOKUP($A563,'The List'!$B1:$AH665,22,FALSE)-AVERAGE('The List'!W2:W665))/STDEV('The List'!W2:W665)</f>
        <v>-0.74608818155923062</v>
      </c>
      <c r="K563" s="54">
        <f>(VLOOKUP($A563,'The List'!$B1:$AH665,23,FALSE)-AVERAGE('The List'!X2:X665))/STDEV('The List'!X2:X665)</f>
        <v>-0.8293754610163353</v>
      </c>
      <c r="L563" s="54">
        <f>(VLOOKUP($A563,'The List'!$B1:$AH665,24,FALSE)-AVERAGE('The List'!Y2:Y665))/STDEV('The List'!Y2:Y665)</f>
        <v>-0.5801829139020841</v>
      </c>
      <c r="M563" s="54">
        <f>(VLOOKUP($A563,'The List'!$B1:$AH665,25,FALSE)-AVERAGE('The List'!Z2:Z665))/STDEV('The List'!Z2:Z665)</f>
        <v>-0.75403666498999722</v>
      </c>
      <c r="N563" s="54">
        <f>(VLOOKUP($A563,'The List'!$B1:$AH665,26,FALSE)-AVERAGE('The List'!AA2:AA665))/STDEV('The List'!AA2:AA665)</f>
        <v>0.30453500128756955</v>
      </c>
      <c r="O563" s="54">
        <f>(VLOOKUP($A563,'The List'!$B1:$AH665,27,FALSE)-AVERAGE('The List'!AB2:AB665))/STDEV('The List'!AB2:AB665)</f>
        <v>-0.49885057536504618</v>
      </c>
      <c r="P563" s="54">
        <f>(VLOOKUP($A563,'The List'!$B1:$AH665,28,FALSE)-AVERAGE('The List'!AC2:AC665))/STDEV('The List'!AC2:AC665)</f>
        <v>-0.19572358414983237</v>
      </c>
      <c r="Q563" s="54">
        <f>(VLOOKUP($A563,'The List'!$B1:$AH665,29,FALSE)-AVERAGE('The List'!AD2:AD665))/STDEV('The List'!AD2:AD665)</f>
        <v>-0.33695926037729707</v>
      </c>
      <c r="R563" s="54">
        <f>(VLOOKUP($A563,'The List'!$B1:$AH665,30,FALSE)-AVERAGE('The List'!AE2:AE665))/STDEV('The List'!AE2:AE665)</f>
        <v>-1.1257080611994437</v>
      </c>
      <c r="S563" s="54">
        <f>(VLOOKUP($A563,'The List'!$B1:$AH665,31,FALSE)-AVERAGE('The List'!AF2:AF665))/STDEV('The List'!AF2:AF665)</f>
        <v>-0.57389441068000469</v>
      </c>
      <c r="T563" s="54">
        <f>(VLOOKUP($A563,'The List'!$B1:$AH665,32,FALSE)-AVERAGE('The List'!AG2:AG665))/STDEV('The List'!AG2:AG665)</f>
        <v>-0.62577078713265111</v>
      </c>
      <c r="U563" s="54">
        <f>(VLOOKUP($A563,'The List'!$B1:$AH665,33,FALSE)-AVERAGE('The List'!AH2:AH665))/STDEV('The List'!AH2:AH665)</f>
        <v>-1.2314350945148611</v>
      </c>
      <c r="V563" s="54"/>
      <c r="W563" s="64"/>
      <c r="X563" s="56"/>
      <c r="Y563" s="56"/>
      <c r="Z563" s="56"/>
      <c r="AA563" s="56"/>
      <c r="AB563" s="56"/>
      <c r="AC563" s="59"/>
      <c r="AD563" s="60"/>
      <c r="AE563" s="54"/>
    </row>
    <row r="564" spans="1:31" ht="21.25" customHeight="1" x14ac:dyDescent="0.15">
      <c r="A564" s="9" t="s">
        <v>574</v>
      </c>
      <c r="B564" s="65" t="str">
        <f>VLOOKUP(A564,'Player Data'!A1:B667,2,FALSE)</f>
        <v>S.J</v>
      </c>
      <c r="C564" s="51">
        <f>((E564)*Settings!$C$12)+(F564*Settings!$C$2)+(G564*Settings!$C$3)+(H564*Settings!$C$4)+(I564*Settings!$C$5)+(K564*Settings!$C$9)+(N564*Settings!$C$6)+(J564*Settings!$C$8)+(O564*Settings!$C$7)+(P564*Settings!$C$14)+(Q564*Settings!$C$15)+(R564*Settings!$C$16)+(S564*Settings!$C$17)+(T564*Settings!$C$18)+(U564*Settings!$C$19)+(L564*Settings!$C$10)+(Settings!$C$11*M564)</f>
        <v>-5.1292549070148326</v>
      </c>
      <c r="D564" s="56">
        <f>IF(Settings!$E$12="YES",VLOOKUP(A564,'Player Data'!A1:E667,5,FALSE),82)</f>
        <v>76.342500000000001</v>
      </c>
      <c r="E564" s="54">
        <f>(VLOOKUP($A564,'The List'!$B1:$AH665,17,FALSE)-AVERAGE('The List'!R2:R665))/STDEV('The List'!R2:R665)</f>
        <v>-0.38375747539761546</v>
      </c>
      <c r="F564" s="54">
        <f>(VLOOKUP($A564,'The List'!$B1:$AH665,18,FALSE)-AVERAGE('The List'!S2:S665))/STDEV('The List'!S2:S665)</f>
        <v>-1.0500338483788578</v>
      </c>
      <c r="G564" s="54">
        <f>(VLOOKUP($A564,'The List'!$B1:$AH665,19,FALSE)-AVERAGE('The List'!T2:T665))/STDEV('The List'!T2:T665)</f>
        <v>-0.87444766215842484</v>
      </c>
      <c r="H564" s="54">
        <f>(VLOOKUP($A564,'The List'!$B1:$AH665,20,FALSE)-AVERAGE('The List'!U2:U665))/STDEV('The List'!U2:U665)</f>
        <v>-1.0203714629467018</v>
      </c>
      <c r="I564" s="54">
        <f>(VLOOKUP($A564,'The List'!$B1:$AH665,21,FALSE)-AVERAGE('The List'!V2:V665))/STDEV('The List'!V2:V665)</f>
        <v>-0.99012458658493085</v>
      </c>
      <c r="J564" s="54">
        <f>(VLOOKUP($A564,'The List'!$B1:$AH665,22,FALSE)-AVERAGE('The List'!W2:W665))/STDEV('The List'!W2:W665)</f>
        <v>-0.7436976521694656</v>
      </c>
      <c r="K564" s="54">
        <f>(VLOOKUP($A564,'The List'!$B1:$AH665,23,FALSE)-AVERAGE('The List'!X2:X665))/STDEV('The List'!X2:X665)</f>
        <v>-0.82310494203311979</v>
      </c>
      <c r="L564" s="54">
        <f>(VLOOKUP($A564,'The List'!$B1:$AH665,24,FALSE)-AVERAGE('The List'!Y2:Y665))/STDEV('The List'!Y2:Y665)</f>
        <v>-0.56474673127755226</v>
      </c>
      <c r="M564" s="54">
        <f>(VLOOKUP($A564,'The List'!$B1:$AH665,25,FALSE)-AVERAGE('The List'!Z2:Z665))/STDEV('The List'!Z2:Z665)</f>
        <v>-0.70379797870451988</v>
      </c>
      <c r="N564" s="54">
        <f>(VLOOKUP($A564,'The List'!$B1:$AH665,26,FALSE)-AVERAGE('The List'!AA2:AA665))/STDEV('The List'!AA2:AA665)</f>
        <v>1.0496461233695775</v>
      </c>
      <c r="O564" s="54">
        <f>(VLOOKUP($A564,'The List'!$B1:$AH665,27,FALSE)-AVERAGE('The List'!AB2:AB665))/STDEV('The List'!AB2:AB665)</f>
        <v>-0.71492802166697322</v>
      </c>
      <c r="P564" s="54">
        <f>(VLOOKUP($A564,'The List'!$B1:$AH665,28,FALSE)-AVERAGE('The List'!AC2:AC665))/STDEV('The List'!AC2:AC665)</f>
        <v>-2.4411899912290767</v>
      </c>
      <c r="Q564" s="54">
        <f>(VLOOKUP($A564,'The List'!$B1:$AH665,29,FALSE)-AVERAGE('The List'!AD2:AD665))/STDEV('The List'!AD2:AD665)</f>
        <v>-1.0729752461401914</v>
      </c>
      <c r="R564" s="54">
        <f>(VLOOKUP($A564,'The List'!$B1:$AH665,30,FALSE)-AVERAGE('The List'!AE2:AE665))/STDEV('The List'!AE2:AE665)</f>
        <v>-1.0806801836562789</v>
      </c>
      <c r="S564" s="54">
        <f>(VLOOKUP($A564,'The List'!$B1:$AH665,31,FALSE)-AVERAGE('The List'!AF2:AF665))/STDEV('The List'!AF2:AF665)</f>
        <v>-0.57389441068000469</v>
      </c>
      <c r="T564" s="54">
        <f>(VLOOKUP($A564,'The List'!$B1:$AH665,32,FALSE)-AVERAGE('The List'!AG2:AG665))/STDEV('The List'!AG2:AG665)</f>
        <v>-0.62577078713265111</v>
      </c>
      <c r="U564" s="54">
        <f>(VLOOKUP($A564,'The List'!$B1:$AH665,33,FALSE)-AVERAGE('The List'!AH2:AH665))/STDEV('The List'!AH2:AH665)</f>
        <v>-1.2314350945148611</v>
      </c>
      <c r="V564" s="54"/>
      <c r="W564" s="64"/>
      <c r="X564" s="56"/>
      <c r="Y564" s="56"/>
      <c r="Z564" s="56"/>
      <c r="AA564" s="56"/>
      <c r="AB564" s="56"/>
      <c r="AC564" s="59"/>
      <c r="AD564" s="60"/>
      <c r="AE564" s="54"/>
    </row>
    <row r="565" spans="1:31" ht="21.25" customHeight="1" x14ac:dyDescent="0.15">
      <c r="A565" s="9" t="s">
        <v>752</v>
      </c>
      <c r="B565" s="65" t="str">
        <f>VLOOKUP(A565,'Player Data'!A1:B667,2,FALSE)</f>
        <v>COL</v>
      </c>
      <c r="C565" s="51">
        <f>((E565)*Settings!$C$12)+(F565*Settings!$C$2)+(G565*Settings!$C$3)+(H565*Settings!$C$4)+(I565*Settings!$C$5)+(K565*Settings!$C$9)+(N565*Settings!$C$6)+(J565*Settings!$C$8)+(O565*Settings!$C$7)+(P565*Settings!$C$14)+(Q565*Settings!$C$15)+(R565*Settings!$C$16)+(S565*Settings!$C$17)+(T565*Settings!$C$18)+(U565*Settings!$C$19)+(L565*Settings!$C$10)+(Settings!$C$11*M565)</f>
        <v>-4.6516180477582276</v>
      </c>
      <c r="D565" s="56">
        <f>IF(Settings!$E$12="YES",VLOOKUP(A565,'Player Data'!A1:E667,5,FALSE),82)</f>
        <v>73.862499999999997</v>
      </c>
      <c r="E565" s="54">
        <f>(VLOOKUP($A565,'The List'!$B1:$AH665,17,FALSE)-AVERAGE('The List'!R2:R665))/STDEV('The List'!R2:R665)</f>
        <v>-1.5662510579227809</v>
      </c>
      <c r="F565" s="54">
        <f>(VLOOKUP($A565,'The List'!$B1:$AH665,18,FALSE)-AVERAGE('The List'!S2:S665))/STDEV('The List'!S2:S665)</f>
        <v>-0.75623995466040006</v>
      </c>
      <c r="G565" s="54">
        <f>(VLOOKUP($A565,'The List'!$B1:$AH665,19,FALSE)-AVERAGE('The List'!T2:T665))/STDEV('The List'!T2:T665)</f>
        <v>-1.1259642247774857</v>
      </c>
      <c r="H565" s="54">
        <f>(VLOOKUP($A565,'The List'!$B1:$AH665,20,FALSE)-AVERAGE('The List'!U2:U665))/STDEV('The List'!U2:U665)</f>
        <v>-1.0430341007953117</v>
      </c>
      <c r="I565" s="54">
        <f>(VLOOKUP($A565,'The List'!$B1:$AH665,21,FALSE)-AVERAGE('The List'!V2:V665))/STDEV('The List'!V2:V665)</f>
        <v>-0.89688327934634726</v>
      </c>
      <c r="J565" s="54">
        <f>(VLOOKUP($A565,'The List'!$B1:$AH665,22,FALSE)-AVERAGE('The List'!W2:W665))/STDEV('The List'!W2:W665)</f>
        <v>-0.73037897329117762</v>
      </c>
      <c r="K565" s="54">
        <f>(VLOOKUP($A565,'The List'!$B1:$AH665,23,FALSE)-AVERAGE('The List'!X2:X665))/STDEV('The List'!X2:X665)</f>
        <v>-0.81561031492927205</v>
      </c>
      <c r="L565" s="54">
        <f>(VLOOKUP($A565,'The List'!$B1:$AH665,24,FALSE)-AVERAGE('The List'!Y2:Y665))/STDEV('The List'!Y2:Y665)</f>
        <v>1.0643635428833655</v>
      </c>
      <c r="M565" s="54">
        <f>(VLOOKUP($A565,'The List'!$B1:$AH665,25,FALSE)-AVERAGE('The List'!Z2:Z665))/STDEV('The List'!Z2:Z665)</f>
        <v>1.0561764528847686</v>
      </c>
      <c r="N565" s="54">
        <f>(VLOOKUP($A565,'The List'!$B1:$AH665,26,FALSE)-AVERAGE('The List'!AA2:AA665))/STDEV('The List'!AA2:AA665)</f>
        <v>-0.34937176992221558</v>
      </c>
      <c r="O565" s="54">
        <f>(VLOOKUP($A565,'The List'!$B1:$AH665,27,FALSE)-AVERAGE('The List'!AB2:AB665))/STDEV('The List'!AB2:AB665)</f>
        <v>1.5790625027966247</v>
      </c>
      <c r="P565" s="54">
        <f>(VLOOKUP($A565,'The List'!$B1:$AH665,28,FALSE)-AVERAGE('The List'!AC2:AC665))/STDEV('The List'!AC2:AC665)</f>
        <v>-0.70754850412250747</v>
      </c>
      <c r="Q565" s="54">
        <f>(VLOOKUP($A565,'The List'!$B1:$AH665,29,FALSE)-AVERAGE('The List'!AD2:AD665))/STDEV('The List'!AD2:AD665)</f>
        <v>0.28472529109383615</v>
      </c>
      <c r="R565" s="54">
        <f>(VLOOKUP($A565,'The List'!$B1:$AH665,30,FALSE)-AVERAGE('The List'!AE2:AE665))/STDEV('The List'!AE2:AE665)</f>
        <v>-0.72143271233341366</v>
      </c>
      <c r="S565" s="54">
        <f>(VLOOKUP($A565,'The List'!$B1:$AH665,31,FALSE)-AVERAGE('The List'!AF2:AF665))/STDEV('The List'!AF2:AF665)</f>
        <v>-0.52677970179006139</v>
      </c>
      <c r="T565" s="54">
        <f>(VLOOKUP($A565,'The List'!$B1:$AH665,32,FALSE)-AVERAGE('The List'!AG2:AG665))/STDEV('The List'!AG2:AG665)</f>
        <v>-0.49532054050063989</v>
      </c>
      <c r="U565" s="54">
        <f>(VLOOKUP($A565,'The List'!$B1:$AH665,33,FALSE)-AVERAGE('The List'!AH2:AH665))/STDEV('The List'!AH2:AH665)</f>
        <v>2.6662474764651362E-2</v>
      </c>
      <c r="V565" s="54"/>
      <c r="W565" s="64"/>
      <c r="X565" s="56"/>
      <c r="Y565" s="56"/>
      <c r="Z565" s="56"/>
      <c r="AA565" s="56"/>
      <c r="AB565" s="56"/>
      <c r="AC565" s="59"/>
      <c r="AD565" s="60"/>
      <c r="AE565" s="54"/>
    </row>
    <row r="566" spans="1:31" ht="21.25" customHeight="1" x14ac:dyDescent="0.15">
      <c r="A566" s="9" t="s">
        <v>554</v>
      </c>
      <c r="B566" s="65" t="str">
        <f>VLOOKUP(A566,'Player Data'!A1:B667,2,FALSE)</f>
        <v>OTT</v>
      </c>
      <c r="C566" s="51">
        <f>((E566)*Settings!$C$12)+(F566*Settings!$C$2)+(G566*Settings!$C$3)+(H566*Settings!$C$4)+(I566*Settings!$C$5)+(K566*Settings!$C$9)+(N566*Settings!$C$6)+(J566*Settings!$C$8)+(O566*Settings!$C$7)+(P566*Settings!$C$14)+(Q566*Settings!$C$15)+(R566*Settings!$C$16)+(S566*Settings!$C$17)+(T566*Settings!$C$18)+(U566*Settings!$C$19)+(L566*Settings!$C$10)+(Settings!$C$11*M566)</f>
        <v>-3.2152031840100714</v>
      </c>
      <c r="D566" s="56">
        <f>IF(Settings!$E$12="YES",VLOOKUP(A566,'Player Data'!A1:E667,5,FALSE),82)</f>
        <v>71.132499999999993</v>
      </c>
      <c r="E566" s="54">
        <f>(VLOOKUP($A566,'The List'!$B1:$AH665,17,FALSE)-AVERAGE('The List'!R2:R665))/STDEV('The List'!R2:R665)</f>
        <v>-0.28014087241713648</v>
      </c>
      <c r="F566" s="54">
        <f>(VLOOKUP($A566,'The List'!$B1:$AH665,18,FALSE)-AVERAGE('The List'!S2:S665))/STDEV('The List'!S2:S665)</f>
        <v>-0.94628992801752332</v>
      </c>
      <c r="G566" s="54">
        <f>(VLOOKUP($A566,'The List'!$B1:$AH665,19,FALSE)-AVERAGE('The List'!T2:T665))/STDEV('The List'!T2:T665)</f>
        <v>-1.0252818367631999</v>
      </c>
      <c r="H566" s="54">
        <f>(VLOOKUP($A566,'The List'!$B1:$AH665,20,FALSE)-AVERAGE('The List'!U2:U665))/STDEV('The List'!U2:U665)</f>
        <v>-1.0668914233488362</v>
      </c>
      <c r="I566" s="54">
        <f>(VLOOKUP($A566,'The List'!$B1:$AH665,21,FALSE)-AVERAGE('The List'!V2:V665))/STDEV('The List'!V2:V665)</f>
        <v>-0.68383822533162952</v>
      </c>
      <c r="J566" s="54">
        <f>(VLOOKUP($A566,'The List'!$B1:$AH665,22,FALSE)-AVERAGE('The List'!W2:W665))/STDEV('The List'!W2:W665)</f>
        <v>-0.74221944177909749</v>
      </c>
      <c r="K566" s="54">
        <f>(VLOOKUP($A566,'The List'!$B1:$AH665,23,FALSE)-AVERAGE('The List'!X2:X665))/STDEV('The List'!X2:X665)</f>
        <v>-0.81695796998564163</v>
      </c>
      <c r="L566" s="54">
        <f>(VLOOKUP($A566,'The List'!$B1:$AH665,24,FALSE)-AVERAGE('The List'!Y2:Y665))/STDEV('The List'!Y2:Y665)</f>
        <v>-0.55160849266434031</v>
      </c>
      <c r="M566" s="54">
        <f>(VLOOKUP($A566,'The List'!$B1:$AH665,25,FALSE)-AVERAGE('The List'!Z2:Z665))/STDEV('The List'!Z2:Z665)</f>
        <v>-0.29840708713851427</v>
      </c>
      <c r="N566" s="54">
        <f>(VLOOKUP($A566,'The List'!$B1:$AH665,26,FALSE)-AVERAGE('The List'!AA2:AA665))/STDEV('The List'!AA2:AA665)</f>
        <v>1.0182645734238203</v>
      </c>
      <c r="O566" s="54">
        <f>(VLOOKUP($A566,'The List'!$B1:$AH665,27,FALSE)-AVERAGE('The List'!AB2:AB665))/STDEV('The List'!AB2:AB665)</f>
        <v>1.8729368233006229E-2</v>
      </c>
      <c r="P566" s="54">
        <f>(VLOOKUP($A566,'The List'!$B1:$AH665,28,FALSE)-AVERAGE('The List'!AC2:AC665))/STDEV('The List'!AC2:AC665)</f>
        <v>-0.7610997973358975</v>
      </c>
      <c r="Q566" s="54">
        <f>(VLOOKUP($A566,'The List'!$B1:$AH665,29,FALSE)-AVERAGE('The List'!AD2:AD665))/STDEV('The List'!AD2:AD665)</f>
        <v>0.40200232665567498</v>
      </c>
      <c r="R566" s="54">
        <f>(VLOOKUP($A566,'The List'!$B1:$AH665,30,FALSE)-AVERAGE('The List'!AE2:AE665))/STDEV('The List'!AE2:AE665)</f>
        <v>-0.88914833303492491</v>
      </c>
      <c r="S566" s="54">
        <f>(VLOOKUP($A566,'The List'!$B1:$AH665,31,FALSE)-AVERAGE('The List'!AF2:AF665))/STDEV('The List'!AF2:AF665)</f>
        <v>-0.57389441068000469</v>
      </c>
      <c r="T566" s="54">
        <f>(VLOOKUP($A566,'The List'!$B1:$AH665,32,FALSE)-AVERAGE('The List'!AG2:AG665))/STDEV('The List'!AG2:AG665)</f>
        <v>-0.62577059669418333</v>
      </c>
      <c r="U566" s="54">
        <f>(VLOOKUP($A566,'The List'!$B1:$AH665,33,FALSE)-AVERAGE('The List'!AH2:AH665))/STDEV('The List'!AH2:AH665)</f>
        <v>-1.2314350945148611</v>
      </c>
      <c r="V566" s="54"/>
      <c r="W566" s="56"/>
      <c r="X566" s="54"/>
      <c r="Y566" s="54"/>
      <c r="Z566" s="54"/>
      <c r="AA566" s="54"/>
      <c r="AB566" s="54"/>
      <c r="AC566" s="54"/>
      <c r="AD566" s="54"/>
      <c r="AE566" s="54"/>
    </row>
    <row r="567" spans="1:31" ht="21.25" customHeight="1" x14ac:dyDescent="0.15">
      <c r="A567" s="9" t="s">
        <v>761</v>
      </c>
      <c r="B567" s="65" t="str">
        <f>VLOOKUP(A567,'Player Data'!A1:B667,2,FALSE)</f>
        <v>CBJ</v>
      </c>
      <c r="C567" s="51">
        <f>((E567)*Settings!$C$12)+(F567*Settings!$C$2)+(G567*Settings!$C$3)+(H567*Settings!$C$4)+(I567*Settings!$C$5)+(K567*Settings!$C$9)+(N567*Settings!$C$6)+(J567*Settings!$C$8)+(O567*Settings!$C$7)+(P567*Settings!$C$14)+(Q567*Settings!$C$15)+(R567*Settings!$C$16)+(S567*Settings!$C$17)+(T567*Settings!$C$18)+(U567*Settings!$C$19)+(L567*Settings!$C$10)+(Settings!$C$11*M567)</f>
        <v>-6.1714073919264605</v>
      </c>
      <c r="D567" s="56">
        <f>IF(Settings!$E$12="YES",VLOOKUP(A567,'Player Data'!A1:E667,5,FALSE),82)</f>
        <v>67.66</v>
      </c>
      <c r="E567" s="54">
        <f>(VLOOKUP($A567,'The List'!$B1:$AH665,17,FALSE)-AVERAGE('The List'!R2:R665))/STDEV('The List'!R2:R665)</f>
        <v>-1.794517176084474</v>
      </c>
      <c r="F567" s="54">
        <f>(VLOOKUP($A567,'The List'!$B1:$AH665,18,FALSE)-AVERAGE('The List'!S2:S665))/STDEV('The List'!S2:S665)</f>
        <v>-0.87165561283837201</v>
      </c>
      <c r="G567" s="54">
        <f>(VLOOKUP($A567,'The List'!$B1:$AH665,19,FALSE)-AVERAGE('The List'!T2:T665))/STDEV('The List'!T2:T665)</f>
        <v>-1.1273179487179805</v>
      </c>
      <c r="H567" s="54">
        <f>(VLOOKUP($A567,'The List'!$B1:$AH665,20,FALSE)-AVERAGE('The List'!U2:U665))/STDEV('The List'!U2:U665)</f>
        <v>-1.0963367422681982</v>
      </c>
      <c r="I567" s="54">
        <f>(VLOOKUP($A567,'The List'!$B1:$AH665,21,FALSE)-AVERAGE('The List'!V2:V665))/STDEV('The List'!V2:V665)</f>
        <v>-1.1433096089782655</v>
      </c>
      <c r="J567" s="54">
        <f>(VLOOKUP($A567,'The List'!$B1:$AH665,22,FALSE)-AVERAGE('The List'!W2:W665))/STDEV('The List'!W2:W665)</f>
        <v>-0.73344773199566082</v>
      </c>
      <c r="K567" s="54">
        <f>(VLOOKUP($A567,'The List'!$B1:$AH665,23,FALSE)-AVERAGE('The List'!X2:X665))/STDEV('The List'!X2:X665)</f>
        <v>-0.81818409503754908</v>
      </c>
      <c r="L567" s="54">
        <f>(VLOOKUP($A567,'The List'!$B1:$AH665,24,FALSE)-AVERAGE('The List'!Y2:Y665))/STDEV('The List'!Y2:Y665)</f>
        <v>0.25452182935709888</v>
      </c>
      <c r="M567" s="54">
        <f>(VLOOKUP($A567,'The List'!$B1:$AH665,25,FALSE)-AVERAGE('The List'!Z2:Z665))/STDEV('The List'!Z2:Z665)</f>
        <v>-0.17013038091371474</v>
      </c>
      <c r="N567" s="54">
        <f>(VLOOKUP($A567,'The List'!$B1:$AH665,26,FALSE)-AVERAGE('The List'!AA2:AA665))/STDEV('The List'!AA2:AA665)</f>
        <v>-0.56016535182358029</v>
      </c>
      <c r="O567" s="54">
        <f>(VLOOKUP($A567,'The List'!$B1:$AH665,27,FALSE)-AVERAGE('The List'!AB2:AB665))/STDEV('The List'!AB2:AB665)</f>
        <v>1.4452708338682205</v>
      </c>
      <c r="P567" s="54">
        <f>(VLOOKUP($A567,'The List'!$B1:$AH665,28,FALSE)-AVERAGE('The List'!AC2:AC665))/STDEV('The List'!AC2:AC665)</f>
        <v>-1.6507747745307138</v>
      </c>
      <c r="Q567" s="54">
        <f>(VLOOKUP($A567,'The List'!$B1:$AH665,29,FALSE)-AVERAGE('The List'!AD2:AD665))/STDEV('The List'!AD2:AD665)</f>
        <v>1.7421752542956128</v>
      </c>
      <c r="R567" s="54">
        <f>(VLOOKUP($A567,'The List'!$B1:$AH665,30,FALSE)-AVERAGE('The List'!AE2:AE665))/STDEV('The List'!AE2:AE665)</f>
        <v>-0.94720070875964435</v>
      </c>
      <c r="S567" s="54">
        <f>(VLOOKUP($A567,'The List'!$B1:$AH665,31,FALSE)-AVERAGE('The List'!AF2:AF665))/STDEV('The List'!AF2:AF665)</f>
        <v>-0.5588962885777079</v>
      </c>
      <c r="T567" s="54">
        <f>(VLOOKUP($A567,'The List'!$B1:$AH665,32,FALSE)-AVERAGE('The List'!AG2:AG665))/STDEV('The List'!AG2:AG665)</f>
        <v>-0.55393460682505102</v>
      </c>
      <c r="U567" s="54">
        <f>(VLOOKUP($A567,'The List'!$B1:$AH665,33,FALSE)-AVERAGE('The List'!AH2:AH665))/STDEV('The List'!AH2:AH665)</f>
        <v>-0.40770407334796649</v>
      </c>
      <c r="V567" s="54"/>
      <c r="W567" s="64"/>
      <c r="X567" s="56"/>
      <c r="Y567" s="56"/>
      <c r="Z567" s="56"/>
      <c r="AA567" s="56"/>
      <c r="AB567" s="56"/>
      <c r="AC567" s="59"/>
      <c r="AD567" s="60"/>
      <c r="AE567" s="54"/>
    </row>
    <row r="568" spans="1:31" ht="21.25" customHeight="1" x14ac:dyDescent="0.15">
      <c r="A568" s="9" t="s">
        <v>770</v>
      </c>
      <c r="B568" s="65" t="str">
        <f>VLOOKUP(A568,'Player Data'!A1:B667,2,FALSE)</f>
        <v>FLA</v>
      </c>
      <c r="C568" s="51">
        <f>((E568)*Settings!$C$12)+(F568*Settings!$C$2)+(G568*Settings!$C$3)+(H568*Settings!$C$4)+(I568*Settings!$C$5)+(K568*Settings!$C$9)+(N568*Settings!$C$6)+(J568*Settings!$C$8)+(O568*Settings!$C$7)+(P568*Settings!$C$14)+(Q568*Settings!$C$15)+(R568*Settings!$C$16)+(S568*Settings!$C$17)+(T568*Settings!$C$18)+(U568*Settings!$C$19)+(L568*Settings!$C$10)+(Settings!$C$11*M568)</f>
        <v>-4.5539973626474364</v>
      </c>
      <c r="D568" s="56">
        <f>IF(Settings!$E$12="YES",VLOOKUP(A568,'Player Data'!A1:E667,5,FALSE),82)</f>
        <v>70.965000000000003</v>
      </c>
      <c r="E568" s="54">
        <f>(VLOOKUP($A568,'The List'!$B1:$AH665,17,FALSE)-AVERAGE('The List'!R2:R665))/STDEV('The List'!R2:R665)</f>
        <v>-1.3899971430304634</v>
      </c>
      <c r="F568" s="54">
        <f>(VLOOKUP($A568,'The List'!$B1:$AH665,18,FALSE)-AVERAGE('The List'!S2:S665))/STDEV('The List'!S2:S665)</f>
        <v>-0.93166719811914878</v>
      </c>
      <c r="G568" s="54">
        <f>(VLOOKUP($A568,'The List'!$B1:$AH665,19,FALSE)-AVERAGE('The List'!T2:T665))/STDEV('The List'!T2:T665)</f>
        <v>-1.0468628093236099</v>
      </c>
      <c r="H568" s="54">
        <f>(VLOOKUP($A568,'The List'!$B1:$AH665,20,FALSE)-AVERAGE('The List'!U2:U665))/STDEV('The List'!U2:U665)</f>
        <v>-1.0736476949532801</v>
      </c>
      <c r="I568" s="54">
        <f>(VLOOKUP($A568,'The List'!$B1:$AH665,21,FALSE)-AVERAGE('The List'!V2:V665))/STDEV('The List'!V2:V665)</f>
        <v>-1.0072925140576081</v>
      </c>
      <c r="J568" s="54">
        <f>(VLOOKUP($A568,'The List'!$B1:$AH665,22,FALSE)-AVERAGE('The List'!W2:W665))/STDEV('The List'!W2:W665)</f>
        <v>-0.73424831926294143</v>
      </c>
      <c r="K568" s="54">
        <f>(VLOOKUP($A568,'The List'!$B1:$AH665,23,FALSE)-AVERAGE('The List'!X2:X665))/STDEV('The List'!X2:X665)</f>
        <v>-0.81820824151960592</v>
      </c>
      <c r="L568" s="54">
        <f>(VLOOKUP($A568,'The List'!$B1:$AH665,24,FALSE)-AVERAGE('The List'!Y2:Y665))/STDEV('The List'!Y2:Y665)</f>
        <v>-9.9724088901233243E-2</v>
      </c>
      <c r="M568" s="54">
        <f>(VLOOKUP($A568,'The List'!$B1:$AH665,25,FALSE)-AVERAGE('The List'!Z2:Z665))/STDEV('The List'!Z2:Z665)</f>
        <v>-0.23695753128370617</v>
      </c>
      <c r="N568" s="54">
        <f>(VLOOKUP($A568,'The List'!$B1:$AH665,26,FALSE)-AVERAGE('The List'!AA2:AA665))/STDEV('The List'!AA2:AA665)</f>
        <v>-0.7263788655293375</v>
      </c>
      <c r="O568" s="54">
        <f>(VLOOKUP($A568,'The List'!$B1:$AH665,27,FALSE)-AVERAGE('The List'!AB2:AB665))/STDEV('The List'!AB2:AB665)</f>
        <v>-0.30639543175360173</v>
      </c>
      <c r="P568" s="54">
        <f>(VLOOKUP($A568,'The List'!$B1:$AH665,28,FALSE)-AVERAGE('The List'!AC2:AC665))/STDEV('The List'!AC2:AC665)</f>
        <v>-2.3587734098126378E-2</v>
      </c>
      <c r="Q568" s="54">
        <f>(VLOOKUP($A568,'The List'!$B1:$AH665,29,FALSE)-AVERAGE('The List'!AD2:AD665))/STDEV('The List'!AD2:AD665)</f>
        <v>-0.51438411513100757</v>
      </c>
      <c r="R568" s="54">
        <f>(VLOOKUP($A568,'The List'!$B1:$AH665,30,FALSE)-AVERAGE('The List'!AE2:AE665))/STDEV('The List'!AE2:AE665)</f>
        <v>-0.83564158144491441</v>
      </c>
      <c r="S568" s="54">
        <f>(VLOOKUP($A568,'The List'!$B1:$AH665,31,FALSE)-AVERAGE('The List'!AF2:AF665))/STDEV('The List'!AF2:AF665)</f>
        <v>0.80623258479978444</v>
      </c>
      <c r="T568" s="54">
        <f>(VLOOKUP($A568,'The List'!$B1:$AH665,32,FALSE)-AVERAGE('The List'!AG2:AG665))/STDEV('The List'!AG2:AG665)</f>
        <v>0.54678607574531424</v>
      </c>
      <c r="U568" s="54">
        <f>(VLOOKUP($A568,'The List'!$B1:$AH665,33,FALSE)-AVERAGE('The List'!AH2:AH665))/STDEV('The List'!AH2:AH665)</f>
        <v>1.2886617650420535</v>
      </c>
      <c r="V568" s="54"/>
      <c r="W568" s="64"/>
      <c r="X568" s="56"/>
      <c r="Y568" s="56"/>
      <c r="Z568" s="56"/>
      <c r="AA568" s="56"/>
      <c r="AB568" s="56"/>
      <c r="AC568" s="59"/>
      <c r="AD568" s="60"/>
      <c r="AE568" s="54"/>
    </row>
    <row r="569" spans="1:31" ht="21.25" customHeight="1" x14ac:dyDescent="0.15">
      <c r="A569" s="9" t="s">
        <v>610</v>
      </c>
      <c r="B569" s="65" t="str">
        <f>VLOOKUP(A569,'Player Data'!A1:B667,2,FALSE)</f>
        <v>VAN</v>
      </c>
      <c r="C569" s="51">
        <f>((E569)*Settings!$C$12)+(F569*Settings!$C$2)+(G569*Settings!$C$3)+(H569*Settings!$C$4)+(I569*Settings!$C$5)+(K569*Settings!$C$9)+(N569*Settings!$C$6)+(J569*Settings!$C$8)+(O569*Settings!$C$7)+(P569*Settings!$C$14)+(Q569*Settings!$C$15)+(R569*Settings!$C$16)+(S569*Settings!$C$17)+(T569*Settings!$C$18)+(U569*Settings!$C$19)+(L569*Settings!$C$10)+(Settings!$C$11*M569)</f>
        <v>-3.251015964562419</v>
      </c>
      <c r="D569" s="56">
        <f>IF(Settings!$E$12="YES",VLOOKUP(A569,'Player Data'!A1:E667,5,FALSE),82)</f>
        <v>70.394999999999996</v>
      </c>
      <c r="E569" s="54">
        <f>(VLOOKUP($A569,'The List'!$B1:$AH665,17,FALSE)-AVERAGE('The List'!R2:R665))/STDEV('The List'!R2:R665)</f>
        <v>9.1591672905814131E-2</v>
      </c>
      <c r="F569" s="54">
        <f>(VLOOKUP($A569,'The List'!$B1:$AH665,18,FALSE)-AVERAGE('The List'!S2:S665))/STDEV('The List'!S2:S665)</f>
        <v>-1.1886120342962518</v>
      </c>
      <c r="G569" s="54">
        <f>(VLOOKUP($A569,'The List'!$B1:$AH665,19,FALSE)-AVERAGE('The List'!T2:T665))/STDEV('The List'!T2:T665)</f>
        <v>-0.87412373188158288</v>
      </c>
      <c r="H569" s="54">
        <f>(VLOOKUP($A569,'The List'!$B1:$AH665,20,FALSE)-AVERAGE('The List'!U2:U665))/STDEV('The List'!U2:U665)</f>
        <v>-1.0831606566801781</v>
      </c>
      <c r="I569" s="54">
        <f>(VLOOKUP($A569,'The List'!$B1:$AH665,21,FALSE)-AVERAGE('The List'!V2:V665))/STDEV('The List'!V2:V665)</f>
        <v>-1.4390599363049232</v>
      </c>
      <c r="J569" s="54">
        <f>(VLOOKUP($A569,'The List'!$B1:$AH665,22,FALSE)-AVERAGE('The List'!W2:W665))/STDEV('The List'!W2:W665)</f>
        <v>-0.740047299964815</v>
      </c>
      <c r="K569" s="54">
        <f>(VLOOKUP($A569,'The List'!$B1:$AH665,23,FALSE)-AVERAGE('The List'!X2:X665))/STDEV('The List'!X2:X665)</f>
        <v>-0.81417090109199419</v>
      </c>
      <c r="L569" s="54">
        <f>(VLOOKUP($A569,'The List'!$B1:$AH665,24,FALSE)-AVERAGE('The List'!Y2:Y665))/STDEV('The List'!Y2:Y665)</f>
        <v>-0.51644395903461471</v>
      </c>
      <c r="M569" s="54">
        <f>(VLOOKUP($A569,'The List'!$B1:$AH665,25,FALSE)-AVERAGE('The List'!Z2:Z665))/STDEV('The List'!Z2:Z665)</f>
        <v>0.30018638113499602</v>
      </c>
      <c r="N569" s="54">
        <f>(VLOOKUP($A569,'The List'!$B1:$AH665,26,FALSE)-AVERAGE('The List'!AA2:AA665))/STDEV('The List'!AA2:AA665)</f>
        <v>1.1315454508650171</v>
      </c>
      <c r="O569" s="54">
        <f>(VLOOKUP($A569,'The List'!$B1:$AH665,27,FALSE)-AVERAGE('The List'!AB2:AB665))/STDEV('The List'!AB2:AB665)</f>
        <v>0.5774823016754409</v>
      </c>
      <c r="P569" s="54">
        <f>(VLOOKUP($A569,'The List'!$B1:$AH665,28,FALSE)-AVERAGE('The List'!AC2:AC665))/STDEV('The List'!AC2:AC665)</f>
        <v>-6.659481185268383E-2</v>
      </c>
      <c r="Q569" s="54">
        <f>(VLOOKUP($A569,'The List'!$B1:$AH665,29,FALSE)-AVERAGE('The List'!AD2:AD665))/STDEV('The List'!AD2:AD665)</f>
        <v>1.2111337676827165</v>
      </c>
      <c r="R569" s="54">
        <f>(VLOOKUP($A569,'The List'!$B1:$AH665,30,FALSE)-AVERAGE('The List'!AE2:AE665))/STDEV('The List'!AE2:AE665)</f>
        <v>-1.1162267340209937</v>
      </c>
      <c r="S569" s="54">
        <f>(VLOOKUP($A569,'The List'!$B1:$AH665,31,FALSE)-AVERAGE('The List'!AF2:AF665))/STDEV('The List'!AF2:AF665)</f>
        <v>-0.57389441068000469</v>
      </c>
      <c r="T569" s="54">
        <f>(VLOOKUP($A569,'The List'!$B1:$AH665,32,FALSE)-AVERAGE('The List'!AG2:AG665))/STDEV('The List'!AG2:AG665)</f>
        <v>-0.62577078713265111</v>
      </c>
      <c r="U569" s="54">
        <f>(VLOOKUP($A569,'The List'!$B1:$AH665,33,FALSE)-AVERAGE('The List'!AH2:AH665))/STDEV('The List'!AH2:AH665)</f>
        <v>-1.2314350945148611</v>
      </c>
      <c r="V569" s="54"/>
      <c r="W569" s="56"/>
      <c r="X569" s="54"/>
      <c r="Y569" s="54"/>
      <c r="Z569" s="54"/>
      <c r="AA569" s="54"/>
      <c r="AB569" s="54"/>
      <c r="AC569" s="54"/>
      <c r="AD569" s="54"/>
      <c r="AE569" s="54"/>
    </row>
    <row r="570" spans="1:31" ht="21.25" customHeight="1" x14ac:dyDescent="0.15">
      <c r="A570" s="9" t="s">
        <v>576</v>
      </c>
      <c r="B570" s="65" t="str">
        <f>VLOOKUP(A570,'Player Data'!A1:B667,2,FALSE)</f>
        <v>STL</v>
      </c>
      <c r="C570" s="51">
        <f>((E570)*Settings!$C$12)+(F570*Settings!$C$2)+(G570*Settings!$C$3)+(H570*Settings!$C$4)+(I570*Settings!$C$5)+(K570*Settings!$C$9)+(N570*Settings!$C$6)+(J570*Settings!$C$8)+(O570*Settings!$C$7)+(P570*Settings!$C$14)+(Q570*Settings!$C$15)+(R570*Settings!$C$16)+(S570*Settings!$C$17)+(T570*Settings!$C$18)+(U570*Settings!$C$19)+(L570*Settings!$C$10)+(Settings!$C$11*M570)</f>
        <v>-1.7550238416608206</v>
      </c>
      <c r="D570" s="56">
        <f>IF(Settings!$E$12="YES",VLOOKUP(A570,'Player Data'!A1:E667,5,FALSE),82)</f>
        <v>82.03</v>
      </c>
      <c r="E570" s="54">
        <f>(VLOOKUP($A570,'The List'!$B1:$AH665,17,FALSE)-AVERAGE('The List'!R2:R665))/STDEV('The List'!R2:R665)</f>
        <v>9.4089699201329285E-2</v>
      </c>
      <c r="F570" s="54">
        <f>(VLOOKUP($A570,'The List'!$B1:$AH665,18,FALSE)-AVERAGE('The List'!S2:S665))/STDEV('The List'!S2:S665)</f>
        <v>-1.1756047010677093</v>
      </c>
      <c r="G570" s="54">
        <f>(VLOOKUP($A570,'The List'!$B1:$AH665,19,FALSE)-AVERAGE('The List'!T2:T665))/STDEV('The List'!T2:T665)</f>
        <v>-0.73665350070431335</v>
      </c>
      <c r="H570" s="54">
        <f>(VLOOKUP($A570,'The List'!$B1:$AH665,20,FALSE)-AVERAGE('The List'!U2:U665))/STDEV('The List'!U2:U665)</f>
        <v>-0.99187146218670763</v>
      </c>
      <c r="I570" s="54">
        <f>(VLOOKUP($A570,'The List'!$B1:$AH665,21,FALSE)-AVERAGE('The List'!V2:V665))/STDEV('The List'!V2:V665)</f>
        <v>-0.88406358603521806</v>
      </c>
      <c r="J570" s="54">
        <f>(VLOOKUP($A570,'The List'!$B1:$AH665,22,FALSE)-AVERAGE('The List'!W2:W665))/STDEV('The List'!W2:W665)</f>
        <v>-0.73882702568929659</v>
      </c>
      <c r="K570" s="54">
        <f>(VLOOKUP($A570,'The List'!$B1:$AH665,23,FALSE)-AVERAGE('The List'!X2:X665))/STDEV('The List'!X2:X665)</f>
        <v>-0.81070153650132182</v>
      </c>
      <c r="L570" s="54">
        <f>(VLOOKUP($A570,'The List'!$B1:$AH665,24,FALSE)-AVERAGE('The List'!Y2:Y665))/STDEV('The List'!Y2:Y665)</f>
        <v>-0.57178347150453368</v>
      </c>
      <c r="M570" s="54">
        <f>(VLOOKUP($A570,'The List'!$B1:$AH665,25,FALSE)-AVERAGE('The List'!Z2:Z665))/STDEV('The List'!Z2:Z665)</f>
        <v>-0.51248352455348856</v>
      </c>
      <c r="N570" s="54">
        <f>(VLOOKUP($A570,'The List'!$B1:$AH665,26,FALSE)-AVERAGE('The List'!AA2:AA665))/STDEV('The List'!AA2:AA665)</f>
        <v>0.78531475372874426</v>
      </c>
      <c r="O570" s="54">
        <f>(VLOOKUP($A570,'The List'!$B1:$AH665,27,FALSE)-AVERAGE('The List'!AB2:AB665))/STDEV('The List'!AB2:AB665)</f>
        <v>-0.22129336985279668</v>
      </c>
      <c r="P570" s="54">
        <f>(VLOOKUP($A570,'The List'!$B1:$AH665,28,FALSE)-AVERAGE('The List'!AC2:AC665))/STDEV('The List'!AC2:AC665)</f>
        <v>1.0666847289189976</v>
      </c>
      <c r="Q570" s="54">
        <f>(VLOOKUP($A570,'The List'!$B1:$AH665,29,FALSE)-AVERAGE('The List'!AD2:AD665))/STDEV('The List'!AD2:AD665)</f>
        <v>-0.39561355243038138</v>
      </c>
      <c r="R570" s="54">
        <f>(VLOOKUP($A570,'The List'!$B1:$AH665,30,FALSE)-AVERAGE('The List'!AE2:AE665))/STDEV('The List'!AE2:AE665)</f>
        <v>-1.1530075218322515</v>
      </c>
      <c r="S570" s="54">
        <f>(VLOOKUP($A570,'The List'!$B1:$AH665,31,FALSE)-AVERAGE('The List'!AF2:AF665))/STDEV('The List'!AF2:AF665)</f>
        <v>-0.57389441068000469</v>
      </c>
      <c r="T570" s="54">
        <f>(VLOOKUP($A570,'The List'!$B1:$AH665,32,FALSE)-AVERAGE('The List'!AG2:AG665))/STDEV('The List'!AG2:AG665)</f>
        <v>-0.62577078713265111</v>
      </c>
      <c r="U570" s="54">
        <f>(VLOOKUP($A570,'The List'!$B1:$AH665,33,FALSE)-AVERAGE('The List'!AH2:AH665))/STDEV('The List'!AH2:AH665)</f>
        <v>-1.2314350945148611</v>
      </c>
      <c r="V570" s="54"/>
      <c r="W570" s="56"/>
      <c r="X570" s="54"/>
      <c r="Y570" s="54"/>
      <c r="Z570" s="54"/>
      <c r="AA570" s="54"/>
      <c r="AB570" s="54"/>
      <c r="AC570" s="54"/>
      <c r="AD570" s="54"/>
      <c r="AE570" s="54"/>
    </row>
    <row r="571" spans="1:31" ht="21.25" customHeight="1" x14ac:dyDescent="0.15">
      <c r="A571" s="9" t="s">
        <v>670</v>
      </c>
      <c r="B571" s="65" t="str">
        <f>VLOOKUP(A571,'Player Data'!A1:B667,2,FALSE)</f>
        <v>DET</v>
      </c>
      <c r="C571" s="51">
        <f>((E571)*Settings!$C$12)+(F571*Settings!$C$2)+(G571*Settings!$C$3)+(H571*Settings!$C$4)+(I571*Settings!$C$5)+(K571*Settings!$C$9)+(N571*Settings!$C$6)+(J571*Settings!$C$8)+(O571*Settings!$C$7)+(P571*Settings!$C$14)+(Q571*Settings!$C$15)+(R571*Settings!$C$16)+(S571*Settings!$C$17)+(T571*Settings!$C$18)+(U571*Settings!$C$19)+(L571*Settings!$C$10)+(Settings!$C$11*M571)</f>
        <v>-4.5751360282810456</v>
      </c>
      <c r="D571" s="56">
        <f>IF(Settings!$E$12="YES",VLOOKUP(A571,'Player Data'!A1:E667,5,FALSE),82)</f>
        <v>72.644999999999996</v>
      </c>
      <c r="E571" s="54">
        <f>(VLOOKUP($A571,'The List'!$B1:$AH665,17,FALSE)-AVERAGE('The List'!R2:R665))/STDEV('The List'!R2:R665)</f>
        <v>-0.5197751142925191</v>
      </c>
      <c r="F571" s="54">
        <f>(VLOOKUP($A571,'The List'!$B1:$AH665,18,FALSE)-AVERAGE('The List'!S2:S665))/STDEV('The List'!S2:S665)</f>
        <v>-1.1962718605238303</v>
      </c>
      <c r="G571" s="54">
        <f>(VLOOKUP($A571,'The List'!$B1:$AH665,19,FALSE)-AVERAGE('The List'!T2:T665))/STDEV('The List'!T2:T665)</f>
        <v>-0.85090406282218978</v>
      </c>
      <c r="H571" s="54">
        <f>(VLOOKUP($A571,'The List'!$B1:$AH665,20,FALSE)-AVERAGE('The List'!U2:U665))/STDEV('The List'!U2:U665)</f>
        <v>-1.0722216917172966</v>
      </c>
      <c r="I571" s="54">
        <f>(VLOOKUP($A571,'The List'!$B1:$AH665,21,FALSE)-AVERAGE('The List'!V2:V665))/STDEV('The List'!V2:V665)</f>
        <v>-1.52952065154633</v>
      </c>
      <c r="J571" s="54">
        <f>(VLOOKUP($A571,'The List'!$B1:$AH665,22,FALSE)-AVERAGE('The List'!W2:W665))/STDEV('The List'!W2:W665)</f>
        <v>-0.74262058489407956</v>
      </c>
      <c r="K571" s="54">
        <f>(VLOOKUP($A571,'The List'!$B1:$AH665,23,FALSE)-AVERAGE('The List'!X2:X665))/STDEV('The List'!X2:X665)</f>
        <v>-0.81965738381561526</v>
      </c>
      <c r="L571" s="54">
        <f>(VLOOKUP($A571,'The List'!$B1:$AH665,24,FALSE)-AVERAGE('The List'!Y2:Y665))/STDEV('The List'!Y2:Y665)</f>
        <v>-0.45090816521073651</v>
      </c>
      <c r="M571" s="54">
        <f>(VLOOKUP($A571,'The List'!$B1:$AH665,25,FALSE)-AVERAGE('The List'!Z2:Z665))/STDEV('The List'!Z2:Z665)</f>
        <v>-0.45375337368717072</v>
      </c>
      <c r="N571" s="54">
        <f>(VLOOKUP($A571,'The List'!$B1:$AH665,26,FALSE)-AVERAGE('The List'!AA2:AA665))/STDEV('The List'!AA2:AA665)</f>
        <v>0.37959266372639955</v>
      </c>
      <c r="O571" s="54">
        <f>(VLOOKUP($A571,'The List'!$B1:$AH665,27,FALSE)-AVERAGE('The List'!AB2:AB665))/STDEV('The List'!AB2:AB665)</f>
        <v>0.25962289875116062</v>
      </c>
      <c r="P571" s="54">
        <f>(VLOOKUP($A571,'The List'!$B1:$AH665,28,FALSE)-AVERAGE('The List'!AC2:AC665))/STDEV('The List'!AC2:AC665)</f>
        <v>-0.55837473329947906</v>
      </c>
      <c r="Q571" s="54">
        <f>(VLOOKUP($A571,'The List'!$B1:$AH665,29,FALSE)-AVERAGE('The List'!AD2:AD665))/STDEV('The List'!AD2:AD665)</f>
        <v>-0.17870177449654978</v>
      </c>
      <c r="R571" s="54">
        <f>(VLOOKUP($A571,'The List'!$B1:$AH665,30,FALSE)-AVERAGE('The List'!AE2:AE665))/STDEV('The List'!AE2:AE665)</f>
        <v>-1.1540567031101243</v>
      </c>
      <c r="S571" s="54">
        <f>(VLOOKUP($A571,'The List'!$B1:$AH665,31,FALSE)-AVERAGE('The List'!AF2:AF665))/STDEV('The List'!AF2:AF665)</f>
        <v>-0.57389441068000469</v>
      </c>
      <c r="T571" s="54">
        <f>(VLOOKUP($A571,'The List'!$B1:$AH665,32,FALSE)-AVERAGE('The List'!AG2:AG665))/STDEV('The List'!AG2:AG665)</f>
        <v>-0.62577078713265111</v>
      </c>
      <c r="U571" s="54">
        <f>(VLOOKUP($A571,'The List'!$B1:$AH665,33,FALSE)-AVERAGE('The List'!AH2:AH665))/STDEV('The List'!AH2:AH665)</f>
        <v>-1.2314350945148611</v>
      </c>
      <c r="V571" s="54"/>
      <c r="W571" s="64"/>
      <c r="X571" s="56"/>
      <c r="Y571" s="56"/>
      <c r="Z571" s="56"/>
      <c r="AA571" s="56"/>
      <c r="AB571" s="56"/>
      <c r="AC571" s="59"/>
      <c r="AD571" s="60"/>
      <c r="AE571" s="54"/>
    </row>
    <row r="572" spans="1:31" ht="21.25" customHeight="1" x14ac:dyDescent="0.15">
      <c r="A572" s="9" t="s">
        <v>683</v>
      </c>
      <c r="B572" s="65" t="str">
        <f>VLOOKUP(A572,'Player Data'!A1:B667,2,FALSE)</f>
        <v>N.J</v>
      </c>
      <c r="C572" s="51">
        <f>((E572)*Settings!$C$12)+(F572*Settings!$C$2)+(G572*Settings!$C$3)+(H572*Settings!$C$4)+(I572*Settings!$C$5)+(K572*Settings!$C$9)+(N572*Settings!$C$6)+(J572*Settings!$C$8)+(O572*Settings!$C$7)+(P572*Settings!$C$14)+(Q572*Settings!$C$15)+(R572*Settings!$C$16)+(S572*Settings!$C$17)+(T572*Settings!$C$18)+(U572*Settings!$C$19)+(L572*Settings!$C$10)+(Settings!$C$11*M572)</f>
        <v>-4.2570564695430591</v>
      </c>
      <c r="D572" s="56">
        <f>IF(Settings!$E$12="YES",VLOOKUP(A572,'Player Data'!A1:E667,5,FALSE),82)</f>
        <v>62.11</v>
      </c>
      <c r="E572" s="54">
        <f>(VLOOKUP($A572,'The List'!$B1:$AH665,17,FALSE)-AVERAGE('The List'!R2:R665))/STDEV('The List'!R2:R665)</f>
        <v>-0.92090005383868301</v>
      </c>
      <c r="F572" s="54">
        <f>(VLOOKUP($A572,'The List'!$B1:$AH665,18,FALSE)-AVERAGE('The List'!S2:S665))/STDEV('The List'!S2:S665)</f>
        <v>-1.0603934783186606</v>
      </c>
      <c r="G572" s="54">
        <f>(VLOOKUP($A572,'The List'!$B1:$AH665,19,FALSE)-AVERAGE('The List'!T2:T665))/STDEV('The List'!T2:T665)</f>
        <v>-1.0845761192342174</v>
      </c>
      <c r="H572" s="54">
        <f>(VLOOKUP($A572,'The List'!$B1:$AH665,20,FALSE)-AVERAGE('The List'!U2:U665))/STDEV('The List'!U2:U665)</f>
        <v>-1.1555819941579946</v>
      </c>
      <c r="I572" s="54">
        <f>(VLOOKUP($A572,'The List'!$B1:$AH665,21,FALSE)-AVERAGE('The List'!V2:V665))/STDEV('The List'!V2:V665)</f>
        <v>-1.3216832695816509</v>
      </c>
      <c r="J572" s="54">
        <f>(VLOOKUP($A572,'The List'!$B1:$AH665,22,FALSE)-AVERAGE('The List'!W2:W665))/STDEV('The List'!W2:W665)</f>
        <v>-0.74331538886092907</v>
      </c>
      <c r="K572" s="54">
        <f>(VLOOKUP($A572,'The List'!$B1:$AH665,23,FALSE)-AVERAGE('The List'!X2:X665))/STDEV('The List'!X2:X665)</f>
        <v>-0.82263331800706818</v>
      </c>
      <c r="L572" s="54">
        <f>(VLOOKUP($A572,'The List'!$B1:$AH665,24,FALSE)-AVERAGE('The List'!Y2:Y665))/STDEV('The List'!Y2:Y665)</f>
        <v>-0.54557264222002833</v>
      </c>
      <c r="M572" s="54">
        <f>(VLOOKUP($A572,'The List'!$B1:$AH665,25,FALSE)-AVERAGE('The List'!Z2:Z665))/STDEV('The List'!Z2:Z665)</f>
        <v>-0.64961886854610451</v>
      </c>
      <c r="N572" s="54">
        <f>(VLOOKUP($A572,'The List'!$B1:$AH665,26,FALSE)-AVERAGE('The List'!AA2:AA665))/STDEV('The List'!AA2:AA665)</f>
        <v>0.10075350992552676</v>
      </c>
      <c r="O572" s="54">
        <f>(VLOOKUP($A572,'The List'!$B1:$AH665,27,FALSE)-AVERAGE('The List'!AB2:AB665))/STDEV('The List'!AB2:AB665)</f>
        <v>-0.56381849466563871</v>
      </c>
      <c r="P572" s="54">
        <f>(VLOOKUP($A572,'The List'!$B1:$AH665,28,FALSE)-AVERAGE('The List'!AC2:AC665))/STDEV('The List'!AC2:AC665)</f>
        <v>-6.8523794326988921E-2</v>
      </c>
      <c r="Q572" s="54">
        <f>(VLOOKUP($A572,'The List'!$B1:$AH665,29,FALSE)-AVERAGE('The List'!AD2:AD665))/STDEV('The List'!AD2:AD665)</f>
        <v>-1.1878535435285584</v>
      </c>
      <c r="R572" s="54">
        <f>(VLOOKUP($A572,'The List'!$B1:$AH665,30,FALSE)-AVERAGE('The List'!AE2:AE665))/STDEV('The List'!AE2:AE665)</f>
        <v>-1.0105531462844701</v>
      </c>
      <c r="S572" s="54">
        <f>(VLOOKUP($A572,'The List'!$B1:$AH665,31,FALSE)-AVERAGE('The List'!AF2:AF665))/STDEV('The List'!AF2:AF665)</f>
        <v>-0.57389441068000469</v>
      </c>
      <c r="T572" s="54">
        <f>(VLOOKUP($A572,'The List'!$B1:$AH665,32,FALSE)-AVERAGE('The List'!AG2:AG665))/STDEV('The List'!AG2:AG665)</f>
        <v>-0.62577078713265111</v>
      </c>
      <c r="U572" s="54">
        <f>(VLOOKUP($A572,'The List'!$B1:$AH665,33,FALSE)-AVERAGE('The List'!AH2:AH665))/STDEV('The List'!AH2:AH665)</f>
        <v>-1.2314350945148611</v>
      </c>
      <c r="V572" s="54"/>
      <c r="W572" s="64"/>
      <c r="X572" s="56"/>
      <c r="Y572" s="56"/>
      <c r="Z572" s="56"/>
      <c r="AA572" s="56"/>
      <c r="AB572" s="56"/>
      <c r="AC572" s="59"/>
      <c r="AD572" s="60"/>
      <c r="AE572" s="54"/>
    </row>
    <row r="573" spans="1:31" ht="21.25" customHeight="1" x14ac:dyDescent="0.15">
      <c r="A573" s="9" t="s">
        <v>543</v>
      </c>
      <c r="B573" s="65" t="str">
        <f>VLOOKUP(A573,'Player Data'!A1:B667,2,FALSE)</f>
        <v>DAL</v>
      </c>
      <c r="C573" s="51">
        <f>((E573)*Settings!$C$12)+(F573*Settings!$C$2)+(G573*Settings!$C$3)+(H573*Settings!$C$4)+(I573*Settings!$C$5)+(K573*Settings!$C$9)+(N573*Settings!$C$6)+(J573*Settings!$C$8)+(O573*Settings!$C$7)+(P573*Settings!$C$14)+(Q573*Settings!$C$15)+(R573*Settings!$C$16)+(S573*Settings!$C$17)+(T573*Settings!$C$18)+(U573*Settings!$C$19)+(L573*Settings!$C$10)+(Settings!$C$11*M573)</f>
        <v>-2.5076956199933731</v>
      </c>
      <c r="D573" s="56">
        <f>IF(Settings!$E$12="YES",VLOOKUP(A573,'Player Data'!A1:E667,5,FALSE),82)</f>
        <v>78.185000000000002</v>
      </c>
      <c r="E573" s="54">
        <f>(VLOOKUP($A573,'The List'!$B1:$AH665,17,FALSE)-AVERAGE('The List'!R2:R665))/STDEV('The List'!R2:R665)</f>
        <v>0.19772422796586786</v>
      </c>
      <c r="F573" s="54">
        <f>(VLOOKUP($A573,'The List'!$B1:$AH665,18,FALSE)-AVERAGE('The List'!S2:S665))/STDEV('The List'!S2:S665)</f>
        <v>-1.1836616173234744</v>
      </c>
      <c r="G573" s="54">
        <f>(VLOOKUP($A573,'The List'!$B1:$AH665,19,FALSE)-AVERAGE('The List'!T2:T665))/STDEV('The List'!T2:T665)</f>
        <v>-0.79271469446892895</v>
      </c>
      <c r="H573" s="54">
        <f>(VLOOKUP($A573,'The List'!$B1:$AH665,20,FALSE)-AVERAGE('The List'!U2:U665))/STDEV('The List'!U2:U665)</f>
        <v>-1.0303508671439463</v>
      </c>
      <c r="I573" s="54">
        <f>(VLOOKUP($A573,'The List'!$B1:$AH665,21,FALSE)-AVERAGE('The List'!V2:V665))/STDEV('The List'!V2:V665)</f>
        <v>-1.3059116109397975</v>
      </c>
      <c r="J573" s="54">
        <f>(VLOOKUP($A573,'The List'!$B1:$AH665,22,FALSE)-AVERAGE('The List'!W2:W665))/STDEV('The List'!W2:W665)</f>
        <v>-0.74309325153196748</v>
      </c>
      <c r="K573" s="54">
        <f>(VLOOKUP($A573,'The List'!$B1:$AH665,23,FALSE)-AVERAGE('The List'!X2:X665))/STDEV('The List'!X2:X665)</f>
        <v>-0.82131215154129344</v>
      </c>
      <c r="L573" s="54">
        <f>(VLOOKUP($A573,'The List'!$B1:$AH665,24,FALSE)-AVERAGE('The List'!Y2:Y665))/STDEV('The List'!Y2:Y665)</f>
        <v>-0.19799241317424351</v>
      </c>
      <c r="M573" s="54">
        <f>(VLOOKUP($A573,'The List'!$B1:$AH665,25,FALSE)-AVERAGE('The List'!Z2:Z665))/STDEV('The List'!Z2:Z665)</f>
        <v>-2.0696934072151046E-2</v>
      </c>
      <c r="N573" s="54">
        <f>(VLOOKUP($A573,'The List'!$B1:$AH665,26,FALSE)-AVERAGE('The List'!AA2:AA665))/STDEV('The List'!AA2:AA665)</f>
        <v>1.961609599791194</v>
      </c>
      <c r="O573" s="54">
        <f>(VLOOKUP($A573,'The List'!$B1:$AH665,27,FALSE)-AVERAGE('The List'!AB2:AB665))/STDEV('The List'!AB2:AB665)</f>
        <v>1.5478817431106753</v>
      </c>
      <c r="P573" s="54">
        <f>(VLOOKUP($A573,'The List'!$B1:$AH665,28,FALSE)-AVERAGE('The List'!AC2:AC665))/STDEV('The List'!AC2:AC665)</f>
        <v>-0.36570514551107269</v>
      </c>
      <c r="Q573" s="54">
        <f>(VLOOKUP($A573,'The List'!$B1:$AH665,29,FALSE)-AVERAGE('The List'!AD2:AD665))/STDEV('The List'!AD2:AD665)</f>
        <v>1.0520397096324514</v>
      </c>
      <c r="R573" s="54">
        <f>(VLOOKUP($A573,'The List'!$B1:$AH665,30,FALSE)-AVERAGE('The List'!AE2:AE665))/STDEV('The List'!AE2:AE665)</f>
        <v>-1.1212363690847849</v>
      </c>
      <c r="S573" s="54">
        <f>(VLOOKUP($A573,'The List'!$B1:$AH665,31,FALSE)-AVERAGE('The List'!AF2:AF665))/STDEV('The List'!AF2:AF665)</f>
        <v>-0.57389441068000469</v>
      </c>
      <c r="T573" s="54">
        <f>(VLOOKUP($A573,'The List'!$B1:$AH665,32,FALSE)-AVERAGE('The List'!AG2:AG665))/STDEV('The List'!AG2:AG665)</f>
        <v>-0.62577078713265111</v>
      </c>
      <c r="U573" s="54">
        <f>(VLOOKUP($A573,'The List'!$B1:$AH665,33,FALSE)-AVERAGE('The List'!AH2:AH665))/STDEV('The List'!AH2:AH665)</f>
        <v>-1.2314350945148611</v>
      </c>
      <c r="V573" s="54"/>
      <c r="W573" s="64"/>
      <c r="X573" s="56"/>
      <c r="Y573" s="56"/>
      <c r="Z573" s="56"/>
      <c r="AA573" s="56"/>
      <c r="AB573" s="56"/>
      <c r="AC573" s="59"/>
      <c r="AD573" s="60"/>
      <c r="AE573" s="54"/>
    </row>
    <row r="574" spans="1:31" ht="21.25" customHeight="1" x14ac:dyDescent="0.15">
      <c r="A574" s="9" t="s">
        <v>559</v>
      </c>
      <c r="B574" s="65" t="str">
        <f>VLOOKUP(A574,'Player Data'!A1:B667,2,FALSE)</f>
        <v>BOS</v>
      </c>
      <c r="C574" s="51">
        <f>((E574)*Settings!$C$12)+(F574*Settings!$C$2)+(G574*Settings!$C$3)+(H574*Settings!$C$4)+(I574*Settings!$C$5)+(K574*Settings!$C$9)+(N574*Settings!$C$6)+(J574*Settings!$C$8)+(O574*Settings!$C$7)+(P574*Settings!$C$14)+(Q574*Settings!$C$15)+(R574*Settings!$C$16)+(S574*Settings!$C$17)+(T574*Settings!$C$18)+(U574*Settings!$C$19)+(L574*Settings!$C$10)+(Settings!$C$11*M574)</f>
        <v>-2.8138090293837164</v>
      </c>
      <c r="D574" s="56">
        <f>IF(Settings!$E$12="YES",VLOOKUP(A574,'Player Data'!A1:E667,5,FALSE),82)</f>
        <v>73.944999999999993</v>
      </c>
      <c r="E574" s="54">
        <f>(VLOOKUP($A574,'The List'!$B1:$AH665,17,FALSE)-AVERAGE('The List'!R2:R665))/STDEV('The List'!R2:R665)</f>
        <v>-9.739139808868158E-2</v>
      </c>
      <c r="F574" s="54">
        <f>(VLOOKUP($A574,'The List'!$B1:$AH665,18,FALSE)-AVERAGE('The List'!S2:S665))/STDEV('The List'!S2:S665)</f>
        <v>-1.0335125902856559</v>
      </c>
      <c r="G574" s="54">
        <f>(VLOOKUP($A574,'The List'!$B1:$AH665,19,FALSE)-AVERAGE('The List'!T2:T665))/STDEV('The List'!T2:T665)</f>
        <v>-0.96077215706005781</v>
      </c>
      <c r="H574" s="54">
        <f>(VLOOKUP($A574,'The List'!$B1:$AH665,20,FALSE)-AVERAGE('The List'!U2:U665))/STDEV('The List'!U2:U665)</f>
        <v>-1.0664741310223642</v>
      </c>
      <c r="I574" s="54">
        <f>(VLOOKUP($A574,'The List'!$B1:$AH665,21,FALSE)-AVERAGE('The List'!V2:V665))/STDEV('The List'!V2:V665)</f>
        <v>-1.098968020854669</v>
      </c>
      <c r="J574" s="54">
        <f>(VLOOKUP($A574,'The List'!$B1:$AH665,22,FALSE)-AVERAGE('The List'!W2:W665))/STDEV('The List'!W2:W665)</f>
        <v>-0.74548675500609063</v>
      </c>
      <c r="K574" s="54">
        <f>(VLOOKUP($A574,'The List'!$B1:$AH665,23,FALSE)-AVERAGE('The List'!X2:X665))/STDEV('The List'!X2:X665)</f>
        <v>-0.82791722260262124</v>
      </c>
      <c r="L574" s="54">
        <f>(VLOOKUP($A574,'The List'!$B1:$AH665,24,FALSE)-AVERAGE('The List'!Y2:Y665))/STDEV('The List'!Y2:Y665)</f>
        <v>-0.53254445172644804</v>
      </c>
      <c r="M574" s="54">
        <f>(VLOOKUP($A574,'The List'!$B1:$AH665,25,FALSE)-AVERAGE('The List'!Z2:Z665))/STDEV('The List'!Z2:Z665)</f>
        <v>4.9911764518413377E-3</v>
      </c>
      <c r="N574" s="54">
        <f>(VLOOKUP($A574,'The List'!$B1:$AH665,26,FALSE)-AVERAGE('The List'!AA2:AA665))/STDEV('The List'!AA2:AA665)</f>
        <v>1.537816854846958</v>
      </c>
      <c r="O574" s="54">
        <f>(VLOOKUP($A574,'The List'!$B1:$AH665,27,FALSE)-AVERAGE('The List'!AB2:AB665))/STDEV('The List'!AB2:AB665)</f>
        <v>0.97704425985566834</v>
      </c>
      <c r="P574" s="54">
        <f>(VLOOKUP($A574,'The List'!$B1:$AH665,28,FALSE)-AVERAGE('The List'!AC2:AC665))/STDEV('The List'!AC2:AC665)</f>
        <v>-0.43045589342767032</v>
      </c>
      <c r="Q574" s="54">
        <f>(VLOOKUP($A574,'The List'!$B1:$AH665,29,FALSE)-AVERAGE('The List'!AD2:AD665))/STDEV('The List'!AD2:AD665)</f>
        <v>-0.34353545937402763</v>
      </c>
      <c r="R574" s="54">
        <f>(VLOOKUP($A574,'The List'!$B1:$AH665,30,FALSE)-AVERAGE('The List'!AE2:AE665))/STDEV('The List'!AE2:AE665)</f>
        <v>-0.97513140941458976</v>
      </c>
      <c r="S574" s="54">
        <f>(VLOOKUP($A574,'The List'!$B1:$AH665,31,FALSE)-AVERAGE('The List'!AF2:AF665))/STDEV('The List'!AF2:AF665)</f>
        <v>-0.57389441068000469</v>
      </c>
      <c r="T574" s="54">
        <f>(VLOOKUP($A574,'The List'!$B1:$AH665,32,FALSE)-AVERAGE('The List'!AG2:AG665))/STDEV('The List'!AG2:AG665)</f>
        <v>-0.62577078713265111</v>
      </c>
      <c r="U574" s="54">
        <f>(VLOOKUP($A574,'The List'!$B1:$AH665,33,FALSE)-AVERAGE('The List'!AH2:AH665))/STDEV('The List'!AH2:AH665)</f>
        <v>-1.2314350945148611</v>
      </c>
      <c r="V574" s="54"/>
      <c r="W574" s="64"/>
      <c r="X574" s="56"/>
      <c r="Y574" s="56"/>
      <c r="Z574" s="56"/>
      <c r="AA574" s="56"/>
      <c r="AB574" s="56"/>
      <c r="AC574" s="59"/>
      <c r="AD574" s="60"/>
      <c r="AE574" s="54"/>
    </row>
    <row r="575" spans="1:31" ht="21.25" customHeight="1" x14ac:dyDescent="0.15">
      <c r="A575" s="9" t="s">
        <v>505</v>
      </c>
      <c r="B575" s="65" t="str">
        <f>VLOOKUP(A575,'Player Data'!A1:B667,2,FALSE)</f>
        <v>UTA</v>
      </c>
      <c r="C575" s="51">
        <f>((E575)*Settings!$C$12)+(F575*Settings!$C$2)+(G575*Settings!$C$3)+(H575*Settings!$C$4)+(I575*Settings!$C$5)+(K575*Settings!$C$9)+(N575*Settings!$C$6)+(J575*Settings!$C$8)+(O575*Settings!$C$7)+(P575*Settings!$C$14)+(Q575*Settings!$C$15)+(R575*Settings!$C$16)+(S575*Settings!$C$17)+(T575*Settings!$C$18)+(U575*Settings!$C$19)+(L575*Settings!$C$10)+(Settings!$C$11*M575)</f>
        <v>-0.59283182352393404</v>
      </c>
      <c r="D575" s="56">
        <f>IF(Settings!$E$12="YES",VLOOKUP(A575,'Player Data'!A1:E667,5,FALSE),82)</f>
        <v>80.069999999999993</v>
      </c>
      <c r="E575" s="54">
        <f>(VLOOKUP($A575,'The List'!$B1:$AH665,17,FALSE)-AVERAGE('The List'!R2:R665))/STDEV('The List'!R2:R665)</f>
        <v>0.46352970934371834</v>
      </c>
      <c r="F575" s="54">
        <f>(VLOOKUP($A575,'The List'!$B1:$AH665,18,FALSE)-AVERAGE('The List'!S2:S665))/STDEV('The List'!S2:S665)</f>
        <v>-1.1424870549912065</v>
      </c>
      <c r="G575" s="54">
        <f>(VLOOKUP($A575,'The List'!$B1:$AH665,19,FALSE)-AVERAGE('The List'!T2:T665))/STDEV('The List'!T2:T665)</f>
        <v>-0.80373204940699539</v>
      </c>
      <c r="H575" s="54">
        <f>(VLOOKUP($A575,'The List'!$B1:$AH665,20,FALSE)-AVERAGE('The List'!U2:U665))/STDEV('The List'!U2:U665)</f>
        <v>-1.0184774682815088</v>
      </c>
      <c r="I575" s="54">
        <f>(VLOOKUP($A575,'The List'!$B1:$AH665,21,FALSE)-AVERAGE('The List'!V2:V665))/STDEV('The List'!V2:V665)</f>
        <v>-1.0106395771075281</v>
      </c>
      <c r="J575" s="54">
        <f>(VLOOKUP($A575,'The List'!$B1:$AH665,22,FALSE)-AVERAGE('The List'!W2:W665))/STDEV('The List'!W2:W665)</f>
        <v>-0.74158645621613029</v>
      </c>
      <c r="K575" s="54">
        <f>(VLOOKUP($A575,'The List'!$B1:$AH665,23,FALSE)-AVERAGE('The List'!X2:X665))/STDEV('The List'!X2:X665)</f>
        <v>-0.81630142409727036</v>
      </c>
      <c r="L575" s="54">
        <f>(VLOOKUP($A575,'The List'!$B1:$AH665,24,FALSE)-AVERAGE('The List'!Y2:Y665))/STDEV('The List'!Y2:Y665)</f>
        <v>-0.54513700143433486</v>
      </c>
      <c r="M575" s="54">
        <f>(VLOOKUP($A575,'The List'!$B1:$AH665,25,FALSE)-AVERAGE('The List'!Z2:Z665))/STDEV('The List'!Z2:Z665)</f>
        <v>-0.50029294285448667</v>
      </c>
      <c r="N575" s="54">
        <f>(VLOOKUP($A575,'The List'!$B1:$AH665,26,FALSE)-AVERAGE('The List'!AA2:AA665))/STDEV('The List'!AA2:AA665)</f>
        <v>1.9291362405022803</v>
      </c>
      <c r="O575" s="54">
        <f>(VLOOKUP($A575,'The List'!$B1:$AH665,27,FALSE)-AVERAGE('The List'!AB2:AB665))/STDEV('The List'!AB2:AB665)</f>
        <v>0.1617533414452885</v>
      </c>
      <c r="P575" s="54">
        <f>(VLOOKUP($A575,'The List'!$B1:$AH665,28,FALSE)-AVERAGE('The List'!AC2:AC665))/STDEV('The List'!AC2:AC665)</f>
        <v>1.2511920415767857</v>
      </c>
      <c r="Q575" s="54">
        <f>(VLOOKUP($A575,'The List'!$B1:$AH665,29,FALSE)-AVERAGE('The List'!AD2:AD665))/STDEV('The List'!AD2:AD665)</f>
        <v>2.0310449471771332</v>
      </c>
      <c r="R575" s="54">
        <f>(VLOOKUP($A575,'The List'!$B1:$AH665,30,FALSE)-AVERAGE('The List'!AE2:AE665))/STDEV('The List'!AE2:AE665)</f>
        <v>-1.0956277021949787</v>
      </c>
      <c r="S575" s="54">
        <f>(VLOOKUP($A575,'The List'!$B1:$AH665,31,FALSE)-AVERAGE('The List'!AF2:AF665))/STDEV('The List'!AF2:AF665)</f>
        <v>-0.57389441068000469</v>
      </c>
      <c r="T575" s="54">
        <f>(VLOOKUP($A575,'The List'!$B1:$AH665,32,FALSE)-AVERAGE('The List'!AG2:AG665))/STDEV('The List'!AG2:AG665)</f>
        <v>-0.62577078713265111</v>
      </c>
      <c r="U575" s="54">
        <f>(VLOOKUP($A575,'The List'!$B1:$AH665,33,FALSE)-AVERAGE('The List'!AH2:AH665))/STDEV('The List'!AH2:AH665)</f>
        <v>-1.2314350945148611</v>
      </c>
      <c r="V575" s="54"/>
      <c r="W575" s="64"/>
      <c r="X575" s="56"/>
      <c r="Y575" s="56"/>
      <c r="Z575" s="56"/>
      <c r="AA575" s="56"/>
      <c r="AB575" s="56"/>
      <c r="AC575" s="59"/>
      <c r="AD575" s="60"/>
      <c r="AE575" s="54"/>
    </row>
    <row r="576" spans="1:31" ht="21.25" customHeight="1" x14ac:dyDescent="0.15">
      <c r="A576" s="9" t="s">
        <v>787</v>
      </c>
      <c r="B576" s="65" t="str">
        <f>VLOOKUP(A576,'Player Data'!A1:B667,2,FALSE)</f>
        <v>WPG</v>
      </c>
      <c r="C576" s="51">
        <f>((E576)*Settings!$C$12)+(F576*Settings!$C$2)+(G576*Settings!$C$3)+(H576*Settings!$C$4)+(I576*Settings!$C$5)+(K576*Settings!$C$9)+(N576*Settings!$C$6)+(J576*Settings!$C$8)+(O576*Settings!$C$7)+(P576*Settings!$C$14)+(Q576*Settings!$C$15)+(R576*Settings!$C$16)+(S576*Settings!$C$17)+(T576*Settings!$C$18)+(U576*Settings!$C$19)+(L576*Settings!$C$10)+(Settings!$C$11*M576)</f>
        <v>-4.8413516308268427</v>
      </c>
      <c r="D576" s="56">
        <f>IF(Settings!$E$12="YES",VLOOKUP(A576,'Player Data'!A1:E667,5,FALSE),82)</f>
        <v>65.147499999999994</v>
      </c>
      <c r="E576" s="54">
        <f>(VLOOKUP($A576,'The List'!$B1:$AH665,17,FALSE)-AVERAGE('The List'!R2:R665))/STDEV('The List'!R2:R665)</f>
        <v>-2.0616341106783134</v>
      </c>
      <c r="F576" s="54">
        <f>(VLOOKUP($A576,'The List'!$B1:$AH665,18,FALSE)-AVERAGE('The List'!S2:S665))/STDEV('The List'!S2:S665)</f>
        <v>-0.95387794504809542</v>
      </c>
      <c r="G576" s="54">
        <f>(VLOOKUP($A576,'The List'!$B1:$AH665,19,FALSE)-AVERAGE('The List'!T2:T665))/STDEV('The List'!T2:T665)</f>
        <v>-1.1403455555509998</v>
      </c>
      <c r="H576" s="54">
        <f>(VLOOKUP($A576,'The List'!$B1:$AH665,20,FALSE)-AVERAGE('The List'!U2:U665))/STDEV('The List'!U2:U665)</f>
        <v>-1.1418015769597583</v>
      </c>
      <c r="I576" s="54">
        <f>(VLOOKUP($A576,'The List'!$B1:$AH665,21,FALSE)-AVERAGE('The List'!V2:V665))/STDEV('The List'!V2:V665)</f>
        <v>-1.3165341031982636</v>
      </c>
      <c r="J576" s="54">
        <f>(VLOOKUP($A576,'The List'!$B1:$AH665,22,FALSE)-AVERAGE('The List'!W2:W665))/STDEV('The List'!W2:W665)</f>
        <v>-0.73577653393324749</v>
      </c>
      <c r="K576" s="54">
        <f>(VLOOKUP($A576,'The List'!$B1:$AH665,23,FALSE)-AVERAGE('The List'!X2:X665))/STDEV('The List'!X2:X665)</f>
        <v>-0.82050327074159091</v>
      </c>
      <c r="L576" s="54">
        <f>(VLOOKUP($A576,'The List'!$B1:$AH665,24,FALSE)-AVERAGE('The List'!Y2:Y665))/STDEV('The List'!Y2:Y665)</f>
        <v>-0.32913936465836546</v>
      </c>
      <c r="M576" s="54">
        <f>(VLOOKUP($A576,'The List'!$B1:$AH665,25,FALSE)-AVERAGE('The List'!Z2:Z665))/STDEV('The List'!Z2:Z665)</f>
        <v>-0.12433867899103505</v>
      </c>
      <c r="N576" s="54">
        <f>(VLOOKUP($A576,'The List'!$B1:$AH665,26,FALSE)-AVERAGE('The List'!AA2:AA665))/STDEV('The List'!AA2:AA665)</f>
        <v>-0.80594189887584489</v>
      </c>
      <c r="O576" s="54">
        <f>(VLOOKUP($A576,'The List'!$B1:$AH665,27,FALSE)-AVERAGE('The List'!AB2:AB665))/STDEV('The List'!AB2:AB665)</f>
        <v>-0.71905456524849376</v>
      </c>
      <c r="P576" s="54">
        <f>(VLOOKUP($A576,'The List'!$B1:$AH665,28,FALSE)-AVERAGE('The List'!AC2:AC665))/STDEV('The List'!AC2:AC665)</f>
        <v>0.19585114258795147</v>
      </c>
      <c r="Q576" s="54">
        <f>(VLOOKUP($A576,'The List'!$B1:$AH665,29,FALSE)-AVERAGE('The List'!AD2:AD665))/STDEV('The List'!AD2:AD665)</f>
        <v>-1.6579673958039378</v>
      </c>
      <c r="R576" s="54">
        <f>(VLOOKUP($A576,'The List'!$B1:$AH665,30,FALSE)-AVERAGE('The List'!AE2:AE665))/STDEV('The List'!AE2:AE665)</f>
        <v>-0.87000336253415445</v>
      </c>
      <c r="S576" s="54">
        <f>(VLOOKUP($A576,'The List'!$B1:$AH665,31,FALSE)-AVERAGE('The List'!AF2:AF665))/STDEV('The List'!AF2:AF665)</f>
        <v>0.21674673516740753</v>
      </c>
      <c r="T576" s="54">
        <f>(VLOOKUP($A576,'The List'!$B1:$AH665,32,FALSE)-AVERAGE('The List'!AG2:AG665))/STDEV('The List'!AG2:AG665)</f>
        <v>0.15690869956450371</v>
      </c>
      <c r="U576" s="54">
        <f>(VLOOKUP($A576,'The List'!$B1:$AH665,33,FALSE)-AVERAGE('The List'!AH2:AH665))/STDEV('The List'!AH2:AH665)</f>
        <v>1.1164529275270096</v>
      </c>
      <c r="V576" s="54"/>
      <c r="W576" s="64"/>
      <c r="X576" s="56"/>
      <c r="Y576" s="56"/>
      <c r="Z576" s="56"/>
      <c r="AA576" s="56"/>
      <c r="AB576" s="56"/>
      <c r="AC576" s="59"/>
      <c r="AD576" s="60"/>
      <c r="AE576" s="54"/>
    </row>
    <row r="577" spans="1:31" ht="21.25" customHeight="1" x14ac:dyDescent="0.15">
      <c r="A577" s="9" t="s">
        <v>546</v>
      </c>
      <c r="B577" s="65" t="str">
        <f>VLOOKUP(A577,'Player Data'!A1:B667,2,FALSE)</f>
        <v>TOR</v>
      </c>
      <c r="C577" s="51">
        <f>((E577)*Settings!$C$12)+(F577*Settings!$C$2)+(G577*Settings!$C$3)+(H577*Settings!$C$4)+(I577*Settings!$C$5)+(K577*Settings!$C$9)+(N577*Settings!$C$6)+(J577*Settings!$C$8)+(O577*Settings!$C$7)+(P577*Settings!$C$14)+(Q577*Settings!$C$15)+(R577*Settings!$C$16)+(S577*Settings!$C$17)+(T577*Settings!$C$18)+(U577*Settings!$C$19)+(L577*Settings!$C$10)+(Settings!$C$11*M577)</f>
        <v>-1.5498875768924907</v>
      </c>
      <c r="D577" s="56">
        <f>IF(Settings!$E$12="YES",VLOOKUP(A577,'Player Data'!A1:E667,5,FALSE),82)</f>
        <v>78.635000000000005</v>
      </c>
      <c r="E577" s="54">
        <f>(VLOOKUP($A577,'The List'!$B1:$AH665,17,FALSE)-AVERAGE('The List'!R2:R665))/STDEV('The List'!R2:R665)</f>
        <v>0.37672248379604495</v>
      </c>
      <c r="F577" s="54">
        <f>(VLOOKUP($A577,'The List'!$B1:$AH665,18,FALSE)-AVERAGE('The List'!S2:S665))/STDEV('The List'!S2:S665)</f>
        <v>-0.97709970426566572</v>
      </c>
      <c r="G577" s="54">
        <f>(VLOOKUP($A577,'The List'!$B1:$AH665,19,FALSE)-AVERAGE('The List'!T2:T665))/STDEV('The List'!T2:T665)</f>
        <v>-0.95761558727354679</v>
      </c>
      <c r="H577" s="54">
        <f>(VLOOKUP($A577,'The List'!$B1:$AH665,20,FALSE)-AVERAGE('The List'!U2:U665))/STDEV('The List'!U2:U665)</f>
        <v>-1.0388713854811709</v>
      </c>
      <c r="I577" s="54">
        <f>(VLOOKUP($A577,'The List'!$B1:$AH665,21,FALSE)-AVERAGE('The List'!V2:V665))/STDEV('The List'!V2:V665)</f>
        <v>-1.0291105115943535</v>
      </c>
      <c r="J577" s="54">
        <f>(VLOOKUP($A577,'The List'!$B1:$AH665,22,FALSE)-AVERAGE('The List'!W2:W665))/STDEV('The List'!W2:W665)</f>
        <v>-0.74210486628045214</v>
      </c>
      <c r="K577" s="54">
        <f>(VLOOKUP($A577,'The List'!$B1:$AH665,23,FALSE)-AVERAGE('The List'!X2:X665))/STDEV('The List'!X2:X665)</f>
        <v>-0.81956899334122735</v>
      </c>
      <c r="L577" s="54">
        <f>(VLOOKUP($A577,'The List'!$B1:$AH665,24,FALSE)-AVERAGE('The List'!Y2:Y665))/STDEV('The List'!Y2:Y665)</f>
        <v>-0.53510379268086616</v>
      </c>
      <c r="M577" s="54">
        <f>(VLOOKUP($A577,'The List'!$B1:$AH665,25,FALSE)-AVERAGE('The List'!Z2:Z665))/STDEV('The List'!Z2:Z665)</f>
        <v>-0.47736118676697642</v>
      </c>
      <c r="N577" s="54">
        <f>(VLOOKUP($A577,'The List'!$B1:$AH665,26,FALSE)-AVERAGE('The List'!AA2:AA665))/STDEV('The List'!AA2:AA665)</f>
        <v>1.5791432810138688</v>
      </c>
      <c r="O577" s="54">
        <f>(VLOOKUP($A577,'The List'!$B1:$AH665,27,FALSE)-AVERAGE('The List'!AB2:AB665))/STDEV('The List'!AB2:AB665)</f>
        <v>2.3161347900038365</v>
      </c>
      <c r="P577" s="54">
        <f>(VLOOKUP($A577,'The List'!$B1:$AH665,28,FALSE)-AVERAGE('The List'!AC2:AC665))/STDEV('The List'!AC2:AC665)</f>
        <v>0.65436393856843367</v>
      </c>
      <c r="Q577" s="54">
        <f>(VLOOKUP($A577,'The List'!$B1:$AH665,29,FALSE)-AVERAGE('The List'!AD2:AD665))/STDEV('The List'!AD2:AD665)</f>
        <v>0.75011327000652883</v>
      </c>
      <c r="R577" s="54">
        <f>(VLOOKUP($A577,'The List'!$B1:$AH665,30,FALSE)-AVERAGE('The List'!AE2:AE665))/STDEV('The List'!AE2:AE665)</f>
        <v>-0.90906240589400522</v>
      </c>
      <c r="S577" s="54">
        <f>(VLOOKUP($A577,'The List'!$B1:$AH665,31,FALSE)-AVERAGE('The List'!AF2:AF665))/STDEV('The List'!AF2:AF665)</f>
        <v>-0.57389441068000469</v>
      </c>
      <c r="T577" s="54">
        <f>(VLOOKUP($A577,'The List'!$B1:$AH665,32,FALSE)-AVERAGE('The List'!AG2:AG665))/STDEV('The List'!AG2:AG665)</f>
        <v>-0.62577078713265111</v>
      </c>
      <c r="U577" s="54">
        <f>(VLOOKUP($A577,'The List'!$B1:$AH665,33,FALSE)-AVERAGE('The List'!AH2:AH665))/STDEV('The List'!AH2:AH665)</f>
        <v>-1.2314350945148611</v>
      </c>
      <c r="V577" s="54"/>
      <c r="W577" s="64"/>
      <c r="X577" s="56"/>
      <c r="Y577" s="56"/>
      <c r="Z577" s="56"/>
      <c r="AA577" s="56"/>
      <c r="AB577" s="56"/>
      <c r="AC577" s="59"/>
      <c r="AD577" s="60"/>
      <c r="AE577" s="54"/>
    </row>
    <row r="578" spans="1:31" ht="21.25" customHeight="1" x14ac:dyDescent="0.15">
      <c r="A578" s="9" t="s">
        <v>730</v>
      </c>
      <c r="B578" s="65" t="str">
        <f>VLOOKUP(A578,'Player Data'!A1:B667,2,FALSE)</f>
        <v>WSH</v>
      </c>
      <c r="C578" s="51">
        <f>((E578)*Settings!$C$12)+(F578*Settings!$C$2)+(G578*Settings!$C$3)+(H578*Settings!$C$4)+(I578*Settings!$C$5)+(K578*Settings!$C$9)+(N578*Settings!$C$6)+(J578*Settings!$C$8)+(O578*Settings!$C$7)+(P578*Settings!$C$14)+(Q578*Settings!$C$15)+(R578*Settings!$C$16)+(S578*Settings!$C$17)+(T578*Settings!$C$18)+(U578*Settings!$C$19)+(L578*Settings!$C$10)+(Settings!$C$11*M578)</f>
        <v>-4.3237343191197191</v>
      </c>
      <c r="D578" s="56">
        <f>IF(Settings!$E$12="YES",VLOOKUP(A578,'Player Data'!A1:E667,5,FALSE),82)</f>
        <v>77.212500000000006</v>
      </c>
      <c r="E578" s="54">
        <f>(VLOOKUP($A578,'The List'!$B1:$AH665,17,FALSE)-AVERAGE('The List'!R2:R665))/STDEV('The List'!R2:R665)</f>
        <v>-1.628322351542679</v>
      </c>
      <c r="F578" s="54">
        <f>(VLOOKUP($A578,'The List'!$B1:$AH665,18,FALSE)-AVERAGE('The List'!S2:S665))/STDEV('The List'!S2:S665)</f>
        <v>-0.68894249993528922</v>
      </c>
      <c r="G578" s="54">
        <f>(VLOOKUP($A578,'The List'!$B1:$AH665,19,FALSE)-AVERAGE('The List'!T2:T665))/STDEV('The List'!T2:T665)</f>
        <v>-1.1906562544515535</v>
      </c>
      <c r="H578" s="54">
        <f>(VLOOKUP($A578,'The List'!$B1:$AH665,20,FALSE)-AVERAGE('The List'!U2:U665))/STDEV('The List'!U2:U665)</f>
        <v>-1.052621596656367</v>
      </c>
      <c r="I578" s="54">
        <f>(VLOOKUP($A578,'The List'!$B1:$AH665,21,FALSE)-AVERAGE('The List'!V2:V665))/STDEV('The List'!V2:V665)</f>
        <v>-0.69618682080759575</v>
      </c>
      <c r="J578" s="54">
        <f>(VLOOKUP($A578,'The List'!$B1:$AH665,22,FALSE)-AVERAGE('The List'!W2:W665))/STDEV('The List'!W2:W665)</f>
        <v>-0.72880036991580044</v>
      </c>
      <c r="K578" s="54">
        <f>(VLOOKUP($A578,'The List'!$B1:$AH665,23,FALSE)-AVERAGE('The List'!X2:X665))/STDEV('The List'!X2:X665)</f>
        <v>-0.81417702305556305</v>
      </c>
      <c r="L578" s="54">
        <f>(VLOOKUP($A578,'The List'!$B1:$AH665,24,FALSE)-AVERAGE('The List'!Y2:Y665))/STDEV('The List'!Y2:Y665)</f>
        <v>1.4572155550171348</v>
      </c>
      <c r="M578" s="54">
        <f>(VLOOKUP($A578,'The List'!$B1:$AH665,25,FALSE)-AVERAGE('The List'!Z2:Z665))/STDEV('The List'!Z2:Z665)</f>
        <v>0.65908783993104147</v>
      </c>
      <c r="N578" s="54">
        <f>(VLOOKUP($A578,'The List'!$B1:$AH665,26,FALSE)-AVERAGE('The List'!AA2:AA665))/STDEV('The List'!AA2:AA665)</f>
        <v>-0.73079264414537715</v>
      </c>
      <c r="O578" s="54">
        <f>(VLOOKUP($A578,'The List'!$B1:$AH665,27,FALSE)-AVERAGE('The List'!AB2:AB665))/STDEV('The List'!AB2:AB665)</f>
        <v>1.9599234900139548</v>
      </c>
      <c r="P578" s="54">
        <f>(VLOOKUP($A578,'The List'!$B1:$AH665,28,FALSE)-AVERAGE('The List'!AC2:AC665))/STDEV('The List'!AC2:AC665)</f>
        <v>-0.20297907672433946</v>
      </c>
      <c r="Q578" s="54">
        <f>(VLOOKUP($A578,'The List'!$B1:$AH665,29,FALSE)-AVERAGE('The List'!AD2:AD665))/STDEV('The List'!AD2:AD665)</f>
        <v>1.8635990375487199</v>
      </c>
      <c r="R578" s="54">
        <f>(VLOOKUP($A578,'The List'!$B1:$AH665,30,FALSE)-AVERAGE('The List'!AE2:AE665))/STDEV('The List'!AE2:AE665)</f>
        <v>-0.68791138680315334</v>
      </c>
      <c r="S578" s="54">
        <f>(VLOOKUP($A578,'The List'!$B1:$AH665,31,FALSE)-AVERAGE('The List'!AF2:AF665))/STDEV('The List'!AF2:AF665)</f>
        <v>-0.55139564419413301</v>
      </c>
      <c r="T578" s="54">
        <f>(VLOOKUP($A578,'The List'!$B1:$AH665,32,FALSE)-AVERAGE('The List'!AG2:AG665))/STDEV('The List'!AG2:AG665)</f>
        <v>-0.57946843883659083</v>
      </c>
      <c r="U578" s="54">
        <f>(VLOOKUP($A578,'The List'!$B1:$AH665,33,FALSE)-AVERAGE('The List'!AH2:AH665))/STDEV('The List'!AH2:AH665)</f>
        <v>0.3131261769517461</v>
      </c>
      <c r="V578" s="54"/>
      <c r="W578" s="56"/>
      <c r="X578" s="54"/>
      <c r="Y578" s="54"/>
      <c r="Z578" s="54"/>
      <c r="AA578" s="54"/>
      <c r="AB578" s="54"/>
      <c r="AC578" s="54"/>
      <c r="AD578" s="54"/>
      <c r="AE578" s="54"/>
    </row>
    <row r="579" spans="1:31" ht="21.25" customHeight="1" x14ac:dyDescent="0.15">
      <c r="A579" s="9" t="s">
        <v>675</v>
      </c>
      <c r="B579" s="65" t="str">
        <f>VLOOKUP(A579,'Player Data'!A1:B667,2,FALSE)</f>
        <v>PIT</v>
      </c>
      <c r="C579" s="51">
        <f>((E579)*Settings!$C$12)+(F579*Settings!$C$2)+(G579*Settings!$C$3)+(H579*Settings!$C$4)+(I579*Settings!$C$5)+(K579*Settings!$C$9)+(N579*Settings!$C$6)+(J579*Settings!$C$8)+(O579*Settings!$C$7)+(P579*Settings!$C$14)+(Q579*Settings!$C$15)+(R579*Settings!$C$16)+(S579*Settings!$C$17)+(T579*Settings!$C$18)+(U579*Settings!$C$19)+(L579*Settings!$C$10)+(Settings!$C$11*M579)</f>
        <v>-4.212630606773013</v>
      </c>
      <c r="D579" s="56">
        <f>IF(Settings!$E$12="YES",VLOOKUP(A579,'Player Data'!A1:E667,5,FALSE),82)</f>
        <v>60</v>
      </c>
      <c r="E579" s="54">
        <f>(VLOOKUP($A579,'The List'!$B1:$AH665,17,FALSE)-AVERAGE('The List'!R2:R665))/STDEV('The List'!R2:R665)</f>
        <v>-0.37093984175492722</v>
      </c>
      <c r="F579" s="54">
        <f>(VLOOKUP($A579,'The List'!$B1:$AH665,18,FALSE)-AVERAGE('The List'!S2:S665))/STDEV('The List'!S2:S665)</f>
        <v>-1.1212095234589254</v>
      </c>
      <c r="G579" s="54">
        <f>(VLOOKUP($A579,'The List'!$B1:$AH665,19,FALSE)-AVERAGE('The List'!T2:T665))/STDEV('The List'!T2:T665)</f>
        <v>-1.0878281734817798</v>
      </c>
      <c r="H579" s="54">
        <f>(VLOOKUP($A579,'The List'!$B1:$AH665,20,FALSE)-AVERAGE('The List'!U2:U665))/STDEV('The List'!U2:U665)</f>
        <v>-1.1852454860375301</v>
      </c>
      <c r="I579" s="54">
        <f>(VLOOKUP($A579,'The List'!$B1:$AH665,21,FALSE)-AVERAGE('The List'!V2:V665))/STDEV('The List'!V2:V665)</f>
        <v>-1.265095963595531</v>
      </c>
      <c r="J579" s="54">
        <f>(VLOOKUP($A579,'The List'!$B1:$AH665,22,FALSE)-AVERAGE('The List'!W2:W665))/STDEV('The List'!W2:W665)</f>
        <v>-0.74236143922288933</v>
      </c>
      <c r="K579" s="54">
        <f>(VLOOKUP($A579,'The List'!$B1:$AH665,23,FALSE)-AVERAGE('The List'!X2:X665))/STDEV('The List'!X2:X665)</f>
        <v>-0.82041255381373912</v>
      </c>
      <c r="L579" s="54">
        <f>(VLOOKUP($A579,'The List'!$B1:$AH665,24,FALSE)-AVERAGE('The List'!Y2:Y665))/STDEV('The List'!Y2:Y665)</f>
        <v>-0.40094068789253134</v>
      </c>
      <c r="M579" s="54">
        <f>(VLOOKUP($A579,'The List'!$B1:$AH665,25,FALSE)-AVERAGE('The List'!Z2:Z665))/STDEV('The List'!Z2:Z665)</f>
        <v>-0.28285500308788747</v>
      </c>
      <c r="N579" s="54">
        <f>(VLOOKUP($A579,'The List'!$B1:$AH665,26,FALSE)-AVERAGE('The List'!AA2:AA665))/STDEV('The List'!AA2:AA665)</f>
        <v>0.24126863015209563</v>
      </c>
      <c r="O579" s="54">
        <f>(VLOOKUP($A579,'The List'!$B1:$AH665,27,FALSE)-AVERAGE('The List'!AB2:AB665))/STDEV('The List'!AB2:AB665)</f>
        <v>0.15645258369539486</v>
      </c>
      <c r="P579" s="54">
        <f>(VLOOKUP($A579,'The List'!$B1:$AH665,28,FALSE)-AVERAGE('The List'!AC2:AC665))/STDEV('The List'!AC2:AC665)</f>
        <v>-0.15935302257513348</v>
      </c>
      <c r="Q579" s="54">
        <f>(VLOOKUP($A579,'The List'!$B1:$AH665,29,FALSE)-AVERAGE('The List'!AD2:AD665))/STDEV('The List'!AD2:AD665)</f>
        <v>-0.9028175744749356</v>
      </c>
      <c r="R579" s="54">
        <f>(VLOOKUP($A579,'The List'!$B1:$AH665,30,FALSE)-AVERAGE('The List'!AE2:AE665))/STDEV('The List'!AE2:AE665)</f>
        <v>-1.0730363392608016</v>
      </c>
      <c r="S579" s="54">
        <f>(VLOOKUP($A579,'The List'!$B1:$AH665,31,FALSE)-AVERAGE('The List'!AF2:AF665))/STDEV('The List'!AF2:AF665)</f>
        <v>-0.57389441068000469</v>
      </c>
      <c r="T579" s="54">
        <f>(VLOOKUP($A579,'The List'!$B1:$AH665,32,FALSE)-AVERAGE('The List'!AG2:AG665))/STDEV('The List'!AG2:AG665)</f>
        <v>-0.62577078713265111</v>
      </c>
      <c r="U579" s="54">
        <f>(VLOOKUP($A579,'The List'!$B1:$AH665,33,FALSE)-AVERAGE('The List'!AH2:AH665))/STDEV('The List'!AH2:AH665)</f>
        <v>-1.2314350945148611</v>
      </c>
      <c r="V579" s="54"/>
      <c r="W579" s="56"/>
      <c r="X579" s="54"/>
      <c r="Y579" s="54"/>
      <c r="Z579" s="54"/>
      <c r="AA579" s="54"/>
      <c r="AB579" s="54"/>
      <c r="AC579" s="54"/>
      <c r="AD579" s="54"/>
      <c r="AE579" s="54"/>
    </row>
    <row r="580" spans="1:31" ht="21.25" customHeight="1" x14ac:dyDescent="0.15">
      <c r="A580" s="9" t="s">
        <v>601</v>
      </c>
      <c r="B580" s="65" t="str">
        <f>VLOOKUP(A580,'Player Data'!A1:B667,2,FALSE)</f>
        <v>MIN</v>
      </c>
      <c r="C580" s="51">
        <f>((E580)*Settings!$C$12)+(F580*Settings!$C$2)+(G580*Settings!$C$3)+(H580*Settings!$C$4)+(I580*Settings!$C$5)+(K580*Settings!$C$9)+(N580*Settings!$C$6)+(J580*Settings!$C$8)+(O580*Settings!$C$7)+(P580*Settings!$C$14)+(Q580*Settings!$C$15)+(R580*Settings!$C$16)+(S580*Settings!$C$17)+(T580*Settings!$C$18)+(U580*Settings!$C$19)+(L580*Settings!$C$10)+(Settings!$C$11*M580)</f>
        <v>-3.2049822564459585</v>
      </c>
      <c r="D580" s="56">
        <f>IF(Settings!$E$12="YES",VLOOKUP(A580,'Player Data'!A1:E667,5,FALSE),82)</f>
        <v>70.662499999999994</v>
      </c>
      <c r="E580" s="54">
        <f>(VLOOKUP($A580,'The List'!$B1:$AH665,17,FALSE)-AVERAGE('The List'!R2:R665))/STDEV('The List'!R2:R665)</f>
        <v>0.10426377475727133</v>
      </c>
      <c r="F580" s="54">
        <f>(VLOOKUP($A580,'The List'!$B1:$AH665,18,FALSE)-AVERAGE('The List'!S2:S665))/STDEV('The List'!S2:S665)</f>
        <v>-1.0717505035595964</v>
      </c>
      <c r="G580" s="54">
        <f>(VLOOKUP($A580,'The List'!$B1:$AH665,19,FALSE)-AVERAGE('The List'!T2:T665))/STDEV('The List'!T2:T665)</f>
        <v>-0.9934959629860044</v>
      </c>
      <c r="H580" s="54">
        <f>(VLOOKUP($A580,'The List'!$B1:$AH665,20,FALSE)-AVERAGE('The List'!U2:U665))/STDEV('The List'!U2:U665)</f>
        <v>-1.1041784036771907</v>
      </c>
      <c r="I580" s="54">
        <f>(VLOOKUP($A580,'The List'!$B1:$AH665,21,FALSE)-AVERAGE('The List'!V2:V665))/STDEV('The List'!V2:V665)</f>
        <v>-0.80821204382506739</v>
      </c>
      <c r="J580" s="54">
        <f>(VLOOKUP($A580,'The List'!$B1:$AH665,22,FALSE)-AVERAGE('The List'!W2:W665))/STDEV('The List'!W2:W665)</f>
        <v>-0.74117828489205662</v>
      </c>
      <c r="K580" s="54">
        <f>(VLOOKUP($A580,'The List'!$B1:$AH665,23,FALSE)-AVERAGE('The List'!X2:X665))/STDEV('The List'!X2:X665)</f>
        <v>-0.81684945169031731</v>
      </c>
      <c r="L580" s="54">
        <f>(VLOOKUP($A580,'The List'!$B1:$AH665,24,FALSE)-AVERAGE('The List'!Y2:Y665))/STDEV('The List'!Y2:Y665)</f>
        <v>-0.55126157678250498</v>
      </c>
      <c r="M580" s="54">
        <f>(VLOOKUP($A580,'The List'!$B1:$AH665,25,FALSE)-AVERAGE('The List'!Z2:Z665))/STDEV('The List'!Z2:Z665)</f>
        <v>-0.31765456487238003</v>
      </c>
      <c r="N580" s="54">
        <f>(VLOOKUP($A580,'The List'!$B1:$AH665,26,FALSE)-AVERAGE('The List'!AA2:AA665))/STDEV('The List'!AA2:AA665)</f>
        <v>0.53482210404512354</v>
      </c>
      <c r="O580" s="54">
        <f>(VLOOKUP($A580,'The List'!$B1:$AH665,27,FALSE)-AVERAGE('The List'!AB2:AB665))/STDEV('The List'!AB2:AB665)</f>
        <v>0.70297600270438243</v>
      </c>
      <c r="P580" s="54">
        <f>(VLOOKUP($A580,'The List'!$B1:$AH665,28,FALSE)-AVERAGE('The List'!AC2:AC665))/STDEV('The List'!AC2:AC665)</f>
        <v>-4.949639843009692E-2</v>
      </c>
      <c r="Q580" s="54">
        <f>(VLOOKUP($A580,'The List'!$B1:$AH665,29,FALSE)-AVERAGE('The List'!AD2:AD665))/STDEV('The List'!AD2:AD665)</f>
        <v>0.77864557705812221</v>
      </c>
      <c r="R580" s="54">
        <f>(VLOOKUP($A580,'The List'!$B1:$AH665,30,FALSE)-AVERAGE('The List'!AE2:AE665))/STDEV('The List'!AE2:AE665)</f>
        <v>-0.99769543172707342</v>
      </c>
      <c r="S580" s="54">
        <f>(VLOOKUP($A580,'The List'!$B1:$AH665,31,FALSE)-AVERAGE('The List'!AF2:AF665))/STDEV('The List'!AF2:AF665)</f>
        <v>-0.57367529467780098</v>
      </c>
      <c r="T580" s="54">
        <f>(VLOOKUP($A580,'The List'!$B1:$AH665,32,FALSE)-AVERAGE('The List'!AG2:AG665))/STDEV('The List'!AG2:AG665)</f>
        <v>-0.62511967145148239</v>
      </c>
      <c r="U580" s="54">
        <f>(VLOOKUP($A580,'The List'!$B1:$AH665,33,FALSE)-AVERAGE('The List'!AH2:AH665))/STDEV('The List'!AH2:AH665)</f>
        <v>-3.6559558505785766E-2</v>
      </c>
      <c r="V580" s="54"/>
      <c r="W580" s="64"/>
      <c r="X580" s="56"/>
      <c r="Y580" s="56"/>
      <c r="Z580" s="56"/>
      <c r="AA580" s="56"/>
      <c r="AB580" s="56"/>
      <c r="AC580" s="59"/>
      <c r="AD580" s="60"/>
      <c r="AE580" s="54"/>
    </row>
    <row r="581" spans="1:31" ht="21.25" customHeight="1" x14ac:dyDescent="0.15">
      <c r="A581" s="9" t="s">
        <v>758</v>
      </c>
      <c r="B581" s="65" t="str">
        <f>VLOOKUP(A581,'Player Data'!A1:B667,2,FALSE)</f>
        <v>EDM</v>
      </c>
      <c r="C581" s="51">
        <f>((E581)*Settings!$C$12)+(F581*Settings!$C$2)+(G581*Settings!$C$3)+(H581*Settings!$C$4)+(I581*Settings!$C$5)+(K581*Settings!$C$9)+(N581*Settings!$C$6)+(J581*Settings!$C$8)+(O581*Settings!$C$7)+(P581*Settings!$C$14)+(Q581*Settings!$C$15)+(R581*Settings!$C$16)+(S581*Settings!$C$17)+(T581*Settings!$C$18)+(U581*Settings!$C$19)+(L581*Settings!$C$10)+(Settings!$C$11*M581)</f>
        <v>-3.7678972185404196</v>
      </c>
      <c r="D581" s="56">
        <f>IF(Settings!$E$12="YES",VLOOKUP(A581,'Player Data'!A1:E667,5,FALSE),82)</f>
        <v>67.552499999999995</v>
      </c>
      <c r="E581" s="54">
        <f>(VLOOKUP($A581,'The List'!$B1:$AH665,17,FALSE)-AVERAGE('The List'!R2:R665))/STDEV('The List'!R2:R665)</f>
        <v>-1.3713063498936977</v>
      </c>
      <c r="F581" s="54">
        <f>(VLOOKUP($A581,'The List'!$B1:$AH665,18,FALSE)-AVERAGE('The List'!S2:S665))/STDEV('The List'!S2:S665)</f>
        <v>-0.96125749442395336</v>
      </c>
      <c r="G581" s="54">
        <f>(VLOOKUP($A581,'The List'!$B1:$AH665,19,FALSE)-AVERAGE('The List'!T2:T665))/STDEV('The List'!T2:T665)</f>
        <v>-1.1183533833020032</v>
      </c>
      <c r="H581" s="54">
        <f>(VLOOKUP($A581,'The List'!$B1:$AH665,20,FALSE)-AVERAGE('The List'!U2:U665))/STDEV('The List'!U2:U665)</f>
        <v>-1.1314975573842285</v>
      </c>
      <c r="I581" s="54">
        <f>(VLOOKUP($A581,'The List'!$B1:$AH665,21,FALSE)-AVERAGE('The List'!V2:V665))/STDEV('The List'!V2:V665)</f>
        <v>-0.77624981649483893</v>
      </c>
      <c r="J581" s="54">
        <f>(VLOOKUP($A581,'The List'!$B1:$AH665,22,FALSE)-AVERAGE('The List'!W2:W665))/STDEV('The List'!W2:W665)</f>
        <v>-0.71664167280462721</v>
      </c>
      <c r="K581" s="54">
        <f>(VLOOKUP($A581,'The List'!$B1:$AH665,23,FALSE)-AVERAGE('The List'!X2:X665))/STDEV('The List'!X2:X665)</f>
        <v>-0.77200122311028696</v>
      </c>
      <c r="L581" s="54">
        <f>(VLOOKUP($A581,'The List'!$B1:$AH665,24,FALSE)-AVERAGE('The List'!Y2:Y665))/STDEV('The List'!Y2:Y665)</f>
        <v>-9.1530935223389995E-2</v>
      </c>
      <c r="M581" s="54">
        <f>(VLOOKUP($A581,'The List'!$B1:$AH665,25,FALSE)-AVERAGE('The List'!Z2:Z665))/STDEV('The List'!Z2:Z665)</f>
        <v>0.21442537844812698</v>
      </c>
      <c r="N581" s="54">
        <f>(VLOOKUP($A581,'The List'!$B1:$AH665,26,FALSE)-AVERAGE('The List'!AA2:AA665))/STDEV('The List'!AA2:AA665)</f>
        <v>-0.97070015072876736</v>
      </c>
      <c r="O581" s="54">
        <f>(VLOOKUP($A581,'The List'!$B1:$AH665,27,FALSE)-AVERAGE('The List'!AB2:AB665))/STDEV('The List'!AB2:AB665)</f>
        <v>-1.0462037905731973</v>
      </c>
      <c r="P581" s="54">
        <f>(VLOOKUP($A581,'The List'!$B1:$AH665,28,FALSE)-AVERAGE('The List'!AC2:AC665))/STDEV('The List'!AC2:AC665)</f>
        <v>0.83066484951942998</v>
      </c>
      <c r="Q581" s="54">
        <f>(VLOOKUP($A581,'The List'!$B1:$AH665,29,FALSE)-AVERAGE('The List'!AD2:AD665))/STDEV('The List'!AD2:AD665)</f>
        <v>-1.5668472534142266</v>
      </c>
      <c r="R581" s="54">
        <f>(VLOOKUP($A581,'The List'!$B1:$AH665,30,FALSE)-AVERAGE('The List'!AE2:AE665))/STDEV('The List'!AE2:AE665)</f>
        <v>-0.88922762810409495</v>
      </c>
      <c r="S581" s="54">
        <f>(VLOOKUP($A581,'The List'!$B1:$AH665,31,FALSE)-AVERAGE('The List'!AF2:AF665))/STDEV('The List'!AF2:AF665)</f>
        <v>-0.48555048929169192</v>
      </c>
      <c r="T581" s="54">
        <f>(VLOOKUP($A581,'The List'!$B1:$AH665,32,FALSE)-AVERAGE('The List'!AG2:AG665))/STDEV('The List'!AG2:AG665)</f>
        <v>-0.47914622120172967</v>
      </c>
      <c r="U581" s="54">
        <f>(VLOOKUP($A581,'The List'!$B1:$AH665,33,FALSE)-AVERAGE('The List'!AH2:AH665))/STDEV('The List'!AH2:AH665)</f>
        <v>0.53902038202825775</v>
      </c>
      <c r="V581" s="54"/>
      <c r="W581" s="64"/>
      <c r="X581" s="56"/>
      <c r="Y581" s="56"/>
      <c r="Z581" s="56"/>
      <c r="AA581" s="56"/>
      <c r="AB581" s="56"/>
      <c r="AC581" s="59"/>
      <c r="AD581" s="60"/>
      <c r="AE581" s="54"/>
    </row>
    <row r="582" spans="1:31" ht="21.25" customHeight="1" x14ac:dyDescent="0.15">
      <c r="A582" s="9" t="s">
        <v>617</v>
      </c>
      <c r="B582" s="65" t="str">
        <f>VLOOKUP(A582,'Player Data'!A1:B667,2,FALSE)</f>
        <v>VAN</v>
      </c>
      <c r="C582" s="51">
        <f>((E582)*Settings!$C$12)+(F582*Settings!$C$2)+(G582*Settings!$C$3)+(H582*Settings!$C$4)+(I582*Settings!$C$5)+(K582*Settings!$C$9)+(N582*Settings!$C$6)+(J582*Settings!$C$8)+(O582*Settings!$C$7)+(P582*Settings!$C$14)+(Q582*Settings!$C$15)+(R582*Settings!$C$16)+(S582*Settings!$C$17)+(T582*Settings!$C$18)+(U582*Settings!$C$19)+(L582*Settings!$C$10)+(Settings!$C$11*M582)</f>
        <v>-2.8968649940348086</v>
      </c>
      <c r="D582" s="56">
        <f>IF(Settings!$E$12="YES",VLOOKUP(A582,'Player Data'!A1:E667,5,FALSE),82)</f>
        <v>69.237499999999997</v>
      </c>
      <c r="E582" s="54">
        <f>(VLOOKUP($A582,'The List'!$B1:$AH665,17,FALSE)-AVERAGE('The List'!R2:R665))/STDEV('The List'!R2:R665)</f>
        <v>0.13879856466499785</v>
      </c>
      <c r="F582" s="54">
        <f>(VLOOKUP($A582,'The List'!$B1:$AH665,18,FALSE)-AVERAGE('The List'!S2:S665))/STDEV('The List'!S2:S665)</f>
        <v>-1.0353296367789269</v>
      </c>
      <c r="G582" s="54">
        <f>(VLOOKUP($A582,'The List'!$B1:$AH665,19,FALSE)-AVERAGE('The List'!T2:T665))/STDEV('The List'!T2:T665)</f>
        <v>-1.0438532093905195</v>
      </c>
      <c r="H582" s="54">
        <f>(VLOOKUP($A582,'The List'!$B1:$AH665,20,FALSE)-AVERAGE('The List'!U2:U665))/STDEV('The List'!U2:U665)</f>
        <v>-1.1188980700128099</v>
      </c>
      <c r="I582" s="54">
        <f>(VLOOKUP($A582,'The List'!$B1:$AH665,21,FALSE)-AVERAGE('The List'!V2:V665))/STDEV('The List'!V2:V665)</f>
        <v>-1.3719821981142557</v>
      </c>
      <c r="J582" s="54">
        <f>(VLOOKUP($A582,'The List'!$B1:$AH665,22,FALSE)-AVERAGE('The List'!W2:W665))/STDEV('The List'!W2:W665)</f>
        <v>-0.7432406660948776</v>
      </c>
      <c r="K582" s="54">
        <f>(VLOOKUP($A582,'The List'!$B1:$AH665,23,FALSE)-AVERAGE('The List'!X2:X665))/STDEV('The List'!X2:X665)</f>
        <v>-0.82234057991398013</v>
      </c>
      <c r="L582" s="54">
        <f>(VLOOKUP($A582,'The List'!$B1:$AH665,24,FALSE)-AVERAGE('The List'!Y2:Y665))/STDEV('The List'!Y2:Y665)</f>
        <v>0.37567779297454801</v>
      </c>
      <c r="M582" s="54">
        <f>(VLOOKUP($A582,'The List'!$B1:$AH665,25,FALSE)-AVERAGE('The List'!Z2:Z665))/STDEV('The List'!Z2:Z665)</f>
        <v>0.12065001805722052</v>
      </c>
      <c r="N582" s="54">
        <f>(VLOOKUP($A582,'The List'!$B1:$AH665,26,FALSE)-AVERAGE('The List'!AA2:AA665))/STDEV('The List'!AA2:AA665)</f>
        <v>1.0729052248572875</v>
      </c>
      <c r="O582" s="54">
        <f>(VLOOKUP($A582,'The List'!$B1:$AH665,27,FALSE)-AVERAGE('The List'!AB2:AB665))/STDEV('The List'!AB2:AB665)</f>
        <v>0.61165809484332689</v>
      </c>
      <c r="P582" s="54">
        <f>(VLOOKUP($A582,'The List'!$B1:$AH665,28,FALSE)-AVERAGE('The List'!AC2:AC665))/STDEV('The List'!AC2:AC665)</f>
        <v>0.30373540530558613</v>
      </c>
      <c r="Q582" s="54">
        <f>(VLOOKUP($A582,'The List'!$B1:$AH665,29,FALSE)-AVERAGE('The List'!AD2:AD665))/STDEV('The List'!AD2:AD665)</f>
        <v>-9.8527604469991481E-2</v>
      </c>
      <c r="R582" s="54">
        <f>(VLOOKUP($A582,'The List'!$B1:$AH665,30,FALSE)-AVERAGE('The List'!AE2:AE665))/STDEV('The List'!AE2:AE665)</f>
        <v>-0.94820696907236668</v>
      </c>
      <c r="S582" s="54">
        <f>(VLOOKUP($A582,'The List'!$B1:$AH665,31,FALSE)-AVERAGE('The List'!AF2:AF665))/STDEV('The List'!AF2:AF665)</f>
        <v>-0.57389441068000469</v>
      </c>
      <c r="T582" s="54">
        <f>(VLOOKUP($A582,'The List'!$B1:$AH665,32,FALSE)-AVERAGE('The List'!AG2:AG665))/STDEV('The List'!AG2:AG665)</f>
        <v>-0.62577078713265111</v>
      </c>
      <c r="U582" s="54">
        <f>(VLOOKUP($A582,'The List'!$B1:$AH665,33,FALSE)-AVERAGE('The List'!AH2:AH665))/STDEV('The List'!AH2:AH665)</f>
        <v>-1.2314350945148611</v>
      </c>
      <c r="V582" s="54"/>
      <c r="W582" s="64"/>
      <c r="X582" s="56"/>
      <c r="Y582" s="56"/>
      <c r="Z582" s="56"/>
      <c r="AA582" s="56"/>
      <c r="AB582" s="56"/>
      <c r="AC582" s="59"/>
      <c r="AD582" s="60"/>
      <c r="AE582" s="54"/>
    </row>
    <row r="583" spans="1:31" ht="21.25" customHeight="1" x14ac:dyDescent="0.15">
      <c r="A583" s="9" t="s">
        <v>631</v>
      </c>
      <c r="B583" s="65" t="str">
        <f>VLOOKUP(A583,'Player Data'!A1:B667,2,FALSE)</f>
        <v>CGY</v>
      </c>
      <c r="C583" s="51">
        <f>((E583)*Settings!$C$12)+(F583*Settings!$C$2)+(G583*Settings!$C$3)+(H583*Settings!$C$4)+(I583*Settings!$C$5)+(K583*Settings!$C$9)+(N583*Settings!$C$6)+(J583*Settings!$C$8)+(O583*Settings!$C$7)+(P583*Settings!$C$14)+(Q583*Settings!$C$15)+(R583*Settings!$C$16)+(S583*Settings!$C$17)+(T583*Settings!$C$18)+(U583*Settings!$C$19)+(L583*Settings!$C$10)+(Settings!$C$11*M583)</f>
        <v>-3.7799562311602313</v>
      </c>
      <c r="D583" s="56">
        <f>IF(Settings!$E$12="YES",VLOOKUP(A583,'Player Data'!A1:E667,5,FALSE),82)</f>
        <v>65.375</v>
      </c>
      <c r="E583" s="54">
        <f>(VLOOKUP($A583,'The List'!$B1:$AH665,17,FALSE)-AVERAGE('The List'!R2:R665))/STDEV('The List'!R2:R665)</f>
        <v>-0.5095390111318906</v>
      </c>
      <c r="F583" s="54">
        <f>(VLOOKUP($A583,'The List'!$B1:$AH665,18,FALSE)-AVERAGE('The List'!S2:S665))/STDEV('The List'!S2:S665)</f>
        <v>-1.0773875209625448</v>
      </c>
      <c r="G583" s="54">
        <f>(VLOOKUP($A583,'The List'!$B1:$AH665,19,FALSE)-AVERAGE('The List'!T2:T665))/STDEV('The List'!T2:T665)</f>
        <v>-1.0610502795603844</v>
      </c>
      <c r="H583" s="54">
        <f>(VLOOKUP($A583,'The List'!$B1:$AH665,20,FALSE)-AVERAGE('The List'!U2:U665))/STDEV('The List'!U2:U665)</f>
        <v>-1.1486957250802821</v>
      </c>
      <c r="I583" s="54">
        <f>(VLOOKUP($A583,'The List'!$B1:$AH665,21,FALSE)-AVERAGE('The List'!V2:V665))/STDEV('The List'!V2:V665)</f>
        <v>-1.0521694949822484</v>
      </c>
      <c r="J583" s="54">
        <f>(VLOOKUP($A583,'The List'!$B1:$AH665,22,FALSE)-AVERAGE('The List'!W2:W665))/STDEV('The List'!W2:W665)</f>
        <v>-0.74305864844762537</v>
      </c>
      <c r="K583" s="54">
        <f>(VLOOKUP($A583,'The List'!$B1:$AH665,23,FALSE)-AVERAGE('The List'!X2:X665))/STDEV('The List'!X2:X665)</f>
        <v>-0.82206676106676524</v>
      </c>
      <c r="L583" s="54">
        <f>(VLOOKUP($A583,'The List'!$B1:$AH665,24,FALSE)-AVERAGE('The List'!Y2:Y665))/STDEV('The List'!Y2:Y665)</f>
        <v>-0.50562156858579888</v>
      </c>
      <c r="M583" s="54">
        <f>(VLOOKUP($A583,'The List'!$B1:$AH665,25,FALSE)-AVERAGE('The List'!Z2:Z665))/STDEV('The List'!Z2:Z665)</f>
        <v>0.30982790634458168</v>
      </c>
      <c r="N583" s="54">
        <f>(VLOOKUP($A583,'The List'!$B1:$AH665,26,FALSE)-AVERAGE('The List'!AA2:AA665))/STDEV('The List'!AA2:AA665)</f>
        <v>0.46473822202935045</v>
      </c>
      <c r="O583" s="54">
        <f>(VLOOKUP($A583,'The List'!$B1:$AH665,27,FALSE)-AVERAGE('The List'!AB2:AB665))/STDEV('The List'!AB2:AB665)</f>
        <v>0.9348651937788055</v>
      </c>
      <c r="P583" s="54">
        <f>(VLOOKUP($A583,'The List'!$B1:$AH665,28,FALSE)-AVERAGE('The List'!AC2:AC665))/STDEV('The List'!AC2:AC665)</f>
        <v>-0.23202039661763857</v>
      </c>
      <c r="Q583" s="54">
        <f>(VLOOKUP($A583,'The List'!$B1:$AH665,29,FALSE)-AVERAGE('The List'!AD2:AD665))/STDEV('The List'!AD2:AD665)</f>
        <v>0.86372445022040645</v>
      </c>
      <c r="R583" s="54">
        <f>(VLOOKUP($A583,'The List'!$B1:$AH665,30,FALSE)-AVERAGE('The List'!AE2:AE665))/STDEV('The List'!AE2:AE665)</f>
        <v>-1.036201966518451</v>
      </c>
      <c r="S583" s="54">
        <f>(VLOOKUP($A583,'The List'!$B1:$AH665,31,FALSE)-AVERAGE('The List'!AF2:AF665))/STDEV('The List'!AF2:AF665)</f>
        <v>-0.57389441068000469</v>
      </c>
      <c r="T583" s="54">
        <f>(VLOOKUP($A583,'The List'!$B1:$AH665,32,FALSE)-AVERAGE('The List'!AG2:AG665))/STDEV('The List'!AG2:AG665)</f>
        <v>-0.62577078713265111</v>
      </c>
      <c r="U583" s="54">
        <f>(VLOOKUP($A583,'The List'!$B1:$AH665,33,FALSE)-AVERAGE('The List'!AH2:AH665))/STDEV('The List'!AH2:AH665)</f>
        <v>-1.2314350945148611</v>
      </c>
      <c r="V583" s="54"/>
      <c r="W583" s="64"/>
      <c r="X583" s="56"/>
      <c r="Y583" s="56"/>
      <c r="Z583" s="56"/>
      <c r="AA583" s="56"/>
      <c r="AB583" s="56"/>
      <c r="AC583" s="59"/>
      <c r="AD583" s="60"/>
      <c r="AE583" s="54"/>
    </row>
    <row r="584" spans="1:31" ht="21.25" customHeight="1" x14ac:dyDescent="0.15">
      <c r="A584" s="9" t="s">
        <v>779</v>
      </c>
      <c r="B584" s="65" t="str">
        <f>VLOOKUP(A584,'Player Data'!A1:B667,2,FALSE)</f>
        <v>EDM</v>
      </c>
      <c r="C584" s="51">
        <f>((E584)*Settings!$C$12)+(F584*Settings!$C$2)+(G584*Settings!$C$3)+(H584*Settings!$C$4)+(I584*Settings!$C$5)+(K584*Settings!$C$9)+(N584*Settings!$C$6)+(J584*Settings!$C$8)+(O584*Settings!$C$7)+(P584*Settings!$C$14)+(Q584*Settings!$C$15)+(R584*Settings!$C$16)+(S584*Settings!$C$17)+(T584*Settings!$C$18)+(U584*Settings!$C$19)+(L584*Settings!$C$10)+(Settings!$C$11*M584)</f>
        <v>-3.3346211997034505</v>
      </c>
      <c r="D584" s="56">
        <f>IF(Settings!$E$12="YES",VLOOKUP(A584,'Player Data'!A1:E667,5,FALSE),82)</f>
        <v>78.924999999999997</v>
      </c>
      <c r="E584" s="54">
        <f>(VLOOKUP($A584,'The List'!$B1:$AH665,17,FALSE)-AVERAGE('The List'!R2:R665))/STDEV('The List'!R2:R665)</f>
        <v>-1.8180136427452913</v>
      </c>
      <c r="F584" s="54">
        <f>(VLOOKUP($A584,'The List'!$B1:$AH665,18,FALSE)-AVERAGE('The List'!S2:S665))/STDEV('The List'!S2:S665)</f>
        <v>-0.65849774296864905</v>
      </c>
      <c r="G584" s="54">
        <f>(VLOOKUP($A584,'The List'!$B1:$AH665,19,FALSE)-AVERAGE('The List'!T2:T665))/STDEV('The List'!T2:T665)</f>
        <v>-1.2020601400560138</v>
      </c>
      <c r="H584" s="54">
        <f>(VLOOKUP($A584,'The List'!$B1:$AH665,20,FALSE)-AVERAGE('The List'!U2:U665))/STDEV('The List'!U2:U665)</f>
        <v>-1.0458654616389171</v>
      </c>
      <c r="I584" s="54">
        <f>(VLOOKUP($A584,'The List'!$B1:$AH665,21,FALSE)-AVERAGE('The List'!V2:V665))/STDEV('The List'!V2:V665)</f>
        <v>-1.1257548860596411</v>
      </c>
      <c r="J584" s="54">
        <f>(VLOOKUP($A584,'The List'!$B1:$AH665,22,FALSE)-AVERAGE('The List'!W2:W665))/STDEV('The List'!W2:W665)</f>
        <v>-0.7401149303735125</v>
      </c>
      <c r="K584" s="54">
        <f>(VLOOKUP($A584,'The List'!$B1:$AH665,23,FALSE)-AVERAGE('The List'!X2:X665))/STDEV('The List'!X2:X665)</f>
        <v>-0.8242243138782378</v>
      </c>
      <c r="L584" s="54">
        <f>(VLOOKUP($A584,'The List'!$B1:$AH665,24,FALSE)-AVERAGE('The List'!Y2:Y665))/STDEV('The List'!Y2:Y665)</f>
        <v>2.1410822031484851</v>
      </c>
      <c r="M584" s="54">
        <f>(VLOOKUP($A584,'The List'!$B1:$AH665,25,FALSE)-AVERAGE('The List'!Z2:Z665))/STDEV('The List'!Z2:Z665)</f>
        <v>1.9256612270111553</v>
      </c>
      <c r="N584" s="54">
        <f>(VLOOKUP($A584,'The List'!$B1:$AH665,26,FALSE)-AVERAGE('The List'!AA2:AA665))/STDEV('The List'!AA2:AA665)</f>
        <v>-0.7389064525550938</v>
      </c>
      <c r="O584" s="54">
        <f>(VLOOKUP($A584,'The List'!$B1:$AH665,27,FALSE)-AVERAGE('The List'!AB2:AB665))/STDEV('The List'!AB2:AB665)</f>
        <v>-0.54602362222517309</v>
      </c>
      <c r="P584" s="54">
        <f>(VLOOKUP($A584,'The List'!$B1:$AH665,28,FALSE)-AVERAGE('The List'!AC2:AC665))/STDEV('The List'!AC2:AC665)</f>
        <v>1.2148223358141845</v>
      </c>
      <c r="Q584" s="54">
        <f>(VLOOKUP($A584,'The List'!$B1:$AH665,29,FALSE)-AVERAGE('The List'!AD2:AD665))/STDEV('The List'!AD2:AD665)</f>
        <v>-1.2027880911402073</v>
      </c>
      <c r="R584" s="54">
        <f>(VLOOKUP($A584,'The List'!$B1:$AH665,30,FALSE)-AVERAGE('The List'!AE2:AE665))/STDEV('The List'!AE2:AE665)</f>
        <v>-0.57542998541439849</v>
      </c>
      <c r="S584" s="54">
        <f>(VLOOKUP($A584,'The List'!$B1:$AH665,31,FALSE)-AVERAGE('The List'!AF2:AF665))/STDEV('The List'!AF2:AF665)</f>
        <v>0.60125494934583412</v>
      </c>
      <c r="T584" s="54">
        <f>(VLOOKUP($A584,'The List'!$B1:$AH665,32,FALSE)-AVERAGE('The List'!AG2:AG665))/STDEV('The List'!AG2:AG665)</f>
        <v>0.45619845835341161</v>
      </c>
      <c r="U584" s="54">
        <f>(VLOOKUP($A584,'The List'!$B1:$AH665,33,FALSE)-AVERAGE('The List'!AH2:AH665))/STDEV('The List'!AH2:AH665)</f>
        <v>1.1983567880159984</v>
      </c>
      <c r="V584" s="54"/>
      <c r="W584" s="64"/>
      <c r="X584" s="56"/>
      <c r="Y584" s="56"/>
      <c r="Z584" s="56"/>
      <c r="AA584" s="56"/>
      <c r="AB584" s="56"/>
      <c r="AC584" s="59"/>
      <c r="AD584" s="60"/>
      <c r="AE584" s="54"/>
    </row>
    <row r="585" spans="1:31" ht="21.25" customHeight="1" x14ac:dyDescent="0.15">
      <c r="A585" s="9" t="s">
        <v>566</v>
      </c>
      <c r="B585" s="65" t="str">
        <f>VLOOKUP(A585,'Player Data'!A1:B667,2,FALSE)</f>
        <v>NSH</v>
      </c>
      <c r="C585" s="51">
        <f>((E585)*Settings!$C$12)+(F585*Settings!$C$2)+(G585*Settings!$C$3)+(H585*Settings!$C$4)+(I585*Settings!$C$5)+(K585*Settings!$C$9)+(N585*Settings!$C$6)+(J585*Settings!$C$8)+(O585*Settings!$C$7)+(P585*Settings!$C$14)+(Q585*Settings!$C$15)+(R585*Settings!$C$16)+(S585*Settings!$C$17)+(T585*Settings!$C$18)+(U585*Settings!$C$19)+(L585*Settings!$C$10)+(Settings!$C$11*M585)</f>
        <v>-2.8326125149320052</v>
      </c>
      <c r="D585" s="56">
        <f>IF(Settings!$E$12="YES",VLOOKUP(A585,'Player Data'!A1:E667,5,FALSE),82)</f>
        <v>77.834999999999994</v>
      </c>
      <c r="E585" s="54">
        <f>(VLOOKUP($A585,'The List'!$B1:$AH665,17,FALSE)-AVERAGE('The List'!R2:R665))/STDEV('The List'!R2:R665)</f>
        <v>0.16893739897425322</v>
      </c>
      <c r="F585" s="54">
        <f>(VLOOKUP($A585,'The List'!$B1:$AH665,18,FALSE)-AVERAGE('The List'!S2:S665))/STDEV('The List'!S2:S665)</f>
        <v>-0.94404140506286049</v>
      </c>
      <c r="G585" s="54">
        <f>(VLOOKUP($A585,'The List'!$B1:$AH665,19,FALSE)-AVERAGE('The List'!T2:T665))/STDEV('The List'!T2:T665)</f>
        <v>-1.0085760222164899</v>
      </c>
      <c r="H585" s="54">
        <f>(VLOOKUP($A585,'The List'!$B1:$AH665,20,FALSE)-AVERAGE('The List'!U2:U665))/STDEV('The List'!U2:U665)</f>
        <v>-1.0554941126151143</v>
      </c>
      <c r="I585" s="54">
        <f>(VLOOKUP($A585,'The List'!$B1:$AH665,21,FALSE)-AVERAGE('The List'!V2:V665))/STDEV('The List'!V2:V665)</f>
        <v>-0.72181135801367491</v>
      </c>
      <c r="J585" s="54">
        <f>(VLOOKUP($A585,'The List'!$B1:$AH665,22,FALSE)-AVERAGE('The List'!W2:W665))/STDEV('The List'!W2:W665)</f>
        <v>-0.73915100948664358</v>
      </c>
      <c r="K585" s="54">
        <f>(VLOOKUP($A585,'The List'!$B1:$AH665,23,FALSE)-AVERAGE('The List'!X2:X665))/STDEV('The List'!X2:X665)</f>
        <v>-0.81251262099034216</v>
      </c>
      <c r="L585" s="54">
        <f>(VLOOKUP($A585,'The List'!$B1:$AH665,24,FALSE)-AVERAGE('The List'!Y2:Y665))/STDEV('The List'!Y2:Y665)</f>
        <v>-0.52539008843019352</v>
      </c>
      <c r="M585" s="54">
        <f>(VLOOKUP($A585,'The List'!$B1:$AH665,25,FALSE)-AVERAGE('The List'!Z2:Z665))/STDEV('The List'!Z2:Z665)</f>
        <v>-0.29972609283091611</v>
      </c>
      <c r="N585" s="54">
        <f>(VLOOKUP($A585,'The List'!$B1:$AH665,26,FALSE)-AVERAGE('The List'!AA2:AA665))/STDEV('The List'!AA2:AA665)</f>
        <v>0.91841210323976563</v>
      </c>
      <c r="O585" s="54">
        <f>(VLOOKUP($A585,'The List'!$B1:$AH665,27,FALSE)-AVERAGE('The List'!AB2:AB665))/STDEV('The List'!AB2:AB665)</f>
        <v>4.072425930384334</v>
      </c>
      <c r="P585" s="54">
        <f>(VLOOKUP($A585,'The List'!$B1:$AH665,28,FALSE)-AVERAGE('The List'!AC2:AC665))/STDEV('The List'!AC2:AC665)</f>
        <v>-0.26408321188840339</v>
      </c>
      <c r="Q585" s="54">
        <f>(VLOOKUP($A585,'The List'!$B1:$AH665,29,FALSE)-AVERAGE('The List'!AD2:AD665))/STDEV('The List'!AD2:AD665)</f>
        <v>3.4435324263482339</v>
      </c>
      <c r="R585" s="54">
        <f>(VLOOKUP($A585,'The List'!$B1:$AH665,30,FALSE)-AVERAGE('The List'!AE2:AE665))/STDEV('The List'!AE2:AE665)</f>
        <v>-0.92107786976246364</v>
      </c>
      <c r="S585" s="54">
        <f>(VLOOKUP($A585,'The List'!$B1:$AH665,31,FALSE)-AVERAGE('The List'!AF2:AF665))/STDEV('The List'!AF2:AF665)</f>
        <v>-0.57389441068000469</v>
      </c>
      <c r="T585" s="54">
        <f>(VLOOKUP($A585,'The List'!$B1:$AH665,32,FALSE)-AVERAGE('The List'!AG2:AG665))/STDEV('The List'!AG2:AG665)</f>
        <v>-0.62577078713265111</v>
      </c>
      <c r="U585" s="54">
        <f>(VLOOKUP($A585,'The List'!$B1:$AH665,33,FALSE)-AVERAGE('The List'!AH2:AH665))/STDEV('The List'!AH2:AH665)</f>
        <v>-1.2314350945148611</v>
      </c>
      <c r="V585" s="54"/>
      <c r="W585" s="64"/>
      <c r="X585" s="56"/>
      <c r="Y585" s="56"/>
      <c r="Z585" s="56"/>
      <c r="AA585" s="56"/>
      <c r="AB585" s="56"/>
      <c r="AC585" s="59"/>
      <c r="AD585" s="60"/>
      <c r="AE585" s="54"/>
    </row>
    <row r="586" spans="1:31" ht="21.25" customHeight="1" x14ac:dyDescent="0.15">
      <c r="A586" s="9" t="s">
        <v>685</v>
      </c>
      <c r="B586" s="65" t="str">
        <f>VLOOKUP(A586,'Player Data'!A1:B667,2,FALSE)</f>
        <v>NYI</v>
      </c>
      <c r="C586" s="51">
        <f>((E586)*Settings!$C$12)+(F586*Settings!$C$2)+(G586*Settings!$C$3)+(H586*Settings!$C$4)+(I586*Settings!$C$5)+(K586*Settings!$C$9)+(N586*Settings!$C$6)+(J586*Settings!$C$8)+(O586*Settings!$C$7)+(P586*Settings!$C$14)+(Q586*Settings!$C$15)+(R586*Settings!$C$16)+(S586*Settings!$C$17)+(T586*Settings!$C$18)+(U586*Settings!$C$19)+(L586*Settings!$C$10)+(Settings!$C$11*M586)</f>
        <v>-4.0266852766844501</v>
      </c>
      <c r="D586" s="56">
        <f>IF(Settings!$E$12="YES",VLOOKUP(A586,'Player Data'!A1:E667,5,FALSE),82)</f>
        <v>62.11</v>
      </c>
      <c r="E586" s="54">
        <f>(VLOOKUP($A586,'The List'!$B1:$AH665,17,FALSE)-AVERAGE('The List'!R2:R665))/STDEV('The List'!R2:R665)</f>
        <v>-1.0244478597937994</v>
      </c>
      <c r="F586" s="54">
        <f>(VLOOKUP($A586,'The List'!$B1:$AH665,18,FALSE)-AVERAGE('The List'!S2:S665))/STDEV('The List'!S2:S665)</f>
        <v>-1.0129754926147234</v>
      </c>
      <c r="G586" s="54">
        <f>(VLOOKUP($A586,'The List'!$B1:$AH665,19,FALSE)-AVERAGE('The List'!T2:T665))/STDEV('The List'!T2:T665)</f>
        <v>-1.1502492896778387</v>
      </c>
      <c r="H586" s="54">
        <f>(VLOOKUP($A586,'The List'!$B1:$AH665,20,FALSE)-AVERAGE('The List'!U2:U665))/STDEV('The List'!U2:U665)</f>
        <v>-1.1748149972217747</v>
      </c>
      <c r="I586" s="54">
        <f>(VLOOKUP($A586,'The List'!$B1:$AH665,21,FALSE)-AVERAGE('The List'!V2:V665))/STDEV('The List'!V2:V665)</f>
        <v>-1.2531861405815277</v>
      </c>
      <c r="J586" s="54">
        <f>(VLOOKUP($A586,'The List'!$B1:$AH665,22,FALSE)-AVERAGE('The List'!W2:W665))/STDEV('The List'!W2:W665)</f>
        <v>-0.66389975632543463</v>
      </c>
      <c r="K586" s="54">
        <f>(VLOOKUP($A586,'The List'!$B1:$AH665,23,FALSE)-AVERAGE('The List'!X2:X665))/STDEV('The List'!X2:X665)</f>
        <v>-0.75544108152745082</v>
      </c>
      <c r="L586" s="54">
        <f>(VLOOKUP($A586,'The List'!$B1:$AH665,24,FALSE)-AVERAGE('The List'!Y2:Y665))/STDEV('The List'!Y2:Y665)</f>
        <v>-0.56689661874837005</v>
      </c>
      <c r="M586" s="54">
        <f>(VLOOKUP($A586,'The List'!$B1:$AH665,25,FALSE)-AVERAGE('The List'!Z2:Z665))/STDEV('The List'!Z2:Z665)</f>
        <v>-0.71400488783171867</v>
      </c>
      <c r="N586" s="54">
        <f>(VLOOKUP($A586,'The List'!$B1:$AH665,26,FALSE)-AVERAGE('The List'!AA2:AA665))/STDEV('The List'!AA2:AA665)</f>
        <v>-2.0048669575962148E-2</v>
      </c>
      <c r="O586" s="54">
        <f>(VLOOKUP($A586,'The List'!$B1:$AH665,27,FALSE)-AVERAGE('The List'!AB2:AB665))/STDEV('The List'!AB2:AB665)</f>
        <v>-0.29117511952682096</v>
      </c>
      <c r="P586" s="54">
        <f>(VLOOKUP($A586,'The List'!$B1:$AH665,28,FALSE)-AVERAGE('The List'!AC2:AC665))/STDEV('The List'!AC2:AC665)</f>
        <v>0.16521539729305212</v>
      </c>
      <c r="Q586" s="54">
        <f>(VLOOKUP($A586,'The List'!$B1:$AH665,29,FALSE)-AVERAGE('The List'!AD2:AD665))/STDEV('The List'!AD2:AD665)</f>
        <v>-1.2456943198425585</v>
      </c>
      <c r="R586" s="54">
        <f>(VLOOKUP($A586,'The List'!$B1:$AH665,30,FALSE)-AVERAGE('The List'!AE2:AE665))/STDEV('The List'!AE2:AE665)</f>
        <v>-0.95170933433126659</v>
      </c>
      <c r="S586" s="54">
        <f>(VLOOKUP($A586,'The List'!$B1:$AH665,31,FALSE)-AVERAGE('The List'!AF2:AF665))/STDEV('The List'!AF2:AF665)</f>
        <v>-0.57389441068000469</v>
      </c>
      <c r="T586" s="54">
        <f>(VLOOKUP($A586,'The List'!$B1:$AH665,32,FALSE)-AVERAGE('The List'!AG2:AG665))/STDEV('The List'!AG2:AG665)</f>
        <v>-0.62577078713265111</v>
      </c>
      <c r="U586" s="54">
        <f>(VLOOKUP($A586,'The List'!$B1:$AH665,33,FALSE)-AVERAGE('The List'!AH2:AH665))/STDEV('The List'!AH2:AH665)</f>
        <v>-1.2314350945148611</v>
      </c>
      <c r="V586" s="54"/>
      <c r="W586" s="64"/>
      <c r="X586" s="56"/>
      <c r="Y586" s="56"/>
      <c r="Z586" s="56"/>
      <c r="AA586" s="56"/>
      <c r="AB586" s="56"/>
      <c r="AC586" s="59"/>
      <c r="AD586" s="60"/>
      <c r="AE586" s="54"/>
    </row>
    <row r="587" spans="1:31" ht="21.25" customHeight="1" x14ac:dyDescent="0.15">
      <c r="A587" s="9" t="s">
        <v>756</v>
      </c>
      <c r="B587" s="65" t="str">
        <f>VLOOKUP(A587,'Player Data'!A1:B667,2,FALSE)</f>
        <v>PIT</v>
      </c>
      <c r="C587" s="51">
        <f>((E587)*Settings!$C$12)+(F587*Settings!$C$2)+(G587*Settings!$C$3)+(H587*Settings!$C$4)+(I587*Settings!$C$5)+(K587*Settings!$C$9)+(N587*Settings!$C$6)+(J587*Settings!$C$8)+(O587*Settings!$C$7)+(P587*Settings!$C$14)+(Q587*Settings!$C$15)+(R587*Settings!$C$16)+(S587*Settings!$C$17)+(T587*Settings!$C$18)+(U587*Settings!$C$19)+(L587*Settings!$C$10)+(Settings!$C$11*M587)</f>
        <v>-3.908842109784735</v>
      </c>
      <c r="D587" s="56">
        <f>IF(Settings!$E$12="YES",VLOOKUP(A587,'Player Data'!A1:E667,5,FALSE),82)</f>
        <v>70.349999999999994</v>
      </c>
      <c r="E587" s="54">
        <f>(VLOOKUP($A587,'The List'!$B1:$AH665,17,FALSE)-AVERAGE('The List'!R2:R665))/STDEV('The List'!R2:R665)</f>
        <v>-1.286546223226732</v>
      </c>
      <c r="F587" s="54">
        <f>(VLOOKUP($A587,'The List'!$B1:$AH665,18,FALSE)-AVERAGE('The List'!S2:S665))/STDEV('The List'!S2:S665)</f>
        <v>-0.71993090156193906</v>
      </c>
      <c r="G587" s="54">
        <f>(VLOOKUP($A587,'The List'!$B1:$AH665,19,FALSE)-AVERAGE('The List'!T2:T665))/STDEV('The List'!T2:T665)</f>
        <v>-1.2781114060046748</v>
      </c>
      <c r="H587" s="54">
        <f>(VLOOKUP($A587,'The List'!$B1:$AH665,20,FALSE)-AVERAGE('The List'!U2:U665))/STDEV('The List'!U2:U665)</f>
        <v>-1.1210218647453691</v>
      </c>
      <c r="I587" s="54">
        <f>(VLOOKUP($A587,'The List'!$B1:$AH665,21,FALSE)-AVERAGE('The List'!V2:V665))/STDEV('The List'!V2:V665)</f>
        <v>-1.0108965977589832</v>
      </c>
      <c r="J587" s="54">
        <f>(VLOOKUP($A587,'The List'!$B1:$AH665,22,FALSE)-AVERAGE('The List'!W2:W665))/STDEV('The List'!W2:W665)</f>
        <v>-0.73116138348651838</v>
      </c>
      <c r="K587" s="54">
        <f>(VLOOKUP($A587,'The List'!$B1:$AH665,23,FALSE)-AVERAGE('The List'!X2:X665))/STDEV('The List'!X2:X665)</f>
        <v>-0.8164087063790173</v>
      </c>
      <c r="L587" s="54">
        <f>(VLOOKUP($A587,'The List'!$B1:$AH665,24,FALSE)-AVERAGE('The List'!Y2:Y665))/STDEV('The List'!Y2:Y665)</f>
        <v>-0.3917003254079493</v>
      </c>
      <c r="M587" s="54">
        <f>(VLOOKUP($A587,'The List'!$B1:$AH665,25,FALSE)-AVERAGE('The List'!Z2:Z665))/STDEV('The List'!Z2:Z665)</f>
        <v>0.24815384400817422</v>
      </c>
      <c r="N587" s="54">
        <f>(VLOOKUP($A587,'The List'!$B1:$AH665,26,FALSE)-AVERAGE('The List'!AA2:AA665))/STDEV('The List'!AA2:AA665)</f>
        <v>0.40674116192294385</v>
      </c>
      <c r="O587" s="54">
        <f>(VLOOKUP($A587,'The List'!$B1:$AH665,27,FALSE)-AVERAGE('The List'!AB2:AB665))/STDEV('The List'!AB2:AB665)</f>
        <v>1.1855919978344034</v>
      </c>
      <c r="P587" s="54">
        <f>(VLOOKUP($A587,'The List'!$B1:$AH665,28,FALSE)-AVERAGE('The List'!AC2:AC665))/STDEV('The List'!AC2:AC665)</f>
        <v>-0.49023566000306412</v>
      </c>
      <c r="Q587" s="54">
        <f>(VLOOKUP($A587,'The List'!$B1:$AH665,29,FALSE)-AVERAGE('The List'!AD2:AD665))/STDEV('The List'!AD2:AD665)</f>
        <v>-1.0588032745076577</v>
      </c>
      <c r="R587" s="54">
        <f>(VLOOKUP($A587,'The List'!$B1:$AH665,30,FALSE)-AVERAGE('The List'!AE2:AE665))/STDEV('The List'!AE2:AE665)</f>
        <v>-0.69121011585712011</v>
      </c>
      <c r="S587" s="54">
        <f>(VLOOKUP($A587,'The List'!$B1:$AH665,31,FALSE)-AVERAGE('The List'!AF2:AF665))/STDEV('The List'!AF2:AF665)</f>
        <v>1.0837273724236276</v>
      </c>
      <c r="T587" s="54">
        <f>(VLOOKUP($A587,'The List'!$B1:$AH665,32,FALSE)-AVERAGE('The List'!AG2:AG665))/STDEV('The List'!AG2:AG665)</f>
        <v>0.88482095557144858</v>
      </c>
      <c r="U587" s="54">
        <f>(VLOOKUP($A587,'The List'!$B1:$AH665,33,FALSE)-AVERAGE('The List'!AH2:AH665))/STDEV('The List'!AH2:AH665)</f>
        <v>1.2099305992550173</v>
      </c>
      <c r="V587" s="54"/>
      <c r="W587" s="56"/>
      <c r="X587" s="54"/>
      <c r="Y587" s="54"/>
      <c r="Z587" s="54"/>
      <c r="AA587" s="54"/>
      <c r="AB587" s="54"/>
      <c r="AC587" s="54"/>
      <c r="AD587" s="54"/>
      <c r="AE587" s="54"/>
    </row>
    <row r="588" spans="1:31" ht="21.25" customHeight="1" x14ac:dyDescent="0.15">
      <c r="A588" s="9" t="s">
        <v>614</v>
      </c>
      <c r="B588" s="65" t="str">
        <f>VLOOKUP(A588,'Player Data'!A1:B667,2,FALSE)</f>
        <v>L.A</v>
      </c>
      <c r="C588" s="51">
        <f>((E588)*Settings!$C$12)+(F588*Settings!$C$2)+(G588*Settings!$C$3)+(H588*Settings!$C$4)+(I588*Settings!$C$5)+(K588*Settings!$C$9)+(N588*Settings!$C$6)+(J588*Settings!$C$8)+(O588*Settings!$C$7)+(P588*Settings!$C$14)+(Q588*Settings!$C$15)+(R588*Settings!$C$16)+(S588*Settings!$C$17)+(T588*Settings!$C$18)+(U588*Settings!$C$19)+(L588*Settings!$C$10)+(Settings!$C$11*M588)</f>
        <v>-3.5163619526050081</v>
      </c>
      <c r="D588" s="56">
        <f>IF(Settings!$E$12="YES",VLOOKUP(A588,'Player Data'!A1:E667,5,FALSE),82)</f>
        <v>68.194999999999993</v>
      </c>
      <c r="E588" s="54">
        <f>(VLOOKUP($A588,'The List'!$B1:$AH665,17,FALSE)-AVERAGE('The List'!R2:R665))/STDEV('The List'!R2:R665)</f>
        <v>1.315344754611991E-2</v>
      </c>
      <c r="F588" s="54">
        <f>(VLOOKUP($A588,'The List'!$B1:$AH665,18,FALSE)-AVERAGE('The List'!S2:S665))/STDEV('The List'!S2:S665)</f>
        <v>-1.1012573224680133</v>
      </c>
      <c r="G588" s="54">
        <f>(VLOOKUP($A588,'The List'!$B1:$AH665,19,FALSE)-AVERAGE('The List'!T2:T665))/STDEV('The List'!T2:T665)</f>
        <v>-1.0268141678427654</v>
      </c>
      <c r="H588" s="54">
        <f>(VLOOKUP($A588,'The List'!$B1:$AH665,20,FALSE)-AVERAGE('The List'!U2:U665))/STDEV('The List'!U2:U665)</f>
        <v>-1.1382831340786241</v>
      </c>
      <c r="I588" s="54">
        <f>(VLOOKUP($A588,'The List'!$B1:$AH665,21,FALSE)-AVERAGE('The List'!V2:V665))/STDEV('The List'!V2:V665)</f>
        <v>-1.1720727147451453</v>
      </c>
      <c r="J588" s="54">
        <f>(VLOOKUP($A588,'The List'!$B1:$AH665,22,FALSE)-AVERAGE('The List'!W2:W665))/STDEV('The List'!W2:W665)</f>
        <v>-0.74272131731406699</v>
      </c>
      <c r="K588" s="54">
        <f>(VLOOKUP($A588,'The List'!$B1:$AH665,23,FALSE)-AVERAGE('The List'!X2:X665))/STDEV('The List'!X2:X665)</f>
        <v>-0.82091840547730022</v>
      </c>
      <c r="L588" s="54">
        <f>(VLOOKUP($A588,'The List'!$B1:$AH665,24,FALSE)-AVERAGE('The List'!Y2:Y665))/STDEV('The List'!Y2:Y665)</f>
        <v>-0.52666871592886721</v>
      </c>
      <c r="M588" s="54">
        <f>(VLOOKUP($A588,'The List'!$B1:$AH665,25,FALSE)-AVERAGE('The List'!Z2:Z665))/STDEV('The List'!Z2:Z665)</f>
        <v>-0.33933372813465723</v>
      </c>
      <c r="N588" s="54">
        <f>(VLOOKUP($A588,'The List'!$B1:$AH665,26,FALSE)-AVERAGE('The List'!AA2:AA665))/STDEV('The List'!AA2:AA665)</f>
        <v>0.88751352923134996</v>
      </c>
      <c r="O588" s="54">
        <f>(VLOOKUP($A588,'The List'!$B1:$AH665,27,FALSE)-AVERAGE('The List'!AB2:AB665))/STDEV('The List'!AB2:AB665)</f>
        <v>0.30219954732517629</v>
      </c>
      <c r="P588" s="54">
        <f>(VLOOKUP($A588,'The List'!$B1:$AH665,28,FALSE)-AVERAGE('The List'!AC2:AC665))/STDEV('The List'!AC2:AC665)</f>
        <v>-0.28281287130313382</v>
      </c>
      <c r="Q588" s="54">
        <f>(VLOOKUP($A588,'The List'!$B1:$AH665,29,FALSE)-AVERAGE('The List'!AD2:AD665))/STDEV('The List'!AD2:AD665)</f>
        <v>0.186843456483304</v>
      </c>
      <c r="R588" s="54">
        <f>(VLOOKUP($A588,'The List'!$B1:$AH665,30,FALSE)-AVERAGE('The List'!AE2:AE665))/STDEV('The List'!AE2:AE665)</f>
        <v>-1.0093893414575219</v>
      </c>
      <c r="S588" s="54">
        <f>(VLOOKUP($A588,'The List'!$B1:$AH665,31,FALSE)-AVERAGE('The List'!AF2:AF665))/STDEV('The List'!AF2:AF665)</f>
        <v>-0.57389441068000469</v>
      </c>
      <c r="T588" s="54">
        <f>(VLOOKUP($A588,'The List'!$B1:$AH665,32,FALSE)-AVERAGE('The List'!AG2:AG665))/STDEV('The List'!AG2:AG665)</f>
        <v>-0.62577078713265111</v>
      </c>
      <c r="U588" s="54">
        <f>(VLOOKUP($A588,'The List'!$B1:$AH665,33,FALSE)-AVERAGE('The List'!AH2:AH665))/STDEV('The List'!AH2:AH665)</f>
        <v>-1.2314350945148611</v>
      </c>
      <c r="V588" s="54"/>
      <c r="W588" s="64"/>
      <c r="X588" s="56"/>
      <c r="Y588" s="56"/>
      <c r="Z588" s="56"/>
      <c r="AA588" s="56"/>
      <c r="AB588" s="56"/>
      <c r="AC588" s="59"/>
      <c r="AD588" s="60"/>
      <c r="AE588" s="54"/>
    </row>
    <row r="589" spans="1:31" ht="21.25" customHeight="1" x14ac:dyDescent="0.15">
      <c r="A589" s="9" t="s">
        <v>595</v>
      </c>
      <c r="B589" s="65" t="str">
        <f>VLOOKUP(A589,'Player Data'!A1:B667,2,FALSE)</f>
        <v>COL</v>
      </c>
      <c r="C589" s="51">
        <f>((E589)*Settings!$C$12)+(F589*Settings!$C$2)+(G589*Settings!$C$3)+(H589*Settings!$C$4)+(I589*Settings!$C$5)+(K589*Settings!$C$9)+(N589*Settings!$C$6)+(J589*Settings!$C$8)+(O589*Settings!$C$7)+(P589*Settings!$C$14)+(Q589*Settings!$C$15)+(R589*Settings!$C$16)+(S589*Settings!$C$17)+(T589*Settings!$C$18)+(U589*Settings!$C$19)+(L589*Settings!$C$10)+(Settings!$C$11*M589)</f>
        <v>-2.8514517920730227</v>
      </c>
      <c r="D589" s="56">
        <f>IF(Settings!$E$12="YES",VLOOKUP(A589,'Player Data'!A1:E667,5,FALSE),82)</f>
        <v>72.66</v>
      </c>
      <c r="E589" s="54">
        <f>(VLOOKUP($A589,'The List'!$B1:$AH665,17,FALSE)-AVERAGE('The List'!R2:R665))/STDEV('The List'!R2:R665)</f>
        <v>-6.4743179987419686E-2</v>
      </c>
      <c r="F589" s="54">
        <f>(VLOOKUP($A589,'The List'!$B1:$AH665,18,FALSE)-AVERAGE('The List'!S2:S665))/STDEV('The List'!S2:S665)</f>
        <v>-1.0434332004562692</v>
      </c>
      <c r="G589" s="54">
        <f>(VLOOKUP($A589,'The List'!$B1:$AH665,19,FALSE)-AVERAGE('The List'!T2:T665))/STDEV('The List'!T2:T665)</f>
        <v>-1.0323815733130834</v>
      </c>
      <c r="H589" s="54">
        <f>(VLOOKUP($A589,'The List'!$B1:$AH665,20,FALSE)-AVERAGE('The List'!U2:U665))/STDEV('The List'!U2:U665)</f>
        <v>-1.1154569938649139</v>
      </c>
      <c r="I589" s="54">
        <f>(VLOOKUP($A589,'The List'!$B1:$AH665,21,FALSE)-AVERAGE('The List'!V2:V665))/STDEV('The List'!V2:V665)</f>
        <v>-0.98893557239530472</v>
      </c>
      <c r="J589" s="54">
        <f>(VLOOKUP($A589,'The List'!$B1:$AH665,22,FALSE)-AVERAGE('The List'!W2:W665))/STDEV('The List'!W2:W665)</f>
        <v>-0.74313375132718407</v>
      </c>
      <c r="K589" s="54">
        <f>(VLOOKUP($A589,'The List'!$B1:$AH665,23,FALSE)-AVERAGE('The List'!X2:X665))/STDEV('The List'!X2:X665)</f>
        <v>-0.82201678211802875</v>
      </c>
      <c r="L589" s="54">
        <f>(VLOOKUP($A589,'The List'!$B1:$AH665,24,FALSE)-AVERAGE('The List'!Y2:Y665))/STDEV('The List'!Y2:Y665)</f>
        <v>-0.51207912056476201</v>
      </c>
      <c r="M589" s="54">
        <f>(VLOOKUP($A589,'The List'!$B1:$AH665,25,FALSE)-AVERAGE('The List'!Z2:Z665))/STDEV('The List'!Z2:Z665)</f>
        <v>-0.56862974795437915</v>
      </c>
      <c r="N589" s="54">
        <f>(VLOOKUP($A589,'The List'!$B1:$AH665,26,FALSE)-AVERAGE('The List'!AA2:AA665))/STDEV('The List'!AA2:AA665)</f>
        <v>0.93209535363441731</v>
      </c>
      <c r="O589" s="54">
        <f>(VLOOKUP($A589,'The List'!$B1:$AH665,27,FALSE)-AVERAGE('The List'!AB2:AB665))/STDEV('The List'!AB2:AB665)</f>
        <v>0.53330032295570451</v>
      </c>
      <c r="P589" s="54">
        <f>(VLOOKUP($A589,'The List'!$B1:$AH665,28,FALSE)-AVERAGE('The List'!AC2:AC665))/STDEV('The List'!AC2:AC665)</f>
        <v>0.10321998257524634</v>
      </c>
      <c r="Q589" s="54">
        <f>(VLOOKUP($A589,'The List'!$B1:$AH665,29,FALSE)-AVERAGE('The List'!AD2:AD665))/STDEV('The List'!AD2:AD665)</f>
        <v>-0.22768079563882471</v>
      </c>
      <c r="R589" s="54">
        <f>(VLOOKUP($A589,'The List'!$B1:$AH665,30,FALSE)-AVERAGE('The List'!AE2:AE665))/STDEV('The List'!AE2:AE665)</f>
        <v>-0.99685660397302844</v>
      </c>
      <c r="S589" s="54">
        <f>(VLOOKUP($A589,'The List'!$B1:$AH665,31,FALSE)-AVERAGE('The List'!AF2:AF665))/STDEV('The List'!AF2:AF665)</f>
        <v>-0.57389441068000469</v>
      </c>
      <c r="T589" s="54">
        <f>(VLOOKUP($A589,'The List'!$B1:$AH665,32,FALSE)-AVERAGE('The List'!AG2:AG665))/STDEV('The List'!AG2:AG665)</f>
        <v>-0.62577078713265111</v>
      </c>
      <c r="U589" s="54">
        <f>(VLOOKUP($A589,'The List'!$B1:$AH665,33,FALSE)-AVERAGE('The List'!AH2:AH665))/STDEV('The List'!AH2:AH665)</f>
        <v>-1.2314350945148611</v>
      </c>
      <c r="V589" s="54"/>
      <c r="W589" s="64"/>
      <c r="X589" s="56"/>
      <c r="Y589" s="56"/>
      <c r="Z589" s="56"/>
      <c r="AA589" s="56"/>
      <c r="AB589" s="56"/>
      <c r="AC589" s="59"/>
      <c r="AD589" s="60"/>
      <c r="AE589" s="54"/>
    </row>
    <row r="590" spans="1:31" ht="21.25" customHeight="1" x14ac:dyDescent="0.15">
      <c r="A590" s="9" t="s">
        <v>782</v>
      </c>
      <c r="B590" s="65" t="str">
        <f>VLOOKUP(A590,'Player Data'!A1:B667,2,FALSE)</f>
        <v>CHI</v>
      </c>
      <c r="C590" s="51">
        <f>((E590)*Settings!$C$12)+(F590*Settings!$C$2)+(G590*Settings!$C$3)+(H590*Settings!$C$4)+(I590*Settings!$C$5)+(K590*Settings!$C$9)+(N590*Settings!$C$6)+(J590*Settings!$C$8)+(O590*Settings!$C$7)+(P590*Settings!$C$14)+(Q590*Settings!$C$15)+(R590*Settings!$C$16)+(S590*Settings!$C$17)+(T590*Settings!$C$18)+(U590*Settings!$C$19)+(L590*Settings!$C$10)+(Settings!$C$11*M590)</f>
        <v>-5.2397502356986978</v>
      </c>
      <c r="D590" s="56">
        <f>IF(Settings!$E$12="YES",VLOOKUP(A590,'Player Data'!A1:E667,5,FALSE),82)</f>
        <v>76.152500000000003</v>
      </c>
      <c r="E590" s="54">
        <f>(VLOOKUP($A590,'The List'!$B1:$AH665,17,FALSE)-AVERAGE('The List'!R2:R665))/STDEV('The List'!R2:R665)</f>
        <v>-1.6777129542479612</v>
      </c>
      <c r="F590" s="54">
        <f>(VLOOKUP($A590,'The List'!$B1:$AH665,18,FALSE)-AVERAGE('The List'!S2:S665))/STDEV('The List'!S2:S665)</f>
        <v>-0.97033075206069885</v>
      </c>
      <c r="G590" s="54">
        <f>(VLOOKUP($A590,'The List'!$B1:$AH665,19,FALSE)-AVERAGE('The List'!T2:T665))/STDEV('The List'!T2:T665)</f>
        <v>-1.064734315908662</v>
      </c>
      <c r="H590" s="54">
        <f>(VLOOKUP($A590,'The List'!$B1:$AH665,20,FALSE)-AVERAGE('The List'!U2:U665))/STDEV('The List'!U2:U665)</f>
        <v>-1.1023213285163833</v>
      </c>
      <c r="I590" s="54">
        <f>(VLOOKUP($A590,'The List'!$B1:$AH665,21,FALSE)-AVERAGE('The List'!V2:V665))/STDEV('The List'!V2:V665)</f>
        <v>-1.069166929521868</v>
      </c>
      <c r="J590" s="54">
        <f>(VLOOKUP($A590,'The List'!$B1:$AH665,22,FALSE)-AVERAGE('The List'!W2:W665))/STDEV('The List'!W2:W665)</f>
        <v>-0.72584737601281724</v>
      </c>
      <c r="K590" s="54">
        <f>(VLOOKUP($A590,'The List'!$B1:$AH665,23,FALSE)-AVERAGE('The List'!X2:X665))/STDEV('The List'!X2:X665)</f>
        <v>-0.80609583252860506</v>
      </c>
      <c r="L590" s="54">
        <f>(VLOOKUP($A590,'The List'!$B1:$AH665,24,FALSE)-AVERAGE('The List'!Y2:Y665))/STDEV('The List'!Y2:Y665)</f>
        <v>-0.57987943996562474</v>
      </c>
      <c r="M590" s="54">
        <f>(VLOOKUP($A590,'The List'!$B1:$AH665,25,FALSE)-AVERAGE('The List'!Z2:Z665))/STDEV('The List'!Z2:Z665)</f>
        <v>-0.75368767832389882</v>
      </c>
      <c r="N590" s="54">
        <f>(VLOOKUP($A590,'The List'!$B1:$AH665,26,FALSE)-AVERAGE('The List'!AA2:AA665))/STDEV('The List'!AA2:AA665)</f>
        <v>-1.0650925114575946</v>
      </c>
      <c r="O590" s="54">
        <f>(VLOOKUP($A590,'The List'!$B1:$AH665,27,FALSE)-AVERAGE('The List'!AB2:AB665))/STDEV('The List'!AB2:AB665)</f>
        <v>0.82240541257630928</v>
      </c>
      <c r="P590" s="54">
        <f>(VLOOKUP($A590,'The List'!$B1:$AH665,28,FALSE)-AVERAGE('The List'!AC2:AC665))/STDEV('The List'!AC2:AC665)</f>
        <v>-0.26432989422126979</v>
      </c>
      <c r="Q590" s="54">
        <f>(VLOOKUP($A590,'The List'!$B1:$AH665,29,FALSE)-AVERAGE('The List'!AD2:AD665))/STDEV('The List'!AD2:AD665)</f>
        <v>2.2177936227516515</v>
      </c>
      <c r="R590" s="54">
        <f>(VLOOKUP($A590,'The List'!$B1:$AH665,30,FALSE)-AVERAGE('The List'!AE2:AE665))/STDEV('The List'!AE2:AE665)</f>
        <v>-0.97377197347116995</v>
      </c>
      <c r="S590" s="54">
        <f>(VLOOKUP($A590,'The List'!$B1:$AH665,31,FALSE)-AVERAGE('The List'!AF2:AF665))/STDEV('The List'!AF2:AF665)</f>
        <v>-0.52113238009476104</v>
      </c>
      <c r="T590" s="54">
        <f>(VLOOKUP($A590,'The List'!$B1:$AH665,32,FALSE)-AVERAGE('The List'!AG2:AG665))/STDEV('The List'!AG2:AG665)</f>
        <v>-0.51642351844886514</v>
      </c>
      <c r="U590" s="54">
        <f>(VLOOKUP($A590,'The List'!$B1:$AH665,33,FALSE)-AVERAGE('The List'!AH2:AH665))/STDEV('The List'!AH2:AH665)</f>
        <v>0.30600135587272181</v>
      </c>
      <c r="V590" s="54"/>
      <c r="W590" s="56"/>
      <c r="X590" s="56"/>
      <c r="Y590" s="56"/>
      <c r="Z590" s="56"/>
      <c r="AA590" s="56"/>
      <c r="AB590" s="56"/>
      <c r="AC590" s="59"/>
      <c r="AD590" s="60"/>
      <c r="AE590" s="54"/>
    </row>
    <row r="591" spans="1:31" ht="21.25" customHeight="1" x14ac:dyDescent="0.15">
      <c r="A591" s="9" t="s">
        <v>648</v>
      </c>
      <c r="B591" s="65" t="str">
        <f>VLOOKUP(A591,'Player Data'!A1:B667,2,FALSE)</f>
        <v>WPG</v>
      </c>
      <c r="C591" s="51">
        <f>((E591)*Settings!$C$12)+(F591*Settings!$C$2)+(G591*Settings!$C$3)+(H591*Settings!$C$4)+(I591*Settings!$C$5)+(K591*Settings!$C$9)+(N591*Settings!$C$6)+(J591*Settings!$C$8)+(O591*Settings!$C$7)+(P591*Settings!$C$14)+(Q591*Settings!$C$15)+(R591*Settings!$C$16)+(S591*Settings!$C$17)+(T591*Settings!$C$18)+(U591*Settings!$C$19)+(L591*Settings!$C$10)+(Settings!$C$11*M591)</f>
        <v>-3.558415986920652</v>
      </c>
      <c r="D591" s="56">
        <f>IF(Settings!$E$12="YES",VLOOKUP(A591,'Player Data'!A1:E667,5,FALSE),82)</f>
        <v>59.847499999999997</v>
      </c>
      <c r="E591" s="54">
        <f>(VLOOKUP($A591,'The List'!$B1:$AH665,17,FALSE)-AVERAGE('The List'!R2:R665))/STDEV('The List'!R2:R665)</f>
        <v>-0.18398096540848213</v>
      </c>
      <c r="F591" s="54">
        <f>(VLOOKUP($A591,'The List'!$B1:$AH665,18,FALSE)-AVERAGE('The List'!S2:S665))/STDEV('The List'!S2:S665)</f>
        <v>-1.1143608738957111</v>
      </c>
      <c r="G591" s="54">
        <f>(VLOOKUP($A591,'The List'!$B1:$AH665,19,FALSE)-AVERAGE('The List'!T2:T665))/STDEV('The List'!T2:T665)</f>
        <v>-1.148540925950674</v>
      </c>
      <c r="H591" s="54">
        <f>(VLOOKUP($A591,'The List'!$B1:$AH665,20,FALSE)-AVERAGE('The List'!U2:U665))/STDEV('The List'!U2:U665)</f>
        <v>-1.2198384823153567</v>
      </c>
      <c r="I591" s="54">
        <f>(VLOOKUP($A591,'The List'!$B1:$AH665,21,FALSE)-AVERAGE('The List'!V2:V665))/STDEV('The List'!V2:V665)</f>
        <v>-1.0739490132390246</v>
      </c>
      <c r="J591" s="54">
        <f>(VLOOKUP($A591,'The List'!$B1:$AH665,22,FALSE)-AVERAGE('The List'!W2:W665))/STDEV('The List'!W2:W665)</f>
        <v>-0.74227342901696602</v>
      </c>
      <c r="K591" s="54">
        <f>(VLOOKUP($A591,'The List'!$B1:$AH665,23,FALSE)-AVERAGE('The List'!X2:X665))/STDEV('The List'!X2:X665)</f>
        <v>-0.82005060773930438</v>
      </c>
      <c r="L591" s="54">
        <f>(VLOOKUP($A591,'The List'!$B1:$AH665,24,FALSE)-AVERAGE('The List'!Y2:Y665))/STDEV('The List'!Y2:Y665)</f>
        <v>-0.52899805936384048</v>
      </c>
      <c r="M591" s="54">
        <f>(VLOOKUP($A591,'The List'!$B1:$AH665,25,FALSE)-AVERAGE('The List'!Z2:Z665))/STDEV('The List'!Z2:Z665)</f>
        <v>-0.5987957955383526</v>
      </c>
      <c r="N591" s="54">
        <f>(VLOOKUP($A591,'The List'!$B1:$AH665,26,FALSE)-AVERAGE('The List'!AA2:AA665))/STDEV('The List'!AA2:AA665)</f>
        <v>0.51390848014942203</v>
      </c>
      <c r="O591" s="54">
        <f>(VLOOKUP($A591,'The List'!$B1:$AH665,27,FALSE)-AVERAGE('The List'!AB2:AB665))/STDEV('The List'!AB2:AB665)</f>
        <v>-0.1958894072517616</v>
      </c>
      <c r="P591" s="54">
        <f>(VLOOKUP($A591,'The List'!$B1:$AH665,28,FALSE)-AVERAGE('The List'!AC2:AC665))/STDEV('The List'!AC2:AC665)</f>
        <v>8.4576953754639916E-2</v>
      </c>
      <c r="Q591" s="54">
        <f>(VLOOKUP($A591,'The List'!$B1:$AH665,29,FALSE)-AVERAGE('The List'!AD2:AD665))/STDEV('The List'!AD2:AD665)</f>
        <v>-0.80615560533311925</v>
      </c>
      <c r="R591" s="54">
        <f>(VLOOKUP($A591,'The List'!$B1:$AH665,30,FALSE)-AVERAGE('The List'!AE2:AE665))/STDEV('The List'!AE2:AE665)</f>
        <v>-1.0412314766358688</v>
      </c>
      <c r="S591" s="54">
        <f>(VLOOKUP($A591,'The List'!$B1:$AH665,31,FALSE)-AVERAGE('The List'!AF2:AF665))/STDEV('The List'!AF2:AF665)</f>
        <v>-0.57389441068000469</v>
      </c>
      <c r="T591" s="54">
        <f>(VLOOKUP($A591,'The List'!$B1:$AH665,32,FALSE)-AVERAGE('The List'!AG2:AG665))/STDEV('The List'!AG2:AG665)</f>
        <v>-0.62577078713265111</v>
      </c>
      <c r="U591" s="54">
        <f>(VLOOKUP($A591,'The List'!$B1:$AH665,33,FALSE)-AVERAGE('The List'!AH2:AH665))/STDEV('The List'!AH2:AH665)</f>
        <v>-1.2314350945148611</v>
      </c>
      <c r="V591" s="54"/>
      <c r="W591" s="64"/>
      <c r="X591" s="56"/>
      <c r="Y591" s="56"/>
      <c r="Z591" s="56"/>
      <c r="AA591" s="56"/>
      <c r="AB591" s="56"/>
      <c r="AC591" s="59"/>
      <c r="AD591" s="60"/>
      <c r="AE591" s="54"/>
    </row>
    <row r="592" spans="1:31" ht="21.25" customHeight="1" x14ac:dyDescent="0.15">
      <c r="A592" s="9" t="s">
        <v>527</v>
      </c>
      <c r="B592" s="65" t="str">
        <f>VLOOKUP(A592,'Player Data'!A1:B667,2,FALSE)</f>
        <v>CHI</v>
      </c>
      <c r="C592" s="51">
        <f>((E592)*Settings!$C$12)+(F592*Settings!$C$2)+(G592*Settings!$C$3)+(H592*Settings!$C$4)+(I592*Settings!$C$5)+(K592*Settings!$C$9)+(N592*Settings!$C$6)+(J592*Settings!$C$8)+(O592*Settings!$C$7)+(P592*Settings!$C$14)+(Q592*Settings!$C$15)+(R592*Settings!$C$16)+(S592*Settings!$C$17)+(T592*Settings!$C$18)+(U592*Settings!$C$19)+(L592*Settings!$C$10)+(Settings!$C$11*M592)</f>
        <v>-3.8046316373893041</v>
      </c>
      <c r="D592" s="56">
        <f>IF(Settings!$E$12="YES",VLOOKUP(A592,'Player Data'!A1:E667,5,FALSE),82)</f>
        <v>72.864999999999995</v>
      </c>
      <c r="E592" s="54">
        <f>(VLOOKUP($A592,'The List'!$B1:$AH665,17,FALSE)-AVERAGE('The List'!R2:R665))/STDEV('The List'!R2:R665)</f>
        <v>0.53361265595247587</v>
      </c>
      <c r="F592" s="54">
        <f>(VLOOKUP($A592,'The List'!$B1:$AH665,18,FALSE)-AVERAGE('The List'!S2:S665))/STDEV('The List'!S2:S665)</f>
        <v>-0.92630785530500226</v>
      </c>
      <c r="G592" s="54">
        <f>(VLOOKUP($A592,'The List'!$B1:$AH665,19,FALSE)-AVERAGE('The List'!T2:T665))/STDEV('The List'!T2:T665)</f>
        <v>-1.1376492619427769</v>
      </c>
      <c r="H592" s="54">
        <f>(VLOOKUP($A592,'The List'!$B1:$AH665,20,FALSE)-AVERAGE('The List'!U2:U665))/STDEV('The List'!U2:U665)</f>
        <v>-1.127595110721751</v>
      </c>
      <c r="I592" s="54">
        <f>(VLOOKUP($A592,'The List'!$B1:$AH665,21,FALSE)-AVERAGE('The List'!V2:V665))/STDEV('The List'!V2:V665)</f>
        <v>-0.96092080457082796</v>
      </c>
      <c r="J592" s="54">
        <f>(VLOOKUP($A592,'The List'!$B1:$AH665,22,FALSE)-AVERAGE('The List'!W2:W665))/STDEV('The List'!W2:W665)</f>
        <v>-0.74078291520799966</v>
      </c>
      <c r="K592" s="54">
        <f>(VLOOKUP($A592,'The List'!$B1:$AH665,23,FALSE)-AVERAGE('The List'!X2:X665))/STDEV('The List'!X2:X665)</f>
        <v>-0.81666416069826919</v>
      </c>
      <c r="L592" s="54">
        <f>(VLOOKUP($A592,'The List'!$B1:$AH665,24,FALSE)-AVERAGE('The List'!Y2:Y665))/STDEV('The List'!Y2:Y665)</f>
        <v>0.48039991355361783</v>
      </c>
      <c r="M592" s="54">
        <f>(VLOOKUP($A592,'The List'!$B1:$AH665,25,FALSE)-AVERAGE('The List'!Z2:Z665))/STDEV('The List'!Z2:Z665)</f>
        <v>8.6126353407562674E-4</v>
      </c>
      <c r="N592" s="54">
        <f>(VLOOKUP($A592,'The List'!$B1:$AH665,26,FALSE)-AVERAGE('The List'!AA2:AA665))/STDEV('The List'!AA2:AA665)</f>
        <v>1.943205375301341</v>
      </c>
      <c r="O592" s="54">
        <f>(VLOOKUP($A592,'The List'!$B1:$AH665,27,FALSE)-AVERAGE('The List'!AB2:AB665))/STDEV('The List'!AB2:AB665)</f>
        <v>1.186033008051268</v>
      </c>
      <c r="P592" s="54">
        <f>(VLOOKUP($A592,'The List'!$B1:$AH665,28,FALSE)-AVERAGE('The List'!AC2:AC665))/STDEV('The List'!AC2:AC665)</f>
        <v>-1.9062949301737686</v>
      </c>
      <c r="Q592" s="54">
        <f>(VLOOKUP($A592,'The List'!$B1:$AH665,29,FALSE)-AVERAGE('The List'!AD2:AD665))/STDEV('The List'!AD2:AD665)</f>
        <v>1.4335884983706124</v>
      </c>
      <c r="R592" s="54">
        <f>(VLOOKUP($A592,'The List'!$B1:$AH665,30,FALSE)-AVERAGE('The List'!AE2:AE665))/STDEV('The List'!AE2:AE665)</f>
        <v>-0.93725410604247184</v>
      </c>
      <c r="S592" s="54">
        <f>(VLOOKUP($A592,'The List'!$B1:$AH665,31,FALSE)-AVERAGE('The List'!AF2:AF665))/STDEV('The List'!AF2:AF665)</f>
        <v>-0.57389441068000469</v>
      </c>
      <c r="T592" s="54">
        <f>(VLOOKUP($A592,'The List'!$B1:$AH665,32,FALSE)-AVERAGE('The List'!AG2:AG665))/STDEV('The List'!AG2:AG665)</f>
        <v>-0.62577078713265111</v>
      </c>
      <c r="U592" s="54">
        <f>(VLOOKUP($A592,'The List'!$B1:$AH665,33,FALSE)-AVERAGE('The List'!AH2:AH665))/STDEV('The List'!AH2:AH665)</f>
        <v>-1.2314350945148611</v>
      </c>
      <c r="V592" s="54"/>
      <c r="W592" s="64"/>
      <c r="X592" s="56"/>
      <c r="Y592" s="56"/>
      <c r="Z592" s="56"/>
      <c r="AA592" s="56"/>
      <c r="AB592" s="56"/>
      <c r="AC592" s="59"/>
      <c r="AD592" s="60"/>
      <c r="AE592" s="54"/>
    </row>
    <row r="593" spans="1:31" ht="21.25" customHeight="1" x14ac:dyDescent="0.15">
      <c r="A593" s="9" t="s">
        <v>774</v>
      </c>
      <c r="B593" s="65" t="str">
        <f>VLOOKUP(A593,'Player Data'!A1:B667,2,FALSE)</f>
        <v>CGY</v>
      </c>
      <c r="C593" s="51">
        <f>((E593)*Settings!$C$12)+(F593*Settings!$C$2)+(G593*Settings!$C$3)+(H593*Settings!$C$4)+(I593*Settings!$C$5)+(K593*Settings!$C$9)+(N593*Settings!$C$6)+(J593*Settings!$C$8)+(O593*Settings!$C$7)+(P593*Settings!$C$14)+(Q593*Settings!$C$15)+(R593*Settings!$C$16)+(S593*Settings!$C$17)+(T593*Settings!$C$18)+(U593*Settings!$C$19)+(L593*Settings!$C$10)+(Settings!$C$11*M593)</f>
        <v>-3.8971607773328092</v>
      </c>
      <c r="D593" s="56">
        <f>IF(Settings!$E$12="YES",VLOOKUP(A593,'Player Data'!A1:E667,5,FALSE),82)</f>
        <v>78.087500000000006</v>
      </c>
      <c r="E593" s="54">
        <f>(VLOOKUP($A593,'The List'!$B1:$AH665,17,FALSE)-AVERAGE('The List'!R2:R665))/STDEV('The List'!R2:R665)</f>
        <v>-1.9826294532338002</v>
      </c>
      <c r="F593" s="54">
        <f>(VLOOKUP($A593,'The List'!$B1:$AH665,18,FALSE)-AVERAGE('The List'!S2:S665))/STDEV('The List'!S2:S665)</f>
        <v>-0.66708864179927752</v>
      </c>
      <c r="G593" s="54">
        <f>(VLOOKUP($A593,'The List'!$B1:$AH665,19,FALSE)-AVERAGE('The List'!T2:T665))/STDEV('The List'!T2:T665)</f>
        <v>-1.2744744702283743</v>
      </c>
      <c r="H593" s="54">
        <f>(VLOOKUP($A593,'The List'!$B1:$AH665,20,FALSE)-AVERAGE('The List'!U2:U665))/STDEV('The List'!U2:U665)</f>
        <v>-1.0947438042738888</v>
      </c>
      <c r="I593" s="54">
        <f>(VLOOKUP($A593,'The List'!$B1:$AH665,21,FALSE)-AVERAGE('The List'!V2:V665))/STDEV('The List'!V2:V665)</f>
        <v>-0.83248331960965904</v>
      </c>
      <c r="J593" s="54">
        <f>(VLOOKUP($A593,'The List'!$B1:$AH665,22,FALSE)-AVERAGE('The List'!W2:W665))/STDEV('The List'!W2:W665)</f>
        <v>-0.71754536407087655</v>
      </c>
      <c r="K593" s="54">
        <f>(VLOOKUP($A593,'The List'!$B1:$AH665,23,FALSE)-AVERAGE('The List'!X2:X665))/STDEV('The List'!X2:X665)</f>
        <v>-0.81075670080224271</v>
      </c>
      <c r="L593" s="54">
        <f>(VLOOKUP($A593,'The List'!$B1:$AH665,24,FALSE)-AVERAGE('The List'!Y2:Y665))/STDEV('The List'!Y2:Y665)</f>
        <v>-0.4293044920368253</v>
      </c>
      <c r="M593" s="54">
        <f>(VLOOKUP($A593,'The List'!$B1:$AH665,25,FALSE)-AVERAGE('The List'!Z2:Z665))/STDEV('The List'!Z2:Z665)</f>
        <v>-0.46090537777952761</v>
      </c>
      <c r="N593" s="54">
        <f>(VLOOKUP($A593,'The List'!$B1:$AH665,26,FALSE)-AVERAGE('The List'!AA2:AA665))/STDEV('The List'!AA2:AA665)</f>
        <v>-1.0044978383477867</v>
      </c>
      <c r="O593" s="54">
        <f>(VLOOKUP($A593,'The List'!$B1:$AH665,27,FALSE)-AVERAGE('The List'!AB2:AB665))/STDEV('The List'!AB2:AB665)</f>
        <v>1.2769796368202981</v>
      </c>
      <c r="P593" s="54">
        <f>(VLOOKUP($A593,'The List'!$B1:$AH665,28,FALSE)-AVERAGE('The List'!AC2:AC665))/STDEV('The List'!AC2:AC665)</f>
        <v>0.69214019345453071</v>
      </c>
      <c r="Q593" s="54">
        <f>(VLOOKUP($A593,'The List'!$B1:$AH665,29,FALSE)-AVERAGE('The List'!AD2:AD665))/STDEV('The List'!AD2:AD665)</f>
        <v>0.93287513874520422</v>
      </c>
      <c r="R593" s="54">
        <f>(VLOOKUP($A593,'The List'!$B1:$AH665,30,FALSE)-AVERAGE('The List'!AE2:AE665))/STDEV('The List'!AE2:AE665)</f>
        <v>-0.65358583507535928</v>
      </c>
      <c r="S593" s="54">
        <f>(VLOOKUP($A593,'The List'!$B1:$AH665,31,FALSE)-AVERAGE('The List'!AF2:AF665))/STDEV('The List'!AF2:AF665)</f>
        <v>-0.54372021738839393</v>
      </c>
      <c r="T593" s="54">
        <f>(VLOOKUP($A593,'The List'!$B1:$AH665,32,FALSE)-AVERAGE('The List'!AG2:AG665))/STDEV('The List'!AG2:AG665)</f>
        <v>-0.5660175529215129</v>
      </c>
      <c r="U593" s="54">
        <f>(VLOOKUP($A593,'The List'!$B1:$AH665,33,FALSE)-AVERAGE('The List'!AH2:AH665))/STDEV('The List'!AH2:AH665)</f>
        <v>0.35256266219341992</v>
      </c>
      <c r="V593" s="54"/>
      <c r="W593" s="64"/>
      <c r="X593" s="56"/>
      <c r="Y593" s="56"/>
      <c r="Z593" s="56"/>
      <c r="AA593" s="56"/>
      <c r="AB593" s="56"/>
      <c r="AC593" s="59"/>
      <c r="AD593" s="60"/>
      <c r="AE593" s="54"/>
    </row>
    <row r="594" spans="1:31" ht="21.25" customHeight="1" x14ac:dyDescent="0.15">
      <c r="A594" s="9" t="s">
        <v>788</v>
      </c>
      <c r="B594" s="65" t="str">
        <f>VLOOKUP(A594,'Player Data'!A1:B667,2,FALSE)</f>
        <v>FLA</v>
      </c>
      <c r="C594" s="51">
        <f>((E594)*Settings!$C$12)+(F594*Settings!$C$2)+(G594*Settings!$C$3)+(H594*Settings!$C$4)+(I594*Settings!$C$5)+(K594*Settings!$C$9)+(N594*Settings!$C$6)+(J594*Settings!$C$8)+(O594*Settings!$C$7)+(P594*Settings!$C$14)+(Q594*Settings!$C$15)+(R594*Settings!$C$16)+(S594*Settings!$C$17)+(T594*Settings!$C$18)+(U594*Settings!$C$19)+(L594*Settings!$C$10)+(Settings!$C$11*M594)</f>
        <v>-4.8567492780533463</v>
      </c>
      <c r="D594" s="56">
        <f>IF(Settings!$E$12="YES",VLOOKUP(A594,'Player Data'!A1:E667,5,FALSE),82)</f>
        <v>64.034999999999997</v>
      </c>
      <c r="E594" s="54">
        <f>(VLOOKUP($A594,'The List'!$B1:$AH665,17,FALSE)-AVERAGE('The List'!R2:R665))/STDEV('The List'!R2:R665)</f>
        <v>-2.3404307308198637</v>
      </c>
      <c r="F594" s="54">
        <f>(VLOOKUP($A594,'The List'!$B1:$AH665,18,FALSE)-AVERAGE('The List'!S2:S665))/STDEV('The List'!S2:S665)</f>
        <v>-0.9290646574793705</v>
      </c>
      <c r="G594" s="54">
        <f>(VLOOKUP($A594,'The List'!$B1:$AH665,19,FALSE)-AVERAGE('The List'!T2:T665))/STDEV('The List'!T2:T665)</f>
        <v>-1.294185247875574</v>
      </c>
      <c r="H594" s="54">
        <f>(VLOOKUP($A594,'The List'!$B1:$AH665,20,FALSE)-AVERAGE('The List'!U2:U665))/STDEV('The List'!U2:U665)</f>
        <v>-1.2260658573388621</v>
      </c>
      <c r="I594" s="54">
        <f>(VLOOKUP($A594,'The List'!$B1:$AH665,21,FALSE)-AVERAGE('The List'!V2:V665))/STDEV('The List'!V2:V665)</f>
        <v>-1.3044102260169461</v>
      </c>
      <c r="J594" s="54">
        <f>(VLOOKUP($A594,'The List'!$B1:$AH665,22,FALSE)-AVERAGE('The List'!W2:W665))/STDEV('The List'!W2:W665)</f>
        <v>-0.73045372009779097</v>
      </c>
      <c r="K594" s="54">
        <f>(VLOOKUP($A594,'The List'!$B1:$AH665,23,FALSE)-AVERAGE('The List'!X2:X665))/STDEV('The List'!X2:X665)</f>
        <v>-0.81566822089674063</v>
      </c>
      <c r="L594" s="54">
        <f>(VLOOKUP($A594,'The List'!$B1:$AH665,24,FALSE)-AVERAGE('The List'!Y2:Y665))/STDEV('The List'!Y2:Y665)</f>
        <v>-0.54185966717902501</v>
      </c>
      <c r="M594" s="54">
        <f>(VLOOKUP($A594,'The List'!$B1:$AH665,25,FALSE)-AVERAGE('The List'!Z2:Z665))/STDEV('The List'!Z2:Z665)</f>
        <v>-0.71452158667779897</v>
      </c>
      <c r="N594" s="54">
        <f>(VLOOKUP($A594,'The List'!$B1:$AH665,26,FALSE)-AVERAGE('The List'!AA2:AA665))/STDEV('The List'!AA2:AA665)</f>
        <v>-1.0416513991787915</v>
      </c>
      <c r="O594" s="54">
        <f>(VLOOKUP($A594,'The List'!$B1:$AH665,27,FALSE)-AVERAGE('The List'!AB2:AB665))/STDEV('The List'!AB2:AB665)</f>
        <v>0.71714280974561229</v>
      </c>
      <c r="P594" s="54">
        <f>(VLOOKUP($A594,'The List'!$B1:$AH665,28,FALSE)-AVERAGE('The List'!AC2:AC665))/STDEV('The List'!AC2:AC665)</f>
        <v>0.52823047339407569</v>
      </c>
      <c r="Q594" s="54">
        <f>(VLOOKUP($A594,'The List'!$B1:$AH665,29,FALSE)-AVERAGE('The List'!AD2:AD665))/STDEV('The List'!AD2:AD665)</f>
        <v>2.2835783147374062</v>
      </c>
      <c r="R594" s="54">
        <f>(VLOOKUP($A594,'The List'!$B1:$AH665,30,FALSE)-AVERAGE('The List'!AE2:AE665))/STDEV('The List'!AE2:AE665)</f>
        <v>-0.83279570931330216</v>
      </c>
      <c r="S594" s="54">
        <f>(VLOOKUP($A594,'The List'!$B1:$AH665,31,FALSE)-AVERAGE('The List'!AF2:AF665))/STDEV('The List'!AF2:AF665)</f>
        <v>-0.57234684599061469</v>
      </c>
      <c r="T594" s="54">
        <f>(VLOOKUP($A594,'The List'!$B1:$AH665,32,FALSE)-AVERAGE('The List'!AG2:AG665))/STDEV('The List'!AG2:AG665)</f>
        <v>-0.61827621361047735</v>
      </c>
      <c r="U594" s="54">
        <f>(VLOOKUP($A594,'The List'!$B1:$AH665,33,FALSE)-AVERAGE('The List'!AH2:AH665))/STDEV('The List'!AH2:AH665)</f>
        <v>-0.41511501970458203</v>
      </c>
      <c r="V594" s="54"/>
      <c r="W594" s="56"/>
      <c r="X594" s="54"/>
      <c r="Y594" s="54"/>
      <c r="Z594" s="54"/>
      <c r="AA594" s="54"/>
      <c r="AB594" s="54"/>
      <c r="AC594" s="54"/>
      <c r="AD594" s="54"/>
      <c r="AE594" s="54"/>
    </row>
    <row r="595" spans="1:31" ht="21.25" customHeight="1" x14ac:dyDescent="0.15">
      <c r="A595" s="9" t="s">
        <v>619</v>
      </c>
      <c r="B595" s="65" t="str">
        <f>VLOOKUP(A595,'Player Data'!A1:B667,2,FALSE)</f>
        <v>DAL</v>
      </c>
      <c r="C595" s="51">
        <f>((E595)*Settings!$C$12)+(F595*Settings!$C$2)+(G595*Settings!$C$3)+(H595*Settings!$C$4)+(I595*Settings!$C$5)+(K595*Settings!$C$9)+(N595*Settings!$C$6)+(J595*Settings!$C$8)+(O595*Settings!$C$7)+(P595*Settings!$C$14)+(Q595*Settings!$C$15)+(R595*Settings!$C$16)+(S595*Settings!$C$17)+(T595*Settings!$C$18)+(U595*Settings!$C$19)+(L595*Settings!$C$10)+(Settings!$C$11*M595)</f>
        <v>-3.14380452772602</v>
      </c>
      <c r="D595" s="56">
        <f>IF(Settings!$E$12="YES",VLOOKUP(A595,'Player Data'!A1:E667,5,FALSE),82)</f>
        <v>71.932500000000005</v>
      </c>
      <c r="E595" s="54">
        <f>(VLOOKUP($A595,'The List'!$B1:$AH665,17,FALSE)-AVERAGE('The List'!R2:R665))/STDEV('The List'!R2:R665)</f>
        <v>-0.43740736757022008</v>
      </c>
      <c r="F595" s="54">
        <f>(VLOOKUP($A595,'The List'!$B1:$AH665,18,FALSE)-AVERAGE('The List'!S2:S665))/STDEV('The List'!S2:S665)</f>
        <v>-1.0515842355960563</v>
      </c>
      <c r="G595" s="54">
        <f>(VLOOKUP($A595,'The List'!$B1:$AH665,19,FALSE)-AVERAGE('The List'!T2:T665))/STDEV('The List'!T2:T665)</f>
        <v>-1.1221499724229773</v>
      </c>
      <c r="H595" s="54">
        <f>(VLOOKUP($A595,'The List'!$B1:$AH665,20,FALSE)-AVERAGE('The List'!U2:U665))/STDEV('The List'!U2:U665)</f>
        <v>-1.174913250140774</v>
      </c>
      <c r="I595" s="54">
        <f>(VLOOKUP($A595,'The List'!$B1:$AH665,21,FALSE)-AVERAGE('The List'!V2:V665))/STDEV('The List'!V2:V665)</f>
        <v>-1.0900432683666981</v>
      </c>
      <c r="J595" s="54">
        <f>(VLOOKUP($A595,'The List'!$B1:$AH665,22,FALSE)-AVERAGE('The List'!W2:W665))/STDEV('The List'!W2:W665)</f>
        <v>-0.74153421356285365</v>
      </c>
      <c r="K595" s="54">
        <f>(VLOOKUP($A595,'The List'!$B1:$AH665,23,FALSE)-AVERAGE('The List'!X2:X665))/STDEV('The List'!X2:X665)</f>
        <v>-0.81805892169228511</v>
      </c>
      <c r="L595" s="54">
        <f>(VLOOKUP($A595,'The List'!$B1:$AH665,24,FALSE)-AVERAGE('The List'!Y2:Y665))/STDEV('The List'!Y2:Y665)</f>
        <v>-0.53109377196670349</v>
      </c>
      <c r="M595" s="54">
        <f>(VLOOKUP($A595,'The List'!$B1:$AH665,25,FALSE)-AVERAGE('The List'!Z2:Z665))/STDEV('The List'!Z2:Z665)</f>
        <v>-0.37769386093308938</v>
      </c>
      <c r="N595" s="54">
        <f>(VLOOKUP($A595,'The List'!$B1:$AH665,26,FALSE)-AVERAGE('The List'!AA2:AA665))/STDEV('The List'!AA2:AA665)</f>
        <v>0.77011362924167626</v>
      </c>
      <c r="O595" s="54">
        <f>(VLOOKUP($A595,'The List'!$B1:$AH665,27,FALSE)-AVERAGE('The List'!AB2:AB665))/STDEV('The List'!AB2:AB665)</f>
        <v>0.49157305420760844</v>
      </c>
      <c r="P595" s="54">
        <f>(VLOOKUP($A595,'The List'!$B1:$AH665,28,FALSE)-AVERAGE('The List'!AC2:AC665))/STDEV('The List'!AC2:AC665)</f>
        <v>0.16791824111032055</v>
      </c>
      <c r="Q595" s="54">
        <f>(VLOOKUP($A595,'The List'!$B1:$AH665,29,FALSE)-AVERAGE('The List'!AD2:AD665))/STDEV('The List'!AD2:AD665)</f>
        <v>1.7468043927515902</v>
      </c>
      <c r="R595" s="54">
        <f>(VLOOKUP($A595,'The List'!$B1:$AH665,30,FALSE)-AVERAGE('The List'!AE2:AE665))/STDEV('The List'!AE2:AE665)</f>
        <v>-0.98566325901352447</v>
      </c>
      <c r="S595" s="54">
        <f>(VLOOKUP($A595,'The List'!$B1:$AH665,31,FALSE)-AVERAGE('The List'!AF2:AF665))/STDEV('The List'!AF2:AF665)</f>
        <v>-0.57389441068000469</v>
      </c>
      <c r="T595" s="54">
        <f>(VLOOKUP($A595,'The List'!$B1:$AH665,32,FALSE)-AVERAGE('The List'!AG2:AG665))/STDEV('The List'!AG2:AG665)</f>
        <v>-0.62577078713265111</v>
      </c>
      <c r="U595" s="54">
        <f>(VLOOKUP($A595,'The List'!$B1:$AH665,33,FALSE)-AVERAGE('The List'!AH2:AH665))/STDEV('The List'!AH2:AH665)</f>
        <v>-1.2314350945148611</v>
      </c>
      <c r="V595" s="54"/>
      <c r="W595" s="56"/>
      <c r="X595" s="54"/>
      <c r="Y595" s="54"/>
      <c r="Z595" s="54"/>
      <c r="AA595" s="54"/>
      <c r="AB595" s="54"/>
      <c r="AC595" s="54"/>
      <c r="AD595" s="54"/>
      <c r="AE595" s="54"/>
    </row>
    <row r="596" spans="1:31" ht="21.25" customHeight="1" x14ac:dyDescent="0.15">
      <c r="A596" s="9" t="s">
        <v>783</v>
      </c>
      <c r="B596" s="65" t="str">
        <f>VLOOKUP(A596,'Player Data'!A1:B667,2,FALSE)</f>
        <v>COL</v>
      </c>
      <c r="C596" s="51">
        <f>((E596)*Settings!$C$12)+(F596*Settings!$C$2)+(G596*Settings!$C$3)+(H596*Settings!$C$4)+(I596*Settings!$C$5)+(K596*Settings!$C$9)+(N596*Settings!$C$6)+(J596*Settings!$C$8)+(O596*Settings!$C$7)+(P596*Settings!$C$14)+(Q596*Settings!$C$15)+(R596*Settings!$C$16)+(S596*Settings!$C$17)+(T596*Settings!$C$18)+(U596*Settings!$C$19)+(L596*Settings!$C$10)+(Settings!$C$11*M596)</f>
        <v>-4.6641932456339621</v>
      </c>
      <c r="D596" s="56">
        <f>IF(Settings!$E$12="YES",VLOOKUP(A596,'Player Data'!A1:E667,5,FALSE),82)</f>
        <v>73.165000000000006</v>
      </c>
      <c r="E596" s="54">
        <f>(VLOOKUP($A596,'The List'!$B1:$AH665,17,FALSE)-AVERAGE('The List'!R2:R665))/STDEV('The List'!R2:R665)</f>
        <v>-1.9831625135987383</v>
      </c>
      <c r="F596" s="54">
        <f>(VLOOKUP($A596,'The List'!$B1:$AH665,18,FALSE)-AVERAGE('The List'!S2:S665))/STDEV('The List'!S2:S665)</f>
        <v>-0.87401830402210268</v>
      </c>
      <c r="G596" s="54">
        <f>(VLOOKUP($A596,'The List'!$B1:$AH665,19,FALSE)-AVERAGE('The List'!T2:T665))/STDEV('The List'!T2:T665)</f>
        <v>-1.2816618175820809</v>
      </c>
      <c r="H596" s="54">
        <f>(VLOOKUP($A596,'The List'!$B1:$AH665,20,FALSE)-AVERAGE('The List'!U2:U665))/STDEV('The List'!U2:U665)</f>
        <v>-1.1932669187481961</v>
      </c>
      <c r="I596" s="54">
        <f>(VLOOKUP($A596,'The List'!$B1:$AH665,21,FALSE)-AVERAGE('The List'!V2:V665))/STDEV('The List'!V2:V665)</f>
        <v>-1.1089748185822588</v>
      </c>
      <c r="J596" s="54">
        <f>(VLOOKUP($A596,'The List'!$B1:$AH665,22,FALSE)-AVERAGE('The List'!W2:W665))/STDEV('The List'!W2:W665)</f>
        <v>-0.7438077678592554</v>
      </c>
      <c r="K596" s="54">
        <f>(VLOOKUP($A596,'The List'!$B1:$AH665,23,FALSE)-AVERAGE('The List'!X2:X665))/STDEV('The List'!X2:X665)</f>
        <v>-0.82735858611718571</v>
      </c>
      <c r="L596" s="54">
        <f>(VLOOKUP($A596,'The List'!$B1:$AH665,24,FALSE)-AVERAGE('The List'!Y2:Y665))/STDEV('The List'!Y2:Y665)</f>
        <v>1.3797105061187646E-2</v>
      </c>
      <c r="M596" s="54">
        <f>(VLOOKUP($A596,'The List'!$B1:$AH665,25,FALSE)-AVERAGE('The List'!Z2:Z665))/STDEV('The List'!Z2:Z665)</f>
        <v>-0.31399381692845674</v>
      </c>
      <c r="N596" s="54">
        <f>(VLOOKUP($A596,'The List'!$B1:$AH665,26,FALSE)-AVERAGE('The List'!AA2:AA665))/STDEV('The List'!AA2:AA665)</f>
        <v>-0.8178868735805469</v>
      </c>
      <c r="O596" s="54">
        <f>(VLOOKUP($A596,'The List'!$B1:$AH665,27,FALSE)-AVERAGE('The List'!AB2:AB665))/STDEV('The List'!AB2:AB665)</f>
        <v>0.2132496509437935</v>
      </c>
      <c r="P596" s="54">
        <f>(VLOOKUP($A596,'The List'!$B1:$AH665,28,FALSE)-AVERAGE('The List'!AC2:AC665))/STDEV('The List'!AC2:AC665)</f>
        <v>0.24570715425021264</v>
      </c>
      <c r="Q596" s="54">
        <f>(VLOOKUP($A596,'The List'!$B1:$AH665,29,FALSE)-AVERAGE('The List'!AD2:AD665))/STDEV('The List'!AD2:AD665)</f>
        <v>-0.81682661461398898</v>
      </c>
      <c r="R596" s="54">
        <f>(VLOOKUP($A596,'The List'!$B1:$AH665,30,FALSE)-AVERAGE('The List'!AE2:AE665))/STDEV('The List'!AE2:AE665)</f>
        <v>-0.83438443319368394</v>
      </c>
      <c r="S596" s="54">
        <f>(VLOOKUP($A596,'The List'!$B1:$AH665,31,FALSE)-AVERAGE('The List'!AF2:AF665))/STDEV('The List'!AF2:AF665)</f>
        <v>-0.56463500029517721</v>
      </c>
      <c r="T596" s="54">
        <f>(VLOOKUP($A596,'The List'!$B1:$AH665,32,FALSE)-AVERAGE('The List'!AG2:AG665))/STDEV('The List'!AG2:AG665)</f>
        <v>-0.59372163690752922</v>
      </c>
      <c r="U596" s="54">
        <f>(VLOOKUP($A596,'The List'!$B1:$AH665,33,FALSE)-AVERAGE('The List'!AH2:AH665))/STDEV('The List'!AH2:AH665)</f>
        <v>-0.16587175617471911</v>
      </c>
      <c r="V596" s="54"/>
      <c r="W596" s="64"/>
      <c r="X596" s="56"/>
      <c r="Y596" s="56"/>
      <c r="Z596" s="56"/>
      <c r="AA596" s="56"/>
      <c r="AB596" s="56"/>
      <c r="AC596" s="59"/>
      <c r="AD596" s="60"/>
      <c r="AE596" s="54"/>
    </row>
    <row r="597" spans="1:31" ht="21.25" customHeight="1" x14ac:dyDescent="0.15">
      <c r="A597" s="9" t="s">
        <v>609</v>
      </c>
      <c r="B597" s="65" t="str">
        <f>VLOOKUP(A597,'Player Data'!A1:B667,2,FALSE)</f>
        <v>TOR</v>
      </c>
      <c r="C597" s="51">
        <f>((E597)*Settings!$C$12)+(F597*Settings!$C$2)+(G597*Settings!$C$3)+(H597*Settings!$C$4)+(I597*Settings!$C$5)+(K597*Settings!$C$9)+(N597*Settings!$C$6)+(J597*Settings!$C$8)+(O597*Settings!$C$7)+(P597*Settings!$C$14)+(Q597*Settings!$C$15)+(R597*Settings!$C$16)+(S597*Settings!$C$17)+(T597*Settings!$C$18)+(U597*Settings!$C$19)+(L597*Settings!$C$10)+(Settings!$C$11*M597)</f>
        <v>-2.2376180380293924</v>
      </c>
      <c r="D597" s="56">
        <f>IF(Settings!$E$12="YES",VLOOKUP(A597,'Player Data'!A1:E667,5,FALSE),82)</f>
        <v>75.385000000000005</v>
      </c>
      <c r="E597" s="54">
        <f>(VLOOKUP($A597,'The List'!$B1:$AH665,17,FALSE)-AVERAGE('The List'!R2:R665))/STDEV('The List'!R2:R665)</f>
        <v>5.3715963163700996E-2</v>
      </c>
      <c r="F597" s="54">
        <f>(VLOOKUP($A597,'The List'!$B1:$AH665,18,FALSE)-AVERAGE('The List'!S2:S665))/STDEV('The List'!S2:S665)</f>
        <v>-1.110842359667807</v>
      </c>
      <c r="G597" s="54">
        <f>(VLOOKUP($A597,'The List'!$B1:$AH665,19,FALSE)-AVERAGE('The List'!T2:T665))/STDEV('The List'!T2:T665)</f>
        <v>-1.1258067858102567</v>
      </c>
      <c r="H597" s="54">
        <f>(VLOOKUP($A597,'The List'!$B1:$AH665,20,FALSE)-AVERAGE('The List'!U2:U665))/STDEV('The List'!U2:U665)</f>
        <v>-1.2041199710253445</v>
      </c>
      <c r="I597" s="54">
        <f>(VLOOKUP($A597,'The List'!$B1:$AH665,21,FALSE)-AVERAGE('The List'!V2:V665))/STDEV('The List'!V2:V665)</f>
        <v>-1.0654099496545377</v>
      </c>
      <c r="J597" s="54">
        <f>(VLOOKUP($A597,'The List'!$B1:$AH665,22,FALSE)-AVERAGE('The List'!W2:W665))/STDEV('The List'!W2:W665)</f>
        <v>-0.74136350631265913</v>
      </c>
      <c r="K597" s="54">
        <f>(VLOOKUP($A597,'The List'!$B1:$AH665,23,FALSE)-AVERAGE('The List'!X2:X665))/STDEV('The List'!X2:X665)</f>
        <v>-0.81785388330542697</v>
      </c>
      <c r="L597" s="54">
        <f>(VLOOKUP($A597,'The List'!$B1:$AH665,24,FALSE)-AVERAGE('The List'!Y2:Y665))/STDEV('The List'!Y2:Y665)</f>
        <v>-0.54629240431507597</v>
      </c>
      <c r="M597" s="54">
        <f>(VLOOKUP($A597,'The List'!$B1:$AH665,25,FALSE)-AVERAGE('The List'!Z2:Z665))/STDEV('The List'!Z2:Z665)</f>
        <v>-0.65149342223554729</v>
      </c>
      <c r="N597" s="54">
        <f>(VLOOKUP($A597,'The List'!$B1:$AH665,26,FALSE)-AVERAGE('The List'!AA2:AA665))/STDEV('The List'!AA2:AA665)</f>
        <v>1.0300654205115058</v>
      </c>
      <c r="O597" s="54">
        <f>(VLOOKUP($A597,'The List'!$B1:$AH665,27,FALSE)-AVERAGE('The List'!AB2:AB665))/STDEV('The List'!AB2:AB665)</f>
        <v>2.6930354673238321</v>
      </c>
      <c r="P597" s="54">
        <f>(VLOOKUP($A597,'The List'!$B1:$AH665,28,FALSE)-AVERAGE('The List'!AC2:AC665))/STDEV('The List'!AC2:AC665)</f>
        <v>0.85222951989713036</v>
      </c>
      <c r="Q597" s="54">
        <f>(VLOOKUP($A597,'The List'!$B1:$AH665,29,FALSE)-AVERAGE('The List'!AD2:AD665))/STDEV('The List'!AD2:AD665)</f>
        <v>1.0324941971163468</v>
      </c>
      <c r="R597" s="54">
        <f>(VLOOKUP($A597,'The List'!$B1:$AH665,30,FALSE)-AVERAGE('The List'!AE2:AE665))/STDEV('The List'!AE2:AE665)</f>
        <v>-1.0463992569156209</v>
      </c>
      <c r="S597" s="54">
        <f>(VLOOKUP($A597,'The List'!$B1:$AH665,31,FALSE)-AVERAGE('The List'!AF2:AF665))/STDEV('The List'!AF2:AF665)</f>
        <v>-0.57389441068000469</v>
      </c>
      <c r="T597" s="54">
        <f>(VLOOKUP($A597,'The List'!$B1:$AH665,32,FALSE)-AVERAGE('The List'!AG2:AG665))/STDEV('The List'!AG2:AG665)</f>
        <v>-0.62577078713265111</v>
      </c>
      <c r="U597" s="54">
        <f>(VLOOKUP($A597,'The List'!$B1:$AH665,33,FALSE)-AVERAGE('The List'!AH2:AH665))/STDEV('The List'!AH2:AH665)</f>
        <v>-1.2314350945148611</v>
      </c>
      <c r="V597" s="54"/>
      <c r="W597" s="64"/>
      <c r="X597" s="56"/>
      <c r="Y597" s="56"/>
      <c r="Z597" s="56"/>
      <c r="AA597" s="56"/>
      <c r="AB597" s="56"/>
      <c r="AC597" s="59"/>
      <c r="AD597" s="60"/>
      <c r="AE597" s="54"/>
    </row>
    <row r="598" spans="1:31" ht="21.25" customHeight="1" x14ac:dyDescent="0.15">
      <c r="A598" s="9" t="s">
        <v>790</v>
      </c>
      <c r="B598" s="65" t="str">
        <f>VLOOKUP(A598,'Player Data'!A1:B667,2,FALSE)</f>
        <v>NYR</v>
      </c>
      <c r="C598" s="51">
        <f>((E598)*Settings!$C$12)+(F598*Settings!$C$2)+(G598*Settings!$C$3)+(H598*Settings!$C$4)+(I598*Settings!$C$5)+(K598*Settings!$C$9)+(N598*Settings!$C$6)+(J598*Settings!$C$8)+(O598*Settings!$C$7)+(P598*Settings!$C$14)+(Q598*Settings!$C$15)+(R598*Settings!$C$16)+(S598*Settings!$C$17)+(T598*Settings!$C$18)+(U598*Settings!$C$19)+(L598*Settings!$C$10)+(Settings!$C$11*M598)</f>
        <v>-5.4856967565931924</v>
      </c>
      <c r="D598" s="56">
        <f>IF(Settings!$E$12="YES",VLOOKUP(A598,'Player Data'!A1:E667,5,FALSE),82)</f>
        <v>58.43</v>
      </c>
      <c r="E598" s="54">
        <f>(VLOOKUP($A598,'The List'!$B1:$AH665,17,FALSE)-AVERAGE('The List'!R2:R665))/STDEV('The List'!R2:R665)</f>
        <v>-3.0890741901697063</v>
      </c>
      <c r="F598" s="54">
        <f>(VLOOKUP($A598,'The List'!$B1:$AH665,18,FALSE)-AVERAGE('The List'!S2:S665))/STDEV('The List'!S2:S665)</f>
        <v>-0.99680082127799308</v>
      </c>
      <c r="G598" s="54">
        <f>(VLOOKUP($A598,'The List'!$B1:$AH665,19,FALSE)-AVERAGE('The List'!T2:T665))/STDEV('The List'!T2:T665)</f>
        <v>-1.3694932215566502</v>
      </c>
      <c r="H598" s="54">
        <f>(VLOOKUP($A598,'The List'!$B1:$AH665,20,FALSE)-AVERAGE('The List'!U2:U665))/STDEV('The List'!U2:U665)</f>
        <v>-1.3036256496249321</v>
      </c>
      <c r="I598" s="54">
        <f>(VLOOKUP($A598,'The List'!$B1:$AH665,21,FALSE)-AVERAGE('The List'!V2:V665))/STDEV('The List'!V2:V665)</f>
        <v>-1.5851348624038026</v>
      </c>
      <c r="J598" s="54">
        <f>(VLOOKUP($A598,'The List'!$B1:$AH665,22,FALSE)-AVERAGE('The List'!W2:W665))/STDEV('The List'!W2:W665)</f>
        <v>-0.73337131188979132</v>
      </c>
      <c r="K598" s="54">
        <f>(VLOOKUP($A598,'The List'!$B1:$AH665,23,FALSE)-AVERAGE('The List'!X2:X665))/STDEV('The List'!X2:X665)</f>
        <v>-0.81831872225586555</v>
      </c>
      <c r="L598" s="54">
        <f>(VLOOKUP($A598,'The List'!$B1:$AH665,24,FALSE)-AVERAGE('The List'!Y2:Y665))/STDEV('The List'!Y2:Y665)</f>
        <v>-0.57897506131689858</v>
      </c>
      <c r="M598" s="54">
        <f>(VLOOKUP($A598,'The List'!$B1:$AH665,25,FALSE)-AVERAGE('The List'!Z2:Z665))/STDEV('The List'!Z2:Z665)</f>
        <v>-0.75280158746511461</v>
      </c>
      <c r="N598" s="54">
        <f>(VLOOKUP($A598,'The List'!$B1:$AH665,26,FALSE)-AVERAGE('The List'!AA2:AA665))/STDEV('The List'!AA2:AA665)</f>
        <v>-1.1936248513177354</v>
      </c>
      <c r="O598" s="54">
        <f>(VLOOKUP($A598,'The List'!$B1:$AH665,27,FALSE)-AVERAGE('The List'!AB2:AB665))/STDEV('The List'!AB2:AB665)</f>
        <v>-0.2553746170334224</v>
      </c>
      <c r="P598" s="54">
        <f>(VLOOKUP($A598,'The List'!$B1:$AH665,28,FALSE)-AVERAGE('The List'!AC2:AC665))/STDEV('The List'!AC2:AC665)</f>
        <v>0.47767572221885424</v>
      </c>
      <c r="Q598" s="54">
        <f>(VLOOKUP($A598,'The List'!$B1:$AH665,29,FALSE)-AVERAGE('The List'!AD2:AD665))/STDEV('The List'!AD2:AD665)</f>
        <v>-0.56258572851651178</v>
      </c>
      <c r="R598" s="54">
        <f>(VLOOKUP($A598,'The List'!$B1:$AH665,30,FALSE)-AVERAGE('The List'!AE2:AE665))/STDEV('The List'!AE2:AE665)</f>
        <v>-0.92178168006195771</v>
      </c>
      <c r="S598" s="54">
        <f>(VLOOKUP($A598,'The List'!$B1:$AH665,31,FALSE)-AVERAGE('The List'!AF2:AF665))/STDEV('The List'!AF2:AF665)</f>
        <v>-0.50768850541963473</v>
      </c>
      <c r="T598" s="54">
        <f>(VLOOKUP($A598,'The List'!$B1:$AH665,32,FALSE)-AVERAGE('The List'!AG2:AG665))/STDEV('The List'!AG2:AG665)</f>
        <v>-0.55535122597217779</v>
      </c>
      <c r="U598" s="54">
        <f>(VLOOKUP($A598,'The List'!$B1:$AH665,33,FALSE)-AVERAGE('The List'!AH2:AH665))/STDEV('The List'!AH2:AH665)</f>
        <v>1.0350941791663146</v>
      </c>
      <c r="V598" s="54"/>
      <c r="W598" s="64"/>
      <c r="X598" s="56"/>
      <c r="Y598" s="56"/>
      <c r="Z598" s="56"/>
      <c r="AA598" s="56"/>
      <c r="AB598" s="56"/>
      <c r="AC598" s="59"/>
      <c r="AD598" s="60"/>
      <c r="AE598" s="54"/>
    </row>
    <row r="599" spans="1:31" ht="21.25" customHeight="1" x14ac:dyDescent="0.15">
      <c r="A599" s="9" t="s">
        <v>785</v>
      </c>
      <c r="B599" s="65" t="str">
        <f>VLOOKUP(A599,'Player Data'!A1:B667,2,FALSE)</f>
        <v>CGY</v>
      </c>
      <c r="C599" s="51">
        <f>((E599)*Settings!$C$12)+(F599*Settings!$C$2)+(G599*Settings!$C$3)+(H599*Settings!$C$4)+(I599*Settings!$C$5)+(K599*Settings!$C$9)+(N599*Settings!$C$6)+(J599*Settings!$C$8)+(O599*Settings!$C$7)+(P599*Settings!$C$14)+(Q599*Settings!$C$15)+(R599*Settings!$C$16)+(S599*Settings!$C$17)+(T599*Settings!$C$18)+(U599*Settings!$C$19)+(L599*Settings!$C$10)+(Settings!$C$11*M599)</f>
        <v>-5.6626339880687961</v>
      </c>
      <c r="D599" s="56">
        <f>IF(Settings!$E$12="YES",VLOOKUP(A599,'Player Data'!A1:E667,5,FALSE),82)</f>
        <v>62.295000000000002</v>
      </c>
      <c r="E599" s="54">
        <f>(VLOOKUP($A599,'The List'!$B1:$AH665,17,FALSE)-AVERAGE('The List'!R2:R665))/STDEV('The List'!R2:R665)</f>
        <v>-1.5074863526445714</v>
      </c>
      <c r="F599" s="54">
        <f>(VLOOKUP($A599,'The List'!$B1:$AH665,18,FALSE)-AVERAGE('The List'!S2:S665))/STDEV('The List'!S2:S665)</f>
        <v>-0.9495658572215504</v>
      </c>
      <c r="G599" s="54">
        <f>(VLOOKUP($A599,'The List'!$B1:$AH665,19,FALSE)-AVERAGE('The List'!T2:T665))/STDEV('The List'!T2:T665)</f>
        <v>-1.3917556757050287</v>
      </c>
      <c r="H599" s="54">
        <f>(VLOOKUP($A599,'The List'!$B1:$AH665,20,FALSE)-AVERAGE('The List'!U2:U665))/STDEV('The List'!U2:U665)</f>
        <v>-1.2959813490051635</v>
      </c>
      <c r="I599" s="54">
        <f>(VLOOKUP($A599,'The List'!$B1:$AH665,21,FALSE)-AVERAGE('The List'!V2:V665))/STDEV('The List'!V2:V665)</f>
        <v>-1.2945446408943324</v>
      </c>
      <c r="J599" s="54">
        <f>(VLOOKUP($A599,'The List'!$B1:$AH665,22,FALSE)-AVERAGE('The List'!W2:W665))/STDEV('The List'!W2:W665)</f>
        <v>-0.73369852405096758</v>
      </c>
      <c r="K599" s="54">
        <f>(VLOOKUP($A599,'The List'!$B1:$AH665,23,FALSE)-AVERAGE('The List'!X2:X665))/STDEV('The List'!X2:X665)</f>
        <v>-0.81844543687641425</v>
      </c>
      <c r="L599" s="54">
        <f>(VLOOKUP($A599,'The List'!$B1:$AH665,24,FALSE)-AVERAGE('The List'!Y2:Y665))/STDEV('The List'!Y2:Y665)</f>
        <v>-0.31484546904666227</v>
      </c>
      <c r="M599" s="54">
        <f>(VLOOKUP($A599,'The List'!$B1:$AH665,25,FALSE)-AVERAGE('The List'!Z2:Z665))/STDEV('The List'!Z2:Z665)</f>
        <v>-0.43148712537226924</v>
      </c>
      <c r="N599" s="54">
        <f>(VLOOKUP($A599,'The List'!$B1:$AH665,26,FALSE)-AVERAGE('The List'!AA2:AA665))/STDEV('The List'!AA2:AA665)</f>
        <v>-0.39457929720459561</v>
      </c>
      <c r="O599" s="54">
        <f>(VLOOKUP($A599,'The List'!$B1:$AH665,27,FALSE)-AVERAGE('The List'!AB2:AB665))/STDEV('The List'!AB2:AB665)</f>
        <v>0.2066220456662059</v>
      </c>
      <c r="P599" s="54">
        <f>(VLOOKUP($A599,'The List'!$B1:$AH665,28,FALSE)-AVERAGE('The List'!AC2:AC665))/STDEV('The List'!AC2:AC665)</f>
        <v>-0.81374308016687424</v>
      </c>
      <c r="Q599" s="54">
        <f>(VLOOKUP($A599,'The List'!$B1:$AH665,29,FALSE)-AVERAGE('The List'!AD2:AD665))/STDEV('The List'!AD2:AD665)</f>
        <v>-1.267921774511092</v>
      </c>
      <c r="R599" s="54">
        <f>(VLOOKUP($A599,'The List'!$B1:$AH665,30,FALSE)-AVERAGE('The List'!AE2:AE665))/STDEV('The List'!AE2:AE665)</f>
        <v>-0.91700439377602572</v>
      </c>
      <c r="S599" s="54">
        <f>(VLOOKUP($A599,'The List'!$B1:$AH665,31,FALSE)-AVERAGE('The List'!AF2:AF665))/STDEV('The List'!AF2:AF665)</f>
        <v>0.2648877399546905</v>
      </c>
      <c r="T599" s="54">
        <f>(VLOOKUP($A599,'The List'!$B1:$AH665,32,FALSE)-AVERAGE('The List'!AG2:AG665))/STDEV('The List'!AG2:AG665)</f>
        <v>0.45934951296148224</v>
      </c>
      <c r="U599" s="54">
        <f>(VLOOKUP($A599,'The List'!$B1:$AH665,33,FALSE)-AVERAGE('The List'!AH2:AH665))/STDEV('The List'!AH2:AH665)</f>
        <v>0.81391423650498618</v>
      </c>
      <c r="V599" s="54"/>
      <c r="W599" s="64"/>
      <c r="X599" s="56"/>
      <c r="Y599" s="56"/>
      <c r="Z599" s="56"/>
      <c r="AA599" s="56"/>
      <c r="AB599" s="56"/>
      <c r="AC599" s="59"/>
      <c r="AD599" s="60"/>
      <c r="AE599" s="54"/>
    </row>
    <row r="600" spans="1:31" ht="21.25" customHeight="1" x14ac:dyDescent="0.15">
      <c r="A600" s="9" t="s">
        <v>784</v>
      </c>
      <c r="B600" s="65" t="str">
        <f>VLOOKUP(A600,'Player Data'!A1:B667,2,FALSE)</f>
        <v>T.B</v>
      </c>
      <c r="C600" s="51">
        <f>((E600)*Settings!$C$12)+(F600*Settings!$C$2)+(G600*Settings!$C$3)+(H600*Settings!$C$4)+(I600*Settings!$C$5)+(K600*Settings!$C$9)+(N600*Settings!$C$6)+(J600*Settings!$C$8)+(O600*Settings!$C$7)+(P600*Settings!$C$14)+(Q600*Settings!$C$15)+(R600*Settings!$C$16)+(S600*Settings!$C$17)+(T600*Settings!$C$18)+(U600*Settings!$C$19)+(L600*Settings!$C$10)+(Settings!$C$11*M600)</f>
        <v>-4.8544427310976959</v>
      </c>
      <c r="D600" s="56">
        <f>IF(Settings!$E$12="YES",VLOOKUP(A600,'Player Data'!A1:E667,5,FALSE),82)</f>
        <v>80.202500000000001</v>
      </c>
      <c r="E600" s="54">
        <f>(VLOOKUP($A600,'The List'!$B1:$AH665,17,FALSE)-AVERAGE('The List'!R2:R665))/STDEV('The List'!R2:R665)</f>
        <v>-1.4386936637161025</v>
      </c>
      <c r="F600" s="54">
        <f>(VLOOKUP($A600,'The List'!$B1:$AH665,18,FALSE)-AVERAGE('The List'!S2:S665))/STDEV('The List'!S2:S665)</f>
        <v>-0.75792186764786496</v>
      </c>
      <c r="G600" s="54">
        <f>(VLOOKUP($A600,'The List'!$B1:$AH665,19,FALSE)-AVERAGE('The List'!T2:T665))/STDEV('The List'!T2:T665)</f>
        <v>-1.489947406844478</v>
      </c>
      <c r="H600" s="54">
        <f>(VLOOKUP($A600,'The List'!$B1:$AH665,20,FALSE)-AVERAGE('The List'!U2:U665))/STDEV('The List'!U2:U665)</f>
        <v>-1.2698526323473265</v>
      </c>
      <c r="I600" s="54">
        <f>(VLOOKUP($A600,'The List'!$B1:$AH665,21,FALSE)-AVERAGE('The List'!V2:V665))/STDEV('The List'!V2:V665)</f>
        <v>-1.115388485059041</v>
      </c>
      <c r="J600" s="54">
        <f>(VLOOKUP($A600,'The List'!$B1:$AH665,22,FALSE)-AVERAGE('The List'!W2:W665))/STDEV('The List'!W2:W665)</f>
        <v>-0.74179153719886048</v>
      </c>
      <c r="K600" s="54">
        <f>(VLOOKUP($A600,'The List'!$B1:$AH665,23,FALSE)-AVERAGE('The List'!X2:X665))/STDEV('The List'!X2:X665)</f>
        <v>-0.82589520911951353</v>
      </c>
      <c r="L600" s="54">
        <f>(VLOOKUP($A600,'The List'!$B1:$AH665,24,FALSE)-AVERAGE('The List'!Y2:Y665))/STDEV('The List'!Y2:Y665)</f>
        <v>1.0513015398056436</v>
      </c>
      <c r="M600" s="54">
        <f>(VLOOKUP($A600,'The List'!$B1:$AH665,25,FALSE)-AVERAGE('The List'!Z2:Z665))/STDEV('The List'!Z2:Z665)</f>
        <v>0.51607130848915606</v>
      </c>
      <c r="N600" s="54">
        <f>(VLOOKUP($A600,'The List'!$B1:$AH665,26,FALSE)-AVERAGE('The List'!AA2:AA665))/STDEV('The List'!AA2:AA665)</f>
        <v>-0.27589412309860328</v>
      </c>
      <c r="O600" s="54">
        <f>(VLOOKUP($A600,'The List'!$B1:$AH665,27,FALSE)-AVERAGE('The List'!AB2:AB665))/STDEV('The List'!AB2:AB665)</f>
        <v>0.66895692020246078</v>
      </c>
      <c r="P600" s="54">
        <f>(VLOOKUP($A600,'The List'!$B1:$AH665,28,FALSE)-AVERAGE('The List'!AC2:AC665))/STDEV('The List'!AC2:AC665)</f>
        <v>-0.38939563932819421</v>
      </c>
      <c r="Q600" s="54">
        <f>(VLOOKUP($A600,'The List'!$B1:$AH665,29,FALSE)-AVERAGE('The List'!AD2:AD665))/STDEV('The List'!AD2:AD665)</f>
        <v>-0.57575927166253649</v>
      </c>
      <c r="R600" s="54">
        <f>(VLOOKUP($A600,'The List'!$B1:$AH665,30,FALSE)-AVERAGE('The List'!AE2:AE665))/STDEV('The List'!AE2:AE665)</f>
        <v>-0.69293565339046859</v>
      </c>
      <c r="S600" s="54">
        <f>(VLOOKUP($A600,'The List'!$B1:$AH665,31,FALSE)-AVERAGE('The List'!AF2:AF665))/STDEV('The List'!AF2:AF665)</f>
        <v>1.7685943146367242</v>
      </c>
      <c r="T600" s="54">
        <f>(VLOOKUP($A600,'The List'!$B1:$AH665,32,FALSE)-AVERAGE('The List'!AG2:AG665))/STDEV('The List'!AG2:AG665)</f>
        <v>1.199679694856618</v>
      </c>
      <c r="U600" s="54">
        <f>(VLOOKUP($A600,'The List'!$B1:$AH665,33,FALSE)-AVERAGE('The List'!AH2:AH665))/STDEV('The List'!AH2:AH665)</f>
        <v>1.3848239095277444</v>
      </c>
      <c r="V600" s="54"/>
      <c r="W600" s="64"/>
      <c r="X600" s="56"/>
      <c r="Y600" s="56"/>
      <c r="Z600" s="56"/>
      <c r="AA600" s="56"/>
      <c r="AB600" s="56"/>
      <c r="AC600" s="59"/>
      <c r="AD600" s="60"/>
      <c r="AE600" s="54"/>
    </row>
    <row r="601" spans="1:31" ht="21.25" customHeight="1" x14ac:dyDescent="0.15">
      <c r="A601" s="9" t="s">
        <v>789</v>
      </c>
      <c r="B601" s="65" t="str">
        <f>VLOOKUP(A601,'Player Data'!A1:B667,2,FALSE)</f>
        <v>OTT</v>
      </c>
      <c r="C601" s="51">
        <f>((E601)*Settings!$C$12)+(F601*Settings!$C$2)+(G601*Settings!$C$3)+(H601*Settings!$C$4)+(I601*Settings!$C$5)+(K601*Settings!$C$9)+(N601*Settings!$C$6)+(J601*Settings!$C$8)+(O601*Settings!$C$7)+(P601*Settings!$C$14)+(Q601*Settings!$C$15)+(R601*Settings!$C$16)+(S601*Settings!$C$17)+(T601*Settings!$C$18)+(U601*Settings!$C$19)+(L601*Settings!$C$10)+(Settings!$C$11*M601)</f>
        <v>-6.1856427195526154</v>
      </c>
      <c r="D601" s="56">
        <f>IF(Settings!$E$12="YES",VLOOKUP(A601,'Player Data'!A1:E667,5,FALSE),82)</f>
        <v>68.525000000000006</v>
      </c>
      <c r="E601" s="54">
        <f>(VLOOKUP($A601,'The List'!$B1:$AH665,17,FALSE)-AVERAGE('The List'!R2:R665))/STDEV('The List'!R2:R665)</f>
        <v>-2.8824358360551932</v>
      </c>
      <c r="F601" s="54">
        <f>(VLOOKUP($A601,'The List'!$B1:$AH665,18,FALSE)-AVERAGE('The List'!S2:S665))/STDEV('The List'!S2:S665)</f>
        <v>-1.0313669324193306</v>
      </c>
      <c r="G601" s="54">
        <f>(VLOOKUP($A601,'The List'!$B1:$AH665,19,FALSE)-AVERAGE('The List'!T2:T665))/STDEV('The List'!T2:T665)</f>
        <v>-1.3820481308650769</v>
      </c>
      <c r="H601" s="54">
        <f>(VLOOKUP($A601,'The List'!$B1:$AH665,20,FALSE)-AVERAGE('The List'!U2:U665))/STDEV('The List'!U2:U665)</f>
        <v>-1.3271348948172264</v>
      </c>
      <c r="I601" s="54">
        <f>(VLOOKUP($A601,'The List'!$B1:$AH665,21,FALSE)-AVERAGE('The List'!V2:V665))/STDEV('The List'!V2:V665)</f>
        <v>-1.4386195182229597</v>
      </c>
      <c r="J601" s="54">
        <f>(VLOOKUP($A601,'The List'!$B1:$AH665,22,FALSE)-AVERAGE('The List'!W2:W665))/STDEV('The List'!W2:W665)</f>
        <v>-0.73349529806605906</v>
      </c>
      <c r="K601" s="54">
        <f>(VLOOKUP($A601,'The List'!$B1:$AH665,23,FALSE)-AVERAGE('The List'!X2:X665))/STDEV('The List'!X2:X665)</f>
        <v>-0.81823333229535244</v>
      </c>
      <c r="L601" s="54">
        <f>(VLOOKUP($A601,'The List'!$B1:$AH665,24,FALSE)-AVERAGE('The List'!Y2:Y665))/STDEV('The List'!Y2:Y665)</f>
        <v>-0.5801829139020841</v>
      </c>
      <c r="M601" s="54">
        <f>(VLOOKUP($A601,'The List'!$B1:$AH665,25,FALSE)-AVERAGE('The List'!Z2:Z665))/STDEV('The List'!Z2:Z665)</f>
        <v>-0.75403666498999722</v>
      </c>
      <c r="N601" s="54">
        <f>(VLOOKUP($A601,'The List'!$B1:$AH665,26,FALSE)-AVERAGE('The List'!AA2:AA665))/STDEV('The List'!AA2:AA665)</f>
        <v>-1.1134949124329596</v>
      </c>
      <c r="O601" s="54">
        <f>(VLOOKUP($A601,'The List'!$B1:$AH665,27,FALSE)-AVERAGE('The List'!AB2:AB665))/STDEV('The List'!AB2:AB665)</f>
        <v>0.12977721577503534</v>
      </c>
      <c r="P601" s="54">
        <f>(VLOOKUP($A601,'The List'!$B1:$AH665,28,FALSE)-AVERAGE('The List'!AC2:AC665))/STDEV('The List'!AC2:AC665)</f>
        <v>-0.40187989331693624</v>
      </c>
      <c r="Q601" s="54">
        <f>(VLOOKUP($A601,'The List'!$B1:$AH665,29,FALSE)-AVERAGE('The List'!AD2:AD665))/STDEV('The List'!AD2:AD665)</f>
        <v>0.53361238337689021</v>
      </c>
      <c r="R601" s="54">
        <f>(VLOOKUP($A601,'The List'!$B1:$AH665,30,FALSE)-AVERAGE('The List'!AE2:AE665))/STDEV('The List'!AE2:AE665)</f>
        <v>-0.97393536825951699</v>
      </c>
      <c r="S601" s="54">
        <f>(VLOOKUP($A601,'The List'!$B1:$AH665,31,FALSE)-AVERAGE('The List'!AF2:AF665))/STDEV('The List'!AF2:AF665)</f>
        <v>-0.46678191712362843</v>
      </c>
      <c r="T601" s="54">
        <f>(VLOOKUP($A601,'The List'!$B1:$AH665,32,FALSE)-AVERAGE('The List'!AG2:AG665))/STDEV('The List'!AG2:AG665)</f>
        <v>-0.51706471464522141</v>
      </c>
      <c r="U601" s="54">
        <f>(VLOOKUP($A601,'The List'!$B1:$AH665,33,FALSE)-AVERAGE('The List'!AH2:AH665))/STDEV('The List'!AH2:AH665)</f>
        <v>1.0882723650052102</v>
      </c>
      <c r="V601" s="54"/>
      <c r="W601" s="64"/>
      <c r="X601" s="56"/>
      <c r="Y601" s="56"/>
      <c r="Z601" s="56"/>
      <c r="AA601" s="56"/>
      <c r="AB601" s="56"/>
      <c r="AC601" s="59"/>
      <c r="AD601" s="60"/>
      <c r="AE601" s="54"/>
    </row>
    <row r="602" spans="1:31" ht="21.25" customHeight="1" x14ac:dyDescent="0.15">
      <c r="A602" s="9" t="s">
        <v>692</v>
      </c>
      <c r="B602" s="65" t="str">
        <f>VLOOKUP(A602,'Player Data'!A1:B667,2,FALSE)</f>
        <v>CBJ</v>
      </c>
      <c r="C602" s="51">
        <f>((E602)*Settings!$C$12)+(F602*Settings!$C$2)+(G602*Settings!$C$3)+(H602*Settings!$C$4)+(I602*Settings!$C$5)+(K602*Settings!$C$9)+(N602*Settings!$C$6)+(J602*Settings!$C$8)+(O602*Settings!$C$7)+(P602*Settings!$C$14)+(Q602*Settings!$C$15)+(R602*Settings!$C$16)+(S602*Settings!$C$17)+(T602*Settings!$C$18)+(U602*Settings!$C$19)+(L602*Settings!$C$10)+(Settings!$C$11*M602)</f>
        <v>-3.8355728294459501</v>
      </c>
      <c r="D602" s="56">
        <f>IF(Settings!$E$12="YES",VLOOKUP(A602,'Player Data'!A1:E667,5,FALSE),82)</f>
        <v>81.012500000000003</v>
      </c>
      <c r="E602" s="54">
        <f>(VLOOKUP($A602,'The List'!$B1:$AH665,17,FALSE)-AVERAGE('The List'!R2:R665))/STDEV('The List'!R2:R665)</f>
        <v>-1.0875511908050881</v>
      </c>
      <c r="F602" s="54">
        <f>(VLOOKUP($A602,'The List'!$B1:$AH665,18,FALSE)-AVERAGE('The List'!S2:S665))/STDEV('The List'!S2:S665)</f>
        <v>-1.207603209649972</v>
      </c>
      <c r="G602" s="54">
        <f>(VLOOKUP($A602,'The List'!$B1:$AH665,19,FALSE)-AVERAGE('The List'!T2:T665))/STDEV('The List'!T2:T665)</f>
        <v>-1.2152051152025276</v>
      </c>
      <c r="H602" s="54">
        <f>(VLOOKUP($A602,'The List'!$B1:$AH665,20,FALSE)-AVERAGE('The List'!U2:U665))/STDEV('The List'!U2:U665)</f>
        <v>-1.3036237660066936</v>
      </c>
      <c r="I602" s="54">
        <f>(VLOOKUP($A602,'The List'!$B1:$AH665,21,FALSE)-AVERAGE('The List'!V2:V665))/STDEV('The List'!V2:V665)</f>
        <v>-1.2552064009250137</v>
      </c>
      <c r="J602" s="54">
        <f>(VLOOKUP($A602,'The List'!$B1:$AH665,22,FALSE)-AVERAGE('The List'!W2:W665))/STDEV('The List'!W2:W665)</f>
        <v>-0.74443654644909696</v>
      </c>
      <c r="K602" s="54">
        <f>(VLOOKUP($A602,'The List'!$B1:$AH665,23,FALSE)-AVERAGE('The List'!X2:X665))/STDEV('The List'!X2:X665)</f>
        <v>-0.82450217189816921</v>
      </c>
      <c r="L602" s="54">
        <f>(VLOOKUP($A602,'The List'!$B1:$AH665,24,FALSE)-AVERAGE('The List'!Y2:Y665))/STDEV('The List'!Y2:Y665)</f>
        <v>-0.56429852429780292</v>
      </c>
      <c r="M602" s="54">
        <f>(VLOOKUP($A602,'The List'!$B1:$AH665,25,FALSE)-AVERAGE('The List'!Z2:Z665))/STDEV('The List'!Z2:Z665)</f>
        <v>-0.36955417859327033</v>
      </c>
      <c r="N602" s="54">
        <f>(VLOOKUP($A602,'The List'!$B1:$AH665,26,FALSE)-AVERAGE('The List'!AA2:AA665))/STDEV('The List'!AA2:AA665)</f>
        <v>0.32217760064917217</v>
      </c>
      <c r="O602" s="54">
        <f>(VLOOKUP($A602,'The List'!$B1:$AH665,27,FALSE)-AVERAGE('The List'!AB2:AB665))/STDEV('The List'!AB2:AB665)</f>
        <v>-0.32178349774857418</v>
      </c>
      <c r="P602" s="54">
        <f>(VLOOKUP($A602,'The List'!$B1:$AH665,28,FALSE)-AVERAGE('The List'!AC2:AC665))/STDEV('The List'!AC2:AC665)</f>
        <v>0.34476646758055984</v>
      </c>
      <c r="Q602" s="54">
        <f>(VLOOKUP($A602,'The List'!$B1:$AH665,29,FALSE)-AVERAGE('The List'!AD2:AD665))/STDEV('The List'!AD2:AD665)</f>
        <v>-0.87381887559323801</v>
      </c>
      <c r="R602" s="54">
        <f>(VLOOKUP($A602,'The List'!$B1:$AH665,30,FALSE)-AVERAGE('The List'!AE2:AE665))/STDEV('The List'!AE2:AE665)</f>
        <v>-1.1856582297721887</v>
      </c>
      <c r="S602" s="54">
        <f>(VLOOKUP($A602,'The List'!$B1:$AH665,31,FALSE)-AVERAGE('The List'!AF2:AF665))/STDEV('The List'!AF2:AF665)</f>
        <v>-0.57389441068000469</v>
      </c>
      <c r="T602" s="54">
        <f>(VLOOKUP($A602,'The List'!$B1:$AH665,32,FALSE)-AVERAGE('The List'!AG2:AG665))/STDEV('The List'!AG2:AG665)</f>
        <v>-0.62514913140299444</v>
      </c>
      <c r="U602" s="54">
        <f>(VLOOKUP($A602,'The List'!$B1:$AH665,33,FALSE)-AVERAGE('The List'!AH2:AH665))/STDEV('The List'!AH2:AH665)</f>
        <v>-1.2314350945148611</v>
      </c>
      <c r="V602" s="54"/>
      <c r="W602" s="64"/>
      <c r="X602" s="56"/>
      <c r="Y602" s="56"/>
      <c r="Z602" s="56"/>
      <c r="AA602" s="56"/>
      <c r="AB602" s="56"/>
      <c r="AC602" s="59"/>
      <c r="AD602" s="60"/>
      <c r="AE602" s="54"/>
    </row>
    <row r="603" spans="1:31" ht="21.25" customHeight="1" x14ac:dyDescent="0.15">
      <c r="A603" s="23"/>
      <c r="B603" s="17"/>
      <c r="C603" s="51"/>
      <c r="D603" s="56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6"/>
      <c r="X603" s="54"/>
      <c r="Y603" s="54"/>
      <c r="Z603" s="54"/>
      <c r="AA603" s="54"/>
      <c r="AB603" s="54"/>
      <c r="AC603" s="54"/>
      <c r="AD603" s="54"/>
      <c r="AE603" s="54"/>
    </row>
    <row r="604" spans="1:31" ht="21.25" customHeight="1" x14ac:dyDescent="0.15">
      <c r="A604" s="9" t="s">
        <v>414</v>
      </c>
      <c r="B604" s="65" t="str">
        <f>VLOOKUP(A604,'Player Data'!A1:B667,2,FALSE)</f>
        <v>ANA</v>
      </c>
      <c r="C604" s="51">
        <f>(W604*Settings!$C$29)+(X604*Settings!$C$21)+(Y604*Settings!$C$22)+(AA604*Settings!$C$24)+(AB604*Settings!$C$25)+(Z604*Settings!$C$23)+(AC604*Settings!$C$26)+(AD604*Settings!$C$28)</f>
        <v>-4.000498368336487</v>
      </c>
      <c r="D604" s="56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>
        <f>(VLOOKUP($A604,'The List'!$B1:$AR665,35,FALSE)-AVERAGE('The List'!AJ2:AJ665))/STDEV('The List'!AJ2:AJ665)</f>
        <v>0.3384996613947549</v>
      </c>
      <c r="X604" s="54">
        <f>(VLOOKUP($A604,'The List'!$B1:$AR665,36,FALSE)-AVERAGE('The List'!AK2:AK665))/STDEV('The List'!AK2:AK665)</f>
        <v>-0.49139328799055459</v>
      </c>
      <c r="Y604" s="54">
        <f>(VLOOKUP($A604,'The List'!$B1:$AR665,37,FALSE)-AVERAGE('The List'!AL2:AL665))/STDEV('The List'!AL2:AL665)*-1</f>
        <v>-1.7547576921265935</v>
      </c>
      <c r="Z604" s="54">
        <f>(VLOOKUP($A604,'The List'!$B1:$AR665,38,FALSE)-AVERAGE('The List'!AM2:AM665))/STDEV('The List'!AM2:AM665)</f>
        <v>0.3384996613947549</v>
      </c>
      <c r="AA604" s="54">
        <f>(VLOOKUP($A604,'The List'!$B1:$AR665,39,FALSE)-AVERAGE('The List'!AN2:AN665))/STDEV('The List'!AN2:AN665)</f>
        <v>-0.82556638183457143</v>
      </c>
      <c r="AB604" s="54">
        <f>(VLOOKUP($A604,'The List'!$B1:$AR665,40,FALSE)-AVERAGE('The List'!AO2:AO665))/STDEV('The List'!AO2:AO665)</f>
        <v>0.53260347753303094</v>
      </c>
      <c r="AC604" s="54">
        <f>(VLOOKUP($A604,'The List'!$B1:$AR665,42,FALSE)-AVERAGE('The List'!AQ2:AQ665))/STDEV('The List'!AQ2:AQ665)</f>
        <v>-1.0199384794304709</v>
      </c>
      <c r="AD604" s="54">
        <f>(VLOOKUP($A604,'The List'!$B1:$AR665,43,FALSE)-AVERAGE('The List'!AR2:AR665))/STDEV('The List'!AR2:AR665)*-1</f>
        <v>-1.6636002190808901</v>
      </c>
      <c r="AE604" s="54"/>
    </row>
    <row r="605" spans="1:31" ht="21.25" customHeight="1" x14ac:dyDescent="0.15">
      <c r="A605" s="9" t="s">
        <v>497</v>
      </c>
      <c r="B605" s="65" t="str">
        <f>VLOOKUP(A605,'Player Data'!A1:B667,2,FALSE)</f>
        <v>ANA</v>
      </c>
      <c r="C605" s="51">
        <f>(W605*Settings!$C$29)+(X605*Settings!$C$21)+(Y605*Settings!$C$22)+(AA605*Settings!$C$24)+(AB605*Settings!$C$25)+(Z605*Settings!$C$23)+(AC605*Settings!$C$26)+(AD605*Settings!$C$28)</f>
        <v>-3.0472495309851455</v>
      </c>
      <c r="D605" s="56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>
        <f>(VLOOKUP($A605,'The List'!$B1:$AR665,35,FALSE)-AVERAGE('The List'!AJ2:AJ665))/STDEV('The List'!AJ2:AJ665)</f>
        <v>-0.30772696490432272</v>
      </c>
      <c r="X605" s="54">
        <f>(VLOOKUP($A605,'The List'!$B1:$AR665,36,FALSE)-AVERAGE('The List'!AK2:AK665))/STDEV('The List'!AK2:AK665)</f>
        <v>-0.80122455571724527</v>
      </c>
      <c r="Y605" s="54">
        <f>(VLOOKUP($A605,'The List'!$B1:$AR665,37,FALSE)-AVERAGE('The List'!AL2:AL665))/STDEV('The List'!AL2:AL665)*-1</f>
        <v>-0.77984593392461532</v>
      </c>
      <c r="Z605" s="54">
        <f>(VLOOKUP($A605,'The List'!$B1:$AR665,38,FALSE)-AVERAGE('The List'!AM2:AM665))/STDEV('The List'!AM2:AM665)</f>
        <v>-0.30772696490432272</v>
      </c>
      <c r="AA605" s="54">
        <f>(VLOOKUP($A605,'The List'!$B1:$AR665,39,FALSE)-AVERAGE('The List'!AN2:AN665))/STDEV('The List'!AN2:AN665)</f>
        <v>-0.77570160842637637</v>
      </c>
      <c r="AB605" s="54">
        <f>(VLOOKUP($A605,'The List'!$B1:$AR665,40,FALSE)-AVERAGE('The List'!AO2:AO665))/STDEV('The List'!AO2:AO665)</f>
        <v>-0.1345300051737934</v>
      </c>
      <c r="AC605" s="54">
        <f>(VLOOKUP($A605,'The List'!$B1:$AR665,42,FALSE)-AVERAGE('The List'!AQ2:AQ665))/STDEV('The List'!AQ2:AQ665)</f>
        <v>-0.33160066790428111</v>
      </c>
      <c r="AD605" s="54">
        <f>(VLOOKUP($A605,'The List'!$B1:$AR665,43,FALSE)-AVERAGE('The List'!AR2:AR665))/STDEV('The List'!AR2:AR665)*-1</f>
        <v>-1.1387226989372428</v>
      </c>
      <c r="AE605" s="54"/>
    </row>
    <row r="606" spans="1:31" ht="21.25" customHeight="1" x14ac:dyDescent="0.15">
      <c r="A606" s="9" t="s">
        <v>278</v>
      </c>
      <c r="B606" s="65" t="str">
        <f>VLOOKUP(A606,'Player Data'!A1:B667,2,FALSE)</f>
        <v>UTA</v>
      </c>
      <c r="C606" s="51">
        <f>(W606*Settings!$C$29)+(X606*Settings!$C$21)+(Y606*Settings!$C$22)+(AA606*Settings!$C$24)+(AB606*Settings!$C$25)+(Z606*Settings!$C$23)+(AC606*Settings!$C$26)+(AD606*Settings!$C$28)</f>
        <v>1.5802856458691525</v>
      </c>
      <c r="D606" s="56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>
        <f>(VLOOKUP($A606,'The List'!$B1:$AR665,35,FALSE)-AVERAGE('The List'!AJ2:AJ665))/STDEV('The List'!AJ2:AJ665)</f>
        <v>0.66161297454429369</v>
      </c>
      <c r="X606" s="54">
        <f>(VLOOKUP($A606,'The List'!$B1:$AR665,36,FALSE)-AVERAGE('The List'!AK2:AK665))/STDEV('The List'!AK2:AK665)</f>
        <v>0.6004012344301618</v>
      </c>
      <c r="Y606" s="54">
        <f>(VLOOKUP($A606,'The List'!$B1:$AR665,37,FALSE)-AVERAGE('The List'!AL2:AL665))/STDEV('The List'!AL2:AL665)*-1</f>
        <v>-0.4591532585266922</v>
      </c>
      <c r="Z606" s="54">
        <f>(VLOOKUP($A606,'The List'!$B1:$AR665,38,FALSE)-AVERAGE('The List'!AM2:AM665))/STDEV('The List'!AM2:AM665)</f>
        <v>0.66161297454429369</v>
      </c>
      <c r="AA606" s="54">
        <f>(VLOOKUP($A606,'The List'!$B1:$AR665,39,FALSE)-AVERAGE('The List'!AN2:AN665))/STDEV('The List'!AN2:AN665)</f>
        <v>0.38119332647788795</v>
      </c>
      <c r="AB606" s="54">
        <f>(VLOOKUP($A606,'The List'!$B1:$AR665,40,FALSE)-AVERAGE('The List'!AO2:AO665))/STDEV('The List'!AO2:AO665)</f>
        <v>0.72049710185552818</v>
      </c>
      <c r="AC606" s="54">
        <f>(VLOOKUP($A606,'The List'!$B1:$AR665,42,FALSE)-AVERAGE('The List'!AQ2:AQ665))/STDEV('The List'!AQ2:AQ665)</f>
        <v>0.46370859889847604</v>
      </c>
      <c r="AD606" s="54">
        <f>(VLOOKUP($A606,'The List'!$B1:$AR665,43,FALSE)-AVERAGE('The List'!AR2:AR665))/STDEV('The List'!AR2:AR665)*-1</f>
        <v>0.13498248606262672</v>
      </c>
      <c r="AE606" s="54"/>
    </row>
    <row r="607" spans="1:31" ht="21.25" customHeight="1" x14ac:dyDescent="0.15">
      <c r="A607" s="9" t="s">
        <v>600</v>
      </c>
      <c r="B607" s="65" t="str">
        <f>VLOOKUP(A607,'Player Data'!A1:B667,2,FALSE)</f>
        <v>UTA</v>
      </c>
      <c r="C607" s="51">
        <f>(W607*Settings!$C$29)+(X607*Settings!$C$21)+(Y607*Settings!$C$22)+(AA607*Settings!$C$24)+(AB607*Settings!$C$25)+(Z607*Settings!$C$23)+(AC607*Settings!$C$26)+(AD607*Settings!$C$28)</f>
        <v>-3.1426826224805509</v>
      </c>
      <c r="D607" s="56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>
        <f>(VLOOKUP($A607,'The List'!$B1:$AR665,35,FALSE)-AVERAGE('The List'!AJ2:AJ665))/STDEV('The List'!AJ2:AJ665)</f>
        <v>-0.63084027805386156</v>
      </c>
      <c r="X607" s="54">
        <f>(VLOOKUP($A607,'The List'!$B1:$AR665,36,FALSE)-AVERAGE('The List'!AK2:AK665))/STDEV('The List'!AK2:AK665)</f>
        <v>-0.57547839820653934</v>
      </c>
      <c r="Y607" s="54">
        <f>(VLOOKUP($A607,'The List'!$B1:$AR665,37,FALSE)-AVERAGE('The List'!AL2:AL665))/STDEV('The List'!AL2:AL665)*-1</f>
        <v>0.43208238345048461</v>
      </c>
      <c r="Z607" s="54">
        <f>(VLOOKUP($A607,'The List'!$B1:$AR665,38,FALSE)-AVERAGE('The List'!AM2:AM665))/STDEV('The List'!AM2:AM665)</f>
        <v>-0.63084027805386156</v>
      </c>
      <c r="AA607" s="54">
        <f>(VLOOKUP($A607,'The List'!$B1:$AR665,39,FALSE)-AVERAGE('The List'!AN2:AN665))/STDEV('The List'!AN2:AN665)</f>
        <v>-0.79787642781092249</v>
      </c>
      <c r="AB607" s="54">
        <f>(VLOOKUP($A607,'The List'!$B1:$AR665,40,FALSE)-AVERAGE('The List'!AO2:AO665))/STDEV('The List'!AO2:AO665)</f>
        <v>-0.60394445641705152</v>
      </c>
      <c r="AC607" s="54">
        <f>(VLOOKUP($A607,'The List'!$B1:$AR665,42,FALSE)-AVERAGE('The List'!AQ2:AQ665))/STDEV('The List'!AQ2:AQ665)</f>
        <v>-0.90624326681069634</v>
      </c>
      <c r="AD607" s="54">
        <f>(VLOOKUP($A607,'The List'!$B1:$AR665,43,FALSE)-AVERAGE('The List'!AR2:AR665))/STDEV('The List'!AR2:AR665)*-1</f>
        <v>-0.86308452965239224</v>
      </c>
      <c r="AE607" s="54"/>
    </row>
    <row r="608" spans="1:31" ht="21.25" customHeight="1" x14ac:dyDescent="0.15">
      <c r="A608" s="9" t="s">
        <v>192</v>
      </c>
      <c r="B608" s="65" t="str">
        <f>VLOOKUP(A608,'Player Data'!A1:B667,2,FALSE)</f>
        <v>BOS</v>
      </c>
      <c r="C608" s="51">
        <f>(W608*Settings!$C$29)+(X608*Settings!$C$21)+(Y608*Settings!$C$22)+(AA608*Settings!$C$24)+(AB608*Settings!$C$25)+(Z608*Settings!$C$23)+(AC608*Settings!$C$26)+(AD608*Settings!$C$28)</f>
        <v>5.8478690226514196</v>
      </c>
      <c r="D608" s="56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>
        <f>(VLOOKUP($A608,'The List'!$B1:$AR665,35,FALSE)-AVERAGE('The List'!AJ2:AJ665))/STDEV('The List'!AJ2:AJ665)</f>
        <v>1.1462829442686018</v>
      </c>
      <c r="X608" s="54">
        <f>(VLOOKUP($A608,'The List'!$B1:$AR665,36,FALSE)-AVERAGE('The List'!AK2:AK665))/STDEV('The List'!AK2:AK665)</f>
        <v>1.2899601875025313</v>
      </c>
      <c r="Y608" s="54">
        <f>(VLOOKUP($A608,'The List'!$B1:$AR665,37,FALSE)-AVERAGE('The List'!AL2:AL665))/STDEV('The List'!AL2:AL665)*-1</f>
        <v>-0.32022533209635812</v>
      </c>
      <c r="Z608" s="54">
        <f>(VLOOKUP($A608,'The List'!$B1:$AR665,38,FALSE)-AVERAGE('The List'!AM2:AM665))/STDEV('The List'!AM2:AM665)</f>
        <v>1.1462829442686018</v>
      </c>
      <c r="AA608" s="54">
        <f>(VLOOKUP($A608,'The List'!$B1:$AR665,39,FALSE)-AVERAGE('The List'!AN2:AN665))/STDEV('The List'!AN2:AN665)</f>
        <v>1.5369763347731353</v>
      </c>
      <c r="AB608" s="54">
        <f>(VLOOKUP($A608,'The List'!$B1:$AR665,40,FALSE)-AVERAGE('The List'!AO2:AO665))/STDEV('The List'!AO2:AO665)</f>
        <v>1.1185492505370296</v>
      </c>
      <c r="AC608" s="54">
        <f>(VLOOKUP($A608,'The List'!$B1:$AR665,42,FALSE)-AVERAGE('The List'!AQ2:AQ665))/STDEV('The List'!AQ2:AQ665)</f>
        <v>1.6565672884538913</v>
      </c>
      <c r="AD608" s="54">
        <f>(VLOOKUP($A608,'The List'!$B1:$AR665,43,FALSE)-AVERAGE('The List'!AR2:AR665))/STDEV('The List'!AR2:AR665)*-1</f>
        <v>1.3643652119218617</v>
      </c>
      <c r="AE608" s="54"/>
    </row>
    <row r="609" spans="1:31" ht="21.25" customHeight="1" x14ac:dyDescent="0.15">
      <c r="A609" s="9" t="s">
        <v>708</v>
      </c>
      <c r="B609" s="65" t="str">
        <f>VLOOKUP(A609,'Player Data'!A1:B667,2,FALSE)</f>
        <v>BOS</v>
      </c>
      <c r="C609" s="51">
        <f>(W609*Settings!$C$29)+(X609*Settings!$C$21)+(Y609*Settings!$C$22)+(AA609*Settings!$C$24)+(AB609*Settings!$C$25)+(Z609*Settings!$C$23)+(AC609*Settings!$C$26)+(AD609*Settings!$C$28)</f>
        <v>-3.2700322714841463</v>
      </c>
      <c r="D609" s="56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>
        <f>(VLOOKUP($A609,'The List'!$B1:$AR665,35,FALSE)-AVERAGE('The List'!AJ2:AJ665))/STDEV('The List'!AJ2:AJ665)</f>
        <v>-1.1155102477781698</v>
      </c>
      <c r="X609" s="54">
        <f>(VLOOKUP($A609,'The List'!$B1:$AR665,36,FALSE)-AVERAGE('The List'!AK2:AK665))/STDEV('The List'!AK2:AK665)</f>
        <v>-0.9220479930702804</v>
      </c>
      <c r="Y609" s="54">
        <f>(VLOOKUP($A609,'The List'!$B1:$AR665,37,FALSE)-AVERAGE('The List'!AL2:AL665))/STDEV('The List'!AL2:AL665)*-1</f>
        <v>0.94592902561168579</v>
      </c>
      <c r="Z609" s="54">
        <f>(VLOOKUP($A609,'The List'!$B1:$AR665,38,FALSE)-AVERAGE('The List'!AM2:AM665))/STDEV('The List'!AM2:AM665)</f>
        <v>-1.1155102477781698</v>
      </c>
      <c r="AA609" s="54">
        <f>(VLOOKUP($A609,'The List'!$B1:$AR665,39,FALSE)-AVERAGE('The List'!AN2:AN665))/STDEV('The List'!AN2:AN665)</f>
        <v>-0.8797516889799526</v>
      </c>
      <c r="AB609" s="54">
        <f>(VLOOKUP($A609,'The List'!$B1:$AR665,40,FALSE)-AVERAGE('The List'!AO2:AO665))/STDEV('The List'!AO2:AO665)</f>
        <v>-1.1473578822093684</v>
      </c>
      <c r="AC609" s="54">
        <f>(VLOOKUP($A609,'The List'!$B1:$AR665,42,FALSE)-AVERAGE('The List'!AQ2:AQ665))/STDEV('The List'!AQ2:AQ665)</f>
        <v>-0.97021094194785085</v>
      </c>
      <c r="AD609" s="54">
        <f>(VLOOKUP($A609,'The List'!$B1:$AR665,43,FALSE)-AVERAGE('The List'!AR2:AR665))/STDEV('The List'!AR2:AR665)*-1</f>
        <v>-0.49802164748606209</v>
      </c>
      <c r="AE609" s="54"/>
    </row>
    <row r="610" spans="1:31" ht="21.25" customHeight="1" x14ac:dyDescent="0.15">
      <c r="A610" s="9" t="s">
        <v>345</v>
      </c>
      <c r="B610" s="65" t="str">
        <f>VLOOKUP(A610,'Player Data'!A1:B667,2,FALSE)</f>
        <v>BUF</v>
      </c>
      <c r="C610" s="51">
        <f>(W610*Settings!$C$29)+(X610*Settings!$C$21)+(Y610*Settings!$C$22)+(AA610*Settings!$C$24)+(AB610*Settings!$C$25)+(Z610*Settings!$C$23)+(AC610*Settings!$C$26)+(AD610*Settings!$C$28)</f>
        <v>-0.93284163644502827</v>
      </c>
      <c r="D610" s="56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>
        <f>(VLOOKUP($A610,'The List'!$B1:$AR665,35,FALSE)-AVERAGE('The List'!AJ2:AJ665))/STDEV('The List'!AJ2:AJ665)</f>
        <v>0.50005631796952432</v>
      </c>
      <c r="X610" s="54">
        <f>(VLOOKUP($A610,'The List'!$B1:$AR665,36,FALSE)-AVERAGE('The List'!AK2:AK665))/STDEV('The List'!AK2:AK665)</f>
        <v>0.15642541434247678</v>
      </c>
      <c r="Y610" s="54">
        <f>(VLOOKUP($A610,'The List'!$B1:$AR665,37,FALSE)-AVERAGE('The List'!AL2:AL665))/STDEV('The List'!AL2:AL665)*-1</f>
        <v>-0.91297941406758876</v>
      </c>
      <c r="Z610" s="54">
        <f>(VLOOKUP($A610,'The List'!$B1:$AR665,38,FALSE)-AVERAGE('The List'!AM2:AM665))/STDEV('The List'!AM2:AM665)</f>
        <v>0.50005631796952432</v>
      </c>
      <c r="AA610" s="54">
        <f>(VLOOKUP($A610,'The List'!$B1:$AR665,39,FALSE)-AVERAGE('The List'!AN2:AN665))/STDEV('The List'!AN2:AN665)</f>
        <v>-7.7491831976901236E-3</v>
      </c>
      <c r="AB610" s="54">
        <f>(VLOOKUP($A610,'The List'!$B1:$AR665,40,FALSE)-AVERAGE('The List'!AO2:AO665))/STDEV('The List'!AO2:AO665)</f>
        <v>0.52312777776849195</v>
      </c>
      <c r="AC610" s="54">
        <f>(VLOOKUP($A610,'The List'!$B1:$AR665,42,FALSE)-AVERAGE('The List'!AQ2:AQ665))/STDEV('The List'!AQ2:AQ665)</f>
        <v>-0.54216330287140901</v>
      </c>
      <c r="AD610" s="54">
        <f>(VLOOKUP($A610,'The List'!$B1:$AR665,43,FALSE)-AVERAGE('The List'!AR2:AR665))/STDEV('The List'!AR2:AR665)*-1</f>
        <v>-0.53935456471840593</v>
      </c>
      <c r="AE610" s="54"/>
    </row>
    <row r="611" spans="1:31" ht="21.25" customHeight="1" x14ac:dyDescent="0.15">
      <c r="A611" s="9" t="s">
        <v>580</v>
      </c>
      <c r="B611" s="65" t="str">
        <f>VLOOKUP(A611,'Player Data'!A1:B667,2,FALSE)</f>
        <v>BUF</v>
      </c>
      <c r="C611" s="51">
        <f>(W611*Settings!$C$29)+(X611*Settings!$C$21)+(Y611*Settings!$C$22)+(AA611*Settings!$C$24)+(AB611*Settings!$C$25)+(Z611*Settings!$C$23)+(AC611*Settings!$C$26)+(AD611*Settings!$C$28)</f>
        <v>-3.0601746030069932</v>
      </c>
      <c r="D611" s="56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>
        <f>(VLOOKUP($A611,'The List'!$B1:$AR665,35,FALSE)-AVERAGE('The List'!AJ2:AJ665))/STDEV('The List'!AJ2:AJ665)</f>
        <v>-0.46928362147909214</v>
      </c>
      <c r="X611" s="54">
        <f>(VLOOKUP($A611,'The List'!$B1:$AR665,36,FALSE)-AVERAGE('The List'!AK2:AK665))/STDEV('The List'!AK2:AK665)</f>
        <v>-0.54056067879693581</v>
      </c>
      <c r="Y611" s="54">
        <f>(VLOOKUP($A611,'The List'!$B1:$AR665,37,FALSE)-AVERAGE('The List'!AL2:AL665))/STDEV('The List'!AL2:AL665)*-1</f>
        <v>0.10739247483819898</v>
      </c>
      <c r="Z611" s="54">
        <f>(VLOOKUP($A611,'The List'!$B1:$AR665,38,FALSE)-AVERAGE('The List'!AM2:AM665))/STDEV('The List'!AM2:AM665)</f>
        <v>-0.46928362147909214</v>
      </c>
      <c r="AA611" s="54">
        <f>(VLOOKUP($A611,'The List'!$B1:$AR665,39,FALSE)-AVERAGE('The List'!AN2:AN665))/STDEV('The List'!AN2:AN665)</f>
        <v>-0.64852240830177021</v>
      </c>
      <c r="AB611" s="54">
        <f>(VLOOKUP($A611,'The List'!$B1:$AR665,40,FALSE)-AVERAGE('The List'!AO2:AO665))/STDEV('The List'!AO2:AO665)</f>
        <v>-0.45377780762109843</v>
      </c>
      <c r="AC611" s="54">
        <f>(VLOOKUP($A611,'The List'!$B1:$AR665,42,FALSE)-AVERAGE('The List'!AQ2:AQ665))/STDEV('The List'!AQ2:AQ665)</f>
        <v>-0.99922641519556332</v>
      </c>
      <c r="AD611" s="54">
        <f>(VLOOKUP($A611,'The List'!$B1:$AR665,43,FALSE)-AVERAGE('The List'!AR2:AR665))/STDEV('The List'!AR2:AR665)*-1</f>
        <v>-0.87186510071272361</v>
      </c>
      <c r="AE611" s="54"/>
    </row>
    <row r="612" spans="1:31" ht="21.25" customHeight="1" x14ac:dyDescent="0.15">
      <c r="A612" s="9" t="s">
        <v>347</v>
      </c>
      <c r="B612" s="65" t="str">
        <f>VLOOKUP(A612,'Player Data'!A1:B667,2,FALSE)</f>
        <v>CAR</v>
      </c>
      <c r="C612" s="51">
        <f>(W612*Settings!$C$29)+(X612*Settings!$C$21)+(Y612*Settings!$C$22)+(AA612*Settings!$C$24)+(AB612*Settings!$C$25)+(Z612*Settings!$C$23)+(AC612*Settings!$C$26)+(AD612*Settings!$C$28)</f>
        <v>3.1465548857449206</v>
      </c>
      <c r="D612" s="56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>
        <f>(VLOOKUP($A612,'The List'!$B1:$AR665,35,FALSE)-AVERAGE('The List'!AJ2:AJ665))/STDEV('The List'!AJ2:AJ665)</f>
        <v>9.6164676532600774E-2</v>
      </c>
      <c r="X612" s="54">
        <f>(VLOOKUP($A612,'The List'!$B1:$AR665,36,FALSE)-AVERAGE('The List'!AK2:AK665))/STDEV('The List'!AK2:AK665)</f>
        <v>0.50074229903536371</v>
      </c>
      <c r="Y612" s="54">
        <f>(VLOOKUP($A612,'The List'!$B1:$AR665,37,FALSE)-AVERAGE('The List'!AL2:AL665))/STDEV('The List'!AL2:AL665)*-1</f>
        <v>0.72018426564148219</v>
      </c>
      <c r="Z612" s="54">
        <f>(VLOOKUP($A612,'The List'!$B1:$AR665,38,FALSE)-AVERAGE('The List'!AM2:AM665))/STDEV('The List'!AM2:AM665)</f>
        <v>9.6164676532600774E-2</v>
      </c>
      <c r="AA612" s="54">
        <f>(VLOOKUP($A612,'The List'!$B1:$AR665,39,FALSE)-AVERAGE('The List'!AN2:AN665))/STDEV('The List'!AN2:AN665)</f>
        <v>0.69619008845662034</v>
      </c>
      <c r="AB612" s="54">
        <f>(VLOOKUP($A612,'The List'!$B1:$AR665,40,FALSE)-AVERAGE('The List'!AO2:AO665))/STDEV('The List'!AO2:AO665)</f>
        <v>-5.3976405916951645E-2</v>
      </c>
      <c r="AC612" s="54">
        <f>(VLOOKUP($A612,'The List'!$B1:$AR665,42,FALSE)-AVERAGE('The List'!AQ2:AQ665))/STDEV('The List'!AQ2:AQ665)</f>
        <v>0.73898385369489794</v>
      </c>
      <c r="AD612" s="54">
        <f>(VLOOKUP($A612,'The List'!$B1:$AR665,43,FALSE)-AVERAGE('The List'!AR2:AR665))/STDEV('The List'!AR2:AR665)*-1</f>
        <v>1.2106386445580384</v>
      </c>
      <c r="AE612" s="54"/>
    </row>
    <row r="613" spans="1:31" ht="21.25" customHeight="1" x14ac:dyDescent="0.15">
      <c r="A613" s="9" t="s">
        <v>363</v>
      </c>
      <c r="B613" s="65" t="str">
        <f>VLOOKUP(A613,'Player Data'!A1:B667,2,FALSE)</f>
        <v>CAR</v>
      </c>
      <c r="C613" s="51">
        <f>(W613*Settings!$C$29)+(X613*Settings!$C$21)+(Y613*Settings!$C$22)+(AA613*Settings!$C$24)+(AB613*Settings!$C$25)+(Z613*Settings!$C$23)+(AC613*Settings!$C$26)+(AD613*Settings!$C$28)</f>
        <v>2.4453746149426507</v>
      </c>
      <c r="D613" s="56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>
        <f>(VLOOKUP($A613,'The List'!$B1:$AR665,35,FALSE)-AVERAGE('The List'!AJ2:AJ665))/STDEV('The List'!AJ2:AJ665)</f>
        <v>9.6164676532600774E-2</v>
      </c>
      <c r="X613" s="54">
        <f>(VLOOKUP($A613,'The List'!$B1:$AR665,36,FALSE)-AVERAGE('The List'!AK2:AK665))/STDEV('The List'!AK2:AK665)</f>
        <v>0.50950594582162445</v>
      </c>
      <c r="Y613" s="54">
        <f>(VLOOKUP($A613,'The List'!$B1:$AR665,37,FALSE)-AVERAGE('The List'!AL2:AL665))/STDEV('The List'!AL2:AL665)*-1</f>
        <v>0.73686316722626632</v>
      </c>
      <c r="Z613" s="54">
        <f>(VLOOKUP($A613,'The List'!$B1:$AR665,38,FALSE)-AVERAGE('The List'!AM2:AM665))/STDEV('The List'!AM2:AM665)</f>
        <v>9.6164676532600774E-2</v>
      </c>
      <c r="AA613" s="54">
        <f>(VLOOKUP($A613,'The List'!$B1:$AR665,39,FALSE)-AVERAGE('The List'!AN2:AN665))/STDEV('The List'!AN2:AN665)</f>
        <v>0.57055710706350304</v>
      </c>
      <c r="AB613" s="54">
        <f>(VLOOKUP($A613,'The List'!$B1:$AR665,40,FALSE)-AVERAGE('The List'!AO2:AO665))/STDEV('The List'!AO2:AO665)</f>
        <v>-5.9633840529150363E-2</v>
      </c>
      <c r="AC613" s="54">
        <f>(VLOOKUP($A613,'The List'!$B1:$AR665,42,FALSE)-AVERAGE('The List'!AQ2:AQ665))/STDEV('The List'!AQ2:AQ665)</f>
        <v>0.39186850378470861</v>
      </c>
      <c r="AD613" s="54">
        <f>(VLOOKUP($A613,'The List'!$B1:$AR665,43,FALSE)-AVERAGE('The List'!AR2:AR665))/STDEV('The List'!AR2:AR665)*-1</f>
        <v>0.97344305827281441</v>
      </c>
      <c r="AE613" s="54"/>
    </row>
    <row r="614" spans="1:31" ht="21.25" customHeight="1" x14ac:dyDescent="0.15">
      <c r="A614" s="9" t="s">
        <v>353</v>
      </c>
      <c r="B614" s="65" t="str">
        <f>VLOOKUP(A614,'Player Data'!A1:B667,2,FALSE)</f>
        <v>CBJ</v>
      </c>
      <c r="C614" s="51">
        <f>(W614*Settings!$C$29)+(X614*Settings!$C$21)+(Y614*Settings!$C$22)+(AA614*Settings!$C$24)+(AB614*Settings!$C$25)+(Z614*Settings!$C$23)+(AC614*Settings!$C$26)+(AD614*Settings!$C$28)</f>
        <v>-4.3281619845166333</v>
      </c>
      <c r="D614" s="56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>
        <f>(VLOOKUP($A614,'The List'!$B1:$AR665,35,FALSE)-AVERAGE('The List'!AJ2:AJ665))/STDEV('The List'!AJ2:AJ665)</f>
        <v>0.66161297454429369</v>
      </c>
      <c r="X614" s="54">
        <f>(VLOOKUP($A614,'The List'!$B1:$AR665,36,FALSE)-AVERAGE('The List'!AK2:AK665))/STDEV('The List'!AK2:AK665)</f>
        <v>-0.29559798907552504</v>
      </c>
      <c r="Y614" s="54">
        <f>(VLOOKUP($A614,'The List'!$B1:$AR665,37,FALSE)-AVERAGE('The List'!AL2:AL665))/STDEV('The List'!AL2:AL665)*-1</f>
        <v>-2.164411723795197</v>
      </c>
      <c r="Z614" s="54">
        <f>(VLOOKUP($A614,'The List'!$B1:$AR665,38,FALSE)-AVERAGE('The List'!AM2:AM665))/STDEV('The List'!AM2:AM665)</f>
        <v>0.66161297454429369</v>
      </c>
      <c r="AA614" s="54">
        <f>(VLOOKUP($A614,'The List'!$B1:$AR665,39,FALSE)-AVERAGE('The List'!AN2:AN665))/STDEV('The List'!AN2:AN665)</f>
        <v>-0.94786101272668088</v>
      </c>
      <c r="AB614" s="54">
        <f>(VLOOKUP($A614,'The List'!$B1:$AR665,40,FALSE)-AVERAGE('The List'!AO2:AO665))/STDEV('The List'!AO2:AO665)</f>
        <v>0.91667027686660596</v>
      </c>
      <c r="AC614" s="54">
        <f>(VLOOKUP($A614,'The List'!$B1:$AR665,42,FALSE)-AVERAGE('The List'!AQ2:AQ665))/STDEV('The List'!AQ2:AQ665)</f>
        <v>-1.1400793849776625</v>
      </c>
      <c r="AD614" s="54">
        <f>(VLOOKUP($A614,'The List'!$B1:$AR665,43,FALSE)-AVERAGE('The List'!AR2:AR665))/STDEV('The List'!AR2:AR665)*-1</f>
        <v>-1.9446235977367654</v>
      </c>
      <c r="AE614" s="54"/>
    </row>
    <row r="615" spans="1:31" ht="21.25" customHeight="1" x14ac:dyDescent="0.15">
      <c r="A615" s="9" t="s">
        <v>694</v>
      </c>
      <c r="B615" s="65" t="str">
        <f>VLOOKUP(A615,'Player Data'!A1:B667,2,FALSE)</f>
        <v>CBJ</v>
      </c>
      <c r="C615" s="51">
        <f>(W615*Settings!$C$29)+(X615*Settings!$C$21)+(Y615*Settings!$C$22)+(AA615*Settings!$C$24)+(AB615*Settings!$C$25)+(Z615*Settings!$C$23)+(AC615*Settings!$C$26)+(AD615*Settings!$C$28)</f>
        <v>-4.4727209978241973</v>
      </c>
      <c r="D615" s="56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>
        <f>(VLOOKUP($A615,'The List'!$B1:$AR665,35,FALSE)-AVERAGE('The List'!AJ2:AJ665))/STDEV('The List'!AJ2:AJ665)</f>
        <v>-1.1155102477781698</v>
      </c>
      <c r="X615" s="54">
        <f>(VLOOKUP($A615,'The List'!$B1:$AR665,36,FALSE)-AVERAGE('The List'!AK2:AK665))/STDEV('The List'!AK2:AK665)</f>
        <v>-1.2643835468182771</v>
      </c>
      <c r="Y615" s="54">
        <f>(VLOOKUP($A615,'The List'!$B1:$AR665,37,FALSE)-AVERAGE('The List'!AL2:AL665))/STDEV('The List'!AL2:AL665)*-1</f>
        <v>0.29439877237430945</v>
      </c>
      <c r="Z615" s="54">
        <f>(VLOOKUP($A615,'The List'!$B1:$AR665,38,FALSE)-AVERAGE('The List'!AM2:AM665))/STDEV('The List'!AM2:AM665)</f>
        <v>-1.1155102477781698</v>
      </c>
      <c r="AA615" s="54">
        <f>(VLOOKUP($A615,'The List'!$B1:$AR665,39,FALSE)-AVERAGE('The List'!AN2:AN665))/STDEV('The List'!AN2:AN665)</f>
        <v>-1.2237212022603161</v>
      </c>
      <c r="AB615" s="54">
        <f>(VLOOKUP($A615,'The List'!$B1:$AR665,40,FALSE)-AVERAGE('The List'!AO2:AO665))/STDEV('The List'!AO2:AO665)</f>
        <v>-0.96155632360665844</v>
      </c>
      <c r="AC615" s="54">
        <f>(VLOOKUP($A615,'The List'!$B1:$AR665,42,FALSE)-AVERAGE('The List'!AQ2:AQ665))/STDEV('The List'!AQ2:AQ665)</f>
        <v>-0.51906956512768287</v>
      </c>
      <c r="AD615" s="54">
        <f>(VLOOKUP($A615,'The List'!$B1:$AR665,43,FALSE)-AVERAGE('The List'!AR2:AR665))/STDEV('The List'!AR2:AR665)*-1</f>
        <v>-1.4655466836179212</v>
      </c>
      <c r="AE615" s="54"/>
    </row>
    <row r="616" spans="1:31" ht="21.25" customHeight="1" x14ac:dyDescent="0.15">
      <c r="A616" s="9" t="s">
        <v>404</v>
      </c>
      <c r="B616" s="65" t="str">
        <f>VLOOKUP(A616,'Player Data'!A1:B667,2,FALSE)</f>
        <v>CGY</v>
      </c>
      <c r="C616" s="51">
        <f>(W616*Settings!$C$29)+(X616*Settings!$C$21)+(Y616*Settings!$C$22)+(AA616*Settings!$C$24)+(AB616*Settings!$C$25)+(Z616*Settings!$C$23)+(AC616*Settings!$C$26)+(AD616*Settings!$C$28)</f>
        <v>-1.5557250555236881</v>
      </c>
      <c r="D616" s="56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>
        <f>(VLOOKUP($A616,'The List'!$B1:$AR665,35,FALSE)-AVERAGE('The List'!AJ2:AJ665))/STDEV('The List'!AJ2:AJ665)</f>
        <v>0.17694300481998548</v>
      </c>
      <c r="X616" s="54">
        <f>(VLOOKUP($A616,'The List'!$B1:$AR665,36,FALSE)-AVERAGE('The List'!AK2:AK665))/STDEV('The List'!AK2:AK665)</f>
        <v>-0.22260435726686867</v>
      </c>
      <c r="Y616" s="54">
        <f>(VLOOKUP($A616,'The List'!$B1:$AR665,37,FALSE)-AVERAGE('The List'!AL2:AL665))/STDEV('The List'!AL2:AL665)*-1</f>
        <v>-0.85205574677190676</v>
      </c>
      <c r="Z616" s="54">
        <f>(VLOOKUP($A616,'The List'!$B1:$AR665,38,FALSE)-AVERAGE('The List'!AM2:AM665))/STDEV('The List'!AM2:AM665)</f>
        <v>0.17694300481998548</v>
      </c>
      <c r="AA616" s="54">
        <f>(VLOOKUP($A616,'The List'!$B1:$AR665,39,FALSE)-AVERAGE('The List'!AN2:AN665))/STDEV('The List'!AN2:AN665)</f>
        <v>-0.31103639110650355</v>
      </c>
      <c r="AB616" s="54">
        <f>(VLOOKUP($A616,'The List'!$B1:$AR665,40,FALSE)-AVERAGE('The List'!AO2:AO665))/STDEV('The List'!AO2:AO665)</f>
        <v>0.2388819606510286</v>
      </c>
      <c r="AC616" s="54">
        <f>(VLOOKUP($A616,'The List'!$B1:$AR665,42,FALSE)-AVERAGE('The List'!AQ2:AQ665))/STDEV('The List'!AQ2:AQ665)</f>
        <v>-0.4138927316508168</v>
      </c>
      <c r="AD616" s="54">
        <f>(VLOOKUP($A616,'The List'!$B1:$AR665,43,FALSE)-AVERAGE('The List'!AR2:AR665))/STDEV('The List'!AR2:AR665)*-1</f>
        <v>-0.60819157549949898</v>
      </c>
      <c r="AE616" s="54"/>
    </row>
    <row r="617" spans="1:31" ht="21.25" customHeight="1" x14ac:dyDescent="0.15">
      <c r="A617" s="9" t="s">
        <v>494</v>
      </c>
      <c r="B617" s="65" t="str">
        <f>VLOOKUP(A617,'Player Data'!A1:B667,2,FALSE)</f>
        <v>CGY</v>
      </c>
      <c r="C617" s="51">
        <f>(W617*Settings!$C$29)+(X617*Settings!$C$21)+(Y617*Settings!$C$22)+(AA617*Settings!$C$24)+(AB617*Settings!$C$25)+(Z617*Settings!$C$23)+(AC617*Settings!$C$26)+(AD617*Settings!$C$28)</f>
        <v>-3.9837530724102805</v>
      </c>
      <c r="D617" s="56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>
        <f>(VLOOKUP($A617,'The List'!$B1:$AR665,35,FALSE)-AVERAGE('The List'!AJ2:AJ665))/STDEV('The List'!AJ2:AJ665)</f>
        <v>1.5386348245216079E-2</v>
      </c>
      <c r="X617" s="54">
        <f>(VLOOKUP($A617,'The List'!$B1:$AR665,36,FALSE)-AVERAGE('The List'!AK2:AK665))/STDEV('The List'!AK2:AK665)</f>
        <v>-0.40650648966813802</v>
      </c>
      <c r="Y617" s="54">
        <f>(VLOOKUP($A617,'The List'!$B1:$AR665,37,FALSE)-AVERAGE('The List'!AL2:AL665))/STDEV('The List'!AL2:AL665)*-1</f>
        <v>-0.81091176630571249</v>
      </c>
      <c r="Z617" s="54">
        <f>(VLOOKUP($A617,'The List'!$B1:$AR665,38,FALSE)-AVERAGE('The List'!AM2:AM665))/STDEV('The List'!AM2:AM665)</f>
        <v>1.5386348245216079E-2</v>
      </c>
      <c r="AA617" s="54">
        <f>(VLOOKUP($A617,'The List'!$B1:$AR665,39,FALSE)-AVERAGE('The List'!AN2:AN665))/STDEV('The List'!AN2:AN665)</f>
        <v>-0.77927368616379</v>
      </c>
      <c r="AB617" s="54">
        <f>(VLOOKUP($A617,'The List'!$B1:$AR665,40,FALSE)-AVERAGE('The List'!AO2:AO665))/STDEV('The List'!AO2:AO665)</f>
        <v>5.7777286608031615E-2</v>
      </c>
      <c r="AC617" s="54">
        <f>(VLOOKUP($A617,'The List'!$B1:$AR665,42,FALSE)-AVERAGE('The List'!AQ2:AQ665))/STDEV('The List'!AQ2:AQ665)</f>
        <v>-1.4382845845362191</v>
      </c>
      <c r="AD617" s="54">
        <f>(VLOOKUP($A617,'The List'!$B1:$AR665,43,FALSE)-AVERAGE('The List'!AR2:AR665))/STDEV('The List'!AR2:AR665)*-1</f>
        <v>-1.3596883120421335</v>
      </c>
      <c r="AE617" s="54"/>
    </row>
    <row r="618" spans="1:31" ht="21.25" customHeight="1" x14ac:dyDescent="0.15">
      <c r="A618" s="9" t="s">
        <v>438</v>
      </c>
      <c r="B618" s="65" t="str">
        <f>VLOOKUP(A618,'Player Data'!A1:B667,2,FALSE)</f>
        <v>CHI</v>
      </c>
      <c r="C618" s="51">
        <f>(W618*Settings!$C$29)+(X618*Settings!$C$21)+(Y618*Settings!$C$22)+(AA618*Settings!$C$24)+(AB618*Settings!$C$25)+(Z618*Settings!$C$23)+(AC618*Settings!$C$26)+(AD618*Settings!$C$28)</f>
        <v>-1.1899498017100549</v>
      </c>
      <c r="D618" s="56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>
        <f>(VLOOKUP($A618,'The List'!$B1:$AR665,35,FALSE)-AVERAGE('The List'!AJ2:AJ665))/STDEV('The List'!AJ2:AJ665)</f>
        <v>1.5386348245216079E-2</v>
      </c>
      <c r="X618" s="54">
        <f>(VLOOKUP($A618,'The List'!$B1:$AR665,36,FALSE)-AVERAGE('The List'!AK2:AK665))/STDEV('The List'!AK2:AK665)</f>
        <v>-0.6005059885861217</v>
      </c>
      <c r="Y618" s="54">
        <f>(VLOOKUP($A618,'The List'!$B1:$AR665,37,FALSE)-AVERAGE('The List'!AL2:AL665))/STDEV('The List'!AL2:AL665)*-1</f>
        <v>-1.1801300413990499</v>
      </c>
      <c r="Z618" s="54">
        <f>(VLOOKUP($A618,'The List'!$B1:$AR665,38,FALSE)-AVERAGE('The List'!AM2:AM665))/STDEV('The List'!AM2:AM665)</f>
        <v>1.5386348245216079E-2</v>
      </c>
      <c r="AA618" s="54">
        <f>(VLOOKUP($A618,'The List'!$B1:$AR665,39,FALSE)-AVERAGE('The List'!AN2:AN665))/STDEV('The List'!AN2:AN665)</f>
        <v>-0.24698325065156415</v>
      </c>
      <c r="AB618" s="54">
        <f>(VLOOKUP($A618,'The List'!$B1:$AR665,40,FALSE)-AVERAGE('The List'!AO2:AO665))/STDEV('The List'!AO2:AO665)</f>
        <v>7.4851306896046702E-2</v>
      </c>
      <c r="AC618" s="54">
        <f>(VLOOKUP($A618,'The List'!$B1:$AR665,42,FALSE)-AVERAGE('The List'!AQ2:AQ665))/STDEV('The List'!AQ2:AQ665)</f>
        <v>-3.954375921390222E-2</v>
      </c>
      <c r="AD618" s="54">
        <f>(VLOOKUP($A618,'The List'!$B1:$AR665,43,FALSE)-AVERAGE('The List'!AR2:AR665))/STDEV('The List'!AR2:AR665)*-1</f>
        <v>-0.30291680325846687</v>
      </c>
      <c r="AE618" s="54"/>
    </row>
    <row r="619" spans="1:31" ht="21.25" customHeight="1" x14ac:dyDescent="0.15">
      <c r="A619" s="9" t="s">
        <v>462</v>
      </c>
      <c r="B619" s="65" t="str">
        <f>VLOOKUP(A619,'Player Data'!A1:B667,2,FALSE)</f>
        <v>CHI</v>
      </c>
      <c r="C619" s="51">
        <f>(W619*Settings!$C$29)+(X619*Settings!$C$21)+(Y619*Settings!$C$22)+(AA619*Settings!$C$24)+(AB619*Settings!$C$25)+(Z619*Settings!$C$23)+(AC619*Settings!$C$26)+(AD619*Settings!$C$28)</f>
        <v>0.48908045046184712</v>
      </c>
      <c r="D619" s="56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>
        <f>(VLOOKUP($A619,'The List'!$B1:$AR665,35,FALSE)-AVERAGE('The List'!AJ2:AJ665))/STDEV('The List'!AJ2:AJ665)</f>
        <v>-0.30772696490432272</v>
      </c>
      <c r="X619" s="54">
        <f>(VLOOKUP($A619,'The List'!$B1:$AR665,36,FALSE)-AVERAGE('The List'!AK2:AK665))/STDEV('The List'!AK2:AK665)</f>
        <v>-0.72617750875003584</v>
      </c>
      <c r="Y619" s="54">
        <f>(VLOOKUP($A619,'The List'!$B1:$AR665,37,FALSE)-AVERAGE('The List'!AL2:AL665))/STDEV('The List'!AL2:AL665)*-1</f>
        <v>-0.63701700196022837</v>
      </c>
      <c r="Z619" s="54">
        <f>(VLOOKUP($A619,'The List'!$B1:$AR665,38,FALSE)-AVERAGE('The List'!AM2:AM665))/STDEV('The List'!AM2:AM665)</f>
        <v>-0.30772696490432272</v>
      </c>
      <c r="AA619" s="54">
        <f>(VLOOKUP($A619,'The List'!$B1:$AR665,39,FALSE)-AVERAGE('The List'!AN2:AN665))/STDEV('The List'!AN2:AN665)</f>
        <v>1.5238650820553961E-2</v>
      </c>
      <c r="AB619" s="54">
        <f>(VLOOKUP($A619,'The List'!$B1:$AR665,40,FALSE)-AVERAGE('The List'!AO2:AO665))/STDEV('The List'!AO2:AO665)</f>
        <v>-0.27035757166897062</v>
      </c>
      <c r="AC619" s="54">
        <f>(VLOOKUP($A619,'The List'!$B1:$AR665,42,FALSE)-AVERAGE('The List'!AQ2:AQ665))/STDEV('The List'!AQ2:AQ665)</f>
        <v>0.76705644793650785</v>
      </c>
      <c r="AD619" s="54">
        <f>(VLOOKUP($A619,'The List'!$B1:$AR665,43,FALSE)-AVERAGE('The List'!AR2:AR665))/STDEV('The List'!AR2:AR665)*-1</f>
        <v>0.43296286045482113</v>
      </c>
      <c r="AE619" s="54"/>
    </row>
    <row r="620" spans="1:31" ht="21.25" customHeight="1" x14ac:dyDescent="0.15">
      <c r="A620" s="9" t="s">
        <v>228</v>
      </c>
      <c r="B620" s="65" t="str">
        <f>VLOOKUP(A620,'Player Data'!A1:B667,2,FALSE)</f>
        <v>COL</v>
      </c>
      <c r="C620" s="51">
        <f>(W620*Settings!$C$29)+(X620*Settings!$C$21)+(Y620*Settings!$C$22)+(AA620*Settings!$C$24)+(AB620*Settings!$C$25)+(Z620*Settings!$C$23)+(AC620*Settings!$C$26)+(AD620*Settings!$C$28)</f>
        <v>2.5840682170111791</v>
      </c>
      <c r="D620" s="56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>
        <f>(VLOOKUP($A620,'The List'!$B1:$AR665,35,FALSE)-AVERAGE('The List'!AJ2:AJ665))/STDEV('The List'!AJ2:AJ665)</f>
        <v>1.1462829442686018</v>
      </c>
      <c r="X620" s="54">
        <f>(VLOOKUP($A620,'The List'!$B1:$AR665,36,FALSE)-AVERAGE('The List'!AK2:AK665))/STDEV('The List'!AK2:AK665)</f>
        <v>1.2875610747464084</v>
      </c>
      <c r="Y620" s="54">
        <f>(VLOOKUP($A620,'The List'!$B1:$AR665,37,FALSE)-AVERAGE('The List'!AL2:AL665))/STDEV('The List'!AL2:AL665)*-1</f>
        <v>-0.32479130406283563</v>
      </c>
      <c r="Z620" s="54">
        <f>(VLOOKUP($A620,'The List'!$B1:$AR665,38,FALSE)-AVERAGE('The List'!AM2:AM665))/STDEV('The List'!AM2:AM665)</f>
        <v>1.1462829442686018</v>
      </c>
      <c r="AA620" s="54">
        <f>(VLOOKUP($A620,'The List'!$B1:$AR665,39,FALSE)-AVERAGE('The List'!AN2:AN665))/STDEV('The List'!AN2:AN665)</f>
        <v>0.67669348597138024</v>
      </c>
      <c r="AB620" s="54">
        <f>(VLOOKUP($A620,'The List'!$B1:$AR665,40,FALSE)-AVERAGE('The List'!AO2:AO665))/STDEV('The List'!AO2:AO665)</f>
        <v>1.157441127530823</v>
      </c>
      <c r="AC620" s="54">
        <f>(VLOOKUP($A620,'The List'!$B1:$AR665,42,FALSE)-AVERAGE('The List'!AQ2:AQ665))/STDEV('The List'!AQ2:AQ665)</f>
        <v>0.38002937137129872</v>
      </c>
      <c r="AD620" s="54">
        <f>(VLOOKUP($A620,'The List'!$B1:$AR665,43,FALSE)-AVERAGE('The List'!AR2:AR665))/STDEV('The List'!AR2:AR665)*-1</f>
        <v>0.23978428492209208</v>
      </c>
      <c r="AE620" s="54"/>
    </row>
    <row r="621" spans="1:31" ht="21.25" customHeight="1" x14ac:dyDescent="0.15">
      <c r="A621" s="9" t="s">
        <v>656</v>
      </c>
      <c r="B621" s="65" t="str">
        <f>VLOOKUP(A621,'Player Data'!A1:B667,2,FALSE)</f>
        <v>COL</v>
      </c>
      <c r="C621" s="51">
        <f>(W621*Settings!$C$29)+(X621*Settings!$C$21)+(Y621*Settings!$C$22)+(AA621*Settings!$C$24)+(AB621*Settings!$C$25)+(Z621*Settings!$C$23)+(AC621*Settings!$C$26)+(AD621*Settings!$C$28)</f>
        <v>-1.4930343680534963</v>
      </c>
      <c r="D621" s="56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>
        <f>(VLOOKUP($A621,'The List'!$B1:$AR665,35,FALSE)-AVERAGE('The List'!AJ2:AJ665))/STDEV('The List'!AJ2:AJ665)</f>
        <v>-1.1155102477781698</v>
      </c>
      <c r="X621" s="54">
        <f>(VLOOKUP($A621,'The List'!$B1:$AR665,36,FALSE)-AVERAGE('The List'!AK2:AK665))/STDEV('The List'!AK2:AK665)</f>
        <v>-0.65558189214500162</v>
      </c>
      <c r="Y621" s="54">
        <f>(VLOOKUP($A621,'The List'!$B1:$AR665,37,FALSE)-AVERAGE('The List'!AL2:AL665))/STDEV('The List'!AL2:AL665)*-1</f>
        <v>1.4530651507213292</v>
      </c>
      <c r="Z621" s="54">
        <f>(VLOOKUP($A621,'The List'!$B1:$AR665,38,FALSE)-AVERAGE('The List'!AM2:AM665))/STDEV('The List'!AM2:AM665)</f>
        <v>-1.1155102477781698</v>
      </c>
      <c r="AA621" s="54">
        <f>(VLOOKUP($A621,'The List'!$B1:$AR665,39,FALSE)-AVERAGE('The List'!AN2:AN665))/STDEV('The List'!AN2:AN665)</f>
        <v>-0.76162459717107156</v>
      </c>
      <c r="AB621" s="54">
        <f>(VLOOKUP($A621,'The List'!$B1:$AR665,40,FALSE)-AVERAGE('The List'!AO2:AO665))/STDEV('The List'!AO2:AO665)</f>
        <v>-1.1048680352931037</v>
      </c>
      <c r="AC621" s="54">
        <f>(VLOOKUP($A621,'The List'!$B1:$AR665,42,FALSE)-AVERAGE('The List'!AQ2:AQ665))/STDEV('The List'!AQ2:AQ665)</f>
        <v>-2.4381848304263362E-2</v>
      </c>
      <c r="AD621" s="54">
        <f>(VLOOKUP($A621,'The List'!$B1:$AR665,43,FALSE)-AVERAGE('The List'!AR2:AR665))/STDEV('The List'!AR2:AR665)*-1</f>
        <v>-5.1446030433159949E-2</v>
      </c>
      <c r="AE621" s="54"/>
    </row>
    <row r="622" spans="1:31" ht="21.25" customHeight="1" x14ac:dyDescent="0.15">
      <c r="A622" s="9" t="s">
        <v>170</v>
      </c>
      <c r="B622" s="65" t="str">
        <f>VLOOKUP(A622,'Player Data'!A1:B667,2,FALSE)</f>
        <v>DAL</v>
      </c>
      <c r="C622" s="51">
        <f>(W622*Settings!$C$29)+(X622*Settings!$C$21)+(Y622*Settings!$C$22)+(AA622*Settings!$C$24)+(AB622*Settings!$C$25)+(Z622*Settings!$C$23)+(AC622*Settings!$C$26)+(AD622*Settings!$C$28)</f>
        <v>6.5002213311630985</v>
      </c>
      <c r="D622" s="56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>
        <f>(VLOOKUP($A622,'The List'!$B1:$AR665,35,FALSE)-AVERAGE('The List'!AJ2:AJ665))/STDEV('The List'!AJ2:AJ665)</f>
        <v>1.6309529139929102</v>
      </c>
      <c r="X622" s="54">
        <f>(VLOOKUP($A622,'The List'!$B1:$AR665,36,FALSE)-AVERAGE('The List'!AK2:AK665))/STDEV('The List'!AK2:AK665)</f>
        <v>1.9382453883306159</v>
      </c>
      <c r="Y622" s="54">
        <f>(VLOOKUP($A622,'The List'!$B1:$AR665,37,FALSE)-AVERAGE('The List'!AL2:AL665))/STDEV('The List'!AL2:AL665)*-1</f>
        <v>-0.25984927665156332</v>
      </c>
      <c r="Z622" s="54">
        <f>(VLOOKUP($A622,'The List'!$B1:$AR665,38,FALSE)-AVERAGE('The List'!AM2:AM665))/STDEV('The List'!AM2:AM665)</f>
        <v>1.6309529139929102</v>
      </c>
      <c r="AA622" s="54">
        <f>(VLOOKUP($A622,'The List'!$B1:$AR665,39,FALSE)-AVERAGE('The List'!AN2:AN665))/STDEV('The List'!AN2:AN665)</f>
        <v>1.9434819597921029</v>
      </c>
      <c r="AB622" s="54">
        <f>(VLOOKUP($A622,'The List'!$B1:$AR665,40,FALSE)-AVERAGE('The List'!AO2:AO665))/STDEV('The List'!AO2:AO665)</f>
        <v>1.4309903261148607</v>
      </c>
      <c r="AC622" s="54">
        <f>(VLOOKUP($A622,'The List'!$B1:$AR665,42,FALSE)-AVERAGE('The List'!AQ2:AQ665))/STDEV('The List'!AQ2:AQ665)</f>
        <v>1.166673867070382</v>
      </c>
      <c r="AD622" s="54">
        <f>(VLOOKUP($A622,'The List'!$B1:$AR665,43,FALSE)-AVERAGE('The List'!AR2:AR665))/STDEV('The List'!AR2:AR665)*-1</f>
        <v>1.4518201159699977</v>
      </c>
      <c r="AE622" s="54"/>
    </row>
    <row r="623" spans="1:31" ht="21.25" customHeight="1" x14ac:dyDescent="0.15">
      <c r="A623" s="9" t="s">
        <v>359</v>
      </c>
      <c r="B623" s="65" t="str">
        <f>VLOOKUP(A623,'Player Data'!A1:B667,2,FALSE)</f>
        <v>DET</v>
      </c>
      <c r="C623" s="51">
        <f>(W623*Settings!$C$29)+(X623*Settings!$C$21)+(Y623*Settings!$C$22)+(AA623*Settings!$C$24)+(AB623*Settings!$C$25)+(Z623*Settings!$C$23)+(AC623*Settings!$C$26)+(AD623*Settings!$C$28)</f>
        <v>-0.72168651741406054</v>
      </c>
      <c r="D623" s="56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>
        <f>(VLOOKUP($A623,'The List'!$B1:$AR665,35,FALSE)-AVERAGE('The List'!AJ2:AJ665))/STDEV('The List'!AJ2:AJ665)</f>
        <v>0.3384996613947549</v>
      </c>
      <c r="X623" s="54">
        <f>(VLOOKUP($A623,'The List'!$B1:$AR665,36,FALSE)-AVERAGE('The List'!AK2:AK665))/STDEV('The List'!AK2:AK665)</f>
        <v>-0.20383802052104677</v>
      </c>
      <c r="Y623" s="54">
        <f>(VLOOKUP($A623,'The List'!$B1:$AR665,37,FALSE)-AVERAGE('The List'!AL2:AL665))/STDEV('The List'!AL2:AL665)*-1</f>
        <v>-1.2074848360560715</v>
      </c>
      <c r="Z623" s="54">
        <f>(VLOOKUP($A623,'The List'!$B1:$AR665,38,FALSE)-AVERAGE('The List'!AM2:AM665))/STDEV('The List'!AM2:AM665)</f>
        <v>0.3384996613947549</v>
      </c>
      <c r="AA623" s="54">
        <f>(VLOOKUP($A623,'The List'!$B1:$AR665,39,FALSE)-AVERAGE('The List'!AN2:AN665))/STDEV('The List'!AN2:AN665)</f>
        <v>-3.3904199207172483E-2</v>
      </c>
      <c r="AB623" s="54">
        <f>(VLOOKUP($A623,'The List'!$B1:$AR665,40,FALSE)-AVERAGE('The List'!AO2:AO665))/STDEV('The List'!AO2:AO665)</f>
        <v>0.41389733471012452</v>
      </c>
      <c r="AC623" s="54">
        <f>(VLOOKUP($A623,'The List'!$B1:$AR665,42,FALSE)-AVERAGE('The List'!AQ2:AQ665))/STDEV('The List'!AQ2:AQ665)</f>
        <v>-9.0843920412792364E-2</v>
      </c>
      <c r="AD623" s="54">
        <f>(VLOOKUP($A623,'The List'!$B1:$AR665,43,FALSE)-AVERAGE('The List'!AR2:AR665))/STDEV('The List'!AR2:AR665)*-1</f>
        <v>-0.39310037727304892</v>
      </c>
      <c r="AE623" s="54"/>
    </row>
    <row r="624" spans="1:31" ht="21.25" customHeight="1" x14ac:dyDescent="0.15">
      <c r="A624" s="9" t="s">
        <v>512</v>
      </c>
      <c r="B624" s="65" t="str">
        <f>VLOOKUP(A624,'Player Data'!A1:B667,2,FALSE)</f>
        <v>DET</v>
      </c>
      <c r="C624" s="51">
        <f>(W624*Settings!$C$29)+(X624*Settings!$C$21)+(Y624*Settings!$C$22)+(AA624*Settings!$C$24)+(AB624*Settings!$C$25)+(Z624*Settings!$C$23)+(AC624*Settings!$C$26)+(AD624*Settings!$C$28)</f>
        <v>-1.7848079818399203</v>
      </c>
      <c r="D624" s="56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>
        <f>(VLOOKUP($A624,'The List'!$B1:$AR665,35,FALSE)-AVERAGE('The List'!AJ2:AJ665))/STDEV('The List'!AJ2:AJ665)</f>
        <v>-0.46928362147909214</v>
      </c>
      <c r="X624" s="54">
        <f>(VLOOKUP($A624,'The List'!$B1:$AR665,36,FALSE)-AVERAGE('The List'!AK2:AK665))/STDEV('The List'!AK2:AK665)</f>
        <v>-0.6347359547166006</v>
      </c>
      <c r="Y624" s="54">
        <f>(VLOOKUP($A624,'The List'!$B1:$AR665,37,FALSE)-AVERAGE('The List'!AL2:AL665))/STDEV('The List'!AL2:AL665)*-1</f>
        <v>-7.1841147544495346E-2</v>
      </c>
      <c r="Z624" s="54">
        <f>(VLOOKUP($A624,'The List'!$B1:$AR665,38,FALSE)-AVERAGE('The List'!AM2:AM665))/STDEV('The List'!AM2:AM665)</f>
        <v>-0.46928362147909214</v>
      </c>
      <c r="AA624" s="54">
        <f>(VLOOKUP($A624,'The List'!$B1:$AR665,39,FALSE)-AVERAGE('The List'!AN2:AN665))/STDEV('The List'!AN2:AN665)</f>
        <v>-0.59348698251457332</v>
      </c>
      <c r="AB624" s="54">
        <f>(VLOOKUP($A624,'The List'!$B1:$AR665,40,FALSE)-AVERAGE('The List'!AO2:AO665))/STDEV('The List'!AO2:AO665)</f>
        <v>-0.37742544266893818</v>
      </c>
      <c r="AC624" s="54">
        <f>(VLOOKUP($A624,'The List'!$B1:$AR665,42,FALSE)-AVERAGE('The List'!AQ2:AQ665))/STDEV('The List'!AQ2:AQ665)</f>
        <v>-4.5030226590307233E-2</v>
      </c>
      <c r="AD624" s="54">
        <f>(VLOOKUP($A624,'The List'!$B1:$AR665,43,FALSE)-AVERAGE('The List'!AR2:AR665))/STDEV('The List'!AR2:AR665)*-1</f>
        <v>-0.51155481801843916</v>
      </c>
      <c r="AE624" s="54"/>
    </row>
    <row r="625" spans="1:31" ht="21.25" customHeight="1" x14ac:dyDescent="0.15">
      <c r="A625" s="9" t="s">
        <v>189</v>
      </c>
      <c r="B625" s="65" t="str">
        <f>VLOOKUP(A625,'Player Data'!A1:B667,2,FALSE)</f>
        <v>EDM</v>
      </c>
      <c r="C625" s="51">
        <f>(W625*Settings!$C$29)+(X625*Settings!$C$21)+(Y625*Settings!$C$22)+(AA625*Settings!$C$24)+(AB625*Settings!$C$25)+(Z625*Settings!$C$23)+(AC625*Settings!$C$26)+(AD625*Settings!$C$28)</f>
        <v>4.3532143003917216</v>
      </c>
      <c r="D625" s="56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>
        <f>(VLOOKUP($A625,'The List'!$B1:$AR665,35,FALSE)-AVERAGE('The List'!AJ2:AJ665))/STDEV('The List'!AJ2:AJ665)</f>
        <v>1.3078396008433713</v>
      </c>
      <c r="X625" s="54">
        <f>(VLOOKUP($A625,'The List'!$B1:$AR665,36,FALSE)-AVERAGE('The List'!AK2:AK665))/STDEV('The List'!AK2:AK665)</f>
        <v>1.9386147025932239</v>
      </c>
      <c r="Y625" s="54">
        <f>(VLOOKUP($A625,'The List'!$B1:$AR665,37,FALSE)-AVERAGE('The List'!AL2:AL665))/STDEV('The List'!AL2:AL665)*-1</f>
        <v>0.52314365803358398</v>
      </c>
      <c r="Z625" s="54">
        <f>(VLOOKUP($A625,'The List'!$B1:$AR665,38,FALSE)-AVERAGE('The List'!AM2:AM665))/STDEV('The List'!AM2:AM665)</f>
        <v>1.3078396008433713</v>
      </c>
      <c r="AA625" s="54">
        <f>(VLOOKUP($A625,'The List'!$B1:$AR665,39,FALSE)-AVERAGE('The List'!AN2:AN665))/STDEV('The List'!AN2:AN665)</f>
        <v>0.9711510573101807</v>
      </c>
      <c r="AB625" s="54">
        <f>(VLOOKUP($A625,'The List'!$B1:$AR665,40,FALSE)-AVERAGE('The List'!AO2:AO665))/STDEV('The List'!AO2:AO665)</f>
        <v>1.2859992804717764</v>
      </c>
      <c r="AC625" s="54">
        <f>(VLOOKUP($A625,'The List'!$B1:$AR665,42,FALSE)-AVERAGE('The List'!AQ2:AQ665))/STDEV('The List'!AQ2:AQ665)</f>
        <v>0.7834763663842278</v>
      </c>
      <c r="AD625" s="54">
        <f>(VLOOKUP($A625,'The List'!$B1:$AR665,43,FALSE)-AVERAGE('The List'!AR2:AR665))/STDEV('The List'!AR2:AR665)*-1</f>
        <v>0.65997217410408959</v>
      </c>
      <c r="AE625" s="54"/>
    </row>
    <row r="626" spans="1:31" ht="21.25" customHeight="1" x14ac:dyDescent="0.15">
      <c r="A626" s="9" t="s">
        <v>705</v>
      </c>
      <c r="B626" s="65" t="str">
        <f>VLOOKUP(A626,'Player Data'!A1:B667,2,FALSE)</f>
        <v>EDM</v>
      </c>
      <c r="C626" s="51">
        <f>(W626*Settings!$C$29)+(X626*Settings!$C$21)+(Y626*Settings!$C$22)+(AA626*Settings!$C$24)+(AB626*Settings!$C$25)+(Z626*Settings!$C$23)+(AC626*Settings!$C$26)+(AD626*Settings!$C$28)</f>
        <v>-2.5128727341341333</v>
      </c>
      <c r="D626" s="56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>
        <f>(VLOOKUP($A626,'The List'!$B1:$AR665,35,FALSE)-AVERAGE('The List'!AJ2:AJ665))/STDEV('The List'!AJ2:AJ665)</f>
        <v>-1.2770669043529392</v>
      </c>
      <c r="X626" s="54">
        <f>(VLOOKUP($A626,'The List'!$B1:$AR665,36,FALSE)-AVERAGE('The List'!AK2:AK665))/STDEV('The List'!AK2:AK665)</f>
        <v>-0.71839990376227969</v>
      </c>
      <c r="Y626" s="54">
        <f>(VLOOKUP($A626,'The List'!$B1:$AR665,37,FALSE)-AVERAGE('The List'!AL2:AL665))/STDEV('The List'!AL2:AL665)*-1</f>
        <v>1.7246554491749684</v>
      </c>
      <c r="Z626" s="54">
        <f>(VLOOKUP($A626,'The List'!$B1:$AR665,38,FALSE)-AVERAGE('The List'!AM2:AM665))/STDEV('The List'!AM2:AM665)</f>
        <v>-1.2770669043529392</v>
      </c>
      <c r="AA626" s="54">
        <f>(VLOOKUP($A626,'The List'!$B1:$AR665,39,FALSE)-AVERAGE('The List'!AN2:AN665))/STDEV('The List'!AN2:AN665)</f>
        <v>-0.9731168470899868</v>
      </c>
      <c r="AB626" s="54">
        <f>(VLOOKUP($A626,'The List'!$B1:$AR665,40,FALSE)-AVERAGE('The List'!AO2:AO665))/STDEV('The List'!AO2:AO665)</f>
        <v>-1.288931113327092</v>
      </c>
      <c r="AC626" s="54">
        <f>(VLOOKUP($A626,'The List'!$B1:$AR665,42,FALSE)-AVERAGE('The List'!AQ2:AQ665))/STDEV('The List'!AQ2:AQ665)</f>
        <v>-0.53832645485980546</v>
      </c>
      <c r="AD626" s="54">
        <f>(VLOOKUP($A626,'The List'!$B1:$AR665,43,FALSE)-AVERAGE('The List'!AR2:AR665))/STDEV('The List'!AR2:AR665)*-1</f>
        <v>-0.28302952842206136</v>
      </c>
      <c r="AE626" s="54"/>
    </row>
    <row r="627" spans="1:31" ht="21.25" customHeight="1" x14ac:dyDescent="0.15">
      <c r="A627" s="9" t="s">
        <v>214</v>
      </c>
      <c r="B627" s="65" t="str">
        <f>VLOOKUP(A627,'Player Data'!A1:B667,2,FALSE)</f>
        <v>FLA</v>
      </c>
      <c r="C627" s="51">
        <f>(W627*Settings!$C$29)+(X627*Settings!$C$21)+(Y627*Settings!$C$22)+(AA627*Settings!$C$24)+(AB627*Settings!$C$25)+(Z627*Settings!$C$23)+(AC627*Settings!$C$26)+(AD627*Settings!$C$28)</f>
        <v>5.1933694552883889</v>
      </c>
      <c r="D627" s="56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>
        <f>(VLOOKUP($A627,'The List'!$B1:$AR665,35,FALSE)-AVERAGE('The List'!AJ2:AJ665))/STDEV('The List'!AJ2:AJ665)</f>
        <v>1.3078396008433713</v>
      </c>
      <c r="X627" s="54">
        <f>(VLOOKUP($A627,'The List'!$B1:$AR665,36,FALSE)-AVERAGE('The List'!AK2:AK665))/STDEV('The List'!AK2:AK665)</f>
        <v>1.6497454374890705</v>
      </c>
      <c r="Y627" s="54">
        <f>(VLOOKUP($A627,'The List'!$B1:$AR665,37,FALSE)-AVERAGE('The List'!AL2:AL665))/STDEV('The List'!AL2:AL665)*-1</f>
        <v>-2.6629987692820926E-2</v>
      </c>
      <c r="Z627" s="54">
        <f>(VLOOKUP($A627,'The List'!$B1:$AR665,38,FALSE)-AVERAGE('The List'!AM2:AM665))/STDEV('The List'!AM2:AM665)</f>
        <v>1.3078396008433713</v>
      </c>
      <c r="AA627" s="54">
        <f>(VLOOKUP($A627,'The List'!$B1:$AR665,39,FALSE)-AVERAGE('The List'!AN2:AN665))/STDEV('The List'!AN2:AN665)</f>
        <v>1.5651018133728833</v>
      </c>
      <c r="AB627" s="54">
        <f>(VLOOKUP($A627,'The List'!$B1:$AR665,40,FALSE)-AVERAGE('The List'!AO2:AO665))/STDEV('The List'!AO2:AO665)</f>
        <v>1.0633347575770495</v>
      </c>
      <c r="AC627" s="54">
        <f>(VLOOKUP($A627,'The List'!$B1:$AR665,42,FALSE)-AVERAGE('The List'!AQ2:AQ665))/STDEV('The List'!AQ2:AQ665)</f>
        <v>0.69800155107359618</v>
      </c>
      <c r="AD627" s="54">
        <f>(VLOOKUP($A627,'The List'!$B1:$AR665,43,FALSE)-AVERAGE('The List'!AR2:AR665))/STDEV('The List'!AR2:AR665)*-1</f>
        <v>1.2805206533528382</v>
      </c>
      <c r="AE627" s="54"/>
    </row>
    <row r="628" spans="1:31" ht="21.25" customHeight="1" x14ac:dyDescent="0.15">
      <c r="A628" s="9" t="s">
        <v>755</v>
      </c>
      <c r="B628" s="65" t="str">
        <f>VLOOKUP(A628,'Player Data'!A1:B667,2,FALSE)</f>
        <v>FLA</v>
      </c>
      <c r="C628" s="51">
        <f>(W628*Settings!$C$29)+(X628*Settings!$C$21)+(Y628*Settings!$C$22)+(AA628*Settings!$C$24)+(AB628*Settings!$C$25)+(Z628*Settings!$C$23)+(AC628*Settings!$C$26)+(AD628*Settings!$C$28)</f>
        <v>-2.5440520538568157</v>
      </c>
      <c r="D628" s="56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>
        <f>(VLOOKUP($A628,'The List'!$B1:$AR665,35,FALSE)-AVERAGE('The List'!AJ2:AJ665))/STDEV('The List'!AJ2:AJ665)</f>
        <v>-1.4386235609277085</v>
      </c>
      <c r="X628" s="54">
        <f>(VLOOKUP($A628,'The List'!$B1:$AR665,36,FALSE)-AVERAGE('The List'!AK2:AK665))/STDEV('The List'!AK2:AK665)</f>
        <v>-0.93426649431470477</v>
      </c>
      <c r="Y628" s="54">
        <f>(VLOOKUP($A628,'The List'!$B1:$AR665,37,FALSE)-AVERAGE('The List'!AL2:AL665))/STDEV('The List'!AL2:AL665)*-1</f>
        <v>1.7049649317755142</v>
      </c>
      <c r="Z628" s="54">
        <f>(VLOOKUP($A628,'The List'!$B1:$AR665,38,FALSE)-AVERAGE('The List'!AM2:AM665))/STDEV('The List'!AM2:AM665)</f>
        <v>-1.4386235609277085</v>
      </c>
      <c r="AA628" s="54">
        <f>(VLOOKUP($A628,'The List'!$B1:$AR665,39,FALSE)-AVERAGE('The List'!AN2:AN665))/STDEV('The List'!AN2:AN665)</f>
        <v>-0.85977469213790636</v>
      </c>
      <c r="AB628" s="54">
        <f>(VLOOKUP($A628,'The List'!$B1:$AR665,40,FALSE)-AVERAGE('The List'!AO2:AO665))/STDEV('The List'!AO2:AO665)</f>
        <v>-1.5374640653079319</v>
      </c>
      <c r="AC628" s="54">
        <f>(VLOOKUP($A628,'The List'!$B1:$AR665,42,FALSE)-AVERAGE('The List'!AQ2:AQ665))/STDEV('The List'!AQ2:AQ665)</f>
        <v>-0.92778254125144943</v>
      </c>
      <c r="AD628" s="54">
        <f>(VLOOKUP($A628,'The List'!$B1:$AR665,43,FALSE)-AVERAGE('The List'!AR2:AR665))/STDEV('The List'!AR2:AR665)*-1</f>
        <v>0.17777167384724524</v>
      </c>
      <c r="AE628" s="54"/>
    </row>
    <row r="629" spans="1:31" ht="21.25" customHeight="1" x14ac:dyDescent="0.15">
      <c r="A629" s="9" t="s">
        <v>290</v>
      </c>
      <c r="B629" s="65" t="str">
        <f>VLOOKUP(A629,'Player Data'!A1:B667,2,FALSE)</f>
        <v>L.A</v>
      </c>
      <c r="C629" s="51">
        <f>(W629*Settings!$C$29)+(X629*Settings!$C$21)+(Y629*Settings!$C$22)+(AA629*Settings!$C$24)+(AB629*Settings!$C$25)+(Z629*Settings!$C$23)+(AC629*Settings!$C$26)+(AD629*Settings!$C$28)</f>
        <v>2.6190855205797461</v>
      </c>
      <c r="D629" s="56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>
        <f>(VLOOKUP($A629,'The List'!$B1:$AR665,35,FALSE)-AVERAGE('The List'!AJ2:AJ665))/STDEV('The List'!AJ2:AJ665)</f>
        <v>0.82316963111906305</v>
      </c>
      <c r="X629" s="54">
        <f>(VLOOKUP($A629,'The List'!$B1:$AR665,36,FALSE)-AVERAGE('The List'!AK2:AK665))/STDEV('The List'!AK2:AK665)</f>
        <v>0.81462805457500564</v>
      </c>
      <c r="Y629" s="54">
        <f>(VLOOKUP($A629,'The List'!$B1:$AR665,37,FALSE)-AVERAGE('The List'!AL2:AL665))/STDEV('The List'!AL2:AL665)*-1</f>
        <v>-0.44258353888606228</v>
      </c>
      <c r="Z629" s="54">
        <f>(VLOOKUP($A629,'The List'!$B1:$AR665,38,FALSE)-AVERAGE('The List'!AM2:AM665))/STDEV('The List'!AM2:AM665)</f>
        <v>0.82316963111906305</v>
      </c>
      <c r="AA629" s="54">
        <f>(VLOOKUP($A629,'The List'!$B1:$AR665,39,FALSE)-AVERAGE('The List'!AN2:AN665))/STDEV('The List'!AN2:AN665)</f>
        <v>0.89278947325460634</v>
      </c>
      <c r="AB629" s="54">
        <f>(VLOOKUP($A629,'The List'!$B1:$AR665,40,FALSE)-AVERAGE('The List'!AO2:AO665))/STDEV('The List'!AO2:AO665)</f>
        <v>0.60550250262951277</v>
      </c>
      <c r="AC629" s="54">
        <f>(VLOOKUP($A629,'The List'!$B1:$AR665,42,FALSE)-AVERAGE('The List'!AQ2:AQ665))/STDEV('The List'!AQ2:AQ665)</f>
        <v>8.521055557860524E-2</v>
      </c>
      <c r="AD629" s="54">
        <f>(VLOOKUP($A629,'The List'!$B1:$AR665,43,FALSE)-AVERAGE('The List'!AR2:AR665))/STDEV('The List'!AR2:AR665)*-1</f>
        <v>0.82645743717152875</v>
      </c>
      <c r="AE629" s="54"/>
    </row>
    <row r="630" spans="1:31" ht="21.25" customHeight="1" x14ac:dyDescent="0.15">
      <c r="A630" s="9" t="s">
        <v>695</v>
      </c>
      <c r="B630" s="65" t="str">
        <f>VLOOKUP(A630,'Player Data'!A1:B667,2,FALSE)</f>
        <v>L.A</v>
      </c>
      <c r="C630" s="51">
        <f>(W630*Settings!$C$29)+(X630*Settings!$C$21)+(Y630*Settings!$C$22)+(AA630*Settings!$C$24)+(AB630*Settings!$C$25)+(Z630*Settings!$C$23)+(AC630*Settings!$C$26)+(AD630*Settings!$C$28)</f>
        <v>-0.30424516161166593</v>
      </c>
      <c r="D630" s="56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>
        <f>(VLOOKUP($A630,'The List'!$B1:$AR665,35,FALSE)-AVERAGE('The List'!AJ2:AJ665))/STDEV('The List'!AJ2:AJ665)</f>
        <v>-1.1962885760655544</v>
      </c>
      <c r="X630" s="54">
        <f>(VLOOKUP($A630,'The List'!$B1:$AR665,36,FALSE)-AVERAGE('The List'!AK2:AK665))/STDEV('The List'!AK2:AK665)</f>
        <v>-0.81049778398364292</v>
      </c>
      <c r="Y630" s="54">
        <f>(VLOOKUP($A630,'The List'!$B1:$AR665,37,FALSE)-AVERAGE('The List'!AL2:AL665))/STDEV('The List'!AL2:AL665)*-1</f>
        <v>1.3538029947670387</v>
      </c>
      <c r="Z630" s="54">
        <f>(VLOOKUP($A630,'The List'!$B1:$AR665,38,FALSE)-AVERAGE('The List'!AM2:AM665))/STDEV('The List'!AM2:AM665)</f>
        <v>-1.1962885760655544</v>
      </c>
      <c r="AA630" s="54">
        <f>(VLOOKUP($A630,'The List'!$B1:$AR665,39,FALSE)-AVERAGE('The List'!AN2:AN665))/STDEV('The List'!AN2:AN665)</f>
        <v>-0.49447908099954069</v>
      </c>
      <c r="AB630" s="54">
        <f>(VLOOKUP($A630,'The List'!$B1:$AR665,40,FALSE)-AVERAGE('The List'!AO2:AO665))/STDEV('The List'!AO2:AO665)</f>
        <v>-1.2952685982970502</v>
      </c>
      <c r="AC630" s="54">
        <f>(VLOOKUP($A630,'The List'!$B1:$AR665,42,FALSE)-AVERAGE('The List'!AQ2:AQ665))/STDEV('The List'!AQ2:AQ665)</f>
        <v>0.1382181332099065</v>
      </c>
      <c r="AD630" s="54">
        <f>(VLOOKUP($A630,'The List'!$B1:$AR665,43,FALSE)-AVERAGE('The List'!AR2:AR665))/STDEV('The List'!AR2:AR665)*-1</f>
        <v>0.86251357016161134</v>
      </c>
      <c r="AE630" s="54"/>
    </row>
    <row r="631" spans="1:31" ht="21.25" customHeight="1" x14ac:dyDescent="0.15">
      <c r="A631" s="9" t="s">
        <v>292</v>
      </c>
      <c r="B631" s="65" t="str">
        <f>VLOOKUP(A631,'Player Data'!A1:B667,2,FALSE)</f>
        <v>MIN</v>
      </c>
      <c r="C631" s="51">
        <f>(W631*Settings!$C$29)+(X631*Settings!$C$21)+(Y631*Settings!$C$22)+(AA631*Settings!$C$24)+(AB631*Settings!$C$25)+(Z631*Settings!$C$23)+(AC631*Settings!$C$26)+(AD631*Settings!$C$28)</f>
        <v>4.26114802858483</v>
      </c>
      <c r="D631" s="56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>
        <f>(VLOOKUP($A631,'The List'!$B1:$AR665,35,FALSE)-AVERAGE('The List'!AJ2:AJ665))/STDEV('The List'!AJ2:AJ665)</f>
        <v>0.82316963111906305</v>
      </c>
      <c r="X631" s="54">
        <f>(VLOOKUP($A631,'The List'!$B1:$AR665,36,FALSE)-AVERAGE('The List'!AK2:AK665))/STDEV('The List'!AK2:AK665)</f>
        <v>0.57630429217151713</v>
      </c>
      <c r="Y631" s="54">
        <f>(VLOOKUP($A631,'The List'!$B1:$AR665,37,FALSE)-AVERAGE('The List'!AL2:AL665))/STDEV('The List'!AL2:AL665)*-1</f>
        <v>-0.89615939325242411</v>
      </c>
      <c r="Z631" s="54">
        <f>(VLOOKUP($A631,'The List'!$B1:$AR665,38,FALSE)-AVERAGE('The List'!AM2:AM665))/STDEV('The List'!AM2:AM665)</f>
        <v>0.82316963111906305</v>
      </c>
      <c r="AA631" s="54">
        <f>(VLOOKUP($A631,'The List'!$B1:$AR665,39,FALSE)-AVERAGE('The List'!AN2:AN665))/STDEV('The List'!AN2:AN665)</f>
        <v>1.5061579440539037</v>
      </c>
      <c r="AB631" s="54">
        <f>(VLOOKUP($A631,'The List'!$B1:$AR665,40,FALSE)-AVERAGE('The List'!AO2:AO665))/STDEV('The List'!AO2:AO665)</f>
        <v>0.50048610870457555</v>
      </c>
      <c r="AC631" s="54">
        <f>(VLOOKUP($A631,'The List'!$B1:$AR665,42,FALSE)-AVERAGE('The List'!AQ2:AQ665))/STDEV('The List'!AQ2:AQ665)</f>
        <v>0.6007952615877763</v>
      </c>
      <c r="AD631" s="54">
        <f>(VLOOKUP($A631,'The List'!$B1:$AR665,43,FALSE)-AVERAGE('The List'!AR2:AR665))/STDEV('The List'!AR2:AR665)*-1</f>
        <v>1.5778905307716327</v>
      </c>
      <c r="AE631" s="54"/>
    </row>
    <row r="632" spans="1:31" ht="21.25" customHeight="1" x14ac:dyDescent="0.15">
      <c r="A632" s="9" t="s">
        <v>649</v>
      </c>
      <c r="B632" s="65" t="str">
        <f>VLOOKUP(A632,'Player Data'!A1:B667,2,FALSE)</f>
        <v>MIN</v>
      </c>
      <c r="C632" s="51">
        <f>(W632*Settings!$C$29)+(X632*Settings!$C$21)+(Y632*Settings!$C$22)+(AA632*Settings!$C$24)+(AB632*Settings!$C$25)+(Z632*Settings!$C$23)+(AC632*Settings!$C$26)+(AD632*Settings!$C$28)</f>
        <v>-0.6257962141525315</v>
      </c>
      <c r="D632" s="56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>
        <f>(VLOOKUP($A632,'The List'!$B1:$AR665,35,FALSE)-AVERAGE('The List'!AJ2:AJ665))/STDEV('The List'!AJ2:AJ665)</f>
        <v>-0.79239693462863092</v>
      </c>
      <c r="X632" s="54">
        <f>(VLOOKUP($A632,'The List'!$B1:$AR665,36,FALSE)-AVERAGE('The List'!AK2:AK665))/STDEV('The List'!AK2:AK665)</f>
        <v>-0.73926010832696709</v>
      </c>
      <c r="Y632" s="54">
        <f>(VLOOKUP($A632,'The List'!$B1:$AR665,37,FALSE)-AVERAGE('The List'!AL2:AL665))/STDEV('The List'!AL2:AL665)*-1</f>
        <v>0.51151938864156499</v>
      </c>
      <c r="Z632" s="54">
        <f>(VLOOKUP($A632,'The List'!$B1:$AR665,38,FALSE)-AVERAGE('The List'!AM2:AM665))/STDEV('The List'!AM2:AM665)</f>
        <v>-0.79239693462863092</v>
      </c>
      <c r="AA632" s="54">
        <f>(VLOOKUP($A632,'The List'!$B1:$AR665,39,FALSE)-AVERAGE('The List'!AN2:AN665))/STDEV('The List'!AN2:AN665)</f>
        <v>-0.23869815634238489</v>
      </c>
      <c r="AB632" s="54">
        <f>(VLOOKUP($A632,'The List'!$B1:$AR665,40,FALSE)-AVERAGE('The List'!AO2:AO665))/STDEV('The List'!AO2:AO665)</f>
        <v>-0.96737583747886302</v>
      </c>
      <c r="AC632" s="54">
        <f>(VLOOKUP($A632,'The List'!$B1:$AR665,42,FALSE)-AVERAGE('The List'!AQ2:AQ665))/STDEV('The List'!AQ2:AQ665)</f>
        <v>-0.41528080574792092</v>
      </c>
      <c r="AD632" s="54">
        <f>(VLOOKUP($A632,'The List'!$B1:$AR665,43,FALSE)-AVERAGE('The List'!AR2:AR665))/STDEV('The List'!AR2:AR665)*-1</f>
        <v>0.76744285626474129</v>
      </c>
      <c r="AE632" s="54"/>
    </row>
    <row r="633" spans="1:31" ht="21.25" customHeight="1" x14ac:dyDescent="0.15">
      <c r="A633" s="9" t="s">
        <v>302</v>
      </c>
      <c r="B633" s="65" t="str">
        <f>VLOOKUP(A633,'Player Data'!A1:B667,2,FALSE)</f>
        <v>MTL</v>
      </c>
      <c r="C633" s="51">
        <f>(W633*Settings!$C$29)+(X633*Settings!$C$21)+(Y633*Settings!$C$22)+(AA633*Settings!$C$24)+(AB633*Settings!$C$25)+(Z633*Settings!$C$23)+(AC633*Settings!$C$26)+(AD633*Settings!$C$28)</f>
        <v>-1.7892207677614191</v>
      </c>
      <c r="D633" s="56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>
        <f>(VLOOKUP($A633,'The List'!$B1:$AR665,35,FALSE)-AVERAGE('The List'!AJ2:AJ665))/STDEV('The List'!AJ2:AJ665)</f>
        <v>0.82316963111906305</v>
      </c>
      <c r="X633" s="54">
        <f>(VLOOKUP($A633,'The List'!$B1:$AR665,36,FALSE)-AVERAGE('The List'!AK2:AK665))/STDEV('The List'!AK2:AK665)</f>
        <v>0.19477252015520211</v>
      </c>
      <c r="Y633" s="54">
        <f>(VLOOKUP($A633,'The List'!$B1:$AR665,37,FALSE)-AVERAGE('The List'!AL2:AL665))/STDEV('The List'!AL2:AL665)*-1</f>
        <v>-1.6222875716387137</v>
      </c>
      <c r="Z633" s="54">
        <f>(VLOOKUP($A633,'The List'!$B1:$AR665,38,FALSE)-AVERAGE('The List'!AM2:AM665))/STDEV('The List'!AM2:AM665)</f>
        <v>0.82316963111906305</v>
      </c>
      <c r="AA633" s="54">
        <f>(VLOOKUP($A633,'The List'!$B1:$AR665,39,FALSE)-AVERAGE('The List'!AN2:AN665))/STDEV('The List'!AN2:AN665)</f>
        <v>-0.2131729664650768</v>
      </c>
      <c r="AB633" s="54">
        <f>(VLOOKUP($A633,'The List'!$B1:$AR665,40,FALSE)-AVERAGE('The List'!AO2:AO665))/STDEV('The List'!AO2:AO665)</f>
        <v>0.99267578475896334</v>
      </c>
      <c r="AC633" s="54">
        <f>(VLOOKUP($A633,'The List'!$B1:$AR665,42,FALSE)-AVERAGE('The List'!AQ2:AQ665))/STDEV('The List'!AQ2:AQ665)</f>
        <v>-0.62308100202687511</v>
      </c>
      <c r="AD633" s="54">
        <f>(VLOOKUP($A633,'The List'!$B1:$AR665,43,FALSE)-AVERAGE('The List'!AR2:AR665))/STDEV('The List'!AR2:AR665)*-1</f>
        <v>-1.1477393194246692</v>
      </c>
      <c r="AE633" s="54"/>
    </row>
    <row r="634" spans="1:31" ht="21.25" customHeight="1" x14ac:dyDescent="0.15">
      <c r="A634" s="9" t="s">
        <v>658</v>
      </c>
      <c r="B634" s="65" t="str">
        <f>VLOOKUP(A634,'Player Data'!A1:B667,2,FALSE)</f>
        <v>MTL</v>
      </c>
      <c r="C634" s="51">
        <f>(W634*Settings!$C$29)+(X634*Settings!$C$21)+(Y634*Settings!$C$22)+(AA634*Settings!$C$24)+(AB634*Settings!$C$25)+(Z634*Settings!$C$23)+(AC634*Settings!$C$26)+(AD634*Settings!$C$28)</f>
        <v>-4.187814073187873</v>
      </c>
      <c r="D634" s="56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>
        <f>(VLOOKUP($A634,'The List'!$B1:$AR665,35,FALSE)-AVERAGE('The List'!AJ2:AJ665))/STDEV('The List'!AJ2:AJ665)</f>
        <v>-0.95395359120340029</v>
      </c>
      <c r="X634" s="54">
        <f>(VLOOKUP($A634,'The List'!$B1:$AR665,36,FALSE)-AVERAGE('The List'!AK2:AK665))/STDEV('The List'!AK2:AK665)</f>
        <v>-1.0155403658372755</v>
      </c>
      <c r="Y634" s="54">
        <f>(VLOOKUP($A634,'The List'!$B1:$AR665,37,FALSE)-AVERAGE('The List'!AL2:AL665))/STDEV('The List'!AL2:AL665)*-1</f>
        <v>0.37685006959230255</v>
      </c>
      <c r="Z634" s="54">
        <f>(VLOOKUP($A634,'The List'!$B1:$AR665,38,FALSE)-AVERAGE('The List'!AM2:AM665))/STDEV('The List'!AM2:AM665)</f>
        <v>-0.95395359120340029</v>
      </c>
      <c r="AA634" s="54">
        <f>(VLOOKUP($A634,'The List'!$B1:$AR665,39,FALSE)-AVERAGE('The List'!AN2:AN665))/STDEV('The List'!AN2:AN665)</f>
        <v>-1.1072371479855803</v>
      </c>
      <c r="AB634" s="54">
        <f>(VLOOKUP($A634,'The List'!$B1:$AR665,40,FALSE)-AVERAGE('The List'!AO2:AO665))/STDEV('The List'!AO2:AO665)</f>
        <v>-0.82779828461037108</v>
      </c>
      <c r="AC634" s="54">
        <f>(VLOOKUP($A634,'The List'!$B1:$AR665,42,FALSE)-AVERAGE('The List'!AQ2:AQ665))/STDEV('The List'!AQ2:AQ665)</f>
        <v>-0.69977591908566772</v>
      </c>
      <c r="AD634" s="54">
        <f>(VLOOKUP($A634,'The List'!$B1:$AR665,43,FALSE)-AVERAGE('The List'!AR2:AR665))/STDEV('The List'!AR2:AR665)*-1</f>
        <v>-1.3652606402793499</v>
      </c>
      <c r="AE634" s="54"/>
    </row>
    <row r="635" spans="1:31" ht="21.25" customHeight="1" x14ac:dyDescent="0.15">
      <c r="A635" s="9" t="s">
        <v>194</v>
      </c>
      <c r="B635" s="65" t="str">
        <f>VLOOKUP(A635,'Player Data'!A1:B667,2,FALSE)</f>
        <v>N.J</v>
      </c>
      <c r="C635" s="51">
        <f>(W635*Settings!$C$29)+(X635*Settings!$C$21)+(Y635*Settings!$C$22)+(AA635*Settings!$C$24)+(AB635*Settings!$C$25)+(Z635*Settings!$C$23)+(AC635*Settings!$C$26)+(AD635*Settings!$C$28)</f>
        <v>4.4583426012971552</v>
      </c>
      <c r="D635" s="56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>
        <f>(VLOOKUP($A635,'The List'!$B1:$AR665,35,FALSE)-AVERAGE('The List'!AJ2:AJ665))/STDEV('The List'!AJ2:AJ665)</f>
        <v>1.1462829442686018</v>
      </c>
      <c r="X635" s="54">
        <f>(VLOOKUP($A635,'The List'!$B1:$AR665,36,FALSE)-AVERAGE('The List'!AK2:AK665))/STDEV('The List'!AK2:AK665)</f>
        <v>1.4597396886162153</v>
      </c>
      <c r="Y635" s="54">
        <f>(VLOOKUP($A635,'The List'!$B1:$AR665,37,FALSE)-AVERAGE('The List'!AL2:AL665))/STDEV('The List'!AL2:AL665)*-1</f>
        <v>2.8976393392700682E-3</v>
      </c>
      <c r="Z635" s="54">
        <f>(VLOOKUP($A635,'The List'!$B1:$AR665,38,FALSE)-AVERAGE('The List'!AM2:AM665))/STDEV('The List'!AM2:AM665)</f>
        <v>1.1462829442686018</v>
      </c>
      <c r="AA635" s="54">
        <f>(VLOOKUP($A635,'The List'!$B1:$AR665,39,FALSE)-AVERAGE('The List'!AN2:AN665))/STDEV('The List'!AN2:AN665)</f>
        <v>0.99948182630709848</v>
      </c>
      <c r="AB635" s="54">
        <f>(VLOOKUP($A635,'The List'!$B1:$AR665,40,FALSE)-AVERAGE('The List'!AO2:AO665))/STDEV('The List'!AO2:AO665)</f>
        <v>1.1975639836738459</v>
      </c>
      <c r="AC635" s="54">
        <f>(VLOOKUP($A635,'The List'!$B1:$AR665,42,FALSE)-AVERAGE('The List'!AQ2:AQ665))/STDEV('The List'!AQ2:AQ665)</f>
        <v>1.220050913256983</v>
      </c>
      <c r="AD635" s="54">
        <f>(VLOOKUP($A635,'The List'!$B1:$AR665,43,FALSE)-AVERAGE('The List'!AR2:AR665))/STDEV('The List'!AR2:AR665)*-1</f>
        <v>0.77907017311685844</v>
      </c>
      <c r="AE635" s="54"/>
    </row>
    <row r="636" spans="1:31" ht="21.25" customHeight="1" x14ac:dyDescent="0.15">
      <c r="A636" s="9" t="s">
        <v>716</v>
      </c>
      <c r="B636" s="65" t="str">
        <f>VLOOKUP(A636,'Player Data'!A1:B667,2,FALSE)</f>
        <v>N.J</v>
      </c>
      <c r="C636" s="51">
        <f>(W636*Settings!$C$29)+(X636*Settings!$C$21)+(Y636*Settings!$C$22)+(AA636*Settings!$C$24)+(AB636*Settings!$C$25)+(Z636*Settings!$C$23)+(AC636*Settings!$C$26)+(AD636*Settings!$C$28)</f>
        <v>-2.6310696941027336</v>
      </c>
      <c r="D636" s="56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>
        <f>(VLOOKUP($A636,'The List'!$B1:$AR665,35,FALSE)-AVERAGE('The List'!AJ2:AJ665))/STDEV('The List'!AJ2:AJ665)</f>
        <v>-1.2770669043529392</v>
      </c>
      <c r="X636" s="54">
        <f>(VLOOKUP($A636,'The List'!$B1:$AR665,36,FALSE)-AVERAGE('The List'!AK2:AK665))/STDEV('The List'!AK2:AK665)</f>
        <v>-0.93765679038259164</v>
      </c>
      <c r="Y636" s="54">
        <f>(VLOOKUP($A636,'The List'!$B1:$AR665,37,FALSE)-AVERAGE('The List'!AL2:AL665))/STDEV('The List'!AL2:AL665)*-1</f>
        <v>1.3073675183720566</v>
      </c>
      <c r="Z636" s="54">
        <f>(VLOOKUP($A636,'The List'!$B1:$AR665,38,FALSE)-AVERAGE('The List'!AM2:AM665))/STDEV('The List'!AM2:AM665)</f>
        <v>-1.2770669043529392</v>
      </c>
      <c r="AA636" s="54">
        <f>(VLOOKUP($A636,'The List'!$B1:$AR665,39,FALSE)-AVERAGE('The List'!AN2:AN665))/STDEV('The List'!AN2:AN665)</f>
        <v>-0.9000140591600666</v>
      </c>
      <c r="AB636" s="54">
        <f>(VLOOKUP($A636,'The List'!$B1:$AR665,40,FALSE)-AVERAGE('The List'!AO2:AO665))/STDEV('The List'!AO2:AO665)</f>
        <v>-1.2807560238047886</v>
      </c>
      <c r="AC636" s="54">
        <f>(VLOOKUP($A636,'The List'!$B1:$AR665,42,FALSE)-AVERAGE('The List'!AQ2:AQ665))/STDEV('The List'!AQ2:AQ665)</f>
        <v>-0.48757104447952937</v>
      </c>
      <c r="AD636" s="54">
        <f>(VLOOKUP($A636,'The List'!$B1:$AR665,43,FALSE)-AVERAGE('The List'!AR2:AR665))/STDEV('The List'!AR2:AR665)*-1</f>
        <v>-0.30582780008054594</v>
      </c>
      <c r="AE636" s="54"/>
    </row>
    <row r="637" spans="1:31" ht="21.25" customHeight="1" x14ac:dyDescent="0.15">
      <c r="A637" s="9" t="s">
        <v>149</v>
      </c>
      <c r="B637" s="65" t="str">
        <f>VLOOKUP(A637,'Player Data'!A1:B667,2,FALSE)</f>
        <v>NSH</v>
      </c>
      <c r="C637" s="51">
        <f>(W637*Settings!$C$29)+(X637*Settings!$C$21)+(Y637*Settings!$C$22)+(AA637*Settings!$C$24)+(AB637*Settings!$C$25)+(Z637*Settings!$C$23)+(AC637*Settings!$C$26)+(AD637*Settings!$C$28)</f>
        <v>6.4540708227377266</v>
      </c>
      <c r="D637" s="56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>
        <f>(VLOOKUP($A637,'The List'!$B1:$AR665,35,FALSE)-AVERAGE('The List'!AJ2:AJ665))/STDEV('The List'!AJ2:AJ665)</f>
        <v>1.6309529139929102</v>
      </c>
      <c r="X637" s="54">
        <f>(VLOOKUP($A637,'The List'!$B1:$AR665,36,FALSE)-AVERAGE('The List'!AK2:AK665))/STDEV('The List'!AK2:AK665)</f>
        <v>1.8742996362128175</v>
      </c>
      <c r="Y637" s="54">
        <f>(VLOOKUP($A637,'The List'!$B1:$AR665,37,FALSE)-AVERAGE('The List'!AL2:AL665))/STDEV('The List'!AL2:AL665)*-1</f>
        <v>-0.38155031417053725</v>
      </c>
      <c r="Z637" s="54">
        <f>(VLOOKUP($A637,'The List'!$B1:$AR665,38,FALSE)-AVERAGE('The List'!AM2:AM665))/STDEV('The List'!AM2:AM665)</f>
        <v>1.6309529139929102</v>
      </c>
      <c r="AA637" s="54">
        <f>(VLOOKUP($A637,'The List'!$B1:$AR665,39,FALSE)-AVERAGE('The List'!AN2:AN665))/STDEV('The List'!AN2:AN665)</f>
        <v>1.5848819606418301</v>
      </c>
      <c r="AB637" s="54">
        <f>(VLOOKUP($A637,'The List'!$B1:$AR665,40,FALSE)-AVERAGE('The List'!AO2:AO665))/STDEV('The List'!AO2:AO665)</f>
        <v>1.7321738326338094</v>
      </c>
      <c r="AC637" s="54">
        <f>(VLOOKUP($A637,'The List'!$B1:$AR665,42,FALSE)-AVERAGE('The List'!AQ2:AQ665))/STDEV('The List'!AQ2:AQ665)</f>
        <v>1.8455056451149037</v>
      </c>
      <c r="AD637" s="54">
        <f>(VLOOKUP($A637,'The List'!$B1:$AR665,43,FALSE)-AVERAGE('The List'!AR2:AR665))/STDEV('The List'!AR2:AR665)*-1</f>
        <v>1.1493835807681752</v>
      </c>
      <c r="AE637" s="54"/>
    </row>
    <row r="638" spans="1:31" ht="21.25" customHeight="1" x14ac:dyDescent="0.15">
      <c r="A638" s="9" t="s">
        <v>773</v>
      </c>
      <c r="B638" s="65" t="str">
        <f>VLOOKUP(A638,'Player Data'!A1:B667,2,FALSE)</f>
        <v>NSH</v>
      </c>
      <c r="C638" s="51">
        <f>(W638*Settings!$C$29)+(X638*Settings!$C$21)+(Y638*Settings!$C$22)+(AA638*Settings!$C$24)+(AB638*Settings!$C$25)+(Z638*Settings!$C$23)+(AC638*Settings!$C$26)+(AD638*Settings!$C$28)</f>
        <v>-4.474881749738195</v>
      </c>
      <c r="D638" s="56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>
        <f>(VLOOKUP($A638,'The List'!$B1:$AR665,35,FALSE)-AVERAGE('The List'!AJ2:AJ665))/STDEV('The List'!AJ2:AJ665)</f>
        <v>-1.600180217502478</v>
      </c>
      <c r="X638" s="54">
        <f>(VLOOKUP($A638,'The List'!$B1:$AR665,36,FALSE)-AVERAGE('The List'!AK2:AK665))/STDEV('The List'!AK2:AK665)</f>
        <v>-1.272525580411531</v>
      </c>
      <c r="Y638" s="54">
        <f>(VLOOKUP($A638,'The List'!$B1:$AR665,37,FALSE)-AVERAGE('The List'!AL2:AL665))/STDEV('The List'!AL2:AL665)*-1</f>
        <v>1.452338008141437</v>
      </c>
      <c r="Z638" s="54">
        <f>(VLOOKUP($A638,'The List'!$B1:$AR665,38,FALSE)-AVERAGE('The List'!AM2:AM665))/STDEV('The List'!AM2:AM665)</f>
        <v>-1.600180217502478</v>
      </c>
      <c r="AA638" s="54">
        <f>(VLOOKUP($A638,'The List'!$B1:$AR665,39,FALSE)-AVERAGE('The List'!AN2:AN665))/STDEV('The List'!AN2:AN665)</f>
        <v>-1.2227904701378738</v>
      </c>
      <c r="AB638" s="54">
        <f>(VLOOKUP($A638,'The List'!$B1:$AR665,40,FALSE)-AVERAGE('The List'!AO2:AO665))/STDEV('The List'!AO2:AO665)</f>
        <v>-1.5956539785053829</v>
      </c>
      <c r="AC638" s="54">
        <f>(VLOOKUP($A638,'The List'!$B1:$AR665,42,FALSE)-AVERAGE('The List'!AQ2:AQ665))/STDEV('The List'!AQ2:AQ665)</f>
        <v>-1.1241856682970022</v>
      </c>
      <c r="AD638" s="54">
        <f>(VLOOKUP($A638,'The List'!$B1:$AR665,43,FALSE)-AVERAGE('The List'!AR2:AR665))/STDEV('The List'!AR2:AR665)*-1</f>
        <v>-0.85538003089178849</v>
      </c>
      <c r="AE638" s="54"/>
    </row>
    <row r="639" spans="1:31" ht="21.25" customHeight="1" x14ac:dyDescent="0.15">
      <c r="A639" s="9" t="s">
        <v>199</v>
      </c>
      <c r="B639" s="65" t="str">
        <f>VLOOKUP(A639,'Player Data'!A1:B667,2,FALSE)</f>
        <v>NYI</v>
      </c>
      <c r="C639" s="51">
        <f>(W639*Settings!$C$29)+(X639*Settings!$C$21)+(Y639*Settings!$C$22)+(AA639*Settings!$C$24)+(AB639*Settings!$C$25)+(Z639*Settings!$C$23)+(AC639*Settings!$C$26)+(AD639*Settings!$C$28)</f>
        <v>6.5167520794242204</v>
      </c>
      <c r="D639" s="56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>
        <f>(VLOOKUP($A639,'The List'!$B1:$AR665,35,FALSE)-AVERAGE('The List'!AJ2:AJ665))/STDEV('The List'!AJ2:AJ665)</f>
        <v>1.1462829442686018</v>
      </c>
      <c r="X639" s="54">
        <f>(VLOOKUP($A639,'The List'!$B1:$AR665,36,FALSE)-AVERAGE('The List'!AK2:AK665))/STDEV('The List'!AK2:AK665)</f>
        <v>1.1854151788357559</v>
      </c>
      <c r="Y639" s="54">
        <f>(VLOOKUP($A639,'The List'!$B1:$AR665,37,FALSE)-AVERAGE('The List'!AL2:AL665))/STDEV('The List'!AL2:AL665)*-1</f>
        <v>-0.51919454585645974</v>
      </c>
      <c r="Z639" s="54">
        <f>(VLOOKUP($A639,'The List'!$B1:$AR665,38,FALSE)-AVERAGE('The List'!AM2:AM665))/STDEV('The List'!AM2:AM665)</f>
        <v>1.1462829442686018</v>
      </c>
      <c r="AA639" s="54">
        <f>(VLOOKUP($A639,'The List'!$B1:$AR665,39,FALSE)-AVERAGE('The List'!AN2:AN665))/STDEV('The List'!AN2:AN665)</f>
        <v>1.7808889622180732</v>
      </c>
      <c r="AB639" s="54">
        <f>(VLOOKUP($A639,'The List'!$B1:$AR665,40,FALSE)-AVERAGE('The List'!AO2:AO665))/STDEV('The List'!AO2:AO665)</f>
        <v>1.0505279426294092</v>
      </c>
      <c r="AC639" s="54">
        <f>(VLOOKUP($A639,'The List'!$B1:$AR665,42,FALSE)-AVERAGE('The List'!AQ2:AQ665))/STDEV('The List'!AQ2:AQ665)</f>
        <v>1.8399808305543564</v>
      </c>
      <c r="AD639" s="54">
        <f>(VLOOKUP($A639,'The List'!$B1:$AR665,43,FALSE)-AVERAGE('The List'!AR2:AR665))/STDEV('The List'!AR2:AR665)*-1</f>
        <v>1.7104671078160345</v>
      </c>
      <c r="AE639" s="54"/>
    </row>
    <row r="640" spans="1:31" ht="21.25" customHeight="1" x14ac:dyDescent="0.15">
      <c r="A640" s="9" t="s">
        <v>652</v>
      </c>
      <c r="B640" s="65" t="str">
        <f>VLOOKUP(A640,'Player Data'!A1:B667,2,FALSE)</f>
        <v>NYI</v>
      </c>
      <c r="C640" s="51">
        <f>(W640*Settings!$C$29)+(X640*Settings!$C$21)+(Y640*Settings!$C$22)+(AA640*Settings!$C$24)+(AB640*Settings!$C$25)+(Z640*Settings!$C$23)+(AC640*Settings!$C$26)+(AD640*Settings!$C$28)</f>
        <v>0.50533754390033692</v>
      </c>
      <c r="D640" s="56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>
        <f>(VLOOKUP($A640,'The List'!$B1:$AR665,35,FALSE)-AVERAGE('The List'!AJ2:AJ665))/STDEV('The List'!AJ2:AJ665)</f>
        <v>-1.1155102477781698</v>
      </c>
      <c r="X640" s="54">
        <f>(VLOOKUP($A640,'The List'!$B1:$AR665,36,FALSE)-AVERAGE('The List'!AK2:AK665))/STDEV('The List'!AK2:AK665)</f>
        <v>-0.84931799231784699</v>
      </c>
      <c r="Y640" s="54">
        <f>(VLOOKUP($A640,'The List'!$B1:$AR665,37,FALSE)-AVERAGE('The List'!AL2:AL665))/STDEV('The List'!AL2:AL665)*-1</f>
        <v>1.0843481739864105</v>
      </c>
      <c r="Z640" s="54">
        <f>(VLOOKUP($A640,'The List'!$B1:$AR665,38,FALSE)-AVERAGE('The List'!AM2:AM665))/STDEV('The List'!AM2:AM665)</f>
        <v>-1.1155102477781698</v>
      </c>
      <c r="AA640" s="54">
        <f>(VLOOKUP($A640,'The List'!$B1:$AR665,39,FALSE)-AVERAGE('The List'!AN2:AN665))/STDEV('The List'!AN2:AN665)</f>
        <v>-0.38311212520128091</v>
      </c>
      <c r="AB640" s="54">
        <f>(VLOOKUP($A640,'The List'!$B1:$AR665,40,FALSE)-AVERAGE('The List'!AO2:AO665))/STDEV('The List'!AO2:AO665)</f>
        <v>-1.163202337881813</v>
      </c>
      <c r="AC640" s="54">
        <f>(VLOOKUP($A640,'The List'!$B1:$AR665,42,FALSE)-AVERAGE('The List'!AQ2:AQ665))/STDEV('The List'!AQ2:AQ665)</f>
        <v>0.77191749046651348</v>
      </c>
      <c r="AD640" s="54">
        <f>(VLOOKUP($A640,'The List'!$B1:$AR665,43,FALSE)-AVERAGE('The List'!AR2:AR665))/STDEV('The List'!AR2:AR665)*-1</f>
        <v>0.96585017095295134</v>
      </c>
      <c r="AE640" s="54"/>
    </row>
    <row r="641" spans="1:31" ht="21.25" customHeight="1" x14ac:dyDescent="0.15">
      <c r="A641" s="9" t="s">
        <v>147</v>
      </c>
      <c r="B641" s="65" t="str">
        <f>VLOOKUP(A641,'Player Data'!A1:B667,2,FALSE)</f>
        <v>NYR</v>
      </c>
      <c r="C641" s="51">
        <f>(W641*Settings!$C$29)+(X641*Settings!$C$21)+(Y641*Settings!$C$22)+(AA641*Settings!$C$24)+(AB641*Settings!$C$25)+(Z641*Settings!$C$23)+(AC641*Settings!$C$26)+(AD641*Settings!$C$28)</f>
        <v>7.9920354848716739</v>
      </c>
      <c r="D641" s="56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>
        <f>(VLOOKUP($A641,'The List'!$B1:$AR665,35,FALSE)-AVERAGE('The List'!AJ2:AJ665))/STDEV('The List'!AJ2:AJ665)</f>
        <v>1.6309529139929102</v>
      </c>
      <c r="X641" s="54">
        <f>(VLOOKUP($A641,'The List'!$B1:$AR665,36,FALSE)-AVERAGE('The List'!AK2:AK665))/STDEV('The List'!AK2:AK665)</f>
        <v>2.1170661882285433</v>
      </c>
      <c r="Y641" s="54">
        <f>(VLOOKUP($A641,'The List'!$B1:$AR665,37,FALSE)-AVERAGE('The List'!AL2:AL665))/STDEV('The List'!AL2:AL665)*-1</f>
        <v>8.0481021402641004E-2</v>
      </c>
      <c r="Z641" s="54">
        <f>(VLOOKUP($A641,'The List'!$B1:$AR665,38,FALSE)-AVERAGE('The List'!AM2:AM665))/STDEV('The List'!AM2:AM665)</f>
        <v>1.6309529139929102</v>
      </c>
      <c r="AA641" s="54">
        <f>(VLOOKUP($A641,'The List'!$B1:$AR665,39,FALSE)-AVERAGE('The List'!AN2:AN665))/STDEV('The List'!AN2:AN665)</f>
        <v>2.0491305790057166</v>
      </c>
      <c r="AB641" s="54">
        <f>(VLOOKUP($A641,'The List'!$B1:$AR665,40,FALSE)-AVERAGE('The List'!AO2:AO665))/STDEV('The List'!AO2:AO665)</f>
        <v>1.611660684239</v>
      </c>
      <c r="AC641" s="54">
        <f>(VLOOKUP($A641,'The List'!$B1:$AR665,42,FALSE)-AVERAGE('The List'!AQ2:AQ665))/STDEV('The List'!AQ2:AQ665)</f>
        <v>2.1304459016500004</v>
      </c>
      <c r="AD641" s="54">
        <f>(VLOOKUP($A641,'The List'!$B1:$AR665,43,FALSE)-AVERAGE('The List'!AR2:AR665))/STDEV('The List'!AR2:AR665)*-1</f>
        <v>1.6953928159874134</v>
      </c>
      <c r="AE641" s="54"/>
    </row>
    <row r="642" spans="1:31" ht="21.25" customHeight="1" x14ac:dyDescent="0.15">
      <c r="A642" s="9" t="s">
        <v>775</v>
      </c>
      <c r="B642" s="65" t="str">
        <f>VLOOKUP(A642,'Player Data'!A1:B667,2,FALSE)</f>
        <v>NYR</v>
      </c>
      <c r="C642" s="51">
        <f>(W642*Settings!$C$29)+(X642*Settings!$C$21)+(Y642*Settings!$C$22)+(AA642*Settings!$C$24)+(AB642*Settings!$C$25)+(Z642*Settings!$C$23)+(AC642*Settings!$C$26)+(AD642*Settings!$C$28)</f>
        <v>-4.3151439269783403</v>
      </c>
      <c r="D642" s="56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>
        <f>(VLOOKUP($A642,'The List'!$B1:$AR665,35,FALSE)-AVERAGE('The List'!AJ2:AJ665))/STDEV('The List'!AJ2:AJ665)</f>
        <v>-1.600180217502478</v>
      </c>
      <c r="X642" s="54">
        <f>(VLOOKUP($A642,'The List'!$B1:$AR665,36,FALSE)-AVERAGE('The List'!AK2:AK665))/STDEV('The List'!AK2:AK665)</f>
        <v>-1.1987667740109662</v>
      </c>
      <c r="Y642" s="54">
        <f>(VLOOKUP($A642,'The List'!$B1:$AR665,37,FALSE)-AVERAGE('The List'!AL2:AL665))/STDEV('The List'!AL2:AL665)*-1</f>
        <v>1.5927151710931475</v>
      </c>
      <c r="Z642" s="54">
        <f>(VLOOKUP($A642,'The List'!$B1:$AR665,38,FALSE)-AVERAGE('The List'!AM2:AM665))/STDEV('The List'!AM2:AM665)</f>
        <v>-1.600180217502478</v>
      </c>
      <c r="AA642" s="54">
        <f>(VLOOKUP($A642,'The List'!$B1:$AR665,39,FALSE)-AVERAGE('The List'!AN2:AN665))/STDEV('The List'!AN2:AN665)</f>
        <v>-1.1488753099863389</v>
      </c>
      <c r="AB642" s="54">
        <f>(VLOOKUP($A642,'The List'!$B1:$AR665,40,FALSE)-AVERAGE('The List'!AO2:AO665))/STDEV('The List'!AO2:AO665)</f>
        <v>-1.6389952916101342</v>
      </c>
      <c r="AC642" s="54">
        <f>(VLOOKUP($A642,'The List'!$B1:$AR665,42,FALSE)-AVERAGE('The List'!AQ2:AQ665))/STDEV('The List'!AQ2:AQ665)</f>
        <v>-1.3499360483880984</v>
      </c>
      <c r="AD642" s="54">
        <f>(VLOOKUP($A642,'The List'!$B1:$AR665,43,FALSE)-AVERAGE('The List'!AR2:AR665))/STDEV('The List'!AR2:AR665)*-1</f>
        <v>-0.61756579459293703</v>
      </c>
      <c r="AE642" s="54"/>
    </row>
    <row r="643" spans="1:31" ht="21.25" customHeight="1" x14ac:dyDescent="0.15">
      <c r="A643" s="9" t="s">
        <v>246</v>
      </c>
      <c r="B643" s="65" t="str">
        <f>VLOOKUP(A643,'Player Data'!A1:B667,2,FALSE)</f>
        <v>OTT</v>
      </c>
      <c r="C643" s="51">
        <f>(W643*Settings!$C$29)+(X643*Settings!$C$21)+(Y643*Settings!$C$22)+(AA643*Settings!$C$24)+(AB643*Settings!$C$25)+(Z643*Settings!$C$23)+(AC643*Settings!$C$26)+(AD643*Settings!$C$28)</f>
        <v>4.0943785336140675</v>
      </c>
      <c r="D643" s="56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>
        <f>(VLOOKUP($A643,'The List'!$B1:$AR665,35,FALSE)-AVERAGE('The List'!AJ2:AJ665))/STDEV('The List'!AJ2:AJ665)</f>
        <v>0.66161297454429369</v>
      </c>
      <c r="X643" s="54">
        <f>(VLOOKUP($A643,'The List'!$B1:$AR665,36,FALSE)-AVERAGE('The List'!AK2:AK665))/STDEV('The List'!AK2:AK665)</f>
        <v>0.63094403569031787</v>
      </c>
      <c r="Y643" s="54">
        <f>(VLOOKUP($A643,'The List'!$B1:$AR665,37,FALSE)-AVERAGE('The List'!AL2:AL665))/STDEV('The List'!AL2:AL665)*-1</f>
        <v>-0.40102444654166242</v>
      </c>
      <c r="Z643" s="54">
        <f>(VLOOKUP($A643,'The List'!$B1:$AR665,38,FALSE)-AVERAGE('The List'!AM2:AM665))/STDEV('The List'!AM2:AM665)</f>
        <v>0.66161297454429369</v>
      </c>
      <c r="AA643" s="54">
        <f>(VLOOKUP($A643,'The List'!$B1:$AR665,39,FALSE)-AVERAGE('The List'!AN2:AN665))/STDEV('The List'!AN2:AN665)</f>
        <v>0.87759283448122338</v>
      </c>
      <c r="AB643" s="54">
        <f>(VLOOKUP($A643,'The List'!$B1:$AR665,40,FALSE)-AVERAGE('The List'!AO2:AO665))/STDEV('The List'!AO2:AO665)</f>
        <v>0.75503169972660134</v>
      </c>
      <c r="AC643" s="54">
        <f>(VLOOKUP($A643,'The List'!$B1:$AR665,42,FALSE)-AVERAGE('The List'!AQ2:AQ665))/STDEV('The List'!AQ2:AQ665)</f>
        <v>1.6344777015778968</v>
      </c>
      <c r="AD643" s="54">
        <f>(VLOOKUP($A643,'The List'!$B1:$AR665,43,FALSE)-AVERAGE('The List'!AR2:AR665))/STDEV('The List'!AR2:AR665)*-1</f>
        <v>0.95136396186462935</v>
      </c>
      <c r="AE643" s="54"/>
    </row>
    <row r="644" spans="1:31" ht="21.25" customHeight="1" x14ac:dyDescent="0.15">
      <c r="A644" s="9" t="s">
        <v>606</v>
      </c>
      <c r="B644" s="65" t="str">
        <f>VLOOKUP(A644,'Player Data'!A1:B667,2,FALSE)</f>
        <v>OTT</v>
      </c>
      <c r="C644" s="51">
        <f>(W644*Settings!$C$29)+(X644*Settings!$C$21)+(Y644*Settings!$C$22)+(AA644*Settings!$C$24)+(AB644*Settings!$C$25)+(Z644*Settings!$C$23)+(AC644*Settings!$C$26)+(AD644*Settings!$C$28)</f>
        <v>-3.6261160074797743</v>
      </c>
      <c r="D644" s="56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>
        <f>(VLOOKUP($A644,'The List'!$B1:$AR665,35,FALSE)-AVERAGE('The List'!AJ2:AJ665))/STDEV('The List'!AJ2:AJ665)</f>
        <v>-0.63084027805386156</v>
      </c>
      <c r="X644" s="54">
        <f>(VLOOKUP($A644,'The List'!$B1:$AR665,36,FALSE)-AVERAGE('The List'!AK2:AK665))/STDEV('The List'!AK2:AK665)</f>
        <v>-0.68792801105526924</v>
      </c>
      <c r="Y644" s="54">
        <f>(VLOOKUP($A644,'The List'!$B1:$AR665,37,FALSE)-AVERAGE('The List'!AL2:AL665))/STDEV('The List'!AL2:AL665)*-1</f>
        <v>0.2180691910325275</v>
      </c>
      <c r="Z644" s="54">
        <f>(VLOOKUP($A644,'The List'!$B1:$AR665,38,FALSE)-AVERAGE('The List'!AM2:AM665))/STDEV('The List'!AM2:AM665)</f>
        <v>-0.63084027805386156</v>
      </c>
      <c r="AA644" s="54">
        <f>(VLOOKUP($A644,'The List'!$B1:$AR665,39,FALSE)-AVERAGE('The List'!AN2:AN665))/STDEV('The List'!AN2:AN665)</f>
        <v>-0.87181910990698885</v>
      </c>
      <c r="AB644" s="54">
        <f>(VLOOKUP($A644,'The List'!$B1:$AR665,40,FALSE)-AVERAGE('The List'!AO2:AO665))/STDEV('The List'!AO2:AO665)</f>
        <v>-0.59890073154235579</v>
      </c>
      <c r="AC644" s="54">
        <f>(VLOOKUP($A644,'The List'!$B1:$AR665,42,FALSE)-AVERAGE('The List'!AQ2:AQ665))/STDEV('The List'!AQ2:AQ665)</f>
        <v>-1.0538491717432914</v>
      </c>
      <c r="AD644" s="54">
        <f>(VLOOKUP($A644,'The List'!$B1:$AR665,43,FALSE)-AVERAGE('The List'!AR2:AR665))/STDEV('The List'!AR2:AR665)*-1</f>
        <v>-1.0125197147742244</v>
      </c>
      <c r="AE644" s="54"/>
    </row>
    <row r="645" spans="1:31" ht="21.25" customHeight="1" x14ac:dyDescent="0.15">
      <c r="A645" s="9" t="s">
        <v>376</v>
      </c>
      <c r="B645" s="65" t="str">
        <f>VLOOKUP(A645,'Player Data'!A1:B667,2,FALSE)</f>
        <v>PHI</v>
      </c>
      <c r="C645" s="51">
        <f>(W645*Settings!$C$29)+(X645*Settings!$C$21)+(Y645*Settings!$C$22)+(AA645*Settings!$C$24)+(AB645*Settings!$C$25)+(Z645*Settings!$C$23)+(AC645*Settings!$C$26)+(AD645*Settings!$C$28)</f>
        <v>-0.85972808979780169</v>
      </c>
      <c r="D645" s="56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>
        <f>(VLOOKUP($A645,'The List'!$B1:$AR665,35,FALSE)-AVERAGE('The List'!AJ2:AJ665))/STDEV('The List'!AJ2:AJ665)</f>
        <v>0.66161297454429369</v>
      </c>
      <c r="X645" s="54">
        <f>(VLOOKUP($A645,'The List'!$B1:$AR665,36,FALSE)-AVERAGE('The List'!AK2:AK665))/STDEV('The List'!AK2:AK665)</f>
        <v>0.2308353167091641</v>
      </c>
      <c r="Y645" s="54">
        <f>(VLOOKUP($A645,'The List'!$B1:$AR665,37,FALSE)-AVERAGE('The List'!AL2:AL665))/STDEV('The List'!AL2:AL665)*-1</f>
        <v>-1.1625081199323899</v>
      </c>
      <c r="Z645" s="54">
        <f>(VLOOKUP($A645,'The List'!$B1:$AR665,38,FALSE)-AVERAGE('The List'!AM2:AM665))/STDEV('The List'!AM2:AM665)</f>
        <v>0.66161297454429369</v>
      </c>
      <c r="AA645" s="54">
        <f>(VLOOKUP($A645,'The List'!$B1:$AR665,39,FALSE)-AVERAGE('The List'!AN2:AN665))/STDEV('The List'!AN2:AN665)</f>
        <v>0.18980336030316172</v>
      </c>
      <c r="AB645" s="54">
        <f>(VLOOKUP($A645,'The List'!$B1:$AR665,40,FALSE)-AVERAGE('The List'!AO2:AO665))/STDEV('The List'!AO2:AO665)</f>
        <v>0.47995538157177581</v>
      </c>
      <c r="AC645" s="54">
        <f>(VLOOKUP($A645,'The List'!$B1:$AR665,42,FALSE)-AVERAGE('The List'!AQ2:AQ665))/STDEV('The List'!AQ2:AQ665)</f>
        <v>-1.103190748734818</v>
      </c>
      <c r="AD645" s="54">
        <f>(VLOOKUP($A645,'The List'!$B1:$AR665,43,FALSE)-AVERAGE('The List'!AR2:AR665))/STDEV('The List'!AR2:AR665)*-1</f>
        <v>-0.17717601807530942</v>
      </c>
      <c r="AE645" s="54"/>
    </row>
    <row r="646" spans="1:31" ht="21.25" customHeight="1" x14ac:dyDescent="0.15">
      <c r="A646" s="9" t="s">
        <v>710</v>
      </c>
      <c r="B646" s="65" t="str">
        <f>VLOOKUP(A646,'Player Data'!A1:B667,2,FALSE)</f>
        <v>PHI</v>
      </c>
      <c r="C646" s="51">
        <f>(W646*Settings!$C$29)+(X646*Settings!$C$21)+(Y646*Settings!$C$22)+(AA646*Settings!$C$24)+(AB646*Settings!$C$25)+(Z646*Settings!$C$23)+(AC646*Settings!$C$26)+(AD646*Settings!$C$28)</f>
        <v>-4.6993409430601405</v>
      </c>
      <c r="D646" s="56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>
        <f>(VLOOKUP($A646,'The List'!$B1:$AR665,35,FALSE)-AVERAGE('The List'!AJ2:AJ665))/STDEV('The List'!AJ2:AJ665)</f>
        <v>-0.79239693462863092</v>
      </c>
      <c r="X646" s="54">
        <f>(VLOOKUP($A646,'The List'!$B1:$AR665,36,FALSE)-AVERAGE('The List'!AK2:AK665))/STDEV('The List'!AK2:AK665)</f>
        <v>-0.86175589621150461</v>
      </c>
      <c r="Y646" s="54">
        <f>(VLOOKUP($A646,'The List'!$B1:$AR665,37,FALSE)-AVERAGE('The List'!AL2:AL665))/STDEV('The List'!AL2:AL665)*-1</f>
        <v>0.27838639726178294</v>
      </c>
      <c r="Z646" s="54">
        <f>(VLOOKUP($A646,'The List'!$B1:$AR665,38,FALSE)-AVERAGE('The List'!AM2:AM665))/STDEV('The List'!AM2:AM665)</f>
        <v>-0.79239693462863092</v>
      </c>
      <c r="AA646" s="54">
        <f>(VLOOKUP($A646,'The List'!$B1:$AR665,39,FALSE)-AVERAGE('The List'!AN2:AN665))/STDEV('The List'!AN2:AN665)</f>
        <v>-0.86601383072285854</v>
      </c>
      <c r="AB646" s="54">
        <f>(VLOOKUP($A646,'The List'!$B1:$AR665,40,FALSE)-AVERAGE('The List'!AO2:AO665))/STDEV('The List'!AO2:AO665)</f>
        <v>-0.9109806530638821</v>
      </c>
      <c r="AC646" s="54">
        <f>(VLOOKUP($A646,'The List'!$B1:$AR665,42,FALSE)-AVERAGE('The List'!AQ2:AQ665))/STDEV('The List'!AQ2:AQ665)</f>
        <v>-2.1042479340396261</v>
      </c>
      <c r="AD646" s="54">
        <f>(VLOOKUP($A646,'The List'!$B1:$AR665,43,FALSE)-AVERAGE('The List'!AR2:AR665))/STDEV('The List'!AR2:AR665)*-1</f>
        <v>-0.86732328208615128</v>
      </c>
      <c r="AE646" s="54"/>
    </row>
    <row r="647" spans="1:31" ht="21.25" customHeight="1" x14ac:dyDescent="0.15">
      <c r="A647" s="9" t="s">
        <v>274</v>
      </c>
      <c r="B647" s="65" t="str">
        <f>VLOOKUP(A647,'Player Data'!A1:B667,2,FALSE)</f>
        <v>PIT</v>
      </c>
      <c r="C647" s="51">
        <f>(W647*Settings!$C$29)+(X647*Settings!$C$21)+(Y647*Settings!$C$22)+(AA647*Settings!$C$24)+(AB647*Settings!$C$25)+(Z647*Settings!$C$23)+(AC647*Settings!$C$26)+(AD647*Settings!$C$28)</f>
        <v>1.2220955943407126</v>
      </c>
      <c r="D647" s="56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>
        <f>(VLOOKUP($A647,'The List'!$B1:$AR665,35,FALSE)-AVERAGE('The List'!AJ2:AJ665))/STDEV('The List'!AJ2:AJ665)</f>
        <v>0.66161297454429369</v>
      </c>
      <c r="X647" s="54">
        <f>(VLOOKUP($A647,'The List'!$B1:$AR665,36,FALSE)-AVERAGE('The List'!AK2:AK665))/STDEV('The List'!AK2:AK665)</f>
        <v>0.52271547073186209</v>
      </c>
      <c r="Y647" s="54">
        <f>(VLOOKUP($A647,'The List'!$B1:$AR665,37,FALSE)-AVERAGE('The List'!AL2:AL665))/STDEV('The List'!AL2:AL665)*-1</f>
        <v>-0.607004174802105</v>
      </c>
      <c r="Z647" s="54">
        <f>(VLOOKUP($A647,'The List'!$B1:$AR665,38,FALSE)-AVERAGE('The List'!AM2:AM665))/STDEV('The List'!AM2:AM665)</f>
        <v>0.66161297454429369</v>
      </c>
      <c r="AA647" s="54">
        <f>(VLOOKUP($A647,'The List'!$B1:$AR665,39,FALSE)-AVERAGE('The List'!AN2:AN665))/STDEV('The List'!AN2:AN665)</f>
        <v>0.33977658687806317</v>
      </c>
      <c r="AB647" s="54">
        <f>(VLOOKUP($A647,'The List'!$B1:$AR665,40,FALSE)-AVERAGE('The List'!AO2:AO665))/STDEV('The List'!AO2:AO665)</f>
        <v>0.79093207296118229</v>
      </c>
      <c r="AC647" s="54">
        <f>(VLOOKUP($A647,'The List'!$B1:$AR665,42,FALSE)-AVERAGE('The List'!AQ2:AQ665))/STDEV('The List'!AQ2:AQ665)</f>
        <v>0.47365328546845831</v>
      </c>
      <c r="AD647" s="54">
        <f>(VLOOKUP($A647,'The List'!$B1:$AR665,43,FALSE)-AVERAGE('The List'!AR2:AR665))/STDEV('The List'!AR2:AR665)*-1</f>
        <v>-0.11404974873767103</v>
      </c>
      <c r="AE647" s="54"/>
    </row>
    <row r="648" spans="1:31" ht="21.25" customHeight="1" x14ac:dyDescent="0.15">
      <c r="A648" s="9" t="s">
        <v>613</v>
      </c>
      <c r="B648" s="65" t="str">
        <f>VLOOKUP(A648,'Player Data'!A1:B667,2,FALSE)</f>
        <v>PIT</v>
      </c>
      <c r="C648" s="51">
        <f>(W648*Settings!$C$29)+(X648*Settings!$C$21)+(Y648*Settings!$C$22)+(AA648*Settings!$C$24)+(AB648*Settings!$C$25)+(Z648*Settings!$C$23)+(AC648*Settings!$C$26)+(AD648*Settings!$C$28)</f>
        <v>-3.1304411405234078</v>
      </c>
      <c r="D648" s="56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>
        <f>(VLOOKUP($A648,'The List'!$B1:$AR665,35,FALSE)-AVERAGE('The List'!AJ2:AJ665))/STDEV('The List'!AJ2:AJ665)</f>
        <v>-0.79239693462863092</v>
      </c>
      <c r="X648" s="54">
        <f>(VLOOKUP($A648,'The List'!$B1:$AR665,36,FALSE)-AVERAGE('The List'!AK2:AK665))/STDEV('The List'!AK2:AK665)</f>
        <v>-0.70312341034564529</v>
      </c>
      <c r="Y648" s="54">
        <f>(VLOOKUP($A648,'The List'!$B1:$AR665,37,FALSE)-AVERAGE('The List'!AL2:AL665))/STDEV('The List'!AL2:AL665)*-1</f>
        <v>0.580294459560038</v>
      </c>
      <c r="Z648" s="54">
        <f>(VLOOKUP($A648,'The List'!$B1:$AR665,38,FALSE)-AVERAGE('The List'!AM2:AM665))/STDEV('The List'!AM2:AM665)</f>
        <v>-0.79239693462863092</v>
      </c>
      <c r="AA648" s="54">
        <f>(VLOOKUP($A648,'The List'!$B1:$AR665,39,FALSE)-AVERAGE('The List'!AN2:AN665))/STDEV('The List'!AN2:AN665)</f>
        <v>-0.82515221321402499</v>
      </c>
      <c r="AB648" s="54">
        <f>(VLOOKUP($A648,'The List'!$B1:$AR665,40,FALSE)-AVERAGE('The List'!AO2:AO665))/STDEV('The List'!AO2:AO665)</f>
        <v>-0.71915437481345279</v>
      </c>
      <c r="AC648" s="54">
        <f>(VLOOKUP($A648,'The List'!$B1:$AR665,42,FALSE)-AVERAGE('The List'!AQ2:AQ665))/STDEV('The List'!AQ2:AQ665)</f>
        <v>-0.65276314584118189</v>
      </c>
      <c r="AD648" s="54">
        <f>(VLOOKUP($A648,'The List'!$B1:$AR665,43,FALSE)-AVERAGE('The List'!AR2:AR665))/STDEV('The List'!AR2:AR665)*-1</f>
        <v>-0.94940237112255554</v>
      </c>
      <c r="AE648" s="54"/>
    </row>
    <row r="649" spans="1:31" ht="21.25" customHeight="1" x14ac:dyDescent="0.15">
      <c r="A649" s="9" t="s">
        <v>324</v>
      </c>
      <c r="B649" s="65" t="str">
        <f>VLOOKUP(A649,'Player Data'!A1:B667,2,FALSE)</f>
        <v>SEA</v>
      </c>
      <c r="C649" s="51">
        <f>(W649*Settings!$C$29)+(X649*Settings!$C$21)+(Y649*Settings!$C$22)+(AA649*Settings!$C$24)+(AB649*Settings!$C$25)+(Z649*Settings!$C$23)+(AC649*Settings!$C$26)+(AD649*Settings!$C$28)</f>
        <v>2.4244633534641049</v>
      </c>
      <c r="D649" s="56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>
        <f>(VLOOKUP($A649,'The List'!$B1:$AR665,35,FALSE)-AVERAGE('The List'!AJ2:AJ665))/STDEV('The List'!AJ2:AJ665)</f>
        <v>0.41927798968213958</v>
      </c>
      <c r="X649" s="54">
        <f>(VLOOKUP($A649,'The List'!$B1:$AR665,36,FALSE)-AVERAGE('The List'!AK2:AK665))/STDEV('The List'!AK2:AK665)</f>
        <v>0.23930020985395475</v>
      </c>
      <c r="Y649" s="54">
        <f>(VLOOKUP($A649,'The List'!$B1:$AR665,37,FALSE)-AVERAGE('The List'!AL2:AL665))/STDEV('The List'!AL2:AL665)*-1</f>
        <v>-0.55968025977959013</v>
      </c>
      <c r="Z649" s="54">
        <f>(VLOOKUP($A649,'The List'!$B1:$AR665,38,FALSE)-AVERAGE('The List'!AM2:AM665))/STDEV('The List'!AM2:AM665)</f>
        <v>0.41927798968213958</v>
      </c>
      <c r="AA649" s="54">
        <f>(VLOOKUP($A649,'The List'!$B1:$AR665,39,FALSE)-AVERAGE('The List'!AN2:AN665))/STDEV('The List'!AN2:AN665)</f>
        <v>0.69814808475715184</v>
      </c>
      <c r="AB649" s="54">
        <f>(VLOOKUP($A649,'The List'!$B1:$AR665,40,FALSE)-AVERAGE('The List'!AO2:AO665))/STDEV('The List'!AO2:AO665)</f>
        <v>0.29723817416335463</v>
      </c>
      <c r="AC649" s="54">
        <f>(VLOOKUP($A649,'The List'!$B1:$AR665,42,FALSE)-AVERAGE('The List'!AQ2:AQ665))/STDEV('The List'!AQ2:AQ665)</f>
        <v>0.57345332854904241</v>
      </c>
      <c r="AD649" s="54">
        <f>(VLOOKUP($A649,'The List'!$B1:$AR665,43,FALSE)-AVERAGE('The List'!AR2:AR665))/STDEV('The List'!AR2:AR665)*-1</f>
        <v>0.91356173030395593</v>
      </c>
      <c r="AE649" s="54"/>
    </row>
    <row r="650" spans="1:31" ht="21.25" customHeight="1" x14ac:dyDescent="0.15">
      <c r="A650" s="9" t="s">
        <v>575</v>
      </c>
      <c r="B650" s="65" t="str">
        <f>VLOOKUP(A650,'Player Data'!A1:B667,2,FALSE)</f>
        <v>SEA</v>
      </c>
      <c r="C650" s="51">
        <f>(W650*Settings!$C$29)+(X650*Settings!$C$21)+(Y650*Settings!$C$22)+(AA650*Settings!$C$24)+(AB650*Settings!$C$25)+(Z650*Settings!$C$23)+(AC650*Settings!$C$26)+(AD650*Settings!$C$28)</f>
        <v>-1.6701449043453991</v>
      </c>
      <c r="D650" s="56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>
        <f>(VLOOKUP($A650,'The List'!$B1:$AR665,35,FALSE)-AVERAGE('The List'!AJ2:AJ665))/STDEV('The List'!AJ2:AJ665)</f>
        <v>-0.3885052931917074</v>
      </c>
      <c r="X650" s="54">
        <f>(VLOOKUP($A650,'The List'!$B1:$AR665,36,FALSE)-AVERAGE('The List'!AK2:AK665))/STDEV('The List'!AK2:AK665)</f>
        <v>-0.51091473512516672</v>
      </c>
      <c r="Y650" s="54">
        <f>(VLOOKUP($A650,'The List'!$B1:$AR665,37,FALSE)-AVERAGE('The List'!AL2:AL665))/STDEV('The List'!AL2:AL665)*-1</f>
        <v>-3.1758119968058322E-2</v>
      </c>
      <c r="Z650" s="54">
        <f>(VLOOKUP($A650,'The List'!$B1:$AR665,38,FALSE)-AVERAGE('The List'!AM2:AM665))/STDEV('The List'!AM2:AM665)</f>
        <v>-0.3885052931917074</v>
      </c>
      <c r="AA650" s="54">
        <f>(VLOOKUP($A650,'The List'!$B1:$AR665,39,FALSE)-AVERAGE('The List'!AN2:AN665))/STDEV('The List'!AN2:AN665)</f>
        <v>-0.31595213402566968</v>
      </c>
      <c r="AB650" s="54">
        <f>(VLOOKUP($A650,'The List'!$B1:$AR665,40,FALSE)-AVERAGE('The List'!AO2:AO665))/STDEV('The List'!AO2:AO665)</f>
        <v>-0.49869638045057224</v>
      </c>
      <c r="AC650" s="54">
        <f>(VLOOKUP($A650,'The List'!$B1:$AR665,42,FALSE)-AVERAGE('The List'!AQ2:AQ665))/STDEV('The List'!AQ2:AQ665)</f>
        <v>-0.80317284296970648</v>
      </c>
      <c r="AD650" s="54">
        <f>(VLOOKUP($A650,'The List'!$B1:$AR665,43,FALSE)-AVERAGE('The List'!AR2:AR665))/STDEV('The List'!AR2:AR665)*-1</f>
        <v>-4.0105192224856076E-2</v>
      </c>
      <c r="AE650" s="54"/>
    </row>
    <row r="651" spans="1:31" ht="21.25" customHeight="1" x14ac:dyDescent="0.15">
      <c r="A651" s="9" t="s">
        <v>625</v>
      </c>
      <c r="B651" s="65" t="str">
        <f>VLOOKUP(A651,'Player Data'!A1:B667,2,FALSE)</f>
        <v>S.J</v>
      </c>
      <c r="C651" s="51">
        <f>(W651*Settings!$C$29)+(X651*Settings!$C$21)+(Y651*Settings!$C$22)+(AA651*Settings!$C$24)+(AB651*Settings!$C$25)+(Z651*Settings!$C$23)+(AC651*Settings!$C$26)+(AD651*Settings!$C$28)</f>
        <v>-4.4419760011590697</v>
      </c>
      <c r="D651" s="56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>
        <f>(VLOOKUP($A651,'The List'!$B1:$AR665,35,FALSE)-AVERAGE('The List'!AJ2:AJ665))/STDEV('The List'!AJ2:AJ665)</f>
        <v>-0.79239693462863092</v>
      </c>
      <c r="X651" s="54">
        <f>(VLOOKUP($A651,'The List'!$B1:$AR665,36,FALSE)-AVERAGE('The List'!AK2:AK665))/STDEV('The List'!AK2:AK665)</f>
        <v>-1.2512186706778707</v>
      </c>
      <c r="Y651" s="54">
        <f>(VLOOKUP($A651,'The List'!$B1:$AR665,37,FALSE)-AVERAGE('The List'!AL2:AL665))/STDEV('The List'!AL2:AL665)*-1</f>
        <v>-0.46283600075239778</v>
      </c>
      <c r="Z651" s="54">
        <f>(VLOOKUP($A651,'The List'!$B1:$AR665,38,FALSE)-AVERAGE('The List'!AM2:AM665))/STDEV('The List'!AM2:AM665)</f>
        <v>-0.79239693462863092</v>
      </c>
      <c r="AA651" s="54">
        <f>(VLOOKUP($A651,'The List'!$B1:$AR665,39,FALSE)-AVERAGE('The List'!AN2:AN665))/STDEV('The List'!AN2:AN665)</f>
        <v>-1.0993049744162704</v>
      </c>
      <c r="AB651" s="54">
        <f>(VLOOKUP($A651,'The List'!$B1:$AR665,40,FALSE)-AVERAGE('The List'!AO2:AO665))/STDEV('The List'!AO2:AO665)</f>
        <v>-0.5911108197412448</v>
      </c>
      <c r="AC651" s="54">
        <f>(VLOOKUP($A651,'The List'!$B1:$AR665,42,FALSE)-AVERAGE('The List'!AQ2:AQ665))/STDEV('The List'!AQ2:AQ665)</f>
        <v>-0.48865917409169346</v>
      </c>
      <c r="AD651" s="54">
        <f>(VLOOKUP($A651,'The List'!$B1:$AR665,43,FALSE)-AVERAGE('The List'!AR2:AR665))/STDEV('The List'!AR2:AR665)*-1</f>
        <v>-1.6027931819732353</v>
      </c>
      <c r="AE651" s="54"/>
    </row>
    <row r="652" spans="1:31" ht="21.25" customHeight="1" x14ac:dyDescent="0.15">
      <c r="A652" s="9" t="s">
        <v>350</v>
      </c>
      <c r="B652" s="65" t="str">
        <f>VLOOKUP(A652,'Player Data'!A1:B667,2,FALSE)</f>
        <v>S.J</v>
      </c>
      <c r="C652" s="51">
        <f>(W652*Settings!$C$29)+(X652*Settings!$C$21)+(Y652*Settings!$C$22)+(AA652*Settings!$C$24)+(AB652*Settings!$C$25)+(Z652*Settings!$C$23)+(AC652*Settings!$C$26)+(AD652*Settings!$C$28)</f>
        <v>-3.2861315386298084</v>
      </c>
      <c r="D652" s="56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>
        <f>(VLOOKUP($A652,'The List'!$B1:$AR665,35,FALSE)-AVERAGE('The List'!AJ2:AJ665))/STDEV('The List'!AJ2:AJ665)</f>
        <v>0.41927798968213958</v>
      </c>
      <c r="X652" s="54">
        <f>(VLOOKUP($A652,'The List'!$B1:$AR665,36,FALSE)-AVERAGE('The List'!AK2:AK665))/STDEV('The List'!AK2:AK665)</f>
        <v>-0.58968081086783641</v>
      </c>
      <c r="Y652" s="54">
        <f>(VLOOKUP($A652,'The List'!$B1:$AR665,37,FALSE)-AVERAGE('The List'!AL2:AL665))/STDEV('The List'!AL2:AL665)*-1</f>
        <v>-2.1373902243059026</v>
      </c>
      <c r="Z652" s="54">
        <f>(VLOOKUP($A652,'The List'!$B1:$AR665,38,FALSE)-AVERAGE('The List'!AM2:AM665))/STDEV('The List'!AM2:AM665)</f>
        <v>0.41927798968213958</v>
      </c>
      <c r="AA652" s="54">
        <f>(VLOOKUP($A652,'The List'!$B1:$AR665,39,FALSE)-AVERAGE('The List'!AN2:AN665))/STDEV('The List'!AN2:AN665)</f>
        <v>-0.98450105818503586</v>
      </c>
      <c r="AB652" s="54">
        <f>(VLOOKUP($A652,'The List'!$B1:$AR665,40,FALSE)-AVERAGE('The List'!AO2:AO665))/STDEV('The List'!AO2:AO665)</f>
        <v>0.71622909105109489</v>
      </c>
      <c r="AC652" s="54">
        <f>(VLOOKUP($A652,'The List'!$B1:$AR665,42,FALSE)-AVERAGE('The List'!AQ2:AQ665))/STDEV('The List'!AQ2:AQ665)</f>
        <v>-0.27536616987428619</v>
      </c>
      <c r="AD652" s="54">
        <f>(VLOOKUP($A652,'The List'!$B1:$AR665,43,FALSE)-AVERAGE('The List'!AR2:AR665))/STDEV('The List'!AR2:AR665)*-1</f>
        <v>-1.4365834997026499</v>
      </c>
      <c r="AE652" s="54"/>
    </row>
    <row r="653" spans="1:31" ht="21.25" customHeight="1" x14ac:dyDescent="0.15">
      <c r="A653" s="9" t="s">
        <v>237</v>
      </c>
      <c r="B653" s="65" t="str">
        <f>VLOOKUP(A653,'Player Data'!A1:B667,2,FALSE)</f>
        <v>STL</v>
      </c>
      <c r="C653" s="51">
        <f>(W653*Settings!$C$29)+(X653*Settings!$C$21)+(Y653*Settings!$C$22)+(AA653*Settings!$C$24)+(AB653*Settings!$C$25)+(Z653*Settings!$C$23)+(AC653*Settings!$C$26)+(AD653*Settings!$C$28)</f>
        <v>0.35596349728063559</v>
      </c>
      <c r="D653" s="56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>
        <f>(VLOOKUP($A653,'The List'!$B1:$AR665,35,FALSE)-AVERAGE('The List'!AJ2:AJ665))/STDEV('The List'!AJ2:AJ665)</f>
        <v>1.1462829442686018</v>
      </c>
      <c r="X653" s="54">
        <f>(VLOOKUP($A653,'The List'!$B1:$AR665,36,FALSE)-AVERAGE('The List'!AK2:AK665))/STDEV('The List'!AK2:AK665)</f>
        <v>0.46282048452805685</v>
      </c>
      <c r="Y653" s="54">
        <f>(VLOOKUP($A653,'The List'!$B1:$AR665,37,FALSE)-AVERAGE('The List'!AL2:AL665))/STDEV('The List'!AL2:AL665)*-1</f>
        <v>-1.8944309155992405</v>
      </c>
      <c r="Z653" s="54">
        <f>(VLOOKUP($A653,'The List'!$B1:$AR665,38,FALSE)-AVERAGE('The List'!AM2:AM665))/STDEV('The List'!AM2:AM665)</f>
        <v>1.1462829442686018</v>
      </c>
      <c r="AA653" s="54">
        <f>(VLOOKUP($A653,'The List'!$B1:$AR665,39,FALSE)-AVERAGE('The List'!AN2:AN665))/STDEV('The List'!AN2:AN665)</f>
        <v>0.26321953162313239</v>
      </c>
      <c r="AB653" s="54">
        <f>(VLOOKUP($A653,'The List'!$B1:$AR665,40,FALSE)-AVERAGE('The List'!AO2:AO665))/STDEV('The List'!AO2:AO665)</f>
        <v>1.3918751713798325</v>
      </c>
      <c r="AC653" s="54">
        <f>(VLOOKUP($A653,'The List'!$B1:$AR665,42,FALSE)-AVERAGE('The List'!AQ2:AQ665))/STDEV('The List'!AQ2:AQ665)</f>
        <v>0.25728872246778872</v>
      </c>
      <c r="AD653" s="54">
        <f>(VLOOKUP($A653,'The List'!$B1:$AR665,43,FALSE)-AVERAGE('The List'!AR2:AR665))/STDEV('The List'!AR2:AR665)*-1</f>
        <v>-0.62736524133834237</v>
      </c>
      <c r="AE653" s="54"/>
    </row>
    <row r="654" spans="1:31" ht="21.25" customHeight="1" x14ac:dyDescent="0.15">
      <c r="A654" s="9" t="s">
        <v>671</v>
      </c>
      <c r="B654" s="65" t="str">
        <f>VLOOKUP(A654,'Player Data'!A1:B667,2,FALSE)</f>
        <v>STL</v>
      </c>
      <c r="C654" s="51">
        <f>(W654*Settings!$C$29)+(X654*Settings!$C$21)+(Y654*Settings!$C$22)+(AA654*Settings!$C$24)+(AB654*Settings!$C$25)+(Z654*Settings!$C$23)+(AC654*Settings!$C$26)+(AD654*Settings!$C$28)</f>
        <v>-3.0044694605504825</v>
      </c>
      <c r="D654" s="56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>
        <f>(VLOOKUP($A654,'The List'!$B1:$AR665,35,FALSE)-AVERAGE('The List'!AJ2:AJ665))/STDEV('The List'!AJ2:AJ665)</f>
        <v>-1.1155102477781698</v>
      </c>
      <c r="X654" s="54">
        <f>(VLOOKUP($A654,'The List'!$B1:$AR665,36,FALSE)-AVERAGE('The List'!AK2:AK665))/STDEV('The List'!AK2:AK665)</f>
        <v>-1.0871673089264375</v>
      </c>
      <c r="Y654" s="54">
        <f>(VLOOKUP($A654,'The List'!$B1:$AR665,37,FALSE)-AVERAGE('The List'!AL2:AL665))/STDEV('The List'!AL2:AL665)*-1</f>
        <v>0.63167528101425086</v>
      </c>
      <c r="Z654" s="54">
        <f>(VLOOKUP($A654,'The List'!$B1:$AR665,38,FALSE)-AVERAGE('The List'!AM2:AM665))/STDEV('The List'!AM2:AM665)</f>
        <v>-1.1155102477781698</v>
      </c>
      <c r="AA654" s="54">
        <f>(VLOOKUP($A654,'The List'!$B1:$AR665,39,FALSE)-AVERAGE('The List'!AN2:AN665))/STDEV('The List'!AN2:AN665)</f>
        <v>-0.94791783610471614</v>
      </c>
      <c r="AB654" s="54">
        <f>(VLOOKUP($A654,'The List'!$B1:$AR665,40,FALSE)-AVERAGE('The List'!AO2:AO665))/STDEV('The List'!AO2:AO665)</f>
        <v>-0.99149995577643646</v>
      </c>
      <c r="AC654" s="54">
        <f>(VLOOKUP($A654,'The List'!$B1:$AR665,42,FALSE)-AVERAGE('The List'!AQ2:AQ665))/STDEV('The List'!AQ2:AQ665)</f>
        <v>-8.3345504849657262E-2</v>
      </c>
      <c r="AD654" s="54">
        <f>(VLOOKUP($A654,'The List'!$B1:$AR665,43,FALSE)-AVERAGE('The List'!AR2:AR665))/STDEV('The List'!AR2:AR665)*-1</f>
        <v>-0.88603881066967138</v>
      </c>
      <c r="AE654" s="54"/>
    </row>
    <row r="655" spans="1:31" ht="21.25" customHeight="1" x14ac:dyDescent="0.15">
      <c r="A655" s="9" t="s">
        <v>176</v>
      </c>
      <c r="B655" s="65" t="str">
        <f>VLOOKUP(A655,'Player Data'!A1:B667,2,FALSE)</f>
        <v>T.B</v>
      </c>
      <c r="C655" s="51">
        <f>(W655*Settings!$C$29)+(X655*Settings!$C$21)+(Y655*Settings!$C$22)+(AA655*Settings!$C$24)+(AB655*Settings!$C$25)+(Z655*Settings!$C$23)+(AC655*Settings!$C$26)+(AD655*Settings!$C$28)</f>
        <v>4.3290374029112622</v>
      </c>
      <c r="D655" s="56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>
        <f>(VLOOKUP($A655,'The List'!$B1:$AR665,35,FALSE)-AVERAGE('The List'!AJ2:AJ665))/STDEV('The List'!AJ2:AJ665)</f>
        <v>1.6309529139929102</v>
      </c>
      <c r="X655" s="54">
        <f>(VLOOKUP($A655,'The List'!$B1:$AR665,36,FALSE)-AVERAGE('The List'!AK2:AK665))/STDEV('The List'!AK2:AK665)</f>
        <v>1.5277259038975957</v>
      </c>
      <c r="Y655" s="54">
        <f>(VLOOKUP($A655,'The List'!$B1:$AR665,37,FALSE)-AVERAGE('The List'!AL2:AL665))/STDEV('The List'!AL2:AL665)*-1</f>
        <v>-1.0411466345310556</v>
      </c>
      <c r="Z655" s="54">
        <f>(VLOOKUP($A655,'The List'!$B1:$AR665,38,FALSE)-AVERAGE('The List'!AM2:AM665))/STDEV('The List'!AM2:AM665)</f>
        <v>1.6309529139929102</v>
      </c>
      <c r="AA655" s="54">
        <f>(VLOOKUP($A655,'The List'!$B1:$AR665,39,FALSE)-AVERAGE('The List'!AN2:AN665))/STDEV('The List'!AN2:AN665)</f>
        <v>1.3334414227670561</v>
      </c>
      <c r="AB655" s="54">
        <f>(VLOOKUP($A655,'The List'!$B1:$AR665,40,FALSE)-AVERAGE('The List'!AO2:AO665))/STDEV('The List'!AO2:AO665)</f>
        <v>1.6438385649852754</v>
      </c>
      <c r="AC655" s="54">
        <f>(VLOOKUP($A655,'The List'!$B1:$AR665,42,FALSE)-AVERAGE('The List'!AQ2:AQ665))/STDEV('The List'!AQ2:AQ665)</f>
        <v>0.85737505162365202</v>
      </c>
      <c r="AD655" s="54">
        <f>(VLOOKUP($A655,'The List'!$B1:$AR665,43,FALSE)-AVERAGE('The List'!AR2:AR665))/STDEV('The List'!AR2:AR665)*-1</f>
        <v>0.61049502462295779</v>
      </c>
      <c r="AE655" s="54"/>
    </row>
    <row r="656" spans="1:31" ht="21.25" customHeight="1" x14ac:dyDescent="0.15">
      <c r="A656" s="9" t="s">
        <v>776</v>
      </c>
      <c r="B656" s="65" t="str">
        <f>VLOOKUP(A656,'Player Data'!A1:B667,2,FALSE)</f>
        <v>T.B</v>
      </c>
      <c r="C656" s="51">
        <f>(W656*Settings!$C$29)+(X656*Settings!$C$21)+(Y656*Settings!$C$22)+(AA656*Settings!$C$24)+(AB656*Settings!$C$25)+(Z656*Settings!$C$23)+(AC656*Settings!$C$26)+(AD656*Settings!$C$28)</f>
        <v>-5.2933982497701422</v>
      </c>
      <c r="D656" s="56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>
        <f>(VLOOKUP($A656,'The List'!$B1:$AR665,35,FALSE)-AVERAGE('The List'!AJ2:AJ665))/STDEV('The List'!AJ2:AJ665)</f>
        <v>-1.600180217502478</v>
      </c>
      <c r="X656" s="54">
        <f>(VLOOKUP($A656,'The List'!$B1:$AR665,36,FALSE)-AVERAGE('The List'!AK2:AK665))/STDEV('The List'!AK2:AK665)</f>
        <v>-1.2698525612856415</v>
      </c>
      <c r="Y656" s="54">
        <f>(VLOOKUP($A656,'The List'!$B1:$AR665,37,FALSE)-AVERAGE('The List'!AL2:AL665))/STDEV('The List'!AL2:AL665)*-1</f>
        <v>1.4574252764924218</v>
      </c>
      <c r="Z656" s="54">
        <f>(VLOOKUP($A656,'The List'!$B1:$AR665,38,FALSE)-AVERAGE('The List'!AM2:AM665))/STDEV('The List'!AM2:AM665)</f>
        <v>-1.600180217502478</v>
      </c>
      <c r="AA656" s="54">
        <f>(VLOOKUP($A656,'The List'!$B1:$AR665,39,FALSE)-AVERAGE('The List'!AN2:AN665))/STDEV('The List'!AN2:AN665)</f>
        <v>-1.2846592139913451</v>
      </c>
      <c r="AB656" s="54">
        <f>(VLOOKUP($A656,'The List'!$B1:$AR665,40,FALSE)-AVERAGE('The List'!AO2:AO665))/STDEV('The List'!AO2:AO665)</f>
        <v>-1.6039136586746874</v>
      </c>
      <c r="AC656" s="54">
        <f>(VLOOKUP($A656,'The List'!$B1:$AR665,42,FALSE)-AVERAGE('The List'!AQ2:AQ665))/STDEV('The List'!AQ2:AQ665)</f>
        <v>-1.590216745804246</v>
      </c>
      <c r="AD656" s="54">
        <f>(VLOOKUP($A656,'The List'!$B1:$AR665,43,FALSE)-AVERAGE('The List'!AR2:AR665))/STDEV('The List'!AR2:AR665)*-1</f>
        <v>-1.14866972868891</v>
      </c>
      <c r="AE656" s="54"/>
    </row>
    <row r="657" spans="1:31" ht="21.25" customHeight="1" x14ac:dyDescent="0.15">
      <c r="A657" s="9" t="s">
        <v>285</v>
      </c>
      <c r="B657" s="65" t="str">
        <f>VLOOKUP(A657,'Player Data'!A1:B667,2,FALSE)</f>
        <v>TOR</v>
      </c>
      <c r="C657" s="51">
        <f>(W657*Settings!$C$29)+(X657*Settings!$C$21)+(Y657*Settings!$C$22)+(AA657*Settings!$C$24)+(AB657*Settings!$C$25)+(Z657*Settings!$C$23)+(AC657*Settings!$C$26)+(AD657*Settings!$C$28)</f>
        <v>3.0977932304256566</v>
      </c>
      <c r="D657" s="56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>
        <f>(VLOOKUP($A657,'The List'!$B1:$AR665,35,FALSE)-AVERAGE('The List'!AJ2:AJ665))/STDEV('The List'!AJ2:AJ665)</f>
        <v>0.3384996613947549</v>
      </c>
      <c r="X657" s="54">
        <f>(VLOOKUP($A657,'The List'!$B1:$AR665,36,FALSE)-AVERAGE('The List'!AK2:AK665))/STDEV('The List'!AK2:AK665)</f>
        <v>0.97733787318182241</v>
      </c>
      <c r="Y657" s="54">
        <f>(VLOOKUP($A657,'The List'!$B1:$AR665,37,FALSE)-AVERAGE('The List'!AL2:AL665))/STDEV('The List'!AL2:AL665)*-1</f>
        <v>1.040519558219082</v>
      </c>
      <c r="Z657" s="54">
        <f>(VLOOKUP($A657,'The List'!$B1:$AR665,38,FALSE)-AVERAGE('The List'!AM2:AM665))/STDEV('The List'!AM2:AM665)</f>
        <v>0.3384996613947549</v>
      </c>
      <c r="AA657" s="54">
        <f>(VLOOKUP($A657,'The List'!$B1:$AR665,39,FALSE)-AVERAGE('The List'!AN2:AN665))/STDEV('The List'!AN2:AN665)</f>
        <v>0.43841084576525896</v>
      </c>
      <c r="AB657" s="54">
        <f>(VLOOKUP($A657,'The List'!$B1:$AR665,40,FALSE)-AVERAGE('The List'!AO2:AO665))/STDEV('The List'!AO2:AO665)</f>
        <v>0.33874329140290993</v>
      </c>
      <c r="AC657" s="54">
        <f>(VLOOKUP($A657,'The List'!$B1:$AR665,42,FALSE)-AVERAGE('The List'!AQ2:AQ665))/STDEV('The List'!AQ2:AQ665)</f>
        <v>0.94632185814692937</v>
      </c>
      <c r="AD657" s="54">
        <f>(VLOOKUP($A657,'The List'!$B1:$AR665,43,FALSE)-AVERAGE('The List'!AR2:AR665))/STDEV('The List'!AR2:AR665)*-1</f>
        <v>0.73572265333164555</v>
      </c>
      <c r="AE657" s="54"/>
    </row>
    <row r="658" spans="1:31" ht="21.25" customHeight="1" x14ac:dyDescent="0.15">
      <c r="A658" s="9" t="s">
        <v>418</v>
      </c>
      <c r="B658" s="65" t="str">
        <f>VLOOKUP(A658,'Player Data'!A1:B667,2,FALSE)</f>
        <v>TOR</v>
      </c>
      <c r="C658" s="51">
        <f>(W658*Settings!$C$29)+(X658*Settings!$C$21)+(Y658*Settings!$C$22)+(AA658*Settings!$C$24)+(AB658*Settings!$C$25)+(Z658*Settings!$C$23)+(AC658*Settings!$C$26)+(AD658*Settings!$C$28)</f>
        <v>1.7277426935827096</v>
      </c>
      <c r="D658" s="56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>
        <f>(VLOOKUP($A658,'The List'!$B1:$AR665,35,FALSE)-AVERAGE('The List'!AJ2:AJ665))/STDEV('The List'!AJ2:AJ665)</f>
        <v>-0.30772696490432272</v>
      </c>
      <c r="X658" s="54">
        <f>(VLOOKUP($A658,'The List'!$B1:$AR665,36,FALSE)-AVERAGE('The List'!AK2:AK665))/STDEV('The List'!AK2:AK665)</f>
        <v>0.24716869842385275</v>
      </c>
      <c r="Y658" s="54">
        <f>(VLOOKUP($A658,'The List'!$B1:$AR665,37,FALSE)-AVERAGE('The List'!AL2:AL665))/STDEV('The List'!AL2:AL665)*-1</f>
        <v>1.2154476161742658</v>
      </c>
      <c r="Z658" s="54">
        <f>(VLOOKUP($A658,'The List'!$B1:$AR665,38,FALSE)-AVERAGE('The List'!AM2:AM665))/STDEV('The List'!AM2:AM665)</f>
        <v>-0.30772696490432272</v>
      </c>
      <c r="AA658" s="54">
        <f>(VLOOKUP($A658,'The List'!$B1:$AR665,39,FALSE)-AVERAGE('The List'!AN2:AN665))/STDEV('The List'!AN2:AN665)</f>
        <v>7.7438953719296572E-2</v>
      </c>
      <c r="AB658" s="54">
        <f>(VLOOKUP($A658,'The List'!$B1:$AR665,40,FALSE)-AVERAGE('The List'!AO2:AO665))/STDEV('The List'!AO2:AO665)</f>
        <v>-0.3369452846466845</v>
      </c>
      <c r="AC658" s="54">
        <f>(VLOOKUP($A658,'The List'!$B1:$AR665,42,FALSE)-AVERAGE('The List'!AQ2:AQ665))/STDEV('The List'!AQ2:AQ665)</f>
        <v>0.70212963231667735</v>
      </c>
      <c r="AD658" s="54">
        <f>(VLOOKUP($A658,'The List'!$B1:$AR665,43,FALSE)-AVERAGE('The List'!AR2:AR665))/STDEV('The List'!AR2:AR665)*-1</f>
        <v>0.70100540912288312</v>
      </c>
      <c r="AE658" s="54"/>
    </row>
    <row r="659" spans="1:31" ht="21.25" customHeight="1" x14ac:dyDescent="0.15">
      <c r="A659" s="9" t="s">
        <v>196</v>
      </c>
      <c r="B659" s="65" t="str">
        <f>VLOOKUP(A659,'Player Data'!A1:B667,2,FALSE)</f>
        <v>VAN</v>
      </c>
      <c r="C659" s="51">
        <f>(W659*Settings!$C$29)+(X659*Settings!$C$21)+(Y659*Settings!$C$22)+(AA659*Settings!$C$24)+(AB659*Settings!$C$25)+(Z659*Settings!$C$23)+(AC659*Settings!$C$26)+(AD659*Settings!$C$28)</f>
        <v>5.9432577577584471</v>
      </c>
      <c r="D659" s="56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>
        <f>(VLOOKUP($A659,'The List'!$B1:$AR665,35,FALSE)-AVERAGE('The List'!AJ2:AJ665))/STDEV('The List'!AJ2:AJ665)</f>
        <v>1.3078396008433713</v>
      </c>
      <c r="X659" s="54">
        <f>(VLOOKUP($A659,'The List'!$B1:$AR665,36,FALSE)-AVERAGE('The List'!AK2:AK665))/STDEV('The List'!AK2:AK665)</f>
        <v>1.6630396271864845</v>
      </c>
      <c r="Y659" s="54">
        <f>(VLOOKUP($A659,'The List'!$B1:$AR665,37,FALSE)-AVERAGE('The List'!AL2:AL665))/STDEV('The List'!AL2:AL665)*-1</f>
        <v>-1.3285935334580801E-3</v>
      </c>
      <c r="Z659" s="54">
        <f>(VLOOKUP($A659,'The List'!$B1:$AR665,38,FALSE)-AVERAGE('The List'!AM2:AM665))/STDEV('The List'!AM2:AM665)</f>
        <v>1.3078396008433713</v>
      </c>
      <c r="AA659" s="54">
        <f>(VLOOKUP($A659,'The List'!$B1:$AR665,39,FALSE)-AVERAGE('The List'!AN2:AN665))/STDEV('The List'!AN2:AN665)</f>
        <v>1.7057644769314857</v>
      </c>
      <c r="AB659" s="54">
        <f>(VLOOKUP($A659,'The List'!$B1:$AR665,40,FALSE)-AVERAGE('The List'!AO2:AO665))/STDEV('The List'!AO2:AO665)</f>
        <v>1.1241600661839348</v>
      </c>
      <c r="AC659" s="54">
        <f>(VLOOKUP($A659,'The List'!$B1:$AR665,42,FALSE)-AVERAGE('The List'!AQ2:AQ665))/STDEV('The List'!AQ2:AQ665)</f>
        <v>1.1444885105361247</v>
      </c>
      <c r="AD659" s="54">
        <f>(VLOOKUP($A659,'The List'!$B1:$AR665,43,FALSE)-AVERAGE('The List'!AR2:AR665))/STDEV('The List'!AR2:AR665)*-1</f>
        <v>1.4299651431043525</v>
      </c>
      <c r="AE659" s="54"/>
    </row>
    <row r="660" spans="1:31" ht="21.25" customHeight="1" x14ac:dyDescent="0.15">
      <c r="A660" s="9" t="s">
        <v>760</v>
      </c>
      <c r="B660" s="65" t="str">
        <f>VLOOKUP(A660,'Player Data'!A1:B667,2,FALSE)</f>
        <v>VAN</v>
      </c>
      <c r="C660" s="51">
        <f>(W660*Settings!$C$29)+(X660*Settings!$C$21)+(Y660*Settings!$C$22)+(AA660*Settings!$C$24)+(AB660*Settings!$C$25)+(Z660*Settings!$C$23)+(AC660*Settings!$C$26)+(AD660*Settings!$C$28)</f>
        <v>-3.2244844683854108</v>
      </c>
      <c r="D660" s="56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>
        <f>(VLOOKUP($A660,'The List'!$B1:$AR665,35,FALSE)-AVERAGE('The List'!AJ2:AJ665))/STDEV('The List'!AJ2:AJ665)</f>
        <v>-1.4386235609277085</v>
      </c>
      <c r="X660" s="54">
        <f>(VLOOKUP($A660,'The List'!$B1:$AR665,36,FALSE)-AVERAGE('The List'!AK2:AK665))/STDEV('The List'!AK2:AK665)</f>
        <v>-0.98713871391880026</v>
      </c>
      <c r="Y660" s="54">
        <f>(VLOOKUP($A660,'The List'!$B1:$AR665,37,FALSE)-AVERAGE('The List'!AL2:AL665))/STDEV('The List'!AL2:AL665)*-1</f>
        <v>1.604338951649487</v>
      </c>
      <c r="Z660" s="54">
        <f>(VLOOKUP($A660,'The List'!$B1:$AR665,38,FALSE)-AVERAGE('The List'!AM2:AM665))/STDEV('The List'!AM2:AM665)</f>
        <v>-1.4386235609277085</v>
      </c>
      <c r="AA660" s="54">
        <f>(VLOOKUP($A660,'The List'!$B1:$AR665,39,FALSE)-AVERAGE('The List'!AN2:AN665))/STDEV('The List'!AN2:AN665)</f>
        <v>-0.93945332274256987</v>
      </c>
      <c r="AB660" s="54">
        <f>(VLOOKUP($A660,'The List'!$B1:$AR665,40,FALSE)-AVERAGE('The List'!AO2:AO665))/STDEV('The List'!AO2:AO665)</f>
        <v>-1.5196265007956453</v>
      </c>
      <c r="AC660" s="54">
        <f>(VLOOKUP($A660,'The List'!$B1:$AR665,42,FALSE)-AVERAGE('The List'!AQ2:AQ665))/STDEV('The List'!AQ2:AQ665)</f>
        <v>-1.1517566871809992</v>
      </c>
      <c r="AD660" s="54">
        <f>(VLOOKUP($A660,'The List'!$B1:$AR665,43,FALSE)-AVERAGE('The List'!AR2:AR665))/STDEV('The List'!AR2:AR665)*-1</f>
        <v>-0.1461357445430416</v>
      </c>
      <c r="AE660" s="54"/>
    </row>
    <row r="661" spans="1:31" ht="21.25" customHeight="1" x14ac:dyDescent="0.15">
      <c r="A661" s="9" t="s">
        <v>276</v>
      </c>
      <c r="B661" s="65" t="str">
        <f>VLOOKUP(A661,'Player Data'!A1:B667,2,FALSE)</f>
        <v>VGK</v>
      </c>
      <c r="C661" s="51">
        <f>(W661*Settings!$C$29)+(X661*Settings!$C$21)+(Y661*Settings!$C$22)+(AA661*Settings!$C$24)+(AB661*Settings!$C$25)+(Z661*Settings!$C$23)+(AC661*Settings!$C$26)+(AD661*Settings!$C$28)</f>
        <v>3.2612234079022406</v>
      </c>
      <c r="D661" s="56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>
        <f>(VLOOKUP($A661,'The List'!$B1:$AR665,35,FALSE)-AVERAGE('The List'!AJ2:AJ665))/STDEV('The List'!AJ2:AJ665)</f>
        <v>0.66161297454429369</v>
      </c>
      <c r="X661" s="54">
        <f>(VLOOKUP($A661,'The List'!$B1:$AR665,36,FALSE)-AVERAGE('The List'!AK2:AK665))/STDEV('The List'!AK2:AK665)</f>
        <v>0.69851652679047382</v>
      </c>
      <c r="Y661" s="54">
        <f>(VLOOKUP($A661,'The List'!$B1:$AR665,37,FALSE)-AVERAGE('The List'!AL2:AL665))/STDEV('The List'!AL2:AL665)*-1</f>
        <v>-0.27242102876527374</v>
      </c>
      <c r="Z661" s="54">
        <f>(VLOOKUP($A661,'The List'!$B1:$AR665,38,FALSE)-AVERAGE('The List'!AM2:AM665))/STDEV('The List'!AM2:AM665)</f>
        <v>0.66161297454429369</v>
      </c>
      <c r="AA661" s="54">
        <f>(VLOOKUP($A661,'The List'!$B1:$AR665,39,FALSE)-AVERAGE('The List'!AN2:AN665))/STDEV('The List'!AN2:AN665)</f>
        <v>0.86510099458401424</v>
      </c>
      <c r="AB661" s="54">
        <f>(VLOOKUP($A661,'The List'!$B1:$AR665,40,FALSE)-AVERAGE('The List'!AO2:AO665))/STDEV('The List'!AO2:AO665)</f>
        <v>0.58247264507239127</v>
      </c>
      <c r="AC661" s="54">
        <f>(VLOOKUP($A661,'The List'!$B1:$AR665,42,FALSE)-AVERAGE('The List'!AQ2:AQ665))/STDEV('The List'!AQ2:AQ665)</f>
        <v>0.79925501625696449</v>
      </c>
      <c r="AD661" s="54">
        <f>(VLOOKUP($A661,'The List'!$B1:$AR665,43,FALSE)-AVERAGE('The List'!AR2:AR665))/STDEV('The List'!AR2:AR665)*-1</f>
        <v>0.89835087027078797</v>
      </c>
      <c r="AE661" s="54"/>
    </row>
    <row r="662" spans="1:31" ht="21.25" customHeight="1" x14ac:dyDescent="0.15">
      <c r="A662" s="9" t="s">
        <v>602</v>
      </c>
      <c r="B662" s="65" t="str">
        <f>VLOOKUP(A662,'Player Data'!A1:B667,2,FALSE)</f>
        <v>VGK</v>
      </c>
      <c r="C662" s="51">
        <f>(W662*Settings!$C$29)+(X662*Settings!$C$21)+(Y662*Settings!$C$22)+(AA662*Settings!$C$24)+(AB662*Settings!$C$25)+(Z662*Settings!$C$23)+(AC662*Settings!$C$26)+(AD662*Settings!$C$28)</f>
        <v>-0.73714157574669481</v>
      </c>
      <c r="D662" s="56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>
        <f>(VLOOKUP($A662,'The List'!$B1:$AR665,35,FALSE)-AVERAGE('The List'!AJ2:AJ665))/STDEV('The List'!AJ2:AJ665)</f>
        <v>-0.79239693462863092</v>
      </c>
      <c r="X662" s="54">
        <f>(VLOOKUP($A662,'The List'!$B1:$AR665,36,FALSE)-AVERAGE('The List'!AK2:AK665))/STDEV('The List'!AK2:AK665)</f>
        <v>-0.55659380082321119</v>
      </c>
      <c r="Y662" s="54">
        <f>(VLOOKUP($A662,'The List'!$B1:$AR665,37,FALSE)-AVERAGE('The List'!AL2:AL665))/STDEV('The List'!AL2:AL665)*-1</f>
        <v>0.85916842562551565</v>
      </c>
      <c r="Z662" s="54">
        <f>(VLOOKUP($A662,'The List'!$B1:$AR665,38,FALSE)-AVERAGE('The List'!AM2:AM665))/STDEV('The List'!AM2:AM665)</f>
        <v>-0.79239693462863092</v>
      </c>
      <c r="AA662" s="54">
        <f>(VLOOKUP($A662,'The List'!$B1:$AR665,39,FALSE)-AVERAGE('The List'!AN2:AN665))/STDEV('The List'!AN2:AN665)</f>
        <v>-0.41062201023570105</v>
      </c>
      <c r="AB662" s="54">
        <f>(VLOOKUP($A662,'The List'!$B1:$AR665,40,FALSE)-AVERAGE('The List'!AO2:AO665))/STDEV('The List'!AO2:AO665)</f>
        <v>-0.8454233686919872</v>
      </c>
      <c r="AC662" s="54">
        <f>(VLOOKUP($A662,'The List'!$B1:$AR665,42,FALSE)-AVERAGE('The List'!AQ2:AQ665))/STDEV('The List'!AQ2:AQ665)</f>
        <v>-6.3161295268571838E-2</v>
      </c>
      <c r="AD662" s="54">
        <f>(VLOOKUP($A662,'The List'!$B1:$AR665,43,FALSE)-AVERAGE('The List'!AR2:AR665))/STDEV('The List'!AR2:AR665)*-1</f>
        <v>0.29323553058078922</v>
      </c>
      <c r="AE662" s="54"/>
    </row>
    <row r="663" spans="1:31" ht="21.25" customHeight="1" x14ac:dyDescent="0.15">
      <c r="A663" s="9" t="s">
        <v>148</v>
      </c>
      <c r="B663" s="65" t="str">
        <f>VLOOKUP(A663,'Player Data'!A1:B667,2,FALSE)</f>
        <v>WPG</v>
      </c>
      <c r="C663" s="51">
        <f>(W663*Settings!$C$29)+(X663*Settings!$C$21)+(Y663*Settings!$C$22)+(AA663*Settings!$C$24)+(AB663*Settings!$C$25)+(Z663*Settings!$C$23)+(AC663*Settings!$C$26)+(AD663*Settings!$C$28)</f>
        <v>8.6636303519561348</v>
      </c>
      <c r="D663" s="56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>
        <f>(VLOOKUP($A663,'The List'!$B1:$AR665,35,FALSE)-AVERAGE('The List'!AJ2:AJ665))/STDEV('The List'!AJ2:AJ665)</f>
        <v>1.6309529139929102</v>
      </c>
      <c r="X663" s="54">
        <f>(VLOOKUP($A663,'The List'!$B1:$AR665,36,FALSE)-AVERAGE('The List'!AK2:AK665))/STDEV('The List'!AK2:AK665)</f>
        <v>1.7477767705190335</v>
      </c>
      <c r="Y663" s="54">
        <f>(VLOOKUP($A663,'The List'!$B1:$AR665,37,FALSE)-AVERAGE('The List'!AL2:AL665))/STDEV('The List'!AL2:AL665)*-1</f>
        <v>-0.62234760742063122</v>
      </c>
      <c r="Z663" s="54">
        <f>(VLOOKUP($A663,'The List'!$B1:$AR665,38,FALSE)-AVERAGE('The List'!AM2:AM665))/STDEV('The List'!AM2:AM665)</f>
        <v>1.6309529139929102</v>
      </c>
      <c r="AA663" s="54">
        <f>(VLOOKUP($A663,'The List'!$B1:$AR665,39,FALSE)-AVERAGE('The List'!AN2:AN665))/STDEV('The List'!AN2:AN665)</f>
        <v>2.454445874588691</v>
      </c>
      <c r="AB663" s="54">
        <f>(VLOOKUP($A663,'The List'!$B1:$AR665,40,FALSE)-AVERAGE('The List'!AO2:AO665))/STDEV('The List'!AO2:AO665)</f>
        <v>1.5593276045349309</v>
      </c>
      <c r="AC663" s="54">
        <f>(VLOOKUP($A663,'The List'!$B1:$AR665,42,FALSE)-AVERAGE('The List'!AQ2:AQ665))/STDEV('The List'!AQ2:AQ665)</f>
        <v>2.411916739973849</v>
      </c>
      <c r="AD663" s="54">
        <f>(VLOOKUP($A663,'The List'!$B1:$AR665,43,FALSE)-AVERAGE('The List'!AR2:AR665))/STDEV('The List'!AR2:AR665)*-1</f>
        <v>2.0494909668745618</v>
      </c>
      <c r="AE663" s="54"/>
    </row>
    <row r="664" spans="1:31" ht="21.25" customHeight="1" x14ac:dyDescent="0.15">
      <c r="A664" s="9" t="s">
        <v>780</v>
      </c>
      <c r="B664" s="65" t="str">
        <f>VLOOKUP(A664,'Player Data'!A1:B667,2,FALSE)</f>
        <v>WPG</v>
      </c>
      <c r="C664" s="51">
        <f>(W664*Settings!$C$29)+(X664*Settings!$C$21)+(Y664*Settings!$C$22)+(AA664*Settings!$C$24)+(AB664*Settings!$C$25)+(Z664*Settings!$C$23)+(AC664*Settings!$C$26)+(AD664*Settings!$C$28)</f>
        <v>-4.7880271721146004</v>
      </c>
      <c r="D664" s="56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>
        <f>(VLOOKUP($A664,'The List'!$B1:$AR665,35,FALSE)-AVERAGE('The List'!AJ2:AJ665))/STDEV('The List'!AJ2:AJ665)</f>
        <v>-1.600180217502478</v>
      </c>
      <c r="X664" s="54">
        <f>(VLOOKUP($A664,'The List'!$B1:$AR665,36,FALSE)-AVERAGE('The List'!AK2:AK665))/STDEV('The List'!AK2:AK665)</f>
        <v>-1.3381854946952101</v>
      </c>
      <c r="Y664" s="54">
        <f>(VLOOKUP($A664,'The List'!$B1:$AR665,37,FALSE)-AVERAGE('The List'!AL2:AL665))/STDEV('The List'!AL2:AL665)*-1</f>
        <v>1.3273745910717596</v>
      </c>
      <c r="Z664" s="54">
        <f>(VLOOKUP($A664,'The List'!$B1:$AR665,38,FALSE)-AVERAGE('The List'!AM2:AM665))/STDEV('The List'!AM2:AM665)</f>
        <v>-1.600180217502478</v>
      </c>
      <c r="AA664" s="54">
        <f>(VLOOKUP($A664,'The List'!$B1:$AR665,39,FALSE)-AVERAGE('The List'!AN2:AN665))/STDEV('The List'!AN2:AN665)</f>
        <v>-1.1762322947416171</v>
      </c>
      <c r="AB664" s="54">
        <f>(VLOOKUP($A664,'The List'!$B1:$AR665,40,FALSE)-AVERAGE('The List'!AO2:AO665))/STDEV('The List'!AO2:AO665)</f>
        <v>-1.6438972629902096</v>
      </c>
      <c r="AC664" s="54">
        <f>(VLOOKUP($A664,'The List'!$B1:$AR665,42,FALSE)-AVERAGE('The List'!AQ2:AQ665))/STDEV('The List'!AQ2:AQ665)</f>
        <v>-1.5485954175085959</v>
      </c>
      <c r="AD664" s="54">
        <f>(VLOOKUP($A664,'The List'!$B1:$AR665,43,FALSE)-AVERAGE('The List'!AR2:AR665))/STDEV('The List'!AR2:AR665)*-1</f>
        <v>-0.72501396516917782</v>
      </c>
      <c r="AE664" s="54"/>
    </row>
    <row r="665" spans="1:31" ht="21.25" customHeight="1" x14ac:dyDescent="0.15">
      <c r="A665" s="9" t="s">
        <v>317</v>
      </c>
      <c r="B665" s="65" t="str">
        <f>VLOOKUP(A665,'Player Data'!A1:B667,2,FALSE)</f>
        <v>WSH</v>
      </c>
      <c r="C665" s="51">
        <f>(W665*Settings!$C$29)+(X665*Settings!$C$21)+(Y665*Settings!$C$22)+(AA665*Settings!$C$24)+(AB665*Settings!$C$25)+(Z665*Settings!$C$23)+(AC665*Settings!$C$26)+(AD665*Settings!$C$28)</f>
        <v>0.73550393762281641</v>
      </c>
      <c r="D665" s="56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>
        <f>(VLOOKUP($A665,'The List'!$B1:$AR665,35,FALSE)-AVERAGE('The List'!AJ2:AJ665))/STDEV('The List'!AJ2:AJ665)</f>
        <v>0.41927798968213958</v>
      </c>
      <c r="X665" s="54">
        <f>(VLOOKUP($A665,'The List'!$B1:$AR665,36,FALSE)-AVERAGE('The List'!AK2:AK665))/STDEV('The List'!AK2:AK665)</f>
        <v>0.12535023160562683</v>
      </c>
      <c r="Y665" s="54">
        <f>(VLOOKUP($A665,'The List'!$B1:$AR665,37,FALSE)-AVERAGE('The List'!AL2:AL665))/STDEV('The List'!AL2:AL665)*-1</f>
        <v>-0.77654893547425152</v>
      </c>
      <c r="Z665" s="54">
        <f>(VLOOKUP($A665,'The List'!$B1:$AR665,38,FALSE)-AVERAGE('The List'!AM2:AM665))/STDEV('The List'!AM2:AM665)</f>
        <v>0.41927798968213958</v>
      </c>
      <c r="AA665" s="54">
        <f>(VLOOKUP($A665,'The List'!$B1:$AR665,39,FALSE)-AVERAGE('The List'!AN2:AN665))/STDEV('The List'!AN2:AN665)</f>
        <v>0.17921144852563517</v>
      </c>
      <c r="AB665" s="54">
        <f>(VLOOKUP($A665,'The List'!$B1:$AR665,40,FALSE)-AVERAGE('The List'!AO2:AO665))/STDEV('The List'!AO2:AO665)</f>
        <v>0.47132349006450386</v>
      </c>
      <c r="AC665" s="54">
        <f>(VLOOKUP($A665,'The List'!$B1:$AR665,42,FALSE)-AVERAGE('The List'!AQ2:AQ665))/STDEV('The List'!AQ2:AQ665)</f>
        <v>0.36128915988184107</v>
      </c>
      <c r="AD665" s="54">
        <f>(VLOOKUP($A665,'The List'!$B1:$AR665,43,FALSE)-AVERAGE('The List'!AR2:AR665))/STDEV('The List'!AR2:AR665)*-1</f>
        <v>6.9653097609713263E-2</v>
      </c>
      <c r="AE665" s="54"/>
    </row>
    <row r="666" spans="1:31" ht="21.25" customHeight="1" x14ac:dyDescent="0.15">
      <c r="A666" s="9" t="s">
        <v>509</v>
      </c>
      <c r="B666" s="65" t="str">
        <f>VLOOKUP(A666,'Player Data'!A1:B667,2,FALSE)</f>
        <v>WSH</v>
      </c>
      <c r="C666" s="51">
        <f>(W666*Settings!$C$29)+(X666*Settings!$C$21)+(Y666*Settings!$C$22)+(AA666*Settings!$C$24)+(AB666*Settings!$C$25)+(Z666*Settings!$C$23)+(AC666*Settings!$C$26)+(AD666*Settings!$C$28)</f>
        <v>-1.6720850266659204</v>
      </c>
      <c r="D666" s="56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>
        <f>(VLOOKUP($A666,'The List'!$B1:$AR665,35,FALSE)-AVERAGE('The List'!AJ2:AJ665))/STDEV('The List'!AJ2:AJ665)</f>
        <v>-0.3885052931917074</v>
      </c>
      <c r="X666" s="54">
        <f>(VLOOKUP($A666,'The List'!$B1:$AR665,36,FALSE)-AVERAGE('The List'!AK2:AK665))/STDEV('The List'!AK2:AK665)</f>
        <v>-0.50653052359513218</v>
      </c>
      <c r="Y666" s="54">
        <f>(VLOOKUP($A666,'The List'!$B1:$AR665,37,FALSE)-AVERAGE('The List'!AL2:AL665))/STDEV('The List'!AL2:AL665)*-1</f>
        <v>-2.3414124092852519E-2</v>
      </c>
      <c r="Z666" s="54">
        <f>(VLOOKUP($A666,'The List'!$B1:$AR665,38,FALSE)-AVERAGE('The List'!AM2:AM665))/STDEV('The List'!AM2:AM665)</f>
        <v>-0.3885052931917074</v>
      </c>
      <c r="AA666" s="54">
        <f>(VLOOKUP($A666,'The List'!$B1:$AR665,39,FALSE)-AVERAGE('The List'!AN2:AN665))/STDEV('The List'!AN2:AN665)</f>
        <v>-0.49631111029782576</v>
      </c>
      <c r="AB666" s="54">
        <f>(VLOOKUP($A666,'The List'!$B1:$AR665,40,FALSE)-AVERAGE('The List'!AO2:AO665))/STDEV('The List'!AO2:AO665)</f>
        <v>-0.3533170643715583</v>
      </c>
      <c r="AC666" s="54">
        <f>(VLOOKUP($A666,'The List'!$B1:$AR665,42,FALSE)-AVERAGE('The List'!AQ2:AQ665))/STDEV('The List'!AQ2:AQ665)</f>
        <v>-0.27536616987381501</v>
      </c>
      <c r="AD666" s="54">
        <f>(VLOOKUP($A666,'The List'!$B1:$AR665,43,FALSE)-AVERAGE('The List'!AR2:AR665))/STDEV('The List'!AR2:AR665)*-1</f>
        <v>-0.39387722289914739</v>
      </c>
      <c r="AE666" s="54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665"/>
  <sheetViews>
    <sheetView showGridLines="0" tabSelected="1" workbookViewId="0">
      <pane ySplit="1" topLeftCell="A2" activePane="bottomLeft" state="frozen"/>
      <selection pane="bottomLeft" activeCell="R14" sqref="R14"/>
    </sheetView>
  </sheetViews>
  <sheetFormatPr baseColWidth="10" defaultColWidth="8" defaultRowHeight="16.25" customHeight="1" x14ac:dyDescent="0.15"/>
  <cols>
    <col min="1" max="1" width="4.6640625" style="1" customWidth="1"/>
    <col min="2" max="2" width="28.33203125" style="1" customWidth="1"/>
    <col min="3" max="4" width="7.1640625" style="1" customWidth="1"/>
    <col min="5" max="5" width="6" style="1" customWidth="1"/>
    <col min="6" max="14" width="8.33203125" style="1" customWidth="1"/>
    <col min="15" max="15" width="3.5" style="1" customWidth="1"/>
    <col min="16" max="34" width="7.1640625" style="1" customWidth="1"/>
    <col min="35" max="35" width="2.33203125" style="1" customWidth="1"/>
    <col min="36" max="44" width="7.1640625" style="1" customWidth="1"/>
    <col min="45" max="45" width="2.33203125" style="1" customWidth="1"/>
    <col min="46" max="46" width="8" style="1" customWidth="1"/>
    <col min="47" max="16384" width="8" style="1"/>
  </cols>
  <sheetData>
    <row r="1" spans="1:45" ht="49" customHeight="1" x14ac:dyDescent="0.15">
      <c r="A1" s="37" t="s">
        <v>88</v>
      </c>
      <c r="B1" s="38" t="s">
        <v>89</v>
      </c>
      <c r="C1" s="39" t="s">
        <v>90</v>
      </c>
      <c r="D1" s="204" t="s">
        <v>91</v>
      </c>
      <c r="E1" s="200"/>
      <c r="F1" s="40" t="s">
        <v>92</v>
      </c>
      <c r="G1" s="39" t="s">
        <v>93</v>
      </c>
      <c r="H1" s="39" t="s">
        <v>94</v>
      </c>
      <c r="I1" s="41" t="s">
        <v>95</v>
      </c>
      <c r="J1" s="39" t="s">
        <v>96</v>
      </c>
      <c r="K1" s="41" t="s">
        <v>97</v>
      </c>
      <c r="L1" s="41" t="s">
        <v>98</v>
      </c>
      <c r="M1" s="41" t="s">
        <v>99</v>
      </c>
      <c r="N1" s="41" t="s">
        <v>100</v>
      </c>
      <c r="O1" s="42"/>
      <c r="P1" s="43" t="s">
        <v>101</v>
      </c>
      <c r="Q1" s="44" t="s">
        <v>102</v>
      </c>
      <c r="R1" s="44" t="s">
        <v>55</v>
      </c>
      <c r="S1" s="44" t="s">
        <v>103</v>
      </c>
      <c r="T1" s="44" t="s">
        <v>104</v>
      </c>
      <c r="U1" s="44" t="s">
        <v>105</v>
      </c>
      <c r="V1" s="44" t="s">
        <v>106</v>
      </c>
      <c r="W1" s="44" t="s">
        <v>107</v>
      </c>
      <c r="X1" s="44" t="s">
        <v>63</v>
      </c>
      <c r="Y1" s="44" t="s">
        <v>108</v>
      </c>
      <c r="Z1" s="44" t="s">
        <v>109</v>
      </c>
      <c r="AA1" s="44" t="s">
        <v>110</v>
      </c>
      <c r="AB1" s="44" t="s">
        <v>111</v>
      </c>
      <c r="AC1" s="44" t="s">
        <v>112</v>
      </c>
      <c r="AD1" s="44" t="s">
        <v>113</v>
      </c>
      <c r="AE1" s="44" t="s">
        <v>114</v>
      </c>
      <c r="AF1" s="44" t="s">
        <v>115</v>
      </c>
      <c r="AG1" s="44" t="s">
        <v>116</v>
      </c>
      <c r="AH1" s="44" t="s">
        <v>117</v>
      </c>
      <c r="AI1" s="42"/>
      <c r="AJ1" s="44" t="s">
        <v>102</v>
      </c>
      <c r="AK1" s="44" t="s">
        <v>118</v>
      </c>
      <c r="AL1" s="44" t="s">
        <v>119</v>
      </c>
      <c r="AM1" s="44" t="s">
        <v>120</v>
      </c>
      <c r="AN1" s="44" t="s">
        <v>121</v>
      </c>
      <c r="AO1" s="44" t="s">
        <v>122</v>
      </c>
      <c r="AP1" s="44" t="s">
        <v>123</v>
      </c>
      <c r="AQ1" s="44" t="s">
        <v>124</v>
      </c>
      <c r="AR1" s="44" t="s">
        <v>125</v>
      </c>
      <c r="AS1" s="42"/>
    </row>
    <row r="2" spans="1:45" ht="21.25" customHeight="1" x14ac:dyDescent="0.15">
      <c r="A2" s="45">
        <f>RANK(K2,K$1:K$665)</f>
        <v>1</v>
      </c>
      <c r="B2" s="9" t="s">
        <v>126</v>
      </c>
      <c r="C2" s="46" t="s">
        <v>127</v>
      </c>
      <c r="D2" s="47" t="str">
        <f>VLOOKUP(B2,'Player Data'!A1:D667,4,FALSE)</f>
        <v>C</v>
      </c>
      <c r="E2" s="48">
        <f>VLOOKUP(B2,'C'!A1:C206,3,FALSE)</f>
        <v>1</v>
      </c>
      <c r="F2" s="49" t="str">
        <f>VLOOKUP(B2,'Player Data'!A1:B667,2,FALSE)</f>
        <v>EDM</v>
      </c>
      <c r="G2" s="10">
        <f>VLOOKUP(B2,'Player Data'!A1:D667,3,FALSE)</f>
        <v>27</v>
      </c>
      <c r="H2" s="50">
        <f>IFERROR(VLOOKUP(B2,ADP!A1:G665,7,FALSE)/1000000,VLOOKUP(B2,ADP!A1:G665,7,FALSE))</f>
        <v>12.5</v>
      </c>
      <c r="I2" s="51">
        <f>IF(Settings!$E$15="POINTS",((R2*Q2)*Settings!$B$12)+(S2*Settings!$B$2)+(T2*Settings!$B$3)+(U2*Settings!$B$4)+(V2*Settings!$B$5)+(X2*Settings!$B$9)+(AA2*Settings!$B$6)+(W2*Settings!$B$8)+(AB2*Settings!$B$7)+(AC2*Settings!$B$14)+(AD2*Settings!$B$15)+(AE2*Settings!$B$16)+(AF2*Settings!$B$17)+(AG2*Settings!$B$18)+(Y2*Settings!$B$10)+(Z2*Settings!$B$11),VLOOKUP(B2,'Standard Deviations'!A1:C666,3,FALSE))</f>
        <v>644.15091122653416</v>
      </c>
      <c r="J2" s="52">
        <f>IF(D2="G",I2/AJ2,I2/Q2)</f>
        <v>7.9756195285895393</v>
      </c>
      <c r="K2" s="51">
        <f>IF(Settings!$E$18="C/LW/RW",VLOOKUP(B2,'C'!A1:F206,6,FALSE),VLOOKUP(B2,F!A1:F392,6,FALSE))</f>
        <v>254.21375344845308</v>
      </c>
      <c r="L2" s="53">
        <f>IFERROR(K2/H2,"N/A")</f>
        <v>20.337100275876246</v>
      </c>
      <c r="M2" s="54">
        <f>IF(Settings!$E$9="YAHOO",VLOOKUP(B2,ADP!A1:E665,2,FALSE),IF(Settings!$E$9="ESPN",VLOOKUP(B2,ADP!A1:E665,3,FALSE),IF(Settings!$E$9="FANTRAX",VLOOKUP(B2,ADP!A1:E665,4,FALSE),VLOOKUP(B2,ADP!A1:E665,5,FALSE))))</f>
        <v>1</v>
      </c>
      <c r="N2" s="54">
        <f>IFERROR(M2-A2,"N/A")</f>
        <v>0</v>
      </c>
      <c r="O2" s="54"/>
      <c r="P2" s="55" t="str">
        <f>IF(Settings!$E$27="ON",VLOOKUP(B2,ADP!A1:H665,8,FALSE)," ")</f>
        <v>+</v>
      </c>
      <c r="Q2" s="56">
        <f>IF(Settings!$E$12="YES",VLOOKUP(B2,'Player Data'!A1:E667,5,FALSE),82)</f>
        <v>80.765000000000001</v>
      </c>
      <c r="R2" s="54">
        <f>VLOOKUP(B2,'Player Data'!$A1:$AE667,6,FALSE)</f>
        <v>21.612988329775799</v>
      </c>
      <c r="S2" s="56">
        <f>VLOOKUP(B2,'Player Data'!$A1:$AE667,7,FALSE)*$Q2*IFERROR((VLOOKUP(P2,Settings!$E$28:$F$33,2,FALSE)+1),1)</f>
        <v>45.690680000980834</v>
      </c>
      <c r="T2" s="56">
        <f>VLOOKUP(B2,'Player Data'!$A1:$AE667,8,FALSE)*$Q2*IFERROR((VLOOKUP(P2,Settings!$E$28:$F$33,2,FALSE)+1),1)</f>
        <v>93.792689875144617</v>
      </c>
      <c r="U2" s="56">
        <f>SUM(S2:T2)</f>
        <v>139.48336987612544</v>
      </c>
      <c r="V2" s="56">
        <f>VLOOKUP(B2,'Player Data'!$A1:$AE667,10,FALSE)*$Q2*IFERROR(((VLOOKUP(P2,Settings!$E$28:$F$33,2,FALSE)/2)+1),1)</f>
        <v>304.17998739246207</v>
      </c>
      <c r="W2" s="56">
        <f>VLOOKUP(B2,'Player Data'!$A1:$AE667,11,FALSE)*$Q2*IFERROR((VLOOKUP(P2,Settings!$E$28:$F$33,2,FALSE)+1),1)</f>
        <v>11.81571394256232</v>
      </c>
      <c r="X2" s="57">
        <f>VLOOKUP(B2,'Player Data'!$A1:$AE667,12,FALSE)*$Q2*IFERROR((VLOOKUP(P2,Settings!$E$28:$F$33,2,FALSE)+1),1)</f>
        <v>51.852832885600868</v>
      </c>
      <c r="Y2" s="56">
        <f>VLOOKUP(B2,'Player Data'!$A1:$AE667,13,FALSE)*$Q2</f>
        <v>0.89520677208586374</v>
      </c>
      <c r="Z2" s="56">
        <f>VLOOKUP(B2,'Player Data'!$A1:$AE667,14,FALSE)*$Q2</f>
        <v>1.5823011406873815</v>
      </c>
      <c r="AA2" s="56">
        <f>VLOOKUP(B2,'Player Data'!$A1:$AE667,15,FALSE)*$Q2</f>
        <v>40.35134775127716</v>
      </c>
      <c r="AB2" s="56">
        <f>VLOOKUP(B2,'Player Data'!$A1:$AE667,16,FALSE)*$Q2</f>
        <v>107.66945783690882</v>
      </c>
      <c r="AC2" s="56">
        <f>VLOOKUP(B2,'Player Data'!$A1:$AE667,17,FALSE)*$Q2*IFERROR((VLOOKUP(P2,Settings!$E$28:$F$33,2,FALSE)+1),1)</f>
        <v>13.534564702727993</v>
      </c>
      <c r="AD2" s="56">
        <f>VLOOKUP(B2,'Player Data'!$A1:$AE667,18,FALSE)*$Q2</f>
        <v>35.556195379152918</v>
      </c>
      <c r="AE2" s="56">
        <f>VLOOKUP(B2,'Player Data'!$A1:$AE667,19,FALSE)*$Q2*IFERROR((VLOOKUP(P2,Settings!$E$28:$F$33,2,FALSE)+1),1)</f>
        <v>7.3779097499100423</v>
      </c>
      <c r="AF2" s="56">
        <f>VLOOKUP(B2,'Player Data'!$A1:$AE667,20,FALSE)*$Q2</f>
        <v>494.76560435468753</v>
      </c>
      <c r="AG2" s="56">
        <f>VLOOKUP(B2,'Player Data'!$A1:$AE667,21,FALSE)*$Q2</f>
        <v>456.39164969730285</v>
      </c>
      <c r="AH2" s="58">
        <f>VLOOKUP(B2,'Player Data'!$A1:$AE667,22,FALSE)</f>
        <v>0.52017224517497496</v>
      </c>
      <c r="AI2" s="54"/>
      <c r="AJ2" s="56"/>
      <c r="AK2" s="56"/>
      <c r="AL2" s="56"/>
      <c r="AM2" s="56"/>
      <c r="AN2" s="56"/>
      <c r="AO2" s="56"/>
      <c r="AP2" s="56"/>
      <c r="AQ2" s="59"/>
      <c r="AR2" s="60"/>
      <c r="AS2" s="54"/>
    </row>
    <row r="3" spans="1:45" ht="21.25" customHeight="1" x14ac:dyDescent="0.15">
      <c r="A3" s="45">
        <f>RANK(K3,K$1:K$665)</f>
        <v>2</v>
      </c>
      <c r="B3" s="9" t="s">
        <v>128</v>
      </c>
      <c r="C3" s="46" t="s">
        <v>127</v>
      </c>
      <c r="D3" s="47" t="str">
        <f>VLOOKUP(B3,'Player Data'!A1:D667,4,FALSE)</f>
        <v>C</v>
      </c>
      <c r="E3" s="48">
        <f>VLOOKUP(B3,'C'!A1:C206,3,FALSE)</f>
        <v>2</v>
      </c>
      <c r="F3" s="55" t="str">
        <f>VLOOKUP(B3,'Player Data'!A1:B667,2,FALSE)</f>
        <v>COL</v>
      </c>
      <c r="G3" s="10">
        <f>VLOOKUP(B3,'Player Data'!A1:D667,3,FALSE)</f>
        <v>29</v>
      </c>
      <c r="H3" s="50">
        <f>IFERROR(VLOOKUP(B3,ADP!A1:G665,7,FALSE)/1000000,VLOOKUP(B3,ADP!A1:G665,7,FALSE))</f>
        <v>12.6</v>
      </c>
      <c r="I3" s="51">
        <f>IF(Settings!$E$15="POINTS",((R3*Q3)*Settings!$B$12)+(S3*Settings!$B$2)+(T3*Settings!$B$3)+(U3*Settings!$B$4)+(V3*Settings!$B$5)+(X3*Settings!$B$9)+(AA3*Settings!$B$6)+(W3*Settings!$B$8)+(AB3*Settings!$B$7)+(AC3*Settings!$B$14)+(AD3*Settings!$B$15)+(AE3*Settings!$B$16)+(AF3*Settings!$B$17)+(AG3*Settings!$B$18)+(Y3*Settings!$B$10)+(Z3*Settings!$B$11),VLOOKUP(B3,'Standard Deviations'!A1:C666,3,FALSE))</f>
        <v>633.85481742612023</v>
      </c>
      <c r="J3" s="52">
        <f>IF(D3="G",I3/AJ3,I3/Q3)</f>
        <v>8.0420568709502369</v>
      </c>
      <c r="K3" s="51">
        <f>IF(Settings!$E$18="C/LW/RW",VLOOKUP(B3,'C'!A1:F206,6,FALSE),VLOOKUP(B3,F!A1:F392,6,FALSE))</f>
        <v>243.91765964803915</v>
      </c>
      <c r="L3" s="53">
        <f>IFERROR(K3/H3,"N/A")</f>
        <v>19.358544416511045</v>
      </c>
      <c r="M3" s="54">
        <f>IF(Settings!$E$9="YAHOO",VLOOKUP(B3,ADP!A1:E665,2,FALSE),IF(Settings!$E$9="ESPN",VLOOKUP(B3,ADP!A1:E665,3,FALSE),IF(Settings!$E$9="FANTRAX",VLOOKUP(B3,ADP!A1:E665,4,FALSE),VLOOKUP(B3,ADP!A1:E665,5,FALSE))))</f>
        <v>2</v>
      </c>
      <c r="N3" s="54">
        <f>IFERROR(M3-A3,"N/A")</f>
        <v>0</v>
      </c>
      <c r="O3" s="54"/>
      <c r="P3" s="55" t="str">
        <f>IF(Settings!$E$27="ON",VLOOKUP(B3,ADP!A1:H665,8,FALSE)," ")</f>
        <v>+</v>
      </c>
      <c r="Q3" s="56">
        <f>IF(Settings!$E$12="YES",VLOOKUP(B3,'Player Data'!A1:E667,5,FALSE),82)</f>
        <v>78.817499999999995</v>
      </c>
      <c r="R3" s="54">
        <f>VLOOKUP(B3,'Player Data'!$A1:$AE667,6,FALSE)</f>
        <v>22.313906488352298</v>
      </c>
      <c r="S3" s="56">
        <f>VLOOKUP(B3,'Player Data'!$A1:$AE667,7,FALSE)*$Q3*IFERROR((VLOOKUP(P3,Settings!$E$28:$F$33,2,FALSE)+1),1)</f>
        <v>46.034541932627526</v>
      </c>
      <c r="T3" s="56">
        <f>VLOOKUP(B3,'Player Data'!$A1:$AE667,8,FALSE)*$Q3*IFERROR((VLOOKUP(P3,Settings!$E$28:$F$33,2,FALSE)+1),1)</f>
        <v>78.493706835286147</v>
      </c>
      <c r="U3" s="56">
        <f>SUM(S3:T3)</f>
        <v>124.52824876791368</v>
      </c>
      <c r="V3" s="56">
        <f>VLOOKUP(B3,'Player Data'!$A1:$AE667,10,FALSE)*$Q3*IFERROR(((VLOOKUP(P3,Settings!$E$28:$F$33,2,FALSE)/2)+1),1)</f>
        <v>383.82081944654561</v>
      </c>
      <c r="W3" s="56">
        <f>VLOOKUP(B3,'Player Data'!$A1:$AE667,11,FALSE)*$Q3*IFERROR((VLOOKUP(P3,Settings!$E$28:$F$33,2,FALSE)+1),1)</f>
        <v>10.101853189745702</v>
      </c>
      <c r="X3" s="57">
        <f>VLOOKUP(B3,'Player Data'!$A1:$AE667,12,FALSE)*$Q3*IFERROR((VLOOKUP(P3,Settings!$E$28:$F$33,2,FALSE)+1),1)</f>
        <v>39.000298501886405</v>
      </c>
      <c r="Y3" s="56">
        <f>VLOOKUP(B3,'Player Data'!$A1:$AE667,13,FALSE)*$Q3</f>
        <v>2.1885358532563647E-2</v>
      </c>
      <c r="Z3" s="56">
        <f>VLOOKUP(B3,'Player Data'!$A1:$AE667,14,FALSE)*$Q3</f>
        <v>3.7100471499159501E-2</v>
      </c>
      <c r="AA3" s="56">
        <f>VLOOKUP(B3,'Player Data'!$A1:$AE667,15,FALSE)*$Q3</f>
        <v>58.644524851441957</v>
      </c>
      <c r="AB3" s="56">
        <f>VLOOKUP(B3,'Player Data'!$A1:$AE667,16,FALSE)*$Q3</f>
        <v>56.339165190677335</v>
      </c>
      <c r="AC3" s="56">
        <f>VLOOKUP(B3,'Player Data'!$A1:$AE667,17,FALSE)*$Q3*IFERROR((VLOOKUP(P3,Settings!$E$28:$F$33,2,FALSE)+1),1)</f>
        <v>9.2974927452411169</v>
      </c>
      <c r="AD3" s="56">
        <f>VLOOKUP(B3,'Player Data'!$A1:$AE667,18,FALSE)*$Q3</f>
        <v>38.402559799128142</v>
      </c>
      <c r="AE3" s="56">
        <f>VLOOKUP(B3,'Player Data'!$A1:$AE667,19,FALSE)*$Q3*IFERROR((VLOOKUP(P3,Settings!$E$28:$F$33,2,FALSE)+1),1)</f>
        <v>6.8780510459016027</v>
      </c>
      <c r="AF3" s="56">
        <f>VLOOKUP(B3,'Player Data'!$A1:$AE667,20,FALSE)*$Q3</f>
        <v>557.32008487334974</v>
      </c>
      <c r="AG3" s="56">
        <f>VLOOKUP(B3,'Player Data'!$A1:$AE667,21,FALSE)*$Q3</f>
        <v>668.88925617991401</v>
      </c>
      <c r="AH3" s="58">
        <f>VLOOKUP(B3,'Player Data'!$A1:$AE667,22,FALSE)</f>
        <v>0.45450647472203598</v>
      </c>
      <c r="AI3" s="54"/>
      <c r="AJ3" s="56"/>
      <c r="AK3" s="56"/>
      <c r="AL3" s="56"/>
      <c r="AM3" s="56"/>
      <c r="AN3" s="56"/>
      <c r="AO3" s="56"/>
      <c r="AP3" s="56"/>
      <c r="AQ3" s="59"/>
      <c r="AR3" s="60"/>
      <c r="AS3" s="54"/>
    </row>
    <row r="4" spans="1:45" ht="21.25" customHeight="1" x14ac:dyDescent="0.15">
      <c r="A4" s="45">
        <f>RANK(K4,K$1:K$665)</f>
        <v>3</v>
      </c>
      <c r="B4" s="9" t="s">
        <v>129</v>
      </c>
      <c r="C4" s="46" t="s">
        <v>127</v>
      </c>
      <c r="D4" s="47" t="str">
        <f>VLOOKUP(B4,'Player Data'!A1:D667,4,FALSE)</f>
        <v>RW</v>
      </c>
      <c r="E4" s="61">
        <f>VLOOKUP(B4,RW!A1:F136,3,FALSE)</f>
        <v>1</v>
      </c>
      <c r="F4" s="62" t="str">
        <f>VLOOKUP(B4,'Player Data'!A1:B667,2,FALSE)</f>
        <v>T.B</v>
      </c>
      <c r="G4" s="63">
        <f>VLOOKUP(B4,'Player Data'!A1:D667,3,FALSE)</f>
        <v>31</v>
      </c>
      <c r="H4" s="50">
        <f>IFERROR(VLOOKUP(B4,ADP!A1:G665,7,FALSE)/1000000,VLOOKUP(B4,ADP!A1:G665,7,FALSE))</f>
        <v>9.5</v>
      </c>
      <c r="I4" s="51">
        <f>IF(Settings!$E$15="POINTS",((R4*Q4)*Settings!$B$12)+(S4*Settings!$B$2)+(T4*Settings!$B$3)+(U4*Settings!$B$4)+(V4*Settings!$B$5)+(X4*Settings!$B$9)+(AA4*Settings!$B$6)+(W4*Settings!$B$8)+(AB4*Settings!$B$7)+(AC4*Settings!$B$14)+(AD4*Settings!$B$15)+(AE4*Settings!$B$16)+(AF4*Settings!$B$17)+(AG4*Settings!$B$18)+(Y4*Settings!$B$10)+(Z4*Settings!$B$11),VLOOKUP(B4,'Standard Deviations'!A1:C666,3,FALSE))</f>
        <v>572.95622430556693</v>
      </c>
      <c r="J4" s="52">
        <f>IF(D4="G",I4/AJ4,I4/Q4)</f>
        <v>7.3125455385031346</v>
      </c>
      <c r="K4" s="51">
        <f>IF(Settings!$E$18="C/LW/RW",VLOOKUP(B4,RW!A1:F136,6,FALSE),VLOOKUP(B4,F!A1:F392,6,FALSE))</f>
        <v>204.10850119927454</v>
      </c>
      <c r="L4" s="53">
        <f>IFERROR(K4/H4,"N/A")</f>
        <v>21.485105389397319</v>
      </c>
      <c r="M4" s="54">
        <f>IF(Settings!$E$9="YAHOO",VLOOKUP(B4,ADP!A1:E665,2,FALSE),IF(Settings!$E$9="ESPN",VLOOKUP(B4,ADP!A1:E665,3,FALSE),IF(Settings!$E$9="FANTRAX",VLOOKUP(B4,ADP!A1:E665,4,FALSE),VLOOKUP(B4,ADP!A1:E665,5,FALSE))))</f>
        <v>4</v>
      </c>
      <c r="N4" s="54">
        <f>IFERROR(M4-A4,"N/A")</f>
        <v>1</v>
      </c>
      <c r="O4" s="54"/>
      <c r="P4" s="55" t="str">
        <f>IF(Settings!$E$27="ON",VLOOKUP(B4,ADP!A1:H665,8,FALSE)," ")</f>
        <v xml:space="preserve"> </v>
      </c>
      <c r="Q4" s="56">
        <f>IF(Settings!$E$12="YES",VLOOKUP(B4,'Player Data'!A1:E667,5,FALSE),82)</f>
        <v>78.352500000000006</v>
      </c>
      <c r="R4" s="54">
        <f>VLOOKUP(B4,'Player Data'!$A1:$AE667,6,FALSE)</f>
        <v>21.6773910862217</v>
      </c>
      <c r="S4" s="56">
        <f>VLOOKUP(B4,'Player Data'!$A1:$AE667,7,FALSE)*$Q4*IFERROR((VLOOKUP(P4,Settings!$E$28:$F$33,2,FALSE)+1),1)</f>
        <v>37.373783634877299</v>
      </c>
      <c r="T4" s="56">
        <f>VLOOKUP(B4,'Player Data'!$A1:$AE667,8,FALSE)*$Q4*IFERROR((VLOOKUP(P4,Settings!$E$28:$F$33,2,FALSE)+1),1)</f>
        <v>84.819526527279137</v>
      </c>
      <c r="U4" s="56">
        <f>SUM(S4:T4)</f>
        <v>122.19331016215644</v>
      </c>
      <c r="V4" s="56">
        <f>VLOOKUP(B4,'Player Data'!$A1:$AE667,10,FALSE)*$Q4*IFERROR(((VLOOKUP(P4,Settings!$E$28:$F$33,2,FALSE)/2)+1),1)</f>
        <v>288.47411855459592</v>
      </c>
      <c r="W4" s="56">
        <f>VLOOKUP(B4,'Player Data'!$A1:$AE667,11,FALSE)*$Q4*IFERROR((VLOOKUP(P4,Settings!$E$28:$F$33,2,FALSE)+1),1)</f>
        <v>10.238845313863839</v>
      </c>
      <c r="X4" s="57">
        <f>VLOOKUP(B4,'Player Data'!$A1:$AE667,12,FALSE)*$Q4*IFERROR((VLOOKUP(P4,Settings!$E$28:$F$33,2,FALSE)+1),1)</f>
        <v>45.748533723112537</v>
      </c>
      <c r="Y4" s="56">
        <f>VLOOKUP(B4,'Player Data'!$A1:$AE667,13,FALSE)*$Q4</f>
        <v>3.5410258580854969E-3</v>
      </c>
      <c r="Z4" s="56">
        <f>VLOOKUP(B4,'Player Data'!$A1:$AE667,14,FALSE)*$Q4</f>
        <v>6.0706992429258207E-3</v>
      </c>
      <c r="AA4" s="56">
        <f>VLOOKUP(B4,'Player Data'!$A1:$AE667,15,FALSE)*$Q4</f>
        <v>32.769260238888464</v>
      </c>
      <c r="AB4" s="56">
        <f>VLOOKUP(B4,'Player Data'!$A1:$AE667,16,FALSE)*$Q4</f>
        <v>51.27276469007716</v>
      </c>
      <c r="AC4" s="56">
        <f>VLOOKUP(B4,'Player Data'!$A1:$AE667,17,FALSE)*$Q4*IFERROR((VLOOKUP(P4,Settings!$E$28:$F$33,2,FALSE)+1),1)</f>
        <v>4.3690572098256553</v>
      </c>
      <c r="AD4" s="56">
        <f>VLOOKUP(B4,'Player Data'!$A1:$AE667,18,FALSE)*$Q4</f>
        <v>32.187367432596609</v>
      </c>
      <c r="AE4" s="56">
        <f>VLOOKUP(B4,'Player Data'!$A1:$AE667,19,FALSE)*$Q4*IFERROR((VLOOKUP(P4,Settings!$E$28:$F$33,2,FALSE)+1),1)</f>
        <v>5.8886739690452634</v>
      </c>
      <c r="AF4" s="56">
        <f>VLOOKUP(B4,'Player Data'!$A1:$AE667,20,FALSE)*$Q4</f>
        <v>2.610979867691638</v>
      </c>
      <c r="AG4" s="56">
        <f>VLOOKUP(B4,'Player Data'!$A1:$AE667,21,FALSE)*$Q4</f>
        <v>0.81812893380081619</v>
      </c>
      <c r="AH4" s="58">
        <f>VLOOKUP(B4,'Player Data'!$A1:$AE667,22,FALSE)</f>
        <v>0.76141645507289202</v>
      </c>
      <c r="AI4" s="54"/>
      <c r="AJ4" s="64"/>
      <c r="AK4" s="56"/>
      <c r="AL4" s="56"/>
      <c r="AM4" s="56"/>
      <c r="AN4" s="56"/>
      <c r="AO4" s="56"/>
      <c r="AP4" s="56"/>
      <c r="AQ4" s="59"/>
      <c r="AR4" s="60"/>
      <c r="AS4" s="54"/>
    </row>
    <row r="5" spans="1:45" ht="21.25" customHeight="1" x14ac:dyDescent="0.15">
      <c r="A5" s="45">
        <f>RANK(K5,K$1:K$665)</f>
        <v>4</v>
      </c>
      <c r="B5" s="9" t="s">
        <v>130</v>
      </c>
      <c r="C5" s="46" t="s">
        <v>127</v>
      </c>
      <c r="D5" s="47" t="str">
        <f>VLOOKUP(B5,'Player Data'!A1:D667,4,FALSE)</f>
        <v>C</v>
      </c>
      <c r="E5" s="48">
        <f>VLOOKUP(B5,'C'!A1:C206,3,FALSE)</f>
        <v>3</v>
      </c>
      <c r="F5" s="65" t="str">
        <f>VLOOKUP(B5,'Player Data'!A1:B667,2,FALSE)</f>
        <v>TOR</v>
      </c>
      <c r="G5" s="10">
        <f>VLOOKUP(B5,'Player Data'!A1:D667,3,FALSE)</f>
        <v>26</v>
      </c>
      <c r="H5" s="50">
        <f>IFERROR(VLOOKUP(B5,ADP!A1:G665,7,FALSE)/1000000,VLOOKUP(B5,ADP!A1:G665,7,FALSE))</f>
        <v>13.25</v>
      </c>
      <c r="I5" s="51">
        <f>IF(Settings!$E$15="POINTS",((R5*Q5)*Settings!$B$12)+(S5*Settings!$B$2)+(T5*Settings!$B$3)+(U5*Settings!$B$4)+(V5*Settings!$B$5)+(X5*Settings!$B$9)+(AA5*Settings!$B$6)+(W5*Settings!$B$8)+(AB5*Settings!$B$7)+(AC5*Settings!$B$14)+(AD5*Settings!$B$15)+(AE5*Settings!$B$16)+(AF5*Settings!$B$17)+(AG5*Settings!$B$18)+(Y5*Settings!$B$10)+(Z5*Settings!$B$11),VLOOKUP(B5,'Standard Deviations'!A1:C666,3,FALSE))</f>
        <v>590.92529310993802</v>
      </c>
      <c r="J5" s="52">
        <f>IF(D5="G",I5/AJ5,I5/Q5)</f>
        <v>7.4002103016178324</v>
      </c>
      <c r="K5" s="51">
        <f>IF(Settings!$E$18="C/LW/RW",VLOOKUP(B5,'C'!A1:F206,6,FALSE),VLOOKUP(B5,F!A1:F392,6,FALSE))</f>
        <v>200.98813533185694</v>
      </c>
      <c r="L5" s="53">
        <f>IFERROR(K5/H5,"N/A")</f>
        <v>15.16891587410241</v>
      </c>
      <c r="M5" s="54">
        <f>IF(Settings!$E$9="YAHOO",VLOOKUP(B5,ADP!A1:E665,2,FALSE),IF(Settings!$E$9="ESPN",VLOOKUP(B5,ADP!A1:E665,3,FALSE),IF(Settings!$E$9="FANTRAX",VLOOKUP(B5,ADP!A1:E665,4,FALSE),VLOOKUP(B5,ADP!A1:E665,5,FALSE))))</f>
        <v>4.7</v>
      </c>
      <c r="N5" s="54">
        <f>IFERROR(M5-A5,"N/A")</f>
        <v>0.70000000000000018</v>
      </c>
      <c r="O5" s="54"/>
      <c r="P5" s="55" t="str">
        <f>IF(Settings!$E$27="ON",VLOOKUP(B5,ADP!A1:H665,8,FALSE)," ")</f>
        <v>+</v>
      </c>
      <c r="Q5" s="56">
        <f>IF(Settings!$E$12="YES",VLOOKUP(B5,'Player Data'!A1:E667,5,FALSE),82)</f>
        <v>79.852500000000006</v>
      </c>
      <c r="R5" s="54">
        <f>VLOOKUP(B5,'Player Data'!$A1:$AE667,6,FALSE)</f>
        <v>21.0873947009791</v>
      </c>
      <c r="S5" s="56">
        <f>VLOOKUP(B5,'Player Data'!$A1:$AE667,7,FALSE)*$Q5*IFERROR((VLOOKUP(P5,Settings!$E$28:$F$33,2,FALSE)+1),1)</f>
        <v>61.635039758124094</v>
      </c>
      <c r="T5" s="56">
        <f>VLOOKUP(B5,'Player Data'!$A1:$AE667,8,FALSE)*$Q5*IFERROR((VLOOKUP(P5,Settings!$E$28:$F$33,2,FALSE)+1),1)</f>
        <v>47.668226634847869</v>
      </c>
      <c r="U5" s="56">
        <f>SUM(S5:T5)</f>
        <v>109.30326639297196</v>
      </c>
      <c r="V5" s="56">
        <f>VLOOKUP(B5,'Player Data'!$A1:$AE667,10,FALSE)*$Q5*IFERROR(((VLOOKUP(P5,Settings!$E$28:$F$33,2,FALSE)/2)+1),1)</f>
        <v>370.9590272047879</v>
      </c>
      <c r="W5" s="56">
        <f>VLOOKUP(B5,'Player Data'!$A1:$AE667,11,FALSE)*$Q5*IFERROR((VLOOKUP(P5,Settings!$E$28:$F$33,2,FALSE)+1),1)</f>
        <v>17.95195182397903</v>
      </c>
      <c r="X5" s="57">
        <f>VLOOKUP(B5,'Player Data'!$A1:$AE667,12,FALSE)*$Q5*IFERROR((VLOOKUP(P5,Settings!$E$28:$F$33,2,FALSE)+1),1)</f>
        <v>33.693352361886042</v>
      </c>
      <c r="Y5" s="56">
        <f>VLOOKUP(B5,'Player Data'!$A1:$AE667,13,FALSE)*$Q5</f>
        <v>9.4382682721201705E-2</v>
      </c>
      <c r="Z5" s="56">
        <f>VLOOKUP(B5,'Player Data'!$A1:$AE667,14,FALSE)*$Q5</f>
        <v>0.57049281155012033</v>
      </c>
      <c r="AA5" s="56">
        <f>VLOOKUP(B5,'Player Data'!$A1:$AE667,15,FALSE)*$Q5</f>
        <v>86.544270310384064</v>
      </c>
      <c r="AB5" s="56">
        <f>VLOOKUP(B5,'Player Data'!$A1:$AE667,16,FALSE)*$Q5</f>
        <v>86.029585606747048</v>
      </c>
      <c r="AC5" s="56">
        <f>VLOOKUP(B5,'Player Data'!$A1:$AE667,17,FALSE)*$Q5*IFERROR((VLOOKUP(P5,Settings!$E$28:$F$33,2,FALSE)+1),1)</f>
        <v>12.766475808876857</v>
      </c>
      <c r="AD5" s="56">
        <f>VLOOKUP(B5,'Player Data'!$A1:$AE667,18,FALSE)*$Q5</f>
        <v>20.809068154077053</v>
      </c>
      <c r="AE5" s="56">
        <f>VLOOKUP(B5,'Player Data'!$A1:$AE667,19,FALSE)*$Q5*IFERROR((VLOOKUP(P5,Settings!$E$28:$F$33,2,FALSE)+1),1)</f>
        <v>9.8605015161457654</v>
      </c>
      <c r="AF5" s="56">
        <f>VLOOKUP(B5,'Player Data'!$A1:$AE667,20,FALSE)*$Q5</f>
        <v>698.71023188454171</v>
      </c>
      <c r="AG5" s="56">
        <f>VLOOKUP(B5,'Player Data'!$A1:$AE667,21,FALSE)*$Q5</f>
        <v>600.58311733881885</v>
      </c>
      <c r="AH5" s="58">
        <f>VLOOKUP(B5,'Player Data'!$A1:$AE667,22,FALSE)</f>
        <v>0.53776172432668001</v>
      </c>
      <c r="AI5" s="54"/>
      <c r="AJ5" s="56"/>
      <c r="AK5" s="56"/>
      <c r="AL5" s="56"/>
      <c r="AM5" s="56"/>
      <c r="AN5" s="56"/>
      <c r="AO5" s="56"/>
      <c r="AP5" s="56"/>
      <c r="AQ5" s="59"/>
      <c r="AR5" s="60"/>
      <c r="AS5" s="54"/>
    </row>
    <row r="6" spans="1:45" ht="21.25" customHeight="1" x14ac:dyDescent="0.15">
      <c r="A6" s="45">
        <f>RANK(K6,K$1:K$665)</f>
        <v>5</v>
      </c>
      <c r="B6" s="9" t="s">
        <v>131</v>
      </c>
      <c r="C6" s="46" t="s">
        <v>127</v>
      </c>
      <c r="D6" s="47" t="str">
        <f>VLOOKUP(B6,'Player Data'!A1:D667,4,FALSE)</f>
        <v>RW</v>
      </c>
      <c r="E6" s="61">
        <f>VLOOKUP(B6,RW!A1:F136,3,FALSE)</f>
        <v>2</v>
      </c>
      <c r="F6" s="62" t="str">
        <f>VLOOKUP(B6,'Player Data'!A1:B667,2,FALSE)</f>
        <v>BOS</v>
      </c>
      <c r="G6" s="10">
        <f>VLOOKUP(B6,'Player Data'!A1:D667,3,FALSE)</f>
        <v>28</v>
      </c>
      <c r="H6" s="50">
        <f>IFERROR(VLOOKUP(B6,ADP!A1:G665,7,FALSE)/1000000,VLOOKUP(B6,ADP!A1:G665,7,FALSE))</f>
        <v>11.25</v>
      </c>
      <c r="I6" s="51">
        <f>IF(Settings!$E$15="POINTS",((R6*Q6)*Settings!$B$12)+(S6*Settings!$B$2)+(T6*Settings!$B$3)+(U6*Settings!$B$4)+(V6*Settings!$B$5)+(X6*Settings!$B$9)+(AA6*Settings!$B$6)+(W6*Settings!$B$8)+(AB6*Settings!$B$7)+(AC6*Settings!$B$14)+(AD6*Settings!$B$15)+(AE6*Settings!$B$16)+(AF6*Settings!$B$17)+(AG6*Settings!$B$18)+(Y6*Settings!$B$10)+(Z6*Settings!$B$11),VLOOKUP(B6,'Standard Deviations'!A1:C666,3,FALSE))</f>
        <v>550.83562312951994</v>
      </c>
      <c r="J6" s="52">
        <f>IF(D6="G",I6/AJ6,I6/Q6)</f>
        <v>6.7979220428177207</v>
      </c>
      <c r="K6" s="51">
        <f>IF(Settings!$E$18="C/LW/RW",VLOOKUP(B6,RW!A1:F136,6,FALSE),VLOOKUP(B6,F!A1:F392,6,FALSE))</f>
        <v>181.98790002322755</v>
      </c>
      <c r="L6" s="53">
        <f>IFERROR(K6/H6,"N/A")</f>
        <v>16.176702224286892</v>
      </c>
      <c r="M6" s="54">
        <f>IF(Settings!$E$9="YAHOO",VLOOKUP(B6,ADP!A1:E665,2,FALSE),IF(Settings!$E$9="ESPN",VLOOKUP(B6,ADP!A1:E665,3,FALSE),IF(Settings!$E$9="FANTRAX",VLOOKUP(B6,ADP!A1:E665,4,FALSE),VLOOKUP(B6,ADP!A1:E665,5,FALSE))))</f>
        <v>5.6</v>
      </c>
      <c r="N6" s="54">
        <f>IFERROR(M6-A6,"N/A")</f>
        <v>0.59999999999999964</v>
      </c>
      <c r="O6" s="54"/>
      <c r="P6" s="55" t="str">
        <f>IF(Settings!$E$27="ON",VLOOKUP(B6,ADP!A1:H665,8,FALSE)," ")</f>
        <v xml:space="preserve"> </v>
      </c>
      <c r="Q6" s="56">
        <f>IF(Settings!$E$12="YES",VLOOKUP(B6,'Player Data'!A1:E667,5,FALSE),82)</f>
        <v>81.03</v>
      </c>
      <c r="R6" s="54">
        <f>VLOOKUP(B6,'Player Data'!$A1:$AE667,6,FALSE)</f>
        <v>20.024525537270101</v>
      </c>
      <c r="S6" s="56">
        <f>VLOOKUP(B6,'Player Data'!$A1:$AE667,7,FALSE)*$Q6*IFERROR((VLOOKUP(P6,Settings!$E$28:$F$33,2,FALSE)+1),1)</f>
        <v>49.474064126007136</v>
      </c>
      <c r="T6" s="56">
        <f>VLOOKUP(B6,'Player Data'!$A1:$AE667,8,FALSE)*$Q6*IFERROR((VLOOKUP(P6,Settings!$E$28:$F$33,2,FALSE)+1),1)</f>
        <v>56.015027506338022</v>
      </c>
      <c r="U6" s="56">
        <f>SUM(S6:T6)</f>
        <v>105.48909163234515</v>
      </c>
      <c r="V6" s="56">
        <f>VLOOKUP(B6,'Player Data'!$A1:$AE667,10,FALSE)*$Q6*IFERROR(((VLOOKUP(P6,Settings!$E$28:$F$33,2,FALSE)/2)+1),1)</f>
        <v>375.55590361774091</v>
      </c>
      <c r="W6" s="56">
        <f>VLOOKUP(B6,'Player Data'!$A1:$AE667,11,FALSE)*$Q6*IFERROR((VLOOKUP(P6,Settings!$E$28:$F$33,2,FALSE)+1),1)</f>
        <v>14.327744436937284</v>
      </c>
      <c r="X6" s="57">
        <f>VLOOKUP(B6,'Player Data'!$A1:$AE667,12,FALSE)*$Q6*IFERROR((VLOOKUP(P6,Settings!$E$28:$F$33,2,FALSE)+1),1)</f>
        <v>34.355476220322515</v>
      </c>
      <c r="Y6" s="56">
        <f>VLOOKUP(B6,'Player Data'!$A1:$AE667,13,FALSE)*$Q6</f>
        <v>1.8225324375574031E-2</v>
      </c>
      <c r="Z6" s="56">
        <f>VLOOKUP(B6,'Player Data'!$A1:$AE667,14,FALSE)*$Q6</f>
        <v>3.0738789636057015E-2</v>
      </c>
      <c r="AA6" s="56">
        <f>VLOOKUP(B6,'Player Data'!$A1:$AE667,15,FALSE)*$Q6</f>
        <v>24.408362827310771</v>
      </c>
      <c r="AB6" s="56">
        <f>VLOOKUP(B6,'Player Data'!$A1:$AE667,16,FALSE)*$Q6</f>
        <v>74.883464690328282</v>
      </c>
      <c r="AC6" s="56">
        <f>VLOOKUP(B6,'Player Data'!$A1:$AE667,17,FALSE)*$Q6*IFERROR((VLOOKUP(P6,Settings!$E$28:$F$33,2,FALSE)+1),1)</f>
        <v>5.8938477188012977</v>
      </c>
      <c r="AD6" s="56">
        <f>VLOOKUP(B6,'Player Data'!$A1:$AE667,18,FALSE)*$Q6</f>
        <v>36.134392404458154</v>
      </c>
      <c r="AE6" s="56">
        <f>VLOOKUP(B6,'Player Data'!$A1:$AE667,19,FALSE)*$Q6*IFERROR((VLOOKUP(P6,Settings!$E$28:$F$33,2,FALSE)+1),1)</f>
        <v>7.7057694305868889</v>
      </c>
      <c r="AF6" s="56">
        <f>VLOOKUP(B6,'Player Data'!$A1:$AE667,20,FALSE)*$Q6</f>
        <v>8.5086715319974733</v>
      </c>
      <c r="AG6" s="56">
        <f>VLOOKUP(B6,'Player Data'!$A1:$AE667,21,FALSE)*$Q6</f>
        <v>14.839001272668341</v>
      </c>
      <c r="AH6" s="58">
        <f>VLOOKUP(B6,'Player Data'!$A1:$AE667,22,FALSE)</f>
        <v>0.36443338927968399</v>
      </c>
      <c r="AI6" s="54"/>
      <c r="AJ6" s="56"/>
      <c r="AK6" s="56"/>
      <c r="AL6" s="56"/>
      <c r="AM6" s="56"/>
      <c r="AN6" s="56"/>
      <c r="AO6" s="56"/>
      <c r="AP6" s="56"/>
      <c r="AQ6" s="59"/>
      <c r="AR6" s="60"/>
      <c r="AS6" s="54"/>
    </row>
    <row r="7" spans="1:45" ht="21.25" customHeight="1" x14ac:dyDescent="0.15">
      <c r="A7" s="45">
        <f>RANK(K7,K$1:K$665)</f>
        <v>6</v>
      </c>
      <c r="B7" s="9" t="s">
        <v>132</v>
      </c>
      <c r="C7" s="46" t="s">
        <v>127</v>
      </c>
      <c r="D7" s="47" t="str">
        <f>VLOOKUP(B7,'Player Data'!A1:D667,4,FALSE)</f>
        <v>D</v>
      </c>
      <c r="E7" s="66">
        <f>VLOOKUP(B7,D!A1:C213,3,FALSE)</f>
        <v>1</v>
      </c>
      <c r="F7" s="55" t="str">
        <f>VLOOKUP(B7,'Player Data'!A1:B667,2,FALSE)</f>
        <v>COL</v>
      </c>
      <c r="G7" s="10">
        <f>VLOOKUP(B7,'Player Data'!A1:D667,3,FALSE)</f>
        <v>25</v>
      </c>
      <c r="H7" s="50">
        <f>IFERROR(VLOOKUP(B7,ADP!A1:G665,7,FALSE)/1000000,VLOOKUP(B7,ADP!A1:G665,7,FALSE))</f>
        <v>9</v>
      </c>
      <c r="I7" s="51">
        <f>IF(Settings!$E$15="POINTS",((R7*Q7)*Settings!$B$12)+(S7*Settings!$B$2)+(T7*Settings!$B$3)+(U7*Settings!$B$4)+(V7*Settings!$B$5)+(X7*Settings!$B$9)+(AA7*Settings!$B$6)+(W7*Settings!$B$8)+(AB7*Settings!$B$7)+(AC7*Settings!$B$14)+(AD7*Settings!$B$15)+(AE7*Settings!$B$16)+(AF7*Settings!$B$17)+(AG7*Settings!$B$18)+(U7*Settings!$B$13)+(Y7*Settings!$B$10)+(Z7*Settings!$B$11),VLOOKUP(B7,'Standard Deviations'!A1:C666,3,FALSE))</f>
        <v>488.28538030647155</v>
      </c>
      <c r="J7" s="52">
        <f>IF(D7="G",I7/AJ7,I7/Q7)</f>
        <v>6.2909186756397917</v>
      </c>
      <c r="K7" s="51">
        <f>VLOOKUP(B7,D!A1:F213,6,FALSE)</f>
        <v>152.05125526087664</v>
      </c>
      <c r="L7" s="53">
        <f>IFERROR(K7/H7,"N/A")</f>
        <v>16.894583917875181</v>
      </c>
      <c r="M7" s="54">
        <f>IF(Settings!$E$9="YAHOO",VLOOKUP(B7,ADP!A1:E665,2,FALSE),IF(Settings!$E$9="ESPN",VLOOKUP(B7,ADP!A1:E665,3,FALSE),IF(Settings!$E$9="FANTRAX",VLOOKUP(B7,ADP!A1:E665,4,FALSE),VLOOKUP(B7,ADP!A1:E665,5,FALSE))))</f>
        <v>10</v>
      </c>
      <c r="N7" s="54">
        <f>IFERROR(M7-A7,"N/A")</f>
        <v>4</v>
      </c>
      <c r="O7" s="54"/>
      <c r="P7" s="55" t="str">
        <f>IF(Settings!$E$27="ON",VLOOKUP(B7,ADP!A1:H665,8,FALSE)," ")</f>
        <v xml:space="preserve"> </v>
      </c>
      <c r="Q7" s="56">
        <f>IF(Settings!$E$12="YES",VLOOKUP(B7,'Player Data'!A1:E667,5,FALSE),82)</f>
        <v>77.617500000000007</v>
      </c>
      <c r="R7" s="54">
        <f>VLOOKUP(B7,'Player Data'!$A1:$AE667,6,FALSE)</f>
        <v>25.836596637368402</v>
      </c>
      <c r="S7" s="56">
        <f>VLOOKUP(B7,'Player Data'!$A1:$AE667,7,FALSE)*$Q7*IFERROR((VLOOKUP(P7,Settings!$E$28:$F$33,2,FALSE)+1),1)</f>
        <v>22.169474574648742</v>
      </c>
      <c r="T7" s="56">
        <f>VLOOKUP(B7,'Player Data'!$A1:$AE667,8,FALSE)*$Q7*IFERROR((VLOOKUP(P7,Settings!$E$28:$F$33,2,FALSE)+1),1)</f>
        <v>65.069133788367935</v>
      </c>
      <c r="U7" s="56">
        <f>SUM(S7:T7)</f>
        <v>87.238608363016681</v>
      </c>
      <c r="V7" s="56">
        <f>VLOOKUP(B7,'Player Data'!$A1:$AE667,10,FALSE)*$Q7*IFERROR(((VLOOKUP(P7,Settings!$E$28:$F$33,2,FALSE)/2)+1),1)</f>
        <v>233.99013930758929</v>
      </c>
      <c r="W7" s="56">
        <f>VLOOKUP(B7,'Player Data'!$A1:$AE667,11,FALSE)*$Q7*IFERROR((VLOOKUP(P7,Settings!$E$28:$F$33,2,FALSE)+1),1)</f>
        <v>7.2599894357970616</v>
      </c>
      <c r="X7" s="57">
        <f>VLOOKUP(B7,'Player Data'!$A1:$AE667,12,FALSE)*$Q7*IFERROR((VLOOKUP(P7,Settings!$E$28:$F$33,2,FALSE)+1),1)</f>
        <v>37.662229332189852</v>
      </c>
      <c r="Y7" s="56">
        <f>VLOOKUP(B7,'Player Data'!$A1:$AE667,13,FALSE)*$Q7</f>
        <v>0.49269865437348059</v>
      </c>
      <c r="Z7" s="56">
        <f>VLOOKUP(B7,'Player Data'!$A1:$AE667,14,FALSE)*$Q7</f>
        <v>1.9870300859589476</v>
      </c>
      <c r="AA7" s="56">
        <f>VLOOKUP(B7,'Player Data'!$A1:$AE667,15,FALSE)*$Q7</f>
        <v>139.85045229095607</v>
      </c>
      <c r="AB7" s="56">
        <f>VLOOKUP(B7,'Player Data'!$A1:$AE667,16,FALSE)*$Q7</f>
        <v>59.957022749098769</v>
      </c>
      <c r="AC7" s="56">
        <f>VLOOKUP(B7,'Player Data'!$A1:$AE667,17,FALSE)*$Q7*IFERROR((VLOOKUP(P7,Settings!$E$28:$F$33,2,FALSE)+1),1)</f>
        <v>5.0103328612580889</v>
      </c>
      <c r="AD7" s="56">
        <f>VLOOKUP(B7,'Player Data'!$A1:$AE667,18,FALSE)*$Q7</f>
        <v>29.078520178465698</v>
      </c>
      <c r="AE7" s="56">
        <f>VLOOKUP(B7,'Player Data'!$A1:$AE667,19,FALSE)*$Q7*IFERROR((VLOOKUP(P7,Settings!$E$28:$F$33,2,FALSE)+1),1)</f>
        <v>3.3123557090763178</v>
      </c>
      <c r="AF7" s="56">
        <f>VLOOKUP(B7,'Player Data'!$A1:$AE667,20,FALSE)*$Q7</f>
        <v>0</v>
      </c>
      <c r="AG7" s="56">
        <f>VLOOKUP(B7,'Player Data'!$A1:$AE667,21,FALSE)*$Q7</f>
        <v>0</v>
      </c>
      <c r="AH7" s="58">
        <f>VLOOKUP(B7,'Player Data'!$A1:$AE667,22,FALSE)</f>
        <v>0</v>
      </c>
      <c r="AI7" s="54"/>
      <c r="AJ7" s="64"/>
      <c r="AK7" s="56"/>
      <c r="AL7" s="56"/>
      <c r="AM7" s="56"/>
      <c r="AN7" s="56"/>
      <c r="AO7" s="56"/>
      <c r="AP7" s="56"/>
      <c r="AQ7" s="59"/>
      <c r="AR7" s="60"/>
      <c r="AS7" s="54"/>
    </row>
    <row r="8" spans="1:45" ht="21.25" customHeight="1" x14ac:dyDescent="0.15">
      <c r="A8" s="45">
        <f>RANK(K8,K$1:K$665)</f>
        <v>7</v>
      </c>
      <c r="B8" s="9" t="s">
        <v>133</v>
      </c>
      <c r="C8" s="46" t="s">
        <v>127</v>
      </c>
      <c r="D8" s="47" t="str">
        <f>VLOOKUP(B8,'Player Data'!A1:D667,4,FALSE)</f>
        <v>RW</v>
      </c>
      <c r="E8" s="61">
        <f>VLOOKUP(B8,RW!A1:F136,3,FALSE)</f>
        <v>3</v>
      </c>
      <c r="F8" s="55" t="str">
        <f>VLOOKUP(B8,'Player Data'!A1:B667,2,FALSE)</f>
        <v>COL</v>
      </c>
      <c r="G8" s="10">
        <f>VLOOKUP(B8,'Player Data'!A1:D667,3,FALSE)</f>
        <v>27</v>
      </c>
      <c r="H8" s="67">
        <f>IFERROR(VLOOKUP(B8,ADP!A1:G665,7,FALSE)/1000000,VLOOKUP(B8,ADP!A1:G665,7,FALSE))</f>
        <v>9.25</v>
      </c>
      <c r="I8" s="51">
        <f>IF(Settings!$E$15="POINTS",((R8*Q8)*Settings!$B$12)+(S8*Settings!$B$2)+(T8*Settings!$B$3)+(U8*Settings!$B$4)+(V8*Settings!$B$5)+(X8*Settings!$B$9)+(AA8*Settings!$B$6)+(W8*Settings!$B$8)+(AB8*Settings!$B$7)+(AC8*Settings!$B$14)+(AD8*Settings!$B$15)+(AE8*Settings!$B$16)+(AF8*Settings!$B$17)+(AG8*Settings!$B$18)+(Y8*Settings!$B$10)+(Z8*Settings!$B$11),VLOOKUP(B8,'Standard Deviations'!A1:C666,3,FALSE))</f>
        <v>512.09738528432251</v>
      </c>
      <c r="J8" s="52">
        <f>IF(D8="G",I8/AJ8,I8/Q8)</f>
        <v>6.3241418374105907</v>
      </c>
      <c r="K8" s="51">
        <f>IF(Settings!$E$18="C/LW/RW",VLOOKUP(B8,RW!A1:F136,6,FALSE),VLOOKUP(B8,F!A1:F392,6,FALSE))</f>
        <v>143.24966217803012</v>
      </c>
      <c r="L8" s="53">
        <f>IFERROR(K8/H8,"N/A")</f>
        <v>15.486449965192445</v>
      </c>
      <c r="M8" s="54">
        <f>IF(Settings!$E$9="YAHOO",VLOOKUP(B8,ADP!A1:E665,2,FALSE),IF(Settings!$E$9="ESPN",VLOOKUP(B8,ADP!A1:E665,3,FALSE),IF(Settings!$E$9="FANTRAX",VLOOKUP(B8,ADP!A1:E665,4,FALSE),VLOOKUP(B8,ADP!A1:E665,5,FALSE))))</f>
        <v>9</v>
      </c>
      <c r="N8" s="54">
        <f>IFERROR(M8-A8,"N/A")</f>
        <v>2</v>
      </c>
      <c r="O8" s="54"/>
      <c r="P8" s="55" t="str">
        <f>IF(Settings!$E$27="ON",VLOOKUP(B8,ADP!A1:H665,8,FALSE)," ")</f>
        <v>+</v>
      </c>
      <c r="Q8" s="56">
        <f>IF(Settings!$E$12="YES",VLOOKUP(B8,'Player Data'!A1:E667,5,FALSE),82)</f>
        <v>80.974999999999994</v>
      </c>
      <c r="R8" s="54">
        <f>VLOOKUP(B8,'Player Data'!$A1:$AE667,6,FALSE)</f>
        <v>22.316170580145599</v>
      </c>
      <c r="S8" s="56">
        <f>VLOOKUP(B8,'Player Data'!$A1:$AE667,7,FALSE)*$Q8*IFERROR((VLOOKUP(P8,Settings!$E$28:$F$33,2,FALSE)+1),1)</f>
        <v>45.340299404603392</v>
      </c>
      <c r="T8" s="56">
        <f>VLOOKUP(B8,'Player Data'!$A1:$AE667,8,FALSE)*$Q8*IFERROR((VLOOKUP(P8,Settings!$E$28:$F$33,2,FALSE)+1),1)</f>
        <v>58.287293307889598</v>
      </c>
      <c r="U8" s="56">
        <f>SUM(S8:T8)</f>
        <v>103.627592712493</v>
      </c>
      <c r="V8" s="56">
        <f>VLOOKUP(B8,'Player Data'!$A1:$AE667,10,FALSE)*$Q8*IFERROR(((VLOOKUP(P8,Settings!$E$28:$F$33,2,FALSE)/2)+1),1)</f>
        <v>283.78071848272151</v>
      </c>
      <c r="W8" s="56">
        <f>VLOOKUP(B8,'Player Data'!$A1:$AE667,11,FALSE)*$Q8*IFERROR((VLOOKUP(P8,Settings!$E$28:$F$33,2,FALSE)+1),1)</f>
        <v>13.057380109540805</v>
      </c>
      <c r="X8" s="57">
        <f>VLOOKUP(B8,'Player Data'!$A1:$AE667,12,FALSE)*$Q8*IFERROR((VLOOKUP(P8,Settings!$E$28:$F$33,2,FALSE)+1),1)</f>
        <v>35.845353092339629</v>
      </c>
      <c r="Y8" s="56">
        <f>VLOOKUP(B8,'Player Data'!$A1:$AE667,13,FALSE)*$Q8</f>
        <v>1.3276840020434166E-2</v>
      </c>
      <c r="Z8" s="56">
        <f>VLOOKUP(B8,'Player Data'!$A1:$AE667,14,FALSE)*$Q8</f>
        <v>2.2433698275730232E-2</v>
      </c>
      <c r="AA8" s="56">
        <f>VLOOKUP(B8,'Player Data'!$A1:$AE667,15,FALSE)*$Q8</f>
        <v>46.912922229735138</v>
      </c>
      <c r="AB8" s="56">
        <f>VLOOKUP(B8,'Player Data'!$A1:$AE667,16,FALSE)*$Q8</f>
        <v>60.281796249244557</v>
      </c>
      <c r="AC8" s="56">
        <f>VLOOKUP(B8,'Player Data'!$A1:$AE667,17,FALSE)*$Q8*IFERROR((VLOOKUP(P8,Settings!$E$28:$F$33,2,FALSE)+1),1)</f>
        <v>7.0661289937435834</v>
      </c>
      <c r="AD8" s="56">
        <f>VLOOKUP(B8,'Player Data'!$A1:$AE667,18,FALSE)*$Q8</f>
        <v>55.33238660516291</v>
      </c>
      <c r="AE8" s="56">
        <f>VLOOKUP(B8,'Player Data'!$A1:$AE667,19,FALSE)*$Q8*IFERROR((VLOOKUP(P8,Settings!$E$28:$F$33,2,FALSE)+1),1)</f>
        <v>6.7743238153151912</v>
      </c>
      <c r="AF8" s="56">
        <f>VLOOKUP(B8,'Player Data'!$A1:$AE667,20,FALSE)*$Q8</f>
        <v>244.14743652485745</v>
      </c>
      <c r="AG8" s="56">
        <f>VLOOKUP(B8,'Player Data'!$A1:$AE667,21,FALSE)*$Q8</f>
        <v>239.04244595920093</v>
      </c>
      <c r="AH8" s="58">
        <f>VLOOKUP(B8,'Player Data'!$A1:$AE667,22,FALSE)</f>
        <v>0.50528259256941799</v>
      </c>
      <c r="AI8" s="54"/>
      <c r="AJ8" s="56"/>
      <c r="AK8" s="56"/>
      <c r="AL8" s="56"/>
      <c r="AM8" s="56"/>
      <c r="AN8" s="56"/>
      <c r="AO8" s="56"/>
      <c r="AP8" s="56"/>
      <c r="AQ8" s="59"/>
      <c r="AR8" s="60"/>
      <c r="AS8" s="64"/>
    </row>
    <row r="9" spans="1:45" ht="21.25" customHeight="1" x14ac:dyDescent="0.15">
      <c r="A9" s="45">
        <f>RANK(K9,K$1:K$665)</f>
        <v>8</v>
      </c>
      <c r="B9" s="9" t="s">
        <v>134</v>
      </c>
      <c r="C9" s="46" t="s">
        <v>127</v>
      </c>
      <c r="D9" s="47" t="str">
        <f>VLOOKUP(B9,'Player Data'!A1:D667,4,FALSE)</f>
        <v>C/LW</v>
      </c>
      <c r="E9" s="68">
        <f>VLOOKUP(B9,LW!A1:C152,3,FALSE)</f>
        <v>1</v>
      </c>
      <c r="F9" s="65" t="str">
        <f>VLOOKUP(B9,'Player Data'!A1:B667,2,FALSE)</f>
        <v>EDM</v>
      </c>
      <c r="G9" s="10">
        <f>VLOOKUP(B9,'Player Data'!A1:D667,3,FALSE)</f>
        <v>28</v>
      </c>
      <c r="H9" s="67">
        <f>IFERROR(VLOOKUP(B9,ADP!A1:G665,7,FALSE)/1000000,VLOOKUP(B9,ADP!A1:G665,7,FALSE))</f>
        <v>8.5</v>
      </c>
      <c r="I9" s="51">
        <f>IF(Settings!$E$15="POINTS",((R9*Q9)*Settings!$B$12)+(S9*Settings!$B$2)+(T9*Settings!$B$3)+(U9*Settings!$B$4)+(V9*Settings!$B$5)+(X9*Settings!$B$9)+(AA9*Settings!$B$6)+(W9*Settings!$B$8)+(AB9*Settings!$B$7)+(AC9*Settings!$B$14)+(AD9*Settings!$B$15)+(AE9*Settings!$B$16)+(AF9*Settings!$B$17)+(AG9*Settings!$B$18)+(Y9*Settings!$B$10)+(Z9*Settings!$B$11),VLOOKUP(B9,'Standard Deviations'!A1:C666,3,FALSE))</f>
        <v>522.89410971384734</v>
      </c>
      <c r="J9" s="52">
        <f>IF(D9="G",I9/AJ9,I9/Q9)</f>
        <v>6.4255366620238688</v>
      </c>
      <c r="K9" s="51">
        <f>IF(Settings!$E$18="C/LW/RW",VLOOKUP(B9,LW!A1:F152,6,FALSE),VLOOKUP(B9,F!A1:F392,6,FALSE))</f>
        <v>141.83259741134759</v>
      </c>
      <c r="L9" s="53">
        <f>IFERROR(K9/H9,"N/A")</f>
        <v>16.686187930746776</v>
      </c>
      <c r="M9" s="54">
        <f>IF(Settings!$E$9="YAHOO",VLOOKUP(B9,ADP!A1:E665,2,FALSE),IF(Settings!$E$9="ESPN",VLOOKUP(B9,ADP!A1:E665,3,FALSE),IF(Settings!$E$9="FANTRAX",VLOOKUP(B9,ADP!A1:E665,4,FALSE),VLOOKUP(B9,ADP!A1:E665,5,FALSE))))</f>
        <v>4.9000000000000004</v>
      </c>
      <c r="N9" s="54">
        <f>IFERROR(M9-A9,"N/A")</f>
        <v>-3.0999999999999996</v>
      </c>
      <c r="O9" s="54"/>
      <c r="P9" s="55" t="str">
        <f>IF(Settings!$E$27="ON",VLOOKUP(B9,ADP!A1:H665,8,FALSE)," ")</f>
        <v>+</v>
      </c>
      <c r="Q9" s="56">
        <f>IF(Settings!$E$12="YES",VLOOKUP(B9,'Player Data'!A1:E667,5,FALSE),82)</f>
        <v>81.377499999999998</v>
      </c>
      <c r="R9" s="54">
        <f>VLOOKUP(B9,'Player Data'!$A1:$AE667,6,FALSE)</f>
        <v>20.835084255972902</v>
      </c>
      <c r="S9" s="56">
        <f>VLOOKUP(B9,'Player Data'!$A1:$AE667,7,FALSE)*$Q9*IFERROR((VLOOKUP(P9,Settings!$E$28:$F$33,2,FALSE)+1),1)</f>
        <v>46.930811938167558</v>
      </c>
      <c r="T9" s="56">
        <f>VLOOKUP(B9,'Player Data'!$A1:$AE667,8,FALSE)*$Q9*IFERROR((VLOOKUP(P9,Settings!$E$28:$F$33,2,FALSE)+1),1)</f>
        <v>66.825601065693746</v>
      </c>
      <c r="U9" s="56">
        <f>SUM(S9:T9)</f>
        <v>113.7564130038613</v>
      </c>
      <c r="V9" s="56">
        <f>VLOOKUP(B9,'Player Data'!$A1:$AE667,10,FALSE)*$Q9*IFERROR(((VLOOKUP(P9,Settings!$E$28:$F$33,2,FALSE)/2)+1),1)</f>
        <v>240.12238442577524</v>
      </c>
      <c r="W9" s="56">
        <f>VLOOKUP(B9,'Player Data'!$A1:$AE667,11,FALSE)*$Q9*IFERROR((VLOOKUP(P9,Settings!$E$28:$F$33,2,FALSE)+1),1)</f>
        <v>23.705695264940157</v>
      </c>
      <c r="X9" s="57">
        <f>VLOOKUP(B9,'Player Data'!$A1:$AE667,12,FALSE)*$Q9*IFERROR((VLOOKUP(P9,Settings!$E$28:$F$33,2,FALSE)+1),1)</f>
        <v>45.252565841029686</v>
      </c>
      <c r="Y9" s="56">
        <f>VLOOKUP(B9,'Player Data'!$A1:$AE667,13,FALSE)*$Q9</f>
        <v>0.34998682668274012</v>
      </c>
      <c r="Z9" s="56">
        <f>VLOOKUP(B9,'Player Data'!$A1:$AE667,14,FALSE)*$Q9</f>
        <v>0.88370730499505379</v>
      </c>
      <c r="AA9" s="56">
        <f>VLOOKUP(B9,'Player Data'!$A1:$AE667,15,FALSE)*$Q9</f>
        <v>30.854810686702102</v>
      </c>
      <c r="AB9" s="56">
        <f>VLOOKUP(B9,'Player Data'!$A1:$AE667,16,FALSE)*$Q9</f>
        <v>59.508651996771874</v>
      </c>
      <c r="AC9" s="56">
        <f>VLOOKUP(B9,'Player Data'!$A1:$AE667,17,FALSE)*$Q9*IFERROR((VLOOKUP(P9,Settings!$E$28:$F$33,2,FALSE)+1),1)</f>
        <v>9.774902592397595</v>
      </c>
      <c r="AD9" s="56">
        <f>VLOOKUP(B9,'Player Data'!$A1:$AE667,18,FALSE)*$Q9</f>
        <v>41.980130655185469</v>
      </c>
      <c r="AE9" s="56">
        <f>VLOOKUP(B9,'Player Data'!$A1:$AE667,19,FALSE)*$Q9*IFERROR((VLOOKUP(P9,Settings!$E$28:$F$33,2,FALSE)+1),1)</f>
        <v>7.5781602498007912</v>
      </c>
      <c r="AF9" s="56">
        <f>VLOOKUP(B9,'Player Data'!$A1:$AE667,20,FALSE)*$Q9</f>
        <v>818.4111816167707</v>
      </c>
      <c r="AG9" s="56">
        <f>VLOOKUP(B9,'Player Data'!$A1:$AE667,21,FALSE)*$Q9</f>
        <v>660.57658894521137</v>
      </c>
      <c r="AH9" s="58">
        <f>VLOOKUP(B9,'Player Data'!$A1:$AE667,22,FALSE)</f>
        <v>0.55335899180950698</v>
      </c>
      <c r="AI9" s="54"/>
      <c r="AJ9" s="64"/>
      <c r="AK9" s="56"/>
      <c r="AL9" s="56"/>
      <c r="AM9" s="56"/>
      <c r="AN9" s="56"/>
      <c r="AO9" s="56"/>
      <c r="AP9" s="56"/>
      <c r="AQ9" s="59"/>
      <c r="AR9" s="60"/>
      <c r="AS9" s="54"/>
    </row>
    <row r="10" spans="1:45" ht="21.25" customHeight="1" x14ac:dyDescent="0.15">
      <c r="A10" s="45">
        <f>RANK(K10,K$1:K$665)</f>
        <v>9</v>
      </c>
      <c r="B10" s="9" t="s">
        <v>135</v>
      </c>
      <c r="C10" s="46" t="s">
        <v>127</v>
      </c>
      <c r="D10" s="47" t="str">
        <f>VLOOKUP(B10,'Player Data'!A1:D667,4,FALSE)</f>
        <v>LW/RW</v>
      </c>
      <c r="E10" s="68">
        <f>VLOOKUP(B10,RW!A1:C136,3,FALSE)</f>
        <v>4</v>
      </c>
      <c r="F10" s="65" t="str">
        <f>VLOOKUP(B10,'Player Data'!A1:B667,2,FALSE)</f>
        <v>FLA</v>
      </c>
      <c r="G10" s="10">
        <f>VLOOKUP(B10,'Player Data'!A1:D667,3,FALSE)</f>
        <v>26</v>
      </c>
      <c r="H10" s="50">
        <f>IFERROR(VLOOKUP(B10,ADP!A1:G665,7,FALSE)/1000000,VLOOKUP(B10,ADP!A1:G665,7,FALSE))</f>
        <v>9.5</v>
      </c>
      <c r="I10" s="51">
        <f>IF(Settings!$E$15="POINTS",((R10*Q10)*Settings!$B$12)+(S10*Settings!$B$2)+(T10*Settings!$B$3)+(U10*Settings!$B$4)+(V10*Settings!$B$5)+(X10*Settings!$B$9)+(AA10*Settings!$B$6)+(W10*Settings!$B$8)+(AB10*Settings!$B$7)+(AC10*Settings!$B$14)+(AD10*Settings!$B$15)+(AE10*Settings!$B$16)+(AF10*Settings!$B$17)+(AG10*Settings!$B$18)+(Y10*Settings!$B$10)+(Z10*Settings!$B$11),VLOOKUP(B10,'Standard Deviations'!A1:C666,3,FALSE))</f>
        <v>502.60098680363058</v>
      </c>
      <c r="J10" s="52">
        <f>IF(D10="G",I10/AJ10,I10/Q10)</f>
        <v>6.1849067750023758</v>
      </c>
      <c r="K10" s="51">
        <f>IF(Settings!$E$18="C/LW/RW",VLOOKUP(B10,RW!A1:F136,6,FALSE),VLOOKUP(B10,F!A1:F392,6,FALSE))</f>
        <v>133.75326369733818</v>
      </c>
      <c r="L10" s="53">
        <f>IFERROR(K10/H10,"N/A")</f>
        <v>14.079290915509283</v>
      </c>
      <c r="M10" s="54">
        <f>IF(Settings!$E$9="YAHOO",VLOOKUP(B10,ADP!A1:E665,2,FALSE),IF(Settings!$E$9="ESPN",VLOOKUP(B10,ADP!A1:E665,3,FALSE),IF(Settings!$E$9="FANTRAX",VLOOKUP(B10,ADP!A1:E665,4,FALSE),VLOOKUP(B10,ADP!A1:E665,5,FALSE))))</f>
        <v>9.8000000000000007</v>
      </c>
      <c r="N10" s="54">
        <f>IFERROR(M10-A10,"N/A")</f>
        <v>0.80000000000000071</v>
      </c>
      <c r="O10" s="54"/>
      <c r="P10" s="55" t="str">
        <f>IF(Settings!$E$27="ON",VLOOKUP(B10,ADP!A1:H665,8,FALSE)," ")</f>
        <v>+</v>
      </c>
      <c r="Q10" s="56">
        <f>IF(Settings!$E$12="YES",VLOOKUP(B10,'Player Data'!A1:E667,5,FALSE),82)</f>
        <v>81.262500000000003</v>
      </c>
      <c r="R10" s="54">
        <f>VLOOKUP(B10,'Player Data'!$A1:$AE667,6,FALSE)</f>
        <v>19.360542100403901</v>
      </c>
      <c r="S10" s="56">
        <f>VLOOKUP(B10,'Player Data'!$A1:$AE667,7,FALSE)*$Q10*IFERROR((VLOOKUP(P10,Settings!$E$28:$F$33,2,FALSE)+1),1)</f>
        <v>35.138530973736366</v>
      </c>
      <c r="T10" s="56">
        <f>VLOOKUP(B10,'Player Data'!$A1:$AE667,8,FALSE)*$Q10*IFERROR((VLOOKUP(P10,Settings!$E$28:$F$33,2,FALSE)+1),1)</f>
        <v>66.850758001411037</v>
      </c>
      <c r="U10" s="56">
        <f>SUM(S10:T10)</f>
        <v>101.9892889751474</v>
      </c>
      <c r="V10" s="56">
        <f>VLOOKUP(B10,'Player Data'!$A1:$AE667,10,FALSE)*$Q10*IFERROR(((VLOOKUP(P10,Settings!$E$28:$F$33,2,FALSE)/2)+1),1)</f>
        <v>295.30877828439623</v>
      </c>
      <c r="W10" s="56">
        <f>VLOOKUP(B10,'Player Data'!$A1:$AE667,11,FALSE)*$Q10*IFERROR((VLOOKUP(P10,Settings!$E$28:$F$33,2,FALSE)+1),1)</f>
        <v>9.4552936258142086</v>
      </c>
      <c r="X10" s="57">
        <f>VLOOKUP(B10,'Player Data'!$A1:$AE667,12,FALSE)*$Q10*IFERROR((VLOOKUP(P10,Settings!$E$28:$F$33,2,FALSE)+1),1)</f>
        <v>32.767065718460181</v>
      </c>
      <c r="Y10" s="56">
        <f>VLOOKUP(B10,'Player Data'!$A1:$AE667,13,FALSE)*$Q10</f>
        <v>0.35140666924001296</v>
      </c>
      <c r="Z10" s="56">
        <f>VLOOKUP(B10,'Player Data'!$A1:$AE667,14,FALSE)*$Q10</f>
        <v>0.56287436644494537</v>
      </c>
      <c r="AA10" s="56">
        <f>VLOOKUP(B10,'Player Data'!$A1:$AE667,15,FALSE)*$Q10</f>
        <v>31.29758130217034</v>
      </c>
      <c r="AB10" s="56">
        <f>VLOOKUP(B10,'Player Data'!$A1:$AE667,16,FALSE)*$Q10</f>
        <v>123.34291978972082</v>
      </c>
      <c r="AC10" s="56">
        <f>VLOOKUP(B10,'Player Data'!$A1:$AE667,17,FALSE)*$Q10*IFERROR((VLOOKUP(P10,Settings!$E$28:$F$33,2,FALSE)+1),1)</f>
        <v>10.540515561328981</v>
      </c>
      <c r="AD10" s="56">
        <f>VLOOKUP(B10,'Player Data'!$A1:$AE667,18,FALSE)*$Q10</f>
        <v>66.727908849602017</v>
      </c>
      <c r="AE10" s="56">
        <f>VLOOKUP(B10,'Player Data'!$A1:$AE667,19,FALSE)*$Q10*IFERROR((VLOOKUP(P10,Settings!$E$28:$F$33,2,FALSE)+1),1)</f>
        <v>5.9862609456374249</v>
      </c>
      <c r="AF10" s="56">
        <f>VLOOKUP(B10,'Player Data'!$A1:$AE667,20,FALSE)*$Q10</f>
        <v>7.1552202844042556</v>
      </c>
      <c r="AG10" s="56">
        <f>VLOOKUP(B10,'Player Data'!$A1:$AE667,21,FALSE)*$Q10</f>
        <v>10.476807737126732</v>
      </c>
      <c r="AH10" s="58">
        <f>VLOOKUP(B10,'Player Data'!$A1:$AE667,22,FALSE)</f>
        <v>0.40580812800812299</v>
      </c>
      <c r="AI10" s="54"/>
      <c r="AJ10" s="56"/>
      <c r="AK10" s="56"/>
      <c r="AL10" s="56"/>
      <c r="AM10" s="56"/>
      <c r="AN10" s="56"/>
      <c r="AO10" s="56"/>
      <c r="AP10" s="56"/>
      <c r="AQ10" s="59"/>
      <c r="AR10" s="60"/>
      <c r="AS10" s="54"/>
    </row>
    <row r="11" spans="1:45" ht="21.25" customHeight="1" x14ac:dyDescent="0.15">
      <c r="A11" s="45">
        <f>RANK(K11,K$1:K$665)</f>
        <v>10</v>
      </c>
      <c r="B11" s="9" t="s">
        <v>136</v>
      </c>
      <c r="C11" s="46" t="s">
        <v>127</v>
      </c>
      <c r="D11" s="47" t="str">
        <f>VLOOKUP(B11,'Player Data'!A1:D667,4,FALSE)</f>
        <v>C/LW</v>
      </c>
      <c r="E11" s="68">
        <f>VLOOKUP(B11,LW!A1:C152,3,FALSE)</f>
        <v>2</v>
      </c>
      <c r="F11" s="55" t="str">
        <f>VLOOKUP(B11,'Player Data'!A1:B667,2,FALSE)</f>
        <v>N.J</v>
      </c>
      <c r="G11" s="69">
        <f>VLOOKUP(B11,'Player Data'!A1:D667,3,FALSE)</f>
        <v>23</v>
      </c>
      <c r="H11" s="50">
        <f>IFERROR(VLOOKUP(B11,ADP!A1:G665,7,FALSE)/1000000,VLOOKUP(B11,ADP!A1:G665,7,FALSE))</f>
        <v>8</v>
      </c>
      <c r="I11" s="51">
        <f>IF(Settings!$E$15="POINTS",((R11*Q11)*Settings!$B$12)+(S11*Settings!$B$2)+(T11*Settings!$B$3)+(U11*Settings!$B$4)+(V11*Settings!$B$5)+(X11*Settings!$B$9)+(AA11*Settings!$B$6)+(W11*Settings!$B$8)+(AB11*Settings!$B$7)+(AC11*Settings!$B$14)+(AD11*Settings!$B$15)+(AE11*Settings!$B$16)+(AF11*Settings!$B$17)+(AG11*Settings!$B$18)+(Y11*Settings!$B$10)+(Z11*Settings!$B$11),VLOOKUP(B11,'Standard Deviations'!A1:C666,3,FALSE))</f>
        <v>514.64801766830919</v>
      </c>
      <c r="J11" s="52">
        <f>IF(D11="G",I11/AJ11,I11/Q11)</f>
        <v>6.8959938050155332</v>
      </c>
      <c r="K11" s="51">
        <f>IF(Settings!$E$18="C/LW/RW",VLOOKUP(B11,LW!A1:F152,6,FALSE),VLOOKUP(B11,F!A1:F392,6,FALSE))</f>
        <v>133.58650536580944</v>
      </c>
      <c r="L11" s="53">
        <f>IFERROR(K11/H11,"N/A")</f>
        <v>16.69831317072618</v>
      </c>
      <c r="M11" s="54">
        <f>IF(Settings!$E$9="YAHOO",VLOOKUP(B11,ADP!A1:E665,2,FALSE),IF(Settings!$E$9="ESPN",VLOOKUP(B11,ADP!A1:E665,3,FALSE),IF(Settings!$E$9="FANTRAX",VLOOKUP(B11,ADP!A1:E665,4,FALSE),VLOOKUP(B11,ADP!A1:E665,5,FALSE))))</f>
        <v>12.2</v>
      </c>
      <c r="N11" s="54">
        <f>IFERROR(M11-A11,"N/A")</f>
        <v>2.1999999999999993</v>
      </c>
      <c r="O11" s="54"/>
      <c r="P11" s="55" t="str">
        <f>IF(Settings!$E$27="ON",VLOOKUP(B11,ADP!A1:H665,8,FALSE)," ")</f>
        <v xml:space="preserve"> </v>
      </c>
      <c r="Q11" s="56">
        <f>IF(Settings!$E$12="YES",VLOOKUP(B11,'Player Data'!A1:E667,5,FALSE),82)</f>
        <v>74.63</v>
      </c>
      <c r="R11" s="54">
        <f>VLOOKUP(B11,'Player Data'!$A1:$AE667,6,FALSE)</f>
        <v>21.0833454170787</v>
      </c>
      <c r="S11" s="56">
        <f>VLOOKUP(B11,'Player Data'!$A1:$AE667,7,FALSE)*$Q11*IFERROR((VLOOKUP(P11,Settings!$E$28:$F$33,2,FALSE)+1),1)</f>
        <v>40.750696860059819</v>
      </c>
      <c r="T11" s="56">
        <f>VLOOKUP(B11,'Player Data'!$A1:$AE667,8,FALSE)*$Q11*IFERROR((VLOOKUP(P11,Settings!$E$28:$F$33,2,FALSE)+1),1)</f>
        <v>59.84687617947997</v>
      </c>
      <c r="U11" s="56">
        <f>SUM(S11:T11)</f>
        <v>100.59757303953978</v>
      </c>
      <c r="V11" s="56">
        <f>VLOOKUP(B11,'Player Data'!$A1:$AE667,10,FALSE)*$Q11*IFERROR(((VLOOKUP(P11,Settings!$E$28:$F$33,2,FALSE)/2)+1),1)</f>
        <v>320.96116556555125</v>
      </c>
      <c r="W11" s="56">
        <f>VLOOKUP(B11,'Player Data'!$A1:$AE667,11,FALSE)*$Q11*IFERROR((VLOOKUP(P11,Settings!$E$28:$F$33,2,FALSE)+1),1)</f>
        <v>11.86182146284523</v>
      </c>
      <c r="X11" s="57">
        <f>VLOOKUP(B11,'Player Data'!$A1:$AE667,12,FALSE)*$Q11*IFERROR((VLOOKUP(P11,Settings!$E$28:$F$33,2,FALSE)+1),1)</f>
        <v>37.3010767887708</v>
      </c>
      <c r="Y11" s="56">
        <f>VLOOKUP(B11,'Player Data'!$A1:$AE667,13,FALSE)*$Q11</f>
        <v>2.6450456581110355E-2</v>
      </c>
      <c r="Z11" s="56">
        <f>VLOOKUP(B11,'Player Data'!$A1:$AE667,14,FALSE)*$Q11</f>
        <v>4.4405604197544295E-2</v>
      </c>
      <c r="AA11" s="56">
        <f>VLOOKUP(B11,'Player Data'!$A1:$AE667,15,FALSE)*$Q11</f>
        <v>30.058466747891678</v>
      </c>
      <c r="AB11" s="56">
        <f>VLOOKUP(B11,'Player Data'!$A1:$AE667,16,FALSE)*$Q11</f>
        <v>17.480057961673101</v>
      </c>
      <c r="AC11" s="56">
        <f>VLOOKUP(B11,'Player Data'!$A1:$AE667,17,FALSE)*$Q11*IFERROR((VLOOKUP(P11,Settings!$E$28:$F$33,2,FALSE)+1),1)</f>
        <v>3.7926982603752846</v>
      </c>
      <c r="AD11" s="56">
        <f>VLOOKUP(B11,'Player Data'!$A1:$AE667,18,FALSE)*$Q11</f>
        <v>14.778582859818577</v>
      </c>
      <c r="AE11" s="56">
        <f>VLOOKUP(B11,'Player Data'!$A1:$AE667,19,FALSE)*$Q11*IFERROR((VLOOKUP(P11,Settings!$E$28:$F$33,2,FALSE)+1),1)</f>
        <v>6.1483152233429088</v>
      </c>
      <c r="AF11" s="56">
        <f>VLOOKUP(B11,'Player Data'!$A1:$AE667,20,FALSE)*$Q11</f>
        <v>151.06680559737339</v>
      </c>
      <c r="AG11" s="56">
        <f>VLOOKUP(B11,'Player Data'!$A1:$AE667,21,FALSE)*$Q11</f>
        <v>268.8074578701241</v>
      </c>
      <c r="AH11" s="58">
        <f>VLOOKUP(B11,'Player Data'!$A1:$AE667,22,FALSE)</f>
        <v>0.35979058194660601</v>
      </c>
      <c r="AI11" s="54"/>
      <c r="AJ11" s="64"/>
      <c r="AK11" s="56"/>
      <c r="AL11" s="56"/>
      <c r="AM11" s="56"/>
      <c r="AN11" s="56"/>
      <c r="AO11" s="56"/>
      <c r="AP11" s="56"/>
      <c r="AQ11" s="59"/>
      <c r="AR11" s="60"/>
      <c r="AS11" s="54"/>
    </row>
    <row r="12" spans="1:45" ht="21.25" customHeight="1" x14ac:dyDescent="0.15">
      <c r="A12" s="45">
        <f>RANK(K12,K$1:K$665)</f>
        <v>11</v>
      </c>
      <c r="B12" s="9" t="s">
        <v>137</v>
      </c>
      <c r="C12" s="46" t="s">
        <v>127</v>
      </c>
      <c r="D12" s="47" t="str">
        <f>VLOOKUP(B12,'Player Data'!A1:D667,4,FALSE)</f>
        <v>D</v>
      </c>
      <c r="E12" s="66">
        <f>VLOOKUP(B12,D!A1:C213,3,FALSE)</f>
        <v>2</v>
      </c>
      <c r="F12" s="65" t="str">
        <f>VLOOKUP(B12,'Player Data'!A1:B667,2,FALSE)</f>
        <v>NSH</v>
      </c>
      <c r="G12" s="63">
        <f>VLOOKUP(B12,'Player Data'!A1:D667,3,FALSE)</f>
        <v>34</v>
      </c>
      <c r="H12" s="50">
        <f>IFERROR(VLOOKUP(B12,ADP!A1:G665,7,FALSE)/1000000,VLOOKUP(B12,ADP!A1:G665,7,FALSE))</f>
        <v>9.0589999999999993</v>
      </c>
      <c r="I12" s="51">
        <f>IF(Settings!$E$15="POINTS",((R12*Q12)*Settings!$B$12)+(S12*Settings!$B$2)+(T12*Settings!$B$3)+(U12*Settings!$B$4)+(V12*Settings!$B$5)+(X12*Settings!$B$9)+(AA12*Settings!$B$6)+(W12*Settings!$B$8)+(AB12*Settings!$B$7)+(AC12*Settings!$B$14)+(AD12*Settings!$B$15)+(AE12*Settings!$B$16)+(AF12*Settings!$B$17)+(AG12*Settings!$B$18)+(U12*Settings!$B$13)+(Y12*Settings!$B$10)+(Z12*Settings!$B$11),VLOOKUP(B12,'Standard Deviations'!A1:C666,3,FALSE))</f>
        <v>468.79176078659765</v>
      </c>
      <c r="J12" s="52">
        <f>IF(D12="G",I12/AJ12,I12/Q12)</f>
        <v>5.8769769741636342</v>
      </c>
      <c r="K12" s="51">
        <f>VLOOKUP(B12,D!A1:F213,6,FALSE)</f>
        <v>132.55763574100274</v>
      </c>
      <c r="L12" s="53">
        <f>IFERROR(K12/H12,"N/A")</f>
        <v>14.632700711005933</v>
      </c>
      <c r="M12" s="54">
        <f>IF(Settings!$E$9="YAHOO",VLOOKUP(B12,ADP!A1:E665,2,FALSE),IF(Settings!$E$9="ESPN",VLOOKUP(B12,ADP!A1:E665,3,FALSE),IF(Settings!$E$9="FANTRAX",VLOOKUP(B12,ADP!A1:E665,4,FALSE),VLOOKUP(B12,ADP!A1:E665,5,FALSE))))</f>
        <v>26.9</v>
      </c>
      <c r="N12" s="54">
        <f>IFERROR(M12-A12,"N/A")</f>
        <v>15.899999999999999</v>
      </c>
      <c r="O12" s="54"/>
      <c r="P12" s="55" t="str">
        <f>IF(Settings!$E$27="ON",VLOOKUP(B12,ADP!A1:H665,8,FALSE)," ")</f>
        <v xml:space="preserve"> </v>
      </c>
      <c r="Q12" s="56">
        <f>IF(Settings!$E$12="YES",VLOOKUP(B12,'Player Data'!A1:E667,5,FALSE),82)</f>
        <v>79.767499999999998</v>
      </c>
      <c r="R12" s="54">
        <f>VLOOKUP(B12,'Player Data'!$A1:$AE667,6,FALSE)</f>
        <v>24.4388690036265</v>
      </c>
      <c r="S12" s="56">
        <f>VLOOKUP(B12,'Player Data'!$A1:$AE667,7,FALSE)*$Q12*IFERROR((VLOOKUP(P12,Settings!$E$28:$F$33,2,FALSE)+1),1)</f>
        <v>20.387070121215093</v>
      </c>
      <c r="T12" s="56">
        <f>VLOOKUP(B12,'Player Data'!$A1:$AE667,8,FALSE)*$Q12*IFERROR((VLOOKUP(P12,Settings!$E$28:$F$33,2,FALSE)+1),1)</f>
        <v>57.104079451947513</v>
      </c>
      <c r="U12" s="56">
        <f>SUM(S12:T12)</f>
        <v>77.491149573162602</v>
      </c>
      <c r="V12" s="56">
        <f>VLOOKUP(B12,'Player Data'!$A1:$AE667,10,FALSE)*$Q12*IFERROR(((VLOOKUP(P12,Settings!$E$28:$F$33,2,FALSE)/2)+1),1)</f>
        <v>264.55510671139552</v>
      </c>
      <c r="W12" s="56">
        <f>VLOOKUP(B12,'Player Data'!$A1:$AE667,11,FALSE)*$Q12*IFERROR((VLOOKUP(P12,Settings!$E$28:$F$33,2,FALSE)+1),1)</f>
        <v>8.9573934119881411</v>
      </c>
      <c r="X12" s="57">
        <f>VLOOKUP(B12,'Player Data'!$A1:$AE667,12,FALSE)*$Q12*IFERROR((VLOOKUP(P12,Settings!$E$28:$F$33,2,FALSE)+1),1)</f>
        <v>30.995431460338256</v>
      </c>
      <c r="Y12" s="56">
        <f>VLOOKUP(B12,'Player Data'!$A1:$AE667,13,FALSE)*$Q12</f>
        <v>1.3166501529198319E-2</v>
      </c>
      <c r="Z12" s="56">
        <f>VLOOKUP(B12,'Player Data'!$A1:$AE667,14,FALSE)*$Q12</f>
        <v>0.30948772362070631</v>
      </c>
      <c r="AA12" s="56">
        <f>VLOOKUP(B12,'Player Data'!$A1:$AE667,15,FALSE)*$Q12</f>
        <v>145.47167905490628</v>
      </c>
      <c r="AB12" s="56">
        <f>VLOOKUP(B12,'Player Data'!$A1:$AE667,16,FALSE)*$Q12</f>
        <v>55.92968801879141</v>
      </c>
      <c r="AC12" s="56">
        <f>VLOOKUP(B12,'Player Data'!$A1:$AE667,17,FALSE)*$Q12*IFERROR((VLOOKUP(P12,Settings!$E$28:$F$33,2,FALSE)+1),1)</f>
        <v>5.2311036761155014</v>
      </c>
      <c r="AD12" s="56">
        <f>VLOOKUP(B12,'Player Data'!$A1:$AE667,18,FALSE)*$Q12</f>
        <v>44.327387630209337</v>
      </c>
      <c r="AE12" s="56">
        <f>VLOOKUP(B12,'Player Data'!$A1:$AE667,19,FALSE)*$Q12*IFERROR((VLOOKUP(P12,Settings!$E$28:$F$33,2,FALSE)+1),1)</f>
        <v>2.8866627504763911</v>
      </c>
      <c r="AF12" s="56">
        <f>VLOOKUP(B12,'Player Data'!$A1:$AE667,20,FALSE)*$Q12</f>
        <v>0</v>
      </c>
      <c r="AG12" s="56">
        <f>VLOOKUP(B12,'Player Data'!$A1:$AE667,21,FALSE)*$Q12</f>
        <v>0</v>
      </c>
      <c r="AH12" s="58">
        <f>VLOOKUP(B12,'Player Data'!$A1:$AE667,22,FALSE)</f>
        <v>0</v>
      </c>
      <c r="AI12" s="54"/>
      <c r="AJ12" s="56"/>
      <c r="AK12" s="56"/>
      <c r="AL12" s="56"/>
      <c r="AM12" s="56"/>
      <c r="AN12" s="56"/>
      <c r="AO12" s="56"/>
      <c r="AP12" s="56"/>
      <c r="AQ12" s="59"/>
      <c r="AR12" s="60"/>
      <c r="AS12" s="64"/>
    </row>
    <row r="13" spans="1:45" ht="21.25" customHeight="1" x14ac:dyDescent="0.15">
      <c r="A13" s="45">
        <f>RANK(K13,K$1:K$665)</f>
        <v>12</v>
      </c>
      <c r="B13" s="9" t="s">
        <v>138</v>
      </c>
      <c r="C13" s="46" t="s">
        <v>127</v>
      </c>
      <c r="D13" s="47" t="str">
        <f>VLOOKUP(B13,'Player Data'!A1:D667,4,FALSE)</f>
        <v>RW</v>
      </c>
      <c r="E13" s="61">
        <f>VLOOKUP(B13,RW!A1:F136,3,FALSE)</f>
        <v>5</v>
      </c>
      <c r="F13" s="65" t="str">
        <f>VLOOKUP(B13,'Player Data'!A1:B667,2,FALSE)</f>
        <v>TOR</v>
      </c>
      <c r="G13" s="10">
        <f>VLOOKUP(B13,'Player Data'!A1:D667,3,FALSE)</f>
        <v>28</v>
      </c>
      <c r="H13" s="50">
        <f>IFERROR(VLOOKUP(B13,ADP!A1:G665,7,FALSE)/1000000,VLOOKUP(B13,ADP!A1:G665,7,FALSE))</f>
        <v>11.5</v>
      </c>
      <c r="I13" s="51">
        <f>IF(Settings!$E$15="POINTS",((R13*Q13)*Settings!$B$12)+(S13*Settings!$B$2)+(T13*Settings!$B$3)+(U13*Settings!$B$4)+(V13*Settings!$B$5)+(X13*Settings!$B$9)+(AA13*Settings!$B$6)+(W13*Settings!$B$8)+(AB13*Settings!$B$7)+(AC13*Settings!$B$14)+(AD13*Settings!$B$15)+(AE13*Settings!$B$16)+(AF13*Settings!$B$17)+(AG13*Settings!$B$18)+(Y13*Settings!$B$10)+(Z13*Settings!$B$11),VLOOKUP(B13,'Standard Deviations'!A1:C666,3,FALSE))</f>
        <v>499.22420119653725</v>
      </c>
      <c r="J13" s="52">
        <f>IF(D13="G",I13/AJ13,I13/Q13)</f>
        <v>6.0933016135302971</v>
      </c>
      <c r="K13" s="51">
        <f>IF(Settings!$E$18="C/LW/RW",VLOOKUP(B13,RW!A1:F136,6,FALSE),VLOOKUP(B13,F!A1:F392,6,FALSE))</f>
        <v>130.37647809024486</v>
      </c>
      <c r="L13" s="53">
        <f>IFERROR(K13/H13,"N/A")</f>
        <v>11.337085051325641</v>
      </c>
      <c r="M13" s="54">
        <f>IF(Settings!$E$9="YAHOO",VLOOKUP(B13,ADP!A1:E665,2,FALSE),IF(Settings!$E$9="ESPN",VLOOKUP(B13,ADP!A1:E665,3,FALSE),IF(Settings!$E$9="FANTRAX",VLOOKUP(B13,ADP!A1:E665,4,FALSE),VLOOKUP(B13,ADP!A1:E665,5,FALSE))))</f>
        <v>15.2</v>
      </c>
      <c r="N13" s="54">
        <f>IFERROR(M13-A13,"N/A")</f>
        <v>3.1999999999999993</v>
      </c>
      <c r="O13" s="54"/>
      <c r="P13" s="55" t="str">
        <f>IF(Settings!$E$27="ON",VLOOKUP(B13,ADP!A1:H665,8,FALSE)," ")</f>
        <v xml:space="preserve"> </v>
      </c>
      <c r="Q13" s="56">
        <f>IF(Settings!$E$12="YES",VLOOKUP(B13,'Player Data'!A1:E667,5,FALSE),82)</f>
        <v>81.93</v>
      </c>
      <c r="R13" s="54">
        <f>VLOOKUP(B13,'Player Data'!$A1:$AE667,6,FALSE)</f>
        <v>20.6056125659568</v>
      </c>
      <c r="S13" s="56">
        <f>VLOOKUP(B13,'Player Data'!$A1:$AE667,7,FALSE)*$Q13*IFERROR((VLOOKUP(P13,Settings!$E$28:$F$33,2,FALSE)+1),1)</f>
        <v>40.624126904336336</v>
      </c>
      <c r="T13" s="56">
        <f>VLOOKUP(B13,'Player Data'!$A1:$AE667,8,FALSE)*$Q13*IFERROR((VLOOKUP(P13,Settings!$E$28:$F$33,2,FALSE)+1),1)</f>
        <v>55.768404892916266</v>
      </c>
      <c r="U13" s="56">
        <f>SUM(S13:T13)</f>
        <v>96.392531797252602</v>
      </c>
      <c r="V13" s="56">
        <f>VLOOKUP(B13,'Player Data'!$A1:$AE667,10,FALSE)*$Q13*IFERROR(((VLOOKUP(P13,Settings!$E$28:$F$33,2,FALSE)/2)+1),1)</f>
        <v>317.02786265397339</v>
      </c>
      <c r="W13" s="56">
        <f>VLOOKUP(B13,'Player Data'!$A1:$AE667,11,FALSE)*$Q13*IFERROR((VLOOKUP(P13,Settings!$E$28:$F$33,2,FALSE)+1),1)</f>
        <v>11.434369696652011</v>
      </c>
      <c r="X13" s="57">
        <f>VLOOKUP(B13,'Player Data'!$A1:$AE667,12,FALSE)*$Q13*IFERROR((VLOOKUP(P13,Settings!$E$28:$F$33,2,FALSE)+1),1)</f>
        <v>33.994163812501206</v>
      </c>
      <c r="Y13" s="56">
        <f>VLOOKUP(B13,'Player Data'!$A1:$AE667,13,FALSE)*$Q13</f>
        <v>1.4325836750486742</v>
      </c>
      <c r="Z13" s="56">
        <f>VLOOKUP(B13,'Player Data'!$A1:$AE667,14,FALSE)*$Q13</f>
        <v>1.9613716857616608</v>
      </c>
      <c r="AA13" s="56">
        <f>VLOOKUP(B13,'Player Data'!$A1:$AE667,15,FALSE)*$Q13</f>
        <v>31.154277959059794</v>
      </c>
      <c r="AB13" s="56">
        <f>VLOOKUP(B13,'Player Data'!$A1:$AE667,16,FALSE)*$Q13</f>
        <v>33.501458760509351</v>
      </c>
      <c r="AC13" s="56">
        <f>VLOOKUP(B13,'Player Data'!$A1:$AE667,17,FALSE)*$Q13*IFERROR((VLOOKUP(P13,Settings!$E$28:$F$33,2,FALSE)+1),1)</f>
        <v>6.1533783688576396</v>
      </c>
      <c r="AD13" s="56">
        <f>VLOOKUP(B13,'Player Data'!$A1:$AE667,18,FALSE)*$Q13</f>
        <v>27.411337308991438</v>
      </c>
      <c r="AE13" s="56">
        <f>VLOOKUP(B13,'Player Data'!$A1:$AE667,19,FALSE)*$Q13*IFERROR((VLOOKUP(P13,Settings!$E$28:$F$33,2,FALSE)+1),1)</f>
        <v>6.4991320927883045</v>
      </c>
      <c r="AF13" s="56">
        <f>VLOOKUP(B13,'Player Data'!$A1:$AE667,20,FALSE)*$Q13</f>
        <v>50.633105155126415</v>
      </c>
      <c r="AG13" s="56">
        <f>VLOOKUP(B13,'Player Data'!$A1:$AE667,21,FALSE)*$Q13</f>
        <v>57.781823711974617</v>
      </c>
      <c r="AH13" s="58">
        <f>VLOOKUP(B13,'Player Data'!$A1:$AE667,22,FALSE)</f>
        <v>0.46703074645000497</v>
      </c>
      <c r="AI13" s="54"/>
      <c r="AJ13" s="56"/>
      <c r="AK13" s="56"/>
      <c r="AL13" s="56"/>
      <c r="AM13" s="56"/>
      <c r="AN13" s="56"/>
      <c r="AO13" s="56"/>
      <c r="AP13" s="56"/>
      <c r="AQ13" s="59"/>
      <c r="AR13" s="60"/>
      <c r="AS13" s="54"/>
    </row>
    <row r="14" spans="1:45" ht="21.25" customHeight="1" x14ac:dyDescent="0.15">
      <c r="A14" s="45">
        <f>RANK(K14,K$1:K$665)</f>
        <v>13</v>
      </c>
      <c r="B14" s="9" t="s">
        <v>139</v>
      </c>
      <c r="C14" s="46" t="s">
        <v>127</v>
      </c>
      <c r="D14" s="47" t="str">
        <f>VLOOKUP(B14,'Player Data'!A1:D667,4,FALSE)</f>
        <v>RW</v>
      </c>
      <c r="E14" s="61">
        <f>VLOOKUP(B14,RW!A1:F136,3,FALSE)</f>
        <v>6</v>
      </c>
      <c r="F14" s="65" t="str">
        <f>VLOOKUP(B14,'Player Data'!A1:B667,2,FALSE)</f>
        <v>TOR</v>
      </c>
      <c r="G14" s="10">
        <f>VLOOKUP(B14,'Player Data'!A1:D667,3,FALSE)</f>
        <v>27</v>
      </c>
      <c r="H14" s="67">
        <f>IFERROR(VLOOKUP(B14,ADP!A1:G665,7,FALSE)/1000000,VLOOKUP(B14,ADP!A1:G665,7,FALSE))</f>
        <v>10.903</v>
      </c>
      <c r="I14" s="51">
        <f>IF(Settings!$E$15="POINTS",((R14*Q14)*Settings!$B$12)+(S14*Settings!$B$2)+(T14*Settings!$B$3)+(U14*Settings!$B$4)+(V14*Settings!$B$5)+(X14*Settings!$B$9)+(AA14*Settings!$B$6)+(W14*Settings!$B$8)+(AB14*Settings!$B$7)+(AC14*Settings!$B$14)+(AD14*Settings!$B$15)+(AE14*Settings!$B$16)+(AF14*Settings!$B$17)+(AG14*Settings!$B$18)+(Y14*Settings!$B$10)+(Z14*Settings!$B$11),VLOOKUP(B14,'Standard Deviations'!A1:C666,3,FALSE))</f>
        <v>486.67981722404403</v>
      </c>
      <c r="J14" s="52">
        <f>IF(D14="G",I14/AJ14,I14/Q14)</f>
        <v>6.2038919943152298</v>
      </c>
      <c r="K14" s="51">
        <f>IF(Settings!$E$18="C/LW/RW",VLOOKUP(B14,RW!A1:F136,6,FALSE),VLOOKUP(B14,F!A1:F392,6,FALSE))</f>
        <v>117.83209411775164</v>
      </c>
      <c r="L14" s="53">
        <f>IFERROR(K14/H14,"N/A")</f>
        <v>10.80730937519505</v>
      </c>
      <c r="M14" s="54">
        <f>IF(Settings!$E$9="YAHOO",VLOOKUP(B14,ADP!A1:E665,2,FALSE),IF(Settings!$E$9="ESPN",VLOOKUP(B14,ADP!A1:E665,3,FALSE),IF(Settings!$E$9="FANTRAX",VLOOKUP(B14,ADP!A1:E665,4,FALSE),VLOOKUP(B14,ADP!A1:E665,5,FALSE))))</f>
        <v>31.4</v>
      </c>
      <c r="N14" s="54">
        <f>IFERROR(M14-A14,"N/A")</f>
        <v>18.399999999999999</v>
      </c>
      <c r="O14" s="54"/>
      <c r="P14" s="55" t="str">
        <f>IF(Settings!$E$27="ON",VLOOKUP(B14,ADP!A1:H665,8,FALSE)," ")</f>
        <v>+</v>
      </c>
      <c r="Q14" s="56">
        <f>IF(Settings!$E$12="YES",VLOOKUP(B14,'Player Data'!A1:E667,5,FALSE),82)</f>
        <v>78.447500000000005</v>
      </c>
      <c r="R14" s="54">
        <f>VLOOKUP(B14,'Player Data'!$A1:$AE667,6,FALSE)</f>
        <v>21.8289999332322</v>
      </c>
      <c r="S14" s="56">
        <f>VLOOKUP(B14,'Player Data'!$A1:$AE667,7,FALSE)*$Q14*IFERROR((VLOOKUP(P14,Settings!$E$28:$F$33,2,FALSE)+1),1)</f>
        <v>34.346381981961315</v>
      </c>
      <c r="T14" s="56">
        <f>VLOOKUP(B14,'Player Data'!$A1:$AE667,8,FALSE)*$Q14*IFERROR((VLOOKUP(P14,Settings!$E$28:$F$33,2,FALSE)+1),1)</f>
        <v>71.270725841692112</v>
      </c>
      <c r="U14" s="56">
        <f>SUM(S14:T14)</f>
        <v>105.61710782365343</v>
      </c>
      <c r="V14" s="56">
        <f>VLOOKUP(B14,'Player Data'!$A1:$AE667,10,FALSE)*$Q14*IFERROR(((VLOOKUP(P14,Settings!$E$28:$F$33,2,FALSE)/2)+1),1)</f>
        <v>210.36435779510509</v>
      </c>
      <c r="W14" s="56">
        <f>VLOOKUP(B14,'Player Data'!$A1:$AE667,11,FALSE)*$Q14*IFERROR((VLOOKUP(P14,Settings!$E$28:$F$33,2,FALSE)+1),1)</f>
        <v>10.230388280967624</v>
      </c>
      <c r="X14" s="57">
        <f>VLOOKUP(B14,'Player Data'!$A1:$AE667,12,FALSE)*$Q14*IFERROR((VLOOKUP(P14,Settings!$E$28:$F$33,2,FALSE)+1),1)</f>
        <v>35.724802312341161</v>
      </c>
      <c r="Y14" s="56">
        <f>VLOOKUP(B14,'Player Data'!$A1:$AE667,13,FALSE)*$Q14</f>
        <v>2.0074592807435767</v>
      </c>
      <c r="Z14" s="56">
        <f>VLOOKUP(B14,'Player Data'!$A1:$AE667,14,FALSE)*$Q14</f>
        <v>2.5854929036065082</v>
      </c>
      <c r="AA14" s="56">
        <f>VLOOKUP(B14,'Player Data'!$A1:$AE667,15,FALSE)*$Q14</f>
        <v>52.672039279167095</v>
      </c>
      <c r="AB14" s="56">
        <f>VLOOKUP(B14,'Player Data'!$A1:$AE667,16,FALSE)*$Q14</f>
        <v>68.140808034116034</v>
      </c>
      <c r="AC14" s="56">
        <f>VLOOKUP(B14,'Player Data'!$A1:$AE667,17,FALSE)*$Q14*IFERROR((VLOOKUP(P14,Settings!$E$28:$F$33,2,FALSE)+1),1)</f>
        <v>9.4943504765171607</v>
      </c>
      <c r="AD14" s="56">
        <f>VLOOKUP(B14,'Player Data'!$A1:$AE667,18,FALSE)*$Q14</f>
        <v>26.11873228412195</v>
      </c>
      <c r="AE14" s="56">
        <f>VLOOKUP(B14,'Player Data'!$A1:$AE667,19,FALSE)*$Q14*IFERROR((VLOOKUP(P14,Settings!$E$28:$F$33,2,FALSE)+1),1)</f>
        <v>5.494805437561376</v>
      </c>
      <c r="AF14" s="56">
        <f>VLOOKUP(B14,'Player Data'!$A1:$AE667,20,FALSE)*$Q14</f>
        <v>3.7672525988210017</v>
      </c>
      <c r="AG14" s="56">
        <f>VLOOKUP(B14,'Player Data'!$A1:$AE667,21,FALSE)*$Q14</f>
        <v>12.753625622460518</v>
      </c>
      <c r="AH14" s="58">
        <f>VLOOKUP(B14,'Player Data'!$A1:$AE667,22,FALSE)</f>
        <v>0.22802980255421201</v>
      </c>
      <c r="AI14" s="54"/>
      <c r="AJ14" s="56"/>
      <c r="AK14" s="56"/>
      <c r="AL14" s="56"/>
      <c r="AM14" s="56"/>
      <c r="AN14" s="56"/>
      <c r="AO14" s="56"/>
      <c r="AP14" s="56"/>
      <c r="AQ14" s="59"/>
      <c r="AR14" s="60"/>
      <c r="AS14" s="54"/>
    </row>
    <row r="15" spans="1:45" ht="21.25" customHeight="1" x14ac:dyDescent="0.15">
      <c r="A15" s="45">
        <f>RANK(K15,K$1:K$665)</f>
        <v>14</v>
      </c>
      <c r="B15" s="9" t="s">
        <v>140</v>
      </c>
      <c r="C15" s="46" t="s">
        <v>127</v>
      </c>
      <c r="D15" s="47" t="str">
        <f>VLOOKUP(B15,'Player Data'!A1:D667,4,FALSE)</f>
        <v>LW</v>
      </c>
      <c r="E15" s="70">
        <f>VLOOKUP(B15,LW!A1:C152,3,FALSE)</f>
        <v>4</v>
      </c>
      <c r="F15" s="71" t="str">
        <f>VLOOKUP(B15,'Player Data'!A1:B667,2,FALSE)</f>
        <v>NYR</v>
      </c>
      <c r="G15" s="63">
        <f>VLOOKUP(B15,'Player Data'!A1:D667,3,FALSE)</f>
        <v>32</v>
      </c>
      <c r="H15" s="50">
        <f>IFERROR(VLOOKUP(B15,ADP!A1:G665,7,FALSE)/1000000,VLOOKUP(B15,ADP!A1:G665,7,FALSE))</f>
        <v>11.642856999999999</v>
      </c>
      <c r="I15" s="51">
        <f>IF(Settings!$E$15="POINTS",((R15*Q15)*Settings!$B$12)+(S15*Settings!$B$2)+(T15*Settings!$B$3)+(U15*Settings!$B$4)+(V15*Settings!$B$5)+(X15*Settings!$B$9)+(AA15*Settings!$B$6)+(W15*Settings!$B$8)+(AB15*Settings!$B$7)+(AC15*Settings!$B$14)+(AD15*Settings!$B$15)+(AE15*Settings!$B$16)+(AF15*Settings!$B$17)+(AG15*Settings!$B$18)+(Y15*Settings!$B$10)+(Z15*Settings!$B$11),VLOOKUP(B15,'Standard Deviations'!A1:C666,3,FALSE))</f>
        <v>496.40589359751323</v>
      </c>
      <c r="J15" s="52">
        <f>IF(D15="G",I15/AJ15,I15/Q15)</f>
        <v>6.1036012983832935</v>
      </c>
      <c r="K15" s="51">
        <f>IF(Settings!$E$18="C/LW/RW",VLOOKUP(B15,LW!A1:F152,6,FALSE),VLOOKUP(B15,F!A1:F392,6,FALSE))</f>
        <v>115.34438129501348</v>
      </c>
      <c r="L15" s="53">
        <f>IFERROR(K15/H15,"N/A")</f>
        <v>9.9068794965886369</v>
      </c>
      <c r="M15" s="54">
        <f>IF(Settings!$E$9="YAHOO",VLOOKUP(B15,ADP!A1:E665,2,FALSE),IF(Settings!$E$9="ESPN",VLOOKUP(B15,ADP!A1:E665,3,FALSE),IF(Settings!$E$9="FANTRAX",VLOOKUP(B15,ADP!A1:E665,4,FALSE),VLOOKUP(B15,ADP!A1:E665,5,FALSE))))</f>
        <v>13</v>
      </c>
      <c r="N15" s="54">
        <f>IFERROR(M15-A15,"N/A")</f>
        <v>-1</v>
      </c>
      <c r="O15" s="54"/>
      <c r="P15" s="55" t="str">
        <f>IF(Settings!$E$27="ON",VLOOKUP(B15,ADP!A1:H665,8,FALSE)," ")</f>
        <v xml:space="preserve"> </v>
      </c>
      <c r="Q15" s="56">
        <f>IF(Settings!$E$12="YES",VLOOKUP(B15,'Player Data'!A1:E667,5,FALSE),82)</f>
        <v>81.33</v>
      </c>
      <c r="R15" s="54">
        <f>VLOOKUP(B15,'Player Data'!$A1:$AE667,6,FALSE)</f>
        <v>20.2691151278479</v>
      </c>
      <c r="S15" s="56">
        <f>VLOOKUP(B15,'Player Data'!$A1:$AE667,7,FALSE)*$Q15*IFERROR((VLOOKUP(P15,Settings!$E$28:$F$33,2,FALSE)+1),1)</f>
        <v>37.227541954477488</v>
      </c>
      <c r="T15" s="56">
        <f>VLOOKUP(B15,'Player Data'!$A1:$AE667,8,FALSE)*$Q15*IFERROR((VLOOKUP(P15,Settings!$E$28:$F$33,2,FALSE)+1),1)</f>
        <v>67.850167643291741</v>
      </c>
      <c r="U15" s="56">
        <f>SUM(S15:T15)</f>
        <v>105.07770959776923</v>
      </c>
      <c r="V15" s="56">
        <f>VLOOKUP(B15,'Player Data'!$A1:$AE667,10,FALSE)*$Q15*IFERROR(((VLOOKUP(P15,Settings!$E$28:$F$33,2,FALSE)/2)+1),1)</f>
        <v>268.92831307134526</v>
      </c>
      <c r="W15" s="56">
        <f>VLOOKUP(B15,'Player Data'!$A1:$AE667,11,FALSE)*$Q15*IFERROR((VLOOKUP(P15,Settings!$E$28:$F$33,2,FALSE)+1),1)</f>
        <v>9.3232073261671058</v>
      </c>
      <c r="X15" s="57">
        <f>VLOOKUP(B15,'Player Data'!$A1:$AE667,12,FALSE)*$Q15*IFERROR((VLOOKUP(P15,Settings!$E$28:$F$33,2,FALSE)+1),1)</f>
        <v>38.368452708875225</v>
      </c>
      <c r="Y15" s="56">
        <f>VLOOKUP(B15,'Player Data'!$A1:$AE667,13,FALSE)*$Q15</f>
        <v>2.5919884487652931E-3</v>
      </c>
      <c r="Z15" s="56">
        <f>VLOOKUP(B15,'Player Data'!$A1:$AE667,14,FALSE)*$Q15</f>
        <v>4.4381611200893425E-3</v>
      </c>
      <c r="AA15" s="56">
        <f>VLOOKUP(B15,'Player Data'!$A1:$AE667,15,FALSE)*$Q15</f>
        <v>16.671434797075133</v>
      </c>
      <c r="AB15" s="56">
        <f>VLOOKUP(B15,'Player Data'!$A1:$AE667,16,FALSE)*$Q15</f>
        <v>25.940401609752545</v>
      </c>
      <c r="AC15" s="56">
        <f>VLOOKUP(B15,'Player Data'!$A1:$AE667,17,FALSE)*$Q15*IFERROR((VLOOKUP(P15,Settings!$E$28:$F$33,2,FALSE)+1),1)</f>
        <v>6.3419213548205384</v>
      </c>
      <c r="AD15" s="56">
        <f>VLOOKUP(B15,'Player Data'!$A1:$AE667,18,FALSE)*$Q15</f>
        <v>28.388228087031969</v>
      </c>
      <c r="AE15" s="56">
        <f>VLOOKUP(B15,'Player Data'!$A1:$AE667,19,FALSE)*$Q15*IFERROR((VLOOKUP(P15,Settings!$E$28:$F$33,2,FALSE)+1),1)</f>
        <v>6.0851508642448788</v>
      </c>
      <c r="AF15" s="56">
        <f>VLOOKUP(B15,'Player Data'!$A1:$AE667,20,FALSE)*$Q15</f>
        <v>2.7332568615428179</v>
      </c>
      <c r="AG15" s="56">
        <f>VLOOKUP(B15,'Player Data'!$A1:$AE667,21,FALSE)*$Q15</f>
        <v>7.6346466391006986</v>
      </c>
      <c r="AH15" s="58">
        <f>VLOOKUP(B15,'Player Data'!$A1:$AE667,22,FALSE)</f>
        <v>0.263626765177084</v>
      </c>
      <c r="AI15" s="54"/>
      <c r="AJ15" s="56"/>
      <c r="AK15" s="56"/>
      <c r="AL15" s="56"/>
      <c r="AM15" s="56"/>
      <c r="AN15" s="56"/>
      <c r="AO15" s="56"/>
      <c r="AP15" s="56"/>
      <c r="AQ15" s="59"/>
      <c r="AR15" s="60"/>
      <c r="AS15" s="54"/>
    </row>
    <row r="16" spans="1:45" ht="21.25" customHeight="1" x14ac:dyDescent="0.15">
      <c r="A16" s="45">
        <f>RANK(K16,K$1:K$665)</f>
        <v>15</v>
      </c>
      <c r="B16" s="9" t="s">
        <v>141</v>
      </c>
      <c r="C16" s="46" t="s">
        <v>127</v>
      </c>
      <c r="D16" s="47" t="str">
        <f>VLOOKUP(B16,'Player Data'!A1:D667,4,FALSE)</f>
        <v>D</v>
      </c>
      <c r="E16" s="66">
        <f>VLOOKUP(B16,D!A1:C213,3,FALSE)</f>
        <v>3</v>
      </c>
      <c r="F16" s="65" t="str">
        <f>VLOOKUP(B16,'Player Data'!A1:B667,2,FALSE)</f>
        <v>EDM</v>
      </c>
      <c r="G16" s="69">
        <f>VLOOKUP(B16,'Player Data'!A1:D667,3,FALSE)</f>
        <v>24</v>
      </c>
      <c r="H16" s="67">
        <f>IFERROR(VLOOKUP(B16,ADP!A1:G665,7,FALSE)/1000000,VLOOKUP(B16,ADP!A1:G665,7,FALSE))</f>
        <v>3.9</v>
      </c>
      <c r="I16" s="51">
        <f>IF(Settings!$E$15="POINTS",((R16*Q16)*Settings!$B$12)+(S16*Settings!$B$2)+(T16*Settings!$B$3)+(U16*Settings!$B$4)+(V16*Settings!$B$5)+(X16*Settings!$B$9)+(AA16*Settings!$B$6)+(W16*Settings!$B$8)+(AB16*Settings!$B$7)+(AC16*Settings!$B$14)+(AD16*Settings!$B$15)+(AE16*Settings!$B$16)+(AF16*Settings!$B$17)+(AG16*Settings!$B$18)+(U16*Settings!$B$13)+(Y16*Settings!$B$10)+(Z16*Settings!$B$11),VLOOKUP(B16,'Standard Deviations'!A1:C666,3,FALSE))</f>
        <v>444.80333202860896</v>
      </c>
      <c r="J16" s="52">
        <f>IF(D16="G",I16/AJ16,I16/Q16)</f>
        <v>5.4408529650910857</v>
      </c>
      <c r="K16" s="51">
        <f>VLOOKUP(B16,D!A1:F213,6,FALSE)</f>
        <v>108.56920698301406</v>
      </c>
      <c r="L16" s="53">
        <f>IFERROR(K16/H16,"N/A")</f>
        <v>27.838258200772835</v>
      </c>
      <c r="M16" s="54">
        <f>IF(Settings!$E$9="YAHOO",VLOOKUP(B16,ADP!A1:E665,2,FALSE),IF(Settings!$E$9="ESPN",VLOOKUP(B16,ADP!A1:E665,3,FALSE),IF(Settings!$E$9="FANTRAX",VLOOKUP(B16,ADP!A1:E665,4,FALSE),VLOOKUP(B16,ADP!A1:E665,5,FALSE))))</f>
        <v>23.4</v>
      </c>
      <c r="N16" s="54">
        <f>IFERROR(M16-A16,"N/A")</f>
        <v>8.3999999999999986</v>
      </c>
      <c r="O16" s="54"/>
      <c r="P16" s="55" t="str">
        <f>IF(Settings!$E$27="ON",VLOOKUP(B16,ADP!A1:H665,8,FALSE)," ")</f>
        <v>+ +</v>
      </c>
      <c r="Q16" s="56">
        <f>IF(Settings!$E$12="YES",VLOOKUP(B16,'Player Data'!A1:E667,5,FALSE),82)</f>
        <v>81.752499999999998</v>
      </c>
      <c r="R16" s="54">
        <f>VLOOKUP(B16,'Player Data'!$A1:$AE667,6,FALSE)</f>
        <v>23.499541438025801</v>
      </c>
      <c r="S16" s="56">
        <f>VLOOKUP(B16,'Player Data'!$A1:$AE667,7,FALSE)*$Q16*IFERROR((VLOOKUP(P16,Settings!$E$28:$F$33,2,FALSE)+1),1)</f>
        <v>17.760383543223629</v>
      </c>
      <c r="T16" s="56">
        <f>VLOOKUP(B16,'Player Data'!$A1:$AE667,8,FALSE)*$Q16*IFERROR((VLOOKUP(P16,Settings!$E$28:$F$33,2,FALSE)+1),1)</f>
        <v>62.136975325531814</v>
      </c>
      <c r="U16" s="56">
        <f>SUM(S16:T16)</f>
        <v>79.897358868755447</v>
      </c>
      <c r="V16" s="56">
        <f>VLOOKUP(B16,'Player Data'!$A1:$AE667,10,FALSE)*$Q16*IFERROR(((VLOOKUP(P16,Settings!$E$28:$F$33,2,FALSE)/2)+1),1)</f>
        <v>231.4057502687138</v>
      </c>
      <c r="W16" s="56">
        <f>VLOOKUP(B16,'Player Data'!$A1:$AE667,11,FALSE)*$Q16*IFERROR((VLOOKUP(P16,Settings!$E$28:$F$33,2,FALSE)+1),1)</f>
        <v>7.1811982666962431</v>
      </c>
      <c r="X16" s="57">
        <f>VLOOKUP(B16,'Player Data'!$A1:$AE667,12,FALSE)*$Q16*IFERROR((VLOOKUP(P16,Settings!$E$28:$F$33,2,FALSE)+1),1)</f>
        <v>33.606674991494998</v>
      </c>
      <c r="Y16" s="56">
        <f>VLOOKUP(B16,'Player Data'!$A1:$AE667,13,FALSE)*$Q16</f>
        <v>1.9868906416080436E-2</v>
      </c>
      <c r="Z16" s="56">
        <f>VLOOKUP(B16,'Player Data'!$A1:$AE667,14,FALSE)*$Q16</f>
        <v>0.43335807235964358</v>
      </c>
      <c r="AA16" s="56">
        <f>VLOOKUP(B16,'Player Data'!$A1:$AE667,15,FALSE)*$Q16</f>
        <v>110.73669444826224</v>
      </c>
      <c r="AB16" s="56">
        <f>VLOOKUP(B16,'Player Data'!$A1:$AE667,16,FALSE)*$Q16</f>
        <v>87.202004531664443</v>
      </c>
      <c r="AC16" s="56">
        <f>VLOOKUP(B16,'Player Data'!$A1:$AE667,17,FALSE)*$Q16*IFERROR((VLOOKUP(P16,Settings!$E$28:$F$33,2,FALSE)+1),1)</f>
        <v>13.057704274881205</v>
      </c>
      <c r="AD16" s="56">
        <f>VLOOKUP(B16,'Player Data'!$A1:$AE667,18,FALSE)*$Q16</f>
        <v>35.651926971294181</v>
      </c>
      <c r="AE16" s="56">
        <f>VLOOKUP(B16,'Player Data'!$A1:$AE667,19,FALSE)*$Q16*IFERROR((VLOOKUP(P16,Settings!$E$28:$F$33,2,FALSE)+1),1)</f>
        <v>2.867860730084963</v>
      </c>
      <c r="AF16" s="56">
        <f>VLOOKUP(B16,'Player Data'!$A1:$AE667,20,FALSE)*$Q16</f>
        <v>0</v>
      </c>
      <c r="AG16" s="56">
        <f>VLOOKUP(B16,'Player Data'!$A1:$AE667,21,FALSE)*$Q16</f>
        <v>0</v>
      </c>
      <c r="AH16" s="58">
        <f>VLOOKUP(B16,'Player Data'!$A1:$AE667,22,FALSE)</f>
        <v>0</v>
      </c>
      <c r="AI16" s="54"/>
      <c r="AJ16" s="64"/>
      <c r="AK16" s="56"/>
      <c r="AL16" s="56"/>
      <c r="AM16" s="56"/>
      <c r="AN16" s="56"/>
      <c r="AO16" s="56"/>
      <c r="AP16" s="56"/>
      <c r="AQ16" s="59"/>
      <c r="AR16" s="60"/>
      <c r="AS16" s="54"/>
    </row>
    <row r="17" spans="1:45" ht="21.25" customHeight="1" x14ac:dyDescent="0.15">
      <c r="A17" s="45">
        <f>RANK(K17,K$1:K$665)</f>
        <v>16</v>
      </c>
      <c r="B17" s="9" t="s">
        <v>142</v>
      </c>
      <c r="C17" s="46" t="s">
        <v>127</v>
      </c>
      <c r="D17" s="47" t="str">
        <f>VLOOKUP(B17,'Player Data'!A1:D667,4,FALSE)</f>
        <v>D</v>
      </c>
      <c r="E17" s="66">
        <f>VLOOKUP(B17,D!A1:C213,3,FALSE)</f>
        <v>4</v>
      </c>
      <c r="F17" s="65" t="str">
        <f>VLOOKUP(B17,'Player Data'!A1:B667,2,FALSE)</f>
        <v>BUF</v>
      </c>
      <c r="G17" s="69">
        <f>VLOOKUP(B17,'Player Data'!A1:D667,3,FALSE)</f>
        <v>24</v>
      </c>
      <c r="H17" s="50">
        <f>IFERROR(VLOOKUP(B17,ADP!A1:G665,7,FALSE)/1000000,VLOOKUP(B17,ADP!A1:G665,7,FALSE))</f>
        <v>11</v>
      </c>
      <c r="I17" s="51">
        <f>IF(Settings!$E$15="POINTS",((R17*Q17)*Settings!$B$12)+(S17*Settings!$B$2)+(T17*Settings!$B$3)+(U17*Settings!$B$4)+(V17*Settings!$B$5)+(X17*Settings!$B$9)+(AA17*Settings!$B$6)+(W17*Settings!$B$8)+(AB17*Settings!$B$7)+(AC17*Settings!$B$14)+(AD17*Settings!$B$15)+(AE17*Settings!$B$16)+(AF17*Settings!$B$17)+(AG17*Settings!$B$18)+(U17*Settings!$B$13)+(Y17*Settings!$B$10)+(Z17*Settings!$B$11),VLOOKUP(B17,'Standard Deviations'!A1:C666,3,FALSE))</f>
        <v>431.61740346272694</v>
      </c>
      <c r="J17" s="52">
        <f>IF(D17="G",I17/AJ17,I17/Q17)</f>
        <v>5.3218754472763097</v>
      </c>
      <c r="K17" s="51">
        <f>VLOOKUP(B17,D!A1:F213,6,FALSE)</f>
        <v>95.383278417132033</v>
      </c>
      <c r="L17" s="53">
        <f>IFERROR(K17/H17,"N/A")</f>
        <v>8.6712071288301846</v>
      </c>
      <c r="M17" s="54">
        <f>IF(Settings!$E$9="YAHOO",VLOOKUP(B17,ADP!A1:E665,2,FALSE),IF(Settings!$E$9="ESPN",VLOOKUP(B17,ADP!A1:E665,3,FALSE),IF(Settings!$E$9="FANTRAX",VLOOKUP(B17,ADP!A1:E665,4,FALSE),VLOOKUP(B17,ADP!A1:E665,5,FALSE))))</f>
        <v>36</v>
      </c>
      <c r="N17" s="54">
        <f>IFERROR(M17-A17,"N/A")</f>
        <v>20</v>
      </c>
      <c r="O17" s="54"/>
      <c r="P17" s="55" t="str">
        <f>IF(Settings!$E$27="ON",VLOOKUP(B17,ADP!A1:H665,8,FALSE)," ")</f>
        <v>+</v>
      </c>
      <c r="Q17" s="56">
        <f>IF(Settings!$E$12="YES",VLOOKUP(B17,'Player Data'!A1:E667,5,FALSE),82)</f>
        <v>81.102500000000006</v>
      </c>
      <c r="R17" s="54">
        <f>VLOOKUP(B17,'Player Data'!$A1:$AE667,6,FALSE)</f>
        <v>25.657004599809799</v>
      </c>
      <c r="S17" s="56">
        <f>VLOOKUP(B17,'Player Data'!$A1:$AE667,7,FALSE)*$Q17*IFERROR((VLOOKUP(P17,Settings!$E$28:$F$33,2,FALSE)+1),1)</f>
        <v>18.913523626476515</v>
      </c>
      <c r="T17" s="56">
        <f>VLOOKUP(B17,'Player Data'!$A1:$AE667,8,FALSE)*$Q17*IFERROR((VLOOKUP(P17,Settings!$E$28:$F$33,2,FALSE)+1),1)</f>
        <v>53.079040674460224</v>
      </c>
      <c r="U17" s="56">
        <f>SUM(S17:T17)</f>
        <v>71.992564300936735</v>
      </c>
      <c r="V17" s="56">
        <f>VLOOKUP(B17,'Player Data'!$A1:$AE667,10,FALSE)*$Q17*IFERROR(((VLOOKUP(P17,Settings!$E$28:$F$33,2,FALSE)/2)+1),1)</f>
        <v>230.03504059048177</v>
      </c>
      <c r="W17" s="56">
        <f>VLOOKUP(B17,'Player Data'!$A1:$AE667,11,FALSE)*$Q17*IFERROR((VLOOKUP(P17,Settings!$E$28:$F$33,2,FALSE)+1),1)</f>
        <v>6.163678034496157</v>
      </c>
      <c r="X17" s="57">
        <f>VLOOKUP(B17,'Player Data'!$A1:$AE667,12,FALSE)*$Q17*IFERROR((VLOOKUP(P17,Settings!$E$28:$F$33,2,FALSE)+1),1)</f>
        <v>27.823485518144206</v>
      </c>
      <c r="Y17" s="56">
        <f>VLOOKUP(B17,'Player Data'!$A1:$AE667,13,FALSE)*$Q17</f>
        <v>1.860032552104798E-2</v>
      </c>
      <c r="Z17" s="56">
        <f>VLOOKUP(B17,'Player Data'!$A1:$AE667,14,FALSE)*$Q17</f>
        <v>0.21038725873866884</v>
      </c>
      <c r="AA17" s="56">
        <f>VLOOKUP(B17,'Player Data'!$A1:$AE667,15,FALSE)*$Q17</f>
        <v>145.17663497558598</v>
      </c>
      <c r="AB17" s="56">
        <f>VLOOKUP(B17,'Player Data'!$A1:$AE667,16,FALSE)*$Q17</f>
        <v>152.86264315448275</v>
      </c>
      <c r="AC17" s="56">
        <f>VLOOKUP(B17,'Player Data'!$A1:$AE667,17,FALSE)*$Q17*IFERROR((VLOOKUP(P17,Settings!$E$28:$F$33,2,FALSE)+1),1)</f>
        <v>-0.39504454322216098</v>
      </c>
      <c r="AD17" s="56">
        <f>VLOOKUP(B17,'Player Data'!$A1:$AE667,18,FALSE)*$Q17</f>
        <v>66.840852619299923</v>
      </c>
      <c r="AE17" s="56">
        <f>VLOOKUP(B17,'Player Data'!$A1:$AE667,19,FALSE)*$Q17*IFERROR((VLOOKUP(P17,Settings!$E$28:$F$33,2,FALSE)+1),1)</f>
        <v>2.6754207284743243</v>
      </c>
      <c r="AF17" s="56">
        <f>VLOOKUP(B17,'Player Data'!$A1:$AE667,20,FALSE)*$Q17</f>
        <v>0</v>
      </c>
      <c r="AG17" s="56">
        <f>VLOOKUP(B17,'Player Data'!$A1:$AE667,21,FALSE)*$Q17</f>
        <v>0</v>
      </c>
      <c r="AH17" s="58">
        <f>VLOOKUP(B17,'Player Data'!$A1:$AE667,22,FALSE)</f>
        <v>0</v>
      </c>
      <c r="AI17" s="54"/>
      <c r="AJ17" s="56"/>
      <c r="AK17" s="56"/>
      <c r="AL17" s="56"/>
      <c r="AM17" s="56"/>
      <c r="AN17" s="56"/>
      <c r="AO17" s="56"/>
      <c r="AP17" s="56"/>
      <c r="AQ17" s="59"/>
      <c r="AR17" s="60"/>
      <c r="AS17" s="64"/>
    </row>
    <row r="18" spans="1:45" ht="21.25" customHeight="1" x14ac:dyDescent="0.15">
      <c r="A18" s="45">
        <f>RANK(K18,K$1:K$665)</f>
        <v>17</v>
      </c>
      <c r="B18" s="9" t="s">
        <v>143</v>
      </c>
      <c r="C18" s="46" t="s">
        <v>127</v>
      </c>
      <c r="D18" s="47" t="str">
        <f>VLOOKUP(B18,'Player Data'!A1:D667,4,FALSE)</f>
        <v>LW</v>
      </c>
      <c r="E18" s="70">
        <f>VLOOKUP(B18,LW!A1:C152,3,FALSE)</f>
        <v>5</v>
      </c>
      <c r="F18" s="72" t="str">
        <f>VLOOKUP(B18,'Player Data'!A1:B667,2,FALSE)</f>
        <v>MIN</v>
      </c>
      <c r="G18" s="10">
        <f>VLOOKUP(B18,'Player Data'!A1:D667,3,FALSE)</f>
        <v>27</v>
      </c>
      <c r="H18" s="50">
        <f>IFERROR(VLOOKUP(B18,ADP!A1:G665,7,FALSE)/1000000,VLOOKUP(B18,ADP!A1:G665,7,FALSE))</f>
        <v>9</v>
      </c>
      <c r="I18" s="51">
        <f>IF(Settings!$E$15="POINTS",((R18*Q18)*Settings!$B$12)+(S18*Settings!$B$2)+(T18*Settings!$B$3)+(U18*Settings!$B$4)+(V18*Settings!$B$5)+(X18*Settings!$B$9)+(AA18*Settings!$B$6)+(W18*Settings!$B$8)+(AB18*Settings!$B$7)+(AC18*Settings!$B$14)+(AD18*Settings!$B$15)+(AE18*Settings!$B$16)+(AF18*Settings!$B$17)+(AG18*Settings!$B$18)+(Y18*Settings!$B$10)+(Z18*Settings!$B$11),VLOOKUP(B18,'Standard Deviations'!A1:C666,3,FALSE))</f>
        <v>473.60733571545785</v>
      </c>
      <c r="J18" s="52">
        <f>IF(D18="G",I18/AJ18,I18/Q18)</f>
        <v>6.023622711802326</v>
      </c>
      <c r="K18" s="51">
        <f>IF(Settings!$E$18="C/LW/RW",VLOOKUP(B18,LW!A1:F152,6,FALSE),VLOOKUP(B18,F!A1:F392,6,FALSE))</f>
        <v>92.5458234129581</v>
      </c>
      <c r="L18" s="53">
        <f>IFERROR(K18/H18,"N/A")</f>
        <v>10.282869268106456</v>
      </c>
      <c r="M18" s="54">
        <f>IF(Settings!$E$9="YAHOO",VLOOKUP(B18,ADP!A1:E665,2,FALSE),IF(Settings!$E$9="ESPN",VLOOKUP(B18,ADP!A1:E665,3,FALSE),IF(Settings!$E$9="FANTRAX",VLOOKUP(B18,ADP!A1:E665,4,FALSE),VLOOKUP(B18,ADP!A1:E665,5,FALSE))))</f>
        <v>15</v>
      </c>
      <c r="N18" s="54">
        <f>IFERROR(M18-A18,"N/A")</f>
        <v>-2</v>
      </c>
      <c r="O18" s="54"/>
      <c r="P18" s="55" t="str">
        <f>IF(Settings!$E$27="ON",VLOOKUP(B18,ADP!A1:H665,8,FALSE)," ")</f>
        <v xml:space="preserve"> </v>
      </c>
      <c r="Q18" s="56">
        <f>IF(Settings!$E$12="YES",VLOOKUP(B18,'Player Data'!A1:E667,5,FALSE),82)</f>
        <v>78.625</v>
      </c>
      <c r="R18" s="54">
        <f>VLOOKUP(B18,'Player Data'!$A1:$AE667,6,FALSE)</f>
        <v>20.838426738633899</v>
      </c>
      <c r="S18" s="56">
        <f>VLOOKUP(B18,'Player Data'!$A1:$AE667,7,FALSE)*$Q18*IFERROR((VLOOKUP(P18,Settings!$E$28:$F$33,2,FALSE)+1),1)</f>
        <v>44.412732458939693</v>
      </c>
      <c r="T18" s="56">
        <f>VLOOKUP(B18,'Player Data'!$A1:$AE667,8,FALSE)*$Q18*IFERROR((VLOOKUP(P18,Settings!$E$28:$F$33,2,FALSE)+1),1)</f>
        <v>49.250803609433596</v>
      </c>
      <c r="U18" s="56">
        <f>SUM(S18:T18)</f>
        <v>93.66353606837329</v>
      </c>
      <c r="V18" s="56">
        <f>VLOOKUP(B18,'Player Data'!$A1:$AE667,10,FALSE)*$Q18*IFERROR(((VLOOKUP(P18,Settings!$E$28:$F$33,2,FALSE)/2)+1),1)</f>
        <v>281.05132228436139</v>
      </c>
      <c r="W18" s="56">
        <f>VLOOKUP(B18,'Player Data'!$A1:$AE667,11,FALSE)*$Q18*IFERROR((VLOOKUP(P18,Settings!$E$28:$F$33,2,FALSE)+1),1)</f>
        <v>15.504500472278979</v>
      </c>
      <c r="X18" s="57">
        <f>VLOOKUP(B18,'Player Data'!$A1:$AE667,12,FALSE)*$Q18*IFERROR((VLOOKUP(P18,Settings!$E$28:$F$33,2,FALSE)+1),1)</f>
        <v>33.125490964906781</v>
      </c>
      <c r="Y18" s="56">
        <f>VLOOKUP(B18,'Player Data'!$A1:$AE667,13,FALSE)*$Q18</f>
        <v>1.7109640477399813E-2</v>
      </c>
      <c r="Z18" s="56">
        <f>VLOOKUP(B18,'Player Data'!$A1:$AE667,14,FALSE)*$Q18</f>
        <v>2.8864708403979832E-2</v>
      </c>
      <c r="AA18" s="56">
        <f>VLOOKUP(B18,'Player Data'!$A1:$AE667,15,FALSE)*$Q18</f>
        <v>37.87342138969305</v>
      </c>
      <c r="AB18" s="56">
        <f>VLOOKUP(B18,'Player Data'!$A1:$AE667,16,FALSE)*$Q18</f>
        <v>61.861199562956273</v>
      </c>
      <c r="AC18" s="56">
        <f>VLOOKUP(B18,'Player Data'!$A1:$AE667,17,FALSE)*$Q18*IFERROR((VLOOKUP(P18,Settings!$E$28:$F$33,2,FALSE)+1),1)</f>
        <v>3.4083168727522395</v>
      </c>
      <c r="AD18" s="56">
        <f>VLOOKUP(B18,'Player Data'!$A1:$AE667,18,FALSE)*$Q18</f>
        <v>38.527844481445207</v>
      </c>
      <c r="AE18" s="56">
        <f>VLOOKUP(B18,'Player Data'!$A1:$AE667,19,FALSE)*$Q18*IFERROR((VLOOKUP(P18,Settings!$E$28:$F$33,2,FALSE)+1),1)</f>
        <v>7.3316151040850324</v>
      </c>
      <c r="AF18" s="56">
        <f>VLOOKUP(B18,'Player Data'!$A1:$AE667,20,FALSE)*$Q18</f>
        <v>0.75214045967965593</v>
      </c>
      <c r="AG18" s="56">
        <f>VLOOKUP(B18,'Player Data'!$A1:$AE667,21,FALSE)*$Q18</f>
        <v>2.1034401769567075</v>
      </c>
      <c r="AH18" s="58">
        <f>VLOOKUP(B18,'Player Data'!$A1:$AE667,22,FALSE)</f>
        <v>0.26339317826640501</v>
      </c>
      <c r="AI18" s="54"/>
      <c r="AJ18" s="56"/>
      <c r="AK18" s="56"/>
      <c r="AL18" s="56"/>
      <c r="AM18" s="56"/>
      <c r="AN18" s="56"/>
      <c r="AO18" s="56"/>
      <c r="AP18" s="56"/>
      <c r="AQ18" s="59"/>
      <c r="AR18" s="60"/>
      <c r="AS18" s="64"/>
    </row>
    <row r="19" spans="1:45" ht="21.25" customHeight="1" x14ac:dyDescent="0.15">
      <c r="A19" s="45">
        <f>RANK(K19,K$1:K$665)</f>
        <v>18</v>
      </c>
      <c r="B19" s="9" t="s">
        <v>144</v>
      </c>
      <c r="C19" s="46" t="s">
        <v>127</v>
      </c>
      <c r="D19" s="47" t="str">
        <f>VLOOKUP(B19,'Player Data'!A1:D667,4,FALSE)</f>
        <v>D</v>
      </c>
      <c r="E19" s="66">
        <f>VLOOKUP(B19,D!A1:C213,3,FALSE)</f>
        <v>5</v>
      </c>
      <c r="F19" s="71" t="str">
        <f>VLOOKUP(B19,'Player Data'!A1:B667,2,FALSE)</f>
        <v>VAN</v>
      </c>
      <c r="G19" s="69">
        <f>VLOOKUP(B19,'Player Data'!A1:D667,3,FALSE)</f>
        <v>24</v>
      </c>
      <c r="H19" s="50">
        <f>IFERROR(VLOOKUP(B19,ADP!A1:G665,7,FALSE)/1000000,VLOOKUP(B19,ADP!A1:G665,7,FALSE))</f>
        <v>7.85</v>
      </c>
      <c r="I19" s="51">
        <f>IF(Settings!$E$15="POINTS",((R19*Q19)*Settings!$B$12)+(S19*Settings!$B$2)+(T19*Settings!$B$3)+(U19*Settings!$B$4)+(V19*Settings!$B$5)+(X19*Settings!$B$9)+(AA19*Settings!$B$6)+(W19*Settings!$B$8)+(AB19*Settings!$B$7)+(AC19*Settings!$B$14)+(AD19*Settings!$B$15)+(AE19*Settings!$B$16)+(AF19*Settings!$B$17)+(AG19*Settings!$B$18)+(U19*Settings!$B$13)+(Y19*Settings!$B$10)+(Z19*Settings!$B$11),VLOOKUP(B19,'Standard Deviations'!A1:C666,3,FALSE))</f>
        <v>423.66902259874269</v>
      </c>
      <c r="J19" s="52">
        <f>IF(D19="G",I19/AJ19,I19/Q19)</f>
        <v>5.2382421191733766</v>
      </c>
      <c r="K19" s="51">
        <f>VLOOKUP(B19,D!A1:F213,6,FALSE)</f>
        <v>87.434897553147778</v>
      </c>
      <c r="L19" s="53">
        <f>IFERROR(K19/H19,"N/A")</f>
        <v>11.138203509955131</v>
      </c>
      <c r="M19" s="54">
        <f>IF(Settings!$E$9="YAHOO",VLOOKUP(B19,ADP!A1:E665,2,FALSE),IF(Settings!$E$9="ESPN",VLOOKUP(B19,ADP!A1:E665,3,FALSE),IF(Settings!$E$9="FANTRAX",VLOOKUP(B19,ADP!A1:E665,4,FALSE),VLOOKUP(B19,ADP!A1:E665,5,FALSE))))</f>
        <v>22.6</v>
      </c>
      <c r="N19" s="54">
        <f>IFERROR(M19-A19,"N/A")</f>
        <v>4.6000000000000014</v>
      </c>
      <c r="O19" s="54"/>
      <c r="P19" s="55" t="str">
        <f>IF(Settings!$E$27="ON",VLOOKUP(B19,ADP!A1:H665,8,FALSE)," ")</f>
        <v>+</v>
      </c>
      <c r="Q19" s="56">
        <f>IF(Settings!$E$12="YES",VLOOKUP(B19,'Player Data'!A1:E667,5,FALSE),82)</f>
        <v>80.88</v>
      </c>
      <c r="R19" s="54">
        <f>VLOOKUP(B19,'Player Data'!$A1:$AE667,6,FALSE)</f>
        <v>24.403279674747299</v>
      </c>
      <c r="S19" s="56">
        <f>VLOOKUP(B19,'Player Data'!$A1:$AE667,7,FALSE)*$Q19*IFERROR((VLOOKUP(P19,Settings!$E$28:$F$33,2,FALSE)+1),1)</f>
        <v>13.017027479816095</v>
      </c>
      <c r="T19" s="56">
        <f>VLOOKUP(B19,'Player Data'!$A1:$AE667,8,FALSE)*$Q19*IFERROR((VLOOKUP(P19,Settings!$E$28:$F$33,2,FALSE)+1),1)</f>
        <v>73.21235117921907</v>
      </c>
      <c r="U19" s="56">
        <f>SUM(S19:T19)</f>
        <v>86.229378659035163</v>
      </c>
      <c r="V19" s="56">
        <f>VLOOKUP(B19,'Player Data'!$A1:$AE667,10,FALSE)*$Q19*IFERROR(((VLOOKUP(P19,Settings!$E$28:$F$33,2,FALSE)/2)+1),1)</f>
        <v>184.8792467575858</v>
      </c>
      <c r="W19" s="56">
        <f>VLOOKUP(B19,'Player Data'!$A1:$AE667,11,FALSE)*$Q19*IFERROR((VLOOKUP(P19,Settings!$E$28:$F$33,2,FALSE)+1),1)</f>
        <v>3.1674823496840334</v>
      </c>
      <c r="X19" s="57">
        <f>VLOOKUP(B19,'Player Data'!$A1:$AE667,12,FALSE)*$Q19*IFERROR((VLOOKUP(P19,Settings!$E$28:$F$33,2,FALSE)+1),1)</f>
        <v>36.2564366030334</v>
      </c>
      <c r="Y19" s="56">
        <f>VLOOKUP(B19,'Player Data'!$A1:$AE667,13,FALSE)*$Q19</f>
        <v>1.2859879558844871E-2</v>
      </c>
      <c r="Z19" s="56">
        <f>VLOOKUP(B19,'Player Data'!$A1:$AE667,14,FALSE)*$Q19</f>
        <v>0.27914274708356618</v>
      </c>
      <c r="AA19" s="56">
        <f>VLOOKUP(B19,'Player Data'!$A1:$AE667,15,FALSE)*$Q19</f>
        <v>72.011367785454553</v>
      </c>
      <c r="AB19" s="56">
        <f>VLOOKUP(B19,'Player Data'!$A1:$AE667,16,FALSE)*$Q19</f>
        <v>38.647318176385916</v>
      </c>
      <c r="AC19" s="56">
        <f>VLOOKUP(B19,'Player Data'!$A1:$AE667,17,FALSE)*$Q19*IFERROR((VLOOKUP(P19,Settings!$E$28:$F$33,2,FALSE)+1),1)</f>
        <v>9.5488692368417674</v>
      </c>
      <c r="AD19" s="56">
        <f>VLOOKUP(B19,'Player Data'!$A1:$AE667,18,FALSE)*$Q19</f>
        <v>36.974513097592911</v>
      </c>
      <c r="AE19" s="56">
        <f>VLOOKUP(B19,'Player Data'!$A1:$AE667,19,FALSE)*$Q19*IFERROR((VLOOKUP(P19,Settings!$E$28:$F$33,2,FALSE)+1),1)</f>
        <v>2.222972498993498</v>
      </c>
      <c r="AF19" s="56">
        <f>VLOOKUP(B19,'Player Data'!$A1:$AE667,20,FALSE)*$Q19</f>
        <v>4.9526244297036746E-2</v>
      </c>
      <c r="AG19" s="56">
        <f>VLOOKUP(B19,'Player Data'!$A1:$AE667,21,FALSE)*$Q19</f>
        <v>9.4033602125928248E-2</v>
      </c>
      <c r="AH19" s="58">
        <f>VLOOKUP(B19,'Player Data'!$A1:$AE667,22,FALSE)</f>
        <v>0.34498674616242903</v>
      </c>
      <c r="AI19" s="54"/>
      <c r="AJ19" s="56"/>
      <c r="AK19" s="56"/>
      <c r="AL19" s="56"/>
      <c r="AM19" s="56"/>
      <c r="AN19" s="56"/>
      <c r="AO19" s="56"/>
      <c r="AP19" s="56"/>
      <c r="AQ19" s="59"/>
      <c r="AR19" s="60"/>
      <c r="AS19" s="64"/>
    </row>
    <row r="20" spans="1:45" ht="21.25" customHeight="1" x14ac:dyDescent="0.15">
      <c r="A20" s="45">
        <f>RANK(K20,K$1:K$665)</f>
        <v>19</v>
      </c>
      <c r="B20" s="9" t="s">
        <v>145</v>
      </c>
      <c r="C20" s="46" t="s">
        <v>127</v>
      </c>
      <c r="D20" s="47" t="str">
        <f>VLOOKUP(B20,'Player Data'!A1:D667,4,FALSE)</f>
        <v>C/LW</v>
      </c>
      <c r="E20" s="68">
        <f>VLOOKUP(B20,LW!A1:C152,3,FALSE)</f>
        <v>6</v>
      </c>
      <c r="F20" s="71" t="str">
        <f>VLOOKUP(B20,'Player Data'!A1:B667,2,FALSE)</f>
        <v>VAN</v>
      </c>
      <c r="G20" s="10">
        <f>VLOOKUP(B20,'Player Data'!A1:D667,3,FALSE)</f>
        <v>25</v>
      </c>
      <c r="H20" s="50">
        <f>IFERROR(VLOOKUP(B20,ADP!A1:G665,7,FALSE)/1000000,VLOOKUP(B20,ADP!A1:G665,7,FALSE))</f>
        <v>11.6</v>
      </c>
      <c r="I20" s="51">
        <f>IF(Settings!$E$15="POINTS",((R20*Q20)*Settings!$B$12)+(S20*Settings!$B$2)+(T20*Settings!$B$3)+(U20*Settings!$B$4)+(V20*Settings!$B$5)+(X20*Settings!$B$9)+(AA20*Settings!$B$6)+(W20*Settings!$B$8)+(AB20*Settings!$B$7)+(AC20*Settings!$B$14)+(AD20*Settings!$B$15)+(AE20*Settings!$B$16)+(AF20*Settings!$B$17)+(AG20*Settings!$B$18)+(Y20*Settings!$B$10)+(Z20*Settings!$B$11),VLOOKUP(B20,'Standard Deviations'!A1:C666,3,FALSE))</f>
        <v>465.2759484324917</v>
      </c>
      <c r="J20" s="52">
        <f>IF(D20="G",I20/AJ20,I20/Q20)</f>
        <v>5.7050573040585082</v>
      </c>
      <c r="K20" s="51">
        <f>IF(Settings!$E$18="C/LW/RW",VLOOKUP(B20,LW!A1:F152,6,FALSE),VLOOKUP(B20,F!A1:F392,6,FALSE))</f>
        <v>84.214436129991952</v>
      </c>
      <c r="L20" s="53">
        <f>IFERROR(K20/H20,"N/A")</f>
        <v>7.2598651836199961</v>
      </c>
      <c r="M20" s="54">
        <f>IF(Settings!$E$9="YAHOO",VLOOKUP(B20,ADP!A1:E665,2,FALSE),IF(Settings!$E$9="ESPN",VLOOKUP(B20,ADP!A1:E665,3,FALSE),IF(Settings!$E$9="FANTRAX",VLOOKUP(B20,ADP!A1:E665,4,FALSE),VLOOKUP(B20,ADP!A1:E665,5,FALSE))))</f>
        <v>18.2</v>
      </c>
      <c r="N20" s="54">
        <f>IFERROR(M20-A20,"N/A")</f>
        <v>-0.80000000000000071</v>
      </c>
      <c r="O20" s="54"/>
      <c r="P20" s="55" t="str">
        <f>IF(Settings!$E$27="ON",VLOOKUP(B20,ADP!A1:H665,8,FALSE)," ")</f>
        <v>+</v>
      </c>
      <c r="Q20" s="56">
        <f>IF(Settings!$E$12="YES",VLOOKUP(B20,'Player Data'!A1:E667,5,FALSE),82)</f>
        <v>81.555000000000007</v>
      </c>
      <c r="R20" s="54">
        <f>VLOOKUP(B20,'Player Data'!$A1:$AE667,6,FALSE)</f>
        <v>19.8948879671368</v>
      </c>
      <c r="S20" s="56">
        <f>VLOOKUP(B20,'Player Data'!$A1:$AE667,7,FALSE)*$Q20*IFERROR((VLOOKUP(P20,Settings!$E$28:$F$33,2,FALSE)+1),1)</f>
        <v>37.885478954943991</v>
      </c>
      <c r="T20" s="56">
        <f>VLOOKUP(B20,'Player Data'!$A1:$AE667,8,FALSE)*$Q20*IFERROR((VLOOKUP(P20,Settings!$E$28:$F$33,2,FALSE)+1),1)</f>
        <v>57.562145517257001</v>
      </c>
      <c r="U20" s="56">
        <f>SUM(S20:T20)</f>
        <v>95.447624472200999</v>
      </c>
      <c r="V20" s="56">
        <f>VLOOKUP(B20,'Player Data'!$A1:$AE667,10,FALSE)*$Q20*IFERROR(((VLOOKUP(P20,Settings!$E$28:$F$33,2,FALSE)/2)+1),1)</f>
        <v>223.95247848070042</v>
      </c>
      <c r="W20" s="56">
        <f>VLOOKUP(B20,'Player Data'!$A1:$AE667,11,FALSE)*$Q20*IFERROR((VLOOKUP(P20,Settings!$E$28:$F$33,2,FALSE)+1),1)</f>
        <v>11.059527417212635</v>
      </c>
      <c r="X20" s="57">
        <f>VLOOKUP(B20,'Player Data'!$A1:$AE667,12,FALSE)*$Q20*IFERROR((VLOOKUP(P20,Settings!$E$28:$F$33,2,FALSE)+1),1)</f>
        <v>28.991177886779983</v>
      </c>
      <c r="Y20" s="56">
        <f>VLOOKUP(B20,'Player Data'!$A1:$AE667,13,FALSE)*$Q20</f>
        <v>1.0362123006152237</v>
      </c>
      <c r="Z20" s="56">
        <f>VLOOKUP(B20,'Player Data'!$A1:$AE667,14,FALSE)*$Q20</f>
        <v>3.0592848420789678</v>
      </c>
      <c r="AA20" s="56">
        <f>VLOOKUP(B20,'Player Data'!$A1:$AE667,15,FALSE)*$Q20</f>
        <v>69.812746093359166</v>
      </c>
      <c r="AB20" s="56">
        <f>VLOOKUP(B20,'Player Data'!$A1:$AE667,16,FALSE)*$Q20</f>
        <v>102.58163927445887</v>
      </c>
      <c r="AC20" s="56">
        <f>VLOOKUP(B20,'Player Data'!$A1:$AE667,17,FALSE)*$Q20*IFERROR((VLOOKUP(P20,Settings!$E$28:$F$33,2,FALSE)+1),1)</f>
        <v>7.3172548250979643</v>
      </c>
      <c r="AD20" s="56">
        <f>VLOOKUP(B20,'Player Data'!$A1:$AE667,18,FALSE)*$Q20</f>
        <v>17.311747241707867</v>
      </c>
      <c r="AE20" s="56">
        <f>VLOOKUP(B20,'Player Data'!$A1:$AE667,19,FALSE)*$Q20*IFERROR((VLOOKUP(P20,Settings!$E$28:$F$33,2,FALSE)+1),1)</f>
        <v>6.4698624903899615</v>
      </c>
      <c r="AF20" s="56">
        <f>VLOOKUP(B20,'Player Data'!$A1:$AE667,20,FALSE)*$Q20</f>
        <v>376.91466766581516</v>
      </c>
      <c r="AG20" s="56">
        <f>VLOOKUP(B20,'Player Data'!$A1:$AE667,21,FALSE)*$Q20</f>
        <v>425.26674911152389</v>
      </c>
      <c r="AH20" s="58">
        <f>VLOOKUP(B20,'Player Data'!$A1:$AE667,22,FALSE)</f>
        <v>0.46986212817048501</v>
      </c>
      <c r="AI20" s="54"/>
      <c r="AJ20" s="56"/>
      <c r="AK20" s="56"/>
      <c r="AL20" s="56"/>
      <c r="AM20" s="56"/>
      <c r="AN20" s="56"/>
      <c r="AO20" s="56"/>
      <c r="AP20" s="56"/>
      <c r="AQ20" s="59"/>
      <c r="AR20" s="60"/>
      <c r="AS20" s="64"/>
    </row>
    <row r="21" spans="1:45" ht="21.25" customHeight="1" x14ac:dyDescent="0.15">
      <c r="A21" s="45">
        <f>RANK(K21,K$1:K$665)</f>
        <v>20</v>
      </c>
      <c r="B21" s="9" t="s">
        <v>146</v>
      </c>
      <c r="C21" s="46" t="s">
        <v>127</v>
      </c>
      <c r="D21" s="47" t="str">
        <f>VLOOKUP(B21,'Player Data'!A1:D667,4,FALSE)</f>
        <v>D</v>
      </c>
      <c r="E21" s="66">
        <f>VLOOKUP(B21,D!A1:C213,3,FALSE)</f>
        <v>6</v>
      </c>
      <c r="F21" s="72" t="str">
        <f>VLOOKUP(B21,'Player Data'!A1:B667,2,FALSE)</f>
        <v>NYI</v>
      </c>
      <c r="G21" s="69">
        <f>VLOOKUP(B21,'Player Data'!A1:D667,3,FALSE)</f>
        <v>24</v>
      </c>
      <c r="H21" s="67">
        <f>IFERROR(VLOOKUP(B21,ADP!A1:G665,7,FALSE)/1000000,VLOOKUP(B21,ADP!A1:G665,7,FALSE))</f>
        <v>4</v>
      </c>
      <c r="I21" s="51">
        <f>IF(Settings!$E$15="POINTS",((R21*Q21)*Settings!$B$12)+(S21*Settings!$B$2)+(T21*Settings!$B$3)+(U21*Settings!$B$4)+(V21*Settings!$B$5)+(X21*Settings!$B$9)+(AA21*Settings!$B$6)+(W21*Settings!$B$8)+(AB21*Settings!$B$7)+(AC21*Settings!$B$14)+(AD21*Settings!$B$15)+(AE21*Settings!$B$16)+(AF21*Settings!$B$17)+(AG21*Settings!$B$18)+(U21*Settings!$B$13)+(Y21*Settings!$B$10)+(Z21*Settings!$B$11),VLOOKUP(B21,'Standard Deviations'!A1:C666,3,FALSE))</f>
        <v>413.69739316417707</v>
      </c>
      <c r="J21" s="52">
        <f>IF(D21="G",I21/AJ21,I21/Q21)</f>
        <v>5.1233461489727494</v>
      </c>
      <c r="K21" s="51">
        <f>VLOOKUP(B21,D!A1:F213,6,FALSE)</f>
        <v>77.463268118582164</v>
      </c>
      <c r="L21" s="53">
        <f>IFERROR(K21/H21,"N/A")</f>
        <v>19.365817029645541</v>
      </c>
      <c r="M21" s="54">
        <f>IF(Settings!$E$9="YAHOO",VLOOKUP(B21,ADP!A1:E665,2,FALSE),IF(Settings!$E$9="ESPN",VLOOKUP(B21,ADP!A1:E665,3,FALSE),IF(Settings!$E$9="FANTRAX",VLOOKUP(B21,ADP!A1:E665,4,FALSE),VLOOKUP(B21,ADP!A1:E665,5,FALSE))))</f>
        <v>67.7</v>
      </c>
      <c r="N21" s="54">
        <f>IFERROR(M21-A21,"N/A")</f>
        <v>47.7</v>
      </c>
      <c r="O21" s="54"/>
      <c r="P21" s="55" t="str">
        <f>IF(Settings!$E$27="ON",VLOOKUP(B21,ADP!A1:H665,8,FALSE)," ")</f>
        <v xml:space="preserve"> </v>
      </c>
      <c r="Q21" s="56">
        <f>IF(Settings!$E$12="YES",VLOOKUP(B21,'Player Data'!A1:E667,5,FALSE),82)</f>
        <v>80.747500000000002</v>
      </c>
      <c r="R21" s="54">
        <f>VLOOKUP(B21,'Player Data'!$A1:$AE667,6,FALSE)</f>
        <v>24.709672339151499</v>
      </c>
      <c r="S21" s="56">
        <f>VLOOKUP(B21,'Player Data'!$A1:$AE667,7,FALSE)*$Q21*IFERROR((VLOOKUP(P21,Settings!$E$28:$F$33,2,FALSE)+1),1)</f>
        <v>13.466330515428449</v>
      </c>
      <c r="T21" s="56">
        <f>VLOOKUP(B21,'Player Data'!$A1:$AE667,8,FALSE)*$Q21*IFERROR((VLOOKUP(P21,Settings!$E$28:$F$33,2,FALSE)+1),1)</f>
        <v>55.164281438829342</v>
      </c>
      <c r="U21" s="56">
        <f>SUM(S21:T21)</f>
        <v>68.630611954257787</v>
      </c>
      <c r="V21" s="56">
        <f>VLOOKUP(B21,'Player Data'!$A1:$AE667,10,FALSE)*$Q21*IFERROR(((VLOOKUP(P21,Settings!$E$28:$F$33,2,FALSE)/2)+1),1)</f>
        <v>202.22790338772188</v>
      </c>
      <c r="W21" s="56">
        <f>VLOOKUP(B21,'Player Data'!$A1:$AE667,11,FALSE)*$Q21*IFERROR((VLOOKUP(P21,Settings!$E$28:$F$33,2,FALSE)+1),1)</f>
        <v>2.9074675088329114</v>
      </c>
      <c r="X21" s="57">
        <f>VLOOKUP(B21,'Player Data'!$A1:$AE667,12,FALSE)*$Q21*IFERROR((VLOOKUP(P21,Settings!$E$28:$F$33,2,FALSE)+1),1)</f>
        <v>24.001952480593189</v>
      </c>
      <c r="Y21" s="56">
        <f>VLOOKUP(B21,'Player Data'!$A1:$AE667,13,FALSE)*$Q21</f>
        <v>2.291647832591364E-2</v>
      </c>
      <c r="Z21" s="56">
        <f>VLOOKUP(B21,'Player Data'!$A1:$AE667,14,FALSE)*$Q21</f>
        <v>0.5335000221975883</v>
      </c>
      <c r="AA21" s="56">
        <f>VLOOKUP(B21,'Player Data'!$A1:$AE667,15,FALSE)*$Q21</f>
        <v>164.31230620950384</v>
      </c>
      <c r="AB21" s="56">
        <f>VLOOKUP(B21,'Player Data'!$A1:$AE667,16,FALSE)*$Q21</f>
        <v>85.165455052109337</v>
      </c>
      <c r="AC21" s="56">
        <f>VLOOKUP(B21,'Player Data'!$A1:$AE667,17,FALSE)*$Q21*IFERROR((VLOOKUP(P21,Settings!$E$28:$F$33,2,FALSE)+1),1)</f>
        <v>3.8608803502558087</v>
      </c>
      <c r="AD21" s="56">
        <f>VLOOKUP(B21,'Player Data'!$A1:$AE667,18,FALSE)*$Q21</f>
        <v>32.965726920432083</v>
      </c>
      <c r="AE21" s="56">
        <f>VLOOKUP(B21,'Player Data'!$A1:$AE667,19,FALSE)*$Q21*IFERROR((VLOOKUP(P21,Settings!$E$28:$F$33,2,FALSE)+1),1)</f>
        <v>2.1163542059916636</v>
      </c>
      <c r="AF21" s="56">
        <f>VLOOKUP(B21,'Player Data'!$A1:$AE667,20,FALSE)*$Q21</f>
        <v>0</v>
      </c>
      <c r="AG21" s="56">
        <f>VLOOKUP(B21,'Player Data'!$A1:$AE667,21,FALSE)*$Q21</f>
        <v>0</v>
      </c>
      <c r="AH21" s="58">
        <f>VLOOKUP(B21,'Player Data'!$A1:$AE667,22,FALSE)</f>
        <v>0</v>
      </c>
      <c r="AI21" s="54"/>
      <c r="AJ21" s="56"/>
      <c r="AK21" s="56"/>
      <c r="AL21" s="56"/>
      <c r="AM21" s="56"/>
      <c r="AN21" s="56"/>
      <c r="AO21" s="56"/>
      <c r="AP21" s="56"/>
      <c r="AQ21" s="59"/>
      <c r="AR21" s="60"/>
      <c r="AS21" s="64"/>
    </row>
    <row r="22" spans="1:45" ht="21.25" customHeight="1" x14ac:dyDescent="0.15">
      <c r="A22" s="45">
        <f>RANK(K22,K$1:K$665)</f>
        <v>21</v>
      </c>
      <c r="B22" s="9" t="s">
        <v>147</v>
      </c>
      <c r="C22" s="46" t="s">
        <v>127</v>
      </c>
      <c r="D22" s="47" t="str">
        <f>VLOOKUP(B22,'Player Data'!A1:D667,4,FALSE)</f>
        <v>G</v>
      </c>
      <c r="E22" s="73">
        <f>VLOOKUP(B22,G!A1:D65,3,FALSE)</f>
        <v>1</v>
      </c>
      <c r="F22" s="55" t="str">
        <f>VLOOKUP(B22,'Player Data'!A1:B667,2,FALSE)</f>
        <v>NYR</v>
      </c>
      <c r="G22" s="10">
        <f>VLOOKUP(B22,'Player Data'!A1:D667,3,FALSE)</f>
        <v>28</v>
      </c>
      <c r="H22" s="67">
        <f>IFERROR(VLOOKUP(B22,ADP!A1:G665,7,FALSE)/1000000,VLOOKUP(B22,ADP!A1:G665,7,FALSE))</f>
        <v>5.6666999999999996</v>
      </c>
      <c r="I22" s="51">
        <f>IF(Settings!$E$15="POINTS",(AJ22*Settings!$B$29)+(AK22*Settings!$B$21)+(AL22*Settings!$B$22)+(AN22*Settings!$B$24)+(AO22*Settings!$B$25)+(AP22*Settings!$B$27)+(AM22*Settings!$B$23),VLOOKUP(B22,'Standard Deviations'!A1:C666,3,FALSE))</f>
        <v>484.22409325757781</v>
      </c>
      <c r="J22" s="52">
        <f>IF(D22="G",I22/AJ22,I22/Q22)</f>
        <v>8.0704015542929639</v>
      </c>
      <c r="K22" s="51">
        <f>VLOOKUP(B22,G!A1:F65,6,FALSE)</f>
        <v>73.564350488157629</v>
      </c>
      <c r="L22" s="53">
        <f>IFERROR(K22/H22,"N/A")</f>
        <v>12.981867839864053</v>
      </c>
      <c r="M22" s="54">
        <f>IF(Settings!$E$9="YAHOO",VLOOKUP(B22,ADP!A1:E665,2,FALSE),IF(Settings!$E$9="ESPN",VLOOKUP(B22,ADP!A1:E665,3,FALSE),IF(Settings!$E$9="FANTRAX",VLOOKUP(B22,ADP!A1:E665,4,FALSE),VLOOKUP(B22,ADP!A1:E665,5,FALSE))))</f>
        <v>16</v>
      </c>
      <c r="N22" s="54">
        <f>IFERROR(M22-A22,"N/A")</f>
        <v>-5</v>
      </c>
      <c r="O22" s="54"/>
      <c r="P22" s="55" t="str">
        <f>IF(Settings!$E$27="ON",VLOOKUP(B22,ADP!A1:H665,8,FALSE)," ")</f>
        <v>+</v>
      </c>
      <c r="Q22" s="56"/>
      <c r="R22" s="54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8"/>
      <c r="AI22" s="54"/>
      <c r="AJ22" s="64">
        <f>VLOOKUP(B22,'Player Data'!$A1:$AE667,24,FALSE)</f>
        <v>60</v>
      </c>
      <c r="AK22" s="56">
        <f>VLOOKUP(B22,'Player Data'!$A1:$AE667,25,FALSE)*$AJ22*IFERROR((VLOOKUP(P22,Settings!$E$28:$F$33,2,FALSE)+1),1)</f>
        <v>38.825850385632428</v>
      </c>
      <c r="AL22" s="56">
        <f>AJ22-AK22-AM22</f>
        <v>13.674149614367572</v>
      </c>
      <c r="AM22" s="56">
        <f>VLOOKUP(B22,'Player Data'!$A1:$AE667,27,FALSE)*$AJ22</f>
        <v>7.5</v>
      </c>
      <c r="AN22" s="56">
        <f>VLOOKUP(B22,'Player Data'!$A1:$AE667,28,FALSE)*AJ22</f>
        <v>4.5699095089966741</v>
      </c>
      <c r="AO22" s="56">
        <f>VLOOKUP(B22,'Player Data'!$A1:$AE667,29,FALSE)*$AJ22*IFERROR((VLOOKUP(P22,Settings!$E$28:$F$33,2,FALSE)/4)+1,1)</f>
        <v>1632.1125332101751</v>
      </c>
      <c r="AP22" s="56">
        <f>VLOOKUP(B22,'Player Data'!$A1:$AE667,31,FALSE)*$AJ22*(IFERROR(1-(VLOOKUP(P22,Settings!$E$28:$F$33,2,FALSE)/4),1))</f>
        <v>150.9598780044679</v>
      </c>
      <c r="AQ22" s="59">
        <f>1-(AP22/(AO22+AP22))</f>
        <v>0.91533721398244683</v>
      </c>
      <c r="AR22" s="60">
        <f>AP22/AJ22</f>
        <v>2.5159979667411316</v>
      </c>
      <c r="AS22" s="54"/>
    </row>
    <row r="23" spans="1:45" ht="21.25" customHeight="1" x14ac:dyDescent="0.15">
      <c r="A23" s="45">
        <f>RANK(K23,K$1:K$665)</f>
        <v>22</v>
      </c>
      <c r="B23" s="9" t="s">
        <v>148</v>
      </c>
      <c r="C23" s="46" t="s">
        <v>127</v>
      </c>
      <c r="D23" s="47" t="str">
        <f>VLOOKUP(B23,'Player Data'!A1:D667,4,FALSE)</f>
        <v>G</v>
      </c>
      <c r="E23" s="73">
        <f>VLOOKUP(B23,G!A1:D65,3,FALSE)</f>
        <v>2</v>
      </c>
      <c r="F23" s="55" t="str">
        <f>VLOOKUP(B23,'Player Data'!A1:B667,2,FALSE)</f>
        <v>WPG</v>
      </c>
      <c r="G23" s="10">
        <f>VLOOKUP(B23,'Player Data'!A1:D667,3,FALSE)</f>
        <v>31</v>
      </c>
      <c r="H23" s="50">
        <f>IFERROR(VLOOKUP(B23,ADP!A1:G665,7,FALSE)/1000000,VLOOKUP(B23,ADP!A1:G665,7,FALSE))</f>
        <v>8.5</v>
      </c>
      <c r="I23" s="51">
        <f>IF(Settings!$E$15="POINTS",(AJ23*Settings!$B$29)+(AK23*Settings!$B$21)+(AL23*Settings!$B$22)+(AN23*Settings!$B$24)+(AO23*Settings!$B$25)+(AP23*Settings!$B$27)+(AM23*Settings!$B$23),VLOOKUP(B23,'Standard Deviations'!A1:C666,3,FALSE))</f>
        <v>478.96268741448597</v>
      </c>
      <c r="J23" s="52">
        <f>IF(D23="G",I23/AJ23,I23/Q23)</f>
        <v>7.9827114569080999</v>
      </c>
      <c r="K23" s="51">
        <f>VLOOKUP(B23,G!A1:F65,6,FALSE)</f>
        <v>68.302944645065793</v>
      </c>
      <c r="L23" s="53">
        <f>IFERROR(K23/H23,"N/A")</f>
        <v>8.0356405464783283</v>
      </c>
      <c r="M23" s="54">
        <f>IF(Settings!$E$9="YAHOO",VLOOKUP(B23,ADP!A1:E665,2,FALSE),IF(Settings!$E$9="ESPN",VLOOKUP(B23,ADP!A1:E665,3,FALSE),IF(Settings!$E$9="FANTRAX",VLOOKUP(B23,ADP!A1:E665,4,FALSE),VLOOKUP(B23,ADP!A1:E665,5,FALSE))))</f>
        <v>26.3</v>
      </c>
      <c r="N23" s="54">
        <f>IFERROR(M23-A23,"N/A")</f>
        <v>4.3000000000000007</v>
      </c>
      <c r="O23" s="54"/>
      <c r="P23" s="55" t="str">
        <f>IF(Settings!$E$27="ON",VLOOKUP(B23,ADP!A1:H665,8,FALSE)," ")</f>
        <v xml:space="preserve"> </v>
      </c>
      <c r="Q23" s="56"/>
      <c r="R23" s="54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8"/>
      <c r="AI23" s="54"/>
      <c r="AJ23" s="64">
        <f>VLOOKUP(B23,'Player Data'!$A1:$AE667,24,FALSE)</f>
        <v>60</v>
      </c>
      <c r="AK23" s="56">
        <f>VLOOKUP(B23,'Player Data'!$A1:$AE667,25,FALSE)*$AJ23*IFERROR((VLOOKUP(P23,Settings!$E$28:$F$33,2,FALSE)+1),1)</f>
        <v>35.681364304927556</v>
      </c>
      <c r="AL23" s="56">
        <f>AJ23-AK23-AM23</f>
        <v>16.818635695072444</v>
      </c>
      <c r="AM23" s="56">
        <f>VLOOKUP(B23,'Player Data'!$A1:$AE667,27,FALSE)*$AJ23</f>
        <v>7.5</v>
      </c>
      <c r="AN23" s="56">
        <f>VLOOKUP(B23,'Player Data'!$A1:$AE667,28,FALSE)*AJ23</f>
        <v>5.0383007282893377</v>
      </c>
      <c r="AO23" s="56">
        <f>VLOOKUP(B23,'Player Data'!$A1:$AE667,29,FALSE)*$AJ23*IFERROR((VLOOKUP(P23,Settings!$E$28:$F$33,2,FALSE)/4)+1,1)</f>
        <v>1614.3504348666359</v>
      </c>
      <c r="AP23" s="56">
        <f>VLOOKUP(B23,'Player Data'!$A1:$AE667,31,FALSE)*$AJ23*(IFERROR(1-(VLOOKUP(P23,Settings!$E$28:$F$33,2,FALSE)/4),1))</f>
        <v>146.76497455396799</v>
      </c>
      <c r="AQ23" s="59">
        <f>1-(AP23/(AO23+AP23))</f>
        <v>0.91666362478637742</v>
      </c>
      <c r="AR23" s="60">
        <f>AP23/AJ23</f>
        <v>2.4460829092327998</v>
      </c>
      <c r="AS23" s="54"/>
    </row>
    <row r="24" spans="1:45" ht="21.25" customHeight="1" x14ac:dyDescent="0.15">
      <c r="A24" s="45">
        <f>RANK(K24,K$1:K$665)</f>
        <v>23</v>
      </c>
      <c r="B24" s="9" t="s">
        <v>149</v>
      </c>
      <c r="C24" s="46" t="s">
        <v>127</v>
      </c>
      <c r="D24" s="47" t="str">
        <f>VLOOKUP(B24,'Player Data'!A1:D667,4,FALSE)</f>
        <v>G</v>
      </c>
      <c r="E24" s="73">
        <f>VLOOKUP(B24,G!A1:D65,3,FALSE)</f>
        <v>3</v>
      </c>
      <c r="F24" s="65" t="str">
        <f>VLOOKUP(B24,'Player Data'!A1:B667,2,FALSE)</f>
        <v>NSH</v>
      </c>
      <c r="G24" s="10">
        <f>VLOOKUP(B24,'Player Data'!A1:D667,3,FALSE)</f>
        <v>29</v>
      </c>
      <c r="H24" s="50">
        <f>IFERROR(VLOOKUP(B24,ADP!A1:G665,7,FALSE)/1000000,VLOOKUP(B24,ADP!A1:G665,7,FALSE))</f>
        <v>5</v>
      </c>
      <c r="I24" s="51">
        <f>IF(Settings!$E$15="POINTS",(AJ24*Settings!$B$29)+(AK24*Settings!$B$21)+(AL24*Settings!$B$22)+(AN24*Settings!$B$24)+(AO24*Settings!$B$25)+(AP24*Settings!$B$27)+(AM24*Settings!$B$23),VLOOKUP(B24,'Standard Deviations'!A1:C666,3,FALSE))</f>
        <v>478.53225854502034</v>
      </c>
      <c r="J24" s="52">
        <f>IF(D24="G",I24/AJ24,I24/Q24)</f>
        <v>7.9755376424170059</v>
      </c>
      <c r="K24" s="51">
        <f>VLOOKUP(B24,G!A1:F65,6,FALSE)</f>
        <v>67.872515775600164</v>
      </c>
      <c r="L24" s="53">
        <f>IFERROR(K24/H24,"N/A")</f>
        <v>13.574503155120032</v>
      </c>
      <c r="M24" s="54">
        <f>IF(Settings!$E$9="YAHOO",VLOOKUP(B24,ADP!A1:E665,2,FALSE),IF(Settings!$E$9="ESPN",VLOOKUP(B24,ADP!A1:E665,3,FALSE),IF(Settings!$E$9="FANTRAX",VLOOKUP(B24,ADP!A1:E665,4,FALSE),VLOOKUP(B24,ADP!A1:E665,5,FALSE))))</f>
        <v>30.9</v>
      </c>
      <c r="N24" s="54">
        <f>IFERROR(M24-A24,"N/A")</f>
        <v>7.8999999999999986</v>
      </c>
      <c r="O24" s="54"/>
      <c r="P24" s="55" t="str">
        <f>IF(Settings!$E$27="ON",VLOOKUP(B24,ADP!A1:H665,8,FALSE)," ")</f>
        <v>+</v>
      </c>
      <c r="Q24" s="56"/>
      <c r="R24" s="54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8"/>
      <c r="AI24" s="54"/>
      <c r="AJ24" s="64">
        <f>VLOOKUP(B24,'Player Data'!$A1:$AE667,24,FALSE)</f>
        <v>60</v>
      </c>
      <c r="AK24" s="56">
        <f>VLOOKUP(B24,'Player Data'!$A1:$AE667,25,FALSE)*$AJ24*IFERROR((VLOOKUP(P24,Settings!$E$28:$F$33,2,FALSE)+1),1)</f>
        <v>36.758701945774746</v>
      </c>
      <c r="AL24" s="56">
        <f>AJ24-AK24-AM24</f>
        <v>15.741298054225254</v>
      </c>
      <c r="AM24" s="56">
        <f>VLOOKUP(B24,'Player Data'!$A1:$AE667,27,FALSE)*$AJ24</f>
        <v>7.5</v>
      </c>
      <c r="AN24" s="56">
        <f>VLOOKUP(B24,'Player Data'!$A1:$AE667,28,FALSE)*AJ24</f>
        <v>4.0334136531034686</v>
      </c>
      <c r="AO24" s="56">
        <f>VLOOKUP(B24,'Player Data'!$A1:$AE667,29,FALSE)*$AJ24*IFERROR((VLOOKUP(P24,Settings!$E$28:$F$33,2,FALSE)/4)+1,1)</f>
        <v>1673.0152739925354</v>
      </c>
      <c r="AP24" s="56">
        <f>VLOOKUP(B24,'Player Data'!$A1:$AE667,31,FALSE)*$AJ24*(IFERROR(1-(VLOOKUP(P24,Settings!$E$28:$F$33,2,FALSE)/4),1))</f>
        <v>157.4282993138917</v>
      </c>
      <c r="AQ24" s="59">
        <f>1-(AP24/(AO24+AP24))</f>
        <v>0.91399445379814648</v>
      </c>
      <c r="AR24" s="60">
        <f>AP24/AJ24</f>
        <v>2.6238049885648618</v>
      </c>
      <c r="AS24" s="54"/>
    </row>
    <row r="25" spans="1:45" ht="21.25" customHeight="1" x14ac:dyDescent="0.15">
      <c r="A25" s="45">
        <f>RANK(K25,K$1:K$665)</f>
        <v>24</v>
      </c>
      <c r="B25" s="9" t="s">
        <v>150</v>
      </c>
      <c r="C25" s="46" t="s">
        <v>127</v>
      </c>
      <c r="D25" s="47" t="str">
        <f>VLOOKUP(B25,'Player Data'!A1:D667,4,FALSE)</f>
        <v>LW</v>
      </c>
      <c r="E25" s="70">
        <f>VLOOKUP(B25,LW!A1:C152,3,FALSE)</f>
        <v>7</v>
      </c>
      <c r="F25" s="55" t="str">
        <f>VLOOKUP(B25,'Player Data'!A1:B667,2,FALSE)</f>
        <v>DAL</v>
      </c>
      <c r="G25" s="10">
        <f>VLOOKUP(B25,'Player Data'!A1:D667,3,FALSE)</f>
        <v>25</v>
      </c>
      <c r="H25" s="50">
        <f>IFERROR(VLOOKUP(B25,ADP!A1:G665,7,FALSE)/1000000,VLOOKUP(B25,ADP!A1:G665,7,FALSE))</f>
        <v>7.75</v>
      </c>
      <c r="I25" s="51">
        <f>IF(Settings!$E$15="POINTS",((R25*Q25)*Settings!$B$12)+(S25*Settings!$B$2)+(T25*Settings!$B$3)+(U25*Settings!$B$4)+(V25*Settings!$B$5)+(X25*Settings!$B$9)+(AA25*Settings!$B$6)+(W25*Settings!$B$8)+(AB25*Settings!$B$7)+(AC25*Settings!$B$14)+(AD25*Settings!$B$15)+(AE25*Settings!$B$16)+(AF25*Settings!$B$17)+(AG25*Settings!$B$18)+(Y25*Settings!$B$10)+(Z25*Settings!$B$11),VLOOKUP(B25,'Standard Deviations'!A1:C666,3,FALSE))</f>
        <v>446.78847002117362</v>
      </c>
      <c r="J25" s="52">
        <f>IF(D25="G",I25/AJ25,I25/Q25)</f>
        <v>5.5002889329210092</v>
      </c>
      <c r="K25" s="51">
        <f>IF(Settings!$E$18="C/LW/RW",VLOOKUP(B25,LW!A1:F152,6,FALSE),VLOOKUP(B25,F!A1:F392,6,FALSE))</f>
        <v>65.726957718673873</v>
      </c>
      <c r="L25" s="53">
        <f>IFERROR(K25/H25,"N/A")</f>
        <v>8.4808977701514667</v>
      </c>
      <c r="M25" s="54">
        <f>IF(Settings!$E$9="YAHOO",VLOOKUP(B25,ADP!A1:E665,2,FALSE),IF(Settings!$E$9="ESPN",VLOOKUP(B25,ADP!A1:E665,3,FALSE),IF(Settings!$E$9="FANTRAX",VLOOKUP(B25,ADP!A1:E665,4,FALSE),VLOOKUP(B25,ADP!A1:E665,5,FALSE))))</f>
        <v>28.1</v>
      </c>
      <c r="N25" s="54">
        <f>IFERROR(M25-A25,"N/A")</f>
        <v>4.1000000000000014</v>
      </c>
      <c r="O25" s="54"/>
      <c r="P25" s="55" t="str">
        <f>IF(Settings!$E$27="ON",VLOOKUP(B25,ADP!A1:H665,8,FALSE)," ")</f>
        <v xml:space="preserve"> </v>
      </c>
      <c r="Q25" s="56">
        <f>IF(Settings!$E$12="YES",VLOOKUP(B25,'Player Data'!A1:E667,5,FALSE),82)</f>
        <v>81.23</v>
      </c>
      <c r="R25" s="54">
        <f>VLOOKUP(B25,'Player Data'!$A1:$AE667,6,FALSE)</f>
        <v>18.7155566199656</v>
      </c>
      <c r="S25" s="56">
        <f>VLOOKUP(B25,'Player Data'!$A1:$AE667,7,FALSE)*$Q25*IFERROR((VLOOKUP(P25,Settings!$E$28:$F$33,2,FALSE)+1),1)</f>
        <v>37.364155214458485</v>
      </c>
      <c r="T25" s="56">
        <f>VLOOKUP(B25,'Player Data'!$A1:$AE667,8,FALSE)*$Q25*IFERROR((VLOOKUP(P25,Settings!$E$28:$F$33,2,FALSE)+1),1)</f>
        <v>53.970383716685085</v>
      </c>
      <c r="U25" s="56">
        <f>SUM(S25:T25)</f>
        <v>91.33453893114357</v>
      </c>
      <c r="V25" s="56">
        <f>VLOOKUP(B25,'Player Data'!$A1:$AE667,10,FALSE)*$Q25*IFERROR(((VLOOKUP(P25,Settings!$E$28:$F$33,2,FALSE)/2)+1),1)</f>
        <v>251.54370328649316</v>
      </c>
      <c r="W25" s="56">
        <f>VLOOKUP(B25,'Player Data'!$A1:$AE667,11,FALSE)*$Q25*IFERROR((VLOOKUP(P25,Settings!$E$28:$F$33,2,FALSE)+1),1)</f>
        <v>11.71171004183409</v>
      </c>
      <c r="X25" s="57">
        <f>VLOOKUP(B25,'Player Data'!$A1:$AE667,12,FALSE)*$Q25*IFERROR((VLOOKUP(P25,Settings!$E$28:$F$33,2,FALSE)+1),1)</f>
        <v>32.684462692162469</v>
      </c>
      <c r="Y25" s="56">
        <f>VLOOKUP(B25,'Player Data'!$A1:$AE667,13,FALSE)*$Q25</f>
        <v>5.6505187148188996E-3</v>
      </c>
      <c r="Z25" s="56">
        <f>VLOOKUP(B25,'Player Data'!$A1:$AE667,14,FALSE)*$Q25</f>
        <v>9.511251100106961E-3</v>
      </c>
      <c r="AA25" s="56">
        <f>VLOOKUP(B25,'Player Data'!$A1:$AE667,15,FALSE)*$Q25</f>
        <v>28.638055282467612</v>
      </c>
      <c r="AB25" s="56">
        <f>VLOOKUP(B25,'Player Data'!$A1:$AE667,16,FALSE)*$Q25</f>
        <v>68.464235454265761</v>
      </c>
      <c r="AC25" s="56">
        <f>VLOOKUP(B25,'Player Data'!$A1:$AE667,17,FALSE)*$Q25*IFERROR((VLOOKUP(P25,Settings!$E$28:$F$33,2,FALSE)+1),1)</f>
        <v>10.04011085276607</v>
      </c>
      <c r="AD25" s="56">
        <f>VLOOKUP(B25,'Player Data'!$A1:$AE667,18,FALSE)*$Q25</f>
        <v>25.124852570818717</v>
      </c>
      <c r="AE25" s="56">
        <f>VLOOKUP(B25,'Player Data'!$A1:$AE667,19,FALSE)*$Q25*IFERROR((VLOOKUP(P25,Settings!$E$28:$F$33,2,FALSE)+1),1)</f>
        <v>5.9752276432843026</v>
      </c>
      <c r="AF25" s="56">
        <f>VLOOKUP(B25,'Player Data'!$A1:$AE667,20,FALSE)*$Q25</f>
        <v>2.4230962694362497E-9</v>
      </c>
      <c r="AG25" s="56">
        <f>VLOOKUP(B25,'Player Data'!$A1:$AE667,21,FALSE)*$Q25</f>
        <v>0.14950636333131725</v>
      </c>
      <c r="AH25" s="58">
        <f>VLOOKUP(B25,'Player Data'!$A1:$AE667,22,FALSE)</f>
        <v>1.6207311690102499E-8</v>
      </c>
      <c r="AI25" s="54"/>
      <c r="AJ25" s="56"/>
      <c r="AK25" s="56"/>
      <c r="AL25" s="56"/>
      <c r="AM25" s="56"/>
      <c r="AN25" s="56"/>
      <c r="AO25" s="56"/>
      <c r="AP25" s="56"/>
      <c r="AQ25" s="59"/>
      <c r="AR25" s="60"/>
      <c r="AS25" s="64"/>
    </row>
    <row r="26" spans="1:45" ht="21.25" customHeight="1" x14ac:dyDescent="0.15">
      <c r="A26" s="45">
        <f>RANK(K26,K$1:K$665)</f>
        <v>25</v>
      </c>
      <c r="B26" s="9" t="s">
        <v>151</v>
      </c>
      <c r="C26" s="46" t="s">
        <v>127</v>
      </c>
      <c r="D26" s="47" t="str">
        <f>VLOOKUP(B26,'Player Data'!A1:D667,4,FALSE)</f>
        <v>D</v>
      </c>
      <c r="E26" s="66">
        <f>VLOOKUP(B26,D!A1:C213,3,FALSE)</f>
        <v>7</v>
      </c>
      <c r="F26" s="71" t="str">
        <f>VLOOKUP(B26,'Player Data'!A1:B667,2,FALSE)</f>
        <v>NYR</v>
      </c>
      <c r="G26" s="10">
        <f>VLOOKUP(B26,'Player Data'!A1:D667,3,FALSE)</f>
        <v>26</v>
      </c>
      <c r="H26" s="50">
        <f>IFERROR(VLOOKUP(B26,ADP!A1:G665,7,FALSE)/1000000,VLOOKUP(B26,ADP!A1:G665,7,FALSE))</f>
        <v>9.5</v>
      </c>
      <c r="I26" s="51">
        <f>IF(Settings!$E$15="POINTS",((R26*Q26)*Settings!$B$12)+(S26*Settings!$B$2)+(T26*Settings!$B$3)+(U26*Settings!$B$4)+(V26*Settings!$B$5)+(X26*Settings!$B$9)+(AA26*Settings!$B$6)+(W26*Settings!$B$8)+(AB26*Settings!$B$7)+(AC26*Settings!$B$14)+(AD26*Settings!$B$15)+(AE26*Settings!$B$16)+(AF26*Settings!$B$17)+(AG26*Settings!$B$18)+(U26*Settings!$B$13)+(Y26*Settings!$B$10)+(Z26*Settings!$B$11),VLOOKUP(B26,'Standard Deviations'!A1:C666,3,FALSE))</f>
        <v>400.78927695763304</v>
      </c>
      <c r="J26" s="52">
        <f>IF(D26="G",I26/AJ26,I26/Q26)</f>
        <v>5.0189628321036004</v>
      </c>
      <c r="K26" s="51">
        <f>VLOOKUP(B26,D!A1:F213,6,FALSE)</f>
        <v>64.555151912038127</v>
      </c>
      <c r="L26" s="53">
        <f>IFERROR(K26/H26,"N/A")</f>
        <v>6.7952791486355926</v>
      </c>
      <c r="M26" s="54">
        <f>IF(Settings!$E$9="YAHOO",VLOOKUP(B26,ADP!A1:E665,2,FALSE),IF(Settings!$E$9="ESPN",VLOOKUP(B26,ADP!A1:E665,3,FALSE),IF(Settings!$E$9="FANTRAX",VLOOKUP(B26,ADP!A1:E665,4,FALSE),VLOOKUP(B26,ADP!A1:E665,5,FALSE))))</f>
        <v>39.299999999999997</v>
      </c>
      <c r="N26" s="54">
        <f>IFERROR(M26-A26,"N/A")</f>
        <v>14.299999999999997</v>
      </c>
      <c r="O26" s="54"/>
      <c r="P26" s="55" t="str">
        <f>IF(Settings!$E$27="ON",VLOOKUP(B26,ADP!A1:H665,8,FALSE)," ")</f>
        <v xml:space="preserve"> </v>
      </c>
      <c r="Q26" s="56">
        <f>IF(Settings!$E$12="YES",VLOOKUP(B26,'Player Data'!A1:E667,5,FALSE),82)</f>
        <v>79.855000000000004</v>
      </c>
      <c r="R26" s="54">
        <f>VLOOKUP(B26,'Player Data'!$A1:$AE667,6,FALSE)</f>
        <v>23.618864881548099</v>
      </c>
      <c r="S26" s="56">
        <f>VLOOKUP(B26,'Player Data'!$A1:$AE667,7,FALSE)*$Q26*IFERROR((VLOOKUP(P26,Settings!$E$28:$F$33,2,FALSE)+1),1)</f>
        <v>13.957355722253286</v>
      </c>
      <c r="T26" s="56">
        <f>VLOOKUP(B26,'Player Data'!$A1:$AE667,8,FALSE)*$Q26*IFERROR((VLOOKUP(P26,Settings!$E$28:$F$33,2,FALSE)+1),1)</f>
        <v>60.483661428684293</v>
      </c>
      <c r="U26" s="56">
        <f>SUM(S26:T26)</f>
        <v>74.441017150937583</v>
      </c>
      <c r="V26" s="56">
        <f>VLOOKUP(B26,'Player Data'!$A1:$AE667,10,FALSE)*$Q26*IFERROR(((VLOOKUP(P26,Settings!$E$28:$F$33,2,FALSE)/2)+1),1)</f>
        <v>153.97856291690519</v>
      </c>
      <c r="W26" s="56">
        <f>VLOOKUP(B26,'Player Data'!$A1:$AE667,11,FALSE)*$Q26*IFERROR((VLOOKUP(P26,Settings!$E$28:$F$33,2,FALSE)+1),1)</f>
        <v>3.436810098620505</v>
      </c>
      <c r="X26" s="57">
        <f>VLOOKUP(B26,'Player Data'!$A1:$AE667,12,FALSE)*$Q26*IFERROR((VLOOKUP(P26,Settings!$E$28:$F$33,2,FALSE)+1),1)</f>
        <v>32.821349241165599</v>
      </c>
      <c r="Y26" s="56">
        <f>VLOOKUP(B26,'Player Data'!$A1:$AE667,13,FALSE)*$Q26</f>
        <v>0.56211113113533928</v>
      </c>
      <c r="Z26" s="56">
        <f>VLOOKUP(B26,'Player Data'!$A1:$AE667,14,FALSE)*$Q26</f>
        <v>1.4810843211445219</v>
      </c>
      <c r="AA26" s="56">
        <f>VLOOKUP(B26,'Player Data'!$A1:$AE667,15,FALSE)*$Q26</f>
        <v>132.34902096811513</v>
      </c>
      <c r="AB26" s="56">
        <f>VLOOKUP(B26,'Player Data'!$A1:$AE667,16,FALSE)*$Q26</f>
        <v>54.694728107037847</v>
      </c>
      <c r="AC26" s="56">
        <f>VLOOKUP(B26,'Player Data'!$A1:$AE667,17,FALSE)*$Q26*IFERROR((VLOOKUP(P26,Settings!$E$28:$F$33,2,FALSE)+1),1)</f>
        <v>6.1828281062466486</v>
      </c>
      <c r="AD26" s="56">
        <f>VLOOKUP(B26,'Player Data'!$A1:$AE667,18,FALSE)*$Q26</f>
        <v>36.584175054121431</v>
      </c>
      <c r="AE26" s="56">
        <f>VLOOKUP(B26,'Player Data'!$A1:$AE667,19,FALSE)*$Q26*IFERROR((VLOOKUP(P26,Settings!$E$28:$F$33,2,FALSE)+1),1)</f>
        <v>2.2814456925386031</v>
      </c>
      <c r="AF26" s="56">
        <f>VLOOKUP(B26,'Player Data'!$A1:$AE667,20,FALSE)*$Q26</f>
        <v>0</v>
      </c>
      <c r="AG26" s="56">
        <f>VLOOKUP(B26,'Player Data'!$A1:$AE667,21,FALSE)*$Q26</f>
        <v>0</v>
      </c>
      <c r="AH26" s="58">
        <f>VLOOKUP(B26,'Player Data'!$A1:$AE667,22,FALSE)</f>
        <v>0</v>
      </c>
      <c r="AI26" s="54"/>
      <c r="AJ26" s="64"/>
      <c r="AK26" s="56"/>
      <c r="AL26" s="56"/>
      <c r="AM26" s="56"/>
      <c r="AN26" s="56"/>
      <c r="AO26" s="56"/>
      <c r="AP26" s="56"/>
      <c r="AQ26" s="59"/>
      <c r="AR26" s="60"/>
      <c r="AS26" s="54"/>
    </row>
    <row r="27" spans="1:45" ht="21.25" customHeight="1" x14ac:dyDescent="0.15">
      <c r="A27" s="45">
        <f>RANK(K27,K$1:K$665)</f>
        <v>26</v>
      </c>
      <c r="B27" s="9" t="s">
        <v>152</v>
      </c>
      <c r="C27" s="46" t="s">
        <v>127</v>
      </c>
      <c r="D27" s="47" t="str">
        <f>VLOOKUP(B27,'Player Data'!A1:D667,4,FALSE)</f>
        <v>C</v>
      </c>
      <c r="E27" s="48">
        <f>VLOOKUP(B27,'C'!A1:C206,3,FALSE)</f>
        <v>7</v>
      </c>
      <c r="F27" s="74" t="str">
        <f>VLOOKUP(B27,'Player Data'!A1:B667,2,FALSE)</f>
        <v>PIT</v>
      </c>
      <c r="G27" s="63">
        <f>VLOOKUP(B27,'Player Data'!A1:D667,3,FALSE)</f>
        <v>37</v>
      </c>
      <c r="H27" s="67">
        <f>IFERROR(VLOOKUP(B27,ADP!A1:G665,7,FALSE)/1000000,VLOOKUP(B27,ADP!A1:G665,7,FALSE))</f>
        <v>8.6999999999999993</v>
      </c>
      <c r="I27" s="51">
        <f>IF(Settings!$E$15="POINTS",((R27*Q27)*Settings!$B$12)+(S27*Settings!$B$2)+(T27*Settings!$B$3)+(U27*Settings!$B$4)+(V27*Settings!$B$5)+(X27*Settings!$B$9)+(AA27*Settings!$B$6)+(W27*Settings!$B$8)+(AB27*Settings!$B$7)+(AC27*Settings!$B$14)+(AD27*Settings!$B$15)+(AE27*Settings!$B$16)+(AF27*Settings!$B$17)+(AG27*Settings!$B$18)+(Y27*Settings!$B$10)+(Z27*Settings!$B$11),VLOOKUP(B27,'Standard Deviations'!A1:C666,3,FALSE))</f>
        <v>450.62525704584908</v>
      </c>
      <c r="J27" s="52">
        <f>IF(D27="G",I27/AJ27,I27/Q27)</f>
        <v>5.5818810485055002</v>
      </c>
      <c r="K27" s="51">
        <f>IF(Settings!$E$18="C/LW/RW",VLOOKUP(B27,'C'!A1:F206,6,FALSE),VLOOKUP(B27,F!A1:F392,6,FALSE))</f>
        <v>60.688099267767996</v>
      </c>
      <c r="L27" s="53">
        <f>IFERROR(K27/H27,"N/A")</f>
        <v>6.9756435939963222</v>
      </c>
      <c r="M27" s="54">
        <f>IF(Settings!$E$9="YAHOO",VLOOKUP(B27,ADP!A1:E665,2,FALSE),IF(Settings!$E$9="ESPN",VLOOKUP(B27,ADP!A1:E665,3,FALSE),IF(Settings!$E$9="FANTRAX",VLOOKUP(B27,ADP!A1:E665,4,FALSE),VLOOKUP(B27,ADP!A1:E665,5,FALSE))))</f>
        <v>25.9</v>
      </c>
      <c r="N27" s="54">
        <f>IFERROR(M27-A27,"N/A")</f>
        <v>-0.10000000000000142</v>
      </c>
      <c r="O27" s="54"/>
      <c r="P27" s="55" t="str">
        <f>IF(Settings!$E$27="ON",VLOOKUP(B27,ADP!A1:H665,8,FALSE)," ")</f>
        <v>+</v>
      </c>
      <c r="Q27" s="56">
        <f>IF(Settings!$E$12="YES",VLOOKUP(B27,'Player Data'!A1:E667,5,FALSE),82)</f>
        <v>80.73</v>
      </c>
      <c r="R27" s="54">
        <f>VLOOKUP(B27,'Player Data'!$A1:$AE667,6,FALSE)</f>
        <v>20.2766159771814</v>
      </c>
      <c r="S27" s="56">
        <f>VLOOKUP(B27,'Player Data'!$A1:$AE667,7,FALSE)*$Q27*IFERROR((VLOOKUP(P27,Settings!$E$28:$F$33,2,FALSE)+1),1)</f>
        <v>35.701313307044458</v>
      </c>
      <c r="T27" s="56">
        <f>VLOOKUP(B27,'Player Data'!$A1:$AE667,8,FALSE)*$Q27*IFERROR((VLOOKUP(P27,Settings!$E$28:$F$33,2,FALSE)+1),1)</f>
        <v>53.916909383270614</v>
      </c>
      <c r="U27" s="56">
        <f>SUM(S27:T27)</f>
        <v>89.618222690315065</v>
      </c>
      <c r="V27" s="56">
        <f>VLOOKUP(B27,'Player Data'!$A1:$AE667,10,FALSE)*$Q27*IFERROR(((VLOOKUP(P27,Settings!$E$28:$F$33,2,FALSE)/2)+1),1)</f>
        <v>272.37131222009259</v>
      </c>
      <c r="W27" s="56">
        <f>VLOOKUP(B27,'Player Data'!$A1:$AE667,11,FALSE)*$Q27*IFERROR((VLOOKUP(P27,Settings!$E$28:$F$33,2,FALSE)+1),1)</f>
        <v>9.2862415371707367</v>
      </c>
      <c r="X27" s="57">
        <f>VLOOKUP(B27,'Player Data'!$A1:$AE667,12,FALSE)*$Q27*IFERROR((VLOOKUP(P27,Settings!$E$28:$F$33,2,FALSE)+1),1)</f>
        <v>25.618281724216786</v>
      </c>
      <c r="Y27" s="56">
        <f>VLOOKUP(B27,'Player Data'!$A1:$AE667,13,FALSE)*$Q27</f>
        <v>3.1749928308739711E-2</v>
      </c>
      <c r="Z27" s="56">
        <f>VLOOKUP(B27,'Player Data'!$A1:$AE667,14,FALSE)*$Q27</f>
        <v>5.4263534724743115E-2</v>
      </c>
      <c r="AA27" s="56">
        <f>VLOOKUP(B27,'Player Data'!$A1:$AE667,15,FALSE)*$Q27</f>
        <v>39.824775211832197</v>
      </c>
      <c r="AB27" s="56">
        <f>VLOOKUP(B27,'Player Data'!$A1:$AE667,16,FALSE)*$Q27</f>
        <v>86.796037454893153</v>
      </c>
      <c r="AC27" s="56">
        <f>VLOOKUP(B27,'Player Data'!$A1:$AE667,17,FALSE)*$Q27*IFERROR((VLOOKUP(P27,Settings!$E$28:$F$33,2,FALSE)+1),1)</f>
        <v>3.3150867229857846</v>
      </c>
      <c r="AD27" s="56">
        <f>VLOOKUP(B27,'Player Data'!$A1:$AE667,18,FALSE)*$Q27</f>
        <v>38.028582667215275</v>
      </c>
      <c r="AE27" s="56">
        <f>VLOOKUP(B27,'Player Data'!$A1:$AE667,19,FALSE)*$Q27*IFERROR((VLOOKUP(P27,Settings!$E$28:$F$33,2,FALSE)+1),1)</f>
        <v>5.2924662973378407</v>
      </c>
      <c r="AF27" s="56">
        <f>VLOOKUP(B27,'Player Data'!$A1:$AE667,20,FALSE)*$Q27</f>
        <v>1013.1074409070503</v>
      </c>
      <c r="AG27" s="56">
        <f>VLOOKUP(B27,'Player Data'!$A1:$AE667,21,FALSE)*$Q27</f>
        <v>825.28783529553073</v>
      </c>
      <c r="AH27" s="58">
        <f>VLOOKUP(B27,'Player Data'!$A1:$AE667,22,FALSE)</f>
        <v>0.55108248700450302</v>
      </c>
      <c r="AI27" s="54"/>
      <c r="AJ27" s="56"/>
      <c r="AK27" s="56"/>
      <c r="AL27" s="56"/>
      <c r="AM27" s="56"/>
      <c r="AN27" s="56"/>
      <c r="AO27" s="56"/>
      <c r="AP27" s="56"/>
      <c r="AQ27" s="59"/>
      <c r="AR27" s="60"/>
      <c r="AS27" s="54"/>
    </row>
    <row r="28" spans="1:45" ht="21.25" customHeight="1" x14ac:dyDescent="0.15">
      <c r="A28" s="45">
        <f>RANK(K28,K$1:K$665)</f>
        <v>27</v>
      </c>
      <c r="B28" s="9" t="s">
        <v>153</v>
      </c>
      <c r="C28" s="46" t="s">
        <v>127</v>
      </c>
      <c r="D28" s="47" t="str">
        <f>VLOOKUP(B28,'Player Data'!A1:D667,4,FALSE)</f>
        <v>D</v>
      </c>
      <c r="E28" s="66">
        <f>VLOOKUP(B28,D!A1:C213,3,FALSE)</f>
        <v>8</v>
      </c>
      <c r="F28" s="62" t="str">
        <f>VLOOKUP(B28,'Player Data'!A1:B667,2,FALSE)</f>
        <v>T.B</v>
      </c>
      <c r="G28" s="63">
        <f>VLOOKUP(B28,'Player Data'!A1:D667,3,FALSE)</f>
        <v>33</v>
      </c>
      <c r="H28" s="50">
        <f>IFERROR(VLOOKUP(B28,ADP!A1:G665,7,FALSE)/1000000,VLOOKUP(B28,ADP!A1:G665,7,FALSE))</f>
        <v>7.9749999999999996</v>
      </c>
      <c r="I28" s="51">
        <f>IF(Settings!$E$15="POINTS",((R28*Q28)*Settings!$B$12)+(S28*Settings!$B$2)+(T28*Settings!$B$3)+(U28*Settings!$B$4)+(V28*Settings!$B$5)+(X28*Settings!$B$9)+(AA28*Settings!$B$6)+(W28*Settings!$B$8)+(AB28*Settings!$B$7)+(AC28*Settings!$B$14)+(AD28*Settings!$B$15)+(AE28*Settings!$B$16)+(AF28*Settings!$B$17)+(AG28*Settings!$B$18)+(U28*Settings!$B$13)+(Y28*Settings!$B$10)+(Z28*Settings!$B$11),VLOOKUP(B28,'Standard Deviations'!A1:C666,3,FALSE))</f>
        <v>396.67357273487642</v>
      </c>
      <c r="J28" s="52">
        <f>IF(D28="G",I28/AJ28,I28/Q28)</f>
        <v>4.9279281040421941</v>
      </c>
      <c r="K28" s="51">
        <f>VLOOKUP(B28,D!A1:F213,6,FALSE)</f>
        <v>60.439447689281508</v>
      </c>
      <c r="L28" s="53">
        <f>IFERROR(K28/H28,"N/A")</f>
        <v>7.5786141303174306</v>
      </c>
      <c r="M28" s="54">
        <f>IF(Settings!$E$9="YAHOO",VLOOKUP(B28,ADP!A1:E665,2,FALSE),IF(Settings!$E$9="ESPN",VLOOKUP(B28,ADP!A1:E665,3,FALSE),IF(Settings!$E$9="FANTRAX",VLOOKUP(B28,ADP!A1:E665,4,FALSE),VLOOKUP(B28,ADP!A1:E665,5,FALSE))))</f>
        <v>43.1</v>
      </c>
      <c r="N28" s="54">
        <f>IFERROR(M28-A28,"N/A")</f>
        <v>16.100000000000001</v>
      </c>
      <c r="O28" s="54"/>
      <c r="P28" s="55" t="str">
        <f>IF(Settings!$E$27="ON",VLOOKUP(B28,ADP!A1:H665,8,FALSE)," ")</f>
        <v xml:space="preserve"> </v>
      </c>
      <c r="Q28" s="56">
        <f>IF(Settings!$E$12="YES",VLOOKUP(B28,'Player Data'!A1:E667,5,FALSE),82)</f>
        <v>80.495000000000005</v>
      </c>
      <c r="R28" s="54">
        <f>VLOOKUP(B28,'Player Data'!$A1:$AE667,6,FALSE)</f>
        <v>24.455325107845798</v>
      </c>
      <c r="S28" s="56">
        <f>VLOOKUP(B28,'Player Data'!$A1:$AE667,7,FALSE)*$Q28*IFERROR((VLOOKUP(P28,Settings!$E$28:$F$33,2,FALSE)+1),1)</f>
        <v>13.063794040690549</v>
      </c>
      <c r="T28" s="56">
        <f>VLOOKUP(B28,'Player Data'!$A1:$AE667,8,FALSE)*$Q28*IFERROR((VLOOKUP(P28,Settings!$E$28:$F$33,2,FALSE)+1),1)</f>
        <v>58.298982431996336</v>
      </c>
      <c r="U28" s="56">
        <f>SUM(S28:T28)</f>
        <v>71.362776472686889</v>
      </c>
      <c r="V28" s="56">
        <f>VLOOKUP(B28,'Player Data'!$A1:$AE667,10,FALSE)*$Q28*IFERROR(((VLOOKUP(P28,Settings!$E$28:$F$33,2,FALSE)/2)+1),1)</f>
        <v>185.26568072972799</v>
      </c>
      <c r="W28" s="56">
        <f>VLOOKUP(B28,'Player Data'!$A1:$AE667,11,FALSE)*$Q28*IFERROR((VLOOKUP(P28,Settings!$E$28:$F$33,2,FALSE)+1),1)</f>
        <v>4.0729134446369279</v>
      </c>
      <c r="X28" s="57">
        <f>VLOOKUP(B28,'Player Data'!$A1:$AE667,12,FALSE)*$Q28*IFERROR((VLOOKUP(P28,Settings!$E$28:$F$33,2,FALSE)+1),1)</f>
        <v>30.732565013650447</v>
      </c>
      <c r="Y28" s="56">
        <f>VLOOKUP(B28,'Player Data'!$A1:$AE667,13,FALSE)*$Q28</f>
        <v>0.2112589282905023</v>
      </c>
      <c r="Z28" s="56">
        <f>VLOOKUP(B28,'Player Data'!$A1:$AE667,14,FALSE)*$Q28</f>
        <v>0.49245615204021381</v>
      </c>
      <c r="AA28" s="56">
        <f>VLOOKUP(B28,'Player Data'!$A1:$AE667,15,FALSE)*$Q28</f>
        <v>117.45476357252207</v>
      </c>
      <c r="AB28" s="56">
        <f>VLOOKUP(B28,'Player Data'!$A1:$AE667,16,FALSE)*$Q28</f>
        <v>81.958056738567805</v>
      </c>
      <c r="AC28" s="56">
        <f>VLOOKUP(B28,'Player Data'!$A1:$AE667,17,FALSE)*$Q28*IFERROR((VLOOKUP(P28,Settings!$E$28:$F$33,2,FALSE)+1),1)</f>
        <v>2.5130456236950907</v>
      </c>
      <c r="AD28" s="56">
        <f>VLOOKUP(B28,'Player Data'!$A1:$AE667,18,FALSE)*$Q28</f>
        <v>41.385697113097997</v>
      </c>
      <c r="AE28" s="56">
        <f>VLOOKUP(B28,'Player Data'!$A1:$AE667,19,FALSE)*$Q28*IFERROR((VLOOKUP(P28,Settings!$E$28:$F$33,2,FALSE)+1),1)</f>
        <v>2.0583525782654051</v>
      </c>
      <c r="AF28" s="56">
        <f>VLOOKUP(B28,'Player Data'!$A1:$AE667,20,FALSE)*$Q28</f>
        <v>0</v>
      </c>
      <c r="AG28" s="56">
        <f>VLOOKUP(B28,'Player Data'!$A1:$AE667,21,FALSE)*$Q28</f>
        <v>0</v>
      </c>
      <c r="AH28" s="58">
        <f>VLOOKUP(B28,'Player Data'!$A1:$AE667,22,FALSE)</f>
        <v>0</v>
      </c>
      <c r="AI28" s="54"/>
      <c r="AJ28" s="64"/>
      <c r="AK28" s="56"/>
      <c r="AL28" s="56"/>
      <c r="AM28" s="56"/>
      <c r="AN28" s="56"/>
      <c r="AO28" s="56"/>
      <c r="AP28" s="56"/>
      <c r="AQ28" s="59"/>
      <c r="AR28" s="60"/>
      <c r="AS28" s="54"/>
    </row>
    <row r="29" spans="1:45" ht="21.25" customHeight="1" x14ac:dyDescent="0.15">
      <c r="A29" s="45">
        <f>RANK(K29,K$1:K$665)</f>
        <v>28</v>
      </c>
      <c r="B29" s="9" t="s">
        <v>154</v>
      </c>
      <c r="C29" s="46" t="s">
        <v>127</v>
      </c>
      <c r="D29" s="47" t="str">
        <f>VLOOKUP(B29,'Player Data'!A1:D667,4,FALSE)</f>
        <v>C/RW</v>
      </c>
      <c r="E29" s="68">
        <f>VLOOKUP(B29,RW!A1:C136,3,FALSE)</f>
        <v>7</v>
      </c>
      <c r="F29" s="65" t="str">
        <f>VLOOKUP(B29,'Player Data'!A1:B667,2,FALSE)</f>
        <v>BUF</v>
      </c>
      <c r="G29" s="10">
        <f>VLOOKUP(B29,'Player Data'!A1:D667,3,FALSE)</f>
        <v>26</v>
      </c>
      <c r="H29" s="50">
        <f>IFERROR(VLOOKUP(B29,ADP!A1:G665,7,FALSE)/1000000,VLOOKUP(B29,ADP!A1:G665,7,FALSE))</f>
        <v>7.1428570000000002</v>
      </c>
      <c r="I29" s="51">
        <f>IF(Settings!$E$15="POINTS",((R29*Q29)*Settings!$B$12)+(S29*Settings!$B$2)+(T29*Settings!$B$3)+(U29*Settings!$B$4)+(V29*Settings!$B$5)+(X29*Settings!$B$9)+(AA29*Settings!$B$6)+(W29*Settings!$B$8)+(AB29*Settings!$B$7)+(AC29*Settings!$B$14)+(AD29*Settings!$B$15)+(AE29*Settings!$B$16)+(AF29*Settings!$B$17)+(AG29*Settings!$B$18)+(Y29*Settings!$B$10)+(Z29*Settings!$B$11),VLOOKUP(B29,'Standard Deviations'!A1:C666,3,FALSE))</f>
        <v>427.87655378659758</v>
      </c>
      <c r="J29" s="52">
        <f>IF(D29="G",I29/AJ29,I29/Q29)</f>
        <v>5.4074317245786556</v>
      </c>
      <c r="K29" s="51">
        <f>IF(Settings!$E$18="C/LW/RW",VLOOKUP(B29,RW!A1:F136,6,FALSE),VLOOKUP(B29,F!A1:F392,6,FALSE))</f>
        <v>59.028830680305191</v>
      </c>
      <c r="L29" s="53">
        <f>IFERROR(K29/H29,"N/A")</f>
        <v>8.2640364605234549</v>
      </c>
      <c r="M29" s="54">
        <f>IF(Settings!$E$9="YAHOO",VLOOKUP(B29,ADP!A1:E665,2,FALSE),IF(Settings!$E$9="ESPN",VLOOKUP(B29,ADP!A1:E665,3,FALSE),IF(Settings!$E$9="FANTRAX",VLOOKUP(B29,ADP!A1:E665,4,FALSE),VLOOKUP(B29,ADP!A1:E665,5,FALSE))))</f>
        <v>47.3</v>
      </c>
      <c r="N29" s="54">
        <f>IFERROR(M29-A29,"N/A")</f>
        <v>19.299999999999997</v>
      </c>
      <c r="O29" s="54"/>
      <c r="P29" s="55" t="str">
        <f>IF(Settings!$E$27="ON",VLOOKUP(B29,ADP!A1:H665,8,FALSE)," ")</f>
        <v xml:space="preserve"> </v>
      </c>
      <c r="Q29" s="56">
        <f>IF(Settings!$E$12="YES",VLOOKUP(B29,'Player Data'!A1:E667,5,FALSE),82)</f>
        <v>79.127499999999998</v>
      </c>
      <c r="R29" s="54">
        <f>VLOOKUP(B29,'Player Data'!$A1:$AE667,6,FALSE)</f>
        <v>19.0226303620571</v>
      </c>
      <c r="S29" s="56">
        <f>VLOOKUP(B29,'Player Data'!$A1:$AE667,7,FALSE)*$Q29*IFERROR((VLOOKUP(P29,Settings!$E$28:$F$33,2,FALSE)+1),1)</f>
        <v>39.964058370405048</v>
      </c>
      <c r="T29" s="56">
        <f>VLOOKUP(B29,'Player Data'!$A1:$AE667,8,FALSE)*$Q29*IFERROR((VLOOKUP(P29,Settings!$E$28:$F$33,2,FALSE)+1),1)</f>
        <v>39.718710736623621</v>
      </c>
      <c r="U29" s="56">
        <f>SUM(S29:T29)</f>
        <v>79.682769107028662</v>
      </c>
      <c r="V29" s="56">
        <f>VLOOKUP(B29,'Player Data'!$A1:$AE667,10,FALSE)*$Q29*IFERROR(((VLOOKUP(P29,Settings!$E$28:$F$33,2,FALSE)/2)+1),1)</f>
        <v>291.37682863314433</v>
      </c>
      <c r="W29" s="56">
        <f>VLOOKUP(B29,'Player Data'!$A1:$AE667,11,FALSE)*$Q29*IFERROR((VLOOKUP(P29,Settings!$E$28:$F$33,2,FALSE)+1),1)</f>
        <v>14.907068484383386</v>
      </c>
      <c r="X29" s="57">
        <f>VLOOKUP(B29,'Player Data'!$A1:$AE667,12,FALSE)*$Q29*IFERROR((VLOOKUP(P29,Settings!$E$28:$F$33,2,FALSE)+1),1)</f>
        <v>26.58384060361594</v>
      </c>
      <c r="Y29" s="56">
        <f>VLOOKUP(B29,'Player Data'!$A1:$AE667,13,FALSE)*$Q29</f>
        <v>0.57635806311969628</v>
      </c>
      <c r="Z29" s="56">
        <f>VLOOKUP(B29,'Player Data'!$A1:$AE667,14,FALSE)*$Q29</f>
        <v>0.6218218002204261</v>
      </c>
      <c r="AA29" s="56">
        <f>VLOOKUP(B29,'Player Data'!$A1:$AE667,15,FALSE)*$Q29</f>
        <v>31.868339490206054</v>
      </c>
      <c r="AB29" s="56">
        <f>VLOOKUP(B29,'Player Data'!$A1:$AE667,16,FALSE)*$Q29</f>
        <v>79.881671629941266</v>
      </c>
      <c r="AC29" s="56">
        <f>VLOOKUP(B29,'Player Data'!$A1:$AE667,17,FALSE)*$Q29*IFERROR((VLOOKUP(P29,Settings!$E$28:$F$33,2,FALSE)+1),1)</f>
        <v>0.94544419855199302</v>
      </c>
      <c r="AD29" s="56">
        <f>VLOOKUP(B29,'Player Data'!$A1:$AE667,18,FALSE)*$Q29</f>
        <v>37.405786495277219</v>
      </c>
      <c r="AE29" s="56">
        <f>VLOOKUP(B29,'Player Data'!$A1:$AE667,19,FALSE)*$Q29*IFERROR((VLOOKUP(P29,Settings!$E$28:$F$33,2,FALSE)+1),1)</f>
        <v>5.6531332960329062</v>
      </c>
      <c r="AF29" s="56">
        <f>VLOOKUP(B29,'Player Data'!$A1:$AE667,20,FALSE)*$Q29</f>
        <v>419.03495979698755</v>
      </c>
      <c r="AG29" s="56">
        <f>VLOOKUP(B29,'Player Data'!$A1:$AE667,21,FALSE)*$Q29</f>
        <v>567.63833026467421</v>
      </c>
      <c r="AH29" s="58">
        <f>VLOOKUP(B29,'Player Data'!$A1:$AE667,22,FALSE)</f>
        <v>0.42469474345535402</v>
      </c>
      <c r="AI29" s="54"/>
      <c r="AJ29" s="56"/>
      <c r="AK29" s="56"/>
      <c r="AL29" s="56"/>
      <c r="AM29" s="56"/>
      <c r="AN29" s="56"/>
      <c r="AO29" s="56"/>
      <c r="AP29" s="56"/>
      <c r="AQ29" s="59"/>
      <c r="AR29" s="60"/>
      <c r="AS29" s="54"/>
    </row>
    <row r="30" spans="1:45" ht="21.25" customHeight="1" x14ac:dyDescent="0.15">
      <c r="A30" s="45">
        <f>RANK(K30,K$1:K$665)</f>
        <v>29</v>
      </c>
      <c r="B30" s="9" t="s">
        <v>155</v>
      </c>
      <c r="C30" s="46" t="s">
        <v>127</v>
      </c>
      <c r="D30" s="47" t="str">
        <f>VLOOKUP(B30,'Player Data'!A1:D667,4,FALSE)</f>
        <v>LW</v>
      </c>
      <c r="E30" s="70">
        <f>VLOOKUP(B30,LW!A1:C152,3,FALSE)</f>
        <v>8</v>
      </c>
      <c r="F30" s="65" t="str">
        <f>VLOOKUP(B30,'Player Data'!A1:B667,2,FALSE)</f>
        <v>NSH</v>
      </c>
      <c r="G30" s="63">
        <f>VLOOKUP(B30,'Player Data'!A1:D667,3,FALSE)</f>
        <v>30</v>
      </c>
      <c r="H30" s="50">
        <f>IFERROR(VLOOKUP(B30,ADP!A1:G665,7,FALSE)/1000000,VLOOKUP(B30,ADP!A1:G665,7,FALSE))</f>
        <v>8.5</v>
      </c>
      <c r="I30" s="51">
        <f>IF(Settings!$E$15="POINTS",((R30*Q30)*Settings!$B$12)+(S30*Settings!$B$2)+(T30*Settings!$B$3)+(U30*Settings!$B$4)+(V30*Settings!$B$5)+(X30*Settings!$B$9)+(AA30*Settings!$B$6)+(W30*Settings!$B$8)+(AB30*Settings!$B$7)+(AC30*Settings!$B$14)+(AD30*Settings!$B$15)+(AE30*Settings!$B$16)+(AF30*Settings!$B$17)+(AG30*Settings!$B$18)+(Y30*Settings!$B$10)+(Z30*Settings!$B$11),VLOOKUP(B30,'Standard Deviations'!A1:C666,3,FALSE))</f>
        <v>439.68962441248294</v>
      </c>
      <c r="J30" s="52">
        <f>IF(D30="G",I30/AJ30,I30/Q30)</f>
        <v>5.7603776288809501</v>
      </c>
      <c r="K30" s="51">
        <f>IF(Settings!$E$18="C/LW/RW",VLOOKUP(B30,LW!A1:F152,6,FALSE),VLOOKUP(B30,F!A1:F392,6,FALSE))</f>
        <v>58.628112109983192</v>
      </c>
      <c r="L30" s="53">
        <f>IFERROR(K30/H30,"N/A")</f>
        <v>6.89742495411567</v>
      </c>
      <c r="M30" s="54">
        <f>IF(Settings!$E$9="YAHOO",VLOOKUP(B30,ADP!A1:E665,2,FALSE),IF(Settings!$E$9="ESPN",VLOOKUP(B30,ADP!A1:E665,3,FALSE),IF(Settings!$E$9="FANTRAX",VLOOKUP(B30,ADP!A1:E665,4,FALSE),VLOOKUP(B30,ADP!A1:E665,5,FALSE))))</f>
        <v>19.7</v>
      </c>
      <c r="N30" s="54">
        <f>IFERROR(M30-A30,"N/A")</f>
        <v>-9.3000000000000007</v>
      </c>
      <c r="O30" s="54"/>
      <c r="P30" s="55" t="str">
        <f>IF(Settings!$E$27="ON",VLOOKUP(B30,ADP!A1:H665,8,FALSE)," ")</f>
        <v xml:space="preserve"> </v>
      </c>
      <c r="Q30" s="56">
        <f>IF(Settings!$E$12="YES",VLOOKUP(B30,'Player Data'!A1:E667,5,FALSE),82)</f>
        <v>76.33</v>
      </c>
      <c r="R30" s="54">
        <f>VLOOKUP(B30,'Player Data'!$A1:$AE667,6,FALSE)</f>
        <v>18.844415277466101</v>
      </c>
      <c r="S30" s="56">
        <f>VLOOKUP(B30,'Player Data'!$A1:$AE667,7,FALSE)*$Q30*IFERROR((VLOOKUP(P30,Settings!$E$28:$F$33,2,FALSE)+1),1)</f>
        <v>39.453857152407501</v>
      </c>
      <c r="T30" s="56">
        <f>VLOOKUP(B30,'Player Data'!$A1:$AE667,8,FALSE)*$Q30*IFERROR((VLOOKUP(P30,Settings!$E$28:$F$33,2,FALSE)+1),1)</f>
        <v>42.06612180727236</v>
      </c>
      <c r="U30" s="56">
        <f>SUM(S30:T30)</f>
        <v>81.519978959679861</v>
      </c>
      <c r="V30" s="56">
        <f>VLOOKUP(B30,'Player Data'!$A1:$AE667,10,FALSE)*$Q30*IFERROR(((VLOOKUP(P30,Settings!$E$28:$F$33,2,FALSE)/2)+1),1)</f>
        <v>296.85786436248634</v>
      </c>
      <c r="W30" s="56">
        <f>VLOOKUP(B30,'Player Data'!$A1:$AE667,11,FALSE)*$Q30*IFERROR((VLOOKUP(P30,Settings!$E$28:$F$33,2,FALSE)+1),1)</f>
        <v>10.271996061546441</v>
      </c>
      <c r="X30" s="57">
        <f>VLOOKUP(B30,'Player Data'!$A1:$AE667,12,FALSE)*$Q30*IFERROR((VLOOKUP(P30,Settings!$E$28:$F$33,2,FALSE)+1),1)</f>
        <v>26.726992333223269</v>
      </c>
      <c r="Y30" s="56">
        <f>VLOOKUP(B30,'Player Data'!$A1:$AE667,13,FALSE)*$Q30</f>
        <v>4.4266818899139637E-3</v>
      </c>
      <c r="Z30" s="56">
        <f>VLOOKUP(B30,'Player Data'!$A1:$AE667,14,FALSE)*$Q30</f>
        <v>7.4702557451211292E-3</v>
      </c>
      <c r="AA30" s="56">
        <f>VLOOKUP(B30,'Player Data'!$A1:$AE667,15,FALSE)*$Q30</f>
        <v>39.932585526463491</v>
      </c>
      <c r="AB30" s="56">
        <f>VLOOKUP(B30,'Player Data'!$A1:$AE667,16,FALSE)*$Q30</f>
        <v>123.04924490216631</v>
      </c>
      <c r="AC30" s="56">
        <f>VLOOKUP(B30,'Player Data'!$A1:$AE667,17,FALSE)*$Q30*IFERROR((VLOOKUP(P30,Settings!$E$28:$F$33,2,FALSE)+1),1)</f>
        <v>4.5335683025102549</v>
      </c>
      <c r="AD30" s="56">
        <f>VLOOKUP(B30,'Player Data'!$A1:$AE667,18,FALSE)*$Q30</f>
        <v>35.284168950573942</v>
      </c>
      <c r="AE30" s="56">
        <f>VLOOKUP(B30,'Player Data'!$A1:$AE667,19,FALSE)*$Q30*IFERROR((VLOOKUP(P30,Settings!$E$28:$F$33,2,FALSE)+1),1)</f>
        <v>5.5863828950073353</v>
      </c>
      <c r="AF30" s="56">
        <f>VLOOKUP(B30,'Player Data'!$A1:$AE667,20,FALSE)*$Q30</f>
        <v>8.142757180459407</v>
      </c>
      <c r="AG30" s="56">
        <f>VLOOKUP(B30,'Player Data'!$A1:$AE667,21,FALSE)*$Q30</f>
        <v>8.0857576175429653</v>
      </c>
      <c r="AH30" s="58">
        <f>VLOOKUP(B30,'Player Data'!$A1:$AE667,22,FALSE)</f>
        <v>0.50175615463355505</v>
      </c>
      <c r="AI30" s="54"/>
      <c r="AJ30" s="56"/>
      <c r="AK30" s="56"/>
      <c r="AL30" s="56"/>
      <c r="AM30" s="56"/>
      <c r="AN30" s="56"/>
      <c r="AO30" s="56"/>
      <c r="AP30" s="56"/>
      <c r="AQ30" s="59"/>
      <c r="AR30" s="60"/>
      <c r="AS30" s="54"/>
    </row>
    <row r="31" spans="1:45" ht="21.25" customHeight="1" x14ac:dyDescent="0.15">
      <c r="A31" s="45">
        <f>RANK(K31,K$1:K$665)</f>
        <v>30</v>
      </c>
      <c r="B31" s="9" t="s">
        <v>156</v>
      </c>
      <c r="C31" s="46" t="s">
        <v>127</v>
      </c>
      <c r="D31" s="47" t="str">
        <f>VLOOKUP(B31,'Player Data'!A1:D667,4,FALSE)</f>
        <v>LW</v>
      </c>
      <c r="E31" s="70">
        <f>VLOOKUP(B31,LW!A1:C152,3,FALSE)</f>
        <v>9</v>
      </c>
      <c r="F31" s="62" t="str">
        <f>VLOOKUP(B31,'Player Data'!A1:B667,2,FALSE)</f>
        <v>T.B</v>
      </c>
      <c r="G31" s="10">
        <f>VLOOKUP(B31,'Player Data'!A1:D667,3,FALSE)</f>
        <v>29</v>
      </c>
      <c r="H31" s="50">
        <f>IFERROR(VLOOKUP(B31,ADP!A1:G665,7,FALSE)/1000000,VLOOKUP(B31,ADP!A1:G665,7,FALSE))</f>
        <v>9</v>
      </c>
      <c r="I31" s="51">
        <f>IF(Settings!$E$15="POINTS",((R31*Q31)*Settings!$B$12)+(S31*Settings!$B$2)+(T31*Settings!$B$3)+(U31*Settings!$B$4)+(V31*Settings!$B$5)+(X31*Settings!$B$9)+(AA31*Settings!$B$6)+(W31*Settings!$B$8)+(AB31*Settings!$B$7)+(AC31*Settings!$B$14)+(AD31*Settings!$B$15)+(AE31*Settings!$B$16)+(AF31*Settings!$B$17)+(AG31*Settings!$B$18)+(Y31*Settings!$B$10)+(Z31*Settings!$B$11),VLOOKUP(B31,'Standard Deviations'!A1:C666,3,FALSE))</f>
        <v>437.97279003620184</v>
      </c>
      <c r="J31" s="52">
        <f>IF(D31="G",I31/AJ31,I31/Q31)</f>
        <v>5.5994219968191494</v>
      </c>
      <c r="K31" s="51">
        <f>IF(Settings!$E$18="C/LW/RW",VLOOKUP(B31,LW!A1:F152,6,FALSE),VLOOKUP(B31,F!A1:F392,6,FALSE))</f>
        <v>56.911277733702093</v>
      </c>
      <c r="L31" s="53">
        <f>IFERROR(K31/H31,"N/A")</f>
        <v>6.3234753037446767</v>
      </c>
      <c r="M31" s="54">
        <f>IF(Settings!$E$9="YAHOO",VLOOKUP(B31,ADP!A1:E665,2,FALSE),IF(Settings!$E$9="ESPN",VLOOKUP(B31,ADP!A1:E665,3,FALSE),IF(Settings!$E$9="FANTRAX",VLOOKUP(B31,ADP!A1:E665,4,FALSE),VLOOKUP(B31,ADP!A1:E665,5,FALSE))))</f>
        <v>39</v>
      </c>
      <c r="N31" s="54">
        <f>IFERROR(M31-A31,"N/A")</f>
        <v>9</v>
      </c>
      <c r="O31" s="54"/>
      <c r="P31" s="55" t="str">
        <f>IF(Settings!$E$27="ON",VLOOKUP(B31,ADP!A1:H665,8,FALSE)," ")</f>
        <v>+</v>
      </c>
      <c r="Q31" s="56">
        <f>IF(Settings!$E$12="YES",VLOOKUP(B31,'Player Data'!A1:E667,5,FALSE),82)</f>
        <v>78.217500000000001</v>
      </c>
      <c r="R31" s="54">
        <f>VLOOKUP(B31,'Player Data'!$A1:$AE667,6,FALSE)</f>
        <v>20.0957448838519</v>
      </c>
      <c r="S31" s="56">
        <f>VLOOKUP(B31,'Player Data'!$A1:$AE667,7,FALSE)*$Q31*IFERROR((VLOOKUP(P31,Settings!$E$28:$F$33,2,FALSE)+1),1)</f>
        <v>36.983813182813023</v>
      </c>
      <c r="T31" s="56">
        <f>VLOOKUP(B31,'Player Data'!$A1:$AE667,8,FALSE)*$Q31*IFERROR((VLOOKUP(P31,Settings!$E$28:$F$33,2,FALSE)+1),1)</f>
        <v>48.893875944594193</v>
      </c>
      <c r="U31" s="56">
        <f>SUM(S31:T31)</f>
        <v>85.877689127407223</v>
      </c>
      <c r="V31" s="56">
        <f>VLOOKUP(B31,'Player Data'!$A1:$AE667,10,FALSE)*$Q31*IFERROR(((VLOOKUP(P31,Settings!$E$28:$F$33,2,FALSE)/2)+1),1)</f>
        <v>274.59923299366937</v>
      </c>
      <c r="W31" s="56">
        <f>VLOOKUP(B31,'Player Data'!$A1:$AE667,11,FALSE)*$Q31*IFERROR((VLOOKUP(P31,Settings!$E$28:$F$33,2,FALSE)+1),1)</f>
        <v>8.1375011671857731</v>
      </c>
      <c r="X31" s="57">
        <f>VLOOKUP(B31,'Player Data'!$A1:$AE667,12,FALSE)*$Q31*IFERROR((VLOOKUP(P31,Settings!$E$28:$F$33,2,FALSE)+1),1)</f>
        <v>24.313692856228464</v>
      </c>
      <c r="Y31" s="56">
        <f>VLOOKUP(B31,'Player Data'!$A1:$AE667,13,FALSE)*$Q31</f>
        <v>2.0472928830197881E-2</v>
      </c>
      <c r="Z31" s="56">
        <f>VLOOKUP(B31,'Player Data'!$A1:$AE667,14,FALSE)*$Q31</f>
        <v>3.4697693194179931E-2</v>
      </c>
      <c r="AA31" s="56">
        <f>VLOOKUP(B31,'Player Data'!$A1:$AE667,15,FALSE)*$Q31</f>
        <v>37.383431215445718</v>
      </c>
      <c r="AB31" s="56">
        <f>VLOOKUP(B31,'Player Data'!$A1:$AE667,16,FALSE)*$Q31</f>
        <v>65.480147664138272</v>
      </c>
      <c r="AC31" s="56">
        <f>VLOOKUP(B31,'Player Data'!$A1:$AE667,17,FALSE)*$Q31*IFERROR((VLOOKUP(P31,Settings!$E$28:$F$33,2,FALSE)+1),1)</f>
        <v>2.3778275485129963</v>
      </c>
      <c r="AD31" s="56">
        <f>VLOOKUP(B31,'Player Data'!$A1:$AE667,18,FALSE)*$Q31</f>
        <v>38.363075251003586</v>
      </c>
      <c r="AE31" s="56">
        <f>VLOOKUP(B31,'Player Data'!$A1:$AE667,19,FALSE)*$Q31*IFERROR((VLOOKUP(P31,Settings!$E$28:$F$33,2,FALSE)+1),1)</f>
        <v>5.8272295920936976</v>
      </c>
      <c r="AF31" s="56">
        <f>VLOOKUP(B31,'Player Data'!$A1:$AE667,20,FALSE)*$Q31</f>
        <v>10.351366308157479</v>
      </c>
      <c r="AG31" s="56">
        <f>VLOOKUP(B31,'Player Data'!$A1:$AE667,21,FALSE)*$Q31</f>
        <v>14.622039415846144</v>
      </c>
      <c r="AH31" s="58">
        <f>VLOOKUP(B31,'Player Data'!$A1:$AE667,22,FALSE)</f>
        <v>0.414495580721218</v>
      </c>
      <c r="AI31" s="54"/>
      <c r="AJ31" s="56"/>
      <c r="AK31" s="56"/>
      <c r="AL31" s="56"/>
      <c r="AM31" s="56"/>
      <c r="AN31" s="56"/>
      <c r="AO31" s="56"/>
      <c r="AP31" s="56"/>
      <c r="AQ31" s="59"/>
      <c r="AR31" s="60"/>
      <c r="AS31" s="64"/>
    </row>
    <row r="32" spans="1:45" ht="21.25" customHeight="1" x14ac:dyDescent="0.15">
      <c r="A32" s="45">
        <f>RANK(K32,K$1:K$665)</f>
        <v>31</v>
      </c>
      <c r="B32" s="9" t="s">
        <v>157</v>
      </c>
      <c r="C32" s="46" t="s">
        <v>127</v>
      </c>
      <c r="D32" s="47" t="str">
        <f>VLOOKUP(B32,'Player Data'!A1:D667,4,FALSE)</f>
        <v>C/RW</v>
      </c>
      <c r="E32" s="68">
        <f>VLOOKUP(B32,RW!A1:C136,3,FALSE)</f>
        <v>8</v>
      </c>
      <c r="F32" s="71" t="str">
        <f>VLOOKUP(B32,'Player Data'!A1:B667,2,FALSE)</f>
        <v>VAN</v>
      </c>
      <c r="G32" s="63">
        <f>VLOOKUP(B32,'Player Data'!A1:D667,3,FALSE)</f>
        <v>31</v>
      </c>
      <c r="H32" s="50">
        <f>IFERROR(VLOOKUP(B32,ADP!A1:G665,7,FALSE)/1000000,VLOOKUP(B32,ADP!A1:G665,7,FALSE))</f>
        <v>8</v>
      </c>
      <c r="I32" s="51">
        <f>IF(Settings!$E$15="POINTS",((R32*Q32)*Settings!$B$12)+(S32*Settings!$B$2)+(T32*Settings!$B$3)+(U32*Settings!$B$4)+(V32*Settings!$B$5)+(X32*Settings!$B$9)+(AA32*Settings!$B$6)+(W32*Settings!$B$8)+(AB32*Settings!$B$7)+(AC32*Settings!$B$14)+(AD32*Settings!$B$15)+(AE32*Settings!$B$16)+(AF32*Settings!$B$17)+(AG32*Settings!$B$18)+(Y32*Settings!$B$10)+(Z32*Settings!$B$11),VLOOKUP(B32,'Standard Deviations'!A1:C666,3,FALSE))</f>
        <v>421.74729464787481</v>
      </c>
      <c r="J32" s="52">
        <f>IF(D32="G",I32/AJ32,I32/Q32)</f>
        <v>5.1738611868720454</v>
      </c>
      <c r="K32" s="51">
        <f>IF(Settings!$E$18="C/LW/RW",VLOOKUP(B32,RW!A1:F136,6,FALSE),VLOOKUP(B32,F!A1:F392,6,FALSE))</f>
        <v>52.899571541582418</v>
      </c>
      <c r="L32" s="53">
        <f>IFERROR(K32/H32,"N/A")</f>
        <v>6.6124464426978022</v>
      </c>
      <c r="M32" s="54">
        <f>IF(Settings!$E$9="YAHOO",VLOOKUP(B32,ADP!A1:E665,2,FALSE),IF(Settings!$E$9="ESPN",VLOOKUP(B32,ADP!A1:E665,3,FALSE),IF(Settings!$E$9="FANTRAX",VLOOKUP(B32,ADP!A1:E665,4,FALSE),VLOOKUP(B32,ADP!A1:E665,5,FALSE))))</f>
        <v>10.1</v>
      </c>
      <c r="N32" s="54">
        <f>IFERROR(M32-A32,"N/A")</f>
        <v>-20.9</v>
      </c>
      <c r="O32" s="54"/>
      <c r="P32" s="55" t="str">
        <f>IF(Settings!$E$27="ON",VLOOKUP(B32,ADP!A1:H665,8,FALSE)," ")</f>
        <v xml:space="preserve"> </v>
      </c>
      <c r="Q32" s="56">
        <f>IF(Settings!$E$12="YES",VLOOKUP(B32,'Player Data'!A1:E667,5,FALSE),82)</f>
        <v>81.515000000000001</v>
      </c>
      <c r="R32" s="54">
        <f>VLOOKUP(B32,'Player Data'!$A1:$AE667,6,FALSE)</f>
        <v>19.244986384495299</v>
      </c>
      <c r="S32" s="56">
        <f>VLOOKUP(B32,'Player Data'!$A1:$AE667,7,FALSE)*$Q32*IFERROR((VLOOKUP(P32,Settings!$E$28:$F$33,2,FALSE)+1),1)</f>
        <v>30.791157877696104</v>
      </c>
      <c r="T32" s="56">
        <f>VLOOKUP(B32,'Player Data'!$A1:$AE667,8,FALSE)*$Q32*IFERROR((VLOOKUP(P32,Settings!$E$28:$F$33,2,FALSE)+1),1)</f>
        <v>56.143407632149078</v>
      </c>
      <c r="U32" s="56">
        <f>SUM(S32:T32)</f>
        <v>86.934565509845186</v>
      </c>
      <c r="V32" s="56">
        <f>VLOOKUP(B32,'Player Data'!$A1:$AE667,10,FALSE)*$Q32*IFERROR(((VLOOKUP(P32,Settings!$E$28:$F$33,2,FALSE)/2)+1),1)</f>
        <v>196.80347254654691</v>
      </c>
      <c r="W32" s="56">
        <f>VLOOKUP(B32,'Player Data'!$A1:$AE667,11,FALSE)*$Q32*IFERROR((VLOOKUP(P32,Settings!$E$28:$F$33,2,FALSE)+1),1)</f>
        <v>9.0933154197275172</v>
      </c>
      <c r="X32" s="57">
        <f>VLOOKUP(B32,'Player Data'!$A1:$AE667,12,FALSE)*$Q32*IFERROR((VLOOKUP(P32,Settings!$E$28:$F$33,2,FALSE)+1),1)</f>
        <v>32.478747523533535</v>
      </c>
      <c r="Y32" s="56">
        <f>VLOOKUP(B32,'Player Data'!$A1:$AE667,13,FALSE)*$Q32</f>
        <v>1.5050872650803679</v>
      </c>
      <c r="Z32" s="56">
        <f>VLOOKUP(B32,'Player Data'!$A1:$AE667,14,FALSE)*$Q32</f>
        <v>2.2147223212327578</v>
      </c>
      <c r="AA32" s="56">
        <f>VLOOKUP(B32,'Player Data'!$A1:$AE667,15,FALSE)*$Q32</f>
        <v>55.696784000599067</v>
      </c>
      <c r="AB32" s="56">
        <f>VLOOKUP(B32,'Player Data'!$A1:$AE667,16,FALSE)*$Q32</f>
        <v>191.67418137654803</v>
      </c>
      <c r="AC32" s="56">
        <f>VLOOKUP(B32,'Player Data'!$A1:$AE667,17,FALSE)*$Q32*IFERROR((VLOOKUP(P32,Settings!$E$28:$F$33,2,FALSE)+1),1)</f>
        <v>5.4958175981446002</v>
      </c>
      <c r="AD32" s="56">
        <f>VLOOKUP(B32,'Player Data'!$A1:$AE667,18,FALSE)*$Q32</f>
        <v>51.874483442752798</v>
      </c>
      <c r="AE32" s="56">
        <f>VLOOKUP(B32,'Player Data'!$A1:$AE667,19,FALSE)*$Q32*IFERROR((VLOOKUP(P32,Settings!$E$28:$F$33,2,FALSE)+1),1)</f>
        <v>5.2583354594909837</v>
      </c>
      <c r="AF32" s="56">
        <f>VLOOKUP(B32,'Player Data'!$A1:$AE667,20,FALSE)*$Q32</f>
        <v>724.01402178104456</v>
      </c>
      <c r="AG32" s="56">
        <f>VLOOKUP(B32,'Player Data'!$A1:$AE667,21,FALSE)*$Q32</f>
        <v>586.77153717258443</v>
      </c>
      <c r="AH32" s="58">
        <f>VLOOKUP(B32,'Player Data'!$A1:$AE667,22,FALSE)</f>
        <v>0.55235123459783098</v>
      </c>
      <c r="AI32" s="54"/>
      <c r="AJ32" s="56"/>
      <c r="AK32" s="56"/>
      <c r="AL32" s="56"/>
      <c r="AM32" s="56"/>
      <c r="AN32" s="56"/>
      <c r="AO32" s="56"/>
      <c r="AP32" s="56"/>
      <c r="AQ32" s="59"/>
      <c r="AR32" s="60"/>
      <c r="AS32" s="64"/>
    </row>
    <row r="33" spans="1:45" ht="21.25" customHeight="1" x14ac:dyDescent="0.15">
      <c r="A33" s="45">
        <f>RANK(K33,K$1:K$665)</f>
        <v>32</v>
      </c>
      <c r="B33" s="9" t="s">
        <v>158</v>
      </c>
      <c r="C33" s="46" t="s">
        <v>127</v>
      </c>
      <c r="D33" s="47" t="str">
        <f>VLOOKUP(B33,'Player Data'!A1:D667,4,FALSE)</f>
        <v>C/RW</v>
      </c>
      <c r="E33" s="68">
        <f>VLOOKUP(B33,RW!A1:C136,3,FALSE)</f>
        <v>9</v>
      </c>
      <c r="F33" s="65" t="str">
        <f>VLOOKUP(B33,'Player Data'!A1:B667,2,FALSE)</f>
        <v>FLA</v>
      </c>
      <c r="G33" s="10">
        <f>VLOOKUP(B33,'Player Data'!A1:D667,3,FALSE)</f>
        <v>28</v>
      </c>
      <c r="H33" s="50">
        <f>IFERROR(VLOOKUP(B33,ADP!A1:G665,7,FALSE)/1000000,VLOOKUP(B33,ADP!A1:G665,7,FALSE))</f>
        <v>8.625</v>
      </c>
      <c r="I33" s="51">
        <f>IF(Settings!$E$15="POINTS",((R33*Q33)*Settings!$B$12)+(S33*Settings!$B$2)+(T33*Settings!$B$3)+(U33*Settings!$B$4)+(V33*Settings!$B$5)+(X33*Settings!$B$9)+(AA33*Settings!$B$6)+(W33*Settings!$B$8)+(AB33*Settings!$B$7)+(AC33*Settings!$B$14)+(AD33*Settings!$B$15)+(AE33*Settings!$B$16)+(AF33*Settings!$B$17)+(AG33*Settings!$B$18)+(Y33*Settings!$B$10)+(Z33*Settings!$B$11),VLOOKUP(B33,'Standard Deviations'!A1:C666,3,FALSE))</f>
        <v>419.82966814680043</v>
      </c>
      <c r="J33" s="52">
        <f>IF(D33="G",I33/AJ33,I33/Q33)</f>
        <v>5.1430805849173158</v>
      </c>
      <c r="K33" s="51">
        <f>IF(Settings!$E$18="C/LW/RW",VLOOKUP(B33,RW!A1:F136,6,FALSE),VLOOKUP(B33,F!A1:F392,6,FALSE))</f>
        <v>50.981945040508037</v>
      </c>
      <c r="L33" s="53">
        <f>IFERROR(K33/H33,"N/A")</f>
        <v>5.9109501496241199</v>
      </c>
      <c r="M33" s="54">
        <f>IF(Settings!$E$9="YAHOO",VLOOKUP(B33,ADP!A1:E665,2,FALSE),IF(Settings!$E$9="ESPN",VLOOKUP(B33,ADP!A1:E665,3,FALSE),IF(Settings!$E$9="FANTRAX",VLOOKUP(B33,ADP!A1:E665,4,FALSE),VLOOKUP(B33,ADP!A1:E665,5,FALSE))))</f>
        <v>22.1</v>
      </c>
      <c r="N33" s="54">
        <f>IFERROR(M33-A33,"N/A")</f>
        <v>-9.8999999999999986</v>
      </c>
      <c r="O33" s="54"/>
      <c r="P33" s="55" t="str">
        <f>IF(Settings!$E$27="ON",VLOOKUP(B33,ADP!A1:H665,8,FALSE)," ")</f>
        <v xml:space="preserve"> </v>
      </c>
      <c r="Q33" s="56">
        <f>IF(Settings!$E$12="YES",VLOOKUP(B33,'Player Data'!A1:E667,5,FALSE),82)</f>
        <v>81.63</v>
      </c>
      <c r="R33" s="54">
        <f>VLOOKUP(B33,'Player Data'!$A1:$AE667,6,FALSE)</f>
        <v>20.158651514531201</v>
      </c>
      <c r="S33" s="56">
        <f>VLOOKUP(B33,'Player Data'!$A1:$AE667,7,FALSE)*$Q33*IFERROR((VLOOKUP(P33,Settings!$E$28:$F$33,2,FALSE)+1),1)</f>
        <v>42.357015818781903</v>
      </c>
      <c r="T33" s="56">
        <f>VLOOKUP(B33,'Player Data'!$A1:$AE667,8,FALSE)*$Q33*IFERROR((VLOOKUP(P33,Settings!$E$28:$F$33,2,FALSE)+1),1)</f>
        <v>39.642658930517776</v>
      </c>
      <c r="U33" s="56">
        <f>SUM(S33:T33)</f>
        <v>81.999674749299686</v>
      </c>
      <c r="V33" s="56">
        <f>VLOOKUP(B33,'Player Data'!$A1:$AE667,10,FALSE)*$Q33*IFERROR(((VLOOKUP(P33,Settings!$E$28:$F$33,2,FALSE)/2)+1),1)</f>
        <v>226.24299661000708</v>
      </c>
      <c r="W33" s="56">
        <f>VLOOKUP(B33,'Player Data'!$A1:$AE667,11,FALSE)*$Q33*IFERROR((VLOOKUP(P33,Settings!$E$28:$F$33,2,FALSE)+1),1)</f>
        <v>18.065539619828172</v>
      </c>
      <c r="X33" s="57">
        <f>VLOOKUP(B33,'Player Data'!$A1:$AE667,12,FALSE)*$Q33*IFERROR((VLOOKUP(P33,Settings!$E$28:$F$33,2,FALSE)+1),1)</f>
        <v>27.603795932581914</v>
      </c>
      <c r="Y33" s="56">
        <f>VLOOKUP(B33,'Player Data'!$A1:$AE667,13,FALSE)*$Q33</f>
        <v>2.1664346197879878</v>
      </c>
      <c r="Z33" s="56">
        <f>VLOOKUP(B33,'Player Data'!$A1:$AE667,14,FALSE)*$Q33</f>
        <v>3.5218467626903287</v>
      </c>
      <c r="AA33" s="56">
        <f>VLOOKUP(B33,'Player Data'!$A1:$AE667,15,FALSE)*$Q33</f>
        <v>59.167005797251228</v>
      </c>
      <c r="AB33" s="56">
        <f>VLOOKUP(B33,'Player Data'!$A1:$AE667,16,FALSE)*$Q33</f>
        <v>68.625982794493808</v>
      </c>
      <c r="AC33" s="56">
        <f>VLOOKUP(B33,'Player Data'!$A1:$AE667,17,FALSE)*$Q33*IFERROR((VLOOKUP(P33,Settings!$E$28:$F$33,2,FALSE)+1),1)</f>
        <v>2.3448261598291085</v>
      </c>
      <c r="AD33" s="56">
        <f>VLOOKUP(B33,'Player Data'!$A1:$AE667,18,FALSE)*$Q33</f>
        <v>25.661369407438514</v>
      </c>
      <c r="AE33" s="56">
        <f>VLOOKUP(B33,'Player Data'!$A1:$AE667,19,FALSE)*$Q33*IFERROR((VLOOKUP(P33,Settings!$E$28:$F$33,2,FALSE)+1),1)</f>
        <v>7.2160145157815343</v>
      </c>
      <c r="AF33" s="56">
        <f>VLOOKUP(B33,'Player Data'!$A1:$AE667,20,FALSE)*$Q33</f>
        <v>238.7996819839874</v>
      </c>
      <c r="AG33" s="56">
        <f>VLOOKUP(B33,'Player Data'!$A1:$AE667,21,FALSE)*$Q33</f>
        <v>265.48075163508827</v>
      </c>
      <c r="AH33" s="58">
        <f>VLOOKUP(B33,'Player Data'!$A1:$AE667,22,FALSE)</f>
        <v>0.47354540462772099</v>
      </c>
      <c r="AI33" s="54"/>
      <c r="AJ33" s="56"/>
      <c r="AK33" s="56"/>
      <c r="AL33" s="56"/>
      <c r="AM33" s="56"/>
      <c r="AN33" s="56"/>
      <c r="AO33" s="56"/>
      <c r="AP33" s="56"/>
      <c r="AQ33" s="59"/>
      <c r="AR33" s="60"/>
      <c r="AS33" s="54"/>
    </row>
    <row r="34" spans="1:45" ht="21.25" customHeight="1" x14ac:dyDescent="0.15">
      <c r="A34" s="45">
        <f>RANK(K34,K$1:K$665)</f>
        <v>33</v>
      </c>
      <c r="B34" s="9" t="s">
        <v>159</v>
      </c>
      <c r="C34" s="46" t="s">
        <v>127</v>
      </c>
      <c r="D34" s="47" t="str">
        <f>VLOOKUP(B34,'Player Data'!A1:D667,4,FALSE)</f>
        <v>D</v>
      </c>
      <c r="E34" s="66">
        <f>VLOOKUP(B34,D!A1:C213,3,FALSE)</f>
        <v>9</v>
      </c>
      <c r="F34" s="55" t="str">
        <f>VLOOKUP(B34,'Player Data'!A1:B667,2,FALSE)</f>
        <v>DAL</v>
      </c>
      <c r="G34" s="10">
        <f>VLOOKUP(B34,'Player Data'!A1:D667,3,FALSE)</f>
        <v>25</v>
      </c>
      <c r="H34" s="50">
        <f>IFERROR(VLOOKUP(B34,ADP!A1:G665,7,FALSE)/1000000,VLOOKUP(B34,ADP!A1:G665,7,FALSE))</f>
        <v>8.4499999999999993</v>
      </c>
      <c r="I34" s="51">
        <f>IF(Settings!$E$15="POINTS",((R34*Q34)*Settings!$B$12)+(S34*Settings!$B$2)+(T34*Settings!$B$3)+(U34*Settings!$B$4)+(V34*Settings!$B$5)+(X34*Settings!$B$9)+(AA34*Settings!$B$6)+(W34*Settings!$B$8)+(AB34*Settings!$B$7)+(AC34*Settings!$B$14)+(AD34*Settings!$B$15)+(AE34*Settings!$B$16)+(AF34*Settings!$B$17)+(AG34*Settings!$B$18)+(U34*Settings!$B$13)+(Y34*Settings!$B$10)+(Z34*Settings!$B$11),VLOOKUP(B34,'Standard Deviations'!A1:C666,3,FALSE))</f>
        <v>384.92960333927277</v>
      </c>
      <c r="J34" s="52">
        <f>IF(D34="G",I34/AJ34,I34/Q34)</f>
        <v>4.9057491026479676</v>
      </c>
      <c r="K34" s="51">
        <f>VLOOKUP(B34,D!A1:F213,6,FALSE)</f>
        <v>48.695478293677866</v>
      </c>
      <c r="L34" s="53">
        <f>IFERROR(K34/H34,"N/A")</f>
        <v>5.7627784962932393</v>
      </c>
      <c r="M34" s="54">
        <f>IF(Settings!$E$9="YAHOO",VLOOKUP(B34,ADP!A1:E665,2,FALSE),IF(Settings!$E$9="ESPN",VLOOKUP(B34,ADP!A1:E665,3,FALSE),IF(Settings!$E$9="FANTRAX",VLOOKUP(B34,ADP!A1:E665,4,FALSE),VLOOKUP(B34,ADP!A1:E665,5,FALSE))))</f>
        <v>59.2</v>
      </c>
      <c r="N34" s="54">
        <f>IFERROR(M34-A34,"N/A")</f>
        <v>26.200000000000003</v>
      </c>
      <c r="O34" s="54"/>
      <c r="P34" s="55" t="str">
        <f>IF(Settings!$E$27="ON",VLOOKUP(B34,ADP!A1:H665,8,FALSE)," ")</f>
        <v>+</v>
      </c>
      <c r="Q34" s="56">
        <f>IF(Settings!$E$12="YES",VLOOKUP(B34,'Player Data'!A1:E667,5,FALSE),82)</f>
        <v>78.465000000000003</v>
      </c>
      <c r="R34" s="54">
        <f>VLOOKUP(B34,'Player Data'!$A1:$AE667,6,FALSE)</f>
        <v>24.6868002490022</v>
      </c>
      <c r="S34" s="56">
        <f>VLOOKUP(B34,'Player Data'!$A1:$AE667,7,FALSE)*$Q34*IFERROR((VLOOKUP(P34,Settings!$E$28:$F$33,2,FALSE)+1),1)</f>
        <v>10.950531122960591</v>
      </c>
      <c r="T34" s="56">
        <f>VLOOKUP(B34,'Player Data'!$A1:$AE667,8,FALSE)*$Q34*IFERROR((VLOOKUP(P34,Settings!$E$28:$F$33,2,FALSE)+1),1)</f>
        <v>57.308416657352666</v>
      </c>
      <c r="U34" s="56">
        <f>SUM(S34:T34)</f>
        <v>68.258947780313264</v>
      </c>
      <c r="V34" s="56">
        <f>VLOOKUP(B34,'Player Data'!$A1:$AE667,10,FALSE)*$Q34*IFERROR(((VLOOKUP(P34,Settings!$E$28:$F$33,2,FALSE)/2)+1),1)</f>
        <v>192.51069271460108</v>
      </c>
      <c r="W34" s="56">
        <f>VLOOKUP(B34,'Player Data'!$A1:$AE667,11,FALSE)*$Q34*IFERROR((VLOOKUP(P34,Settings!$E$28:$F$33,2,FALSE)+1),1)</f>
        <v>3.0326470129815437</v>
      </c>
      <c r="X34" s="57">
        <f>VLOOKUP(B34,'Player Data'!$A1:$AE667,12,FALSE)*$Q34*IFERROR((VLOOKUP(P34,Settings!$E$28:$F$33,2,FALSE)+1),1)</f>
        <v>29.462470110719433</v>
      </c>
      <c r="Y34" s="56">
        <f>VLOOKUP(B34,'Player Data'!$A1:$AE667,13,FALSE)*$Q34</f>
        <v>1.4358280511677321E-2</v>
      </c>
      <c r="Z34" s="56">
        <f>VLOOKUP(B34,'Player Data'!$A1:$AE667,14,FALSE)*$Q34</f>
        <v>0.22068213708695253</v>
      </c>
      <c r="AA34" s="56">
        <f>VLOOKUP(B34,'Player Data'!$A1:$AE667,15,FALSE)*$Q34</f>
        <v>108.42852278645212</v>
      </c>
      <c r="AB34" s="56">
        <f>VLOOKUP(B34,'Player Data'!$A1:$AE667,16,FALSE)*$Q34</f>
        <v>63.937333794715109</v>
      </c>
      <c r="AC34" s="56">
        <f>VLOOKUP(B34,'Player Data'!$A1:$AE667,17,FALSE)*$Q34*IFERROR((VLOOKUP(P34,Settings!$E$28:$F$33,2,FALSE)+1),1)</f>
        <v>8.1644935556229914</v>
      </c>
      <c r="AD34" s="56">
        <f>VLOOKUP(B34,'Player Data'!$A1:$AE667,18,FALSE)*$Q34</f>
        <v>32.088738749552348</v>
      </c>
      <c r="AE34" s="56">
        <f>VLOOKUP(B34,'Player Data'!$A1:$AE667,19,FALSE)*$Q34*IFERROR((VLOOKUP(P34,Settings!$E$28:$F$33,2,FALSE)+1),1)</f>
        <v>1.7511948523658738</v>
      </c>
      <c r="AF34" s="56">
        <f>VLOOKUP(B34,'Player Data'!$A1:$AE667,20,FALSE)*$Q34</f>
        <v>0</v>
      </c>
      <c r="AG34" s="56">
        <f>VLOOKUP(B34,'Player Data'!$A1:$AE667,21,FALSE)*$Q34</f>
        <v>0</v>
      </c>
      <c r="AH34" s="58">
        <f>VLOOKUP(B34,'Player Data'!$A1:$AE667,22,FALSE)</f>
        <v>0</v>
      </c>
      <c r="AI34" s="54"/>
      <c r="AJ34" s="64"/>
      <c r="AK34" s="56"/>
      <c r="AL34" s="56"/>
      <c r="AM34" s="56"/>
      <c r="AN34" s="56"/>
      <c r="AO34" s="56"/>
      <c r="AP34" s="56"/>
      <c r="AQ34" s="59"/>
      <c r="AR34" s="60"/>
      <c r="AS34" s="64"/>
    </row>
    <row r="35" spans="1:45" ht="21.25" customHeight="1" x14ac:dyDescent="0.15">
      <c r="A35" s="45">
        <f>RANK(K35,K$1:K$665)</f>
        <v>34</v>
      </c>
      <c r="B35" s="9" t="s">
        <v>160</v>
      </c>
      <c r="C35" s="46" t="s">
        <v>127</v>
      </c>
      <c r="D35" s="47" t="str">
        <f>VLOOKUP(B35,'Player Data'!A1:D667,4,FALSE)</f>
        <v>C/RW</v>
      </c>
      <c r="E35" s="68">
        <f>VLOOKUP(B35,RW!A1:C136,3,FALSE)</f>
        <v>10</v>
      </c>
      <c r="F35" s="72" t="str">
        <f>VLOOKUP(B35,'Player Data'!A1:B667,2,FALSE)</f>
        <v>NYI</v>
      </c>
      <c r="G35" s="10">
        <f>VLOOKUP(B35,'Player Data'!A1:D667,3,FALSE)</f>
        <v>27</v>
      </c>
      <c r="H35" s="50">
        <f>IFERROR(VLOOKUP(B35,ADP!A1:G665,7,FALSE)/1000000,VLOOKUP(B35,ADP!A1:G665,7,FALSE))</f>
        <v>9.15</v>
      </c>
      <c r="I35" s="51">
        <f>IF(Settings!$E$15="POINTS",((R35*Q35)*Settings!$B$12)+(S35*Settings!$B$2)+(T35*Settings!$B$3)+(U35*Settings!$B$4)+(V35*Settings!$B$5)+(X35*Settings!$B$9)+(AA35*Settings!$B$6)+(W35*Settings!$B$8)+(AB35*Settings!$B$7)+(AC35*Settings!$B$14)+(AD35*Settings!$B$15)+(AE35*Settings!$B$16)+(AF35*Settings!$B$17)+(AG35*Settings!$B$18)+(Y35*Settings!$B$10)+(Z35*Settings!$B$11),VLOOKUP(B35,'Standard Deviations'!A1:C666,3,FALSE))</f>
        <v>411.44727543727822</v>
      </c>
      <c r="J35" s="52">
        <f>IF(D35="G",I35/AJ35,I35/Q35)</f>
        <v>5.3107102347502844</v>
      </c>
      <c r="K35" s="51">
        <f>IF(Settings!$E$18="C/LW/RW",VLOOKUP(B35,RW!A1:F136,6,FALSE),VLOOKUP(B35,F!A1:F392,6,FALSE))</f>
        <v>42.59955233098583</v>
      </c>
      <c r="L35" s="53">
        <f>IFERROR(K35/H35,"N/A")</f>
        <v>4.6556887793427135</v>
      </c>
      <c r="M35" s="54">
        <f>IF(Settings!$E$9="YAHOO",VLOOKUP(B35,ADP!A1:E665,2,FALSE),IF(Settings!$E$9="ESPN",VLOOKUP(B35,ADP!A1:E665,3,FALSE),IF(Settings!$E$9="FANTRAX",VLOOKUP(B35,ADP!A1:E665,4,FALSE),VLOOKUP(B35,ADP!A1:E665,5,FALSE))))</f>
        <v>72</v>
      </c>
      <c r="N35" s="54">
        <f>IFERROR(M35-A35,"N/A")</f>
        <v>38</v>
      </c>
      <c r="O35" s="54"/>
      <c r="P35" s="55" t="str">
        <f>IF(Settings!$E$27="ON",VLOOKUP(B35,ADP!A1:H665,8,FALSE)," ")</f>
        <v>+</v>
      </c>
      <c r="Q35" s="56">
        <f>IF(Settings!$E$12="YES",VLOOKUP(B35,'Player Data'!A1:E667,5,FALSE),82)</f>
        <v>77.474999999999994</v>
      </c>
      <c r="R35" s="54">
        <f>VLOOKUP(B35,'Player Data'!$A1:$AE667,6,FALSE)</f>
        <v>20.438819014693301</v>
      </c>
      <c r="S35" s="56">
        <f>VLOOKUP(B35,'Player Data'!$A1:$AE667,7,FALSE)*$Q35*IFERROR((VLOOKUP(P35,Settings!$E$28:$F$33,2,FALSE)+1),1)</f>
        <v>24.192576207165999</v>
      </c>
      <c r="T35" s="56">
        <f>VLOOKUP(B35,'Player Data'!$A1:$AE667,8,FALSE)*$Q35*IFERROR((VLOOKUP(P35,Settings!$E$28:$F$33,2,FALSE)+1),1)</f>
        <v>57.551663823873341</v>
      </c>
      <c r="U35" s="56">
        <f>SUM(S35:T35)</f>
        <v>81.74424003103934</v>
      </c>
      <c r="V35" s="56">
        <f>VLOOKUP(B35,'Player Data'!$A1:$AE667,10,FALSE)*$Q35*IFERROR(((VLOOKUP(P35,Settings!$E$28:$F$33,2,FALSE)/2)+1),1)</f>
        <v>232.92378446287032</v>
      </c>
      <c r="W35" s="56">
        <f>VLOOKUP(B35,'Player Data'!$A1:$AE667,11,FALSE)*$Q35*IFERROR((VLOOKUP(P35,Settings!$E$28:$F$33,2,FALSE)+1),1)</f>
        <v>5.1119275752958266</v>
      </c>
      <c r="X35" s="57">
        <f>VLOOKUP(B35,'Player Data'!$A1:$AE667,12,FALSE)*$Q35*IFERROR((VLOOKUP(P35,Settings!$E$28:$F$33,2,FALSE)+1),1)</f>
        <v>25.861106333264477</v>
      </c>
      <c r="Y35" s="56">
        <f>VLOOKUP(B35,'Player Data'!$A1:$AE667,13,FALSE)*$Q35</f>
        <v>1.5764651789713889E-2</v>
      </c>
      <c r="Z35" s="56">
        <f>VLOOKUP(B35,'Player Data'!$A1:$AE667,14,FALSE)*$Q35</f>
        <v>2.6776814112796421E-2</v>
      </c>
      <c r="AA35" s="56">
        <f>VLOOKUP(B35,'Player Data'!$A1:$AE667,15,FALSE)*$Q35</f>
        <v>47.729559930695494</v>
      </c>
      <c r="AB35" s="56">
        <f>VLOOKUP(B35,'Player Data'!$A1:$AE667,16,FALSE)*$Q35</f>
        <v>50.157574364925111</v>
      </c>
      <c r="AC35" s="56">
        <f>VLOOKUP(B35,'Player Data'!$A1:$AE667,17,FALSE)*$Q35*IFERROR((VLOOKUP(P35,Settings!$E$28:$F$33,2,FALSE)+1),1)</f>
        <v>4.0303615504723851</v>
      </c>
      <c r="AD35" s="56">
        <f>VLOOKUP(B35,'Player Data'!$A1:$AE667,18,FALSE)*$Q35</f>
        <v>32.308061572299394</v>
      </c>
      <c r="AE35" s="56">
        <f>VLOOKUP(B35,'Player Data'!$A1:$AE667,19,FALSE)*$Q35*IFERROR((VLOOKUP(P35,Settings!$E$28:$F$33,2,FALSE)+1),1)</f>
        <v>3.8020795903642384</v>
      </c>
      <c r="AF35" s="56">
        <f>VLOOKUP(B35,'Player Data'!$A1:$AE667,20,FALSE)*$Q35</f>
        <v>87.352282456792565</v>
      </c>
      <c r="AG35" s="56">
        <f>VLOOKUP(B35,'Player Data'!$A1:$AE667,21,FALSE)*$Q35</f>
        <v>121.85812662648138</v>
      </c>
      <c r="AH35" s="58">
        <f>VLOOKUP(B35,'Player Data'!$A1:$AE667,22,FALSE)</f>
        <v>0.41753315640247601</v>
      </c>
      <c r="AI35" s="54"/>
      <c r="AJ35" s="56"/>
      <c r="AK35" s="56"/>
      <c r="AL35" s="56"/>
      <c r="AM35" s="56"/>
      <c r="AN35" s="56"/>
      <c r="AO35" s="56"/>
      <c r="AP35" s="56"/>
      <c r="AQ35" s="59"/>
      <c r="AR35" s="60"/>
      <c r="AS35" s="54"/>
    </row>
    <row r="36" spans="1:45" ht="21.25" customHeight="1" x14ac:dyDescent="0.15">
      <c r="A36" s="45">
        <f>RANK(K36,K$1:K$665)</f>
        <v>35</v>
      </c>
      <c r="B36" s="9" t="s">
        <v>161</v>
      </c>
      <c r="C36" s="46" t="s">
        <v>127</v>
      </c>
      <c r="D36" s="47" t="str">
        <f>VLOOKUP(B36,'Player Data'!A1:D667,4,FALSE)</f>
        <v>C/LW</v>
      </c>
      <c r="E36" s="68">
        <f>VLOOKUP(B36,LW!A1:C152,3,FALSE)</f>
        <v>10</v>
      </c>
      <c r="F36" s="62" t="str">
        <f>VLOOKUP(B36,'Player Data'!A1:B667,2,FALSE)</f>
        <v>OTT</v>
      </c>
      <c r="G36" s="10">
        <f>VLOOKUP(B36,'Player Data'!A1:D667,3,FALSE)</f>
        <v>24</v>
      </c>
      <c r="H36" s="50">
        <f>IFERROR(VLOOKUP(B36,ADP!A1:G665,7,FALSE)/1000000,VLOOKUP(B36,ADP!A1:G665,7,FALSE))</f>
        <v>8.2057140000000004</v>
      </c>
      <c r="I36" s="51">
        <f>IF(Settings!$E$15="POINTS",((R36*Q36)*Settings!$B$12)+(S36*Settings!$B$2)+(T36*Settings!$B$3)+(U36*Settings!$B$4)+(V36*Settings!$B$5)+(X36*Settings!$B$9)+(AA36*Settings!$B$6)+(W36*Settings!$B$8)+(AB36*Settings!$B$7)+(AC36*Settings!$B$14)+(AD36*Settings!$B$15)+(AE36*Settings!$B$16)+(AF36*Settings!$B$17)+(AG36*Settings!$B$18)+(Y36*Settings!$B$10)+(Z36*Settings!$B$11),VLOOKUP(B36,'Standard Deviations'!A1:C666,3,FALSE))</f>
        <v>422.11393258704913</v>
      </c>
      <c r="J36" s="52">
        <f>IF(D36="G",I36/AJ36,I36/Q36)</f>
        <v>5.1759778374304792</v>
      </c>
      <c r="K36" s="51">
        <f>IF(Settings!$E$18="C/LW/RW",VLOOKUP(B36,LW!A1:F152,6,FALSE),VLOOKUP(B36,F!A1:F392,6,FALSE))</f>
        <v>41.052420284549385</v>
      </c>
      <c r="L36" s="53">
        <f>IFERROR(K36/H36,"N/A")</f>
        <v>5.0029065459202435</v>
      </c>
      <c r="M36" s="54">
        <f>IF(Settings!$E$9="YAHOO",VLOOKUP(B36,ADP!A1:E665,2,FALSE),IF(Settings!$E$9="ESPN",VLOOKUP(B36,ADP!A1:E665,3,FALSE),IF(Settings!$E$9="FANTRAX",VLOOKUP(B36,ADP!A1:E665,4,FALSE),VLOOKUP(B36,ADP!A1:E665,5,FALSE))))</f>
        <v>9.3000000000000007</v>
      </c>
      <c r="N36" s="54">
        <f>IFERROR(M36-A36,"N/A")</f>
        <v>-25.7</v>
      </c>
      <c r="O36" s="54"/>
      <c r="P36" s="55" t="str">
        <f>IF(Settings!$E$27="ON",VLOOKUP(B36,ADP!A1:H665,8,FALSE)," ")</f>
        <v xml:space="preserve"> </v>
      </c>
      <c r="Q36" s="56">
        <f>IF(Settings!$E$12="YES",VLOOKUP(B36,'Player Data'!A1:E667,5,FALSE),82)</f>
        <v>81.552499999999995</v>
      </c>
      <c r="R36" s="54">
        <f>VLOOKUP(B36,'Player Data'!$A1:$AE667,6,FALSE)</f>
        <v>18.6435907241008</v>
      </c>
      <c r="S36" s="56">
        <f>VLOOKUP(B36,'Player Data'!$A1:$AE667,7,FALSE)*$Q36*IFERROR((VLOOKUP(P36,Settings!$E$28:$F$33,2,FALSE)+1),1)</f>
        <v>34.220631144308044</v>
      </c>
      <c r="T36" s="56">
        <f>VLOOKUP(B36,'Player Data'!$A1:$AE667,8,FALSE)*$Q36*IFERROR((VLOOKUP(P36,Settings!$E$28:$F$33,2,FALSE)+1),1)</f>
        <v>40.611980455787275</v>
      </c>
      <c r="U36" s="56">
        <f>SUM(S36:T36)</f>
        <v>74.832611600095319</v>
      </c>
      <c r="V36" s="56">
        <f>VLOOKUP(B36,'Player Data'!$A1:$AE667,10,FALSE)*$Q36*IFERROR(((VLOOKUP(P36,Settings!$E$28:$F$33,2,FALSE)/2)+1),1)</f>
        <v>327.98829248638185</v>
      </c>
      <c r="W36" s="56">
        <f>VLOOKUP(B36,'Player Data'!$A1:$AE667,11,FALSE)*$Q36*IFERROR((VLOOKUP(P36,Settings!$E$28:$F$33,2,FALSE)+1),1)</f>
        <v>9.0313379299781182</v>
      </c>
      <c r="X36" s="57">
        <f>VLOOKUP(B36,'Player Data'!$A1:$AE667,12,FALSE)*$Q36*IFERROR((VLOOKUP(P36,Settings!$E$28:$F$33,2,FALSE)+1),1)</f>
        <v>19.302007060893033</v>
      </c>
      <c r="Y36" s="56">
        <f>VLOOKUP(B36,'Player Data'!$A1:$AE667,13,FALSE)*$Q36</f>
        <v>1.7910217081121664E-2</v>
      </c>
      <c r="Z36" s="56">
        <f>VLOOKUP(B36,'Player Data'!$A1:$AE667,14,FALSE)*$Q36</f>
        <v>3.020745472737511E-2</v>
      </c>
      <c r="AA36" s="56">
        <f>VLOOKUP(B36,'Player Data'!$A1:$AE667,15,FALSE)*$Q36</f>
        <v>28.57947405590377</v>
      </c>
      <c r="AB36" s="56">
        <f>VLOOKUP(B36,'Player Data'!$A1:$AE667,16,FALSE)*$Q36</f>
        <v>258.79944651063818</v>
      </c>
      <c r="AC36" s="56">
        <f>VLOOKUP(B36,'Player Data'!$A1:$AE667,17,FALSE)*$Q36*IFERROR((VLOOKUP(P36,Settings!$E$28:$F$33,2,FALSE)+1),1)</f>
        <v>1.9267998774437607</v>
      </c>
      <c r="AD36" s="56">
        <f>VLOOKUP(B36,'Player Data'!$A1:$AE667,18,FALSE)*$Q36</f>
        <v>82.624117065887688</v>
      </c>
      <c r="AE36" s="56">
        <f>VLOOKUP(B36,'Player Data'!$A1:$AE667,19,FALSE)*$Q36*IFERROR((VLOOKUP(P36,Settings!$E$28:$F$33,2,FALSE)+1),1)</f>
        <v>5.3132402614448893</v>
      </c>
      <c r="AF36" s="56">
        <f>VLOOKUP(B36,'Player Data'!$A1:$AE667,20,FALSE)*$Q36</f>
        <v>222.10917771825308</v>
      </c>
      <c r="AG36" s="56">
        <f>VLOOKUP(B36,'Player Data'!$A1:$AE667,21,FALSE)*$Q36</f>
        <v>217.08785265097504</v>
      </c>
      <c r="AH36" s="58">
        <f>VLOOKUP(B36,'Player Data'!$A1:$AE667,22,FALSE)</f>
        <v>0.50571648340046405</v>
      </c>
      <c r="AI36" s="54"/>
      <c r="AJ36" s="64"/>
      <c r="AK36" s="56"/>
      <c r="AL36" s="56"/>
      <c r="AM36" s="56"/>
      <c r="AN36" s="56"/>
      <c r="AO36" s="56"/>
      <c r="AP36" s="56"/>
      <c r="AQ36" s="59"/>
      <c r="AR36" s="60"/>
      <c r="AS36" s="54"/>
    </row>
    <row r="37" spans="1:45" ht="21.25" customHeight="1" x14ac:dyDescent="0.15">
      <c r="A37" s="45">
        <f>RANK(K37,K$1:K$665)</f>
        <v>36</v>
      </c>
      <c r="B37" s="9" t="s">
        <v>162</v>
      </c>
      <c r="C37" s="46" t="s">
        <v>127</v>
      </c>
      <c r="D37" s="47" t="str">
        <f>VLOOKUP(B37,'Player Data'!A1:D667,4,FALSE)</f>
        <v>LW/RW</v>
      </c>
      <c r="E37" s="68">
        <f>VLOOKUP(B37,RW!A1:C136,3,FALSE)</f>
        <v>11</v>
      </c>
      <c r="F37" s="55" t="str">
        <f>VLOOKUP(B37,'Player Data'!A1:B667,2,FALSE)</f>
        <v>N.J</v>
      </c>
      <c r="G37" s="10">
        <f>VLOOKUP(B37,'Player Data'!A1:D667,3,FALSE)</f>
        <v>27</v>
      </c>
      <c r="H37" s="50">
        <f>IFERROR(VLOOKUP(B37,ADP!A1:G665,7,FALSE)/1000000,VLOOKUP(B37,ADP!A1:G665,7,FALSE))</f>
        <v>8.8000000000000007</v>
      </c>
      <c r="I37" s="51">
        <f>IF(Settings!$E$15="POINTS",((R37*Q37)*Settings!$B$12)+(S37*Settings!$B$2)+(T37*Settings!$B$3)+(U37*Settings!$B$4)+(V37*Settings!$B$5)+(X37*Settings!$B$9)+(AA37*Settings!$B$6)+(W37*Settings!$B$8)+(AB37*Settings!$B$7)+(AC37*Settings!$B$14)+(AD37*Settings!$B$15)+(AE37*Settings!$B$16)+(AF37*Settings!$B$17)+(AG37*Settings!$B$18)+(Y37*Settings!$B$10)+(Z37*Settings!$B$11),VLOOKUP(B37,'Standard Deviations'!A1:C666,3,FALSE))</f>
        <v>409.64135000545872</v>
      </c>
      <c r="J37" s="52">
        <f>IF(D37="G",I37/AJ37,I37/Q37)</f>
        <v>5.2069191903836627</v>
      </c>
      <c r="K37" s="51">
        <f>IF(Settings!$E$18="C/LW/RW",VLOOKUP(B37,RW!A1:F136,6,FALSE),VLOOKUP(B37,F!A1:F392,6,FALSE))</f>
        <v>40.793626899166327</v>
      </c>
      <c r="L37" s="53">
        <f>IFERROR(K37/H37,"N/A")</f>
        <v>4.6356394203598095</v>
      </c>
      <c r="M37" s="54">
        <f>IF(Settings!$E$9="YAHOO",VLOOKUP(B37,ADP!A1:E665,2,FALSE),IF(Settings!$E$9="ESPN",VLOOKUP(B37,ADP!A1:E665,3,FALSE),IF(Settings!$E$9="FANTRAX",VLOOKUP(B37,ADP!A1:E665,4,FALSE),VLOOKUP(B37,ADP!A1:E665,5,FALSE))))</f>
        <v>79.2</v>
      </c>
      <c r="N37" s="54">
        <f>IFERROR(M37-A37,"N/A")</f>
        <v>43.2</v>
      </c>
      <c r="O37" s="54"/>
      <c r="P37" s="55" t="str">
        <f>IF(Settings!$E$27="ON",VLOOKUP(B37,ADP!A1:H665,8,FALSE)," ")</f>
        <v xml:space="preserve"> </v>
      </c>
      <c r="Q37" s="56">
        <f>IF(Settings!$E$12="YES",VLOOKUP(B37,'Player Data'!A1:E667,5,FALSE),82)</f>
        <v>78.672499999999999</v>
      </c>
      <c r="R37" s="75">
        <f>VLOOKUP(B37,'Player Data'!$A1:$AE667,6,FALSE)</f>
        <v>18.8015170236282</v>
      </c>
      <c r="S37" s="56">
        <f>VLOOKUP(B37,'Player Data'!$A1:$AE667,7,FALSE)*$Q37*IFERROR((VLOOKUP(P37,Settings!$E$28:$F$33,2,FALSE)+1),1)</f>
        <v>38.922320944552219</v>
      </c>
      <c r="T37" s="56">
        <f>VLOOKUP(B37,'Player Data'!$A1:$AE667,8,FALSE)*$Q37*IFERROR((VLOOKUP(P37,Settings!$E$28:$F$33,2,FALSE)+1),1)</f>
        <v>34.314174841533692</v>
      </c>
      <c r="U37" s="56">
        <f>SUM(S37:T37)</f>
        <v>73.236495786085911</v>
      </c>
      <c r="V37" s="56">
        <f>VLOOKUP(B37,'Player Data'!$A1:$AE667,10,FALSE)*$Q37*IFERROR(((VLOOKUP(P37,Settings!$E$28:$F$33,2,FALSE)/2)+1),1)</f>
        <v>279.84325047169278</v>
      </c>
      <c r="W37" s="56">
        <f>VLOOKUP(B37,'Player Data'!$A1:$AE667,11,FALSE)*$Q37*IFERROR((VLOOKUP(P37,Settings!$E$28:$F$33,2,FALSE)+1),1)</f>
        <v>17.153167305991076</v>
      </c>
      <c r="X37" s="57">
        <f>VLOOKUP(B37,'Player Data'!$A1:$AE667,12,FALSE)*$Q37*IFERROR((VLOOKUP(P37,Settings!$E$28:$F$33,2,FALSE)+1),1)</f>
        <v>28.026933640612459</v>
      </c>
      <c r="Y37" s="56">
        <f>VLOOKUP(B37,'Player Data'!$A1:$AE667,13,FALSE)*$Q37</f>
        <v>5.2016577309736793E-3</v>
      </c>
      <c r="Z37" s="56">
        <f>VLOOKUP(B37,'Player Data'!$A1:$AE667,14,FALSE)*$Q37</f>
        <v>8.770707358052807E-3</v>
      </c>
      <c r="AA37" s="56">
        <f>VLOOKUP(B37,'Player Data'!$A1:$AE667,15,FALSE)*$Q37</f>
        <v>43.949066126768152</v>
      </c>
      <c r="AB37" s="56">
        <f>VLOOKUP(B37,'Player Data'!$A1:$AE667,16,FALSE)*$Q37</f>
        <v>124.47750170077212</v>
      </c>
      <c r="AC37" s="56">
        <f>VLOOKUP(B37,'Player Data'!$A1:$AE667,17,FALSE)*$Q37*IFERROR((VLOOKUP(P37,Settings!$E$28:$F$33,2,FALSE)+1),1)</f>
        <v>3.2068483209189051</v>
      </c>
      <c r="AD37" s="56">
        <f>VLOOKUP(B37,'Player Data'!$A1:$AE667,18,FALSE)*$Q37</f>
        <v>45.033154820429758</v>
      </c>
      <c r="AE37" s="56">
        <f>VLOOKUP(B37,'Player Data'!$A1:$AE667,19,FALSE)*$Q37*IFERROR((VLOOKUP(P37,Settings!$E$28:$F$33,2,FALSE)+1),1)</f>
        <v>5.8724565916755136</v>
      </c>
      <c r="AF37" s="56">
        <f>VLOOKUP(B37,'Player Data'!$A1:$AE667,20,FALSE)*$Q37</f>
        <v>38.451260792834184</v>
      </c>
      <c r="AG37" s="56">
        <f>VLOOKUP(B37,'Player Data'!$A1:$AE667,21,FALSE)*$Q37</f>
        <v>50.124575785855114</v>
      </c>
      <c r="AH37" s="58">
        <f>VLOOKUP(B37,'Player Data'!$A1:$AE667,22,FALSE)</f>
        <v>0.43410553349586201</v>
      </c>
      <c r="AI37" s="54"/>
      <c r="AJ37" s="64"/>
      <c r="AK37" s="56"/>
      <c r="AL37" s="56"/>
      <c r="AM37" s="56"/>
      <c r="AN37" s="56"/>
      <c r="AO37" s="56"/>
      <c r="AP37" s="56"/>
      <c r="AQ37" s="59"/>
      <c r="AR37" s="60"/>
      <c r="AS37" s="54"/>
    </row>
    <row r="38" spans="1:45" ht="21.25" customHeight="1" x14ac:dyDescent="0.15">
      <c r="A38" s="45">
        <f>RANK(K38,K$1:K$665)</f>
        <v>37</v>
      </c>
      <c r="B38" s="9" t="s">
        <v>163</v>
      </c>
      <c r="C38" s="46" t="s">
        <v>127</v>
      </c>
      <c r="D38" s="47" t="str">
        <f>VLOOKUP(B38,'Player Data'!A1:D667,4,FALSE)</f>
        <v>D</v>
      </c>
      <c r="E38" s="66">
        <f>VLOOKUP(B38,D!A1:C213,3,FALSE)</f>
        <v>10</v>
      </c>
      <c r="F38" s="65" t="str">
        <f>VLOOKUP(B38,'Player Data'!A1:B667,2,FALSE)</f>
        <v>TOR</v>
      </c>
      <c r="G38" s="10">
        <f>VLOOKUP(B38,'Player Data'!A1:D667,3,FALSE)</f>
        <v>30</v>
      </c>
      <c r="H38" s="50">
        <f>IFERROR(VLOOKUP(B38,ADP!A1:G665,7,FALSE)/1000000,VLOOKUP(B38,ADP!A1:G665,7,FALSE))</f>
        <v>7.5</v>
      </c>
      <c r="I38" s="51">
        <f>IF(Settings!$E$15="POINTS",((R38*Q38)*Settings!$B$12)+(S38*Settings!$B$2)+(T38*Settings!$B$3)+(U38*Settings!$B$4)+(V38*Settings!$B$5)+(X38*Settings!$B$9)+(AA38*Settings!$B$6)+(W38*Settings!$B$8)+(AB38*Settings!$B$7)+(AC38*Settings!$B$14)+(AD38*Settings!$B$15)+(AE38*Settings!$B$16)+(AF38*Settings!$B$17)+(AG38*Settings!$B$18)+(U38*Settings!$B$13)+(Y38*Settings!$B$10)+(Z38*Settings!$B$11),VLOOKUP(B38,'Standard Deviations'!A1:C666,3,FALSE))</f>
        <v>375.5918797680817</v>
      </c>
      <c r="J38" s="52">
        <f>IF(D38="G",I38/AJ38,I38/Q38)</f>
        <v>4.8203789876225711</v>
      </c>
      <c r="K38" s="51">
        <f>VLOOKUP(B38,D!A1:F213,6,FALSE)</f>
        <v>39.357754722486789</v>
      </c>
      <c r="L38" s="53">
        <f>IFERROR(K38/H38,"N/A")</f>
        <v>5.2477006296649051</v>
      </c>
      <c r="M38" s="54">
        <f>IF(Settings!$E$9="YAHOO",VLOOKUP(B38,ADP!A1:E665,2,FALSE),IF(Settings!$E$9="ESPN",VLOOKUP(B38,ADP!A1:E665,3,FALSE),IF(Settings!$E$9="FANTRAX",VLOOKUP(B38,ADP!A1:E665,4,FALSE),VLOOKUP(B38,ADP!A1:E665,5,FALSE))))</f>
        <v>83.8</v>
      </c>
      <c r="N38" s="54">
        <f>IFERROR(M38-A38,"N/A")</f>
        <v>46.8</v>
      </c>
      <c r="O38" s="54"/>
      <c r="P38" s="55" t="str">
        <f>IF(Settings!$E$27="ON",VLOOKUP(B38,ADP!A1:H665,8,FALSE)," ")</f>
        <v xml:space="preserve"> </v>
      </c>
      <c r="Q38" s="56">
        <f>IF(Settings!$E$12="YES",VLOOKUP(B38,'Player Data'!A1:E667,5,FALSE),82)</f>
        <v>77.917500000000004</v>
      </c>
      <c r="R38" s="54">
        <f>VLOOKUP(B38,'Player Data'!$A1:$AE667,6,FALSE)</f>
        <v>24.4251828657397</v>
      </c>
      <c r="S38" s="56">
        <f>VLOOKUP(B38,'Player Data'!$A1:$AE667,7,FALSE)*$Q38*IFERROR((VLOOKUP(P38,Settings!$E$28:$F$33,2,FALSE)+1),1)</f>
        <v>8.0431133601150506</v>
      </c>
      <c r="T38" s="56">
        <f>VLOOKUP(B38,'Player Data'!$A1:$AE667,8,FALSE)*$Q38*IFERROR((VLOOKUP(P38,Settings!$E$28:$F$33,2,FALSE)+1),1)</f>
        <v>54.927521332150668</v>
      </c>
      <c r="U38" s="56">
        <f>SUM(S38:T38)</f>
        <v>62.970634692265719</v>
      </c>
      <c r="V38" s="56">
        <f>VLOOKUP(B38,'Player Data'!$A1:$AE667,10,FALSE)*$Q38*IFERROR(((VLOOKUP(P38,Settings!$E$28:$F$33,2,FALSE)/2)+1),1)</f>
        <v>189.2738837883262</v>
      </c>
      <c r="W38" s="56">
        <f>VLOOKUP(B38,'Player Data'!$A1:$AE667,11,FALSE)*$Q38*IFERROR((VLOOKUP(P38,Settings!$E$28:$F$33,2,FALSE)+1),1)</f>
        <v>1.6658650300684488</v>
      </c>
      <c r="X38" s="57">
        <f>VLOOKUP(B38,'Player Data'!$A1:$AE667,12,FALSE)*$Q38*IFERROR((VLOOKUP(P38,Settings!$E$28:$F$33,2,FALSE)+1),1)</f>
        <v>23.78526008787016</v>
      </c>
      <c r="Y38" s="56">
        <f>VLOOKUP(B38,'Player Data'!$A1:$AE667,13,FALSE)*$Q38</f>
        <v>1.2877182247763259E-2</v>
      </c>
      <c r="Z38" s="56">
        <f>VLOOKUP(B38,'Player Data'!$A1:$AE667,14,FALSE)*$Q38</f>
        <v>0.31955357012829055</v>
      </c>
      <c r="AA38" s="56">
        <f>VLOOKUP(B38,'Player Data'!$A1:$AE667,15,FALSE)*$Q38</f>
        <v>135.87644027824606</v>
      </c>
      <c r="AB38" s="56">
        <f>VLOOKUP(B38,'Player Data'!$A1:$AE667,16,FALSE)*$Q38</f>
        <v>102.18012462971724</v>
      </c>
      <c r="AC38" s="56">
        <f>VLOOKUP(B38,'Player Data'!$A1:$AE667,17,FALSE)*$Q38*IFERROR((VLOOKUP(P38,Settings!$E$28:$F$33,2,FALSE)+1),1)</f>
        <v>5.3853209027424329</v>
      </c>
      <c r="AD38" s="56">
        <f>VLOOKUP(B38,'Player Data'!$A1:$AE667,18,FALSE)*$Q38</f>
        <v>31.579139062681126</v>
      </c>
      <c r="AE38" s="56">
        <f>VLOOKUP(B38,'Player Data'!$A1:$AE667,19,FALSE)*$Q38*IFERROR((VLOOKUP(P38,Settings!$E$28:$F$33,2,FALSE)+1),1)</f>
        <v>1.2867539599744164</v>
      </c>
      <c r="AF38" s="56">
        <f>VLOOKUP(B38,'Player Data'!$A1:$AE667,20,FALSE)*$Q38</f>
        <v>0</v>
      </c>
      <c r="AG38" s="56">
        <f>VLOOKUP(B38,'Player Data'!$A1:$AE667,21,FALSE)*$Q38</f>
        <v>0</v>
      </c>
      <c r="AH38" s="58">
        <f>VLOOKUP(B38,'Player Data'!$A1:$AE667,22,FALSE)</f>
        <v>0</v>
      </c>
      <c r="AI38" s="54"/>
      <c r="AJ38" s="64"/>
      <c r="AK38" s="56"/>
      <c r="AL38" s="56"/>
      <c r="AM38" s="56"/>
      <c r="AN38" s="56"/>
      <c r="AO38" s="56"/>
      <c r="AP38" s="56"/>
      <c r="AQ38" s="59"/>
      <c r="AR38" s="60"/>
      <c r="AS38" s="54"/>
    </row>
    <row r="39" spans="1:45" ht="21.25" customHeight="1" x14ac:dyDescent="0.15">
      <c r="A39" s="45">
        <f>RANK(K39,K$1:K$665)</f>
        <v>38</v>
      </c>
      <c r="B39" s="9" t="s">
        <v>164</v>
      </c>
      <c r="C39" s="46" t="s">
        <v>127</v>
      </c>
      <c r="D39" s="47" t="str">
        <f>VLOOKUP(B39,'Player Data'!A1:D667,4,FALSE)</f>
        <v>LW/RW</v>
      </c>
      <c r="E39" s="68">
        <f>VLOOKUP(B39,RW!A1:C136,3,FALSE)</f>
        <v>12</v>
      </c>
      <c r="F39" s="55" t="str">
        <f>VLOOKUP(B39,'Player Data'!A1:B667,2,FALSE)</f>
        <v>N.J</v>
      </c>
      <c r="G39" s="10">
        <f>VLOOKUP(B39,'Player Data'!A1:D667,3,FALSE)</f>
        <v>26</v>
      </c>
      <c r="H39" s="50">
        <f>IFERROR(VLOOKUP(B39,ADP!A1:G665,7,FALSE)/1000000,VLOOKUP(B39,ADP!A1:G665,7,FALSE))</f>
        <v>7.85</v>
      </c>
      <c r="I39" s="51">
        <f>IF(Settings!$E$15="POINTS",((R39*Q39)*Settings!$B$12)+(S39*Settings!$B$2)+(T39*Settings!$B$3)+(U39*Settings!$B$4)+(V39*Settings!$B$5)+(X39*Settings!$B$9)+(AA39*Settings!$B$6)+(W39*Settings!$B$8)+(AB39*Settings!$B$7)+(AC39*Settings!$B$14)+(AD39*Settings!$B$15)+(AE39*Settings!$B$16)+(AF39*Settings!$B$17)+(AG39*Settings!$B$18)+(Y39*Settings!$B$10)+(Z39*Settings!$B$11),VLOOKUP(B39,'Standard Deviations'!A1:C666,3,FALSE))</f>
        <v>407.26161535484397</v>
      </c>
      <c r="J39" s="52">
        <f>IF(D39="G",I39/AJ39,I39/Q39)</f>
        <v>5.0013706908368407</v>
      </c>
      <c r="K39" s="51">
        <f>IF(Settings!$E$18="C/LW/RW",VLOOKUP(B39,RW!A1:F136,6,FALSE),VLOOKUP(B39,F!A1:F392,6,FALSE))</f>
        <v>38.413892248551576</v>
      </c>
      <c r="L39" s="53">
        <f>IFERROR(K39/H39,"N/A")</f>
        <v>4.8934894584142139</v>
      </c>
      <c r="M39" s="54">
        <f>IF(Settings!$E$9="YAHOO",VLOOKUP(B39,ADP!A1:E665,2,FALSE),IF(Settings!$E$9="ESPN",VLOOKUP(B39,ADP!A1:E665,3,FALSE),IF(Settings!$E$9="FANTRAX",VLOOKUP(B39,ADP!A1:E665,4,FALSE),VLOOKUP(B39,ADP!A1:E665,5,FALSE))))</f>
        <v>47.3</v>
      </c>
      <c r="N39" s="54">
        <f>IFERROR(M39-A39,"N/A")</f>
        <v>9.2999999999999972</v>
      </c>
      <c r="O39" s="54"/>
      <c r="P39" s="55" t="str">
        <f>IF(Settings!$E$27="ON",VLOOKUP(B39,ADP!A1:H665,8,FALSE)," ")</f>
        <v>-</v>
      </c>
      <c r="Q39" s="56">
        <f>IF(Settings!$E$12="YES",VLOOKUP(B39,'Player Data'!A1:E667,5,FALSE),82)</f>
        <v>81.430000000000007</v>
      </c>
      <c r="R39" s="54">
        <f>VLOOKUP(B39,'Player Data'!$A1:$AE667,6,FALSE)</f>
        <v>19.6709605173006</v>
      </c>
      <c r="S39" s="56">
        <f>VLOOKUP(B39,'Player Data'!$A1:$AE667,7,FALSE)*$Q39*IFERROR((VLOOKUP(P39,Settings!$E$28:$F$33,2,FALSE)+1),1)</f>
        <v>29.468628009191463</v>
      </c>
      <c r="T39" s="56">
        <f>VLOOKUP(B39,'Player Data'!$A1:$AE667,8,FALSE)*$Q39*IFERROR((VLOOKUP(P39,Settings!$E$28:$F$33,2,FALSE)+1),1)</f>
        <v>51.89671880014636</v>
      </c>
      <c r="U39" s="56">
        <f>SUM(S39:T39)</f>
        <v>81.365346809337822</v>
      </c>
      <c r="V39" s="56">
        <f>VLOOKUP(B39,'Player Data'!$A1:$AE667,10,FALSE)*$Q39*IFERROR(((VLOOKUP(P39,Settings!$E$28:$F$33,2,FALSE)/2)+1),1)</f>
        <v>237.24474771081455</v>
      </c>
      <c r="W39" s="56">
        <f>VLOOKUP(B39,'Player Data'!$A1:$AE667,11,FALSE)*$Q39*IFERROR((VLOOKUP(P39,Settings!$E$28:$F$33,2,FALSE)+1),1)</f>
        <v>7.3326520864099445</v>
      </c>
      <c r="X39" s="57">
        <f>VLOOKUP(B39,'Player Data'!$A1:$AE667,12,FALSE)*$Q39*IFERROR((VLOOKUP(P39,Settings!$E$28:$F$33,2,FALSE)+1),1)</f>
        <v>26.921908940191333</v>
      </c>
      <c r="Y39" s="56">
        <f>VLOOKUP(B39,'Player Data'!$A1:$AE667,13,FALSE)*$Q39</f>
        <v>0.18098614867335303</v>
      </c>
      <c r="Z39" s="56">
        <f>VLOOKUP(B39,'Player Data'!$A1:$AE667,14,FALSE)*$Q39</f>
        <v>1.095042285032942</v>
      </c>
      <c r="AA39" s="56">
        <f>VLOOKUP(B39,'Player Data'!$A1:$AE667,15,FALSE)*$Q39</f>
        <v>33.052499692397824</v>
      </c>
      <c r="AB39" s="56">
        <f>VLOOKUP(B39,'Player Data'!$A1:$AE667,16,FALSE)*$Q39</f>
        <v>55.705989402011625</v>
      </c>
      <c r="AC39" s="56">
        <f>VLOOKUP(B39,'Player Data'!$A1:$AE667,17,FALSE)*$Q39*IFERROR((VLOOKUP(P39,Settings!$E$28:$F$33,2,FALSE)+1),1)</f>
        <v>6.4018956485590852</v>
      </c>
      <c r="AD39" s="56">
        <f>VLOOKUP(B39,'Player Data'!$A1:$AE667,18,FALSE)*$Q39</f>
        <v>17.244795378594844</v>
      </c>
      <c r="AE39" s="56">
        <f>VLOOKUP(B39,'Player Data'!$A1:$AE667,19,FALSE)*$Q39*IFERROR((VLOOKUP(P39,Settings!$E$28:$F$33,2,FALSE)+1),1)</f>
        <v>4.4461181810493082</v>
      </c>
      <c r="AF39" s="56">
        <f>VLOOKUP(B39,'Player Data'!$A1:$AE667,20,FALSE)*$Q39</f>
        <v>2.7386367238326557</v>
      </c>
      <c r="AG39" s="56">
        <f>VLOOKUP(B39,'Player Data'!$A1:$AE667,21,FALSE)*$Q39</f>
        <v>14.118454543152625</v>
      </c>
      <c r="AH39" s="58">
        <f>VLOOKUP(B39,'Player Data'!$A1:$AE667,22,FALSE)</f>
        <v>0.16246199777041601</v>
      </c>
      <c r="AI39" s="54"/>
      <c r="AJ39" s="56"/>
      <c r="AK39" s="56"/>
      <c r="AL39" s="56"/>
      <c r="AM39" s="56"/>
      <c r="AN39" s="56"/>
      <c r="AO39" s="56"/>
      <c r="AP39" s="56"/>
      <c r="AQ39" s="59"/>
      <c r="AR39" s="60"/>
      <c r="AS39" s="54"/>
    </row>
    <row r="40" spans="1:45" ht="21.25" customHeight="1" x14ac:dyDescent="0.15">
      <c r="A40" s="45">
        <f>RANK(K40,K$1:K$665)</f>
        <v>39</v>
      </c>
      <c r="B40" s="9" t="s">
        <v>165</v>
      </c>
      <c r="C40" s="46" t="s">
        <v>127</v>
      </c>
      <c r="D40" s="47" t="str">
        <f>VLOOKUP(B40,'Player Data'!A1:D667,4,FALSE)</f>
        <v>C</v>
      </c>
      <c r="E40" s="48">
        <f>VLOOKUP(B40,'C'!A1:C206,3,FALSE)</f>
        <v>9</v>
      </c>
      <c r="F40" s="55" t="str">
        <f>VLOOKUP(B40,'Player Data'!A1:B667,2,FALSE)</f>
        <v>VGK</v>
      </c>
      <c r="G40" s="10">
        <f>VLOOKUP(B40,'Player Data'!A1:D667,3,FALSE)</f>
        <v>27</v>
      </c>
      <c r="H40" s="50">
        <f>IFERROR(VLOOKUP(B40,ADP!A1:G665,7,FALSE)/1000000,VLOOKUP(B40,ADP!A1:G665,7,FALSE))</f>
        <v>10</v>
      </c>
      <c r="I40" s="51">
        <f>IF(Settings!$E$15="POINTS",((R40*Q40)*Settings!$B$12)+(S40*Settings!$B$2)+(T40*Settings!$B$3)+(U40*Settings!$B$4)+(V40*Settings!$B$5)+(X40*Settings!$B$9)+(AA40*Settings!$B$6)+(W40*Settings!$B$8)+(AB40*Settings!$B$7)+(AC40*Settings!$B$14)+(AD40*Settings!$B$15)+(AE40*Settings!$B$16)+(AF40*Settings!$B$17)+(AG40*Settings!$B$18)+(Y40*Settings!$B$10)+(Z40*Settings!$B$11),VLOOKUP(B40,'Standard Deviations'!A1:C666,3,FALSE))</f>
        <v>427.26826768711794</v>
      </c>
      <c r="J40" s="52">
        <f>IF(D40="G",I40/AJ40,I40/Q40)</f>
        <v>5.9512259584527882</v>
      </c>
      <c r="K40" s="51">
        <f>IF(Settings!$E$18="C/LW/RW",VLOOKUP(B40,'C'!A1:F206,6,FALSE),VLOOKUP(B40,F!A1:F392,6,FALSE))</f>
        <v>37.331109909036854</v>
      </c>
      <c r="L40" s="53">
        <f>IFERROR(K40/H40,"N/A")</f>
        <v>3.7331109909036853</v>
      </c>
      <c r="M40" s="54">
        <f>IF(Settings!$E$9="YAHOO",VLOOKUP(B40,ADP!A1:E665,2,FALSE),IF(Settings!$E$9="ESPN",VLOOKUP(B40,ADP!A1:E665,3,FALSE),IF(Settings!$E$9="FANTRAX",VLOOKUP(B40,ADP!A1:E665,4,FALSE),VLOOKUP(B40,ADP!A1:E665,5,FALSE))))</f>
        <v>35.299999999999997</v>
      </c>
      <c r="N40" s="54">
        <f>IFERROR(M40-A40,"N/A")</f>
        <v>-3.7000000000000028</v>
      </c>
      <c r="O40" s="54"/>
      <c r="P40" s="55" t="str">
        <f>IF(Settings!$E$27="ON",VLOOKUP(B40,ADP!A1:H665,8,FALSE)," ")</f>
        <v xml:space="preserve"> </v>
      </c>
      <c r="Q40" s="56">
        <f>IF(Settings!$E$12="YES",VLOOKUP(B40,'Player Data'!A1:E667,5,FALSE),82)</f>
        <v>71.795000000000002</v>
      </c>
      <c r="R40" s="54">
        <f>VLOOKUP(B40,'Player Data'!$A1:$AE667,6,FALSE)</f>
        <v>20.838575743616101</v>
      </c>
      <c r="S40" s="56">
        <f>VLOOKUP(B40,'Player Data'!$A1:$AE667,7,FALSE)*$Q40*IFERROR((VLOOKUP(P40,Settings!$E$28:$F$33,2,FALSE)+1),1)</f>
        <v>32.201673348815689</v>
      </c>
      <c r="T40" s="56">
        <f>VLOOKUP(B40,'Player Data'!$A1:$AE667,8,FALSE)*$Q40*IFERROR((VLOOKUP(P40,Settings!$E$28:$F$33,2,FALSE)+1),1)</f>
        <v>41.553361634256241</v>
      </c>
      <c r="U40" s="56">
        <f>SUM(S40:T40)</f>
        <v>73.755034983071937</v>
      </c>
      <c r="V40" s="56">
        <f>VLOOKUP(B40,'Player Data'!$A1:$AE667,10,FALSE)*$Q40*IFERROR(((VLOOKUP(P40,Settings!$E$28:$F$33,2,FALSE)/2)+1),1)</f>
        <v>295.37722171845047</v>
      </c>
      <c r="W40" s="56">
        <f>VLOOKUP(B40,'Player Data'!$A1:$AE667,11,FALSE)*$Q40*IFERROR((VLOOKUP(P40,Settings!$E$28:$F$33,2,FALSE)+1),1)</f>
        <v>8.94398149024628</v>
      </c>
      <c r="X40" s="57">
        <f>VLOOKUP(B40,'Player Data'!$A1:$AE667,12,FALSE)*$Q40*IFERROR((VLOOKUP(P40,Settings!$E$28:$F$33,2,FALSE)+1),1)</f>
        <v>22.514390588505144</v>
      </c>
      <c r="Y40" s="56">
        <f>VLOOKUP(B40,'Player Data'!$A1:$AE667,13,FALSE)*$Q40</f>
        <v>0.22367669374038934</v>
      </c>
      <c r="Z40" s="56">
        <f>VLOOKUP(B40,'Player Data'!$A1:$AE667,14,FALSE)*$Q40</f>
        <v>2.0375055271030544</v>
      </c>
      <c r="AA40" s="56">
        <f>VLOOKUP(B40,'Player Data'!$A1:$AE667,15,FALSE)*$Q40</f>
        <v>67.525311526137486</v>
      </c>
      <c r="AB40" s="56">
        <f>VLOOKUP(B40,'Player Data'!$A1:$AE667,16,FALSE)*$Q40</f>
        <v>45.739497701420738</v>
      </c>
      <c r="AC40" s="56">
        <f>VLOOKUP(B40,'Player Data'!$A1:$AE667,17,FALSE)*$Q40*IFERROR((VLOOKUP(P40,Settings!$E$28:$F$33,2,FALSE)+1),1)</f>
        <v>3.5886939251042036</v>
      </c>
      <c r="AD40" s="56">
        <f>VLOOKUP(B40,'Player Data'!$A1:$AE667,18,FALSE)*$Q40</f>
        <v>20.711371876987464</v>
      </c>
      <c r="AE40" s="56">
        <f>VLOOKUP(B40,'Player Data'!$A1:$AE667,19,FALSE)*$Q40*IFERROR((VLOOKUP(P40,Settings!$E$28:$F$33,2,FALSE)+1),1)</f>
        <v>4.8979160230238676</v>
      </c>
      <c r="AF40" s="56">
        <f>VLOOKUP(B40,'Player Data'!$A1:$AE667,20,FALSE)*$Q40</f>
        <v>467.27703293431551</v>
      </c>
      <c r="AG40" s="56">
        <f>VLOOKUP(B40,'Player Data'!$A1:$AE667,21,FALSE)*$Q40</f>
        <v>552.63455154263511</v>
      </c>
      <c r="AH40" s="58">
        <f>VLOOKUP(B40,'Player Data'!$A1:$AE667,22,FALSE)</f>
        <v>0.45815445186256298</v>
      </c>
      <c r="AI40" s="54"/>
      <c r="AJ40" s="56"/>
      <c r="AK40" s="56"/>
      <c r="AL40" s="56"/>
      <c r="AM40" s="56"/>
      <c r="AN40" s="56"/>
      <c r="AO40" s="56"/>
      <c r="AP40" s="56"/>
      <c r="AQ40" s="59"/>
      <c r="AR40" s="60"/>
      <c r="AS40" s="64"/>
    </row>
    <row r="41" spans="1:45" ht="21.25" customHeight="1" x14ac:dyDescent="0.15">
      <c r="A41" s="45">
        <f>RANK(K41,K$1:K$665)</f>
        <v>40</v>
      </c>
      <c r="B41" s="9" t="s">
        <v>166</v>
      </c>
      <c r="C41" s="46" t="s">
        <v>127</v>
      </c>
      <c r="D41" s="47" t="str">
        <f>VLOOKUP(B41,'Player Data'!A1:D667,4,FALSE)</f>
        <v>C</v>
      </c>
      <c r="E41" s="48">
        <f>VLOOKUP(B41,'C'!A1:C206,3,FALSE)</f>
        <v>10</v>
      </c>
      <c r="F41" s="62" t="str">
        <f>VLOOKUP(B41,'Player Data'!A1:B667,2,FALSE)</f>
        <v>T.B</v>
      </c>
      <c r="G41" s="10">
        <f>VLOOKUP(B41,'Player Data'!A1:D667,3,FALSE)</f>
        <v>28</v>
      </c>
      <c r="H41" s="50">
        <f>IFERROR(VLOOKUP(B41,ADP!A1:G665,7,FALSE)/1000000,VLOOKUP(B41,ADP!A1:G665,7,FALSE))</f>
        <v>9.5</v>
      </c>
      <c r="I41" s="51">
        <f>IF(Settings!$E$15="POINTS",((R41*Q41)*Settings!$B$12)+(S41*Settings!$B$2)+(T41*Settings!$B$3)+(U41*Settings!$B$4)+(V41*Settings!$B$5)+(X41*Settings!$B$9)+(AA41*Settings!$B$6)+(W41*Settings!$B$8)+(AB41*Settings!$B$7)+(AC41*Settings!$B$14)+(AD41*Settings!$B$15)+(AE41*Settings!$B$16)+(AF41*Settings!$B$17)+(AG41*Settings!$B$18)+(Y41*Settings!$B$10)+(Z41*Settings!$B$11),VLOOKUP(B41,'Standard Deviations'!A1:C666,3,FALSE))</f>
        <v>426.53591234969548</v>
      </c>
      <c r="J41" s="52">
        <f>IF(D41="G",I41/AJ41,I41/Q41)</f>
        <v>5.3149236765171866</v>
      </c>
      <c r="K41" s="51">
        <f>IF(Settings!$E$18="C/LW/RW",VLOOKUP(B41,'C'!A1:F206,6,FALSE),VLOOKUP(B41,F!A1:F392,6,FALSE))</f>
        <v>36.598754571614393</v>
      </c>
      <c r="L41" s="53">
        <f>IFERROR(K41/H41,"N/A")</f>
        <v>3.8525004812225676</v>
      </c>
      <c r="M41" s="54">
        <f>IF(Settings!$E$9="YAHOO",VLOOKUP(B41,ADP!A1:E665,2,FALSE),IF(Settings!$E$9="ESPN",VLOOKUP(B41,ADP!A1:E665,3,FALSE),IF(Settings!$E$9="FANTRAX",VLOOKUP(B41,ADP!A1:E665,4,FALSE),VLOOKUP(B41,ADP!A1:E665,5,FALSE))))</f>
        <v>36.799999999999997</v>
      </c>
      <c r="N41" s="54">
        <f>IFERROR(M41-A41,"N/A")</f>
        <v>-3.2000000000000028</v>
      </c>
      <c r="O41" s="54"/>
      <c r="P41" s="55" t="str">
        <f>IF(Settings!$E$27="ON",VLOOKUP(B41,ADP!A1:H665,8,FALSE)," ")</f>
        <v xml:space="preserve"> </v>
      </c>
      <c r="Q41" s="56">
        <f>IF(Settings!$E$12="YES",VLOOKUP(B41,'Player Data'!A1:E667,5,FALSE),82)</f>
        <v>80.252499999999998</v>
      </c>
      <c r="R41" s="54">
        <f>VLOOKUP(B41,'Player Data'!$A1:$AE667,6,FALSE)</f>
        <v>20.061426532503599</v>
      </c>
      <c r="S41" s="56">
        <f>VLOOKUP(B41,'Player Data'!$A1:$AE667,7,FALSE)*$Q41*IFERROR((VLOOKUP(P41,Settings!$E$28:$F$33,2,FALSE)+1),1)</f>
        <v>43.933730117119886</v>
      </c>
      <c r="T41" s="56">
        <f>VLOOKUP(B41,'Player Data'!$A1:$AE667,8,FALSE)*$Q41*IFERROR((VLOOKUP(P41,Settings!$E$28:$F$33,2,FALSE)+1),1)</f>
        <v>43.500439437757755</v>
      </c>
      <c r="U41" s="56">
        <f>SUM(S41:T41)</f>
        <v>87.434169554877641</v>
      </c>
      <c r="V41" s="56">
        <f>VLOOKUP(B41,'Player Data'!$A1:$AE667,10,FALSE)*$Q41*IFERROR(((VLOOKUP(P41,Settings!$E$28:$F$33,2,FALSE)/2)+1),1)</f>
        <v>229.73745241682764</v>
      </c>
      <c r="W41" s="56">
        <f>VLOOKUP(B41,'Player Data'!$A1:$AE667,11,FALSE)*$Q41*IFERROR((VLOOKUP(P41,Settings!$E$28:$F$33,2,FALSE)+1),1)</f>
        <v>14.788308981949376</v>
      </c>
      <c r="X41" s="57">
        <f>VLOOKUP(B41,'Player Data'!$A1:$AE667,12,FALSE)*$Q41*IFERROR((VLOOKUP(P41,Settings!$E$28:$F$33,2,FALSE)+1),1)</f>
        <v>28.695213927434644</v>
      </c>
      <c r="Y41" s="56">
        <f>VLOOKUP(B41,'Player Data'!$A1:$AE667,13,FALSE)*$Q41</f>
        <v>1.6292240701631676E-2</v>
      </c>
      <c r="Z41" s="56">
        <f>VLOOKUP(B41,'Player Data'!$A1:$AE667,14,FALSE)*$Q41</f>
        <v>2.747580943281994E-2</v>
      </c>
      <c r="AA41" s="56">
        <f>VLOOKUP(B41,'Player Data'!$A1:$AE667,15,FALSE)*$Q41</f>
        <v>41.283975479562628</v>
      </c>
      <c r="AB41" s="56">
        <f>VLOOKUP(B41,'Player Data'!$A1:$AE667,16,FALSE)*$Q41</f>
        <v>30.329984570923184</v>
      </c>
      <c r="AC41" s="56">
        <f>VLOOKUP(B41,'Player Data'!$A1:$AE667,17,FALSE)*$Q41*IFERROR((VLOOKUP(P41,Settings!$E$28:$F$33,2,FALSE)+1),1)</f>
        <v>2.8065850984335565</v>
      </c>
      <c r="AD41" s="56">
        <f>VLOOKUP(B41,'Player Data'!$A1:$AE667,18,FALSE)*$Q41</f>
        <v>21.579763078338694</v>
      </c>
      <c r="AE41" s="56">
        <f>VLOOKUP(B41,'Player Data'!$A1:$AE667,19,FALSE)*$Q41*IFERROR((VLOOKUP(P41,Settings!$E$28:$F$33,2,FALSE)+1),1)</f>
        <v>6.9222697768901815</v>
      </c>
      <c r="AF41" s="56">
        <f>VLOOKUP(B41,'Player Data'!$A1:$AE667,20,FALSE)*$Q41</f>
        <v>338.42623163452248</v>
      </c>
      <c r="AG41" s="56">
        <f>VLOOKUP(B41,'Player Data'!$A1:$AE667,21,FALSE)*$Q41</f>
        <v>358.87575406416767</v>
      </c>
      <c r="AH41" s="58">
        <f>VLOOKUP(B41,'Player Data'!$A1:$AE667,22,FALSE)</f>
        <v>0.48533668134534702</v>
      </c>
      <c r="AI41" s="54"/>
      <c r="AJ41" s="56"/>
      <c r="AK41" s="56"/>
      <c r="AL41" s="56"/>
      <c r="AM41" s="56"/>
      <c r="AN41" s="56"/>
      <c r="AO41" s="56"/>
      <c r="AP41" s="56"/>
      <c r="AQ41" s="59"/>
      <c r="AR41" s="60"/>
      <c r="AS41" s="54"/>
    </row>
    <row r="42" spans="1:45" ht="21.25" customHeight="1" x14ac:dyDescent="0.15">
      <c r="A42" s="45">
        <f>RANK(K42,K$1:K$665)</f>
        <v>41</v>
      </c>
      <c r="B42" s="9" t="s">
        <v>167</v>
      </c>
      <c r="C42" s="46" t="s">
        <v>127</v>
      </c>
      <c r="D42" s="47" t="str">
        <f>VLOOKUP(B42,'Player Data'!A1:D667,4,FALSE)</f>
        <v>D</v>
      </c>
      <c r="E42" s="66">
        <f>VLOOKUP(B42,D!A1:C213,3,FALSE)</f>
        <v>11</v>
      </c>
      <c r="F42" s="74" t="str">
        <f>VLOOKUP(B42,'Player Data'!A1:B667,2,FALSE)</f>
        <v>PIT</v>
      </c>
      <c r="G42" s="63">
        <f>VLOOKUP(B42,'Player Data'!A1:D667,3,FALSE)</f>
        <v>34</v>
      </c>
      <c r="H42" s="50">
        <f>IFERROR(VLOOKUP(B42,ADP!A1:G665,7,FALSE)/1000000,VLOOKUP(B42,ADP!A1:G665,7,FALSE))</f>
        <v>10</v>
      </c>
      <c r="I42" s="51">
        <f>IF(Settings!$E$15="POINTS",((R42*Q42)*Settings!$B$12)+(S42*Settings!$B$2)+(T42*Settings!$B$3)+(U42*Settings!$B$4)+(V42*Settings!$B$5)+(X42*Settings!$B$9)+(AA42*Settings!$B$6)+(W42*Settings!$B$8)+(AB42*Settings!$B$7)+(AC42*Settings!$B$14)+(AD42*Settings!$B$15)+(AE42*Settings!$B$16)+(AF42*Settings!$B$17)+(AG42*Settings!$B$18)+(U42*Settings!$B$13)+(Y42*Settings!$B$10)+(Z42*Settings!$B$11),VLOOKUP(B42,'Standard Deviations'!A1:C666,3,FALSE))</f>
        <v>372.18801865202892</v>
      </c>
      <c r="J42" s="52">
        <f>IF(D42="G",I42/AJ42,I42/Q42)</f>
        <v>4.7214007186607754</v>
      </c>
      <c r="K42" s="51">
        <f>VLOOKUP(B42,D!A1:F213,6,FALSE)</f>
        <v>35.953893606434008</v>
      </c>
      <c r="L42" s="53">
        <f>IFERROR(K42/H42,"N/A")</f>
        <v>3.5953893606434009</v>
      </c>
      <c r="M42" s="54">
        <f>IF(Settings!$E$9="YAHOO",VLOOKUP(B42,ADP!A1:E665,2,FALSE),IF(Settings!$E$9="ESPN",VLOOKUP(B42,ADP!A1:E665,3,FALSE),IF(Settings!$E$9="FANTRAX",VLOOKUP(B42,ADP!A1:E665,4,FALSE),VLOOKUP(B42,ADP!A1:E665,5,FALSE))))</f>
        <v>99.8</v>
      </c>
      <c r="N42" s="54">
        <f>IFERROR(M42-A42,"N/A")</f>
        <v>58.8</v>
      </c>
      <c r="O42" s="54"/>
      <c r="P42" s="55" t="str">
        <f>IF(Settings!$E$27="ON",VLOOKUP(B42,ADP!A1:H665,8,FALSE)," ")</f>
        <v xml:space="preserve"> </v>
      </c>
      <c r="Q42" s="56">
        <f>IF(Settings!$E$12="YES",VLOOKUP(B42,'Player Data'!A1:E667,5,FALSE),82)</f>
        <v>78.83</v>
      </c>
      <c r="R42" s="54">
        <f>VLOOKUP(B42,'Player Data'!$A1:$AE667,6,FALSE)</f>
        <v>24.386846180967499</v>
      </c>
      <c r="S42" s="56">
        <f>VLOOKUP(B42,'Player Data'!$A1:$AE667,7,FALSE)*$Q42*IFERROR((VLOOKUP(P42,Settings!$E$28:$F$33,2,FALSE)+1),1)</f>
        <v>15.239014047368027</v>
      </c>
      <c r="T42" s="56">
        <f>VLOOKUP(B42,'Player Data'!$A1:$AE667,8,FALSE)*$Q42*IFERROR((VLOOKUP(P42,Settings!$E$28:$F$33,2,FALSE)+1),1)</f>
        <v>52.670556676287369</v>
      </c>
      <c r="U42" s="56">
        <f>SUM(S42:T42)</f>
        <v>67.909570723655392</v>
      </c>
      <c r="V42" s="56">
        <f>VLOOKUP(B42,'Player Data'!$A1:$AE667,10,FALSE)*$Q42*IFERROR(((VLOOKUP(P42,Settings!$E$28:$F$33,2,FALSE)/2)+1),1)</f>
        <v>199.86529558565871</v>
      </c>
      <c r="W42" s="56">
        <f>VLOOKUP(B42,'Player Data'!$A1:$AE667,11,FALSE)*$Q42*IFERROR((VLOOKUP(P42,Settings!$E$28:$F$33,2,FALSE)+1),1)</f>
        <v>2.7491748324629293</v>
      </c>
      <c r="X42" s="57">
        <f>VLOOKUP(B42,'Player Data'!$A1:$AE667,12,FALSE)*$Q42*IFERROR((VLOOKUP(P42,Settings!$E$28:$F$33,2,FALSE)+1),1)</f>
        <v>20.591610046537568</v>
      </c>
      <c r="Y42" s="56">
        <f>VLOOKUP(B42,'Player Data'!$A1:$AE667,13,FALSE)*$Q42</f>
        <v>5.1313664411075585E-3</v>
      </c>
      <c r="Z42" s="56">
        <f>VLOOKUP(B42,'Player Data'!$A1:$AE667,14,FALSE)*$Q42</f>
        <v>2.5548214329226167E-2</v>
      </c>
      <c r="AA42" s="56">
        <f>VLOOKUP(B42,'Player Data'!$A1:$AE667,15,FALSE)*$Q42</f>
        <v>95.81900085473319</v>
      </c>
      <c r="AB42" s="56">
        <f>VLOOKUP(B42,'Player Data'!$A1:$AE667,16,FALSE)*$Q42</f>
        <v>45.014141444527802</v>
      </c>
      <c r="AC42" s="56">
        <f>VLOOKUP(B42,'Player Data'!$A1:$AE667,17,FALSE)*$Q42*IFERROR((VLOOKUP(P42,Settings!$E$28:$F$33,2,FALSE)+1),1)</f>
        <v>2.2187420810189558</v>
      </c>
      <c r="AD42" s="56">
        <f>VLOOKUP(B42,'Player Data'!$A1:$AE667,18,FALSE)*$Q42</f>
        <v>34.790153426533884</v>
      </c>
      <c r="AE42" s="56">
        <f>VLOOKUP(B42,'Player Data'!$A1:$AE667,19,FALSE)*$Q42*IFERROR((VLOOKUP(P42,Settings!$E$28:$F$33,2,FALSE)+1),1)</f>
        <v>2.2590756691978373</v>
      </c>
      <c r="AF42" s="56">
        <f>VLOOKUP(B42,'Player Data'!$A1:$AE667,20,FALSE)*$Q42</f>
        <v>0</v>
      </c>
      <c r="AG42" s="56">
        <f>VLOOKUP(B42,'Player Data'!$A1:$AE667,21,FALSE)*$Q42</f>
        <v>0.14858193890511023</v>
      </c>
      <c r="AH42" s="58">
        <f>VLOOKUP(B42,'Player Data'!$A1:$AE667,22,FALSE)</f>
        <v>0</v>
      </c>
      <c r="AI42" s="54"/>
      <c r="AJ42" s="64"/>
      <c r="AK42" s="56"/>
      <c r="AL42" s="56"/>
      <c r="AM42" s="56"/>
      <c r="AN42" s="56"/>
      <c r="AO42" s="56"/>
      <c r="AP42" s="56"/>
      <c r="AQ42" s="59"/>
      <c r="AR42" s="60"/>
      <c r="AS42" s="54"/>
    </row>
    <row r="43" spans="1:45" ht="21.25" customHeight="1" x14ac:dyDescent="0.15">
      <c r="A43" s="45">
        <f>RANK(K43,K$1:K$665)</f>
        <v>42</v>
      </c>
      <c r="B43" s="9" t="s">
        <v>168</v>
      </c>
      <c r="C43" s="46" t="s">
        <v>127</v>
      </c>
      <c r="D43" s="47" t="str">
        <f>VLOOKUP(B43,'Player Data'!A1:D667,4,FALSE)</f>
        <v>LW/RW</v>
      </c>
      <c r="E43" s="68">
        <f>VLOOKUP(B43,RW!A1:C136,3,FALSE)</f>
        <v>13</v>
      </c>
      <c r="F43" s="65" t="str">
        <f>VLOOKUP(B43,'Player Data'!A1:B667,2,FALSE)</f>
        <v>EDM</v>
      </c>
      <c r="G43" s="63">
        <f>VLOOKUP(B43,'Player Data'!A1:D667,3,FALSE)</f>
        <v>32</v>
      </c>
      <c r="H43" s="50">
        <f>IFERROR(VLOOKUP(B43,ADP!A1:G665,7,FALSE)/1000000,VLOOKUP(B43,ADP!A1:G665,7,FALSE))</f>
        <v>5.5</v>
      </c>
      <c r="I43" s="51">
        <f>IF(Settings!$E$15="POINTS",((R43*Q43)*Settings!$B$12)+(S43*Settings!$B$2)+(T43*Settings!$B$3)+(U43*Settings!$B$4)+(V43*Settings!$B$5)+(X43*Settings!$B$9)+(AA43*Settings!$B$6)+(W43*Settings!$B$8)+(AB43*Settings!$B$7)+(AC43*Settings!$B$14)+(AD43*Settings!$B$15)+(AE43*Settings!$B$16)+(AF43*Settings!$B$17)+(AG43*Settings!$B$18)+(Y43*Settings!$B$10)+(Z43*Settings!$B$11),VLOOKUP(B43,'Standard Deviations'!A1:C666,3,FALSE))</f>
        <v>403.08338216102635</v>
      </c>
      <c r="J43" s="52">
        <f>IF(D43="G",I43/AJ43,I43/Q43)</f>
        <v>4.9971595494935857</v>
      </c>
      <c r="K43" s="51">
        <f>IF(Settings!$E$18="C/LW/RW",VLOOKUP(B43,RW!A1:F136,6,FALSE),VLOOKUP(B43,F!A1:F392,6,FALSE))</f>
        <v>34.235659054733958</v>
      </c>
      <c r="L43" s="53">
        <f>IFERROR(K43/H43,"N/A")</f>
        <v>6.2246652826789015</v>
      </c>
      <c r="M43" s="54">
        <f>IF(Settings!$E$9="YAHOO",VLOOKUP(B43,ADP!A1:E665,2,FALSE),IF(Settings!$E$9="ESPN",VLOOKUP(B43,ADP!A1:E665,3,FALSE),IF(Settings!$E$9="FANTRAX",VLOOKUP(B43,ADP!A1:E665,4,FALSE),VLOOKUP(B43,ADP!A1:E665,5,FALSE))))</f>
        <v>19.399999999999999</v>
      </c>
      <c r="N43" s="54">
        <f>IFERROR(M43-A43,"N/A")</f>
        <v>-22.6</v>
      </c>
      <c r="O43" s="54"/>
      <c r="P43" s="55" t="str">
        <f>IF(Settings!$E$27="ON",VLOOKUP(B43,ADP!A1:H665,8,FALSE)," ")</f>
        <v xml:space="preserve"> </v>
      </c>
      <c r="Q43" s="56">
        <f>IF(Settings!$E$12="YES",VLOOKUP(B43,'Player Data'!A1:E667,5,FALSE),82)</f>
        <v>80.662499999999994</v>
      </c>
      <c r="R43" s="54">
        <f>VLOOKUP(B43,'Player Data'!$A1:$AE667,6,FALSE)</f>
        <v>19.661243025203099</v>
      </c>
      <c r="S43" s="56">
        <f>VLOOKUP(B43,'Player Data'!$A1:$AE667,7,FALSE)*$Q43*IFERROR((VLOOKUP(P43,Settings!$E$28:$F$33,2,FALSE)+1),1)</f>
        <v>42.289268819369255</v>
      </c>
      <c r="T43" s="56">
        <f>VLOOKUP(B43,'Player Data'!$A1:$AE667,8,FALSE)*$Q43*IFERROR((VLOOKUP(P43,Settings!$E$28:$F$33,2,FALSE)+1),1)</f>
        <v>32.842855384490825</v>
      </c>
      <c r="U43" s="56">
        <f>SUM(S43:T43)</f>
        <v>75.132124203860087</v>
      </c>
      <c r="V43" s="56">
        <f>VLOOKUP(B43,'Player Data'!$A1:$AE667,10,FALSE)*$Q43*IFERROR(((VLOOKUP(P43,Settings!$E$28:$F$33,2,FALSE)/2)+1),1)</f>
        <v>280.84940592844089</v>
      </c>
      <c r="W43" s="56">
        <f>VLOOKUP(B43,'Player Data'!$A1:$AE667,11,FALSE)*$Q43*IFERROR((VLOOKUP(P43,Settings!$E$28:$F$33,2,FALSE)+1),1)</f>
        <v>13.208034442653807</v>
      </c>
      <c r="X43" s="57">
        <f>VLOOKUP(B43,'Player Data'!$A1:$AE667,12,FALSE)*$Q43*IFERROR((VLOOKUP(P43,Settings!$E$28:$F$33,2,FALSE)+1),1)</f>
        <v>21.114705709048522</v>
      </c>
      <c r="Y43" s="56">
        <f>VLOOKUP(B43,'Player Data'!$A1:$AE667,13,FALSE)*$Q43</f>
        <v>1.9230120097929182E-2</v>
      </c>
      <c r="Z43" s="56">
        <f>VLOOKUP(B43,'Player Data'!$A1:$AE667,14,FALSE)*$Q43</f>
        <v>5.9104774670945735E-2</v>
      </c>
      <c r="AA43" s="56">
        <f>VLOOKUP(B43,'Player Data'!$A1:$AE667,15,FALSE)*$Q43</f>
        <v>32.176992203012382</v>
      </c>
      <c r="AB43" s="56">
        <f>VLOOKUP(B43,'Player Data'!$A1:$AE667,16,FALSE)*$Q43</f>
        <v>83.61461325195819</v>
      </c>
      <c r="AC43" s="56">
        <f>VLOOKUP(B43,'Player Data'!$A1:$AE667,17,FALSE)*$Q43*IFERROR((VLOOKUP(P43,Settings!$E$28:$F$33,2,FALSE)+1),1)</f>
        <v>12.052531930732865</v>
      </c>
      <c r="AD43" s="56">
        <f>VLOOKUP(B43,'Player Data'!$A1:$AE667,18,FALSE)*$Q43</f>
        <v>43.131447694328124</v>
      </c>
      <c r="AE43" s="56">
        <f>VLOOKUP(B43,'Player Data'!$A1:$AE667,19,FALSE)*$Q43*IFERROR((VLOOKUP(P43,Settings!$E$28:$F$33,2,FALSE)+1),1)</f>
        <v>6.8286663436020909</v>
      </c>
      <c r="AF43" s="56">
        <f>VLOOKUP(B43,'Player Data'!$A1:$AE667,20,FALSE)*$Q43</f>
        <v>12.22805995312193</v>
      </c>
      <c r="AG43" s="56">
        <f>VLOOKUP(B43,'Player Data'!$A1:$AE667,21,FALSE)*$Q43</f>
        <v>13.794138328468154</v>
      </c>
      <c r="AH43" s="58">
        <f>VLOOKUP(B43,'Player Data'!$A1:$AE667,22,FALSE)</f>
        <v>0.46990879943347902</v>
      </c>
      <c r="AI43" s="54"/>
      <c r="AJ43" s="56"/>
      <c r="AK43" s="56"/>
      <c r="AL43" s="56"/>
      <c r="AM43" s="56"/>
      <c r="AN43" s="56"/>
      <c r="AO43" s="56"/>
      <c r="AP43" s="56"/>
      <c r="AQ43" s="59"/>
      <c r="AR43" s="60"/>
      <c r="AS43" s="54"/>
    </row>
    <row r="44" spans="1:45" ht="21.25" customHeight="1" x14ac:dyDescent="0.15">
      <c r="A44" s="45">
        <f>RANK(K44,K$1:K$665)</f>
        <v>43</v>
      </c>
      <c r="B44" s="9" t="s">
        <v>169</v>
      </c>
      <c r="C44" s="46" t="s">
        <v>127</v>
      </c>
      <c r="D44" s="47" t="str">
        <f>VLOOKUP(B44,'Player Data'!A1:D667,4,FALSE)</f>
        <v>D</v>
      </c>
      <c r="E44" s="66">
        <f>VLOOKUP(B44,D!A1:C213,3,FALSE)</f>
        <v>12</v>
      </c>
      <c r="F44" s="65" t="str">
        <f>VLOOKUP(B44,'Player Data'!A1:B667,2,FALSE)</f>
        <v>DET</v>
      </c>
      <c r="G44" s="69">
        <f>VLOOKUP(B44,'Player Data'!A1:D667,3,FALSE)</f>
        <v>23</v>
      </c>
      <c r="H44" s="65" t="str">
        <f>IFERROR(VLOOKUP(B44,ADP!A1:G665,7,FALSE)/1000000,VLOOKUP(B44,ADP!A1:G665,7,FALSE))</f>
        <v>RFA</v>
      </c>
      <c r="I44" s="51">
        <f>IF(Settings!$E$15="POINTS",((R44*Q44)*Settings!$B$12)+(S44*Settings!$B$2)+(T44*Settings!$B$3)+(U44*Settings!$B$4)+(V44*Settings!$B$5)+(X44*Settings!$B$9)+(AA44*Settings!$B$6)+(W44*Settings!$B$8)+(AB44*Settings!$B$7)+(AC44*Settings!$B$14)+(AD44*Settings!$B$15)+(AE44*Settings!$B$16)+(AF44*Settings!$B$17)+(AG44*Settings!$B$18)+(U44*Settings!$B$13)+(Y44*Settings!$B$10)+(Z44*Settings!$B$11),VLOOKUP(B44,'Standard Deviations'!A1:C666,3,FALSE))</f>
        <v>367.08097395024606</v>
      </c>
      <c r="J44" s="52">
        <f>IF(D44="G",I44/AJ44,I44/Q44)</f>
        <v>4.4749600627849082</v>
      </c>
      <c r="K44" s="51">
        <f>VLOOKUP(B44,D!A1:F213,6,FALSE)</f>
        <v>30.846848904651154</v>
      </c>
      <c r="L44" s="76" t="str">
        <f>IFERROR(K44/H44,"N/A")</f>
        <v>N/A</v>
      </c>
      <c r="M44" s="54">
        <f>IF(Settings!$E$9="YAHOO",VLOOKUP(B44,ADP!A1:E665,2,FALSE),IF(Settings!$E$9="ESPN",VLOOKUP(B44,ADP!A1:E665,3,FALSE),IF(Settings!$E$9="FANTRAX",VLOOKUP(B44,ADP!A1:E665,4,FALSE),VLOOKUP(B44,ADP!A1:E665,5,FALSE))))</f>
        <v>88.9</v>
      </c>
      <c r="N44" s="54">
        <f>IFERROR(M44-A44,"N/A")</f>
        <v>45.900000000000006</v>
      </c>
      <c r="O44" s="54"/>
      <c r="P44" s="55" t="str">
        <f>IF(Settings!$E$27="ON",VLOOKUP(B44,ADP!A1:H665,8,FALSE)," ")</f>
        <v xml:space="preserve"> </v>
      </c>
      <c r="Q44" s="56">
        <f>IF(Settings!$E$12="YES",VLOOKUP(B44,'Player Data'!A1:E667,5,FALSE),82)</f>
        <v>82.03</v>
      </c>
      <c r="R44" s="75">
        <f>VLOOKUP(B44,'Player Data'!$A1:$AE667,6,FALSE)</f>
        <v>24.832920092955</v>
      </c>
      <c r="S44" s="56">
        <f>VLOOKUP(B44,'Player Data'!$A1:$AE667,7,FALSE)*$Q44*IFERROR((VLOOKUP(P44,Settings!$E$28:$F$33,2,FALSE)+1),1)</f>
        <v>9.3440759345884103</v>
      </c>
      <c r="T44" s="56">
        <f>VLOOKUP(B44,'Player Data'!$A1:$AE667,8,FALSE)*$Q44*IFERROR((VLOOKUP(P44,Settings!$E$28:$F$33,2,FALSE)+1),1)</f>
        <v>44.405894226007149</v>
      </c>
      <c r="U44" s="56">
        <f>SUM(S44:T44)</f>
        <v>53.749970160595559</v>
      </c>
      <c r="V44" s="56">
        <f>VLOOKUP(B44,'Player Data'!$A1:$AE667,10,FALSE)*$Q44*IFERROR(((VLOOKUP(P44,Settings!$E$28:$F$33,2,FALSE)/2)+1),1)</f>
        <v>166.54942109842287</v>
      </c>
      <c r="W44" s="56">
        <f>VLOOKUP(B44,'Player Data'!$A1:$AE667,11,FALSE)*$Q44*IFERROR((VLOOKUP(P44,Settings!$E$28:$F$33,2,FALSE)+1),1)</f>
        <v>2.9597566353176044</v>
      </c>
      <c r="X44" s="57">
        <f>VLOOKUP(B44,'Player Data'!$A1:$AE667,12,FALSE)*$Q44*IFERROR((VLOOKUP(P44,Settings!$E$28:$F$33,2,FALSE)+1),1)</f>
        <v>21.390292727369989</v>
      </c>
      <c r="Y44" s="56">
        <f>VLOOKUP(B44,'Player Data'!$A1:$AE667,13,FALSE)*$Q44</f>
        <v>0.24388514654584537</v>
      </c>
      <c r="Z44" s="56">
        <f>VLOOKUP(B44,'Player Data'!$A1:$AE667,14,FALSE)*$Q44</f>
        <v>1.1895619024643922</v>
      </c>
      <c r="AA44" s="56">
        <f>VLOOKUP(B44,'Player Data'!$A1:$AE667,15,FALSE)*$Q44</f>
        <v>199.95299657882722</v>
      </c>
      <c r="AB44" s="56">
        <f>VLOOKUP(B44,'Player Data'!$A1:$AE667,16,FALSE)*$Q44</f>
        <v>193.27783975430236</v>
      </c>
      <c r="AC44" s="56">
        <f>VLOOKUP(B44,'Player Data'!$A1:$AE667,17,FALSE)*$Q44*IFERROR((VLOOKUP(P44,Settings!$E$28:$F$33,2,FALSE)+1),1)</f>
        <v>-5.2269807296543265</v>
      </c>
      <c r="AD44" s="56">
        <f>VLOOKUP(B44,'Player Data'!$A1:$AE667,18,FALSE)*$Q44</f>
        <v>48.24428059141011</v>
      </c>
      <c r="AE44" s="56">
        <f>VLOOKUP(B44,'Player Data'!$A1:$AE667,19,FALSE)*$Q44*IFERROR((VLOOKUP(P44,Settings!$E$28:$F$33,2,FALSE)+1),1)</f>
        <v>1.28334029199434</v>
      </c>
      <c r="AF44" s="56">
        <f>VLOOKUP(B44,'Player Data'!$A1:$AE667,20,FALSE)*$Q44</f>
        <v>0</v>
      </c>
      <c r="AG44" s="56">
        <f>VLOOKUP(B44,'Player Data'!$A1:$AE667,21,FALSE)*$Q44</f>
        <v>0</v>
      </c>
      <c r="AH44" s="58">
        <f>VLOOKUP(B44,'Player Data'!$A1:$AE667,22,FALSE)</f>
        <v>0</v>
      </c>
      <c r="AI44" s="54"/>
      <c r="AJ44" s="64"/>
      <c r="AK44" s="56"/>
      <c r="AL44" s="56"/>
      <c r="AM44" s="56"/>
      <c r="AN44" s="56"/>
      <c r="AO44" s="56"/>
      <c r="AP44" s="56"/>
      <c r="AQ44" s="59"/>
      <c r="AR44" s="60"/>
      <c r="AS44" s="54"/>
    </row>
    <row r="45" spans="1:45" ht="21.25" customHeight="1" x14ac:dyDescent="0.15">
      <c r="A45" s="45">
        <f>RANK(K45,K$1:K$665)</f>
        <v>44</v>
      </c>
      <c r="B45" s="9" t="s">
        <v>170</v>
      </c>
      <c r="C45" s="46" t="s">
        <v>127</v>
      </c>
      <c r="D45" s="47" t="str">
        <f>VLOOKUP(B45,'Player Data'!A1:D667,4,FALSE)</f>
        <v>G</v>
      </c>
      <c r="E45" s="73">
        <f>VLOOKUP(B45,G!A1:D65,3,FALSE)</f>
        <v>4</v>
      </c>
      <c r="F45" s="71" t="str">
        <f>VLOOKUP(B45,'Player Data'!A1:B667,2,FALSE)</f>
        <v>DAL</v>
      </c>
      <c r="G45" s="69">
        <f>VLOOKUP(B45,'Player Data'!A1:D667,3,FALSE)</f>
        <v>25</v>
      </c>
      <c r="H45" s="67">
        <f>IFERROR(VLOOKUP(B45,ADP!A1:G665,7,FALSE)/1000000,VLOOKUP(B45,ADP!A1:G665,7,FALSE))</f>
        <v>4</v>
      </c>
      <c r="I45" s="51">
        <f>IF(Settings!$E$15="POINTS",(AJ45*Settings!$B$29)+(AK45*Settings!$B$21)+(AL45*Settings!$B$22)+(AN45*Settings!$B$24)+(AO45*Settings!$B$25)+(AP45*Settings!$B$27)+(AM45*Settings!$B$23),VLOOKUP(B45,'Standard Deviations'!A1:C666,3,FALSE))</f>
        <v>440.21723575426398</v>
      </c>
      <c r="J45" s="52">
        <f>IF(D45="G",I45/AJ45,I45/Q45)</f>
        <v>7.3369539292377333</v>
      </c>
      <c r="K45" s="51">
        <f>VLOOKUP(B45,G!A1:F65,6,FALSE)</f>
        <v>29.557492984843805</v>
      </c>
      <c r="L45" s="53">
        <f>IFERROR(K45/H45,"N/A")</f>
        <v>7.3893732462109512</v>
      </c>
      <c r="M45" s="54">
        <f>IF(Settings!$E$9="YAHOO",VLOOKUP(B45,ADP!A1:E665,2,FALSE),IF(Settings!$E$9="ESPN",VLOOKUP(B45,ADP!A1:E665,3,FALSE),IF(Settings!$E$9="FANTRAX",VLOOKUP(B45,ADP!A1:E665,4,FALSE),VLOOKUP(B45,ADP!A1:E665,5,FALSE))))</f>
        <v>32.6</v>
      </c>
      <c r="N45" s="54">
        <f>IFERROR(M45-A45,"N/A")</f>
        <v>-11.399999999999999</v>
      </c>
      <c r="O45" s="54"/>
      <c r="P45" s="55" t="str">
        <f>IF(Settings!$E$27="ON",VLOOKUP(B45,ADP!A1:H665,8,FALSE)," ")</f>
        <v xml:space="preserve"> </v>
      </c>
      <c r="Q45" s="56"/>
      <c r="R45" s="54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8"/>
      <c r="AI45" s="54"/>
      <c r="AJ45" s="64">
        <f>VLOOKUP(B45,'Player Data'!$A1:$AE667,24,FALSE)</f>
        <v>60</v>
      </c>
      <c r="AK45" s="56">
        <f>VLOOKUP(B45,'Player Data'!$A1:$AE667,25,FALSE)*$AJ45*IFERROR((VLOOKUP(P45,Settings!$E$28:$F$33,2,FALSE)+1),1)</f>
        <v>37.30319772012372</v>
      </c>
      <c r="AL45" s="56">
        <f>AJ45-AK45-AM45</f>
        <v>15.19680227987628</v>
      </c>
      <c r="AM45" s="56">
        <f>VLOOKUP(B45,'Player Data'!$A1:$AE667,27,FALSE)*$AJ45</f>
        <v>7.5</v>
      </c>
      <c r="AN45" s="56">
        <f>VLOOKUP(B45,'Player Data'!$A1:$AE667,28,FALSE)*AJ45</f>
        <v>4.4478196542358868</v>
      </c>
      <c r="AO45" s="56">
        <f>VLOOKUP(B45,'Player Data'!$A1:$AE667,29,FALSE)*$AJ45*IFERROR((VLOOKUP(P45,Settings!$E$28:$F$33,2,FALSE)/4)+1,1)</f>
        <v>1570.7921468138459</v>
      </c>
      <c r="AP45" s="56">
        <f>VLOOKUP(B45,'Player Data'!$A1:$AE667,31,FALSE)*$AJ45*(IFERROR(1-(VLOOKUP(P45,Settings!$E$28:$F$33,2,FALSE)/4),1))</f>
        <v>153.84541682242201</v>
      </c>
      <c r="AQ45" s="59">
        <f>1-(AP45/(AO45+AP45))</f>
        <v>0.91079550853684843</v>
      </c>
      <c r="AR45" s="60">
        <f>AP45/AJ45</f>
        <v>2.5640902803737</v>
      </c>
      <c r="AS45" s="54"/>
    </row>
    <row r="46" spans="1:45" ht="21.25" customHeight="1" x14ac:dyDescent="0.15">
      <c r="A46" s="45">
        <f>RANK(K46,K$1:K$665)</f>
        <v>45</v>
      </c>
      <c r="B46" s="9" t="s">
        <v>171</v>
      </c>
      <c r="C46" s="46" t="s">
        <v>127</v>
      </c>
      <c r="D46" s="47" t="str">
        <f>VLOOKUP(B46,'Player Data'!A1:D667,4,FALSE)</f>
        <v>C/RW</v>
      </c>
      <c r="E46" s="68">
        <f>VLOOKUP(B46,RW!A1:C136,3,FALSE)</f>
        <v>14</v>
      </c>
      <c r="F46" s="77" t="str">
        <f>VLOOKUP(B46,'Player Data'!A1:B667,2,FALSE)</f>
        <v>STL</v>
      </c>
      <c r="G46" s="10">
        <f>VLOOKUP(B46,'Player Data'!A1:D667,3,FALSE)</f>
        <v>26</v>
      </c>
      <c r="H46" s="50">
        <f>IFERROR(VLOOKUP(B46,ADP!A1:G665,7,FALSE)/1000000,VLOOKUP(B46,ADP!A1:G665,7,FALSE))</f>
        <v>8.125</v>
      </c>
      <c r="I46" s="51">
        <f>IF(Settings!$E$15="POINTS",((R46*Q46)*Settings!$B$12)+(S46*Settings!$B$2)+(T46*Settings!$B$3)+(U46*Settings!$B$4)+(V46*Settings!$B$5)+(X46*Settings!$B$9)+(AA46*Settings!$B$6)+(W46*Settings!$B$8)+(AB46*Settings!$B$7)+(AC46*Settings!$B$14)+(AD46*Settings!$B$15)+(AE46*Settings!$B$16)+(AF46*Settings!$B$17)+(AG46*Settings!$B$18)+(Y46*Settings!$B$10)+(Z46*Settings!$B$11),VLOOKUP(B46,'Standard Deviations'!A1:C666,3,FALSE))</f>
        <v>396.87998339052638</v>
      </c>
      <c r="J46" s="52">
        <f>IF(D46="G",I46/AJ46,I46/Q46)</f>
        <v>4.9108173773072217</v>
      </c>
      <c r="K46" s="51">
        <f>IF(Settings!$E$18="C/LW/RW",VLOOKUP(B46,RW!A1:F136,6,FALSE),VLOOKUP(B46,F!A1:F392,6,FALSE))</f>
        <v>28.032260284233985</v>
      </c>
      <c r="L46" s="53">
        <f>IFERROR(K46/H46,"N/A")</f>
        <v>3.4501243426749522</v>
      </c>
      <c r="M46" s="54">
        <f>IF(Settings!$E$9="YAHOO",VLOOKUP(B46,ADP!A1:E665,2,FALSE),IF(Settings!$E$9="ESPN",VLOOKUP(B46,ADP!A1:E665,3,FALSE),IF(Settings!$E$9="FANTRAX",VLOOKUP(B46,ADP!A1:E665,4,FALSE),VLOOKUP(B46,ADP!A1:E665,5,FALSE))))</f>
        <v>130.4</v>
      </c>
      <c r="N46" s="54">
        <f>IFERROR(M46-A46,"N/A")</f>
        <v>85.4</v>
      </c>
      <c r="O46" s="54"/>
      <c r="P46" s="55" t="str">
        <f>IF(Settings!$E$27="ON",VLOOKUP(B46,ADP!A1:H665,8,FALSE)," ")</f>
        <v xml:space="preserve"> </v>
      </c>
      <c r="Q46" s="56">
        <f>IF(Settings!$E$12="YES",VLOOKUP(B46,'Player Data'!A1:E667,5,FALSE),82)</f>
        <v>80.817499999999995</v>
      </c>
      <c r="R46" s="54">
        <f>VLOOKUP(B46,'Player Data'!$A1:$AE667,6,FALSE)</f>
        <v>18.7253208698856</v>
      </c>
      <c r="S46" s="56">
        <f>VLOOKUP(B46,'Player Data'!$A1:$AE667,7,FALSE)*$Q46*IFERROR((VLOOKUP(P46,Settings!$E$28:$F$33,2,FALSE)+1),1)</f>
        <v>33.809248089738965</v>
      </c>
      <c r="T46" s="56">
        <f>VLOOKUP(B46,'Player Data'!$A1:$AE667,8,FALSE)*$Q46*IFERROR((VLOOKUP(P46,Settings!$E$28:$F$33,2,FALSE)+1),1)</f>
        <v>41.984042825801239</v>
      </c>
      <c r="U46" s="56">
        <f>SUM(S46:T46)</f>
        <v>75.793290915540211</v>
      </c>
      <c r="V46" s="56">
        <f>VLOOKUP(B46,'Player Data'!$A1:$AE667,10,FALSE)*$Q46*IFERROR(((VLOOKUP(P46,Settings!$E$28:$F$33,2,FALSE)/2)+1),1)</f>
        <v>255.66444787742179</v>
      </c>
      <c r="W46" s="56">
        <f>VLOOKUP(B46,'Player Data'!$A1:$AE667,11,FALSE)*$Q46*IFERROR((VLOOKUP(P46,Settings!$E$28:$F$33,2,FALSE)+1),1)</f>
        <v>9.5167470470081597</v>
      </c>
      <c r="X46" s="57">
        <f>VLOOKUP(B46,'Player Data'!$A1:$AE667,12,FALSE)*$Q46*IFERROR((VLOOKUP(P46,Settings!$E$28:$F$33,2,FALSE)+1),1)</f>
        <v>25.037636726171392</v>
      </c>
      <c r="Y46" s="56">
        <f>VLOOKUP(B46,'Player Data'!$A1:$AE667,13,FALSE)*$Q46</f>
        <v>1.0965909236544185E-3</v>
      </c>
      <c r="Z46" s="56">
        <f>VLOOKUP(B46,'Player Data'!$A1:$AE667,14,FALSE)*$Q46</f>
        <v>1.850954708705039E-3</v>
      </c>
      <c r="AA46" s="56">
        <f>VLOOKUP(B46,'Player Data'!$A1:$AE667,15,FALSE)*$Q46</f>
        <v>33.256798048629562</v>
      </c>
      <c r="AB46" s="56">
        <f>VLOOKUP(B46,'Player Data'!$A1:$AE667,16,FALSE)*$Q46</f>
        <v>27.709768162206785</v>
      </c>
      <c r="AC46" s="56">
        <f>VLOOKUP(B46,'Player Data'!$A1:$AE667,17,FALSE)*$Q46*IFERROR((VLOOKUP(P46,Settings!$E$28:$F$33,2,FALSE)+1),1)</f>
        <v>-2.8906141495857889</v>
      </c>
      <c r="AD46" s="56">
        <f>VLOOKUP(B46,'Player Data'!$A1:$AE667,18,FALSE)*$Q46</f>
        <v>26.451514058985442</v>
      </c>
      <c r="AE46" s="56">
        <f>VLOOKUP(B46,'Player Data'!$A1:$AE667,19,FALSE)*$Q46*IFERROR((VLOOKUP(P46,Settings!$E$28:$F$33,2,FALSE)+1),1)</f>
        <v>4.0704337704176439</v>
      </c>
      <c r="AF46" s="56">
        <f>VLOOKUP(B46,'Player Data'!$A1:$AE667,20,FALSE)*$Q46</f>
        <v>3.9340524676703335</v>
      </c>
      <c r="AG46" s="56">
        <f>VLOOKUP(B46,'Player Data'!$A1:$AE667,21,FALSE)*$Q46</f>
        <v>7.1255678357789245</v>
      </c>
      <c r="AH46" s="58">
        <f>VLOOKUP(B46,'Player Data'!$A1:$AE667,22,FALSE)</f>
        <v>0.355713158293815</v>
      </c>
      <c r="AI46" s="54"/>
      <c r="AJ46" s="64"/>
      <c r="AK46" s="56"/>
      <c r="AL46" s="56"/>
      <c r="AM46" s="56"/>
      <c r="AN46" s="56"/>
      <c r="AO46" s="56"/>
      <c r="AP46" s="56"/>
      <c r="AQ46" s="59"/>
      <c r="AR46" s="60"/>
      <c r="AS46" s="54"/>
    </row>
    <row r="47" spans="1:45" ht="21.25" customHeight="1" x14ac:dyDescent="0.15">
      <c r="A47" s="45">
        <f>RANK(K47,K$1:K$665)</f>
        <v>46</v>
      </c>
      <c r="B47" s="9" t="s">
        <v>172</v>
      </c>
      <c r="C47" s="46" t="s">
        <v>127</v>
      </c>
      <c r="D47" s="47" t="str">
        <f>VLOOKUP(B47,'Player Data'!A1:D667,4,FALSE)</f>
        <v>D</v>
      </c>
      <c r="E47" s="66">
        <f>VLOOKUP(B47,D!A1:C213,3,FALSE)</f>
        <v>13</v>
      </c>
      <c r="F47" s="55" t="str">
        <f>VLOOKUP(B47,'Player Data'!A1:B667,2,FALSE)</f>
        <v>WPG</v>
      </c>
      <c r="G47" s="10">
        <f>VLOOKUP(B47,'Player Data'!A1:D667,3,FALSE)</f>
        <v>29</v>
      </c>
      <c r="H47" s="50">
        <f>IFERROR(VLOOKUP(B47,ADP!A1:G665,7,FALSE)/1000000,VLOOKUP(B47,ADP!A1:G665,7,FALSE))</f>
        <v>6.25</v>
      </c>
      <c r="I47" s="51">
        <f>IF(Settings!$E$15="POINTS",((R47*Q47)*Settings!$B$12)+(S47*Settings!$B$2)+(T47*Settings!$B$3)+(U47*Settings!$B$4)+(V47*Settings!$B$5)+(X47*Settings!$B$9)+(AA47*Settings!$B$6)+(W47*Settings!$B$8)+(AB47*Settings!$B$7)+(AC47*Settings!$B$14)+(AD47*Settings!$B$15)+(AE47*Settings!$B$16)+(AF47*Settings!$B$17)+(AG47*Settings!$B$18)+(U47*Settings!$B$13)+(Y47*Settings!$B$10)+(Z47*Settings!$B$11),VLOOKUP(B47,'Standard Deviations'!A1:C666,3,FALSE))</f>
        <v>362.85993128112483</v>
      </c>
      <c r="J47" s="52">
        <f>IF(D47="G",I47/AJ47,I47/Q47)</f>
        <v>4.4796139783478885</v>
      </c>
      <c r="K47" s="51">
        <f>VLOOKUP(B47,D!A1:F213,6,FALSE)</f>
        <v>26.625806235529922</v>
      </c>
      <c r="L47" s="53">
        <f>IFERROR(K47/H47,"N/A")</f>
        <v>4.2601289976847871</v>
      </c>
      <c r="M47" s="54">
        <f>IF(Settings!$E$9="YAHOO",VLOOKUP(B47,ADP!A1:E665,2,FALSE),IF(Settings!$E$9="ESPN",VLOOKUP(B47,ADP!A1:E665,3,FALSE),IF(Settings!$E$9="FANTRAX",VLOOKUP(B47,ADP!A1:E665,4,FALSE),VLOOKUP(B47,ADP!A1:E665,5,FALSE))))</f>
        <v>53.9</v>
      </c>
      <c r="N47" s="54">
        <f>IFERROR(M47-A47,"N/A")</f>
        <v>7.8999999999999986</v>
      </c>
      <c r="O47" s="54"/>
      <c r="P47" s="55" t="str">
        <f>IF(Settings!$E$27="ON",VLOOKUP(B47,ADP!A1:H665,8,FALSE)," ")</f>
        <v xml:space="preserve"> </v>
      </c>
      <c r="Q47" s="56">
        <f>IF(Settings!$E$12="YES",VLOOKUP(B47,'Player Data'!A1:E667,5,FALSE),82)</f>
        <v>81.002499999999998</v>
      </c>
      <c r="R47" s="54">
        <f>VLOOKUP(B47,'Player Data'!$A1:$AE667,6,FALSE)</f>
        <v>24.175495918563701</v>
      </c>
      <c r="S47" s="56">
        <f>VLOOKUP(B47,'Player Data'!$A1:$AE667,7,FALSE)*$Q47*IFERROR((VLOOKUP(P47,Settings!$E$28:$F$33,2,FALSE)+1),1)</f>
        <v>12.695358328795734</v>
      </c>
      <c r="T47" s="56">
        <f>VLOOKUP(B47,'Player Data'!$A1:$AE667,8,FALSE)*$Q47*IFERROR((VLOOKUP(P47,Settings!$E$28:$F$33,2,FALSE)+1),1)</f>
        <v>51.018193696741413</v>
      </c>
      <c r="U47" s="56">
        <f>SUM(S47:T47)</f>
        <v>63.713552025537147</v>
      </c>
      <c r="V47" s="56">
        <f>VLOOKUP(B47,'Player Data'!$A1:$AE667,10,FALSE)*$Q47*IFERROR(((VLOOKUP(P47,Settings!$E$28:$F$33,2,FALSE)/2)+1),1)</f>
        <v>189.61924713498678</v>
      </c>
      <c r="W47" s="56">
        <f>VLOOKUP(B47,'Player Data'!$A1:$AE667,11,FALSE)*$Q47*IFERROR((VLOOKUP(P47,Settings!$E$28:$F$33,2,FALSE)+1),1)</f>
        <v>3.001502466870535</v>
      </c>
      <c r="X47" s="57">
        <f>VLOOKUP(B47,'Player Data'!$A1:$AE667,12,FALSE)*$Q47*IFERROR((VLOOKUP(P47,Settings!$E$28:$F$33,2,FALSE)+1),1)</f>
        <v>20.694587039296145</v>
      </c>
      <c r="Y47" s="56">
        <f>VLOOKUP(B47,'Player Data'!$A1:$AE667,13,FALSE)*$Q47</f>
        <v>4.297936894246979E-3</v>
      </c>
      <c r="Z47" s="56">
        <f>VLOOKUP(B47,'Player Data'!$A1:$AE667,14,FALSE)*$Q47</f>
        <v>2.1237511987343711E-2</v>
      </c>
      <c r="AA47" s="56">
        <f>VLOOKUP(B47,'Player Data'!$A1:$AE667,15,FALSE)*$Q47</f>
        <v>112.38765417147293</v>
      </c>
      <c r="AB47" s="56">
        <f>VLOOKUP(B47,'Player Data'!$A1:$AE667,16,FALSE)*$Q47</f>
        <v>96.059636199748823</v>
      </c>
      <c r="AC47" s="56">
        <f>VLOOKUP(B47,'Player Data'!$A1:$AE667,17,FALSE)*$Q47*IFERROR((VLOOKUP(P47,Settings!$E$28:$F$33,2,FALSE)+1),1)</f>
        <v>5.8328228472931292</v>
      </c>
      <c r="AD47" s="56">
        <f>VLOOKUP(B47,'Player Data'!$A1:$AE667,18,FALSE)*$Q47</f>
        <v>47.916744757747388</v>
      </c>
      <c r="AE47" s="56">
        <f>VLOOKUP(B47,'Player Data'!$A1:$AE667,19,FALSE)*$Q47*IFERROR((VLOOKUP(P47,Settings!$E$28:$F$33,2,FALSE)+1),1)</f>
        <v>2.1103057158441034</v>
      </c>
      <c r="AF47" s="56">
        <f>VLOOKUP(B47,'Player Data'!$A1:$AE667,20,FALSE)*$Q47</f>
        <v>0</v>
      </c>
      <c r="AG47" s="56">
        <f>VLOOKUP(B47,'Player Data'!$A1:$AE667,21,FALSE)*$Q47</f>
        <v>0</v>
      </c>
      <c r="AH47" s="58">
        <f>VLOOKUP(B47,'Player Data'!$A1:$AE667,22,FALSE)</f>
        <v>0</v>
      </c>
      <c r="AI47" s="54"/>
      <c r="AJ47" s="56"/>
      <c r="AK47" s="56"/>
      <c r="AL47" s="56"/>
      <c r="AM47" s="56"/>
      <c r="AN47" s="56"/>
      <c r="AO47" s="56"/>
      <c r="AP47" s="56"/>
      <c r="AQ47" s="59"/>
      <c r="AR47" s="60"/>
      <c r="AS47" s="54"/>
    </row>
    <row r="48" spans="1:45" ht="21.25" customHeight="1" x14ac:dyDescent="0.15">
      <c r="A48" s="45">
        <f>RANK(K48,K$1:K$665)</f>
        <v>47</v>
      </c>
      <c r="B48" s="9" t="s">
        <v>173</v>
      </c>
      <c r="C48" s="46" t="s">
        <v>127</v>
      </c>
      <c r="D48" s="47" t="str">
        <f>VLOOKUP(B48,'Player Data'!A1:D667,4,FALSE)</f>
        <v>D</v>
      </c>
      <c r="E48" s="66">
        <f>VLOOKUP(B48,D!A1:C213,3,FALSE)</f>
        <v>14</v>
      </c>
      <c r="F48" s="65" t="str">
        <f>VLOOKUP(B48,'Player Data'!A1:B667,2,FALSE)</f>
        <v>CGY</v>
      </c>
      <c r="G48" s="10">
        <f>VLOOKUP(B48,'Player Data'!A1:D667,3,FALSE)</f>
        <v>30</v>
      </c>
      <c r="H48" s="50">
        <f>IFERROR(VLOOKUP(B48,ADP!A1:G665,7,FALSE)/1000000,VLOOKUP(B48,ADP!A1:G665,7,FALSE))</f>
        <v>6.25</v>
      </c>
      <c r="I48" s="51">
        <f>IF(Settings!$E$15="POINTS",((R48*Q48)*Settings!$B$12)+(S48*Settings!$B$2)+(T48*Settings!$B$3)+(U48*Settings!$B$4)+(V48*Settings!$B$5)+(X48*Settings!$B$9)+(AA48*Settings!$B$6)+(W48*Settings!$B$8)+(AB48*Settings!$B$7)+(AC48*Settings!$B$14)+(AD48*Settings!$B$15)+(AE48*Settings!$B$16)+(AF48*Settings!$B$17)+(AG48*Settings!$B$18)+(U48*Settings!$B$13)+(Y48*Settings!$B$10)+(Z48*Settings!$B$11),VLOOKUP(B48,'Standard Deviations'!A1:C666,3,FALSE))</f>
        <v>362.26999672478962</v>
      </c>
      <c r="J48" s="52">
        <f>IF(D48="G",I48/AJ48,I48/Q48)</f>
        <v>4.4345563757357116</v>
      </c>
      <c r="K48" s="51">
        <f>VLOOKUP(B48,D!A1:F213,6,FALSE)</f>
        <v>26.035871679194713</v>
      </c>
      <c r="L48" s="53">
        <f>IFERROR(K48/H48,"N/A")</f>
        <v>4.1657394686711537</v>
      </c>
      <c r="M48" s="54">
        <f>IF(Settings!$E$9="YAHOO",VLOOKUP(B48,ADP!A1:E665,2,FALSE),IF(Settings!$E$9="ESPN",VLOOKUP(B48,ADP!A1:E665,3,FALSE),IF(Settings!$E$9="FANTRAX",VLOOKUP(B48,ADP!A1:E665,4,FALSE),VLOOKUP(B48,ADP!A1:E665,5,FALSE))))</f>
        <v>85.9</v>
      </c>
      <c r="N48" s="54">
        <f>IFERROR(M48-A48,"N/A")</f>
        <v>38.900000000000006</v>
      </c>
      <c r="O48" s="54"/>
      <c r="P48" s="55" t="str">
        <f>IF(Settings!$E$27="ON",VLOOKUP(B48,ADP!A1:H665,8,FALSE)," ")</f>
        <v xml:space="preserve"> </v>
      </c>
      <c r="Q48" s="56">
        <f>IF(Settings!$E$12="YES",VLOOKUP(B48,'Player Data'!A1:E667,5,FALSE),82)</f>
        <v>81.692499999999995</v>
      </c>
      <c r="R48" s="54">
        <f>VLOOKUP(B48,'Player Data'!$A1:$AE667,6,FALSE)</f>
        <v>23.820576186956799</v>
      </c>
      <c r="S48" s="56">
        <f>VLOOKUP(B48,'Player Data'!$A1:$AE667,7,FALSE)*$Q48*IFERROR((VLOOKUP(P48,Settings!$E$28:$F$33,2,FALSE)+1),1)</f>
        <v>12.212281136976218</v>
      </c>
      <c r="T48" s="56">
        <f>VLOOKUP(B48,'Player Data'!$A1:$AE667,8,FALSE)*$Q48*IFERROR((VLOOKUP(P48,Settings!$E$28:$F$33,2,FALSE)+1),1)</f>
        <v>39.217039851298935</v>
      </c>
      <c r="U48" s="56">
        <f>SUM(S48:T48)</f>
        <v>51.429320988275151</v>
      </c>
      <c r="V48" s="56">
        <f>VLOOKUP(B48,'Player Data'!$A1:$AE667,10,FALSE)*$Q48*IFERROR(((VLOOKUP(P48,Settings!$E$28:$F$33,2,FALSE)/2)+1),1)</f>
        <v>206.46115523793478</v>
      </c>
      <c r="W48" s="56">
        <f>VLOOKUP(B48,'Player Data'!$A1:$AE667,11,FALSE)*$Q48*IFERROR((VLOOKUP(P48,Settings!$E$28:$F$33,2,FALSE)+1),1)</f>
        <v>3.2050532778360141</v>
      </c>
      <c r="X48" s="78">
        <f>VLOOKUP(B48,'Player Data'!$A1:$AE667,12,FALSE)*$Q48*IFERROR((VLOOKUP(P48,Settings!$E$28:$F$33,2,FALSE)+1),1)</f>
        <v>17.652540575941696</v>
      </c>
      <c r="Y48" s="56">
        <f>VLOOKUP(B48,'Player Data'!$A1:$AE667,13,FALSE)*$Q48</f>
        <v>0.17942400907760522</v>
      </c>
      <c r="Z48" s="56">
        <f>VLOOKUP(B48,'Player Data'!$A1:$AE667,14,FALSE)*$Q48</f>
        <v>1.5711493622293817</v>
      </c>
      <c r="AA48" s="56">
        <f>VLOOKUP(B48,'Player Data'!$A1:$AE667,15,FALSE)*$Q48</f>
        <v>171.05553240565129</v>
      </c>
      <c r="AB48" s="56">
        <f>VLOOKUP(B48,'Player Data'!$A1:$AE667,16,FALSE)*$Q48</f>
        <v>176.43222407984481</v>
      </c>
      <c r="AC48" s="56">
        <f>VLOOKUP(B48,'Player Data'!$A1:$AE667,17,FALSE)*$Q48*IFERROR((VLOOKUP(P48,Settings!$E$28:$F$33,2,FALSE)+1),1)</f>
        <v>-1.9726536802276184</v>
      </c>
      <c r="AD48" s="56">
        <f>VLOOKUP(B48,'Player Data'!$A1:$AE667,18,FALSE)*$Q48</f>
        <v>51.644856540147963</v>
      </c>
      <c r="AE48" s="56">
        <f>VLOOKUP(B48,'Player Data'!$A1:$AE667,19,FALSE)*$Q48*IFERROR((VLOOKUP(P48,Settings!$E$28:$F$33,2,FALSE)+1),1)</f>
        <v>1.7742463458067905</v>
      </c>
      <c r="AF48" s="56">
        <f>VLOOKUP(B48,'Player Data'!$A1:$AE667,20,FALSE)*$Q48</f>
        <v>0</v>
      </c>
      <c r="AG48" s="56">
        <f>VLOOKUP(B48,'Player Data'!$A1:$AE667,21,FALSE)*$Q48</f>
        <v>0</v>
      </c>
      <c r="AH48" s="58">
        <f>VLOOKUP(B48,'Player Data'!$A1:$AE667,22,FALSE)</f>
        <v>0</v>
      </c>
      <c r="AI48" s="54"/>
      <c r="AJ48" s="56"/>
      <c r="AK48" s="56"/>
      <c r="AL48" s="56"/>
      <c r="AM48" s="56"/>
      <c r="AN48" s="56"/>
      <c r="AO48" s="56"/>
      <c r="AP48" s="56"/>
      <c r="AQ48" s="59"/>
      <c r="AR48" s="60"/>
      <c r="AS48" s="54"/>
    </row>
    <row r="49" spans="1:45" ht="21.25" customHeight="1" x14ac:dyDescent="0.15">
      <c r="A49" s="45">
        <f>RANK(K49,K$1:K$665)</f>
        <v>48</v>
      </c>
      <c r="B49" s="9" t="s">
        <v>174</v>
      </c>
      <c r="C49" s="46" t="s">
        <v>127</v>
      </c>
      <c r="D49" s="47" t="str">
        <f>VLOOKUP(B49,'Player Data'!A1:D667,4,FALSE)</f>
        <v>C</v>
      </c>
      <c r="E49" s="48">
        <f>VLOOKUP(B49,'C'!A1:C206,3,FALSE)</f>
        <v>14</v>
      </c>
      <c r="F49" s="65" t="str">
        <f>VLOOKUP(B49,'Player Data'!A1:B667,2,FALSE)</f>
        <v>FLA</v>
      </c>
      <c r="G49" s="10">
        <f>VLOOKUP(B49,'Player Data'!A1:D667,3,FALSE)</f>
        <v>29</v>
      </c>
      <c r="H49" s="50">
        <f>IFERROR(VLOOKUP(B49,ADP!A1:G665,7,FALSE)/1000000,VLOOKUP(B49,ADP!A1:G665,7,FALSE))</f>
        <v>10</v>
      </c>
      <c r="I49" s="51">
        <f>IF(Settings!$E$15="POINTS",((R49*Q49)*Settings!$B$12)+(S49*Settings!$B$2)+(T49*Settings!$B$3)+(U49*Settings!$B$4)+(V49*Settings!$B$5)+(X49*Settings!$B$9)+(AA49*Settings!$B$6)+(W49*Settings!$B$8)+(AB49*Settings!$B$7)+(AC49*Settings!$B$14)+(AD49*Settings!$B$15)+(AE49*Settings!$B$16)+(AF49*Settings!$B$17)+(AG49*Settings!$B$18)+(Y49*Settings!$B$10)+(Z49*Settings!$B$11),VLOOKUP(B49,'Standard Deviations'!A1:C666,3,FALSE))</f>
        <v>415.63118096042956</v>
      </c>
      <c r="J49" s="52">
        <f>IF(D49="G",I49/AJ49,I49/Q49)</f>
        <v>5.3972818356709356</v>
      </c>
      <c r="K49" s="51">
        <f>IF(Settings!$E$18="C/LW/RW",VLOOKUP(B49,'C'!A1:F206,6,FALSE),VLOOKUP(B49,F!A1:F392,6,FALSE))</f>
        <v>25.694023182348474</v>
      </c>
      <c r="L49" s="53">
        <f>IFERROR(K49/H49,"N/A")</f>
        <v>2.5694023182348475</v>
      </c>
      <c r="M49" s="54">
        <f>IF(Settings!$E$9="YAHOO",VLOOKUP(B49,ADP!A1:E665,2,FALSE),IF(Settings!$E$9="ESPN",VLOOKUP(B49,ADP!A1:E665,3,FALSE),IF(Settings!$E$9="FANTRAX",VLOOKUP(B49,ADP!A1:E665,4,FALSE),VLOOKUP(B49,ADP!A1:E665,5,FALSE))))</f>
        <v>52</v>
      </c>
      <c r="N49" s="54">
        <f>IFERROR(M49-A49,"N/A")</f>
        <v>4</v>
      </c>
      <c r="O49" s="54"/>
      <c r="P49" s="55" t="str">
        <f>IF(Settings!$E$27="ON",VLOOKUP(B49,ADP!A1:H665,8,FALSE)," ")</f>
        <v xml:space="preserve"> </v>
      </c>
      <c r="Q49" s="56">
        <f>IF(Settings!$E$12="YES",VLOOKUP(B49,'Player Data'!A1:E667,5,FALSE),82)</f>
        <v>77.007499999999993</v>
      </c>
      <c r="R49" s="54">
        <f>VLOOKUP(B49,'Player Data'!$A1:$AE667,6,FALSE)</f>
        <v>20.237888724917301</v>
      </c>
      <c r="S49" s="56">
        <f>VLOOKUP(B49,'Player Data'!$A1:$AE667,7,FALSE)*$Q49*IFERROR((VLOOKUP(P49,Settings!$E$28:$F$33,2,FALSE)+1),1)</f>
        <v>27.135401220772856</v>
      </c>
      <c r="T49" s="56">
        <f>VLOOKUP(B49,'Player Data'!$A1:$AE667,8,FALSE)*$Q49*IFERROR((VLOOKUP(P49,Settings!$E$28:$F$33,2,FALSE)+1),1)</f>
        <v>56.627780953903674</v>
      </c>
      <c r="U49" s="56">
        <f>SUM(S49:T49)</f>
        <v>83.76318217467653</v>
      </c>
      <c r="V49" s="56">
        <f>VLOOKUP(B49,'Player Data'!$A1:$AE667,10,FALSE)*$Q49*IFERROR(((VLOOKUP(P49,Settings!$E$28:$F$33,2,FALSE)/2)+1),1)</f>
        <v>218.03335777132949</v>
      </c>
      <c r="W49" s="56">
        <f>VLOOKUP(B49,'Player Data'!$A1:$AE667,11,FALSE)*$Q49*IFERROR((VLOOKUP(P49,Settings!$E$28:$F$33,2,FALSE)+1),1)</f>
        <v>6.6072954407318116</v>
      </c>
      <c r="X49" s="57">
        <f>VLOOKUP(B49,'Player Data'!$A1:$AE667,12,FALSE)*$Q49*IFERROR((VLOOKUP(P49,Settings!$E$28:$F$33,2,FALSE)+1),1)</f>
        <v>26.657734548297089</v>
      </c>
      <c r="Y49" s="56">
        <f>VLOOKUP(B49,'Player Data'!$A1:$AE667,13,FALSE)*$Q49</f>
        <v>0.92635905911712757</v>
      </c>
      <c r="Z49" s="56">
        <f>VLOOKUP(B49,'Player Data'!$A1:$AE667,14,FALSE)*$Q49</f>
        <v>2.2700700695479998</v>
      </c>
      <c r="AA49" s="56">
        <f>VLOOKUP(B49,'Player Data'!$A1:$AE667,15,FALSE)*$Q49</f>
        <v>52.79430186578027</v>
      </c>
      <c r="AB49" s="56">
        <f>VLOOKUP(B49,'Player Data'!$A1:$AE667,16,FALSE)*$Q49</f>
        <v>90.675742795783364</v>
      </c>
      <c r="AC49" s="56">
        <f>VLOOKUP(B49,'Player Data'!$A1:$AE667,17,FALSE)*$Q49*IFERROR((VLOOKUP(P49,Settings!$E$28:$F$33,2,FALSE)+1),1)</f>
        <v>8.6895812551675586</v>
      </c>
      <c r="AD49" s="56">
        <f>VLOOKUP(B49,'Player Data'!$A1:$AE667,18,FALSE)*$Q49</f>
        <v>23.062342382257651</v>
      </c>
      <c r="AE49" s="56">
        <f>VLOOKUP(B49,'Player Data'!$A1:$AE667,19,FALSE)*$Q49*IFERROR((VLOOKUP(P49,Settings!$E$28:$F$33,2,FALSE)+1),1)</f>
        <v>4.6228339111138981</v>
      </c>
      <c r="AF49" s="56">
        <f>VLOOKUP(B49,'Player Data'!$A1:$AE667,20,FALSE)*$Q49</f>
        <v>712.95954034232216</v>
      </c>
      <c r="AG49" s="56">
        <f>VLOOKUP(B49,'Player Data'!$A1:$AE667,21,FALSE)*$Q49</f>
        <v>551.99978747091586</v>
      </c>
      <c r="AH49" s="58">
        <f>VLOOKUP(B49,'Player Data'!$A1:$AE667,22,FALSE)</f>
        <v>0.56362250126636904</v>
      </c>
      <c r="AI49" s="54"/>
      <c r="AJ49" s="56"/>
      <c r="AK49" s="56"/>
      <c r="AL49" s="56"/>
      <c r="AM49" s="56"/>
      <c r="AN49" s="56"/>
      <c r="AO49" s="56"/>
      <c r="AP49" s="56"/>
      <c r="AQ49" s="59"/>
      <c r="AR49" s="60"/>
      <c r="AS49" s="64"/>
    </row>
    <row r="50" spans="1:45" ht="21.25" customHeight="1" x14ac:dyDescent="0.15">
      <c r="A50" s="45">
        <f>RANK(K50,K$1:K$665)</f>
        <v>49</v>
      </c>
      <c r="B50" s="9" t="s">
        <v>175</v>
      </c>
      <c r="C50" s="46" t="s">
        <v>127</v>
      </c>
      <c r="D50" s="47" t="str">
        <f>VLOOKUP(B50,'Player Data'!A1:D667,4,FALSE)</f>
        <v>LW/RW</v>
      </c>
      <c r="E50" s="68">
        <f>VLOOKUP(B50,RW!A1:C136,3,FALSE)</f>
        <v>15</v>
      </c>
      <c r="F50" s="55" t="str">
        <f>VLOOKUP(B50,'Player Data'!A1:B667,2,FALSE)</f>
        <v>UTA</v>
      </c>
      <c r="G50" s="10">
        <f>VLOOKUP(B50,'Player Data'!A1:D667,3,FALSE)</f>
        <v>26</v>
      </c>
      <c r="H50" s="50">
        <f>IFERROR(VLOOKUP(B50,ADP!A1:G665,7,FALSE)/1000000,VLOOKUP(B50,ADP!A1:G665,7,FALSE))</f>
        <v>7.15</v>
      </c>
      <c r="I50" s="51">
        <f>IF(Settings!$E$15="POINTS",((R50*Q50)*Settings!$B$12)+(S50*Settings!$B$2)+(T50*Settings!$B$3)+(U50*Settings!$B$4)+(V50*Settings!$B$5)+(X50*Settings!$B$9)+(AA50*Settings!$B$6)+(W50*Settings!$B$8)+(AB50*Settings!$B$7)+(AC50*Settings!$B$14)+(AD50*Settings!$B$15)+(AE50*Settings!$B$16)+(AF50*Settings!$B$17)+(AG50*Settings!$B$18)+(Y50*Settings!$B$10)+(Z50*Settings!$B$11),VLOOKUP(B50,'Standard Deviations'!A1:C666,3,FALSE))</f>
        <v>393.59469836051431</v>
      </c>
      <c r="J50" s="52">
        <f>IF(D50="G",I50/AJ50,I50/Q50)</f>
        <v>4.9310285437298216</v>
      </c>
      <c r="K50" s="51">
        <f>IF(Settings!$E$18="C/LW/RW",VLOOKUP(B50,RW!A1:F136,6,FALSE),VLOOKUP(B50,F!A1:F392,6,FALSE))</f>
        <v>24.746975254221923</v>
      </c>
      <c r="L50" s="53">
        <f>IFERROR(K50/H50,"N/A")</f>
        <v>3.461115420170898</v>
      </c>
      <c r="M50" s="54">
        <f>IF(Settings!$E$9="YAHOO",VLOOKUP(B50,ADP!A1:E665,2,FALSE),IF(Settings!$E$9="ESPN",VLOOKUP(B50,ADP!A1:E665,3,FALSE),IF(Settings!$E$9="FANTRAX",VLOOKUP(B50,ADP!A1:E665,4,FALSE),VLOOKUP(B50,ADP!A1:E665,5,FALSE))))</f>
        <v>73.400000000000006</v>
      </c>
      <c r="N50" s="54">
        <f>IFERROR(M50-A50,"N/A")</f>
        <v>24.400000000000006</v>
      </c>
      <c r="O50" s="54"/>
      <c r="P50" s="55" t="str">
        <f>IF(Settings!$E$27="ON",VLOOKUP(B50,ADP!A1:H665,8,FALSE)," ")</f>
        <v xml:space="preserve"> </v>
      </c>
      <c r="Q50" s="56">
        <f>IF(Settings!$E$12="YES",VLOOKUP(B50,'Player Data'!A1:E667,5,FALSE),82)</f>
        <v>79.819999999999993</v>
      </c>
      <c r="R50" s="54">
        <f>VLOOKUP(B50,'Player Data'!$A1:$AE667,6,FALSE)</f>
        <v>19.329478387051701</v>
      </c>
      <c r="S50" s="56">
        <f>VLOOKUP(B50,'Player Data'!$A1:$AE667,7,FALSE)*$Q50*IFERROR((VLOOKUP(P50,Settings!$E$28:$F$33,2,FALSE)+1),1)</f>
        <v>33.724535659948486</v>
      </c>
      <c r="T50" s="56">
        <f>VLOOKUP(B50,'Player Data'!$A1:$AE667,8,FALSE)*$Q50*IFERROR((VLOOKUP(P50,Settings!$E$28:$F$33,2,FALSE)+1),1)</f>
        <v>45.829152706756965</v>
      </c>
      <c r="U50" s="56">
        <f>SUM(S50:T50)</f>
        <v>79.553688366705444</v>
      </c>
      <c r="V50" s="56">
        <f>VLOOKUP(B50,'Player Data'!$A1:$AE667,10,FALSE)*$Q50*IFERROR(((VLOOKUP(P50,Settings!$E$28:$F$33,2,FALSE)/2)+1),1)</f>
        <v>225.91367412297271</v>
      </c>
      <c r="W50" s="56">
        <f>VLOOKUP(B50,'Player Data'!$A1:$AE667,11,FALSE)*$Q50*IFERROR((VLOOKUP(P50,Settings!$E$28:$F$33,2,FALSE)+1),1)</f>
        <v>8.5725100943288801</v>
      </c>
      <c r="X50" s="57">
        <f>VLOOKUP(B50,'Player Data'!$A1:$AE667,12,FALSE)*$Q50*IFERROR((VLOOKUP(P50,Settings!$E$28:$F$33,2,FALSE)+1),1)</f>
        <v>26.195290409761455</v>
      </c>
      <c r="Y50" s="56">
        <f>VLOOKUP(B50,'Player Data'!$A1:$AE667,13,FALSE)*$Q50</f>
        <v>2.6155060018240018E-2</v>
      </c>
      <c r="Z50" s="56">
        <f>VLOOKUP(B50,'Player Data'!$A1:$AE667,14,FALSE)*$Q50</f>
        <v>3.7829014823671528E-2</v>
      </c>
      <c r="AA50" s="56">
        <f>VLOOKUP(B50,'Player Data'!$A1:$AE667,15,FALSE)*$Q50</f>
        <v>31.487353548652905</v>
      </c>
      <c r="AB50" s="56">
        <f>VLOOKUP(B50,'Player Data'!$A1:$AE667,16,FALSE)*$Q50</f>
        <v>25.010285735392291</v>
      </c>
      <c r="AC50" s="56">
        <f>VLOOKUP(B50,'Player Data'!$A1:$AE667,17,FALSE)*$Q50*IFERROR((VLOOKUP(P50,Settings!$E$28:$F$33,2,FALSE)+1),1)</f>
        <v>-0.84773319561085025</v>
      </c>
      <c r="AD50" s="56">
        <f>VLOOKUP(B50,'Player Data'!$A1:$AE667,18,FALSE)*$Q50</f>
        <v>35.525383039509734</v>
      </c>
      <c r="AE50" s="56">
        <f>VLOOKUP(B50,'Player Data'!$A1:$AE667,19,FALSE)*$Q50*IFERROR((VLOOKUP(P50,Settings!$E$28:$F$33,2,FALSE)+1),1)</f>
        <v>4.9348908270236125</v>
      </c>
      <c r="AF50" s="56">
        <f>VLOOKUP(B50,'Player Data'!$A1:$AE667,20,FALSE)*$Q50</f>
        <v>27.406564249256498</v>
      </c>
      <c r="AG50" s="56">
        <f>VLOOKUP(B50,'Player Data'!$A1:$AE667,21,FALSE)*$Q50</f>
        <v>39.235123716002619</v>
      </c>
      <c r="AH50" s="58">
        <f>VLOOKUP(B50,'Player Data'!$A1:$AE667,22,FALSE)</f>
        <v>0.41125255205936201</v>
      </c>
      <c r="AI50" s="54"/>
      <c r="AJ50" s="64"/>
      <c r="AK50" s="56"/>
      <c r="AL50" s="56"/>
      <c r="AM50" s="56"/>
      <c r="AN50" s="56"/>
      <c r="AO50" s="56"/>
      <c r="AP50" s="56"/>
      <c r="AQ50" s="59"/>
      <c r="AR50" s="60"/>
      <c r="AS50" s="54"/>
    </row>
    <row r="51" spans="1:45" ht="21.25" customHeight="1" x14ac:dyDescent="0.15">
      <c r="A51" s="45">
        <f>RANK(K51,K$1:K$665)</f>
        <v>50</v>
      </c>
      <c r="B51" s="9" t="s">
        <v>176</v>
      </c>
      <c r="C51" s="46" t="s">
        <v>127</v>
      </c>
      <c r="D51" s="47" t="str">
        <f>VLOOKUP(B51,'Player Data'!A1:D667,4,FALSE)</f>
        <v>G</v>
      </c>
      <c r="E51" s="73">
        <f>VLOOKUP(B51,G!A1:D65,3,FALSE)</f>
        <v>5</v>
      </c>
      <c r="F51" s="62" t="str">
        <f>VLOOKUP(B51,'Player Data'!A1:B667,2,FALSE)</f>
        <v>T.B</v>
      </c>
      <c r="G51" s="10">
        <f>VLOOKUP(B51,'Player Data'!A1:D667,3,FALSE)</f>
        <v>30</v>
      </c>
      <c r="H51" s="50">
        <f>IFERROR(VLOOKUP(B51,ADP!A1:G665,7,FALSE)/1000000,VLOOKUP(B51,ADP!A1:G665,7,FALSE))</f>
        <v>9.5</v>
      </c>
      <c r="I51" s="51">
        <f>IF(Settings!$E$15="POINTS",(AJ51*Settings!$B$29)+(AK51*Settings!$B$21)+(AL51*Settings!$B$22)+(AN51*Settings!$B$24)+(AO51*Settings!$B$25)+(AP51*Settings!$B$27)+(AM51*Settings!$B$23),VLOOKUP(B51,'Standard Deviations'!A1:C666,3,FALSE))</f>
        <v>435.24559926541372</v>
      </c>
      <c r="J51" s="52">
        <f>IF(D51="G",I51/AJ51,I51/Q51)</f>
        <v>7.2540933210902283</v>
      </c>
      <c r="K51" s="51">
        <f>VLOOKUP(B51,G!A1:F65,6,FALSE)</f>
        <v>24.585856495993539</v>
      </c>
      <c r="L51" s="53">
        <f>IFERROR(K51/H51,"N/A")</f>
        <v>2.5879848943151096</v>
      </c>
      <c r="M51" s="54">
        <f>IF(Settings!$E$9="YAHOO",VLOOKUP(B51,ADP!A1:E665,2,FALSE),IF(Settings!$E$9="ESPN",VLOOKUP(B51,ADP!A1:E665,3,FALSE),IF(Settings!$E$9="FANTRAX",VLOOKUP(B51,ADP!A1:E665,4,FALSE),VLOOKUP(B51,ADP!A1:E665,5,FALSE))))</f>
        <v>44.3</v>
      </c>
      <c r="N51" s="54">
        <f>IFERROR(M51-A51,"N/A")</f>
        <v>-5.7000000000000028</v>
      </c>
      <c r="O51" s="54"/>
      <c r="P51" s="55" t="str">
        <f>IF(Settings!$E$27="ON",VLOOKUP(B51,ADP!A1:H665,8,FALSE)," ")</f>
        <v xml:space="preserve"> </v>
      </c>
      <c r="Q51" s="56"/>
      <c r="R51" s="54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8"/>
      <c r="AI51" s="54"/>
      <c r="AJ51" s="64">
        <f>VLOOKUP(B51,'Player Data'!$A1:$AE667,24,FALSE)</f>
        <v>60</v>
      </c>
      <c r="AK51" s="56">
        <f>VLOOKUP(B51,'Player Data'!$A1:$AE667,25,FALSE)*$AJ51*IFERROR((VLOOKUP(P51,Settings!$E$28:$F$33,2,FALSE)+1),1)</f>
        <v>33.807639107412001</v>
      </c>
      <c r="AL51" s="56">
        <f>AJ51-AK51-AM51</f>
        <v>18.692360892587999</v>
      </c>
      <c r="AM51" s="56">
        <f>VLOOKUP(B51,'Player Data'!$A1:$AE667,27,FALSE)*$AJ51</f>
        <v>7.5</v>
      </c>
      <c r="AN51" s="56">
        <f>VLOOKUP(B51,'Player Data'!$A1:$AE667,28,FALSE)*AJ51</f>
        <v>3.7428434688586978</v>
      </c>
      <c r="AO51" s="56">
        <f>VLOOKUP(B51,'Player Data'!$A1:$AE667,29,FALSE)*$AJ51*IFERROR((VLOOKUP(P51,Settings!$E$28:$F$33,2,FALSE)/4)+1,1)</f>
        <v>1643.033860323618</v>
      </c>
      <c r="AP51" s="56">
        <f>VLOOKUP(B51,'Player Data'!$A1:$AE667,31,FALSE)*$AJ51*(IFERROR(1-(VLOOKUP(P51,Settings!$E$28:$F$33,2,FALSE)/4),1))</f>
        <v>163.81236389583</v>
      </c>
      <c r="AQ51" s="59">
        <f>1-(AP51/(AO51+AP51))</f>
        <v>0.90933796041962767</v>
      </c>
      <c r="AR51" s="60">
        <f>AP51/AJ51</f>
        <v>2.7302060649305</v>
      </c>
      <c r="AS51" s="54"/>
    </row>
    <row r="52" spans="1:45" ht="21.25" customHeight="1" x14ac:dyDescent="0.15">
      <c r="A52" s="45">
        <f>RANK(K52,K$1:K$665)</f>
        <v>51</v>
      </c>
      <c r="B52" s="9" t="s">
        <v>177</v>
      </c>
      <c r="C52" s="46" t="s">
        <v>127</v>
      </c>
      <c r="D52" s="47" t="str">
        <f>VLOOKUP(B52,'Player Data'!A1:D667,4,FALSE)</f>
        <v>C</v>
      </c>
      <c r="E52" s="48">
        <f>VLOOKUP(B52,'C'!A1:C206,3,FALSE)</f>
        <v>15</v>
      </c>
      <c r="F52" s="55" t="str">
        <f>VLOOKUP(B52,'Player Data'!A1:B667,2,FALSE)</f>
        <v>CHI</v>
      </c>
      <c r="G52" s="69">
        <f>VLOOKUP(B52,'Player Data'!A1:D667,3,FALSE)</f>
        <v>19</v>
      </c>
      <c r="H52" s="50">
        <f>IFERROR(VLOOKUP(B52,ADP!A1:G665,7,FALSE)/1000000,VLOOKUP(B52,ADP!A1:G665,7,FALSE))</f>
        <v>0.95</v>
      </c>
      <c r="I52" s="51">
        <f>IF(Settings!$E$15="POINTS",((R52*Q52)*Settings!$B$12)+(S52*Settings!$B$2)+(T52*Settings!$B$3)+(U52*Settings!$B$4)+(V52*Settings!$B$5)+(X52*Settings!$B$9)+(AA52*Settings!$B$6)+(W52*Settings!$B$8)+(AB52*Settings!$B$7)+(AC52*Settings!$B$14)+(AD52*Settings!$B$15)+(AE52*Settings!$B$16)+(AF52*Settings!$B$17)+(AG52*Settings!$B$18)+(Y52*Settings!$B$10)+(Z52*Settings!$B$11),VLOOKUP(B52,'Standard Deviations'!A1:C666,3,FALSE))</f>
        <v>413.63302623264298</v>
      </c>
      <c r="J52" s="52">
        <f>IF(D52="G",I52/AJ52,I52/Q52)</f>
        <v>5.4268305724566126</v>
      </c>
      <c r="K52" s="51">
        <f>IF(Settings!$E$18="C/LW/RW",VLOOKUP(B52,'C'!A1:F206,6,FALSE),VLOOKUP(B52,F!A1:F392,6,FALSE))</f>
        <v>23.695868454561889</v>
      </c>
      <c r="L52" s="53">
        <f>IFERROR(K52/H52,"N/A")</f>
        <v>24.943019425854622</v>
      </c>
      <c r="M52" s="54">
        <f>IF(Settings!$E$9="YAHOO",VLOOKUP(B52,ADP!A1:E665,2,FALSE),IF(Settings!$E$9="ESPN",VLOOKUP(B52,ADP!A1:E665,3,FALSE),IF(Settings!$E$9="FANTRAX",VLOOKUP(B52,ADP!A1:E665,4,FALSE),VLOOKUP(B52,ADP!A1:E665,5,FALSE))))</f>
        <v>49.8</v>
      </c>
      <c r="N52" s="54">
        <f>IFERROR(M52-A52,"N/A")</f>
        <v>-1.2000000000000028</v>
      </c>
      <c r="O52" s="54"/>
      <c r="P52" s="55" t="str">
        <f>IF(Settings!$E$27="ON",VLOOKUP(B52,ADP!A1:H665,8,FALSE)," ")</f>
        <v xml:space="preserve"> </v>
      </c>
      <c r="Q52" s="56">
        <f>IF(Settings!$E$12="YES",VLOOKUP(B52,'Player Data'!A1:E667,5,FALSE),82)</f>
        <v>76.22</v>
      </c>
      <c r="R52" s="54">
        <f>VLOOKUP(B52,'Player Data'!$A1:$AE667,6,FALSE)</f>
        <v>20.1941393345999</v>
      </c>
      <c r="S52" s="56">
        <f>VLOOKUP(B52,'Player Data'!$A1:$AE667,7,FALSE)*$Q52*IFERROR((VLOOKUP(P52,Settings!$E$28:$F$33,2,FALSE)+1),1)</f>
        <v>30.906649836241041</v>
      </c>
      <c r="T52" s="56">
        <f>VLOOKUP(B52,'Player Data'!$A1:$AE667,8,FALSE)*$Q52*IFERROR((VLOOKUP(P52,Settings!$E$28:$F$33,2,FALSE)+1),1)</f>
        <v>51.751032973996281</v>
      </c>
      <c r="U52" s="56">
        <f>SUM(S52:T52)</f>
        <v>82.657682810237318</v>
      </c>
      <c r="V52" s="56">
        <f>VLOOKUP(B52,'Player Data'!$A1:$AE667,10,FALSE)*$Q52*IFERROR(((VLOOKUP(P52,Settings!$E$28:$F$33,2,FALSE)/2)+1),1)</f>
        <v>241.22545580925768</v>
      </c>
      <c r="W52" s="56">
        <f>VLOOKUP(B52,'Player Data'!$A1:$AE667,11,FALSE)*$Q52*IFERROR((VLOOKUP(P52,Settings!$E$28:$F$33,2,FALSE)+1),1)</f>
        <v>6.8807466919085343</v>
      </c>
      <c r="X52" s="57">
        <f>VLOOKUP(B52,'Player Data'!$A1:$AE667,12,FALSE)*$Q52*IFERROR((VLOOKUP(P52,Settings!$E$28:$F$33,2,FALSE)+1),1)</f>
        <v>29.333580041398118</v>
      </c>
      <c r="Y52" s="56">
        <f>VLOOKUP(B52,'Player Data'!$A1:$AE667,13,FALSE)*$Q52</f>
        <v>6.6266648320027818E-3</v>
      </c>
      <c r="Z52" s="56">
        <f>VLOOKUP(B52,'Player Data'!$A1:$AE667,14,FALSE)*$Q52</f>
        <v>1.1036870927865011E-2</v>
      </c>
      <c r="AA52" s="56">
        <f>VLOOKUP(B52,'Player Data'!$A1:$AE667,15,FALSE)*$Q52</f>
        <v>31.405265969952364</v>
      </c>
      <c r="AB52" s="56">
        <f>VLOOKUP(B52,'Player Data'!$A1:$AE667,16,FALSE)*$Q52</f>
        <v>59.034099255307915</v>
      </c>
      <c r="AC52" s="56">
        <f>VLOOKUP(B52,'Player Data'!$A1:$AE667,17,FALSE)*$Q52*IFERROR((VLOOKUP(P52,Settings!$E$28:$F$33,2,FALSE)+1),1)</f>
        <v>-9.4547104064864733</v>
      </c>
      <c r="AD52" s="56">
        <f>VLOOKUP(B52,'Player Data'!$A1:$AE667,18,FALSE)*$Q52</f>
        <v>35.07730887103552</v>
      </c>
      <c r="AE52" s="56">
        <f>VLOOKUP(B52,'Player Data'!$A1:$AE667,19,FALSE)*$Q52*IFERROR((VLOOKUP(P52,Settings!$E$28:$F$33,2,FALSE)+1),1)</f>
        <v>3.9942284737503972</v>
      </c>
      <c r="AF52" s="56">
        <f>VLOOKUP(B52,'Player Data'!$A1:$AE667,20,FALSE)*$Q52</f>
        <v>236.84359124119905</v>
      </c>
      <c r="AG52" s="56">
        <f>VLOOKUP(B52,'Player Data'!$A1:$AE667,21,FALSE)*$Q52</f>
        <v>371.8558799680668</v>
      </c>
      <c r="AH52" s="58">
        <f>VLOOKUP(B52,'Player Data'!$A1:$AE667,22,FALSE)</f>
        <v>0.389097744360902</v>
      </c>
      <c r="AI52" s="54"/>
      <c r="AJ52" s="64"/>
      <c r="AK52" s="56"/>
      <c r="AL52" s="56"/>
      <c r="AM52" s="56"/>
      <c r="AN52" s="56"/>
      <c r="AO52" s="56"/>
      <c r="AP52" s="56"/>
      <c r="AQ52" s="59"/>
      <c r="AR52" s="60"/>
      <c r="AS52" s="54"/>
    </row>
    <row r="53" spans="1:45" ht="21.25" customHeight="1" x14ac:dyDescent="0.15">
      <c r="A53" s="45">
        <f>RANK(K53,K$1:K$665)</f>
        <v>52</v>
      </c>
      <c r="B53" s="9" t="s">
        <v>178</v>
      </c>
      <c r="C53" s="46" t="s">
        <v>127</v>
      </c>
      <c r="D53" s="47" t="str">
        <f>VLOOKUP(B53,'Player Data'!A1:D667,4,FALSE)</f>
        <v>D</v>
      </c>
      <c r="E53" s="66">
        <f>VLOOKUP(B53,D!A1:C213,3,FALSE)</f>
        <v>15</v>
      </c>
      <c r="F53" s="65" t="str">
        <f>VLOOKUP(B53,'Player Data'!A1:B667,2,FALSE)</f>
        <v>WSH</v>
      </c>
      <c r="G53" s="63">
        <f>VLOOKUP(B53,'Player Data'!A1:D667,3,FALSE)</f>
        <v>34</v>
      </c>
      <c r="H53" s="50">
        <f>IFERROR(VLOOKUP(B53,ADP!A1:G665,7,FALSE)/1000000,VLOOKUP(B53,ADP!A1:G665,7,FALSE))</f>
        <v>8</v>
      </c>
      <c r="I53" s="51">
        <f>IF(Settings!$E$15="POINTS",((R53*Q53)*Settings!$B$12)+(S53*Settings!$B$2)+(T53*Settings!$B$3)+(U53*Settings!$B$4)+(V53*Settings!$B$5)+(X53*Settings!$B$9)+(AA53*Settings!$B$6)+(W53*Settings!$B$8)+(AB53*Settings!$B$7)+(AC53*Settings!$B$14)+(AD53*Settings!$B$15)+(AE53*Settings!$B$16)+(AF53*Settings!$B$17)+(AG53*Settings!$B$18)+(U53*Settings!$B$13)+(Y53*Settings!$B$10)+(Z53*Settings!$B$11),VLOOKUP(B53,'Standard Deviations'!A1:C666,3,FALSE))</f>
        <v>357.50344288944842</v>
      </c>
      <c r="J53" s="52">
        <f>IF(D53="G",I53/AJ53,I53/Q53)</f>
        <v>4.7129845480119759</v>
      </c>
      <c r="K53" s="51">
        <f>VLOOKUP(B53,D!A1:F213,6,FALSE)</f>
        <v>21.269317843853514</v>
      </c>
      <c r="L53" s="53">
        <f>IFERROR(K53/H53,"N/A")</f>
        <v>2.6586647304816893</v>
      </c>
      <c r="M53" s="54">
        <f>IF(Settings!$E$9="YAHOO",VLOOKUP(B53,ADP!A1:E665,2,FALSE),IF(Settings!$E$9="ESPN",VLOOKUP(B53,ADP!A1:E665,3,FALSE),IF(Settings!$E$9="FANTRAX",VLOOKUP(B53,ADP!A1:E665,4,FALSE),VLOOKUP(B53,ADP!A1:E665,5,FALSE))))</f>
        <v>118.6</v>
      </c>
      <c r="N53" s="54">
        <f>IFERROR(M53-A53,"N/A")</f>
        <v>66.599999999999994</v>
      </c>
      <c r="O53" s="54"/>
      <c r="P53" s="55" t="str">
        <f>IF(Settings!$E$27="ON",VLOOKUP(B53,ADP!A1:H665,8,FALSE)," ")</f>
        <v xml:space="preserve"> </v>
      </c>
      <c r="Q53" s="56">
        <f>IF(Settings!$E$12="YES",VLOOKUP(B53,'Player Data'!A1:E667,5,FALSE),82)</f>
        <v>75.855000000000004</v>
      </c>
      <c r="R53" s="54">
        <f>VLOOKUP(B53,'Player Data'!$A1:$AE667,6,FALSE)</f>
        <v>26.142851134008499</v>
      </c>
      <c r="S53" s="56">
        <f>VLOOKUP(B53,'Player Data'!$A1:$AE667,7,FALSE)*$Q53*IFERROR((VLOOKUP(P53,Settings!$E$28:$F$33,2,FALSE)+1),1)</f>
        <v>12.293649074961653</v>
      </c>
      <c r="T53" s="56">
        <f>VLOOKUP(B53,'Player Data'!$A1:$AE667,8,FALSE)*$Q53*IFERROR((VLOOKUP(P53,Settings!$E$28:$F$33,2,FALSE)+1),1)</f>
        <v>41.491711721595372</v>
      </c>
      <c r="U53" s="56">
        <f>SUM(S53:T53)</f>
        <v>53.785360796557029</v>
      </c>
      <c r="V53" s="56">
        <f>VLOOKUP(B53,'Player Data'!$A1:$AE667,10,FALSE)*$Q53*IFERROR(((VLOOKUP(P53,Settings!$E$28:$F$33,2,FALSE)/2)+1),1)</f>
        <v>179.03131394475554</v>
      </c>
      <c r="W53" s="56">
        <f>VLOOKUP(B53,'Player Data'!$A1:$AE667,11,FALSE)*$Q53*IFERROR((VLOOKUP(P53,Settings!$E$28:$F$33,2,FALSE)+1),1)</f>
        <v>4.8255342844491125</v>
      </c>
      <c r="X53" s="57">
        <f>VLOOKUP(B53,'Player Data'!$A1:$AE667,12,FALSE)*$Q53*IFERROR((VLOOKUP(P53,Settings!$E$28:$F$33,2,FALSE)+1),1)</f>
        <v>19.08865962245142</v>
      </c>
      <c r="Y53" s="56">
        <f>VLOOKUP(B53,'Player Data'!$A1:$AE667,13,FALSE)*$Q53</f>
        <v>0.34065006304647549</v>
      </c>
      <c r="Z53" s="56">
        <f>VLOOKUP(B53,'Player Data'!$A1:$AE667,14,FALSE)*$Q53</f>
        <v>1.0365090299785482</v>
      </c>
      <c r="AA53" s="56">
        <f>VLOOKUP(B53,'Player Data'!$A1:$AE667,15,FALSE)*$Q53</f>
        <v>173.01306974993918</v>
      </c>
      <c r="AB53" s="56">
        <f>VLOOKUP(B53,'Player Data'!$A1:$AE667,16,FALSE)*$Q53</f>
        <v>73.587728778791075</v>
      </c>
      <c r="AC53" s="56">
        <f>VLOOKUP(B53,'Player Data'!$A1:$AE667,17,FALSE)*$Q53*IFERROR((VLOOKUP(P53,Settings!$E$28:$F$33,2,FALSE)+1),1)</f>
        <v>-2.4365494324652301</v>
      </c>
      <c r="AD53" s="56">
        <f>VLOOKUP(B53,'Player Data'!$A1:$AE667,18,FALSE)*$Q53</f>
        <v>29.741212268447985</v>
      </c>
      <c r="AE53" s="56">
        <f>VLOOKUP(B53,'Player Data'!$A1:$AE667,19,FALSE)*$Q53*IFERROR((VLOOKUP(P53,Settings!$E$28:$F$33,2,FALSE)+1),1)</f>
        <v>1.7446229050479944</v>
      </c>
      <c r="AF53" s="56">
        <f>VLOOKUP(B53,'Player Data'!$A1:$AE667,20,FALSE)*$Q53</f>
        <v>0</v>
      </c>
      <c r="AG53" s="56">
        <f>VLOOKUP(B53,'Player Data'!$A1:$AE667,21,FALSE)*$Q53</f>
        <v>0</v>
      </c>
      <c r="AH53" s="58">
        <f>VLOOKUP(B53,'Player Data'!$A1:$AE667,22,FALSE)</f>
        <v>0</v>
      </c>
      <c r="AI53" s="54"/>
      <c r="AJ53" s="56"/>
      <c r="AK53" s="56"/>
      <c r="AL53" s="56"/>
      <c r="AM53" s="56"/>
      <c r="AN53" s="56"/>
      <c r="AO53" s="56"/>
      <c r="AP53" s="56"/>
      <c r="AQ53" s="59"/>
      <c r="AR53" s="60"/>
      <c r="AS53" s="54"/>
    </row>
    <row r="54" spans="1:45" ht="21.25" customHeight="1" x14ac:dyDescent="0.15">
      <c r="A54" s="45">
        <f>RANK(K54,K$1:K$665)</f>
        <v>53</v>
      </c>
      <c r="B54" s="9" t="s">
        <v>179</v>
      </c>
      <c r="C54" s="46" t="s">
        <v>127</v>
      </c>
      <c r="D54" s="47" t="str">
        <f>VLOOKUP(B54,'Player Data'!A1:D667,4,FALSE)</f>
        <v>C/RW</v>
      </c>
      <c r="E54" s="68">
        <f>VLOOKUP(B54,RW!A1:C136,3,FALSE)</f>
        <v>16</v>
      </c>
      <c r="F54" s="55" t="str">
        <f>VLOOKUP(B54,'Player Data'!A1:B667,2,FALSE)</f>
        <v>DAL</v>
      </c>
      <c r="G54" s="69">
        <f>VLOOKUP(B54,'Player Data'!A1:D667,3,FALSE)</f>
        <v>21</v>
      </c>
      <c r="H54" s="67">
        <f>IFERROR(VLOOKUP(B54,ADP!A1:G665,7,FALSE)/1000000,VLOOKUP(B54,ADP!A1:G665,7,FALSE))</f>
        <v>0.89416700000000005</v>
      </c>
      <c r="I54" s="51">
        <f>IF(Settings!$E$15="POINTS",((R54*Q54)*Settings!$B$12)+(S54*Settings!$B$2)+(T54*Settings!$B$3)+(U54*Settings!$B$4)+(V54*Settings!$B$5)+(X54*Settings!$B$9)+(AA54*Settings!$B$6)+(W54*Settings!$B$8)+(AB54*Settings!$B$7)+(AC54*Settings!$B$14)+(AD54*Settings!$B$15)+(AE54*Settings!$B$16)+(AF54*Settings!$B$17)+(AG54*Settings!$B$18)+(Y54*Settings!$B$10)+(Z54*Settings!$B$11),VLOOKUP(B54,'Standard Deviations'!A1:C666,3,FALSE))</f>
        <v>389.91842521397439</v>
      </c>
      <c r="J54" s="52">
        <f>IF(D54="G",I54/AJ54,I54/Q54)</f>
        <v>4.7533637110078555</v>
      </c>
      <c r="K54" s="51">
        <f>IF(Settings!$E$18="C/LW/RW",VLOOKUP(B54,RW!A1:F136,6,FALSE),VLOOKUP(B54,F!A1:F392,6,FALSE))</f>
        <v>21.070702107681996</v>
      </c>
      <c r="L54" s="53">
        <f>IFERROR(K54/H54,"N/A")</f>
        <v>23.564616126162107</v>
      </c>
      <c r="M54" s="54">
        <f>IF(Settings!$E$9="YAHOO",VLOOKUP(B54,ADP!A1:E665,2,FALSE),IF(Settings!$E$9="ESPN",VLOOKUP(B54,ADP!A1:E665,3,FALSE),IF(Settings!$E$9="FANTRAX",VLOOKUP(B54,ADP!A1:E665,4,FALSE),VLOOKUP(B54,ADP!A1:E665,5,FALSE))))</f>
        <v>57.7</v>
      </c>
      <c r="N54" s="54">
        <f>IFERROR(M54-A54,"N/A")</f>
        <v>4.7000000000000028</v>
      </c>
      <c r="O54" s="54"/>
      <c r="P54" s="55" t="str">
        <f>IF(Settings!$E$27="ON",VLOOKUP(B54,ADP!A1:H665,8,FALSE)," ")</f>
        <v xml:space="preserve"> </v>
      </c>
      <c r="Q54" s="56">
        <f>IF(Settings!$E$12="YES",VLOOKUP(B54,'Player Data'!A1:E667,5,FALSE),82)</f>
        <v>82.03</v>
      </c>
      <c r="R54" s="75">
        <f>VLOOKUP(B54,'Player Data'!$A1:$AE667,6,FALSE)</f>
        <v>19.9465854027308</v>
      </c>
      <c r="S54" s="56">
        <f>VLOOKUP(B54,'Player Data'!$A1:$AE667,7,FALSE)*$Q54*IFERROR((VLOOKUP(P54,Settings!$E$28:$F$33,2,FALSE)+1),1)</f>
        <v>36.228690143854259</v>
      </c>
      <c r="T54" s="56">
        <f>VLOOKUP(B54,'Player Data'!$A1:$AE667,8,FALSE)*$Q54*IFERROR((VLOOKUP(P54,Settings!$E$28:$F$33,2,FALSE)+1),1)</f>
        <v>37.821664613427686</v>
      </c>
      <c r="U54" s="56">
        <f>SUM(S54:T54)</f>
        <v>74.050354757281951</v>
      </c>
      <c r="V54" s="56">
        <f>VLOOKUP(B54,'Player Data'!$A1:$AE667,10,FALSE)*$Q54*IFERROR(((VLOOKUP(P54,Settings!$E$28:$F$33,2,FALSE)/2)+1),1)</f>
        <v>247.78693813619893</v>
      </c>
      <c r="W54" s="56">
        <f>VLOOKUP(B54,'Player Data'!$A1:$AE667,11,FALSE)*$Q54*IFERROR((VLOOKUP(P54,Settings!$E$28:$F$33,2,FALSE)+1),1)</f>
        <v>6.6282328254071796</v>
      </c>
      <c r="X54" s="57">
        <f>VLOOKUP(B54,'Player Data'!$A1:$AE667,12,FALSE)*$Q54*IFERROR((VLOOKUP(P54,Settings!$E$28:$F$33,2,FALSE)+1),1)</f>
        <v>18.974220336780157</v>
      </c>
      <c r="Y54" s="56">
        <f>VLOOKUP(B54,'Player Data'!$A1:$AE667,13,FALSE)*$Q54</f>
        <v>2.5265994453860627</v>
      </c>
      <c r="Z54" s="56">
        <f>VLOOKUP(B54,'Player Data'!$A1:$AE667,14,FALSE)*$Q54</f>
        <v>2.6707786406763998</v>
      </c>
      <c r="AA54" s="56">
        <f>VLOOKUP(B54,'Player Data'!$A1:$AE667,15,FALSE)*$Q54</f>
        <v>44.457785793145078</v>
      </c>
      <c r="AB54" s="56">
        <f>VLOOKUP(B54,'Player Data'!$A1:$AE667,16,FALSE)*$Q54</f>
        <v>51.598176401164963</v>
      </c>
      <c r="AC54" s="56">
        <f>VLOOKUP(B54,'Player Data'!$A1:$AE667,17,FALSE)*$Q54*IFERROR((VLOOKUP(P54,Settings!$E$28:$F$33,2,FALSE)+1),1)</f>
        <v>6.7697229881522825</v>
      </c>
      <c r="AD54" s="56">
        <f>VLOOKUP(B54,'Player Data'!$A1:$AE667,18,FALSE)*$Q54</f>
        <v>37.467482740759209</v>
      </c>
      <c r="AE54" s="56">
        <f>VLOOKUP(B54,'Player Data'!$A1:$AE667,19,FALSE)*$Q54*IFERROR((VLOOKUP(P54,Settings!$E$28:$F$33,2,FALSE)+1),1)</f>
        <v>5.7936455296538387</v>
      </c>
      <c r="AF54" s="56">
        <f>VLOOKUP(B54,'Player Data'!$A1:$AE667,20,FALSE)*$Q54</f>
        <v>327.92887716296838</v>
      </c>
      <c r="AG54" s="56">
        <f>VLOOKUP(B54,'Player Data'!$A1:$AE667,21,FALSE)*$Q54</f>
        <v>366.83791308021409</v>
      </c>
      <c r="AH54" s="58">
        <f>VLOOKUP(B54,'Player Data'!$A1:$AE667,22,FALSE)</f>
        <v>0.47199849182225101</v>
      </c>
      <c r="AI54" s="54"/>
      <c r="AJ54" s="64"/>
      <c r="AK54" s="56"/>
      <c r="AL54" s="56"/>
      <c r="AM54" s="56"/>
      <c r="AN54" s="56"/>
      <c r="AO54" s="56"/>
      <c r="AP54" s="56"/>
      <c r="AQ54" s="59"/>
      <c r="AR54" s="60"/>
      <c r="AS54" s="54"/>
    </row>
    <row r="55" spans="1:45" ht="21.25" customHeight="1" x14ac:dyDescent="0.15">
      <c r="A55" s="45">
        <f>RANK(K55,K$1:K$665)</f>
        <v>54</v>
      </c>
      <c r="B55" s="9" t="s">
        <v>180</v>
      </c>
      <c r="C55" s="46" t="s">
        <v>127</v>
      </c>
      <c r="D55" s="47" t="str">
        <f>VLOOKUP(B55,'Player Data'!A1:D667,4,FALSE)</f>
        <v>LW</v>
      </c>
      <c r="E55" s="70">
        <f>VLOOKUP(B55,LW!A1:C152,3,FALSE)</f>
        <v>14</v>
      </c>
      <c r="F55" s="55" t="str">
        <f>VLOOKUP(B55,'Player Data'!A1:B667,2,FALSE)</f>
        <v>WPG</v>
      </c>
      <c r="G55" s="10">
        <f>VLOOKUP(B55,'Player Data'!A1:D667,3,FALSE)</f>
        <v>27</v>
      </c>
      <c r="H55" s="50">
        <f>IFERROR(VLOOKUP(B55,ADP!A1:G665,7,FALSE)/1000000,VLOOKUP(B55,ADP!A1:G665,7,FALSE))</f>
        <v>7.1428570000000002</v>
      </c>
      <c r="I55" s="51">
        <f>IF(Settings!$E$15="POINTS",((R55*Q55)*Settings!$B$12)+(S55*Settings!$B$2)+(T55*Settings!$B$3)+(U55*Settings!$B$4)+(V55*Settings!$B$5)+(X55*Settings!$B$9)+(AA55*Settings!$B$6)+(W55*Settings!$B$8)+(AB55*Settings!$B$7)+(AC55*Settings!$B$14)+(AD55*Settings!$B$15)+(AE55*Settings!$B$16)+(AF55*Settings!$B$17)+(AG55*Settings!$B$18)+(Y55*Settings!$B$10)+(Z55*Settings!$B$11),VLOOKUP(B55,'Standard Deviations'!A1:C666,3,FALSE))</f>
        <v>399.80626431448712</v>
      </c>
      <c r="J55" s="52">
        <f>IF(D55="G",I55/AJ55,I55/Q55)</f>
        <v>5.0793236692328039</v>
      </c>
      <c r="K55" s="51">
        <f>IF(Settings!$E$18="C/LW/RW",VLOOKUP(B55,LW!A1:F152,6,FALSE),VLOOKUP(B55,F!A1:F392,6,FALSE))</f>
        <v>18.744752011987373</v>
      </c>
      <c r="L55" s="53">
        <f>IFERROR(K55/H55,"N/A")</f>
        <v>2.6242653341635389</v>
      </c>
      <c r="M55" s="54">
        <f>IF(Settings!$E$9="YAHOO",VLOOKUP(B55,ADP!A1:E665,2,FALSE),IF(Settings!$E$9="ESPN",VLOOKUP(B55,ADP!A1:E665,3,FALSE),IF(Settings!$E$9="FANTRAX",VLOOKUP(B55,ADP!A1:E665,4,FALSE),VLOOKUP(B55,ADP!A1:E665,5,FALSE))))</f>
        <v>38</v>
      </c>
      <c r="N55" s="54">
        <f>IFERROR(M55-A55,"N/A")</f>
        <v>-16</v>
      </c>
      <c r="O55" s="54"/>
      <c r="P55" s="55" t="str">
        <f>IF(Settings!$E$27="ON",VLOOKUP(B55,ADP!A1:H665,8,FALSE)," ")</f>
        <v xml:space="preserve"> </v>
      </c>
      <c r="Q55" s="56">
        <f>IF(Settings!$E$12="YES",VLOOKUP(B55,'Player Data'!A1:E667,5,FALSE),82)</f>
        <v>78.712500000000006</v>
      </c>
      <c r="R55" s="54">
        <f>VLOOKUP(B55,'Player Data'!$A1:$AE667,6,FALSE)</f>
        <v>19.673294669517901</v>
      </c>
      <c r="S55" s="56">
        <f>VLOOKUP(B55,'Player Data'!$A1:$AE667,7,FALSE)*$Q55*IFERROR((VLOOKUP(P55,Settings!$E$28:$F$33,2,FALSE)+1),1)</f>
        <v>36.771827504047209</v>
      </c>
      <c r="T55" s="56">
        <f>VLOOKUP(B55,'Player Data'!$A1:$AE667,8,FALSE)*$Q55*IFERROR((VLOOKUP(P55,Settings!$E$28:$F$33,2,FALSE)+1),1)</f>
        <v>40.441437186611481</v>
      </c>
      <c r="U55" s="56">
        <f>SUM(S55:T55)</f>
        <v>77.21326469065869</v>
      </c>
      <c r="V55" s="56">
        <f>VLOOKUP(B55,'Player Data'!$A1:$AE667,10,FALSE)*$Q55*IFERROR(((VLOOKUP(P55,Settings!$E$28:$F$33,2,FALSE)/2)+1),1)</f>
        <v>265.72824512389985</v>
      </c>
      <c r="W55" s="56">
        <f>VLOOKUP(B55,'Player Data'!$A1:$AE667,11,FALSE)*$Q55*IFERROR((VLOOKUP(P55,Settings!$E$28:$F$33,2,FALSE)+1),1)</f>
        <v>6.3664072622207577</v>
      </c>
      <c r="X55" s="57">
        <f>VLOOKUP(B55,'Player Data'!$A1:$AE667,12,FALSE)*$Q55*IFERROR((VLOOKUP(P55,Settings!$E$28:$F$33,2,FALSE)+1),1)</f>
        <v>23.073193109817812</v>
      </c>
      <c r="Y55" s="56">
        <f>VLOOKUP(B55,'Player Data'!$A1:$AE667,13,FALSE)*$Q55</f>
        <v>0.11981813051889302</v>
      </c>
      <c r="Z55" s="56">
        <f>VLOOKUP(B55,'Player Data'!$A1:$AE667,14,FALSE)*$Q55</f>
        <v>0.14099567784917558</v>
      </c>
      <c r="AA55" s="56">
        <f>VLOOKUP(B55,'Player Data'!$A1:$AE667,15,FALSE)*$Q55</f>
        <v>24.176317785788296</v>
      </c>
      <c r="AB55" s="56">
        <f>VLOOKUP(B55,'Player Data'!$A1:$AE667,16,FALSE)*$Q55</f>
        <v>29.221673538235081</v>
      </c>
      <c r="AC55" s="56">
        <f>VLOOKUP(B55,'Player Data'!$A1:$AE667,17,FALSE)*$Q55*IFERROR((VLOOKUP(P55,Settings!$E$28:$F$33,2,FALSE)+1),1)</f>
        <v>0.67514081737135168</v>
      </c>
      <c r="AD55" s="56">
        <f>VLOOKUP(B55,'Player Data'!$A1:$AE667,18,FALSE)*$Q55</f>
        <v>15.157086643747224</v>
      </c>
      <c r="AE55" s="56">
        <f>VLOOKUP(B55,'Player Data'!$A1:$AE667,19,FALSE)*$Q55*IFERROR((VLOOKUP(P55,Settings!$E$28:$F$33,2,FALSE)+1),1)</f>
        <v>6.1124543123616712</v>
      </c>
      <c r="AF55" s="56">
        <f>VLOOKUP(B55,'Player Data'!$A1:$AE667,20,FALSE)*$Q55</f>
        <v>1.8359586074442904</v>
      </c>
      <c r="AG55" s="56">
        <f>VLOOKUP(B55,'Player Data'!$A1:$AE667,21,FALSE)*$Q55</f>
        <v>6.0427188924053166</v>
      </c>
      <c r="AH55" s="58">
        <f>VLOOKUP(B55,'Player Data'!$A1:$AE667,22,FALSE)</f>
        <v>0.233028780208269</v>
      </c>
      <c r="AI55" s="54"/>
      <c r="AJ55" s="56"/>
      <c r="AK55" s="56"/>
      <c r="AL55" s="56"/>
      <c r="AM55" s="56"/>
      <c r="AN55" s="56"/>
      <c r="AO55" s="56"/>
      <c r="AP55" s="56"/>
      <c r="AQ55" s="59"/>
      <c r="AR55" s="60"/>
      <c r="AS55" s="54"/>
    </row>
    <row r="56" spans="1:45" ht="21.25" customHeight="1" x14ac:dyDescent="0.15">
      <c r="A56" s="45">
        <f>RANK(K56,K$1:K$665)</f>
        <v>55</v>
      </c>
      <c r="B56" s="9" t="s">
        <v>181</v>
      </c>
      <c r="C56" s="46" t="s">
        <v>127</v>
      </c>
      <c r="D56" s="47" t="str">
        <f>VLOOKUP(B56,'Player Data'!A1:D667,4,FALSE)</f>
        <v>LW</v>
      </c>
      <c r="E56" s="70">
        <f>VLOOKUP(B56,LW!A1:C152,3,FALSE)</f>
        <v>15</v>
      </c>
      <c r="F56" s="65" t="str">
        <f>VLOOKUP(B56,'Player Data'!A1:B667,2,FALSE)</f>
        <v>WSH</v>
      </c>
      <c r="G56" s="63">
        <f>VLOOKUP(B56,'Player Data'!A1:D667,3,FALSE)</f>
        <v>38</v>
      </c>
      <c r="H56" s="50">
        <f>IFERROR(VLOOKUP(B56,ADP!A1:G665,7,FALSE)/1000000,VLOOKUP(B56,ADP!A1:G665,7,FALSE))</f>
        <v>9.5</v>
      </c>
      <c r="I56" s="51">
        <f>IF(Settings!$E$15="POINTS",((R56*Q56)*Settings!$B$12)+(S56*Settings!$B$2)+(T56*Settings!$B$3)+(U56*Settings!$B$4)+(V56*Settings!$B$5)+(X56*Settings!$B$9)+(AA56*Settings!$B$6)+(W56*Settings!$B$8)+(AB56*Settings!$B$7)+(AC56*Settings!$B$14)+(AD56*Settings!$B$15)+(AE56*Settings!$B$16)+(AF56*Settings!$B$17)+(AG56*Settings!$B$18)+(Y56*Settings!$B$10)+(Z56*Settings!$B$11),VLOOKUP(B56,'Standard Deviations'!A1:C666,3,FALSE))</f>
        <v>397.80017816060581</v>
      </c>
      <c r="J56" s="52">
        <f>IF(D56="G",I56/AJ56,I56/Q56)</f>
        <v>4.9874646208701829</v>
      </c>
      <c r="K56" s="51">
        <f>IF(Settings!$E$18="C/LW/RW",VLOOKUP(B56,LW!A1:F152,6,FALSE),VLOOKUP(B56,F!A1:F392,6,FALSE))</f>
        <v>16.73866585810606</v>
      </c>
      <c r="L56" s="53">
        <f>IFERROR(K56/H56,"N/A")</f>
        <v>1.7619648271690589</v>
      </c>
      <c r="M56" s="54">
        <f>IF(Settings!$E$9="YAHOO",VLOOKUP(B56,ADP!A1:E665,2,FALSE),IF(Settings!$E$9="ESPN",VLOOKUP(B56,ADP!A1:E665,3,FALSE),IF(Settings!$E$9="FANTRAX",VLOOKUP(B56,ADP!A1:E665,4,FALSE),VLOOKUP(B56,ADP!A1:E665,5,FALSE))))</f>
        <v>44.6</v>
      </c>
      <c r="N56" s="54">
        <f>IFERROR(M56-A56,"N/A")</f>
        <v>-10.399999999999999</v>
      </c>
      <c r="O56" s="54"/>
      <c r="P56" s="55" t="str">
        <f>IF(Settings!$E$27="ON",VLOOKUP(B56,ADP!A1:H665,8,FALSE)," ")</f>
        <v xml:space="preserve"> </v>
      </c>
      <c r="Q56" s="56">
        <f>IF(Settings!$E$12="YES",VLOOKUP(B56,'Player Data'!A1:E667,5,FALSE),82)</f>
        <v>79.760000000000005</v>
      </c>
      <c r="R56" s="54">
        <f>VLOOKUP(B56,'Player Data'!$A1:$AE667,6,FALSE)</f>
        <v>19.455130943375099</v>
      </c>
      <c r="S56" s="56">
        <f>VLOOKUP(B56,'Player Data'!$A1:$AE667,7,FALSE)*$Q56*IFERROR((VLOOKUP(P56,Settings!$E$28:$F$33,2,FALSE)+1),1)</f>
        <v>35.892036153646536</v>
      </c>
      <c r="T56" s="56">
        <f>VLOOKUP(B56,'Player Data'!$A1:$AE667,8,FALSE)*$Q56*IFERROR((VLOOKUP(P56,Settings!$E$28:$F$33,2,FALSE)+1),1)</f>
        <v>34.92922660425139</v>
      </c>
      <c r="U56" s="56">
        <f>SUM(S56:T56)</f>
        <v>70.821262757897927</v>
      </c>
      <c r="V56" s="56">
        <f>VLOOKUP(B56,'Player Data'!$A1:$AE667,10,FALSE)*$Q56*IFERROR(((VLOOKUP(P56,Settings!$E$28:$F$33,2,FALSE)/2)+1),1)</f>
        <v>287.84998877882003</v>
      </c>
      <c r="W56" s="56">
        <f>VLOOKUP(B56,'Player Data'!$A1:$AE667,11,FALSE)*$Q56*IFERROR((VLOOKUP(P56,Settings!$E$28:$F$33,2,FALSE)+1),1)</f>
        <v>13.672379898162099</v>
      </c>
      <c r="X56" s="57">
        <f>VLOOKUP(B56,'Player Data'!$A1:$AE667,12,FALSE)*$Q56*IFERROR((VLOOKUP(P56,Settings!$E$28:$F$33,2,FALSE)+1),1)</f>
        <v>27.474280345516821</v>
      </c>
      <c r="Y56" s="56">
        <f>VLOOKUP(B56,'Player Data'!$A1:$AE667,13,FALSE)*$Q56</f>
        <v>6.6248179832295757E-3</v>
      </c>
      <c r="Z56" s="56">
        <f>VLOOKUP(B56,'Player Data'!$A1:$AE667,14,FALSE)*$Q56</f>
        <v>8.4039378807842704E-3</v>
      </c>
      <c r="AA56" s="56">
        <f>VLOOKUP(B56,'Player Data'!$A1:$AE667,15,FALSE)*$Q56</f>
        <v>27.857422428208757</v>
      </c>
      <c r="AB56" s="56">
        <f>VLOOKUP(B56,'Player Data'!$A1:$AE667,16,FALSE)*$Q56</f>
        <v>160.27515562323913</v>
      </c>
      <c r="AC56" s="56">
        <f>VLOOKUP(B56,'Player Data'!$A1:$AE667,17,FALSE)*$Q56*IFERROR((VLOOKUP(P56,Settings!$E$28:$F$33,2,FALSE)+1),1)</f>
        <v>-3.3275094402017387</v>
      </c>
      <c r="AD56" s="56">
        <f>VLOOKUP(B56,'Player Data'!$A1:$AE667,18,FALSE)*$Q56</f>
        <v>28.150030517986981</v>
      </c>
      <c r="AE56" s="56">
        <f>VLOOKUP(B56,'Player Data'!$A1:$AE667,19,FALSE)*$Q56*IFERROR((VLOOKUP(P56,Settings!$E$28:$F$33,2,FALSE)+1),1)</f>
        <v>5.0935298381012064</v>
      </c>
      <c r="AF56" s="56">
        <f>VLOOKUP(B56,'Player Data'!$A1:$AE667,20,FALSE)*$Q56</f>
        <v>1.0661573832424196</v>
      </c>
      <c r="AG56" s="56">
        <f>VLOOKUP(B56,'Player Data'!$A1:$AE667,21,FALSE)*$Q56</f>
        <v>3.6503460768718132</v>
      </c>
      <c r="AH56" s="58">
        <f>VLOOKUP(B56,'Player Data'!$A1:$AE667,22,FALSE)</f>
        <v>0.22604825635315001</v>
      </c>
      <c r="AI56" s="54"/>
      <c r="AJ56" s="56"/>
      <c r="AK56" s="56"/>
      <c r="AL56" s="56"/>
      <c r="AM56" s="56"/>
      <c r="AN56" s="56"/>
      <c r="AO56" s="56"/>
      <c r="AP56" s="56"/>
      <c r="AQ56" s="59"/>
      <c r="AR56" s="60"/>
      <c r="AS56" s="54"/>
    </row>
    <row r="57" spans="1:45" ht="21.25" customHeight="1" x14ac:dyDescent="0.15">
      <c r="A57" s="45">
        <f>RANK(K57,K$1:K$665)</f>
        <v>56</v>
      </c>
      <c r="B57" s="9" t="s">
        <v>182</v>
      </c>
      <c r="C57" s="46" t="s">
        <v>127</v>
      </c>
      <c r="D57" s="47" t="str">
        <f>VLOOKUP(B57,'Player Data'!A1:D667,4,FALSE)</f>
        <v>D</v>
      </c>
      <c r="E57" s="66">
        <f>VLOOKUP(B57,D!A1:C213,3,FALSE)</f>
        <v>16</v>
      </c>
      <c r="F57" s="62" t="str">
        <f>VLOOKUP(B57,'Player Data'!A1:B667,2,FALSE)</f>
        <v>BOS</v>
      </c>
      <c r="G57" s="10">
        <f>VLOOKUP(B57,'Player Data'!A1:D667,3,FALSE)</f>
        <v>26</v>
      </c>
      <c r="H57" s="50">
        <f>IFERROR(VLOOKUP(B57,ADP!A1:G665,7,FALSE)/1000000,VLOOKUP(B57,ADP!A1:G665,7,FALSE))</f>
        <v>9.5</v>
      </c>
      <c r="I57" s="51">
        <f>IF(Settings!$E$15="POINTS",((R57*Q57)*Settings!$B$12)+(S57*Settings!$B$2)+(T57*Settings!$B$3)+(U57*Settings!$B$4)+(V57*Settings!$B$5)+(X57*Settings!$B$9)+(AA57*Settings!$B$6)+(W57*Settings!$B$8)+(AB57*Settings!$B$7)+(AC57*Settings!$B$14)+(AD57*Settings!$B$15)+(AE57*Settings!$B$16)+(AF57*Settings!$B$17)+(AG57*Settings!$B$18)+(U57*Settings!$B$13)+(Y57*Settings!$B$10)+(Z57*Settings!$B$11),VLOOKUP(B57,'Standard Deviations'!A1:C666,3,FALSE))</f>
        <v>352.118321547439</v>
      </c>
      <c r="J57" s="52">
        <f>IF(D57="G",I57/AJ57,I57/Q57)</f>
        <v>4.5058168405571388</v>
      </c>
      <c r="K57" s="51">
        <f>VLOOKUP(B57,D!A1:F213,6,FALSE)</f>
        <v>15.884196501844087</v>
      </c>
      <c r="L57" s="53">
        <f>IFERROR(K57/H57,"N/A")</f>
        <v>1.6720206844046408</v>
      </c>
      <c r="M57" s="54">
        <f>IF(Settings!$E$9="YAHOO",VLOOKUP(B57,ADP!A1:E665,2,FALSE),IF(Settings!$E$9="ESPN",VLOOKUP(B57,ADP!A1:E665,3,FALSE),IF(Settings!$E$9="FANTRAX",VLOOKUP(B57,ADP!A1:E665,4,FALSE),VLOOKUP(B57,ADP!A1:E665,5,FALSE))))</f>
        <v>72.3</v>
      </c>
      <c r="N57" s="54">
        <f>IFERROR(M57-A57,"N/A")</f>
        <v>16.299999999999997</v>
      </c>
      <c r="O57" s="54"/>
      <c r="P57" s="55" t="str">
        <f>IF(Settings!$E$27="ON",VLOOKUP(B57,ADP!A1:H665,8,FALSE)," ")</f>
        <v xml:space="preserve"> </v>
      </c>
      <c r="Q57" s="56">
        <f>IF(Settings!$E$12="YES",VLOOKUP(B57,'Player Data'!A1:E667,5,FALSE),82)</f>
        <v>78.147499999999994</v>
      </c>
      <c r="R57" s="54">
        <f>VLOOKUP(B57,'Player Data'!$A1:$AE667,6,FALSE)</f>
        <v>24.7892169531024</v>
      </c>
      <c r="S57" s="56">
        <f>VLOOKUP(B57,'Player Data'!$A1:$AE667,7,FALSE)*$Q57*IFERROR((VLOOKUP(P57,Settings!$E$28:$F$33,2,FALSE)+1),1)</f>
        <v>11.239457916143989</v>
      </c>
      <c r="T57" s="56">
        <f>VLOOKUP(B57,'Player Data'!$A1:$AE667,8,FALSE)*$Q57*IFERROR((VLOOKUP(P57,Settings!$E$28:$F$33,2,FALSE)+1),1)</f>
        <v>48.288165734778588</v>
      </c>
      <c r="U57" s="56">
        <f>SUM(S57:T57)</f>
        <v>59.527623650922578</v>
      </c>
      <c r="V57" s="56">
        <f>VLOOKUP(B57,'Player Data'!$A1:$AE667,10,FALSE)*$Q57*IFERROR(((VLOOKUP(P57,Settings!$E$28:$F$33,2,FALSE)/2)+1),1)</f>
        <v>147.26299742057699</v>
      </c>
      <c r="W57" s="56">
        <f>VLOOKUP(B57,'Player Data'!$A1:$AE667,11,FALSE)*$Q57*IFERROR((VLOOKUP(P57,Settings!$E$28:$F$33,2,FALSE)+1),1)</f>
        <v>2.5342322417770968</v>
      </c>
      <c r="X57" s="57">
        <f>VLOOKUP(B57,'Player Data'!$A1:$AE667,12,FALSE)*$Q57*IFERROR((VLOOKUP(P57,Settings!$E$28:$F$33,2,FALSE)+1),1)</f>
        <v>20.52396297771547</v>
      </c>
      <c r="Y57" s="56">
        <f>VLOOKUP(B57,'Player Data'!$A1:$AE667,13,FALSE)*$Q57</f>
        <v>3.2504930191407599E-2</v>
      </c>
      <c r="Z57" s="56">
        <f>VLOOKUP(B57,'Player Data'!$A1:$AE667,14,FALSE)*$Q57</f>
        <v>0.14054672842648927</v>
      </c>
      <c r="AA57" s="56">
        <f>VLOOKUP(B57,'Player Data'!$A1:$AE667,15,FALSE)*$Q57</f>
        <v>158.4788843564817</v>
      </c>
      <c r="AB57" s="56">
        <f>VLOOKUP(B57,'Player Data'!$A1:$AE667,16,FALSE)*$Q57</f>
        <v>139.91898438311051</v>
      </c>
      <c r="AC57" s="56">
        <f>VLOOKUP(B57,'Player Data'!$A1:$AE667,17,FALSE)*$Q57*IFERROR((VLOOKUP(P57,Settings!$E$28:$F$33,2,FALSE)+1),1)</f>
        <v>4.6530815853649514</v>
      </c>
      <c r="AD57" s="56">
        <f>VLOOKUP(B57,'Player Data'!$A1:$AE667,18,FALSE)*$Q57</f>
        <v>65.673281354859355</v>
      </c>
      <c r="AE57" s="56">
        <f>VLOOKUP(B57,'Player Data'!$A1:$AE667,19,FALSE)*$Q57*IFERROR((VLOOKUP(P57,Settings!$E$28:$F$33,2,FALSE)+1),1)</f>
        <v>1.7505873583783944</v>
      </c>
      <c r="AF57" s="56">
        <f>VLOOKUP(B57,'Player Data'!$A1:$AE667,20,FALSE)*$Q57</f>
        <v>0</v>
      </c>
      <c r="AG57" s="56">
        <f>VLOOKUP(B57,'Player Data'!$A1:$AE667,21,FALSE)*$Q57</f>
        <v>0</v>
      </c>
      <c r="AH57" s="58">
        <f>VLOOKUP(B57,'Player Data'!$A1:$AE667,22,FALSE)</f>
        <v>0</v>
      </c>
      <c r="AI57" s="54"/>
      <c r="AJ57" s="56"/>
      <c r="AK57" s="56"/>
      <c r="AL57" s="56"/>
      <c r="AM57" s="56"/>
      <c r="AN57" s="56"/>
      <c r="AO57" s="56"/>
      <c r="AP57" s="56"/>
      <c r="AQ57" s="59"/>
      <c r="AR57" s="60"/>
      <c r="AS57" s="54"/>
    </row>
    <row r="58" spans="1:45" ht="21.25" customHeight="1" x14ac:dyDescent="0.15">
      <c r="A58" s="45">
        <f>RANK(K58,K$1:K$665)</f>
        <v>57</v>
      </c>
      <c r="B58" s="9" t="s">
        <v>183</v>
      </c>
      <c r="C58" s="46" t="s">
        <v>127</v>
      </c>
      <c r="D58" s="47" t="str">
        <f>VLOOKUP(B58,'Player Data'!A1:D667,4,FALSE)</f>
        <v>C</v>
      </c>
      <c r="E58" s="48">
        <f>VLOOKUP(B58,'C'!A1:C206,3,FALSE)</f>
        <v>17</v>
      </c>
      <c r="F58" s="72" t="str">
        <f>VLOOKUP(B58,'Player Data'!A1:B667,2,FALSE)</f>
        <v>CAR</v>
      </c>
      <c r="G58" s="10">
        <f>VLOOKUP(B58,'Player Data'!A1:D667,3,FALSE)</f>
        <v>27</v>
      </c>
      <c r="H58" s="50">
        <f>IFERROR(VLOOKUP(B58,ADP!A1:G665,7,FALSE)/1000000,VLOOKUP(B58,ADP!A1:G665,7,FALSE))</f>
        <v>9.75</v>
      </c>
      <c r="I58" s="51">
        <f>IF(Settings!$E$15="POINTS",((R58*Q58)*Settings!$B$12)+(S58*Settings!$B$2)+(T58*Settings!$B$3)+(U58*Settings!$B$4)+(V58*Settings!$B$5)+(X58*Settings!$B$9)+(AA58*Settings!$B$6)+(W58*Settings!$B$8)+(AB58*Settings!$B$7)+(AC58*Settings!$B$14)+(AD58*Settings!$B$15)+(AE58*Settings!$B$16)+(AF58*Settings!$B$17)+(AG58*Settings!$B$18)+(Y58*Settings!$B$10)+(Z58*Settings!$B$11),VLOOKUP(B58,'Standard Deviations'!A1:C666,3,FALSE))</f>
        <v>404.60170536272284</v>
      </c>
      <c r="J58" s="52">
        <f>IF(D58="G",I58/AJ58,I58/Q58)</f>
        <v>5.0538888344342858</v>
      </c>
      <c r="K58" s="51">
        <f>IF(Settings!$E$18="C/LW/RW",VLOOKUP(B58,'C'!A1:F206,6,FALSE),VLOOKUP(B58,F!A1:F392,6,FALSE))</f>
        <v>14.664547584641753</v>
      </c>
      <c r="L58" s="53">
        <f>IFERROR(K58/H58,"N/A")</f>
        <v>1.5040561625273592</v>
      </c>
      <c r="M58" s="54">
        <f>IF(Settings!$E$9="YAHOO",VLOOKUP(B58,ADP!A1:E665,2,FALSE),IF(Settings!$E$9="ESPN",VLOOKUP(B58,ADP!A1:E665,3,FALSE),IF(Settings!$E$9="FANTRAX",VLOOKUP(B58,ADP!A1:E665,4,FALSE),VLOOKUP(B58,ADP!A1:E665,5,FALSE))))</f>
        <v>41.7</v>
      </c>
      <c r="N58" s="54">
        <f>IFERROR(M58-A58,"N/A")</f>
        <v>-15.299999999999997</v>
      </c>
      <c r="O58" s="54"/>
      <c r="P58" s="55" t="str">
        <f>IF(Settings!$E$27="ON",VLOOKUP(B58,ADP!A1:H665,8,FALSE)," ")</f>
        <v xml:space="preserve"> </v>
      </c>
      <c r="Q58" s="56">
        <f>IF(Settings!$E$12="YES",VLOOKUP(B58,'Player Data'!A1:E667,5,FALSE),82)</f>
        <v>80.057500000000005</v>
      </c>
      <c r="R58" s="54">
        <f>VLOOKUP(B58,'Player Data'!$A1:$AE667,6,FALSE)</f>
        <v>19.766526020526999</v>
      </c>
      <c r="S58" s="56">
        <f>VLOOKUP(B58,'Player Data'!$A1:$AE667,7,FALSE)*$Q58*IFERROR((VLOOKUP(P58,Settings!$E$28:$F$33,2,FALSE)+1),1)</f>
        <v>36.893113731235054</v>
      </c>
      <c r="T58" s="56">
        <f>VLOOKUP(B58,'Player Data'!$A1:$AE667,8,FALSE)*$Q58*IFERROR((VLOOKUP(P58,Settings!$E$28:$F$33,2,FALSE)+1),1)</f>
        <v>46.725775720305229</v>
      </c>
      <c r="U58" s="56">
        <f>SUM(S58:T58)</f>
        <v>83.618889451540284</v>
      </c>
      <c r="V58" s="56">
        <f>VLOOKUP(B58,'Player Data'!$A1:$AE667,10,FALSE)*$Q58*IFERROR(((VLOOKUP(P58,Settings!$E$28:$F$33,2,FALSE)/2)+1),1)</f>
        <v>228.0285766131224</v>
      </c>
      <c r="W58" s="56">
        <f>VLOOKUP(B58,'Player Data'!$A1:$AE667,11,FALSE)*$Q58*IFERROR((VLOOKUP(P58,Settings!$E$28:$F$33,2,FALSE)+1),1)</f>
        <v>10.026007104565288</v>
      </c>
      <c r="X58" s="57">
        <f>VLOOKUP(B58,'Player Data'!$A1:$AE667,12,FALSE)*$Q58*IFERROR((VLOOKUP(P58,Settings!$E$28:$F$33,2,FALSE)+1),1)</f>
        <v>25.623031934437815</v>
      </c>
      <c r="Y58" s="56">
        <f>VLOOKUP(B58,'Player Data'!$A1:$AE667,13,FALSE)*$Q58</f>
        <v>1.5169925462762626</v>
      </c>
      <c r="Z58" s="56">
        <f>VLOOKUP(B58,'Player Data'!$A1:$AE667,14,FALSE)*$Q58</f>
        <v>2.6693831914584951</v>
      </c>
      <c r="AA58" s="56">
        <f>VLOOKUP(B58,'Player Data'!$A1:$AE667,15,FALSE)*$Q58</f>
        <v>22.876667151289009</v>
      </c>
      <c r="AB58" s="56">
        <f>VLOOKUP(B58,'Player Data'!$A1:$AE667,16,FALSE)*$Q58</f>
        <v>56.023246924344562</v>
      </c>
      <c r="AC58" s="56">
        <f>VLOOKUP(B58,'Player Data'!$A1:$AE667,17,FALSE)*$Q58*IFERROR((VLOOKUP(P58,Settings!$E$28:$F$33,2,FALSE)+1),1)</f>
        <v>7.6913544199421322</v>
      </c>
      <c r="AD58" s="56">
        <f>VLOOKUP(B58,'Player Data'!$A1:$AE667,18,FALSE)*$Q58</f>
        <v>40.784651798622022</v>
      </c>
      <c r="AE58" s="56">
        <f>VLOOKUP(B58,'Player Data'!$A1:$AE667,19,FALSE)*$Q58*IFERROR((VLOOKUP(P58,Settings!$E$28:$F$33,2,FALSE)+1),1)</f>
        <v>6.3930448383442959</v>
      </c>
      <c r="AF58" s="56">
        <f>VLOOKUP(B58,'Player Data'!$A1:$AE667,20,FALSE)*$Q58</f>
        <v>580.45659898658778</v>
      </c>
      <c r="AG58" s="56">
        <f>VLOOKUP(B58,'Player Data'!$A1:$AE667,21,FALSE)*$Q58</f>
        <v>518.31523174635993</v>
      </c>
      <c r="AH58" s="58">
        <f>VLOOKUP(B58,'Player Data'!$A1:$AE667,22,FALSE)</f>
        <v>0.52827764850814196</v>
      </c>
      <c r="AI58" s="54"/>
      <c r="AJ58" s="56"/>
      <c r="AK58" s="56"/>
      <c r="AL58" s="56"/>
      <c r="AM58" s="56"/>
      <c r="AN58" s="56"/>
      <c r="AO58" s="56"/>
      <c r="AP58" s="56"/>
      <c r="AQ58" s="59"/>
      <c r="AR58" s="60"/>
      <c r="AS58" s="54"/>
    </row>
    <row r="59" spans="1:45" ht="21.25" customHeight="1" x14ac:dyDescent="0.15">
      <c r="A59" s="45">
        <f>RANK(K59,K$1:K$665)</f>
        <v>58</v>
      </c>
      <c r="B59" s="9" t="s">
        <v>184</v>
      </c>
      <c r="C59" s="46" t="s">
        <v>127</v>
      </c>
      <c r="D59" s="47" t="str">
        <f>VLOOKUP(B59,'Player Data'!A1:D667,4,FALSE)</f>
        <v>C/LW</v>
      </c>
      <c r="E59" s="68">
        <f>VLOOKUP(B59,LW!A1:C152,3,FALSE)</f>
        <v>16</v>
      </c>
      <c r="F59" s="65" t="str">
        <f>VLOOKUP(B59,'Player Data'!A1:B667,2,FALSE)</f>
        <v>NSH</v>
      </c>
      <c r="G59" s="63">
        <f>VLOOKUP(B59,'Player Data'!A1:D667,3,FALSE)</f>
        <v>34</v>
      </c>
      <c r="H59" s="50">
        <f>IFERROR(VLOOKUP(B59,ADP!A1:G665,7,FALSE)/1000000,VLOOKUP(B59,ADP!A1:G665,7,FALSE))</f>
        <v>8</v>
      </c>
      <c r="I59" s="51">
        <f>IF(Settings!$E$15="POINTS",((R59*Q59)*Settings!$B$12)+(S59*Settings!$B$2)+(T59*Settings!$B$3)+(U59*Settings!$B$4)+(V59*Settings!$B$5)+(X59*Settings!$B$9)+(AA59*Settings!$B$6)+(W59*Settings!$B$8)+(AB59*Settings!$B$7)+(AC59*Settings!$B$14)+(AD59*Settings!$B$15)+(AE59*Settings!$B$16)+(AF59*Settings!$B$17)+(AG59*Settings!$B$18)+(Y59*Settings!$B$10)+(Z59*Settings!$B$11),VLOOKUP(B59,'Standard Deviations'!A1:C666,3,FALSE))</f>
        <v>393.87323859264939</v>
      </c>
      <c r="J59" s="52">
        <f>IF(D59="G",I59/AJ59,I59/Q59)</f>
        <v>4.8470740658706539</v>
      </c>
      <c r="K59" s="51">
        <f>IF(Settings!$E$18="C/LW/RW",VLOOKUP(B59,LW!A1:F152,6,FALSE),VLOOKUP(B59,F!A1:F392,6,FALSE))</f>
        <v>12.811726290149636</v>
      </c>
      <c r="L59" s="53">
        <f>IFERROR(K59/H59,"N/A")</f>
        <v>1.6014657862687045</v>
      </c>
      <c r="M59" s="54">
        <f>IF(Settings!$E$9="YAHOO",VLOOKUP(B59,ADP!A1:E665,2,FALSE),IF(Settings!$E$9="ESPN",VLOOKUP(B59,ADP!A1:E665,3,FALSE),IF(Settings!$E$9="FANTRAX",VLOOKUP(B59,ADP!A1:E665,4,FALSE),VLOOKUP(B59,ADP!A1:E665,5,FALSE))))</f>
        <v>45.6</v>
      </c>
      <c r="N59" s="54">
        <f>IFERROR(M59-A59,"N/A")</f>
        <v>-12.399999999999999</v>
      </c>
      <c r="O59" s="54"/>
      <c r="P59" s="55" t="str">
        <f>IF(Settings!$E$27="ON",VLOOKUP(B59,ADP!A1:H665,8,FALSE)," ")</f>
        <v xml:space="preserve"> </v>
      </c>
      <c r="Q59" s="56">
        <f>IF(Settings!$E$12="YES",VLOOKUP(B59,'Player Data'!A1:E667,5,FALSE),82)</f>
        <v>81.260000000000005</v>
      </c>
      <c r="R59" s="54">
        <f>VLOOKUP(B59,'Player Data'!$A1:$AE667,6,FALSE)</f>
        <v>18.016804966073899</v>
      </c>
      <c r="S59" s="56">
        <f>VLOOKUP(B59,'Player Data'!$A1:$AE667,7,FALSE)*$Q59*IFERROR((VLOOKUP(P59,Settings!$E$28:$F$33,2,FALSE)+1),1)</f>
        <v>31.897212702779417</v>
      </c>
      <c r="T59" s="56">
        <f>VLOOKUP(B59,'Player Data'!$A1:$AE667,8,FALSE)*$Q59*IFERROR((VLOOKUP(P59,Settings!$E$28:$F$33,2,FALSE)+1),1)</f>
        <v>41.037725560131989</v>
      </c>
      <c r="U59" s="56">
        <f>SUM(S59:T59)</f>
        <v>72.934938262911402</v>
      </c>
      <c r="V59" s="56">
        <f>VLOOKUP(B59,'Player Data'!$A1:$AE667,10,FALSE)*$Q59*IFERROR(((VLOOKUP(P59,Settings!$E$28:$F$33,2,FALSE)/2)+1),1)</f>
        <v>245.81748826761154</v>
      </c>
      <c r="W59" s="56">
        <f>VLOOKUP(B59,'Player Data'!$A1:$AE667,11,FALSE)*$Q59*IFERROR((VLOOKUP(P59,Settings!$E$28:$F$33,2,FALSE)+1),1)</f>
        <v>13.245682663416654</v>
      </c>
      <c r="X59" s="57">
        <f>VLOOKUP(B59,'Player Data'!$A1:$AE667,12,FALSE)*$Q59*IFERROR((VLOOKUP(P59,Settings!$E$28:$F$33,2,FALSE)+1),1)</f>
        <v>30.178695880643865</v>
      </c>
      <c r="Y59" s="56">
        <f>VLOOKUP(B59,'Player Data'!$A1:$AE667,13,FALSE)*$Q59</f>
        <v>8.4536058386038022E-3</v>
      </c>
      <c r="Z59" s="56">
        <f>VLOOKUP(B59,'Player Data'!$A1:$AE667,14,FALSE)*$Q59</f>
        <v>1.4365231245530892E-2</v>
      </c>
      <c r="AA59" s="56">
        <f>VLOOKUP(B59,'Player Data'!$A1:$AE667,15,FALSE)*$Q59</f>
        <v>43.933237116440004</v>
      </c>
      <c r="AB59" s="56">
        <f>VLOOKUP(B59,'Player Data'!$A1:$AE667,16,FALSE)*$Q59</f>
        <v>80.648663659817245</v>
      </c>
      <c r="AC59" s="56">
        <f>VLOOKUP(B59,'Player Data'!$A1:$AE667,17,FALSE)*$Q59*IFERROR((VLOOKUP(P59,Settings!$E$28:$F$33,2,FALSE)+1),1)</f>
        <v>-0.14532909536025815</v>
      </c>
      <c r="AD59" s="56">
        <f>VLOOKUP(B59,'Player Data'!$A1:$AE667,18,FALSE)*$Q59</f>
        <v>38.294070634140212</v>
      </c>
      <c r="AE59" s="56">
        <f>VLOOKUP(B59,'Player Data'!$A1:$AE667,19,FALSE)*$Q59*IFERROR((VLOOKUP(P59,Settings!$E$28:$F$33,2,FALSE)+1),1)</f>
        <v>4.516416297470788</v>
      </c>
      <c r="AF59" s="56">
        <f>VLOOKUP(B59,'Player Data'!$A1:$AE667,20,FALSE)*$Q59</f>
        <v>400.98153951617843</v>
      </c>
      <c r="AG59" s="56">
        <f>VLOOKUP(B59,'Player Data'!$A1:$AE667,21,FALSE)*$Q59</f>
        <v>342.09784969418558</v>
      </c>
      <c r="AH59" s="58">
        <f>VLOOKUP(B59,'Player Data'!$A1:$AE667,22,FALSE)</f>
        <v>0.53962139892250705</v>
      </c>
      <c r="AI59" s="54"/>
      <c r="AJ59" s="56"/>
      <c r="AK59" s="56"/>
      <c r="AL59" s="56"/>
      <c r="AM59" s="56"/>
      <c r="AN59" s="56"/>
      <c r="AO59" s="56"/>
      <c r="AP59" s="56"/>
      <c r="AQ59" s="59"/>
      <c r="AR59" s="60"/>
      <c r="AS59" s="54"/>
    </row>
    <row r="60" spans="1:45" ht="21.25" customHeight="1" x14ac:dyDescent="0.15">
      <c r="A60" s="45">
        <f>RANK(K60,K$1:K$665)</f>
        <v>59</v>
      </c>
      <c r="B60" s="9" t="s">
        <v>185</v>
      </c>
      <c r="C60" s="46" t="s">
        <v>127</v>
      </c>
      <c r="D60" s="47" t="str">
        <f>VLOOKUP(B60,'Player Data'!A1:D667,4,FALSE)</f>
        <v>LW/RW</v>
      </c>
      <c r="E60" s="68">
        <f>VLOOKUP(B60,RW!A1:C136,3,FALSE)</f>
        <v>17</v>
      </c>
      <c r="F60" s="62" t="str">
        <f>VLOOKUP(B60,'Player Data'!A1:B667,2,FALSE)</f>
        <v>MTL</v>
      </c>
      <c r="G60" s="69">
        <f>VLOOKUP(B60,'Player Data'!A1:D667,3,FALSE)</f>
        <v>23</v>
      </c>
      <c r="H60" s="50">
        <f>IFERROR(VLOOKUP(B60,ADP!A1:G665,7,FALSE)/1000000,VLOOKUP(B60,ADP!A1:G665,7,FALSE))</f>
        <v>7.85</v>
      </c>
      <c r="I60" s="51">
        <f>IF(Settings!$E$15="POINTS",((R60*Q60)*Settings!$B$12)+(S60*Settings!$B$2)+(T60*Settings!$B$3)+(U60*Settings!$B$4)+(V60*Settings!$B$5)+(X60*Settings!$B$9)+(AA60*Settings!$B$6)+(W60*Settings!$B$8)+(AB60*Settings!$B$7)+(AC60*Settings!$B$14)+(AD60*Settings!$B$15)+(AE60*Settings!$B$16)+(AF60*Settings!$B$17)+(AG60*Settings!$B$18)+(Y60*Settings!$B$10)+(Z60*Settings!$B$11),VLOOKUP(B60,'Standard Deviations'!A1:C666,3,FALSE))</f>
        <v>381.06151230249975</v>
      </c>
      <c r="J60" s="52">
        <f>IF(D60="G",I60/AJ60,I60/Q60)</f>
        <v>5.0418300119409869</v>
      </c>
      <c r="K60" s="51">
        <f>IF(Settings!$E$18="C/LW/RW",VLOOKUP(B60,RW!A1:F136,6,FALSE),VLOOKUP(B60,F!A1:F392,6,FALSE))</f>
        <v>12.213789196207358</v>
      </c>
      <c r="L60" s="53">
        <f>IFERROR(K60/H60,"N/A")</f>
        <v>1.5558967128926571</v>
      </c>
      <c r="M60" s="54">
        <f>IF(Settings!$E$9="YAHOO",VLOOKUP(B60,ADP!A1:E665,2,FALSE),IF(Settings!$E$9="ESPN",VLOOKUP(B60,ADP!A1:E665,3,FALSE),IF(Settings!$E$9="FANTRAX",VLOOKUP(B60,ADP!A1:E665,4,FALSE),VLOOKUP(B60,ADP!A1:E665,5,FALSE))))</f>
        <v>83.4</v>
      </c>
      <c r="N60" s="54">
        <f>IFERROR(M60-A60,"N/A")</f>
        <v>24.400000000000006</v>
      </c>
      <c r="O60" s="54"/>
      <c r="P60" s="55" t="str">
        <f>IF(Settings!$E$27="ON",VLOOKUP(B60,ADP!A1:H665,8,FALSE)," ")</f>
        <v>+</v>
      </c>
      <c r="Q60" s="56">
        <f>IF(Settings!$E$12="YES",VLOOKUP(B60,'Player Data'!A1:E667,5,FALSE),82)</f>
        <v>75.58</v>
      </c>
      <c r="R60" s="54">
        <f>VLOOKUP(B60,'Player Data'!$A1:$AE667,6,FALSE)</f>
        <v>19.5489909349314</v>
      </c>
      <c r="S60" s="56">
        <f>VLOOKUP(B60,'Player Data'!$A1:$AE667,7,FALSE)*$Q60*IFERROR((VLOOKUP(P60,Settings!$E$28:$F$33,2,FALSE)+1),1)</f>
        <v>33.676397592677489</v>
      </c>
      <c r="T60" s="56">
        <f>VLOOKUP(B60,'Player Data'!$A1:$AE667,8,FALSE)*$Q60*IFERROR((VLOOKUP(P60,Settings!$E$28:$F$33,2,FALSE)+1),1)</f>
        <v>34.643040229777711</v>
      </c>
      <c r="U60" s="56">
        <f>SUM(S60:T60)</f>
        <v>68.3194378224552</v>
      </c>
      <c r="V60" s="56">
        <f>VLOOKUP(B60,'Player Data'!$A1:$AE667,10,FALSE)*$Q60*IFERROR(((VLOOKUP(P60,Settings!$E$28:$F$33,2,FALSE)/2)+1),1)</f>
        <v>287.41136032212955</v>
      </c>
      <c r="W60" s="56">
        <f>VLOOKUP(B60,'Player Data'!$A1:$AE667,11,FALSE)*$Q60*IFERROR((VLOOKUP(P60,Settings!$E$28:$F$33,2,FALSE)+1),1)</f>
        <v>10.045527734658434</v>
      </c>
      <c r="X60" s="57">
        <f>VLOOKUP(B60,'Player Data'!$A1:$AE667,12,FALSE)*$Q60*IFERROR((VLOOKUP(P60,Settings!$E$28:$F$33,2,FALSE)+1),1)</f>
        <v>21.432679352864646</v>
      </c>
      <c r="Y60" s="56">
        <f>VLOOKUP(B60,'Player Data'!$A1:$AE667,13,FALSE)*$Q60</f>
        <v>1.4579907710879538E-3</v>
      </c>
      <c r="Z60" s="56">
        <f>VLOOKUP(B60,'Player Data'!$A1:$AE667,14,FALSE)*$Q60</f>
        <v>2.4639338022689051E-3</v>
      </c>
      <c r="AA60" s="56">
        <f>VLOOKUP(B60,'Player Data'!$A1:$AE667,15,FALSE)*$Q60</f>
        <v>21.924750774804938</v>
      </c>
      <c r="AB60" s="56">
        <f>VLOOKUP(B60,'Player Data'!$A1:$AE667,16,FALSE)*$Q60</f>
        <v>46.973497350760567</v>
      </c>
      <c r="AC60" s="56">
        <f>VLOOKUP(B60,'Player Data'!$A1:$AE667,17,FALSE)*$Q60*IFERROR((VLOOKUP(P60,Settings!$E$28:$F$33,2,FALSE)+1),1)</f>
        <v>-2.4198969861280029</v>
      </c>
      <c r="AD60" s="56">
        <f>VLOOKUP(B60,'Player Data'!$A1:$AE667,18,FALSE)*$Q60</f>
        <v>17.341955839815373</v>
      </c>
      <c r="AE60" s="56">
        <f>VLOOKUP(B60,'Player Data'!$A1:$AE667,19,FALSE)*$Q60*IFERROR((VLOOKUP(P60,Settings!$E$28:$F$33,2,FALSE)+1),1)</f>
        <v>3.9031373397575719</v>
      </c>
      <c r="AF60" s="56">
        <f>VLOOKUP(B60,'Player Data'!$A1:$AE667,20,FALSE)*$Q60</f>
        <v>4.6704418368931639</v>
      </c>
      <c r="AG60" s="56">
        <f>VLOOKUP(B60,'Player Data'!$A1:$AE667,21,FALSE)*$Q60</f>
        <v>8.7137799814253381</v>
      </c>
      <c r="AH60" s="58">
        <f>VLOOKUP(B60,'Player Data'!$A1:$AE667,22,FALSE)</f>
        <v>0.34895131747599301</v>
      </c>
      <c r="AI60" s="54"/>
      <c r="AJ60" s="56"/>
      <c r="AK60" s="56"/>
      <c r="AL60" s="56"/>
      <c r="AM60" s="56"/>
      <c r="AN60" s="56"/>
      <c r="AO60" s="56"/>
      <c r="AP60" s="56"/>
      <c r="AQ60" s="59"/>
      <c r="AR60" s="60"/>
      <c r="AS60" s="54"/>
    </row>
    <row r="61" spans="1:45" ht="21.25" customHeight="1" x14ac:dyDescent="0.15">
      <c r="A61" s="45">
        <f>RANK(K61,K$1:K$665)</f>
        <v>60</v>
      </c>
      <c r="B61" s="9" t="s">
        <v>186</v>
      </c>
      <c r="C61" s="46" t="s">
        <v>127</v>
      </c>
      <c r="D61" s="47" t="str">
        <f>VLOOKUP(B61,'Player Data'!A1:D667,4,FALSE)</f>
        <v>C/LW</v>
      </c>
      <c r="E61" s="68">
        <f>VLOOKUP(B61,LW!A1:C152,3,FALSE)</f>
        <v>18</v>
      </c>
      <c r="F61" s="62" t="str">
        <f>VLOOKUP(B61,'Player Data'!A1:B667,2,FALSE)</f>
        <v>OTT</v>
      </c>
      <c r="G61" s="69">
        <f>VLOOKUP(B61,'Player Data'!A1:D667,3,FALSE)</f>
        <v>22</v>
      </c>
      <c r="H61" s="50">
        <f>IFERROR(VLOOKUP(B61,ADP!A1:G665,7,FALSE)/1000000,VLOOKUP(B61,ADP!A1:G665,7,FALSE))</f>
        <v>8.35</v>
      </c>
      <c r="I61" s="51">
        <f>IF(Settings!$E$15="POINTS",((R61*Q61)*Settings!$B$12)+(S61*Settings!$B$2)+(T61*Settings!$B$3)+(U61*Settings!$B$4)+(V61*Settings!$B$5)+(X61*Settings!$B$9)+(AA61*Settings!$B$6)+(W61*Settings!$B$8)+(AB61*Settings!$B$7)+(AC61*Settings!$B$14)+(AD61*Settings!$B$15)+(AE61*Settings!$B$16)+(AF61*Settings!$B$17)+(AG61*Settings!$B$18)+(Y61*Settings!$B$10)+(Z61*Settings!$B$11),VLOOKUP(B61,'Standard Deviations'!A1:C666,3,FALSE))</f>
        <v>392.20335983687431</v>
      </c>
      <c r="J61" s="52">
        <f>IF(D61="G",I61/AJ61,I61/Q61)</f>
        <v>4.9063751035105465</v>
      </c>
      <c r="K61" s="51">
        <f>IF(Settings!$E$18="C/LW/RW",VLOOKUP(B61,LW!A1:F152,6,FALSE),VLOOKUP(B61,F!A1:F392,6,FALSE))</f>
        <v>11.141847534374563</v>
      </c>
      <c r="L61" s="53">
        <f>IFERROR(K61/H61,"N/A")</f>
        <v>1.3343529981286901</v>
      </c>
      <c r="M61" s="54">
        <f>IF(Settings!$E$9="YAHOO",VLOOKUP(B61,ADP!A1:E665,2,FALSE),IF(Settings!$E$9="ESPN",VLOOKUP(B61,ADP!A1:E665,3,FALSE),IF(Settings!$E$9="FANTRAX",VLOOKUP(B61,ADP!A1:E665,4,FALSE),VLOOKUP(B61,ADP!A1:E665,5,FALSE))))</f>
        <v>60</v>
      </c>
      <c r="N61" s="54">
        <f>IFERROR(M61-A61,"N/A")</f>
        <v>0</v>
      </c>
      <c r="O61" s="54"/>
      <c r="P61" s="55" t="str">
        <f>IF(Settings!$E$27="ON",VLOOKUP(B61,ADP!A1:H665,8,FALSE)," ")</f>
        <v xml:space="preserve"> </v>
      </c>
      <c r="Q61" s="56">
        <f>IF(Settings!$E$12="YES",VLOOKUP(B61,'Player Data'!A1:E667,5,FALSE),82)</f>
        <v>79.9375</v>
      </c>
      <c r="R61" s="54">
        <f>VLOOKUP(B61,'Player Data'!$A1:$AE667,6,FALSE)</f>
        <v>20.649562578545201</v>
      </c>
      <c r="S61" s="56">
        <f>VLOOKUP(B61,'Player Data'!$A1:$AE667,7,FALSE)*$Q61*IFERROR((VLOOKUP(P61,Settings!$E$28:$F$33,2,FALSE)+1),1)</f>
        <v>29.120248548420832</v>
      </c>
      <c r="T61" s="56">
        <f>VLOOKUP(B61,'Player Data'!$A1:$AE667,8,FALSE)*$Q61*IFERROR((VLOOKUP(P61,Settings!$E$28:$F$33,2,FALSE)+1),1)</f>
        <v>51.531313363397402</v>
      </c>
      <c r="U61" s="56">
        <f>SUM(S61:T61)</f>
        <v>80.651561911818234</v>
      </c>
      <c r="V61" s="56">
        <f>VLOOKUP(B61,'Player Data'!$A1:$AE667,10,FALSE)*$Q61*IFERROR(((VLOOKUP(P61,Settings!$E$28:$F$33,2,FALSE)/2)+1),1)</f>
        <v>209.49284911482837</v>
      </c>
      <c r="W61" s="56">
        <f>VLOOKUP(B61,'Player Data'!$A1:$AE667,11,FALSE)*$Q61*IFERROR((VLOOKUP(P61,Settings!$E$28:$F$33,2,FALSE)+1),1)</f>
        <v>4.7861556348140022</v>
      </c>
      <c r="X61" s="57">
        <f>VLOOKUP(B61,'Player Data'!$A1:$AE667,12,FALSE)*$Q61*IFERROR((VLOOKUP(P61,Settings!$E$28:$F$33,2,FALSE)+1),1)</f>
        <v>21.269875815486298</v>
      </c>
      <c r="Y61" s="56">
        <f>VLOOKUP(B61,'Player Data'!$A1:$AE667,13,FALSE)*$Q61</f>
        <v>0.94583831351134529</v>
      </c>
      <c r="Z61" s="56">
        <f>VLOOKUP(B61,'Player Data'!$A1:$AE667,14,FALSE)*$Q61</f>
        <v>1.0056821683187727</v>
      </c>
      <c r="AA61" s="56">
        <f>VLOOKUP(B61,'Player Data'!$A1:$AE667,15,FALSE)*$Q61</f>
        <v>46.453383120400758</v>
      </c>
      <c r="AB61" s="56">
        <f>VLOOKUP(B61,'Player Data'!$A1:$AE667,16,FALSE)*$Q61</f>
        <v>106.7378952644663</v>
      </c>
      <c r="AC61" s="56">
        <f>VLOOKUP(B61,'Player Data'!$A1:$AE667,17,FALSE)*$Q61*IFERROR((VLOOKUP(P61,Settings!$E$28:$F$33,2,FALSE)+1),1)</f>
        <v>-1.1469142859395363</v>
      </c>
      <c r="AD61" s="56">
        <f>VLOOKUP(B61,'Player Data'!$A1:$AE667,18,FALSE)*$Q61</f>
        <v>40.890394757273604</v>
      </c>
      <c r="AE61" s="56">
        <f>VLOOKUP(B61,'Player Data'!$A1:$AE667,19,FALSE)*$Q61*IFERROR((VLOOKUP(P61,Settings!$E$28:$F$33,2,FALSE)+1),1)</f>
        <v>4.521333237785333</v>
      </c>
      <c r="AF61" s="56">
        <f>VLOOKUP(B61,'Player Data'!$A1:$AE667,20,FALSE)*$Q61</f>
        <v>225.80916654442433</v>
      </c>
      <c r="AG61" s="56">
        <f>VLOOKUP(B61,'Player Data'!$A1:$AE667,21,FALSE)*$Q61</f>
        <v>300.54306301833628</v>
      </c>
      <c r="AH61" s="58">
        <f>VLOOKUP(B61,'Player Data'!$A1:$AE667,22,FALSE)</f>
        <v>0.42900771358374201</v>
      </c>
      <c r="AI61" s="54"/>
      <c r="AJ61" s="64"/>
      <c r="AK61" s="56"/>
      <c r="AL61" s="56"/>
      <c r="AM61" s="56"/>
      <c r="AN61" s="56"/>
      <c r="AO61" s="56"/>
      <c r="AP61" s="56"/>
      <c r="AQ61" s="59"/>
      <c r="AR61" s="60"/>
      <c r="AS61" s="54"/>
    </row>
    <row r="62" spans="1:45" ht="21.25" customHeight="1" x14ac:dyDescent="0.15">
      <c r="A62" s="45">
        <f>RANK(K62,K$1:K$665)</f>
        <v>61</v>
      </c>
      <c r="B62" s="9" t="s">
        <v>187</v>
      </c>
      <c r="C62" s="46" t="s">
        <v>127</v>
      </c>
      <c r="D62" s="47" t="str">
        <f>VLOOKUP(B62,'Player Data'!A1:D667,4,FALSE)</f>
        <v>C</v>
      </c>
      <c r="E62" s="48">
        <f>VLOOKUP(B62,'C'!A1:C206,3,FALSE)</f>
        <v>18</v>
      </c>
      <c r="F62" s="65" t="str">
        <f>VLOOKUP(B62,'Player Data'!A1:B667,2,FALSE)</f>
        <v>DET</v>
      </c>
      <c r="G62" s="10">
        <f>VLOOKUP(B62,'Player Data'!A1:D667,3,FALSE)</f>
        <v>28</v>
      </c>
      <c r="H62" s="50">
        <f>IFERROR(VLOOKUP(B62,ADP!A1:G665,7,FALSE)/1000000,VLOOKUP(B62,ADP!A1:G665,7,FALSE))</f>
        <v>8.6999999999999993</v>
      </c>
      <c r="I62" s="51">
        <f>IF(Settings!$E$15="POINTS",((R62*Q62)*Settings!$B$12)+(S62*Settings!$B$2)+(T62*Settings!$B$3)+(U62*Settings!$B$4)+(V62*Settings!$B$5)+(X62*Settings!$B$9)+(AA62*Settings!$B$6)+(W62*Settings!$B$8)+(AB62*Settings!$B$7)+(AC62*Settings!$B$14)+(AD62*Settings!$B$15)+(AE62*Settings!$B$16)+(AF62*Settings!$B$17)+(AG62*Settings!$B$18)+(Y62*Settings!$B$10)+(Z62*Settings!$B$11),VLOOKUP(B62,'Standard Deviations'!A1:C666,3,FALSE))</f>
        <v>399.89444628441805</v>
      </c>
      <c r="J62" s="52">
        <f>IF(D62="G",I62/AJ62,I62/Q62)</f>
        <v>5.1157022679342212</v>
      </c>
      <c r="K62" s="51">
        <f>IF(Settings!$E$18="C/LW/RW",VLOOKUP(B62,'C'!A1:F206,6,FALSE),VLOOKUP(B62,F!A1:F392,6,FALSE))</f>
        <v>9.9572885063369654</v>
      </c>
      <c r="L62" s="53">
        <f>IFERROR(K62/H62,"N/A")</f>
        <v>1.1445159202686168</v>
      </c>
      <c r="M62" s="54">
        <f>IF(Settings!$E$9="YAHOO",VLOOKUP(B62,ADP!A1:E665,2,FALSE),IF(Settings!$E$9="ESPN",VLOOKUP(B62,ADP!A1:E665,3,FALSE),IF(Settings!$E$9="FANTRAX",VLOOKUP(B62,ADP!A1:E665,4,FALSE),VLOOKUP(B62,ADP!A1:E665,5,FALSE))))</f>
        <v>87.1</v>
      </c>
      <c r="N62" s="54">
        <f>IFERROR(M62-A62,"N/A")</f>
        <v>26.099999999999994</v>
      </c>
      <c r="O62" s="54"/>
      <c r="P62" s="55" t="str">
        <f>IF(Settings!$E$27="ON",VLOOKUP(B62,ADP!A1:H665,8,FALSE)," ")</f>
        <v xml:space="preserve"> </v>
      </c>
      <c r="Q62" s="56">
        <f>IF(Settings!$E$12="YES",VLOOKUP(B62,'Player Data'!A1:E667,5,FALSE),82)</f>
        <v>78.17</v>
      </c>
      <c r="R62" s="54">
        <f>VLOOKUP(B62,'Player Data'!$A1:$AE667,6,FALSE)</f>
        <v>20.131338092575401</v>
      </c>
      <c r="S62" s="56">
        <f>VLOOKUP(B62,'Player Data'!$A1:$AE667,7,FALSE)*$Q62*IFERROR((VLOOKUP(P62,Settings!$E$28:$F$33,2,FALSE)+1),1)</f>
        <v>34.065204603027816</v>
      </c>
      <c r="T62" s="56">
        <f>VLOOKUP(B62,'Player Data'!$A1:$AE667,8,FALSE)*$Q62*IFERROR((VLOOKUP(P62,Settings!$E$28:$F$33,2,FALSE)+1),1)</f>
        <v>43.634816064339923</v>
      </c>
      <c r="U62" s="56">
        <f>SUM(S62:T62)</f>
        <v>77.700020667367738</v>
      </c>
      <c r="V62" s="56">
        <f>VLOOKUP(B62,'Player Data'!$A1:$AE667,10,FALSE)*$Q62*IFERROR(((VLOOKUP(P62,Settings!$E$28:$F$33,2,FALSE)/2)+1),1)</f>
        <v>246.29030353952143</v>
      </c>
      <c r="W62" s="56">
        <f>VLOOKUP(B62,'Player Data'!$A1:$AE667,11,FALSE)*$Q62*IFERROR((VLOOKUP(P62,Settings!$E$28:$F$33,2,FALSE)+1),1)</f>
        <v>12.744217886694752</v>
      </c>
      <c r="X62" s="57">
        <f>VLOOKUP(B62,'Player Data'!$A1:$AE667,12,FALSE)*$Q62*IFERROR((VLOOKUP(P62,Settings!$E$28:$F$33,2,FALSE)+1),1)</f>
        <v>24.465229483134856</v>
      </c>
      <c r="Y62" s="56">
        <f>VLOOKUP(B62,'Player Data'!$A1:$AE667,13,FALSE)*$Q62</f>
        <v>0.73340383474839865</v>
      </c>
      <c r="Z62" s="56">
        <f>VLOOKUP(B62,'Player Data'!$A1:$AE667,14,FALSE)*$Q62</f>
        <v>0.94602114273341997</v>
      </c>
      <c r="AA62" s="56">
        <f>VLOOKUP(B62,'Player Data'!$A1:$AE667,15,FALSE)*$Q62</f>
        <v>36.475963773371774</v>
      </c>
      <c r="AB62" s="56">
        <f>VLOOKUP(B62,'Player Data'!$A1:$AE667,16,FALSE)*$Q62</f>
        <v>54.341727545285536</v>
      </c>
      <c r="AC62" s="56">
        <f>VLOOKUP(B62,'Player Data'!$A1:$AE667,17,FALSE)*$Q62*IFERROR((VLOOKUP(P62,Settings!$E$28:$F$33,2,FALSE)+1),1)</f>
        <v>-2.2195620156329401</v>
      </c>
      <c r="AD62" s="56">
        <f>VLOOKUP(B62,'Player Data'!$A1:$AE667,18,FALSE)*$Q62</f>
        <v>37.96839070553721</v>
      </c>
      <c r="AE62" s="56">
        <f>VLOOKUP(B62,'Player Data'!$A1:$AE667,19,FALSE)*$Q62*IFERROR((VLOOKUP(P62,Settings!$E$28:$F$33,2,FALSE)+1),1)</f>
        <v>4.6786059882359448</v>
      </c>
      <c r="AF62" s="56">
        <f>VLOOKUP(B62,'Player Data'!$A1:$AE667,20,FALSE)*$Q62</f>
        <v>784.80728768695576</v>
      </c>
      <c r="AG62" s="56">
        <f>VLOOKUP(B62,'Player Data'!$A1:$AE667,21,FALSE)*$Q62</f>
        <v>660.72319966941131</v>
      </c>
      <c r="AH62" s="58">
        <f>VLOOKUP(B62,'Player Data'!$A1:$AE667,22,FALSE)</f>
        <v>0.54291991386652405</v>
      </c>
      <c r="AI62" s="54"/>
      <c r="AJ62" s="56"/>
      <c r="AK62" s="56"/>
      <c r="AL62" s="56"/>
      <c r="AM62" s="56"/>
      <c r="AN62" s="56"/>
      <c r="AO62" s="56"/>
      <c r="AP62" s="56"/>
      <c r="AQ62" s="59"/>
      <c r="AR62" s="60"/>
      <c r="AS62" s="54"/>
    </row>
    <row r="63" spans="1:45" ht="21.25" customHeight="1" x14ac:dyDescent="0.15">
      <c r="A63" s="45">
        <f>RANK(K63,K$1:K$665)</f>
        <v>62</v>
      </c>
      <c r="B63" s="9" t="s">
        <v>188</v>
      </c>
      <c r="C63" s="46" t="s">
        <v>127</v>
      </c>
      <c r="D63" s="47" t="str">
        <f>VLOOKUP(B63,'Player Data'!A1:D667,4,FALSE)</f>
        <v>C</v>
      </c>
      <c r="E63" s="48">
        <f>VLOOKUP(B63,'C'!A1:C206,3,FALSE)</f>
        <v>19</v>
      </c>
      <c r="F63" s="71" t="str">
        <f>VLOOKUP(B63,'Player Data'!A1:B667,2,FALSE)</f>
        <v>NYR</v>
      </c>
      <c r="G63" s="63">
        <f>VLOOKUP(B63,'Player Data'!A1:D667,3,FALSE)</f>
        <v>31</v>
      </c>
      <c r="H63" s="50">
        <f>IFERROR(VLOOKUP(B63,ADP!A1:G665,7,FALSE)/1000000,VLOOKUP(B63,ADP!A1:G665,7,FALSE))</f>
        <v>8.5</v>
      </c>
      <c r="I63" s="51">
        <f>IF(Settings!$E$15="POINTS",((R63*Q63)*Settings!$B$12)+(S63*Settings!$B$2)+(T63*Settings!$B$3)+(U63*Settings!$B$4)+(V63*Settings!$B$5)+(X63*Settings!$B$9)+(AA63*Settings!$B$6)+(W63*Settings!$B$8)+(AB63*Settings!$B$7)+(AC63*Settings!$B$14)+(AD63*Settings!$B$15)+(AE63*Settings!$B$16)+(AF63*Settings!$B$17)+(AG63*Settings!$B$18)+(Y63*Settings!$B$10)+(Z63*Settings!$B$11),VLOOKUP(B63,'Standard Deviations'!A1:C666,3,FALSE))</f>
        <v>399.40851534303374</v>
      </c>
      <c r="J63" s="52">
        <f>IF(D63="G",I63/AJ63,I63/Q63)</f>
        <v>4.8855816683652948</v>
      </c>
      <c r="K63" s="51">
        <f>IF(Settings!$E$18="C/LW/RW",VLOOKUP(B63,'C'!A1:F206,6,FALSE),VLOOKUP(B63,F!A1:F392,6,FALSE))</f>
        <v>9.4713575649526547</v>
      </c>
      <c r="L63" s="53">
        <f>IFERROR(K63/H63,"N/A")</f>
        <v>1.1142773605826652</v>
      </c>
      <c r="M63" s="54">
        <f>IF(Settings!$E$9="YAHOO",VLOOKUP(B63,ADP!A1:E665,2,FALSE),IF(Settings!$E$9="ESPN",VLOOKUP(B63,ADP!A1:E665,3,FALSE),IF(Settings!$E$9="FANTRAX",VLOOKUP(B63,ADP!A1:E665,4,FALSE),VLOOKUP(B63,ADP!A1:E665,5,FALSE))))</f>
        <v>73.7</v>
      </c>
      <c r="N63" s="54">
        <f>IFERROR(M63-A63,"N/A")</f>
        <v>11.700000000000003</v>
      </c>
      <c r="O63" s="54"/>
      <c r="P63" s="55" t="str">
        <f>IF(Settings!$E$27="ON",VLOOKUP(B63,ADP!A1:H665,8,FALSE)," ")</f>
        <v xml:space="preserve"> </v>
      </c>
      <c r="Q63" s="56">
        <f>IF(Settings!$E$12="YES",VLOOKUP(B63,'Player Data'!A1:E667,5,FALSE),82)</f>
        <v>81.752499999999998</v>
      </c>
      <c r="R63" s="54">
        <f>VLOOKUP(B63,'Player Data'!$A1:$AE667,6,FALSE)</f>
        <v>19.7583542392249</v>
      </c>
      <c r="S63" s="56">
        <f>VLOOKUP(B63,'Player Data'!$A1:$AE667,7,FALSE)*$Q63*IFERROR((VLOOKUP(P63,Settings!$E$28:$F$33,2,FALSE)+1),1)</f>
        <v>28.6680173882263</v>
      </c>
      <c r="T63" s="56">
        <f>VLOOKUP(B63,'Player Data'!$A1:$AE667,8,FALSE)*$Q63*IFERROR((VLOOKUP(P63,Settings!$E$28:$F$33,2,FALSE)+1),1)</f>
        <v>46.901857328198112</v>
      </c>
      <c r="U63" s="56">
        <f>SUM(S63:T63)</f>
        <v>75.569874716424408</v>
      </c>
      <c r="V63" s="56">
        <f>VLOOKUP(B63,'Player Data'!$A1:$AE667,10,FALSE)*$Q63*IFERROR(((VLOOKUP(P63,Settings!$E$28:$F$33,2,FALSE)/2)+1),1)</f>
        <v>225.58279534120516</v>
      </c>
      <c r="W63" s="56">
        <f>VLOOKUP(B63,'Player Data'!$A1:$AE667,11,FALSE)*$Q63*IFERROR((VLOOKUP(P63,Settings!$E$28:$F$33,2,FALSE)+1),1)</f>
        <v>12.5324682899909</v>
      </c>
      <c r="X63" s="57">
        <f>VLOOKUP(B63,'Player Data'!$A1:$AE667,12,FALSE)*$Q63*IFERROR((VLOOKUP(P63,Settings!$E$28:$F$33,2,FALSE)+1),1)</f>
        <v>29.731208222264634</v>
      </c>
      <c r="Y63" s="56">
        <f>VLOOKUP(B63,'Player Data'!$A1:$AE667,13,FALSE)*$Q63</f>
        <v>0.99146218153840471</v>
      </c>
      <c r="Z63" s="56">
        <f>VLOOKUP(B63,'Player Data'!$A1:$AE667,14,FALSE)*$Q63</f>
        <v>3.862951746680102</v>
      </c>
      <c r="AA63" s="56">
        <f>VLOOKUP(B63,'Player Data'!$A1:$AE667,15,FALSE)*$Q63</f>
        <v>52.626667108426403</v>
      </c>
      <c r="AB63" s="56">
        <f>VLOOKUP(B63,'Player Data'!$A1:$AE667,16,FALSE)*$Q63</f>
        <v>59.597026174174687</v>
      </c>
      <c r="AC63" s="56">
        <f>VLOOKUP(B63,'Player Data'!$A1:$AE667,17,FALSE)*$Q63*IFERROR((VLOOKUP(P63,Settings!$E$28:$F$33,2,FALSE)+1),1)</f>
        <v>4.4997592000584126</v>
      </c>
      <c r="AD63" s="56">
        <f>VLOOKUP(B63,'Player Data'!$A1:$AE667,18,FALSE)*$Q63</f>
        <v>21.913472028418042</v>
      </c>
      <c r="AE63" s="56">
        <f>VLOOKUP(B63,'Player Data'!$A1:$AE667,19,FALSE)*$Q63*IFERROR((VLOOKUP(P63,Settings!$E$28:$F$33,2,FALSE)+1),1)</f>
        <v>4.6860254969149446</v>
      </c>
      <c r="AF63" s="56">
        <f>VLOOKUP(B63,'Player Data'!$A1:$AE667,20,FALSE)*$Q63</f>
        <v>598.74657393415396</v>
      </c>
      <c r="AG63" s="56">
        <f>VLOOKUP(B63,'Player Data'!$A1:$AE667,21,FALSE)*$Q63</f>
        <v>596.67339503064522</v>
      </c>
      <c r="AH63" s="58">
        <f>VLOOKUP(B63,'Player Data'!$A1:$AE667,22,FALSE)</f>
        <v>0.50086713412747497</v>
      </c>
      <c r="AI63" s="54"/>
      <c r="AJ63" s="56"/>
      <c r="AK63" s="56"/>
      <c r="AL63" s="56"/>
      <c r="AM63" s="56"/>
      <c r="AN63" s="56"/>
      <c r="AO63" s="56"/>
      <c r="AP63" s="56"/>
      <c r="AQ63" s="59"/>
      <c r="AR63" s="60"/>
      <c r="AS63" s="54"/>
    </row>
    <row r="64" spans="1:45" ht="21.25" customHeight="1" x14ac:dyDescent="0.15">
      <c r="A64" s="45">
        <f>RANK(K64,K$1:K$665)</f>
        <v>63</v>
      </c>
      <c r="B64" s="9" t="s">
        <v>189</v>
      </c>
      <c r="C64" s="46" t="s">
        <v>127</v>
      </c>
      <c r="D64" s="47" t="str">
        <f>VLOOKUP(B64,'Player Data'!A1:D667,4,FALSE)</f>
        <v>G</v>
      </c>
      <c r="E64" s="73">
        <f>VLOOKUP(B64,G!A1:D65,3,FALSE)</f>
        <v>6</v>
      </c>
      <c r="F64" s="72" t="str">
        <f>VLOOKUP(B64,'Player Data'!A1:B667,2,FALSE)</f>
        <v>EDM</v>
      </c>
      <c r="G64" s="69">
        <f>VLOOKUP(B64,'Player Data'!A1:D667,3,FALSE)</f>
        <v>25</v>
      </c>
      <c r="H64" s="50">
        <f>IFERROR(VLOOKUP(B64,ADP!A1:G665,7,FALSE)/1000000,VLOOKUP(B64,ADP!A1:G665,7,FALSE))</f>
        <v>2.6</v>
      </c>
      <c r="I64" s="51">
        <f>IF(Settings!$E$15="POINTS",(AJ64*Settings!$B$29)+(AK64*Settings!$B$21)+(AL64*Settings!$B$22)+(AN64*Settings!$B$24)+(AO64*Settings!$B$25)+(AP64*Settings!$B$27)+(AM64*Settings!$B$23),VLOOKUP(B64,'Standard Deviations'!A1:C666,3,FALSE))</f>
        <v>419.00052440300192</v>
      </c>
      <c r="J64" s="52">
        <f>IF(D64="G",I64/AJ64,I64/Q64)</f>
        <v>7.4821522214821767</v>
      </c>
      <c r="K64" s="51">
        <f>VLOOKUP(B64,G!A1:F65,6,FALSE)</f>
        <v>8.3407816335817415</v>
      </c>
      <c r="L64" s="53">
        <f>IFERROR(K64/H64,"N/A")</f>
        <v>3.2079929359929773</v>
      </c>
      <c r="M64" s="54">
        <f>IF(Settings!$E$9="YAHOO",VLOOKUP(B64,ADP!A1:E665,2,FALSE),IF(Settings!$E$9="ESPN",VLOOKUP(B64,ADP!A1:E665,3,FALSE),IF(Settings!$E$9="FANTRAX",VLOOKUP(B64,ADP!A1:E665,4,FALSE),VLOOKUP(B64,ADP!A1:E665,5,FALSE))))</f>
        <v>50.7</v>
      </c>
      <c r="N64" s="54">
        <f>IFERROR(M64-A64,"N/A")</f>
        <v>-12.299999999999997</v>
      </c>
      <c r="O64" s="54"/>
      <c r="P64" s="55" t="str">
        <f>IF(Settings!$E$27="ON",VLOOKUP(B64,ADP!A1:H665,8,FALSE)," ")</f>
        <v xml:space="preserve"> </v>
      </c>
      <c r="Q64" s="56"/>
      <c r="R64" s="54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8"/>
      <c r="AI64" s="54"/>
      <c r="AJ64" s="64">
        <f>VLOOKUP(B64,'Player Data'!$A1:$AE667,24,FALSE)</f>
        <v>56</v>
      </c>
      <c r="AK64" s="56">
        <f>VLOOKUP(B64,'Player Data'!$A1:$AE667,25,FALSE)*$AJ64*IFERROR((VLOOKUP(P64,Settings!$E$28:$F$33,2,FALSE)+1),1)</f>
        <v>37.30634241775784</v>
      </c>
      <c r="AL64" s="56">
        <f>AJ64-AK64-AM64</f>
        <v>11.69365758224216</v>
      </c>
      <c r="AM64" s="56">
        <f>VLOOKUP(B64,'Player Data'!$A1:$AE667,27,FALSE)*$AJ64</f>
        <v>7</v>
      </c>
      <c r="AN64" s="56">
        <f>VLOOKUP(B64,'Player Data'!$A1:$AE667,28,FALSE)*AJ64</f>
        <v>3.3241727997188706</v>
      </c>
      <c r="AO64" s="56">
        <f>VLOOKUP(B64,'Player Data'!$A1:$AE667,29,FALSE)*$AJ64*IFERROR((VLOOKUP(P64,Settings!$E$28:$F$33,2,FALSE)/4)+1,1)</f>
        <v>1521.5814902614702</v>
      </c>
      <c r="AP64" s="56">
        <f>VLOOKUP(B64,'Player Data'!$A1:$AE667,31,FALSE)*$AJ64*(IFERROR(1-(VLOOKUP(P64,Settings!$E$28:$F$33,2,FALSE)/4),1))</f>
        <v>152.3444735935752</v>
      </c>
      <c r="AQ64" s="59">
        <f>1-(AP64/(AO64+AP64))</f>
        <v>0.90898971825329333</v>
      </c>
      <c r="AR64" s="60">
        <f>AP64/AJ64</f>
        <v>2.7204370284567001</v>
      </c>
      <c r="AS64" s="54"/>
    </row>
    <row r="65" spans="1:45" ht="21.25" customHeight="1" x14ac:dyDescent="0.15">
      <c r="A65" s="45">
        <f>RANK(K65,K$1:K$665)</f>
        <v>64</v>
      </c>
      <c r="B65" s="9" t="s">
        <v>190</v>
      </c>
      <c r="C65" s="46" t="s">
        <v>127</v>
      </c>
      <c r="D65" s="47" t="str">
        <f>VLOOKUP(B65,'Player Data'!A1:D667,4,FALSE)</f>
        <v>C/RW</v>
      </c>
      <c r="E65" s="68">
        <f>VLOOKUP(B65,RW!A1:C136,3,FALSE)</f>
        <v>18</v>
      </c>
      <c r="F65" s="72" t="str">
        <f>VLOOKUP(B65,'Player Data'!A1:B667,2,FALSE)</f>
        <v>L.A</v>
      </c>
      <c r="G65" s="10">
        <f>VLOOKUP(B65,'Player Data'!A1:D667,3,FALSE)</f>
        <v>27</v>
      </c>
      <c r="H65" s="50">
        <f>IFERROR(VLOOKUP(B65,ADP!A1:G665,7,FALSE)/1000000,VLOOKUP(B65,ADP!A1:G665,7,FALSE))</f>
        <v>5.5</v>
      </c>
      <c r="I65" s="51">
        <f>IF(Settings!$E$15="POINTS",((R65*Q65)*Settings!$B$12)+(S65*Settings!$B$2)+(T65*Settings!$B$3)+(U65*Settings!$B$4)+(V65*Settings!$B$5)+(X65*Settings!$B$9)+(AA65*Settings!$B$6)+(W65*Settings!$B$8)+(AB65*Settings!$B$7)+(AC65*Settings!$B$14)+(AD65*Settings!$B$15)+(AE65*Settings!$B$16)+(AF65*Settings!$B$17)+(AG65*Settings!$B$18)+(Y65*Settings!$B$10)+(Z65*Settings!$B$11),VLOOKUP(B65,'Standard Deviations'!A1:C666,3,FALSE))</f>
        <v>373.76546519730982</v>
      </c>
      <c r="J65" s="52">
        <f>IF(D65="G",I65/AJ65,I65/Q65)</f>
        <v>4.6291044393882999</v>
      </c>
      <c r="K65" s="51">
        <f>IF(Settings!$E$18="C/LW/RW",VLOOKUP(B65,RW!A1:F136,6,FALSE),VLOOKUP(B65,F!A1:F392,6,FALSE))</f>
        <v>4.9177420910174305</v>
      </c>
      <c r="L65" s="53">
        <f>IFERROR(K65/H65,"N/A")</f>
        <v>0.89413492563953278</v>
      </c>
      <c r="M65" s="54">
        <f>IF(Settings!$E$9="YAHOO",VLOOKUP(B65,ADP!A1:E665,2,FALSE),IF(Settings!$E$9="ESPN",VLOOKUP(B65,ADP!A1:E665,3,FALSE),IF(Settings!$E$9="FANTRAX",VLOOKUP(B65,ADP!A1:E665,4,FALSE),VLOOKUP(B65,ADP!A1:E665,5,FALSE))))</f>
        <v>46</v>
      </c>
      <c r="N65" s="54">
        <f>IFERROR(M65-A65,"N/A")</f>
        <v>-18</v>
      </c>
      <c r="O65" s="54"/>
      <c r="P65" s="55" t="str">
        <f>IF(Settings!$E$27="ON",VLOOKUP(B65,ADP!A1:H665,8,FALSE)," ")</f>
        <v xml:space="preserve"> </v>
      </c>
      <c r="Q65" s="56">
        <f>IF(Settings!$E$12="YES",VLOOKUP(B65,'Player Data'!A1:E667,5,FALSE),82)</f>
        <v>80.742500000000007</v>
      </c>
      <c r="R65" s="54">
        <f>VLOOKUP(B65,'Player Data'!$A1:$AE667,6,FALSE)</f>
        <v>18.871301334211299</v>
      </c>
      <c r="S65" s="56">
        <f>VLOOKUP(B65,'Player Data'!$A1:$AE667,7,FALSE)*$Q65*IFERROR((VLOOKUP(P65,Settings!$E$28:$F$33,2,FALSE)+1),1)</f>
        <v>32.625992110842638</v>
      </c>
      <c r="T65" s="56">
        <f>VLOOKUP(B65,'Player Data'!$A1:$AE667,8,FALSE)*$Q65*IFERROR((VLOOKUP(P65,Settings!$E$28:$F$33,2,FALSE)+1),1)</f>
        <v>36.063752983164044</v>
      </c>
      <c r="U65" s="56">
        <f>SUM(S65:T65)</f>
        <v>68.689745094006682</v>
      </c>
      <c r="V65" s="56">
        <f>VLOOKUP(B65,'Player Data'!$A1:$AE667,10,FALSE)*$Q65*IFERROR(((VLOOKUP(P65,Settings!$E$28:$F$33,2,FALSE)/2)+1),1)</f>
        <v>249.65742657438773</v>
      </c>
      <c r="W65" s="56">
        <f>VLOOKUP(B65,'Player Data'!$A1:$AE667,11,FALSE)*$Q65*IFERROR((VLOOKUP(P65,Settings!$E$28:$F$33,2,FALSE)+1),1)</f>
        <v>7.1177599759180401</v>
      </c>
      <c r="X65" s="57">
        <f>VLOOKUP(B65,'Player Data'!$A1:$AE667,12,FALSE)*$Q65*IFERROR((VLOOKUP(P65,Settings!$E$28:$F$33,2,FALSE)+1),1)</f>
        <v>21.773279437321705</v>
      </c>
      <c r="Y65" s="56">
        <f>VLOOKUP(B65,'Player Data'!$A1:$AE667,13,FALSE)*$Q65</f>
        <v>3.0828853110352816</v>
      </c>
      <c r="Z65" s="56">
        <f>VLOOKUP(B65,'Player Data'!$A1:$AE667,14,FALSE)*$Q65</f>
        <v>3.7404776114284286</v>
      </c>
      <c r="AA65" s="56">
        <f>VLOOKUP(B65,'Player Data'!$A1:$AE667,15,FALSE)*$Q65</f>
        <v>34.707519158691511</v>
      </c>
      <c r="AB65" s="56">
        <f>VLOOKUP(B65,'Player Data'!$A1:$AE667,16,FALSE)*$Q65</f>
        <v>110.92075863148251</v>
      </c>
      <c r="AC65" s="56">
        <f>VLOOKUP(B65,'Player Data'!$A1:$AE667,17,FALSE)*$Q65*IFERROR((VLOOKUP(P65,Settings!$E$28:$F$33,2,FALSE)+1),1)</f>
        <v>2.4187090887074953</v>
      </c>
      <c r="AD65" s="56">
        <f>VLOOKUP(B65,'Player Data'!$A1:$AE667,18,FALSE)*$Q65</f>
        <v>51.951511906211607</v>
      </c>
      <c r="AE65" s="56">
        <f>VLOOKUP(B65,'Player Data'!$A1:$AE667,19,FALSE)*$Q65*IFERROR((VLOOKUP(P65,Settings!$E$28:$F$33,2,FALSE)+1),1)</f>
        <v>5.8143325512084001</v>
      </c>
      <c r="AF65" s="56">
        <f>VLOOKUP(B65,'Player Data'!$A1:$AE667,20,FALSE)*$Q65</f>
        <v>8.055890981879962</v>
      </c>
      <c r="AG65" s="56">
        <f>VLOOKUP(B65,'Player Data'!$A1:$AE667,21,FALSE)*$Q65</f>
        <v>16.785780733398635</v>
      </c>
      <c r="AH65" s="58">
        <f>VLOOKUP(B65,'Player Data'!$A1:$AE667,22,FALSE)</f>
        <v>0.32428940669581702</v>
      </c>
      <c r="AI65" s="54"/>
      <c r="AJ65" s="64"/>
      <c r="AK65" s="56"/>
      <c r="AL65" s="56"/>
      <c r="AM65" s="56"/>
      <c r="AN65" s="56"/>
      <c r="AO65" s="56"/>
      <c r="AP65" s="56"/>
      <c r="AQ65" s="59"/>
      <c r="AR65" s="60"/>
      <c r="AS65" s="54"/>
    </row>
    <row r="66" spans="1:45" ht="21.25" customHeight="1" x14ac:dyDescent="0.15">
      <c r="A66" s="45">
        <f>RANK(K66,K$1:K$665)</f>
        <v>65</v>
      </c>
      <c r="B66" s="9" t="s">
        <v>191</v>
      </c>
      <c r="C66" s="46" t="s">
        <v>127</v>
      </c>
      <c r="D66" s="47" t="str">
        <f>VLOOKUP(B66,'Player Data'!A1:D667,4,FALSE)</f>
        <v>LW</v>
      </c>
      <c r="E66" s="70">
        <f>VLOOKUP(B66,LW!A1:C152,3,FALSE)</f>
        <v>19</v>
      </c>
      <c r="F66" s="72" t="str">
        <f>VLOOKUP(B66,'Player Data'!A1:B667,2,FALSE)</f>
        <v>L.A</v>
      </c>
      <c r="G66" s="10">
        <f>VLOOKUP(B66,'Player Data'!A1:D667,3,FALSE)</f>
        <v>28</v>
      </c>
      <c r="H66" s="50">
        <f>IFERROR(VLOOKUP(B66,ADP!A1:G665,7,FALSE)/1000000,VLOOKUP(B66,ADP!A1:G665,7,FALSE))</f>
        <v>7.875</v>
      </c>
      <c r="I66" s="51">
        <f>IF(Settings!$E$15="POINTS",((R66*Q66)*Settings!$B$12)+(S66*Settings!$B$2)+(T66*Settings!$B$3)+(U66*Settings!$B$4)+(V66*Settings!$B$5)+(X66*Settings!$B$9)+(AA66*Settings!$B$6)+(W66*Settings!$B$8)+(AB66*Settings!$B$7)+(AC66*Settings!$B$14)+(AD66*Settings!$B$15)+(AE66*Settings!$B$16)+(AF66*Settings!$B$17)+(AG66*Settings!$B$18)+(Y66*Settings!$B$10)+(Z66*Settings!$B$11),VLOOKUP(B66,'Standard Deviations'!A1:C666,3,FALSE))</f>
        <v>384.59140403900062</v>
      </c>
      <c r="J66" s="52">
        <f>IF(D66="G",I66/AJ66,I66/Q66)</f>
        <v>4.792864180939036</v>
      </c>
      <c r="K66" s="51">
        <f>IF(Settings!$E$18="C/LW/RW",VLOOKUP(B66,LW!A1:F152,6,FALSE),VLOOKUP(B66,F!A1:F392,6,FALSE))</f>
        <v>3.529891736500872</v>
      </c>
      <c r="L66" s="53">
        <f>IFERROR(K66/H66,"N/A")</f>
        <v>0.44824022050804724</v>
      </c>
      <c r="M66" s="54">
        <f>IF(Settings!$E$9="YAHOO",VLOOKUP(B66,ADP!A1:E665,2,FALSE),IF(Settings!$E$9="ESPN",VLOOKUP(B66,ADP!A1:E665,3,FALSE),IF(Settings!$E$9="FANTRAX",VLOOKUP(B66,ADP!A1:E665,4,FALSE),VLOOKUP(B66,ADP!A1:E665,5,FALSE))))</f>
        <v>86.9</v>
      </c>
      <c r="N66" s="54">
        <f>IFERROR(M66-A66,"N/A")</f>
        <v>21.900000000000006</v>
      </c>
      <c r="O66" s="54"/>
      <c r="P66" s="55" t="str">
        <f>IF(Settings!$E$27="ON",VLOOKUP(B66,ADP!A1:H665,8,FALSE)," ")</f>
        <v xml:space="preserve"> </v>
      </c>
      <c r="Q66" s="56">
        <f>IF(Settings!$E$12="YES",VLOOKUP(B66,'Player Data'!A1:E667,5,FALSE),82)</f>
        <v>80.242500000000007</v>
      </c>
      <c r="R66" s="54">
        <f>VLOOKUP(B66,'Player Data'!$A1:$AE667,6,FALSE)</f>
        <v>17.955755113695101</v>
      </c>
      <c r="S66" s="56">
        <f>VLOOKUP(B66,'Player Data'!$A1:$AE667,7,FALSE)*$Q66*IFERROR((VLOOKUP(P66,Settings!$E$28:$F$33,2,FALSE)+1),1)</f>
        <v>28.529469928023506</v>
      </c>
      <c r="T66" s="56">
        <f>VLOOKUP(B66,'Player Data'!$A1:$AE667,8,FALSE)*$Q66*IFERROR((VLOOKUP(P66,Settings!$E$28:$F$33,2,FALSE)+1),1)</f>
        <v>48.059365442952938</v>
      </c>
      <c r="U66" s="56">
        <f>SUM(S66:T66)</f>
        <v>76.58883537097644</v>
      </c>
      <c r="V66" s="56">
        <f>VLOOKUP(B66,'Player Data'!$A1:$AE667,10,FALSE)*$Q66*IFERROR(((VLOOKUP(P66,Settings!$E$28:$F$33,2,FALSE)/2)+1),1)</f>
        <v>230.29011549811332</v>
      </c>
      <c r="W66" s="56">
        <f>VLOOKUP(B66,'Player Data'!$A1:$AE667,11,FALSE)*$Q66*IFERROR((VLOOKUP(P66,Settings!$E$28:$F$33,2,FALSE)+1),1)</f>
        <v>9.1798569968623074</v>
      </c>
      <c r="X66" s="57">
        <f>VLOOKUP(B66,'Player Data'!$A1:$AE667,12,FALSE)*$Q66*IFERROR((VLOOKUP(P66,Settings!$E$28:$F$33,2,FALSE)+1),1)</f>
        <v>26.174052321358044</v>
      </c>
      <c r="Y66" s="56">
        <f>VLOOKUP(B66,'Player Data'!$A1:$AE667,13,FALSE)*$Q66</f>
        <v>1.6165829641303638E-2</v>
      </c>
      <c r="Z66" s="56">
        <f>VLOOKUP(B66,'Player Data'!$A1:$AE667,14,FALSE)*$Q66</f>
        <v>2.0760789324821928E-2</v>
      </c>
      <c r="AA66" s="56">
        <f>VLOOKUP(B66,'Player Data'!$A1:$AE667,15,FALSE)*$Q66</f>
        <v>26.970054132663552</v>
      </c>
      <c r="AB66" s="56">
        <f>VLOOKUP(B66,'Player Data'!$A1:$AE667,16,FALSE)*$Q66</f>
        <v>60.440490893728985</v>
      </c>
      <c r="AC66" s="56">
        <f>VLOOKUP(B66,'Player Data'!$A1:$AE667,17,FALSE)*$Q66*IFERROR((VLOOKUP(P66,Settings!$E$28:$F$33,2,FALSE)+1),1)</f>
        <v>4.6876425798787338</v>
      </c>
      <c r="AD66" s="56">
        <f>VLOOKUP(B66,'Player Data'!$A1:$AE667,18,FALSE)*$Q66</f>
        <v>49.129528018978782</v>
      </c>
      <c r="AE66" s="56">
        <f>VLOOKUP(B66,'Player Data'!$A1:$AE667,19,FALSE)*$Q66*IFERROR((VLOOKUP(P66,Settings!$E$28:$F$33,2,FALSE)+1),1)</f>
        <v>5.0842844903435465</v>
      </c>
      <c r="AF66" s="56">
        <f>VLOOKUP(B66,'Player Data'!$A1:$AE667,20,FALSE)*$Q66</f>
        <v>10.85278347067019</v>
      </c>
      <c r="AG66" s="56">
        <f>VLOOKUP(B66,'Player Data'!$A1:$AE667,21,FALSE)*$Q66</f>
        <v>20.5519717781753</v>
      </c>
      <c r="AH66" s="58">
        <f>VLOOKUP(B66,'Player Data'!$A1:$AE667,22,FALSE)</f>
        <v>0.34557771218640898</v>
      </c>
      <c r="AI66" s="54"/>
      <c r="AJ66" s="64"/>
      <c r="AK66" s="56"/>
      <c r="AL66" s="56"/>
      <c r="AM66" s="56"/>
      <c r="AN66" s="56"/>
      <c r="AO66" s="56"/>
      <c r="AP66" s="56"/>
      <c r="AQ66" s="59"/>
      <c r="AR66" s="60"/>
      <c r="AS66" s="54"/>
    </row>
    <row r="67" spans="1:45" ht="21.25" customHeight="1" x14ac:dyDescent="0.15">
      <c r="A67" s="45">
        <f>RANK(K67,K$1:K$665)</f>
        <v>66</v>
      </c>
      <c r="B67" s="9" t="s">
        <v>192</v>
      </c>
      <c r="C67" s="46" t="s">
        <v>127</v>
      </c>
      <c r="D67" s="47" t="str">
        <f>VLOOKUP(B67,'Player Data'!A1:D667,4,FALSE)</f>
        <v>G</v>
      </c>
      <c r="E67" s="73">
        <f>VLOOKUP(B67,G!A1:D65,3,FALSE)</f>
        <v>7</v>
      </c>
      <c r="F67" s="77" t="str">
        <f>VLOOKUP(B67,'Player Data'!A1:B667,2,FALSE)</f>
        <v>BOS</v>
      </c>
      <c r="G67" s="69">
        <f>VLOOKUP(B67,'Player Data'!A1:D667,3,FALSE)</f>
        <v>25</v>
      </c>
      <c r="H67" s="65" t="str">
        <f>IFERROR(VLOOKUP(B67,ADP!A1:G665,7,FALSE)/1000000,VLOOKUP(B67,ADP!A1:G665,7,FALSE))</f>
        <v>RFA</v>
      </c>
      <c r="I67" s="51">
        <f>IF(Settings!$E$15="POINTS",(AJ67*Settings!$B$29)+(AK67*Settings!$B$21)+(AL67*Settings!$B$22)+(AN67*Settings!$B$24)+(AO67*Settings!$B$25)+(AP67*Settings!$B$27)+(AM67*Settings!$B$23),VLOOKUP(B67,'Standard Deviations'!A1:C666,3,FALSE))</f>
        <v>413.52137223545151</v>
      </c>
      <c r="J67" s="52">
        <f>IF(D67="G",I67/AJ67,I67/Q67)</f>
        <v>7.6578031895453984</v>
      </c>
      <c r="K67" s="51">
        <f>VLOOKUP(B67,G!A1:F65,6,FALSE)</f>
        <v>2.8616294660313315</v>
      </c>
      <c r="L67" s="76" t="str">
        <f>IFERROR(K67/H67,"N/A")</f>
        <v>N/A</v>
      </c>
      <c r="M67" s="54">
        <f>IF(Settings!$E$9="YAHOO",VLOOKUP(B67,ADP!A1:E665,2,FALSE),IF(Settings!$E$9="ESPN",VLOOKUP(B67,ADP!A1:E665,3,FALSE),IF(Settings!$E$9="FANTRAX",VLOOKUP(B67,ADP!A1:E665,4,FALSE),VLOOKUP(B67,ADP!A1:E665,5,FALSE))))</f>
        <v>30.7</v>
      </c>
      <c r="N67" s="54">
        <f>IFERROR(M67-A67,"N/A")</f>
        <v>-35.299999999999997</v>
      </c>
      <c r="O67" s="54"/>
      <c r="P67" s="55" t="str">
        <f>IF(Settings!$E$27="ON",VLOOKUP(B67,ADP!A1:H665,8,FALSE)," ")</f>
        <v xml:space="preserve"> </v>
      </c>
      <c r="Q67" s="56"/>
      <c r="R67" s="79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8"/>
      <c r="AI67" s="54"/>
      <c r="AJ67" s="64">
        <f>VLOOKUP(B67,'Player Data'!$A1:$AE667,24,FALSE)</f>
        <v>54</v>
      </c>
      <c r="AK67" s="56">
        <f>VLOOKUP(B67,'Player Data'!$A1:$AE667,25,FALSE)*$AJ67*IFERROR((VLOOKUP(P67,Settings!$E$28:$F$33,2,FALSE)+1),1)</f>
        <v>31.783072602608392</v>
      </c>
      <c r="AL67" s="56">
        <f>AJ67-AK67-AM67</f>
        <v>15.466927397391608</v>
      </c>
      <c r="AM67" s="56">
        <f>VLOOKUP(B67,'Player Data'!$A1:$AE667,27,FALSE)*$AJ67</f>
        <v>6.75</v>
      </c>
      <c r="AN67" s="56">
        <f>VLOOKUP(B67,'Player Data'!$A1:$AE667,28,FALSE)*AJ67</f>
        <v>3.9780528642160364</v>
      </c>
      <c r="AO67" s="56">
        <f>VLOOKUP(B67,'Player Data'!$A1:$AE667,29,FALSE)*$AJ67*IFERROR((VLOOKUP(P67,Settings!$E$28:$F$33,2,FALSE)/4)+1,1)</f>
        <v>1464.7481466832153</v>
      </c>
      <c r="AP67" s="56">
        <f>VLOOKUP(B67,'Player Data'!$A1:$AE667,31,FALSE)*$AJ67*(IFERROR(1-(VLOOKUP(P67,Settings!$E$28:$F$33,2,FALSE)/4),1))</f>
        <v>139.39332392606579</v>
      </c>
      <c r="AQ67" s="59">
        <f>1-(AP67/(AO67+AP67))</f>
        <v>0.91310409556762984</v>
      </c>
      <c r="AR67" s="60">
        <f>AP67/AJ67</f>
        <v>2.5813578504826999</v>
      </c>
      <c r="AS67" s="54"/>
    </row>
    <row r="68" spans="1:45" ht="21.25" customHeight="1" x14ac:dyDescent="0.15">
      <c r="A68" s="45">
        <f>RANK(K68,K$1:K$665)</f>
        <v>67</v>
      </c>
      <c r="B68" s="9" t="s">
        <v>193</v>
      </c>
      <c r="C68" s="46" t="s">
        <v>127</v>
      </c>
      <c r="D68" s="47" t="str">
        <f>VLOOKUP(B68,'Player Data'!A1:D667,4,FALSE)</f>
        <v>D</v>
      </c>
      <c r="E68" s="66">
        <f>VLOOKUP(B68,D!A1:C213,3,FALSE)</f>
        <v>17</v>
      </c>
      <c r="F68" s="77" t="str">
        <f>VLOOKUP(B68,'Player Data'!A1:B667,2,FALSE)</f>
        <v>CBJ</v>
      </c>
      <c r="G68" s="10">
        <f>VLOOKUP(B68,'Player Data'!A1:D667,3,FALSE)</f>
        <v>27</v>
      </c>
      <c r="H68" s="50">
        <f>IFERROR(VLOOKUP(B68,ADP!A1:G665,7,FALSE)/1000000,VLOOKUP(B68,ADP!A1:G665,7,FALSE))</f>
        <v>9.5833300000000001</v>
      </c>
      <c r="I68" s="51">
        <f>IF(Settings!$E$15="POINTS",((R68*Q68)*Settings!$B$12)+(S68*Settings!$B$2)+(T68*Settings!$B$3)+(U68*Settings!$B$4)+(V68*Settings!$B$5)+(X68*Settings!$B$9)+(AA68*Settings!$B$6)+(W68*Settings!$B$8)+(AB68*Settings!$B$7)+(AC68*Settings!$B$14)+(AD68*Settings!$B$15)+(AE68*Settings!$B$16)+(AF68*Settings!$B$17)+(AG68*Settings!$B$18)+(U68*Settings!$B$13)+(Y68*Settings!$B$10)+(Z68*Settings!$B$11),VLOOKUP(B68,'Standard Deviations'!A1:C666,3,FALSE))</f>
        <v>338.17357395683433</v>
      </c>
      <c r="J68" s="52">
        <f>IF(D68="G",I68/AJ68,I68/Q68)</f>
        <v>4.900178575719389</v>
      </c>
      <c r="K68" s="51">
        <f>VLOOKUP(B68,D!A1:F213,6,FALSE)</f>
        <v>1.939448911239424</v>
      </c>
      <c r="L68" s="53">
        <f>IFERROR(K68/H68,"N/A")</f>
        <v>0.20237734808666966</v>
      </c>
      <c r="M68" s="54">
        <f>IF(Settings!$E$9="YAHOO",VLOOKUP(B68,ADP!A1:E665,2,FALSE),IF(Settings!$E$9="ESPN",VLOOKUP(B68,ADP!A1:E665,3,FALSE),IF(Settings!$E$9="FANTRAX",VLOOKUP(B68,ADP!A1:E665,4,FALSE),VLOOKUP(B68,ADP!A1:E665,5,FALSE))))</f>
        <v>114.9</v>
      </c>
      <c r="N68" s="54">
        <f>IFERROR(M68-A68,"N/A")</f>
        <v>47.900000000000006</v>
      </c>
      <c r="O68" s="54"/>
      <c r="P68" s="55" t="str">
        <f>IF(Settings!$E$27="ON",VLOOKUP(B68,ADP!A1:H665,8,FALSE)," ")</f>
        <v xml:space="preserve"> </v>
      </c>
      <c r="Q68" s="56">
        <f>IF(Settings!$E$12="YES",VLOOKUP(B68,'Player Data'!A1:E667,5,FALSE),82)</f>
        <v>69.012500000000003</v>
      </c>
      <c r="R68" s="54">
        <f>VLOOKUP(B68,'Player Data'!$A1:$AE667,6,FALSE)</f>
        <v>24.7616890265747</v>
      </c>
      <c r="S68" s="56">
        <f>VLOOKUP(B68,'Player Data'!$A1:$AE667,7,FALSE)*$Q68*IFERROR((VLOOKUP(P68,Settings!$E$28:$F$33,2,FALSE)+1),1)</f>
        <v>11.658174977625732</v>
      </c>
      <c r="T68" s="56">
        <f>VLOOKUP(B68,'Player Data'!$A1:$AE667,8,FALSE)*$Q68*IFERROR((VLOOKUP(P68,Settings!$E$28:$F$33,2,FALSE)+1),1)</f>
        <v>42.218028146360211</v>
      </c>
      <c r="U68" s="56">
        <f>SUM(S68:T68)</f>
        <v>53.876203123985945</v>
      </c>
      <c r="V68" s="56">
        <f>VLOOKUP(B68,'Player Data'!$A1:$AE667,10,FALSE)*$Q68*IFERROR(((VLOOKUP(P68,Settings!$E$28:$F$33,2,FALSE)/2)+1),1)</f>
        <v>200.16482717897296</v>
      </c>
      <c r="W68" s="56">
        <f>VLOOKUP(B68,'Player Data'!$A1:$AE667,11,FALSE)*$Q68*IFERROR((VLOOKUP(P68,Settings!$E$28:$F$33,2,FALSE)+1),1)</f>
        <v>2.7703238716604672</v>
      </c>
      <c r="X68" s="57">
        <f>VLOOKUP(B68,'Player Data'!$A1:$AE667,12,FALSE)*$Q68*IFERROR((VLOOKUP(P68,Settings!$E$28:$F$33,2,FALSE)+1),1)</f>
        <v>14.270681841235273</v>
      </c>
      <c r="Y68" s="56">
        <f>VLOOKUP(B68,'Player Data'!$A1:$AE667,13,FALSE)*$Q68</f>
        <v>2.3153100738348809E-2</v>
      </c>
      <c r="Z68" s="56">
        <f>VLOOKUP(B68,'Player Data'!$A1:$AE667,14,FALSE)*$Q68</f>
        <v>0.26228475802902701</v>
      </c>
      <c r="AA68" s="56">
        <f>VLOOKUP(B68,'Player Data'!$A1:$AE667,15,FALSE)*$Q68</f>
        <v>123.85916879225148</v>
      </c>
      <c r="AB68" s="56">
        <f>VLOOKUP(B68,'Player Data'!$A1:$AE667,16,FALSE)*$Q68</f>
        <v>37.96887272670984</v>
      </c>
      <c r="AC68" s="56">
        <f>VLOOKUP(B68,'Player Data'!$A1:$AE667,17,FALSE)*$Q68*IFERROR((VLOOKUP(P68,Settings!$E$28:$F$33,2,FALSE)+1),1)</f>
        <v>-5.9767391119404918</v>
      </c>
      <c r="AD68" s="56">
        <f>VLOOKUP(B68,'Player Data'!$A1:$AE667,18,FALSE)*$Q68</f>
        <v>24.989232991532507</v>
      </c>
      <c r="AE68" s="56">
        <f>VLOOKUP(B68,'Player Data'!$A1:$AE667,19,FALSE)*$Q68*IFERROR((VLOOKUP(P68,Settings!$E$28:$F$33,2,FALSE)+1),1)</f>
        <v>1.2892116919654122</v>
      </c>
      <c r="AF68" s="56">
        <f>VLOOKUP(B68,'Player Data'!$A1:$AE667,20,FALSE)*$Q68</f>
        <v>0</v>
      </c>
      <c r="AG68" s="56">
        <f>VLOOKUP(B68,'Player Data'!$A1:$AE667,21,FALSE)*$Q68</f>
        <v>0</v>
      </c>
      <c r="AH68" s="58">
        <f>VLOOKUP(B68,'Player Data'!$A1:$AE667,22,FALSE)</f>
        <v>0</v>
      </c>
      <c r="AI68" s="54"/>
      <c r="AJ68" s="56"/>
      <c r="AK68" s="56"/>
      <c r="AL68" s="56"/>
      <c r="AM68" s="56"/>
      <c r="AN68" s="56"/>
      <c r="AO68" s="56"/>
      <c r="AP68" s="56"/>
      <c r="AQ68" s="59"/>
      <c r="AR68" s="60"/>
      <c r="AS68" s="54"/>
    </row>
    <row r="69" spans="1:45" ht="21.25" customHeight="1" x14ac:dyDescent="0.15">
      <c r="A69" s="45">
        <f>RANK(K69,K$1:K$665)</f>
        <v>68</v>
      </c>
      <c r="B69" s="9" t="s">
        <v>194</v>
      </c>
      <c r="C69" s="46" t="s">
        <v>127</v>
      </c>
      <c r="D69" s="47" t="str">
        <f>VLOOKUP(B69,'Player Data'!A1:D667,4,FALSE)</f>
        <v>G</v>
      </c>
      <c r="E69" s="73">
        <f>VLOOKUP(B69,G!A1:D65,3,FALSE)</f>
        <v>8</v>
      </c>
      <c r="F69" s="55" t="str">
        <f>VLOOKUP(B69,'Player Data'!A1:B667,2,FALSE)</f>
        <v>N.J</v>
      </c>
      <c r="G69" s="63">
        <f>VLOOKUP(B69,'Player Data'!A1:D667,3,FALSE)</f>
        <v>34</v>
      </c>
      <c r="H69" s="50">
        <f>IFERROR(VLOOKUP(B69,ADP!A1:G665,7,FALSE)/1000000,VLOOKUP(B69,ADP!A1:G665,7,FALSE))</f>
        <v>4.125</v>
      </c>
      <c r="I69" s="51">
        <f>IF(Settings!$E$15="POINTS",(AJ69*Settings!$B$29)+(AK69*Settings!$B$21)+(AL69*Settings!$B$22)+(AN69*Settings!$B$24)+(AO69*Settings!$B$25)+(AP69*Settings!$B$27)+(AM69*Settings!$B$23),VLOOKUP(B69,'Standard Deviations'!A1:C666,3,FALSE))</f>
        <v>411.92488114536297</v>
      </c>
      <c r="J69" s="52">
        <f>IF(D69="G",I69/AJ69,I69/Q69)</f>
        <v>7.6282385397289438</v>
      </c>
      <c r="K69" s="51">
        <f>VLOOKUP(B69,G!A1:F65,6,FALSE)</f>
        <v>1.2651383759427972</v>
      </c>
      <c r="L69" s="53">
        <f>IFERROR(K69/H69,"N/A")</f>
        <v>0.30670021234976902</v>
      </c>
      <c r="M69" s="54">
        <f>IF(Settings!$E$9="YAHOO",VLOOKUP(B69,ADP!A1:E665,2,FALSE),IF(Settings!$E$9="ESPN",VLOOKUP(B69,ADP!A1:E665,3,FALSE),IF(Settings!$E$9="FANTRAX",VLOOKUP(B69,ADP!A1:E665,4,FALSE),VLOOKUP(B69,ADP!A1:E665,5,FALSE))))</f>
        <v>59.1</v>
      </c>
      <c r="N69" s="54">
        <f>IFERROR(M69-A69,"N/A")</f>
        <v>-8.8999999999999986</v>
      </c>
      <c r="O69" s="54"/>
      <c r="P69" s="55" t="str">
        <f>IF(Settings!$E$27="ON",VLOOKUP(B69,ADP!A1:H665,8,FALSE)," ")</f>
        <v>+</v>
      </c>
      <c r="Q69" s="56"/>
      <c r="R69" s="54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8"/>
      <c r="AI69" s="54"/>
      <c r="AJ69" s="64">
        <f>VLOOKUP(B69,'Player Data'!$A1:$AE667,24,FALSE)</f>
        <v>54</v>
      </c>
      <c r="AK69" s="56">
        <f>VLOOKUP(B69,'Player Data'!$A1:$AE667,25,FALSE)*$AJ69*IFERROR((VLOOKUP(P69,Settings!$E$28:$F$33,2,FALSE)+1),1)</f>
        <v>33.228738934864218</v>
      </c>
      <c r="AL69" s="56">
        <f>AJ69-AK69-AM69</f>
        <v>14.021261065135782</v>
      </c>
      <c r="AM69" s="56">
        <f>VLOOKUP(B69,'Player Data'!$A1:$AE667,27,FALSE)*$AJ69</f>
        <v>6.75</v>
      </c>
      <c r="AN69" s="56">
        <f>VLOOKUP(B69,'Player Data'!$A1:$AE667,28,FALSE)*AJ69</f>
        <v>3.3569124559286831</v>
      </c>
      <c r="AO69" s="56">
        <f>VLOOKUP(B69,'Player Data'!$A1:$AE667,29,FALSE)*$AJ69*IFERROR((VLOOKUP(P69,Settings!$E$28:$F$33,2,FALSE)/4)+1,1)</f>
        <v>1491.5661262193119</v>
      </c>
      <c r="AP69" s="56">
        <f>VLOOKUP(B69,'Player Data'!$A1:$AE667,31,FALSE)*$AJ69*(IFERROR(1-(VLOOKUP(P69,Settings!$E$28:$F$33,2,FALSE)/4),1))</f>
        <v>145.63377040827143</v>
      </c>
      <c r="AQ69" s="59">
        <f>1-(AP69/(AO69+AP69))</f>
        <v>0.91104704397535219</v>
      </c>
      <c r="AR69" s="60">
        <f>AP69/AJ69</f>
        <v>2.6969216742272488</v>
      </c>
      <c r="AS69" s="54"/>
    </row>
    <row r="70" spans="1:45" ht="21.25" customHeight="1" x14ac:dyDescent="0.15">
      <c r="A70" s="45">
        <f>RANK(K70,K$1:K$665)</f>
        <v>69</v>
      </c>
      <c r="B70" s="9" t="s">
        <v>195</v>
      </c>
      <c r="C70" s="46" t="s">
        <v>127</v>
      </c>
      <c r="D70" s="47" t="str">
        <f>VLOOKUP(B70,'Player Data'!A1:D667,4,FALSE)</f>
        <v>RW</v>
      </c>
      <c r="E70" s="61">
        <f>VLOOKUP(B70,RW!A1:F136,3,FALSE)</f>
        <v>19</v>
      </c>
      <c r="F70" s="65" t="str">
        <f>VLOOKUP(B70,'Player Data'!A1:B667,2,FALSE)</f>
        <v>BUF</v>
      </c>
      <c r="G70" s="10">
        <f>VLOOKUP(B70,'Player Data'!A1:D667,3,FALSE)</f>
        <v>28</v>
      </c>
      <c r="H70" s="50">
        <f>IFERROR(VLOOKUP(B70,ADP!A1:G665,7,FALSE)/1000000,VLOOKUP(B70,ADP!A1:G665,7,FALSE))</f>
        <v>4.75</v>
      </c>
      <c r="I70" s="51">
        <f>IF(Settings!$E$15="POINTS",((R70*Q70)*Settings!$B$12)+(S70*Settings!$B$2)+(T70*Settings!$B$3)+(U70*Settings!$B$4)+(V70*Settings!$B$5)+(X70*Settings!$B$9)+(AA70*Settings!$B$6)+(W70*Settings!$B$8)+(AB70*Settings!$B$7)+(AC70*Settings!$B$14)+(AD70*Settings!$B$15)+(AE70*Settings!$B$16)+(AF70*Settings!$B$17)+(AG70*Settings!$B$18)+(Y70*Settings!$B$10)+(Z70*Settings!$B$11),VLOOKUP(B70,'Standard Deviations'!A1:C666,3,FALSE))</f>
        <v>369.53624935224798</v>
      </c>
      <c r="J70" s="52">
        <f>IF(D70="G",I70/AJ70,I70/Q70)</f>
        <v>4.8313286400032425</v>
      </c>
      <c r="K70" s="51">
        <f>IF(Settings!$E$18="C/LW/RW",VLOOKUP(B70,RW!A1:F136,6,FALSE),VLOOKUP(B70,F!A1:F392,6,FALSE))</f>
        <v>0.68852624595558609</v>
      </c>
      <c r="L70" s="53">
        <f>IFERROR(K70/H70,"N/A")</f>
        <v>0.14495289388538654</v>
      </c>
      <c r="M70" s="54">
        <f>IF(Settings!$E$9="YAHOO",VLOOKUP(B70,ADP!A1:E665,2,FALSE),IF(Settings!$E$9="ESPN",VLOOKUP(B70,ADP!A1:E665,3,FALSE),IF(Settings!$E$9="FANTRAX",VLOOKUP(B70,ADP!A1:E665,4,FALSE),VLOOKUP(B70,ADP!A1:E665,5,FALSE))))</f>
        <v>117.1</v>
      </c>
      <c r="N70" s="54">
        <f>IFERROR(M70-A70,"N/A")</f>
        <v>48.099999999999994</v>
      </c>
      <c r="O70" s="54"/>
      <c r="P70" s="55" t="str">
        <f>IF(Settings!$E$27="ON",VLOOKUP(B70,ADP!A1:H665,8,FALSE)," ")</f>
        <v xml:space="preserve"> </v>
      </c>
      <c r="Q70" s="56">
        <f>IF(Settings!$E$12="YES",VLOOKUP(B70,'Player Data'!A1:E667,5,FALSE),82)</f>
        <v>76.487499999999997</v>
      </c>
      <c r="R70" s="54">
        <f>VLOOKUP(B70,'Player Data'!$A1:$AE667,6,FALSE)</f>
        <v>19.886386341682002</v>
      </c>
      <c r="S70" s="56">
        <f>VLOOKUP(B70,'Player Data'!$A1:$AE667,7,FALSE)*$Q70*IFERROR((VLOOKUP(P70,Settings!$E$28:$F$33,2,FALSE)+1),1)</f>
        <v>27.824882581345662</v>
      </c>
      <c r="T70" s="56">
        <f>VLOOKUP(B70,'Player Data'!$A1:$AE667,8,FALSE)*$Q70*IFERROR((VLOOKUP(P70,Settings!$E$28:$F$33,2,FALSE)+1),1)</f>
        <v>42.520492296028515</v>
      </c>
      <c r="U70" s="56">
        <f>SUM(S70:T70)</f>
        <v>70.345374877374184</v>
      </c>
      <c r="V70" s="56">
        <f>VLOOKUP(B70,'Player Data'!$A1:$AE667,10,FALSE)*$Q70*IFERROR(((VLOOKUP(P70,Settings!$E$28:$F$33,2,FALSE)/2)+1),1)</f>
        <v>210.60720404877446</v>
      </c>
      <c r="W70" s="56">
        <f>VLOOKUP(B70,'Player Data'!$A1:$AE667,11,FALSE)*$Q70*IFERROR((VLOOKUP(P70,Settings!$E$28:$F$33,2,FALSE)+1),1)</f>
        <v>5.0806170770710333</v>
      </c>
      <c r="X70" s="57">
        <f>VLOOKUP(B70,'Player Data'!$A1:$AE667,12,FALSE)*$Q70*IFERROR((VLOOKUP(P70,Settings!$E$28:$F$33,2,FALSE)+1),1)</f>
        <v>16.742130307549761</v>
      </c>
      <c r="Y70" s="56">
        <f>VLOOKUP(B70,'Player Data'!$A1:$AE667,13,FALSE)*$Q70</f>
        <v>1.0390084903900476</v>
      </c>
      <c r="Z70" s="56">
        <f>VLOOKUP(B70,'Player Data'!$A1:$AE667,14,FALSE)*$Q70</f>
        <v>1.127512167104137</v>
      </c>
      <c r="AA70" s="56">
        <f>VLOOKUP(B70,'Player Data'!$A1:$AE667,15,FALSE)*$Q70</f>
        <v>70.653760442168632</v>
      </c>
      <c r="AB70" s="56">
        <f>VLOOKUP(B70,'Player Data'!$A1:$AE667,16,FALSE)*$Q70</f>
        <v>68.771827938145265</v>
      </c>
      <c r="AC70" s="56">
        <f>VLOOKUP(B70,'Player Data'!$A1:$AE667,17,FALSE)*$Q70*IFERROR((VLOOKUP(P70,Settings!$E$28:$F$33,2,FALSE)+1),1)</f>
        <v>1.0257402165119496</v>
      </c>
      <c r="AD70" s="56">
        <f>VLOOKUP(B70,'Player Data'!$A1:$AE667,18,FALSE)*$Q70</f>
        <v>34.839039064035745</v>
      </c>
      <c r="AE70" s="56">
        <f>VLOOKUP(B70,'Player Data'!$A1:$AE667,19,FALSE)*$Q70*IFERROR((VLOOKUP(P70,Settings!$E$28:$F$33,2,FALSE)+1),1)</f>
        <v>3.9359808936545924</v>
      </c>
      <c r="AF70" s="56">
        <f>VLOOKUP(B70,'Player Data'!$A1:$AE667,20,FALSE)*$Q70</f>
        <v>40.00685321712082</v>
      </c>
      <c r="AG70" s="56">
        <f>VLOOKUP(B70,'Player Data'!$A1:$AE667,21,FALSE)*$Q70</f>
        <v>57.956554394343669</v>
      </c>
      <c r="AH70" s="58">
        <f>VLOOKUP(B70,'Player Data'!$A1:$AE667,22,FALSE)</f>
        <v>0.40838568392591201</v>
      </c>
      <c r="AI70" s="54"/>
      <c r="AJ70" s="56"/>
      <c r="AK70" s="56"/>
      <c r="AL70" s="56"/>
      <c r="AM70" s="56"/>
      <c r="AN70" s="56"/>
      <c r="AO70" s="56"/>
      <c r="AP70" s="56"/>
      <c r="AQ70" s="59"/>
      <c r="AR70" s="60"/>
      <c r="AS70" s="54"/>
    </row>
    <row r="71" spans="1:45" ht="21.25" customHeight="1" x14ac:dyDescent="0.15">
      <c r="A71" s="45">
        <f>RANK(K71,K$1:K$665)</f>
        <v>70</v>
      </c>
      <c r="B71" s="9" t="s">
        <v>196</v>
      </c>
      <c r="C71" s="46" t="s">
        <v>127</v>
      </c>
      <c r="D71" s="47" t="str">
        <f>VLOOKUP(B71,'Player Data'!A1:D667,4,FALSE)</f>
        <v>G</v>
      </c>
      <c r="E71" s="73">
        <f>VLOOKUP(B71,G!A1:D65,3,FALSE)</f>
        <v>9</v>
      </c>
      <c r="F71" s="71" t="str">
        <f>VLOOKUP(B71,'Player Data'!A1:B667,2,FALSE)</f>
        <v>VAN</v>
      </c>
      <c r="G71" s="10">
        <f>VLOOKUP(B71,'Player Data'!A1:D667,3,FALSE)</f>
        <v>28</v>
      </c>
      <c r="H71" s="50">
        <f>IFERROR(VLOOKUP(B71,ADP!A1:G665,7,FALSE)/1000000,VLOOKUP(B71,ADP!A1:G665,7,FALSE))</f>
        <v>5</v>
      </c>
      <c r="I71" s="51">
        <f>IF(Settings!$E$15="POINTS",(AJ71*Settings!$B$29)+(AK71*Settings!$B$21)+(AL71*Settings!$B$22)+(AN71*Settings!$B$24)+(AO71*Settings!$B$25)+(AP71*Settings!$B$27)+(AM71*Settings!$B$23),VLOOKUP(B71,'Standard Deviations'!A1:C666,3,FALSE))</f>
        <v>410.88672740280515</v>
      </c>
      <c r="J71" s="52">
        <f>IF(D71="G",I71/AJ71,I71/Q71)</f>
        <v>7.3372629893358061</v>
      </c>
      <c r="K71" s="51">
        <f>VLOOKUP(B71,G!A1:F65,6,FALSE)</f>
        <v>0.22698463338497277</v>
      </c>
      <c r="L71" s="53">
        <f>IFERROR(K71/H71,"N/A")</f>
        <v>4.5396926676994555E-2</v>
      </c>
      <c r="M71" s="54">
        <f>IF(Settings!$E$9="YAHOO",VLOOKUP(B71,ADP!A1:E665,2,FALSE),IF(Settings!$E$9="ESPN",VLOOKUP(B71,ADP!A1:E665,3,FALSE),IF(Settings!$E$9="FANTRAX",VLOOKUP(B71,ADP!A1:E665,4,FALSE),VLOOKUP(B71,ADP!A1:E665,5,FALSE))))</f>
        <v>44.4</v>
      </c>
      <c r="N71" s="54">
        <f>IFERROR(M71-A71,"N/A")</f>
        <v>-25.6</v>
      </c>
      <c r="O71" s="54"/>
      <c r="P71" s="55" t="str">
        <f>IF(Settings!$E$27="ON",VLOOKUP(B71,ADP!A1:H665,8,FALSE)," ")</f>
        <v xml:space="preserve"> </v>
      </c>
      <c r="Q71" s="56"/>
      <c r="R71" s="54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8"/>
      <c r="AI71" s="54"/>
      <c r="AJ71" s="64">
        <f>VLOOKUP(B71,'Player Data'!$A1:$AE667,24,FALSE)</f>
        <v>56</v>
      </c>
      <c r="AK71" s="56">
        <f>VLOOKUP(B71,'Player Data'!$A1:$AE667,25,FALSE)*$AJ71*IFERROR((VLOOKUP(P71,Settings!$E$28:$F$33,2,FALSE)+1),1)</f>
        <v>34.959830583813748</v>
      </c>
      <c r="AL71" s="56">
        <f>AJ71-AK71-AM71</f>
        <v>14.040169416186252</v>
      </c>
      <c r="AM71" s="56">
        <f>VLOOKUP(B71,'Player Data'!$A1:$AE667,27,FALSE)*$AJ71</f>
        <v>7</v>
      </c>
      <c r="AN71" s="56">
        <f>VLOOKUP(B71,'Player Data'!$A1:$AE667,28,FALSE)*AJ71</f>
        <v>4.1731081324707935</v>
      </c>
      <c r="AO71" s="56">
        <f>VLOOKUP(B71,'Player Data'!$A1:$AE667,29,FALSE)*$AJ71*IFERROR((VLOOKUP(P71,Settings!$E$28:$F$33,2,FALSE)/4)+1,1)</f>
        <v>1466.6524844342391</v>
      </c>
      <c r="AP71" s="56">
        <f>VLOOKUP(B71,'Player Data'!$A1:$AE667,31,FALSE)*$AJ71*(IFERROR(1-(VLOOKUP(P71,Settings!$E$28:$F$33,2,FALSE)/4),1))</f>
        <v>143.8307048994088</v>
      </c>
      <c r="AQ71" s="59">
        <f>1-(AP71/(AO71+AP71))</f>
        <v>0.91069096166168606</v>
      </c>
      <c r="AR71" s="60">
        <f>AP71/AJ71</f>
        <v>2.5684054446323001</v>
      </c>
      <c r="AS71" s="54"/>
    </row>
    <row r="72" spans="1:45" ht="21.25" customHeight="1" x14ac:dyDescent="0.15">
      <c r="A72" s="45">
        <f>RANK(K72,K$1:K$665)</f>
        <v>71</v>
      </c>
      <c r="B72" s="9" t="s">
        <v>199</v>
      </c>
      <c r="C72" s="46" t="s">
        <v>127</v>
      </c>
      <c r="D72" s="47" t="str">
        <f>VLOOKUP(B72,'Player Data'!A1:D667,4,FALSE)</f>
        <v>G</v>
      </c>
      <c r="E72" s="73">
        <f>VLOOKUP(B72,G!A1:D65,3,FALSE)</f>
        <v>10</v>
      </c>
      <c r="F72" s="65" t="str">
        <f>VLOOKUP(B72,'Player Data'!A1:B667,2,FALSE)</f>
        <v>NYI</v>
      </c>
      <c r="G72" s="10">
        <f>VLOOKUP(B72,'Player Data'!A1:D667,3,FALSE)</f>
        <v>28</v>
      </c>
      <c r="H72" s="50">
        <f>IFERROR(VLOOKUP(B72,ADP!A1:G665,7,FALSE)/1000000,VLOOKUP(B72,ADP!A1:G665,7,FALSE))</f>
        <v>8.25</v>
      </c>
      <c r="I72" s="51">
        <f>IF(Settings!$E$15="POINTS",(AJ72*Settings!$B$29)+(AK72*Settings!$B$21)+(AL72*Settings!$B$22)+(AN72*Settings!$B$24)+(AO72*Settings!$B$25)+(AP72*Settings!$B$27)+(AM72*Settings!$B$23),VLOOKUP(B72,'Standard Deviations'!A1:C666,3,FALSE))</f>
        <v>410.65974276942018</v>
      </c>
      <c r="J72" s="52">
        <f>IF(D72="G",I72/AJ72,I72/Q72)</f>
        <v>7.6048100512855585</v>
      </c>
      <c r="K72" s="51">
        <f>VLOOKUP(B72,G!A1:F65,6,FALSE)</f>
        <v>0</v>
      </c>
      <c r="L72" s="53">
        <f>IFERROR(K72/H72,"N/A")</f>
        <v>0</v>
      </c>
      <c r="M72" s="54">
        <f>IF(Settings!$E$9="YAHOO",VLOOKUP(B72,ADP!A1:E665,2,FALSE),IF(Settings!$E$9="ESPN",VLOOKUP(B72,ADP!A1:E665,3,FALSE),IF(Settings!$E$9="FANTRAX",VLOOKUP(B72,ADP!A1:E665,4,FALSE),VLOOKUP(B72,ADP!A1:E665,5,FALSE))))</f>
        <v>45</v>
      </c>
      <c r="N72" s="54">
        <f>IFERROR(M72-A72,"N/A")</f>
        <v>-26</v>
      </c>
      <c r="O72" s="54"/>
      <c r="P72" s="55" t="str">
        <f>IF(Settings!$E$27="ON",VLOOKUP(B72,ADP!A1:H665,8,FALSE)," ")</f>
        <v xml:space="preserve"> </v>
      </c>
      <c r="Q72" s="56"/>
      <c r="R72" s="54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8"/>
      <c r="AI72" s="54"/>
      <c r="AJ72" s="64">
        <f>VLOOKUP(B72,'Player Data'!$A1:$AE667,24,FALSE)</f>
        <v>54</v>
      </c>
      <c r="AK72" s="56">
        <f>VLOOKUP(B72,'Player Data'!$A1:$AE667,25,FALSE)*$AJ72*IFERROR((VLOOKUP(P72,Settings!$E$28:$F$33,2,FALSE)+1),1)</f>
        <v>30.892875622151077</v>
      </c>
      <c r="AL72" s="56">
        <f>AJ72-AK72-AM72</f>
        <v>16.357124377848923</v>
      </c>
      <c r="AM72" s="56">
        <f>VLOOKUP(B72,'Player Data'!$A1:$AE667,27,FALSE)*$AJ72</f>
        <v>6.75</v>
      </c>
      <c r="AN72" s="56">
        <f>VLOOKUP(B72,'Player Data'!$A1:$AE667,28,FALSE)*AJ72</f>
        <v>4.2599236305425041</v>
      </c>
      <c r="AO72" s="56">
        <f>VLOOKUP(B72,'Player Data'!$A1:$AE667,29,FALSE)*$AJ72*IFERROR((VLOOKUP(P72,Settings!$E$28:$F$33,2,FALSE)/4)+1,1)</f>
        <v>1441.6613884159128</v>
      </c>
      <c r="AP72" s="56">
        <f>VLOOKUP(B72,'Player Data'!$A1:$AE667,31,FALSE)*$AJ72*(IFERROR(1-(VLOOKUP(P72,Settings!$E$28:$F$33,2,FALSE)/4),1))</f>
        <v>135.703167311844</v>
      </c>
      <c r="AQ72" s="59">
        <f>1-(AP72/(AO72+AP72))</f>
        <v>0.9139684185123369</v>
      </c>
      <c r="AR72" s="60">
        <f>AP72/AJ72</f>
        <v>2.5130216168859998</v>
      </c>
      <c r="AS72" s="54"/>
    </row>
    <row r="73" spans="1:45" ht="21.25" customHeight="1" x14ac:dyDescent="0.15">
      <c r="A73" s="45">
        <f>RANK(K73,K$1:K$665)</f>
        <v>71</v>
      </c>
      <c r="B73" s="9" t="s">
        <v>197</v>
      </c>
      <c r="C73" s="46" t="s">
        <v>127</v>
      </c>
      <c r="D73" s="47" t="str">
        <f>VLOOKUP(B73,'Player Data'!A1:D667,4,FALSE)</f>
        <v>LW/RW</v>
      </c>
      <c r="E73" s="68">
        <f>VLOOKUP(B73,RW!A1:C136,3,FALSE)</f>
        <v>20</v>
      </c>
      <c r="F73" s="72" t="str">
        <f>VLOOKUP(B73,'Player Data'!A1:B667,2,FALSE)</f>
        <v>MIN</v>
      </c>
      <c r="G73" s="69">
        <f>VLOOKUP(B73,'Player Data'!A1:D667,3,FALSE)</f>
        <v>23</v>
      </c>
      <c r="H73" s="50">
        <f>IFERROR(VLOOKUP(B73,ADP!A1:G665,7,FALSE)/1000000,VLOOKUP(B73,ADP!A1:G665,7,FALSE))</f>
        <v>7</v>
      </c>
      <c r="I73" s="51">
        <f>IF(Settings!$E$15="POINTS",((R73*Q73)*Settings!$B$12)+(S73*Settings!$B$2)+(T73*Settings!$B$3)+(U73*Settings!$B$4)+(V73*Settings!$B$5)+(X73*Settings!$B$9)+(AA73*Settings!$B$6)+(W73*Settings!$B$8)+(AB73*Settings!$B$7)+(AC73*Settings!$B$14)+(AD73*Settings!$B$15)+(AE73*Settings!$B$16)+(AF73*Settings!$B$17)+(AG73*Settings!$B$18)+(Y73*Settings!$B$10)+(Z73*Settings!$B$11),VLOOKUP(B73,'Standard Deviations'!A1:C666,3,FALSE))</f>
        <v>368.84772310629239</v>
      </c>
      <c r="J73" s="52">
        <f>IF(D73="G",I73/AJ73,I73/Q73)</f>
        <v>4.7809166961282221</v>
      </c>
      <c r="K73" s="51">
        <f>IF(Settings!$E$18="C/LW/RW",VLOOKUP(B73,RW!A1:F136,6,FALSE),VLOOKUP(B73,F!A1:F392,6,FALSE))</f>
        <v>0</v>
      </c>
      <c r="L73" s="53">
        <f>IFERROR(K73/H73,"N/A")</f>
        <v>0</v>
      </c>
      <c r="M73" s="54">
        <f>IF(Settings!$E$9="YAHOO",VLOOKUP(B73,ADP!A1:E665,2,FALSE),IF(Settings!$E$9="ESPN",VLOOKUP(B73,ADP!A1:E665,3,FALSE),IF(Settings!$E$9="FANTRAX",VLOOKUP(B73,ADP!A1:E665,4,FALSE),VLOOKUP(B73,ADP!A1:E665,5,FALSE))))</f>
        <v>75.8</v>
      </c>
      <c r="N73" s="54">
        <f>IFERROR(M73-A73,"N/A")</f>
        <v>4.7999999999999972</v>
      </c>
      <c r="O73" s="54"/>
      <c r="P73" s="55" t="str">
        <f>IF(Settings!$E$27="ON",VLOOKUP(B73,ADP!A1:H665,8,FALSE)," ")</f>
        <v>+</v>
      </c>
      <c r="Q73" s="56">
        <f>IF(Settings!$E$12="YES",VLOOKUP(B73,'Player Data'!A1:E667,5,FALSE),82)</f>
        <v>77.150000000000006</v>
      </c>
      <c r="R73" s="54">
        <f>VLOOKUP(B73,'Player Data'!$A1:$AE667,6,FALSE)</f>
        <v>18.371598070890101</v>
      </c>
      <c r="S73" s="56">
        <f>VLOOKUP(B73,'Player Data'!$A1:$AE667,7,FALSE)*$Q73*IFERROR((VLOOKUP(P73,Settings!$E$28:$F$33,2,FALSE)+1),1)</f>
        <v>31.263237479220333</v>
      </c>
      <c r="T73" s="56">
        <f>VLOOKUP(B73,'Player Data'!$A1:$AE667,8,FALSE)*$Q73*IFERROR((VLOOKUP(P73,Settings!$E$28:$F$33,2,FALSE)+1),1)</f>
        <v>39.542190887986933</v>
      </c>
      <c r="U73" s="56">
        <f>SUM(S73:T73)</f>
        <v>70.80542836720727</v>
      </c>
      <c r="V73" s="56">
        <f>VLOOKUP(B73,'Player Data'!$A1:$AE667,10,FALSE)*$Q73*IFERROR(((VLOOKUP(P73,Settings!$E$28:$F$33,2,FALSE)/2)+1),1)</f>
        <v>231.95638091707926</v>
      </c>
      <c r="W73" s="56">
        <f>VLOOKUP(B73,'Player Data'!$A1:$AE667,11,FALSE)*$Q73*IFERROR((VLOOKUP(P73,Settings!$E$28:$F$33,2,FALSE)+1),1)</f>
        <v>8.8603808504177533</v>
      </c>
      <c r="X73" s="57">
        <f>VLOOKUP(B73,'Player Data'!$A1:$AE667,12,FALSE)*$Q73*IFERROR((VLOOKUP(P73,Settings!$E$28:$F$33,2,FALSE)+1),1)</f>
        <v>24.450844363627496</v>
      </c>
      <c r="Y73" s="56">
        <f>VLOOKUP(B73,'Player Data'!$A1:$AE667,13,FALSE)*$Q73</f>
        <v>3.8899529543941984E-2</v>
      </c>
      <c r="Z73" s="56">
        <f>VLOOKUP(B73,'Player Data'!$A1:$AE667,14,FALSE)*$Q73</f>
        <v>6.5507449875684104E-2</v>
      </c>
      <c r="AA73" s="56">
        <f>VLOOKUP(B73,'Player Data'!$A1:$AE667,15,FALSE)*$Q73</f>
        <v>31.873791465255625</v>
      </c>
      <c r="AB73" s="56">
        <f>VLOOKUP(B73,'Player Data'!$A1:$AE667,16,FALSE)*$Q73</f>
        <v>45.352039063375308</v>
      </c>
      <c r="AC73" s="56">
        <f>VLOOKUP(B73,'Player Data'!$A1:$AE667,17,FALSE)*$Q73*IFERROR((VLOOKUP(P73,Settings!$E$28:$F$33,2,FALSE)+1),1)</f>
        <v>3.3262377490861073</v>
      </c>
      <c r="AD73" s="56">
        <f>VLOOKUP(B73,'Player Data'!$A1:$AE667,18,FALSE)*$Q73</f>
        <v>39.425741668347499</v>
      </c>
      <c r="AE73" s="56">
        <f>VLOOKUP(B73,'Player Data'!$A1:$AE667,19,FALSE)*$Q73*IFERROR((VLOOKUP(P73,Settings!$E$28:$F$33,2,FALSE)+1),1)</f>
        <v>5.1609079517266254</v>
      </c>
      <c r="AF73" s="56">
        <f>VLOOKUP(B73,'Player Data'!$A1:$AE667,20,FALSE)*$Q73</f>
        <v>42.838545933394599</v>
      </c>
      <c r="AG73" s="56">
        <f>VLOOKUP(B73,'Player Data'!$A1:$AE667,21,FALSE)*$Q73</f>
        <v>49.329741100757687</v>
      </c>
      <c r="AH73" s="58">
        <f>VLOOKUP(B73,'Player Data'!$A1:$AE667,22,FALSE)</f>
        <v>0.464786178759307</v>
      </c>
      <c r="AI73" s="54"/>
      <c r="AJ73" s="56"/>
      <c r="AK73" s="56"/>
      <c r="AL73" s="56"/>
      <c r="AM73" s="56"/>
      <c r="AN73" s="56"/>
      <c r="AO73" s="56"/>
      <c r="AP73" s="56"/>
      <c r="AQ73" s="59"/>
      <c r="AR73" s="60"/>
      <c r="AS73" s="54"/>
    </row>
    <row r="74" spans="1:45" ht="21.25" customHeight="1" x14ac:dyDescent="0.15">
      <c r="A74" s="45">
        <f>RANK(K74,K$1:K$665)</f>
        <v>71</v>
      </c>
      <c r="B74" s="9" t="s">
        <v>200</v>
      </c>
      <c r="C74" s="46" t="s">
        <v>127</v>
      </c>
      <c r="D74" s="47" t="str">
        <f>VLOOKUP(B74,'Player Data'!A1:D667,4,FALSE)</f>
        <v>D</v>
      </c>
      <c r="E74" s="66">
        <f>VLOOKUP(B74,D!A1:C213,3,FALSE)</f>
        <v>18</v>
      </c>
      <c r="F74" s="55" t="str">
        <f>VLOOKUP(B74,'Player Data'!A1:B667,2,FALSE)</f>
        <v>UTA</v>
      </c>
      <c r="G74" s="10">
        <f>VLOOKUP(B74,'Player Data'!A1:D667,3,FALSE)</f>
        <v>26</v>
      </c>
      <c r="H74" s="50">
        <f>IFERROR(VLOOKUP(B74,ADP!A1:G665,7,FALSE)/1000000,VLOOKUP(B74,ADP!A1:G665,7,FALSE))</f>
        <v>8.5</v>
      </c>
      <c r="I74" s="51">
        <f>IF(Settings!$E$15="POINTS",((R74*Q74)*Settings!$B$12)+(S74*Settings!$B$2)+(T74*Settings!$B$3)+(U74*Settings!$B$4)+(V74*Settings!$B$5)+(X74*Settings!$B$9)+(AA74*Settings!$B$6)+(W74*Settings!$B$8)+(AB74*Settings!$B$7)+(AC74*Settings!$B$14)+(AD74*Settings!$B$15)+(AE74*Settings!$B$16)+(AF74*Settings!$B$17)+(AG74*Settings!$B$18)+(U74*Settings!$B$13)+(Y74*Settings!$B$10)+(Z74*Settings!$B$11),VLOOKUP(B74,'Standard Deviations'!A1:C666,3,FALSE))</f>
        <v>336.23412504559491</v>
      </c>
      <c r="J74" s="52">
        <f>IF(D74="G",I74/AJ74,I74/Q74)</f>
        <v>4.6251126248577306</v>
      </c>
      <c r="K74" s="51">
        <f>VLOOKUP(B74,D!A1:F213,6,FALSE)</f>
        <v>0</v>
      </c>
      <c r="L74" s="53">
        <f>IFERROR(K74/H74,"N/A")</f>
        <v>0</v>
      </c>
      <c r="M74" s="54">
        <f>IF(Settings!$E$9="YAHOO",VLOOKUP(B74,ADP!A1:E665,2,FALSE),IF(Settings!$E$9="ESPN",VLOOKUP(B74,ADP!A1:E665,3,FALSE),IF(Settings!$E$9="FANTRAX",VLOOKUP(B74,ADP!A1:E665,4,FALSE),VLOOKUP(B74,ADP!A1:E665,5,FALSE))))</f>
        <v>66.8</v>
      </c>
      <c r="N74" s="54">
        <f>IFERROR(M74-A74,"N/A")</f>
        <v>-4.2000000000000028</v>
      </c>
      <c r="O74" s="54"/>
      <c r="P74" s="55" t="str">
        <f>IF(Settings!$E$27="ON",VLOOKUP(B74,ADP!A1:H665,8,FALSE)," ")</f>
        <v xml:space="preserve"> </v>
      </c>
      <c r="Q74" s="56">
        <f>IF(Settings!$E$12="YES",VLOOKUP(B74,'Player Data'!A1:E667,5,FALSE),82)</f>
        <v>72.697500000000005</v>
      </c>
      <c r="R74" s="75">
        <f>VLOOKUP(B74,'Player Data'!$A1:$AE667,6,FALSE)</f>
        <v>24.284885318064301</v>
      </c>
      <c r="S74" s="56">
        <f>VLOOKUP(B74,'Player Data'!$A1:$AE667,7,FALSE)*$Q74*IFERROR((VLOOKUP(P74,Settings!$E$28:$F$33,2,FALSE)+1),1)</f>
        <v>8.4523992251021784</v>
      </c>
      <c r="T74" s="56">
        <f>VLOOKUP(B74,'Player Data'!$A1:$AE667,8,FALSE)*$Q74*IFERROR((VLOOKUP(P74,Settings!$E$28:$F$33,2,FALSE)+1),1)</f>
        <v>47.634397978885985</v>
      </c>
      <c r="U74" s="56">
        <f>SUM(S74:T74)</f>
        <v>56.086797203988162</v>
      </c>
      <c r="V74" s="56">
        <f>VLOOKUP(B74,'Player Data'!$A1:$AE667,10,FALSE)*$Q74*IFERROR(((VLOOKUP(P74,Settings!$E$28:$F$33,2,FALSE)/2)+1),1)</f>
        <v>145.51586659733118</v>
      </c>
      <c r="W74" s="56">
        <f>VLOOKUP(B74,'Player Data'!$A1:$AE667,11,FALSE)*$Q74*IFERROR((VLOOKUP(P74,Settings!$E$28:$F$33,2,FALSE)+1),1)</f>
        <v>2.62214490188197</v>
      </c>
      <c r="X74" s="57">
        <f>VLOOKUP(B74,'Player Data'!$A1:$AE667,12,FALSE)*$Q74*IFERROR((VLOOKUP(P74,Settings!$E$28:$F$33,2,FALSE)+1),1)</f>
        <v>25.478376247293923</v>
      </c>
      <c r="Y74" s="56">
        <f>VLOOKUP(B74,'Player Data'!$A1:$AE667,13,FALSE)*$Q74</f>
        <v>3.5794990009350595E-2</v>
      </c>
      <c r="Z74" s="56">
        <f>VLOOKUP(B74,'Player Data'!$A1:$AE667,14,FALSE)*$Q74</f>
        <v>0.68173662205201191</v>
      </c>
      <c r="AA74" s="56">
        <f>VLOOKUP(B74,'Player Data'!$A1:$AE667,15,FALSE)*$Q74</f>
        <v>138.1113745312378</v>
      </c>
      <c r="AB74" s="56">
        <f>VLOOKUP(B74,'Player Data'!$A1:$AE667,16,FALSE)*$Q74</f>
        <v>97.554090177848238</v>
      </c>
      <c r="AC74" s="56">
        <f>VLOOKUP(B74,'Player Data'!$A1:$AE667,17,FALSE)*$Q74*IFERROR((VLOOKUP(P74,Settings!$E$28:$F$33,2,FALSE)+1),1)</f>
        <v>0.64514556267633993</v>
      </c>
      <c r="AD74" s="56">
        <f>VLOOKUP(B74,'Player Data'!$A1:$AE667,18,FALSE)*$Q74</f>
        <v>48.686435317350529</v>
      </c>
      <c r="AE74" s="56">
        <f>VLOOKUP(B74,'Player Data'!$A1:$AE667,19,FALSE)*$Q74*IFERROR((VLOOKUP(P74,Settings!$E$28:$F$33,2,FALSE)+1),1)</f>
        <v>1.2368344466736532</v>
      </c>
      <c r="AF74" s="56">
        <f>VLOOKUP(B74,'Player Data'!$A1:$AE667,20,FALSE)*$Q74</f>
        <v>0</v>
      </c>
      <c r="AG74" s="56">
        <f>VLOOKUP(B74,'Player Data'!$A1:$AE667,21,FALSE)*$Q74</f>
        <v>0</v>
      </c>
      <c r="AH74" s="58">
        <f>VLOOKUP(B74,'Player Data'!$A1:$AE667,22,FALSE)</f>
        <v>0</v>
      </c>
      <c r="AI74" s="54"/>
      <c r="AJ74" s="56"/>
      <c r="AK74" s="56"/>
      <c r="AL74" s="56"/>
      <c r="AM74" s="56"/>
      <c r="AN74" s="56"/>
      <c r="AO74" s="56"/>
      <c r="AP74" s="56"/>
      <c r="AQ74" s="59"/>
      <c r="AR74" s="60"/>
      <c r="AS74" s="54"/>
    </row>
    <row r="75" spans="1:45" ht="21.25" customHeight="1" x14ac:dyDescent="0.15">
      <c r="A75" s="45">
        <f>RANK(K75,K$1:K$665)</f>
        <v>71</v>
      </c>
      <c r="B75" s="9" t="s">
        <v>198</v>
      </c>
      <c r="C75" s="46" t="s">
        <v>127</v>
      </c>
      <c r="D75" s="47" t="str">
        <f>VLOOKUP(B75,'Player Data'!A1:D667,4,FALSE)</f>
        <v>C</v>
      </c>
      <c r="E75" s="48">
        <f>VLOOKUP(B75,'C'!A1:C206,3,FALSE)</f>
        <v>23</v>
      </c>
      <c r="F75" s="55" t="str">
        <f>VLOOKUP(B75,'Player Data'!A1:B667,2,FALSE)</f>
        <v>N.J</v>
      </c>
      <c r="G75" s="10">
        <f>VLOOKUP(B75,'Player Data'!A1:D667,3,FALSE)</f>
        <v>25</v>
      </c>
      <c r="H75" s="50">
        <f>IFERROR(VLOOKUP(B75,ADP!A1:G665,7,FALSE)/1000000,VLOOKUP(B75,ADP!A1:G665,7,FALSE))</f>
        <v>7.25</v>
      </c>
      <c r="I75" s="51">
        <f>IF(Settings!$E$15="POINTS",((R75*Q75)*Settings!$B$12)+(S75*Settings!$B$2)+(T75*Settings!$B$3)+(U75*Settings!$B$4)+(V75*Settings!$B$5)+(X75*Settings!$B$9)+(AA75*Settings!$B$6)+(W75*Settings!$B$8)+(AB75*Settings!$B$7)+(AC75*Settings!$B$14)+(AD75*Settings!$B$15)+(AE75*Settings!$B$16)+(AF75*Settings!$B$17)+(AG75*Settings!$B$18)+(Y75*Settings!$B$10)+(Z75*Settings!$B$11),VLOOKUP(B75,'Standard Deviations'!A1:C666,3,FALSE))</f>
        <v>389.93715777808109</v>
      </c>
      <c r="J75" s="52">
        <f>IF(D75="G",I75/AJ75,I75/Q75)</f>
        <v>4.9522118082052469</v>
      </c>
      <c r="K75" s="51">
        <f>IF(Settings!$E$18="C/LW/RW",VLOOKUP(B75,'C'!A1:F206,6,FALSE),VLOOKUP(B75,F!A1:F392,6,FALSE))</f>
        <v>0</v>
      </c>
      <c r="L75" s="53">
        <f>IFERROR(K75/H75,"N/A")</f>
        <v>0</v>
      </c>
      <c r="M75" s="54">
        <f>IF(Settings!$E$9="YAHOO",VLOOKUP(B75,ADP!A1:E665,2,FALSE),IF(Settings!$E$9="ESPN",VLOOKUP(B75,ADP!A1:E665,3,FALSE),IF(Settings!$E$9="FANTRAX",VLOOKUP(B75,ADP!A1:E665,4,FALSE),VLOOKUP(B75,ADP!A1:E665,5,FALSE))))</f>
        <v>113</v>
      </c>
      <c r="N75" s="54">
        <f>IFERROR(M75-A75,"N/A")</f>
        <v>42</v>
      </c>
      <c r="O75" s="54"/>
      <c r="P75" s="55" t="str">
        <f>IF(Settings!$E$27="ON",VLOOKUP(B75,ADP!A1:H665,8,FALSE)," ")</f>
        <v xml:space="preserve"> </v>
      </c>
      <c r="Q75" s="56">
        <f>IF(Settings!$E$12="YES",VLOOKUP(B75,'Player Data'!A1:E667,5,FALSE),82)</f>
        <v>78.739999999999995</v>
      </c>
      <c r="R75" s="54">
        <f>VLOOKUP(B75,'Player Data'!$A1:$AE667,6,FALSE)</f>
        <v>19.884926992199802</v>
      </c>
      <c r="S75" s="56">
        <f>VLOOKUP(B75,'Player Data'!$A1:$AE667,7,FALSE)*$Q75*IFERROR((VLOOKUP(P75,Settings!$E$28:$F$33,2,FALSE)+1),1)</f>
        <v>30.3082930827063</v>
      </c>
      <c r="T75" s="56">
        <f>VLOOKUP(B75,'Player Data'!$A1:$AE667,8,FALSE)*$Q75*IFERROR((VLOOKUP(P75,Settings!$E$28:$F$33,2,FALSE)+1),1)</f>
        <v>47.521336584501938</v>
      </c>
      <c r="U75" s="56">
        <f>SUM(S75:T75)</f>
        <v>77.829629667208238</v>
      </c>
      <c r="V75" s="56">
        <f>VLOOKUP(B75,'Player Data'!$A1:$AE667,10,FALSE)*$Q75*IFERROR(((VLOOKUP(P75,Settings!$E$28:$F$33,2,FALSE)/2)+1),1)</f>
        <v>217.12044722336302</v>
      </c>
      <c r="W75" s="56">
        <f>VLOOKUP(B75,'Player Data'!$A1:$AE667,11,FALSE)*$Q75*IFERROR((VLOOKUP(P75,Settings!$E$28:$F$33,2,FALSE)+1),1)</f>
        <v>7.6787039360444522</v>
      </c>
      <c r="X75" s="57">
        <f>VLOOKUP(B75,'Player Data'!$A1:$AE667,12,FALSE)*$Q75*IFERROR((VLOOKUP(P75,Settings!$E$28:$F$33,2,FALSE)+1),1)</f>
        <v>20.815744980168429</v>
      </c>
      <c r="Y75" s="56">
        <f>VLOOKUP(B75,'Player Data'!$A1:$AE667,13,FALSE)*$Q75</f>
        <v>1.3604588624347544</v>
      </c>
      <c r="Z75" s="56">
        <f>VLOOKUP(B75,'Player Data'!$A1:$AE667,14,FALSE)*$Q75</f>
        <v>2.0512393501767794</v>
      </c>
      <c r="AA75" s="56">
        <f>VLOOKUP(B75,'Player Data'!$A1:$AE667,15,FALSE)*$Q75</f>
        <v>50.042121668859245</v>
      </c>
      <c r="AB75" s="56">
        <f>VLOOKUP(B75,'Player Data'!$A1:$AE667,16,FALSE)*$Q75</f>
        <v>47.065541075777375</v>
      </c>
      <c r="AC75" s="56">
        <f>VLOOKUP(B75,'Player Data'!$A1:$AE667,17,FALSE)*$Q75*IFERROR((VLOOKUP(P75,Settings!$E$28:$F$33,2,FALSE)+1),1)</f>
        <v>5.0188793509621199</v>
      </c>
      <c r="AD75" s="56">
        <f>VLOOKUP(B75,'Player Data'!$A1:$AE667,18,FALSE)*$Q75</f>
        <v>18.577101505199217</v>
      </c>
      <c r="AE75" s="56">
        <f>VLOOKUP(B75,'Player Data'!$A1:$AE667,19,FALSE)*$Q75*IFERROR((VLOOKUP(P75,Settings!$E$28:$F$33,2,FALSE)+1),1)</f>
        <v>4.5728037582734045</v>
      </c>
      <c r="AF75" s="56">
        <f>VLOOKUP(B75,'Player Data'!$A1:$AE667,20,FALSE)*$Q75</f>
        <v>868.02929879804833</v>
      </c>
      <c r="AG75" s="56">
        <f>VLOOKUP(B75,'Player Data'!$A1:$AE667,21,FALSE)*$Q75</f>
        <v>723.45036515977506</v>
      </c>
      <c r="AH75" s="58">
        <f>VLOOKUP(B75,'Player Data'!$A1:$AE667,22,FALSE)</f>
        <v>0.54542280272646504</v>
      </c>
      <c r="AI75" s="54"/>
      <c r="AJ75" s="64"/>
      <c r="AK75" s="56"/>
      <c r="AL75" s="56"/>
      <c r="AM75" s="56"/>
      <c r="AN75" s="56"/>
      <c r="AO75" s="56"/>
      <c r="AP75" s="56"/>
      <c r="AQ75" s="59"/>
      <c r="AR75" s="60"/>
      <c r="AS75" s="64"/>
    </row>
    <row r="76" spans="1:45" ht="21.25" customHeight="1" x14ac:dyDescent="0.15">
      <c r="A76" s="45">
        <f>RANK(K76,K$1:K$665)</f>
        <v>75</v>
      </c>
      <c r="B76" s="9" t="s">
        <v>201</v>
      </c>
      <c r="C76" s="46" t="s">
        <v>127</v>
      </c>
      <c r="D76" s="47" t="str">
        <f>VLOOKUP(B76,'Player Data'!A1:D667,4,FALSE)</f>
        <v>LW/RW</v>
      </c>
      <c r="E76" s="68">
        <f>VLOOKUP(B76,RW!A1:C136,3,FALSE)</f>
        <v>21</v>
      </c>
      <c r="F76" s="65" t="str">
        <f>VLOOKUP(B76,'Player Data'!A1:B667,2,FALSE)</f>
        <v>DET</v>
      </c>
      <c r="G76" s="10">
        <f>VLOOKUP(B76,'Player Data'!A1:D667,3,FALSE)</f>
        <v>26</v>
      </c>
      <c r="H76" s="50">
        <f>IFERROR(VLOOKUP(B76,ADP!A1:G665,7,FALSE)/1000000,VLOOKUP(B76,ADP!A1:G665,7,FALSE))</f>
        <v>7.875</v>
      </c>
      <c r="I76" s="51">
        <f>IF(Settings!$E$15="POINTS",((R76*Q76)*Settings!$B$12)+(S76*Settings!$B$2)+(T76*Settings!$B$3)+(U76*Settings!$B$4)+(V76*Settings!$B$5)+(X76*Settings!$B$9)+(AA76*Settings!$B$6)+(W76*Settings!$B$8)+(AB76*Settings!$B$7)+(AC76*Settings!$B$14)+(AD76*Settings!$B$15)+(AE76*Settings!$B$16)+(AF76*Settings!$B$17)+(AG76*Settings!$B$18)+(Y76*Settings!$B$10)+(Z76*Settings!$B$11),VLOOKUP(B76,'Standard Deviations'!A1:C666,3,FALSE))</f>
        <v>364.98364652555728</v>
      </c>
      <c r="J76" s="52">
        <f>IF(D76="G",I76/AJ76,I76/Q76)</f>
        <v>4.4493922531458887</v>
      </c>
      <c r="K76" s="51">
        <f>IF(Settings!$E$18="C/LW/RW",VLOOKUP(B76,RW!A1:F136,6,FALSE),VLOOKUP(B76,F!A1:F392,6,FALSE))</f>
        <v>-3.8640765807351158</v>
      </c>
      <c r="L76" s="53">
        <f>IFERROR(K76/H76,"N/A")</f>
        <v>-0.49067639120445916</v>
      </c>
      <c r="M76" s="54">
        <f>IF(Settings!$E$9="YAHOO",VLOOKUP(B76,ADP!A1:E665,2,FALSE),IF(Settings!$E$9="ESPN",VLOOKUP(B76,ADP!A1:E665,3,FALSE),IF(Settings!$E$9="FANTRAX",VLOOKUP(B76,ADP!A1:E665,4,FALSE),VLOOKUP(B76,ADP!A1:E665,5,FALSE))))</f>
        <v>91.3</v>
      </c>
      <c r="N76" s="54">
        <f>IFERROR(M76-A76,"N/A")</f>
        <v>16.299999999999997</v>
      </c>
      <c r="O76" s="54"/>
      <c r="P76" s="55" t="str">
        <f>IF(Settings!$E$27="ON",VLOOKUP(B76,ADP!A1:H665,8,FALSE)," ")</f>
        <v xml:space="preserve"> </v>
      </c>
      <c r="Q76" s="56">
        <f>IF(Settings!$E$12="YES",VLOOKUP(B76,'Player Data'!A1:E667,5,FALSE),82)</f>
        <v>82.03</v>
      </c>
      <c r="R76" s="54">
        <f>VLOOKUP(B76,'Player Data'!$A1:$AE667,6,FALSE)</f>
        <v>18.2025138776383</v>
      </c>
      <c r="S76" s="56">
        <f>VLOOKUP(B76,'Player Data'!$A1:$AE667,7,FALSE)*$Q76*IFERROR((VLOOKUP(P76,Settings!$E$28:$F$33,2,FALSE)+1),1)</f>
        <v>29.098446497168666</v>
      </c>
      <c r="T76" s="56">
        <f>VLOOKUP(B76,'Player Data'!$A1:$AE667,8,FALSE)*$Q76*IFERROR((VLOOKUP(P76,Settings!$E$28:$F$33,2,FALSE)+1),1)</f>
        <v>39.041384493327648</v>
      </c>
      <c r="U76" s="56">
        <f>SUM(S76:T76)</f>
        <v>68.139830990496307</v>
      </c>
      <c r="V76" s="56">
        <f>VLOOKUP(B76,'Player Data'!$A1:$AE667,10,FALSE)*$Q76*IFERROR(((VLOOKUP(P76,Settings!$E$28:$F$33,2,FALSE)/2)+1),1)</f>
        <v>241.20151690240266</v>
      </c>
      <c r="W76" s="56">
        <f>VLOOKUP(B76,'Player Data'!$A1:$AE667,11,FALSE)*$Q76*IFERROR((VLOOKUP(P76,Settings!$E$28:$F$33,2,FALSE)+1),1)</f>
        <v>9.9916020551535585</v>
      </c>
      <c r="X76" s="57">
        <f>VLOOKUP(B76,'Player Data'!$A1:$AE667,12,FALSE)*$Q76*IFERROR((VLOOKUP(P76,Settings!$E$28:$F$33,2,FALSE)+1),1)</f>
        <v>22.006485293535182</v>
      </c>
      <c r="Y76" s="56">
        <f>VLOOKUP(B76,'Player Data'!$A1:$AE667,13,FALSE)*$Q76</f>
        <v>9.2693572306456751E-3</v>
      </c>
      <c r="Z76" s="56">
        <f>VLOOKUP(B76,'Player Data'!$A1:$AE667,14,FALSE)*$Q76</f>
        <v>1.5665259345800722E-2</v>
      </c>
      <c r="AA76" s="56">
        <f>VLOOKUP(B76,'Player Data'!$A1:$AE667,15,FALSE)*$Q76</f>
        <v>35.882489099972076</v>
      </c>
      <c r="AB76" s="56">
        <f>VLOOKUP(B76,'Player Data'!$A1:$AE667,16,FALSE)*$Q76</f>
        <v>75.989461609737333</v>
      </c>
      <c r="AC76" s="56">
        <f>VLOOKUP(B76,'Player Data'!$A1:$AE667,17,FALSE)*$Q76*IFERROR((VLOOKUP(P76,Settings!$E$28:$F$33,2,FALSE)+1),1)</f>
        <v>-1.9190903255623548</v>
      </c>
      <c r="AD76" s="56">
        <f>VLOOKUP(B76,'Player Data'!$A1:$AE667,18,FALSE)*$Q76</f>
        <v>28.756460189341706</v>
      </c>
      <c r="AE76" s="56">
        <f>VLOOKUP(B76,'Player Data'!$A1:$AE667,19,FALSE)*$Q76*IFERROR((VLOOKUP(P76,Settings!$E$28:$F$33,2,FALSE)+1),1)</f>
        <v>3.9964581929420202</v>
      </c>
      <c r="AF76" s="56">
        <f>VLOOKUP(B76,'Player Data'!$A1:$AE667,20,FALSE)*$Q76</f>
        <v>17.098831874943862</v>
      </c>
      <c r="AG76" s="56">
        <f>VLOOKUP(B76,'Player Data'!$A1:$AE667,21,FALSE)*$Q76</f>
        <v>21.335563784707865</v>
      </c>
      <c r="AH76" s="58">
        <f>VLOOKUP(B76,'Player Data'!$A1:$AE667,22,FALSE)</f>
        <v>0.44488358881349999</v>
      </c>
      <c r="AI76" s="54"/>
      <c r="AJ76" s="56"/>
      <c r="AK76" s="56"/>
      <c r="AL76" s="56"/>
      <c r="AM76" s="56"/>
      <c r="AN76" s="56"/>
      <c r="AO76" s="56"/>
      <c r="AP76" s="56"/>
      <c r="AQ76" s="59"/>
      <c r="AR76" s="60"/>
      <c r="AS76" s="54"/>
    </row>
    <row r="77" spans="1:45" ht="21.25" customHeight="1" x14ac:dyDescent="0.15">
      <c r="A77" s="45">
        <f>RANK(K77,K$1:K$665)</f>
        <v>76</v>
      </c>
      <c r="B77" s="9" t="s">
        <v>202</v>
      </c>
      <c r="C77" s="46" t="s">
        <v>127</v>
      </c>
      <c r="D77" s="47" t="str">
        <f>VLOOKUP(B77,'Player Data'!A1:D667,4,FALSE)</f>
        <v>LW/RW</v>
      </c>
      <c r="E77" s="68">
        <f>VLOOKUP(B77,RW!A1:C136,3,FALSE)</f>
        <v>22</v>
      </c>
      <c r="F77" s="62" t="str">
        <f>VLOOKUP(B77,'Player Data'!A1:B667,2,FALSE)</f>
        <v>T.B</v>
      </c>
      <c r="G77" s="10">
        <f>VLOOKUP(B77,'Player Data'!A1:D667,3,FALSE)</f>
        <v>26</v>
      </c>
      <c r="H77" s="50">
        <f>IFERROR(VLOOKUP(B77,ADP!A1:G665,7,FALSE)/1000000,VLOOKUP(B77,ADP!A1:G665,7,FALSE))</f>
        <v>6.5</v>
      </c>
      <c r="I77" s="51">
        <f>IF(Settings!$E$15="POINTS",((R77*Q77)*Settings!$B$12)+(S77*Settings!$B$2)+(T77*Settings!$B$3)+(U77*Settings!$B$4)+(V77*Settings!$B$5)+(X77*Settings!$B$9)+(AA77*Settings!$B$6)+(W77*Settings!$B$8)+(AB77*Settings!$B$7)+(AC77*Settings!$B$14)+(AD77*Settings!$B$15)+(AE77*Settings!$B$16)+(AF77*Settings!$B$17)+(AG77*Settings!$B$18)+(Y77*Settings!$B$10)+(Z77*Settings!$B$11),VLOOKUP(B77,'Standard Deviations'!A1:C666,3,FALSE))</f>
        <v>364.84454965051543</v>
      </c>
      <c r="J77" s="52">
        <f>IF(D77="G",I77/AJ77,I77/Q77)</f>
        <v>4.4825327843537845</v>
      </c>
      <c r="K77" s="51">
        <f>IF(Settings!$E$18="C/LW/RW",VLOOKUP(B77,RW!A1:F136,6,FALSE),VLOOKUP(B77,F!A1:F392,6,FALSE))</f>
        <v>-4.0031734557769596</v>
      </c>
      <c r="L77" s="53">
        <f>IFERROR(K77/H77,"N/A")</f>
        <v>-0.61587283935030146</v>
      </c>
      <c r="M77" s="54">
        <f>IF(Settings!$E$9="YAHOO",VLOOKUP(B77,ADP!A1:E665,2,FALSE),IF(Settings!$E$9="ESPN",VLOOKUP(B77,ADP!A1:E665,3,FALSE),IF(Settings!$E$9="FANTRAX",VLOOKUP(B77,ADP!A1:E665,4,FALSE),VLOOKUP(B77,ADP!A1:E665,5,FALSE))))</f>
        <v>112.6</v>
      </c>
      <c r="N77" s="54">
        <f>IFERROR(M77-A77,"N/A")</f>
        <v>36.599999999999994</v>
      </c>
      <c r="O77" s="54"/>
      <c r="P77" s="55" t="str">
        <f>IF(Settings!$E$27="ON",VLOOKUP(B77,ADP!A1:H665,8,FALSE)," ")</f>
        <v>+</v>
      </c>
      <c r="Q77" s="56">
        <f>IF(Settings!$E$12="YES",VLOOKUP(B77,'Player Data'!A1:E667,5,FALSE),82)</f>
        <v>81.392499999999998</v>
      </c>
      <c r="R77" s="54">
        <f>VLOOKUP(B77,'Player Data'!$A1:$AE667,6,FALSE)</f>
        <v>19.918636109058099</v>
      </c>
      <c r="S77" s="56">
        <f>VLOOKUP(B77,'Player Data'!$A1:$AE667,7,FALSE)*$Q77*IFERROR((VLOOKUP(P77,Settings!$E$28:$F$33,2,FALSE)+1),1)</f>
        <v>30.474455741898396</v>
      </c>
      <c r="T77" s="56">
        <f>VLOOKUP(B77,'Player Data'!$A1:$AE667,8,FALSE)*$Q77*IFERROR((VLOOKUP(P77,Settings!$E$28:$F$33,2,FALSE)+1),1)</f>
        <v>43.900741713576345</v>
      </c>
      <c r="U77" s="56">
        <f>SUM(S77:T77)</f>
        <v>74.375197455474733</v>
      </c>
      <c r="V77" s="56">
        <f>VLOOKUP(B77,'Player Data'!$A1:$AE667,10,FALSE)*$Q77*IFERROR(((VLOOKUP(P77,Settings!$E$28:$F$33,2,FALSE)/2)+1),1)</f>
        <v>196.18110826112337</v>
      </c>
      <c r="W77" s="56">
        <f>VLOOKUP(B77,'Player Data'!$A1:$AE667,11,FALSE)*$Q77*IFERROR((VLOOKUP(P77,Settings!$E$28:$F$33,2,FALSE)+1),1)</f>
        <v>7.3981082358092918</v>
      </c>
      <c r="X77" s="57">
        <f>VLOOKUP(B77,'Player Data'!$A1:$AE667,12,FALSE)*$Q77*IFERROR((VLOOKUP(P77,Settings!$E$28:$F$33,2,FALSE)+1),1)</f>
        <v>17.814105548777444</v>
      </c>
      <c r="Y77" s="56">
        <f>VLOOKUP(B77,'Player Data'!$A1:$AE667,13,FALSE)*$Q77</f>
        <v>0.57184027871407628</v>
      </c>
      <c r="Z77" s="56">
        <f>VLOOKUP(B77,'Player Data'!$A1:$AE667,14,FALSE)*$Q77</f>
        <v>2.5330292845353042</v>
      </c>
      <c r="AA77" s="56">
        <f>VLOOKUP(B77,'Player Data'!$A1:$AE667,15,FALSE)*$Q77</f>
        <v>46.562536640433592</v>
      </c>
      <c r="AB77" s="56">
        <f>VLOOKUP(B77,'Player Data'!$A1:$AE667,16,FALSE)*$Q77</f>
        <v>63.578706968098949</v>
      </c>
      <c r="AC77" s="56">
        <f>VLOOKUP(B77,'Player Data'!$A1:$AE667,17,FALSE)*$Q77*IFERROR((VLOOKUP(P77,Settings!$E$28:$F$33,2,FALSE)+1),1)</f>
        <v>3.4493614257697649</v>
      </c>
      <c r="AD77" s="56">
        <f>VLOOKUP(B77,'Player Data'!$A1:$AE667,18,FALSE)*$Q77</f>
        <v>48.701627195206996</v>
      </c>
      <c r="AE77" s="56">
        <f>VLOOKUP(B77,'Player Data'!$A1:$AE667,19,FALSE)*$Q77*IFERROR((VLOOKUP(P77,Settings!$E$28:$F$33,2,FALSE)+1),1)</f>
        <v>4.8016046756548416</v>
      </c>
      <c r="AF77" s="56">
        <f>VLOOKUP(B77,'Player Data'!$A1:$AE667,20,FALSE)*$Q77</f>
        <v>24.821889169951216</v>
      </c>
      <c r="AG77" s="56">
        <f>VLOOKUP(B77,'Player Data'!$A1:$AE667,21,FALSE)*$Q77</f>
        <v>42.624926935002456</v>
      </c>
      <c r="AH77" s="58">
        <f>VLOOKUP(B77,'Player Data'!$A1:$AE667,22,FALSE)</f>
        <v>0.36802165918886398</v>
      </c>
      <c r="AI77" s="54"/>
      <c r="AJ77" s="56"/>
      <c r="AK77" s="56"/>
      <c r="AL77" s="56"/>
      <c r="AM77" s="56"/>
      <c r="AN77" s="56"/>
      <c r="AO77" s="56"/>
      <c r="AP77" s="56"/>
      <c r="AQ77" s="59"/>
      <c r="AR77" s="60"/>
      <c r="AS77" s="64"/>
    </row>
    <row r="78" spans="1:45" ht="21.25" customHeight="1" x14ac:dyDescent="0.15">
      <c r="A78" s="45">
        <f>RANK(K78,K$1:K$665)</f>
        <v>77</v>
      </c>
      <c r="B78" s="9" t="s">
        <v>203</v>
      </c>
      <c r="C78" s="46" t="s">
        <v>127</v>
      </c>
      <c r="D78" s="47" t="str">
        <f>VLOOKUP(B78,'Player Data'!A1:D667,4,FALSE)</f>
        <v>C</v>
      </c>
      <c r="E78" s="48">
        <f>VLOOKUP(B78,'C'!A1:C206,3,FALSE)</f>
        <v>25</v>
      </c>
      <c r="F78" s="77" t="str">
        <f>VLOOKUP(B78,'Player Data'!A1:B667,2,FALSE)</f>
        <v>STL</v>
      </c>
      <c r="G78" s="10">
        <f>VLOOKUP(B78,'Player Data'!A1:D667,3,FALSE)</f>
        <v>25</v>
      </c>
      <c r="H78" s="50">
        <f>IFERROR(VLOOKUP(B78,ADP!A1:G665,7,FALSE)/1000000,VLOOKUP(B78,ADP!A1:G665,7,FALSE))</f>
        <v>8.125</v>
      </c>
      <c r="I78" s="51">
        <f>IF(Settings!$E$15="POINTS",((R78*Q78)*Settings!$B$12)+(S78*Settings!$B$2)+(T78*Settings!$B$3)+(U78*Settings!$B$4)+(V78*Settings!$B$5)+(X78*Settings!$B$9)+(AA78*Settings!$B$6)+(W78*Settings!$B$8)+(AB78*Settings!$B$7)+(AC78*Settings!$B$14)+(AD78*Settings!$B$15)+(AE78*Settings!$B$16)+(AF78*Settings!$B$17)+(AG78*Settings!$B$18)+(Y78*Settings!$B$10)+(Z78*Settings!$B$11),VLOOKUP(B78,'Standard Deviations'!A1:C666,3,FALSE))</f>
        <v>385.63918761364624</v>
      </c>
      <c r="J78" s="52">
        <f>IF(D78="G",I78/AJ78,I78/Q78)</f>
        <v>4.8330255050743647</v>
      </c>
      <c r="K78" s="51">
        <f>IF(Settings!$E$18="C/LW/RW",VLOOKUP(B78,'C'!A1:F206,6,FALSE),VLOOKUP(B78,F!A1:F392,6,FALSE))</f>
        <v>-4.2979701644348438</v>
      </c>
      <c r="L78" s="53">
        <f>IFERROR(K78/H78,"N/A")</f>
        <v>-0.52898094331505774</v>
      </c>
      <c r="M78" s="54">
        <f>IF(Settings!$E$9="YAHOO",VLOOKUP(B78,ADP!A1:E665,2,FALSE),IF(Settings!$E$9="ESPN",VLOOKUP(B78,ADP!A1:E665,3,FALSE),IF(Settings!$E$9="FANTRAX",VLOOKUP(B78,ADP!A1:E665,4,FALSE),VLOOKUP(B78,ADP!A1:E665,5,FALSE))))</f>
        <v>114.9</v>
      </c>
      <c r="N78" s="54">
        <f>IFERROR(M78-A78,"N/A")</f>
        <v>37.900000000000006</v>
      </c>
      <c r="O78" s="54"/>
      <c r="P78" s="55" t="str">
        <f>IF(Settings!$E$27="ON",VLOOKUP(B78,ADP!A1:H665,8,FALSE)," ")</f>
        <v xml:space="preserve"> </v>
      </c>
      <c r="Q78" s="56">
        <f>IF(Settings!$E$12="YES",VLOOKUP(B78,'Player Data'!A1:E667,5,FALSE),82)</f>
        <v>79.792500000000004</v>
      </c>
      <c r="R78" s="54">
        <f>VLOOKUP(B78,'Player Data'!$A1:$AE667,6,FALSE)</f>
        <v>20.891723649905401</v>
      </c>
      <c r="S78" s="56">
        <f>VLOOKUP(B78,'Player Data'!$A1:$AE667,7,FALSE)*$Q78*IFERROR((VLOOKUP(P78,Settings!$E$28:$F$33,2,FALSE)+1),1)</f>
        <v>25.520224417982693</v>
      </c>
      <c r="T78" s="56">
        <f>VLOOKUP(B78,'Player Data'!$A1:$AE667,8,FALSE)*$Q78*IFERROR((VLOOKUP(P78,Settings!$E$28:$F$33,2,FALSE)+1),1)</f>
        <v>58.536504433937516</v>
      </c>
      <c r="U78" s="56">
        <f>SUM(S78:T78)</f>
        <v>84.056728851920212</v>
      </c>
      <c r="V78" s="56">
        <f>VLOOKUP(B78,'Player Data'!$A1:$AE667,10,FALSE)*$Q78*IFERROR(((VLOOKUP(P78,Settings!$E$28:$F$33,2,FALSE)/2)+1),1)</f>
        <v>165.28913637456631</v>
      </c>
      <c r="W78" s="56">
        <f>VLOOKUP(B78,'Player Data'!$A1:$AE667,11,FALSE)*$Q78*IFERROR((VLOOKUP(P78,Settings!$E$28:$F$33,2,FALSE)+1),1)</f>
        <v>7.7691056958151199</v>
      </c>
      <c r="X78" s="57">
        <f>VLOOKUP(B78,'Player Data'!$A1:$AE667,12,FALSE)*$Q78*IFERROR((VLOOKUP(P78,Settings!$E$28:$F$33,2,FALSE)+1),1)</f>
        <v>27.595336183593879</v>
      </c>
      <c r="Y78" s="56">
        <f>VLOOKUP(B78,'Player Data'!$A1:$AE667,13,FALSE)*$Q78</f>
        <v>1.1568549476149474</v>
      </c>
      <c r="Z78" s="56">
        <f>VLOOKUP(B78,'Player Data'!$A1:$AE667,14,FALSE)*$Q78</f>
        <v>2.1729491758366986</v>
      </c>
      <c r="AA78" s="56">
        <f>VLOOKUP(B78,'Player Data'!$A1:$AE667,15,FALSE)*$Q78</f>
        <v>42.112295022343808</v>
      </c>
      <c r="AB78" s="56">
        <f>VLOOKUP(B78,'Player Data'!$A1:$AE667,16,FALSE)*$Q78</f>
        <v>22.452230362328507</v>
      </c>
      <c r="AC78" s="56">
        <f>VLOOKUP(B78,'Player Data'!$A1:$AE667,17,FALSE)*$Q78*IFERROR((VLOOKUP(P78,Settings!$E$28:$F$33,2,FALSE)+1),1)</f>
        <v>-1.2407547022897623</v>
      </c>
      <c r="AD78" s="56">
        <f>VLOOKUP(B78,'Player Data'!$A1:$AE667,18,FALSE)*$Q78</f>
        <v>31.931227299870301</v>
      </c>
      <c r="AE78" s="56">
        <f>VLOOKUP(B78,'Player Data'!$A1:$AE667,19,FALSE)*$Q78*IFERROR((VLOOKUP(P78,Settings!$E$28:$F$33,2,FALSE)+1),1)</f>
        <v>3.0724842807468602</v>
      </c>
      <c r="AF78" s="56">
        <f>VLOOKUP(B78,'Player Data'!$A1:$AE667,20,FALSE)*$Q78</f>
        <v>812.73127512684482</v>
      </c>
      <c r="AG78" s="56">
        <f>VLOOKUP(B78,'Player Data'!$A1:$AE667,21,FALSE)*$Q78</f>
        <v>740.43016860015564</v>
      </c>
      <c r="AH78" s="58">
        <f>VLOOKUP(B78,'Player Data'!$A1:$AE667,22,FALSE)</f>
        <v>0.52327546399593805</v>
      </c>
      <c r="AI78" s="54"/>
      <c r="AJ78" s="56"/>
      <c r="AK78" s="56"/>
      <c r="AL78" s="56"/>
      <c r="AM78" s="56"/>
      <c r="AN78" s="56"/>
      <c r="AO78" s="56"/>
      <c r="AP78" s="56"/>
      <c r="AQ78" s="59"/>
      <c r="AR78" s="60"/>
      <c r="AS78" s="54"/>
    </row>
    <row r="79" spans="1:45" ht="21.25" customHeight="1" x14ac:dyDescent="0.15">
      <c r="A79" s="45">
        <f>RANK(K79,K$1:K$665)</f>
        <v>78</v>
      </c>
      <c r="B79" s="9" t="s">
        <v>204</v>
      </c>
      <c r="C79" s="46" t="s">
        <v>127</v>
      </c>
      <c r="D79" s="47" t="str">
        <f>VLOOKUP(B79,'Player Data'!A1:D667,4,FALSE)</f>
        <v>C</v>
      </c>
      <c r="E79" s="48">
        <f>VLOOKUP(B79,'C'!A1:C206,3,FALSE)</f>
        <v>26</v>
      </c>
      <c r="F79" s="65" t="str">
        <f>VLOOKUP(B79,'Player Data'!A1:B667,2,FALSE)</f>
        <v>TOR</v>
      </c>
      <c r="G79" s="63">
        <f>VLOOKUP(B79,'Player Data'!A1:D667,3,FALSE)</f>
        <v>33</v>
      </c>
      <c r="H79" s="67">
        <f>IFERROR(VLOOKUP(B79,ADP!A1:G665,7,FALSE)/1000000,VLOOKUP(B79,ADP!A1:G665,7,FALSE))</f>
        <v>11</v>
      </c>
      <c r="I79" s="51">
        <f>IF(Settings!$E$15="POINTS",((R79*Q79)*Settings!$B$12)+(S79*Settings!$B$2)+(T79*Settings!$B$3)+(U79*Settings!$B$4)+(V79*Settings!$B$5)+(X79*Settings!$B$9)+(AA79*Settings!$B$6)+(W79*Settings!$B$8)+(AB79*Settings!$B$7)+(AC79*Settings!$B$14)+(AD79*Settings!$B$15)+(AE79*Settings!$B$16)+(AF79*Settings!$B$17)+(AG79*Settings!$B$18)+(Y79*Settings!$B$10)+(Z79*Settings!$B$11),VLOOKUP(B79,'Standard Deviations'!A1:C666,3,FALSE))</f>
        <v>385.40531838566056</v>
      </c>
      <c r="J79" s="52">
        <f>IF(D79="G",I79/AJ79,I79/Q79)</f>
        <v>4.7522234079612895</v>
      </c>
      <c r="K79" s="51">
        <f>IF(Settings!$E$18="C/LW/RW",VLOOKUP(B79,'C'!A1:F206,6,FALSE),VLOOKUP(B79,F!A1:F392,6,FALSE))</f>
        <v>-4.5318393924205225</v>
      </c>
      <c r="L79" s="53">
        <f>IFERROR(K79/H79,"N/A")</f>
        <v>-0.41198539931095657</v>
      </c>
      <c r="M79" s="54">
        <f>IF(Settings!$E$9="YAHOO",VLOOKUP(B79,ADP!A1:E665,2,FALSE),IF(Settings!$E$9="ESPN",VLOOKUP(B79,ADP!A1:E665,3,FALSE),IF(Settings!$E$9="FANTRAX",VLOOKUP(B79,ADP!A1:E665,4,FALSE),VLOOKUP(B79,ADP!A1:E665,5,FALSE))))</f>
        <v>104.1</v>
      </c>
      <c r="N79" s="54">
        <f>IFERROR(M79-A79,"N/A")</f>
        <v>26.099999999999994</v>
      </c>
      <c r="O79" s="54"/>
      <c r="P79" s="55" t="str">
        <f>IF(Settings!$E$27="ON",VLOOKUP(B79,ADP!A1:H665,8,FALSE)," ")</f>
        <v xml:space="preserve"> </v>
      </c>
      <c r="Q79" s="56">
        <f>IF(Settings!$E$12="YES",VLOOKUP(B79,'Player Data'!A1:E667,5,FALSE),82)</f>
        <v>81.099999999999994</v>
      </c>
      <c r="R79" s="54">
        <f>VLOOKUP(B79,'Player Data'!$A1:$AE667,6,FALSE)</f>
        <v>18.008931627609801</v>
      </c>
      <c r="S79" s="56">
        <f>VLOOKUP(B79,'Player Data'!$A1:$AE667,7,FALSE)*$Q79*IFERROR((VLOOKUP(P79,Settings!$E$28:$F$33,2,FALSE)+1),1)</f>
        <v>29.080235505681518</v>
      </c>
      <c r="T79" s="56">
        <f>VLOOKUP(B79,'Player Data'!$A1:$AE667,8,FALSE)*$Q79*IFERROR((VLOOKUP(P79,Settings!$E$28:$F$33,2,FALSE)+1),1)</f>
        <v>39.25685731551134</v>
      </c>
      <c r="U79" s="56">
        <f>SUM(S79:T79)</f>
        <v>68.337092821192854</v>
      </c>
      <c r="V79" s="56">
        <f>VLOOKUP(B79,'Player Data'!$A1:$AE667,10,FALSE)*$Q79*IFERROR(((VLOOKUP(P79,Settings!$E$28:$F$33,2,FALSE)/2)+1),1)</f>
        <v>272.11847545801083</v>
      </c>
      <c r="W79" s="56">
        <f>VLOOKUP(B79,'Player Data'!$A1:$AE667,11,FALSE)*$Q79*IFERROR((VLOOKUP(P79,Settings!$E$28:$F$33,2,FALSE)+1),1)</f>
        <v>10.890772673637876</v>
      </c>
      <c r="X79" s="57">
        <f>VLOOKUP(B79,'Player Data'!$A1:$AE667,12,FALSE)*$Q79*IFERROR((VLOOKUP(P79,Settings!$E$28:$F$33,2,FALSE)+1),1)</f>
        <v>25.241315753121317</v>
      </c>
      <c r="Y79" s="56">
        <f>VLOOKUP(B79,'Player Data'!$A1:$AE667,13,FALSE)*$Q79</f>
        <v>6.5619236790123783E-3</v>
      </c>
      <c r="Z79" s="56">
        <f>VLOOKUP(B79,'Player Data'!$A1:$AE667,14,FALSE)*$Q79</f>
        <v>1.1179538576093851E-2</v>
      </c>
      <c r="AA79" s="56">
        <f>VLOOKUP(B79,'Player Data'!$A1:$AE667,15,FALSE)*$Q79</f>
        <v>38.164613802758254</v>
      </c>
      <c r="AB79" s="56">
        <f>VLOOKUP(B79,'Player Data'!$A1:$AE667,16,FALSE)*$Q79</f>
        <v>121.24683414273245</v>
      </c>
      <c r="AC79" s="56">
        <f>VLOOKUP(B79,'Player Data'!$A1:$AE667,17,FALSE)*$Q79*IFERROR((VLOOKUP(P79,Settings!$E$28:$F$33,2,FALSE)+1),1)</f>
        <v>7.1940548816626153</v>
      </c>
      <c r="AD79" s="56">
        <f>VLOOKUP(B79,'Player Data'!$A1:$AE667,18,FALSE)*$Q79</f>
        <v>32.518466569943435</v>
      </c>
      <c r="AE79" s="56">
        <f>VLOOKUP(B79,'Player Data'!$A1:$AE667,19,FALSE)*$Q79*IFERROR((VLOOKUP(P79,Settings!$E$28:$F$33,2,FALSE)+1),1)</f>
        <v>4.652316400199183</v>
      </c>
      <c r="AF79" s="56">
        <f>VLOOKUP(B79,'Player Data'!$A1:$AE667,20,FALSE)*$Q79</f>
        <v>810.8041794688296</v>
      </c>
      <c r="AG79" s="56">
        <f>VLOOKUP(B79,'Player Data'!$A1:$AE667,21,FALSE)*$Q79</f>
        <v>556.6259783970778</v>
      </c>
      <c r="AH79" s="58">
        <f>VLOOKUP(B79,'Player Data'!$A1:$AE667,22,FALSE)</f>
        <v>0.59294010359857696</v>
      </c>
      <c r="AI79" s="54"/>
      <c r="AJ79" s="64"/>
      <c r="AK79" s="56"/>
      <c r="AL79" s="56"/>
      <c r="AM79" s="56"/>
      <c r="AN79" s="56"/>
      <c r="AO79" s="56"/>
      <c r="AP79" s="56"/>
      <c r="AQ79" s="59"/>
      <c r="AR79" s="60"/>
      <c r="AS79" s="64"/>
    </row>
    <row r="80" spans="1:45" ht="21.25" customHeight="1" x14ac:dyDescent="0.15">
      <c r="A80" s="45">
        <f>RANK(K80,K$1:K$665)</f>
        <v>79</v>
      </c>
      <c r="B80" s="9" t="s">
        <v>205</v>
      </c>
      <c r="C80" s="46" t="s">
        <v>127</v>
      </c>
      <c r="D80" s="47" t="str">
        <f>VLOOKUP(B80,'Player Data'!A1:D667,4,FALSE)</f>
        <v>LW/RW</v>
      </c>
      <c r="E80" s="68">
        <f>VLOOKUP(B80,RW!A1:C136,3,FALSE)</f>
        <v>23</v>
      </c>
      <c r="F80" s="80" t="str">
        <f>VLOOKUP(B80,'Player Data'!A1:B667,2,FALSE)</f>
        <v>PHI</v>
      </c>
      <c r="G80" s="10">
        <f>VLOOKUP(B80,'Player Data'!A1:D667,3,FALSE)</f>
        <v>27</v>
      </c>
      <c r="H80" s="67">
        <f>IFERROR(VLOOKUP(B80,ADP!A1:G665,7,FALSE)/1000000,VLOOKUP(B80,ADP!A1:G665,7,FALSE))</f>
        <v>5.5</v>
      </c>
      <c r="I80" s="51">
        <f>IF(Settings!$E$15="POINTS",((R80*Q80)*Settings!$B$12)+(S80*Settings!$B$2)+(T80*Settings!$B$3)+(U80*Settings!$B$4)+(V80*Settings!$B$5)+(X80*Settings!$B$9)+(AA80*Settings!$B$6)+(W80*Settings!$B$8)+(AB80*Settings!$B$7)+(AC80*Settings!$B$14)+(AD80*Settings!$B$15)+(AE80*Settings!$B$16)+(AF80*Settings!$B$17)+(AG80*Settings!$B$18)+(Y80*Settings!$B$10)+(Z80*Settings!$B$11),VLOOKUP(B80,'Standard Deviations'!A1:C666,3,FALSE))</f>
        <v>362.74314114827257</v>
      </c>
      <c r="J80" s="52">
        <f>IF(D80="G",I80/AJ80,I80/Q80)</f>
        <v>4.6721167072162872</v>
      </c>
      <c r="K80" s="51">
        <f>IF(Settings!$E$18="C/LW/RW",VLOOKUP(B80,RW!A1:F136,6,FALSE),VLOOKUP(B80,F!A1:F392,6,FALSE))</f>
        <v>-6.1045819580198213</v>
      </c>
      <c r="L80" s="53">
        <f>IFERROR(K80/H80,"N/A")</f>
        <v>-1.1099239923672402</v>
      </c>
      <c r="M80" s="54">
        <f>IF(Settings!$E$9="YAHOO",VLOOKUP(B80,ADP!A1:E665,2,FALSE),IF(Settings!$E$9="ESPN",VLOOKUP(B80,ADP!A1:E665,3,FALSE),IF(Settings!$E$9="FANTRAX",VLOOKUP(B80,ADP!A1:E665,4,FALSE),VLOOKUP(B80,ADP!A1:E665,5,FALSE))))</f>
        <v>75.8</v>
      </c>
      <c r="N80" s="54">
        <f>IFERROR(M80-A80,"N/A")</f>
        <v>-3.2000000000000028</v>
      </c>
      <c r="O80" s="54"/>
      <c r="P80" s="55" t="str">
        <f>IF(Settings!$E$27="ON",VLOOKUP(B80,ADP!A1:H665,8,FALSE)," ")</f>
        <v xml:space="preserve"> </v>
      </c>
      <c r="Q80" s="56">
        <f>IF(Settings!$E$12="YES",VLOOKUP(B80,'Player Data'!A1:E667,5,FALSE),82)</f>
        <v>77.64</v>
      </c>
      <c r="R80" s="54">
        <f>VLOOKUP(B80,'Player Data'!$A1:$AE667,6,FALSE)</f>
        <v>19.622915373722702</v>
      </c>
      <c r="S80" s="56">
        <f>VLOOKUP(B80,'Player Data'!$A1:$AE667,7,FALSE)*$Q80*IFERROR((VLOOKUP(P80,Settings!$E$28:$F$33,2,FALSE)+1),1)</f>
        <v>31.451133438210146</v>
      </c>
      <c r="T80" s="56">
        <f>VLOOKUP(B80,'Player Data'!$A1:$AE667,8,FALSE)*$Q80*IFERROR((VLOOKUP(P80,Settings!$E$28:$F$33,2,FALSE)+1),1)</f>
        <v>36.826737505076778</v>
      </c>
      <c r="U80" s="56">
        <f>SUM(S80:T80)</f>
        <v>68.277870943286928</v>
      </c>
      <c r="V80" s="56">
        <f>VLOOKUP(B80,'Player Data'!$A1:$AE667,10,FALSE)*$Q80*IFERROR(((VLOOKUP(P80,Settings!$E$28:$F$33,2,FALSE)/2)+1),1)</f>
        <v>242.06734207759197</v>
      </c>
      <c r="W80" s="56">
        <f>VLOOKUP(B80,'Player Data'!$A1:$AE667,11,FALSE)*$Q80*IFERROR((VLOOKUP(P80,Settings!$E$28:$F$33,2,FALSE)+1),1)</f>
        <v>4.1930053105159901</v>
      </c>
      <c r="X80" s="78">
        <f>VLOOKUP(B80,'Player Data'!$A1:$AE667,12,FALSE)*$Q80*IFERROR((VLOOKUP(P80,Settings!$E$28:$F$33,2,FALSE)+1),1)</f>
        <v>11.855338767407767</v>
      </c>
      <c r="Y80" s="56">
        <f>VLOOKUP(B80,'Player Data'!$A1:$AE667,13,FALSE)*$Q80</f>
        <v>4.4819311276856624</v>
      </c>
      <c r="Z80" s="56">
        <f>VLOOKUP(B80,'Player Data'!$A1:$AE667,14,FALSE)*$Q80</f>
        <v>6.1821786977806079</v>
      </c>
      <c r="AA80" s="56">
        <f>VLOOKUP(B80,'Player Data'!$A1:$AE667,15,FALSE)*$Q80</f>
        <v>37.676679628854764</v>
      </c>
      <c r="AB80" s="56">
        <f>VLOOKUP(B80,'Player Data'!$A1:$AE667,16,FALSE)*$Q80</f>
        <v>83.266441299966814</v>
      </c>
      <c r="AC80" s="56">
        <f>VLOOKUP(B80,'Player Data'!$A1:$AE667,17,FALSE)*$Q80*IFERROR((VLOOKUP(P80,Settings!$E$28:$F$33,2,FALSE)+1),1)</f>
        <v>-1.6133697626006094</v>
      </c>
      <c r="AD80" s="56">
        <f>VLOOKUP(B80,'Player Data'!$A1:$AE667,18,FALSE)*$Q80</f>
        <v>52.619301485131217</v>
      </c>
      <c r="AE80" s="56">
        <f>VLOOKUP(B80,'Player Data'!$A1:$AE667,19,FALSE)*$Q80*IFERROR((VLOOKUP(P80,Settings!$E$28:$F$33,2,FALSE)+1),1)</f>
        <v>4.5588269156559384</v>
      </c>
      <c r="AF80" s="56">
        <f>VLOOKUP(B80,'Player Data'!$A1:$AE667,20,FALSE)*$Q80</f>
        <v>36.749146006372357</v>
      </c>
      <c r="AG80" s="56">
        <f>VLOOKUP(B80,'Player Data'!$A1:$AE667,21,FALSE)*$Q80</f>
        <v>49.567542753471322</v>
      </c>
      <c r="AH80" s="58">
        <f>VLOOKUP(B80,'Player Data'!$A1:$AE667,22,FALSE)</f>
        <v>0.42574786561401101</v>
      </c>
      <c r="AI80" s="54"/>
      <c r="AJ80" s="56"/>
      <c r="AK80" s="56"/>
      <c r="AL80" s="56"/>
      <c r="AM80" s="56"/>
      <c r="AN80" s="56"/>
      <c r="AO80" s="56"/>
      <c r="AP80" s="56"/>
      <c r="AQ80" s="59"/>
      <c r="AR80" s="60"/>
      <c r="AS80" s="54"/>
    </row>
    <row r="81" spans="1:45" ht="21.25" customHeight="1" x14ac:dyDescent="0.15">
      <c r="A81" s="45">
        <f>RANK(K81,K$1:K$665)</f>
        <v>80</v>
      </c>
      <c r="B81" s="9" t="s">
        <v>206</v>
      </c>
      <c r="C81" s="46" t="s">
        <v>127</v>
      </c>
      <c r="D81" s="47" t="str">
        <f>VLOOKUP(B81,'Player Data'!A1:D667,4,FALSE)</f>
        <v>C</v>
      </c>
      <c r="E81" s="48">
        <f>VLOOKUP(B81,'C'!A1:C206,3,FALSE)</f>
        <v>27</v>
      </c>
      <c r="F81" s="71" t="str">
        <f>VLOOKUP(B81,'Player Data'!A1:B667,2,FALSE)</f>
        <v>NYR</v>
      </c>
      <c r="G81" s="63">
        <f>VLOOKUP(B81,'Player Data'!A1:D667,3,FALSE)</f>
        <v>31</v>
      </c>
      <c r="H81" s="50">
        <f>IFERROR(VLOOKUP(B81,ADP!A1:G665,7,FALSE)/1000000,VLOOKUP(B81,ADP!A1:G665,7,FALSE))</f>
        <v>5.625</v>
      </c>
      <c r="I81" s="51">
        <f>IF(Settings!$E$15="POINTS",((R81*Q81)*Settings!$B$12)+(S81*Settings!$B$2)+(T81*Settings!$B$3)+(U81*Settings!$B$4)+(V81*Settings!$B$5)+(X81*Settings!$B$9)+(AA81*Settings!$B$6)+(W81*Settings!$B$8)+(AB81*Settings!$B$7)+(AC81*Settings!$B$14)+(AD81*Settings!$B$15)+(AE81*Settings!$B$16)+(AF81*Settings!$B$17)+(AG81*Settings!$B$18)+(Y81*Settings!$B$10)+(Z81*Settings!$B$11),VLOOKUP(B81,'Standard Deviations'!A1:C666,3,FALSE))</f>
        <v>383.15755033691164</v>
      </c>
      <c r="J81" s="52">
        <f>IF(D81="G",I81/AJ81,I81/Q81)</f>
        <v>4.6766453110815522</v>
      </c>
      <c r="K81" s="51">
        <f>IF(Settings!$E$18="C/LW/RW",VLOOKUP(B81,'C'!A1:F206,6,FALSE),VLOOKUP(B81,F!A1:F392,6,FALSE))</f>
        <v>-6.7796074411694462</v>
      </c>
      <c r="L81" s="53">
        <f>IFERROR(K81/H81,"N/A")</f>
        <v>-1.2052635450967903</v>
      </c>
      <c r="M81" s="54">
        <f>IF(Settings!$E$9="YAHOO",VLOOKUP(B81,ADP!A1:E665,2,FALSE),IF(Settings!$E$9="ESPN",VLOOKUP(B81,ADP!A1:E665,3,FALSE),IF(Settings!$E$9="FANTRAX",VLOOKUP(B81,ADP!A1:E665,4,FALSE),VLOOKUP(B81,ADP!A1:E665,5,FALSE))))</f>
        <v>58.1</v>
      </c>
      <c r="N81" s="54">
        <f>IFERROR(M81-A81,"N/A")</f>
        <v>-21.9</v>
      </c>
      <c r="O81" s="54"/>
      <c r="P81" s="55" t="str">
        <f>IF(Settings!$E$27="ON",VLOOKUP(B81,ADP!A1:H665,8,FALSE)," ")</f>
        <v xml:space="preserve"> </v>
      </c>
      <c r="Q81" s="56">
        <f>IF(Settings!$E$12="YES",VLOOKUP(B81,'Player Data'!A1:E667,5,FALSE),82)</f>
        <v>81.93</v>
      </c>
      <c r="R81" s="54">
        <f>VLOOKUP(B81,'Player Data'!$A1:$AE667,6,FALSE)</f>
        <v>21.604695817430802</v>
      </c>
      <c r="S81" s="56">
        <f>VLOOKUP(B81,'Player Data'!$A1:$AE667,7,FALSE)*$Q81*IFERROR((VLOOKUP(P81,Settings!$E$28:$F$33,2,FALSE)+1),1)</f>
        <v>25.019707600144095</v>
      </c>
      <c r="T81" s="56">
        <f>VLOOKUP(B81,'Player Data'!$A1:$AE667,8,FALSE)*$Q81*IFERROR((VLOOKUP(P81,Settings!$E$28:$F$33,2,FALSE)+1),1)</f>
        <v>46.620432912887885</v>
      </c>
      <c r="U81" s="56">
        <f>SUM(S81:T81)</f>
        <v>71.64014051303198</v>
      </c>
      <c r="V81" s="56">
        <f>VLOOKUP(B81,'Player Data'!$A1:$AE667,10,FALSE)*$Q81*IFERROR(((VLOOKUP(P81,Settings!$E$28:$F$33,2,FALSE)/2)+1),1)</f>
        <v>222.0246736586528</v>
      </c>
      <c r="W81" s="56">
        <f>VLOOKUP(B81,'Player Data'!$A1:$AE667,11,FALSE)*$Q81*IFERROR((VLOOKUP(P81,Settings!$E$28:$F$33,2,FALSE)+1),1)</f>
        <v>8.869587842375477</v>
      </c>
      <c r="X81" s="57">
        <f>VLOOKUP(B81,'Player Data'!$A1:$AE667,12,FALSE)*$Q81*IFERROR((VLOOKUP(P81,Settings!$E$28:$F$33,2,FALSE)+1),1)</f>
        <v>19.568608784351952</v>
      </c>
      <c r="Y81" s="56">
        <f>VLOOKUP(B81,'Player Data'!$A1:$AE667,13,FALSE)*$Q81</f>
        <v>0.70664095420856665</v>
      </c>
      <c r="Z81" s="56">
        <f>VLOOKUP(B81,'Player Data'!$A1:$AE667,14,FALSE)*$Q81</f>
        <v>0.8582423522953605</v>
      </c>
      <c r="AA81" s="56">
        <f>VLOOKUP(B81,'Player Data'!$A1:$AE667,15,FALSE)*$Q81</f>
        <v>73.595881663683912</v>
      </c>
      <c r="AB81" s="56">
        <f>VLOOKUP(B81,'Player Data'!$A1:$AE667,16,FALSE)*$Q81</f>
        <v>169.66954237840292</v>
      </c>
      <c r="AC81" s="56">
        <f>VLOOKUP(B81,'Player Data'!$A1:$AE667,17,FALSE)*$Q81*IFERROR((VLOOKUP(P81,Settings!$E$28:$F$33,2,FALSE)+1),1)</f>
        <v>5.2744749901290851</v>
      </c>
      <c r="AD81" s="56">
        <f>VLOOKUP(B81,'Player Data'!$A1:$AE667,18,FALSE)*$Q81</f>
        <v>61.856924806643484</v>
      </c>
      <c r="AE81" s="56">
        <f>VLOOKUP(B81,'Player Data'!$A1:$AE667,19,FALSE)*$Q81*IFERROR((VLOOKUP(P81,Settings!$E$28:$F$33,2,FALSE)+1),1)</f>
        <v>4.0896789670492764</v>
      </c>
      <c r="AF81" s="56">
        <f>VLOOKUP(B81,'Player Data'!$A1:$AE667,20,FALSE)*$Q81</f>
        <v>854.77371672114441</v>
      </c>
      <c r="AG81" s="56">
        <f>VLOOKUP(B81,'Player Data'!$A1:$AE667,21,FALSE)*$Q81</f>
        <v>646.21484737512742</v>
      </c>
      <c r="AH81" s="58">
        <f>VLOOKUP(B81,'Player Data'!$A1:$AE667,22,FALSE)</f>
        <v>0.569473836888156</v>
      </c>
      <c r="AI81" s="54"/>
      <c r="AJ81" s="64"/>
      <c r="AK81" s="56"/>
      <c r="AL81" s="56"/>
      <c r="AM81" s="56"/>
      <c r="AN81" s="56"/>
      <c r="AO81" s="56"/>
      <c r="AP81" s="56"/>
      <c r="AQ81" s="59"/>
      <c r="AR81" s="60"/>
      <c r="AS81" s="54"/>
    </row>
    <row r="82" spans="1:45" ht="21.25" customHeight="1" x14ac:dyDescent="0.15">
      <c r="A82" s="45">
        <f>RANK(K82,K$1:K$665)</f>
        <v>81</v>
      </c>
      <c r="B82" s="9" t="s">
        <v>207</v>
      </c>
      <c r="C82" s="46" t="s">
        <v>127</v>
      </c>
      <c r="D82" s="47" t="str">
        <f>VLOOKUP(B82,'Player Data'!A1:D667,4,FALSE)</f>
        <v>C</v>
      </c>
      <c r="E82" s="48">
        <f>VLOOKUP(B82,'C'!A1:C206,3,FALSE)</f>
        <v>28</v>
      </c>
      <c r="F82" s="62" t="str">
        <f>VLOOKUP(B82,'Player Data'!A1:B667,2,FALSE)</f>
        <v>MTL</v>
      </c>
      <c r="G82" s="10">
        <f>VLOOKUP(B82,'Player Data'!A1:D667,3,FALSE)</f>
        <v>25</v>
      </c>
      <c r="H82" s="50">
        <f>IFERROR(VLOOKUP(B82,ADP!A1:G665,7,FALSE)/1000000,VLOOKUP(B82,ADP!A1:G665,7,FALSE))</f>
        <v>7.875</v>
      </c>
      <c r="I82" s="51">
        <f>IF(Settings!$E$15="POINTS",((R82*Q82)*Settings!$B$12)+(S82*Settings!$B$2)+(T82*Settings!$B$3)+(U82*Settings!$B$4)+(V82*Settings!$B$5)+(X82*Settings!$B$9)+(AA82*Settings!$B$6)+(W82*Settings!$B$8)+(AB82*Settings!$B$7)+(AC82*Settings!$B$14)+(AD82*Settings!$B$15)+(AE82*Settings!$B$16)+(AF82*Settings!$B$17)+(AG82*Settings!$B$18)+(Y82*Settings!$B$10)+(Z82*Settings!$B$11),VLOOKUP(B82,'Standard Deviations'!A1:C666,3,FALSE))</f>
        <v>381.76406913831278</v>
      </c>
      <c r="J82" s="52">
        <f>IF(D82="G",I82/AJ82,I82/Q82)</f>
        <v>4.6539567126455292</v>
      </c>
      <c r="K82" s="51">
        <f>IF(Settings!$E$18="C/LW/RW",VLOOKUP(B82,'C'!A1:F206,6,FALSE),VLOOKUP(B82,F!A1:F392,6,FALSE))</f>
        <v>-8.1730886397683093</v>
      </c>
      <c r="L82" s="53">
        <f>IFERROR(K82/H82,"N/A")</f>
        <v>-1.0378525256848647</v>
      </c>
      <c r="M82" s="54">
        <f>IF(Settings!$E$9="YAHOO",VLOOKUP(B82,ADP!A1:E665,2,FALSE),IF(Settings!$E$9="ESPN",VLOOKUP(B82,ADP!A1:E665,3,FALSE),IF(Settings!$E$9="FANTRAX",VLOOKUP(B82,ADP!A1:E665,4,FALSE),VLOOKUP(B82,ADP!A1:E665,5,FALSE))))</f>
        <v>121.7</v>
      </c>
      <c r="N82" s="54">
        <f>IFERROR(M82-A82,"N/A")</f>
        <v>40.700000000000003</v>
      </c>
      <c r="O82" s="54"/>
      <c r="P82" s="55" t="str">
        <f>IF(Settings!$E$27="ON",VLOOKUP(B82,ADP!A1:H665,8,FALSE)," ")</f>
        <v xml:space="preserve"> </v>
      </c>
      <c r="Q82" s="56">
        <f>IF(Settings!$E$12="YES",VLOOKUP(B82,'Player Data'!A1:E667,5,FALSE),82)</f>
        <v>82.03</v>
      </c>
      <c r="R82" s="54">
        <f>VLOOKUP(B82,'Player Data'!$A1:$AE667,6,FALSE)</f>
        <v>21.419775751017699</v>
      </c>
      <c r="S82" s="56">
        <f>VLOOKUP(B82,'Player Data'!$A1:$AE667,7,FALSE)*$Q82*IFERROR((VLOOKUP(P82,Settings!$E$28:$F$33,2,FALSE)+1),1)</f>
        <v>31.46167725360684</v>
      </c>
      <c r="T82" s="56">
        <f>VLOOKUP(B82,'Player Data'!$A1:$AE667,8,FALSE)*$Q82*IFERROR((VLOOKUP(P82,Settings!$E$28:$F$33,2,FALSE)+1),1)</f>
        <v>46.064846745680541</v>
      </c>
      <c r="U82" s="56">
        <f>SUM(S82:T82)</f>
        <v>77.526523999287377</v>
      </c>
      <c r="V82" s="56">
        <f>VLOOKUP(B82,'Player Data'!$A1:$AE667,10,FALSE)*$Q82*IFERROR(((VLOOKUP(P82,Settings!$E$28:$F$33,2,FALSE)/2)+1),1)</f>
        <v>191.58902418692725</v>
      </c>
      <c r="W82" s="56">
        <f>VLOOKUP(B82,'Player Data'!$A1:$AE667,11,FALSE)*$Q82*IFERROR((VLOOKUP(P82,Settings!$E$28:$F$33,2,FALSE)+1),1)</f>
        <v>10.674570522711655</v>
      </c>
      <c r="X82" s="57">
        <f>VLOOKUP(B82,'Player Data'!$A1:$AE667,12,FALSE)*$Q82*IFERROR((VLOOKUP(P82,Settings!$E$28:$F$33,2,FALSE)+1),1)</f>
        <v>27.243949028345387</v>
      </c>
      <c r="Y82" s="56">
        <f>VLOOKUP(B82,'Player Data'!$A1:$AE667,13,FALSE)*$Q82</f>
        <v>0.65084555363852747</v>
      </c>
      <c r="Z82" s="56">
        <f>VLOOKUP(B82,'Player Data'!$A1:$AE667,14,FALSE)*$Q82</f>
        <v>0.97697416696615424</v>
      </c>
      <c r="AA82" s="56">
        <f>VLOOKUP(B82,'Player Data'!$A1:$AE667,15,FALSE)*$Q82</f>
        <v>50.338123703350846</v>
      </c>
      <c r="AB82" s="56">
        <f>VLOOKUP(B82,'Player Data'!$A1:$AE667,16,FALSE)*$Q82</f>
        <v>64.812403667191049</v>
      </c>
      <c r="AC82" s="56">
        <f>VLOOKUP(B82,'Player Data'!$A1:$AE667,17,FALSE)*$Q82*IFERROR((VLOOKUP(P82,Settings!$E$28:$F$33,2,FALSE)+1),1)</f>
        <v>-3.7303749822874144</v>
      </c>
      <c r="AD82" s="56">
        <f>VLOOKUP(B82,'Player Data'!$A1:$AE667,18,FALSE)*$Q82</f>
        <v>33.639484813149039</v>
      </c>
      <c r="AE82" s="56">
        <f>VLOOKUP(B82,'Player Data'!$A1:$AE667,19,FALSE)*$Q82*IFERROR((VLOOKUP(P82,Settings!$E$28:$F$33,2,FALSE)+1),1)</f>
        <v>3.6464484338626413</v>
      </c>
      <c r="AF82" s="56">
        <f>VLOOKUP(B82,'Player Data'!$A1:$AE667,20,FALSE)*$Q82</f>
        <v>679.35736632059525</v>
      </c>
      <c r="AG82" s="56">
        <f>VLOOKUP(B82,'Player Data'!$A1:$AE667,21,FALSE)*$Q82</f>
        <v>678.09284367866292</v>
      </c>
      <c r="AH82" s="58">
        <f>VLOOKUP(B82,'Player Data'!$A1:$AE667,22,FALSE)</f>
        <v>0.50046577127935099</v>
      </c>
      <c r="AI82" s="54"/>
      <c r="AJ82" s="64"/>
      <c r="AK82" s="56"/>
      <c r="AL82" s="56"/>
      <c r="AM82" s="56"/>
      <c r="AN82" s="56"/>
      <c r="AO82" s="56"/>
      <c r="AP82" s="56"/>
      <c r="AQ82" s="59"/>
      <c r="AR82" s="60"/>
      <c r="AS82" s="54"/>
    </row>
    <row r="83" spans="1:45" ht="21.25" customHeight="1" x14ac:dyDescent="0.15">
      <c r="A83" s="45">
        <f>RANK(K83,K$1:K$665)</f>
        <v>82</v>
      </c>
      <c r="B83" s="9" t="s">
        <v>208</v>
      </c>
      <c r="C83" s="46" t="s">
        <v>127</v>
      </c>
      <c r="D83" s="47" t="str">
        <f>VLOOKUP(B83,'Player Data'!A1:D667,4,FALSE)</f>
        <v>C/LW</v>
      </c>
      <c r="E83" s="68">
        <f>VLOOKUP(B83,LW!A1:C152,3,FALSE)</f>
        <v>21</v>
      </c>
      <c r="F83" s="65" t="str">
        <f>VLOOKUP(B83,'Player Data'!A1:B667,2,FALSE)</f>
        <v>EDM</v>
      </c>
      <c r="G83" s="63">
        <f>VLOOKUP(B83,'Player Data'!A1:D667,3,FALSE)</f>
        <v>31</v>
      </c>
      <c r="H83" s="50">
        <f>IFERROR(VLOOKUP(B83,ADP!A1:G665,7,FALSE)/1000000,VLOOKUP(B83,ADP!A1:G665,7,FALSE))</f>
        <v>5.125</v>
      </c>
      <c r="I83" s="51">
        <f>IF(Settings!$E$15="POINTS",((R83*Q83)*Settings!$B$12)+(S83*Settings!$B$2)+(T83*Settings!$B$3)+(U83*Settings!$B$4)+(V83*Settings!$B$5)+(X83*Settings!$B$9)+(AA83*Settings!$B$6)+(W83*Settings!$B$8)+(AB83*Settings!$B$7)+(AC83*Settings!$B$14)+(AD83*Settings!$B$15)+(AE83*Settings!$B$16)+(AF83*Settings!$B$17)+(AG83*Settings!$B$18)+(Y83*Settings!$B$10)+(Z83*Settings!$B$11),VLOOKUP(B83,'Standard Deviations'!A1:C666,3,FALSE))</f>
        <v>371.86724816839626</v>
      </c>
      <c r="J83" s="52">
        <f>IF(D83="G",I83/AJ83,I83/Q83)</f>
        <v>4.6614509328536036</v>
      </c>
      <c r="K83" s="51">
        <f>IF(Settings!$E$18="C/LW/RW",VLOOKUP(B83,LW!A1:F152,6,FALSE),VLOOKUP(B83,F!A1:F392,6,FALSE))</f>
        <v>-9.1942641341034914</v>
      </c>
      <c r="L83" s="53">
        <f>IFERROR(K83/H83,"N/A")</f>
        <v>-1.794002757873852</v>
      </c>
      <c r="M83" s="54">
        <f>IF(Settings!$E$9="YAHOO",VLOOKUP(B83,ADP!A1:E665,2,FALSE),IF(Settings!$E$9="ESPN",VLOOKUP(B83,ADP!A1:E665,3,FALSE),IF(Settings!$E$9="FANTRAX",VLOOKUP(B83,ADP!A1:E665,4,FALSE),VLOOKUP(B83,ADP!A1:E665,5,FALSE))))</f>
        <v>65.400000000000006</v>
      </c>
      <c r="N83" s="54">
        <f>IFERROR(M83-A83,"N/A")</f>
        <v>-16.599999999999994</v>
      </c>
      <c r="O83" s="54"/>
      <c r="P83" s="55" t="str">
        <f>IF(Settings!$E$27="ON",VLOOKUP(B83,ADP!A1:H665,8,FALSE)," ")</f>
        <v xml:space="preserve"> </v>
      </c>
      <c r="Q83" s="56">
        <f>IF(Settings!$E$12="YES",VLOOKUP(B83,'Player Data'!A1:E667,5,FALSE),82)</f>
        <v>79.775000000000006</v>
      </c>
      <c r="R83" s="54">
        <f>VLOOKUP(B83,'Player Data'!$A1:$AE667,6,FALSE)</f>
        <v>19.827135206989801</v>
      </c>
      <c r="S83" s="56">
        <f>VLOOKUP(B83,'Player Data'!$A1:$AE667,7,FALSE)*$Q83*IFERROR((VLOOKUP(P83,Settings!$E$28:$F$33,2,FALSE)+1),1)</f>
        <v>22.553535746165718</v>
      </c>
      <c r="T83" s="56">
        <f>VLOOKUP(B83,'Player Data'!$A1:$AE667,8,FALSE)*$Q83*IFERROR((VLOOKUP(P83,Settings!$E$28:$F$33,2,FALSE)+1),1)</f>
        <v>52.20602560087309</v>
      </c>
      <c r="U83" s="56">
        <f>SUM(S83:T83)</f>
        <v>74.759561347038812</v>
      </c>
      <c r="V83" s="56">
        <f>VLOOKUP(B83,'Player Data'!$A1:$AE667,10,FALSE)*$Q83*IFERROR(((VLOOKUP(P83,Settings!$E$28:$F$33,2,FALSE)/2)+1),1)</f>
        <v>188.95952686130073</v>
      </c>
      <c r="W83" s="56">
        <f>VLOOKUP(B83,'Player Data'!$A1:$AE667,11,FALSE)*$Q83*IFERROR((VLOOKUP(P83,Settings!$E$28:$F$33,2,FALSE)+1),1)</f>
        <v>6.8113323172317237</v>
      </c>
      <c r="X83" s="57">
        <f>VLOOKUP(B83,'Player Data'!$A1:$AE667,12,FALSE)*$Q83*IFERROR((VLOOKUP(P83,Settings!$E$28:$F$33,2,FALSE)+1),1)</f>
        <v>32.590010841332301</v>
      </c>
      <c r="Y83" s="56">
        <f>VLOOKUP(B83,'Player Data'!$A1:$AE667,13,FALSE)*$Q83</f>
        <v>0.84655571567155441</v>
      </c>
      <c r="Z83" s="56">
        <f>VLOOKUP(B83,'Player Data'!$A1:$AE667,14,FALSE)*$Q83</f>
        <v>3.4911821682866768</v>
      </c>
      <c r="AA83" s="56">
        <f>VLOOKUP(B83,'Player Data'!$A1:$AE667,15,FALSE)*$Q83</f>
        <v>34.055215374021081</v>
      </c>
      <c r="AB83" s="56">
        <f>VLOOKUP(B83,'Player Data'!$A1:$AE667,16,FALSE)*$Q83</f>
        <v>61.482702953965017</v>
      </c>
      <c r="AC83" s="56">
        <f>VLOOKUP(B83,'Player Data'!$A1:$AE667,17,FALSE)*$Q83*IFERROR((VLOOKUP(P83,Settings!$E$28:$F$33,2,FALSE)+1),1)</f>
        <v>8.7307078495646468</v>
      </c>
      <c r="AD83" s="56">
        <f>VLOOKUP(B83,'Player Data'!$A1:$AE667,18,FALSE)*$Q83</f>
        <v>34.713686911334776</v>
      </c>
      <c r="AE83" s="56">
        <f>VLOOKUP(B83,'Player Data'!$A1:$AE667,19,FALSE)*$Q83*IFERROR((VLOOKUP(P83,Settings!$E$28:$F$33,2,FALSE)+1),1)</f>
        <v>3.6418357370257675</v>
      </c>
      <c r="AF83" s="56">
        <f>VLOOKUP(B83,'Player Data'!$A1:$AE667,20,FALSE)*$Q83</f>
        <v>241.56748716182034</v>
      </c>
      <c r="AG83" s="56">
        <f>VLOOKUP(B83,'Player Data'!$A1:$AE667,21,FALSE)*$Q83</f>
        <v>288.70248502779958</v>
      </c>
      <c r="AH83" s="58">
        <f>VLOOKUP(B83,'Player Data'!$A1:$AE667,22,FALSE)</f>
        <v>0.45555566000527398</v>
      </c>
      <c r="AI83" s="54"/>
      <c r="AJ83" s="56"/>
      <c r="AK83" s="56"/>
      <c r="AL83" s="56"/>
      <c r="AM83" s="56"/>
      <c r="AN83" s="56"/>
      <c r="AO83" s="56"/>
      <c r="AP83" s="56"/>
      <c r="AQ83" s="59"/>
      <c r="AR83" s="60"/>
      <c r="AS83" s="54"/>
    </row>
    <row r="84" spans="1:45" ht="21.25" customHeight="1" x14ac:dyDescent="0.15">
      <c r="A84" s="45">
        <f>RANK(K84,K$1:K$665)</f>
        <v>83</v>
      </c>
      <c r="B84" s="9" t="s">
        <v>209</v>
      </c>
      <c r="C84" s="46" t="s">
        <v>127</v>
      </c>
      <c r="D84" s="47" t="str">
        <f>VLOOKUP(B84,'Player Data'!A1:D667,4,FALSE)</f>
        <v>D</v>
      </c>
      <c r="E84" s="66">
        <f>VLOOKUP(B84,D!A1:C213,3,FALSE)</f>
        <v>19</v>
      </c>
      <c r="F84" s="62" t="str">
        <f>VLOOKUP(B84,'Player Data'!A1:B667,2,FALSE)</f>
        <v>MTL</v>
      </c>
      <c r="G84" s="10">
        <f>VLOOKUP(B84,'Player Data'!A1:D667,3,FALSE)</f>
        <v>30</v>
      </c>
      <c r="H84" s="50">
        <f>IFERROR(VLOOKUP(B84,ADP!A1:G665,7,FALSE)/1000000,VLOOKUP(B84,ADP!A1:G665,7,FALSE))</f>
        <v>4.875</v>
      </c>
      <c r="I84" s="51">
        <f>IF(Settings!$E$15="POINTS",((R84*Q84)*Settings!$B$12)+(S84*Settings!$B$2)+(T84*Settings!$B$3)+(U84*Settings!$B$4)+(V84*Settings!$B$5)+(X84*Settings!$B$9)+(AA84*Settings!$B$6)+(W84*Settings!$B$8)+(AB84*Settings!$B$7)+(AC84*Settings!$B$14)+(AD84*Settings!$B$15)+(AE84*Settings!$B$16)+(AF84*Settings!$B$17)+(AG84*Settings!$B$18)+(U84*Settings!$B$13)+(Y84*Settings!$B$10)+(Z84*Settings!$B$11),VLOOKUP(B84,'Standard Deviations'!A1:C666,3,FALSE))</f>
        <v>326.91800508372557</v>
      </c>
      <c r="J84" s="52">
        <f>IF(D84="G",I84/AJ84,I84/Q84)</f>
        <v>4.2703677758960952</v>
      </c>
      <c r="K84" s="51">
        <f>VLOOKUP(B84,D!A1:F213,6,FALSE)</f>
        <v>-9.3161199618693331</v>
      </c>
      <c r="L84" s="53">
        <f>IFERROR(K84/H84,"N/A")</f>
        <v>-1.9109989665372991</v>
      </c>
      <c r="M84" s="54">
        <f>IF(Settings!$E$9="YAHOO",VLOOKUP(B84,ADP!A1:E665,2,FALSE),IF(Settings!$E$9="ESPN",VLOOKUP(B84,ADP!A1:E665,3,FALSE),IF(Settings!$E$9="FANTRAX",VLOOKUP(B84,ADP!A1:E665,4,FALSE),VLOOKUP(B84,ADP!A1:E665,5,FALSE))))</f>
        <v>125.4</v>
      </c>
      <c r="N84" s="54">
        <f>IFERROR(M84-A84,"N/A")</f>
        <v>42.400000000000006</v>
      </c>
      <c r="O84" s="54"/>
      <c r="P84" s="55" t="str">
        <f>IF(Settings!$E$27="ON",VLOOKUP(B84,ADP!A1:H665,8,FALSE)," ")</f>
        <v xml:space="preserve"> </v>
      </c>
      <c r="Q84" s="56">
        <f>IF(Settings!$E$12="YES",VLOOKUP(B84,'Player Data'!A1:E667,5,FALSE),82)</f>
        <v>76.555000000000007</v>
      </c>
      <c r="R84" s="81">
        <f>VLOOKUP(B84,'Player Data'!$A1:$AE667,6,FALSE)</f>
        <v>24.456351076150501</v>
      </c>
      <c r="S84" s="56">
        <f>VLOOKUP(B84,'Player Data'!$A1:$AE667,7,FALSE)*$Q84*IFERROR((VLOOKUP(P84,Settings!$E$28:$F$33,2,FALSE)+1),1)</f>
        <v>11.200910125009191</v>
      </c>
      <c r="T84" s="56">
        <f>VLOOKUP(B84,'Player Data'!$A1:$AE667,8,FALSE)*$Q84*IFERROR((VLOOKUP(P84,Settings!$E$28:$F$33,2,FALSE)+1),1)</f>
        <v>37.778113770556701</v>
      </c>
      <c r="U84" s="56">
        <f>SUM(S84:T84)</f>
        <v>48.979023895565888</v>
      </c>
      <c r="V84" s="56">
        <f>VLOOKUP(B84,'Player Data'!$A1:$AE667,10,FALSE)*$Q84*IFERROR(((VLOOKUP(P84,Settings!$E$28:$F$33,2,FALSE)/2)+1),1)</f>
        <v>168.38004368400803</v>
      </c>
      <c r="W84" s="56">
        <f>VLOOKUP(B84,'Player Data'!$A1:$AE667,11,FALSE)*$Q84*IFERROR((VLOOKUP(P84,Settings!$E$28:$F$33,2,FALSE)+1),1)</f>
        <v>1.8984959650674469</v>
      </c>
      <c r="X84" s="78">
        <f>VLOOKUP(B84,'Player Data'!$A1:$AE667,12,FALSE)*$Q84*IFERROR((VLOOKUP(P84,Settings!$E$28:$F$33,2,FALSE)+1),1)</f>
        <v>15.560526648678211</v>
      </c>
      <c r="Y84" s="56">
        <f>VLOOKUP(B84,'Player Data'!$A1:$AE667,13,FALSE)*$Q84</f>
        <v>1.1548151380110734</v>
      </c>
      <c r="Z84" s="56">
        <f>VLOOKUP(B84,'Player Data'!$A1:$AE667,14,FALSE)*$Q84</f>
        <v>1.939211068984386</v>
      </c>
      <c r="AA84" s="56">
        <f>VLOOKUP(B84,'Player Data'!$A1:$AE667,15,FALSE)*$Q84</f>
        <v>156.5823476747226</v>
      </c>
      <c r="AB84" s="56">
        <f>VLOOKUP(B84,'Player Data'!$A1:$AE667,16,FALSE)*$Q84</f>
        <v>71.956797540025889</v>
      </c>
      <c r="AC84" s="56">
        <f>VLOOKUP(B84,'Player Data'!$A1:$AE667,17,FALSE)*$Q84*IFERROR((VLOOKUP(P84,Settings!$E$28:$F$33,2,FALSE)+1),1)</f>
        <v>-5.1026078243128721</v>
      </c>
      <c r="AD84" s="56">
        <f>VLOOKUP(B84,'Player Data'!$A1:$AE667,18,FALSE)*$Q84</f>
        <v>49.616823933756926</v>
      </c>
      <c r="AE84" s="56">
        <f>VLOOKUP(B84,'Player Data'!$A1:$AE667,19,FALSE)*$Q84*IFERROR((VLOOKUP(P84,Settings!$E$28:$F$33,2,FALSE)+1),1)</f>
        <v>1.2981997384927575</v>
      </c>
      <c r="AF84" s="56">
        <f>VLOOKUP(B84,'Player Data'!$A1:$AE667,20,FALSE)*$Q84</f>
        <v>0</v>
      </c>
      <c r="AG84" s="56">
        <f>VLOOKUP(B84,'Player Data'!$A1:$AE667,21,FALSE)*$Q84</f>
        <v>0</v>
      </c>
      <c r="AH84" s="58">
        <f>VLOOKUP(B84,'Player Data'!$A1:$AE667,22,FALSE)</f>
        <v>0</v>
      </c>
      <c r="AI84" s="54"/>
      <c r="AJ84" s="64"/>
      <c r="AK84" s="56"/>
      <c r="AL84" s="56"/>
      <c r="AM84" s="56"/>
      <c r="AN84" s="56"/>
      <c r="AO84" s="56"/>
      <c r="AP84" s="56"/>
      <c r="AQ84" s="59"/>
      <c r="AR84" s="60"/>
      <c r="AS84" s="54"/>
    </row>
    <row r="85" spans="1:45" ht="21.25" customHeight="1" x14ac:dyDescent="0.15">
      <c r="A85" s="45">
        <f>RANK(K85,K$1:K$665)</f>
        <v>84</v>
      </c>
      <c r="B85" s="9" t="s">
        <v>210</v>
      </c>
      <c r="C85" s="46" t="s">
        <v>127</v>
      </c>
      <c r="D85" s="47" t="str">
        <f>VLOOKUP(B85,'Player Data'!A1:D667,4,FALSE)</f>
        <v>D</v>
      </c>
      <c r="E85" s="66">
        <f>VLOOKUP(B85,D!A1:C213,3,FALSE)</f>
        <v>20</v>
      </c>
      <c r="F85" s="55" t="str">
        <f>VLOOKUP(B85,'Player Data'!A1:B667,2,FALSE)</f>
        <v>VGK</v>
      </c>
      <c r="G85" s="10">
        <f>VLOOKUP(B85,'Player Data'!A1:D667,3,FALSE)</f>
        <v>29</v>
      </c>
      <c r="H85" s="67">
        <f>IFERROR(VLOOKUP(B85,ADP!A1:G665,7,FALSE)/1000000,VLOOKUP(B85,ADP!A1:G665,7,FALSE))</f>
        <v>5.2</v>
      </c>
      <c r="I85" s="51">
        <f>IF(Settings!$E$15="POINTS",((R85*Q85)*Settings!$B$12)+(S85*Settings!$B$2)+(T85*Settings!$B$3)+(U85*Settings!$B$4)+(V85*Settings!$B$5)+(X85*Settings!$B$9)+(AA85*Settings!$B$6)+(W85*Settings!$B$8)+(AB85*Settings!$B$7)+(AC85*Settings!$B$14)+(AD85*Settings!$B$15)+(AE85*Settings!$B$16)+(AF85*Settings!$B$17)+(AG85*Settings!$B$18)+(U85*Settings!$B$13)+(Y85*Settings!$B$10)+(Z85*Settings!$B$11),VLOOKUP(B85,'Standard Deviations'!A1:C666,3,FALSE))</f>
        <v>326.04333273919173</v>
      </c>
      <c r="J85" s="52">
        <f>IF(D85="G",I85/AJ85,I85/Q85)</f>
        <v>4.5470097306909105</v>
      </c>
      <c r="K85" s="51">
        <f>VLOOKUP(B85,D!A1:F213,6,FALSE)</f>
        <v>-10.190792306403182</v>
      </c>
      <c r="L85" s="53">
        <f>IFERROR(K85/H85,"N/A")</f>
        <v>-1.9597677512313811</v>
      </c>
      <c r="M85" s="54">
        <f>IF(Settings!$E$9="YAHOO",VLOOKUP(B85,ADP!A1:E665,2,FALSE),IF(Settings!$E$9="ESPN",VLOOKUP(B85,ADP!A1:E665,3,FALSE),IF(Settings!$E$9="FANTRAX",VLOOKUP(B85,ADP!A1:E665,4,FALSE),VLOOKUP(B85,ADP!A1:E665,5,FALSE))))</f>
        <v>119.7</v>
      </c>
      <c r="N85" s="54">
        <f>IFERROR(M85-A85,"N/A")</f>
        <v>35.700000000000003</v>
      </c>
      <c r="O85" s="54"/>
      <c r="P85" s="55" t="str">
        <f>IF(Settings!$E$27="ON",VLOOKUP(B85,ADP!A1:H665,8,FALSE)," ")</f>
        <v xml:space="preserve"> </v>
      </c>
      <c r="Q85" s="56">
        <f>IF(Settings!$E$12="YES",VLOOKUP(B85,'Player Data'!A1:E667,5,FALSE),82)</f>
        <v>71.704999999999998</v>
      </c>
      <c r="R85" s="54">
        <f>VLOOKUP(B85,'Player Data'!$A1:$AE667,6,FALSE)</f>
        <v>22.070063371082899</v>
      </c>
      <c r="S85" s="56">
        <f>VLOOKUP(B85,'Player Data'!$A1:$AE667,7,FALSE)*$Q85*IFERROR((VLOOKUP(P85,Settings!$E$28:$F$33,2,FALSE)+1),1)</f>
        <v>10.450529673844885</v>
      </c>
      <c r="T85" s="56">
        <f>VLOOKUP(B85,'Player Data'!$A1:$AE667,8,FALSE)*$Q85*IFERROR((VLOOKUP(P85,Settings!$E$28:$F$33,2,FALSE)+1),1)</f>
        <v>45.816585351978887</v>
      </c>
      <c r="U85" s="56">
        <f>SUM(S85:T85)</f>
        <v>56.26711502582377</v>
      </c>
      <c r="V85" s="56">
        <f>VLOOKUP(B85,'Player Data'!$A1:$AE667,10,FALSE)*$Q85*IFERROR(((VLOOKUP(P85,Settings!$E$28:$F$33,2,FALSE)/2)+1),1)</f>
        <v>166.33371345342584</v>
      </c>
      <c r="W85" s="56">
        <f>VLOOKUP(B85,'Player Data'!$A1:$AE667,11,FALSE)*$Q85*IFERROR((VLOOKUP(P85,Settings!$E$28:$F$33,2,FALSE)+1),1)</f>
        <v>2.7607552700005322</v>
      </c>
      <c r="X85" s="57">
        <f>VLOOKUP(B85,'Player Data'!$A1:$AE667,12,FALSE)*$Q85*IFERROR((VLOOKUP(P85,Settings!$E$28:$F$33,2,FALSE)+1),1)</f>
        <v>19.288537079984401</v>
      </c>
      <c r="Y85" s="56">
        <f>VLOOKUP(B85,'Player Data'!$A1:$AE667,13,FALSE)*$Q85</f>
        <v>5.6695588403389927E-3</v>
      </c>
      <c r="Z85" s="56">
        <f>VLOOKUP(B85,'Player Data'!$A1:$AE667,14,FALSE)*$Q85</f>
        <v>2.7992829100100983E-2</v>
      </c>
      <c r="AA85" s="56">
        <f>VLOOKUP(B85,'Player Data'!$A1:$AE667,15,FALSE)*$Q85</f>
        <v>109.5172020518459</v>
      </c>
      <c r="AB85" s="56">
        <f>VLOOKUP(B85,'Player Data'!$A1:$AE667,16,FALSE)*$Q85</f>
        <v>35.516962846472353</v>
      </c>
      <c r="AC85" s="56">
        <f>VLOOKUP(B85,'Player Data'!$A1:$AE667,17,FALSE)*$Q85*IFERROR((VLOOKUP(P85,Settings!$E$28:$F$33,2,FALSE)+1),1)</f>
        <v>3.572942374493473</v>
      </c>
      <c r="AD85" s="56">
        <f>VLOOKUP(B85,'Player Data'!$A1:$AE667,18,FALSE)*$Q85</f>
        <v>23.009337254668729</v>
      </c>
      <c r="AE85" s="56">
        <f>VLOOKUP(B85,'Player Data'!$A1:$AE667,19,FALSE)*$Q85*IFERROR((VLOOKUP(P85,Settings!$E$28:$F$33,2,FALSE)+1),1)</f>
        <v>1.5895390337065747</v>
      </c>
      <c r="AF85" s="56">
        <f>VLOOKUP(B85,'Player Data'!$A1:$AE667,20,FALSE)*$Q85</f>
        <v>0</v>
      </c>
      <c r="AG85" s="56">
        <f>VLOOKUP(B85,'Player Data'!$A1:$AE667,21,FALSE)*$Q85</f>
        <v>0</v>
      </c>
      <c r="AH85" s="58">
        <f>VLOOKUP(B85,'Player Data'!$A1:$AE667,22,FALSE)</f>
        <v>0</v>
      </c>
      <c r="AI85" s="54"/>
      <c r="AJ85" s="64"/>
      <c r="AK85" s="56"/>
      <c r="AL85" s="56"/>
      <c r="AM85" s="56"/>
      <c r="AN85" s="56"/>
      <c r="AO85" s="56"/>
      <c r="AP85" s="56"/>
      <c r="AQ85" s="59"/>
      <c r="AR85" s="60"/>
      <c r="AS85" s="54"/>
    </row>
    <row r="86" spans="1:45" ht="21.25" customHeight="1" x14ac:dyDescent="0.15">
      <c r="A86" s="45">
        <f>RANK(K86,K$1:K$665)</f>
        <v>85</v>
      </c>
      <c r="B86" s="9" t="s">
        <v>211</v>
      </c>
      <c r="C86" s="46" t="s">
        <v>127</v>
      </c>
      <c r="D86" s="47" t="str">
        <f>VLOOKUP(B86,'Player Data'!A1:D667,4,FALSE)</f>
        <v>C/LW</v>
      </c>
      <c r="E86" s="68">
        <f>VLOOKUP(B86,LW!A1:C152,3,FALSE)</f>
        <v>22</v>
      </c>
      <c r="F86" s="65" t="str">
        <f>VLOOKUP(B86,'Player Data'!A1:B667,2,FALSE)</f>
        <v>FLA</v>
      </c>
      <c r="G86" s="10">
        <f>VLOOKUP(B86,'Player Data'!A1:D667,3,FALSE)</f>
        <v>29</v>
      </c>
      <c r="H86" s="67">
        <f>IFERROR(VLOOKUP(B86,ADP!A1:G665,7,FALSE)/1000000,VLOOKUP(B86,ADP!A1:G665,7,FALSE))</f>
        <v>4.1666999999999996</v>
      </c>
      <c r="I86" s="51">
        <f>IF(Settings!$E$15="POINTS",((R86*Q86)*Settings!$B$12)+(S86*Settings!$B$2)+(T86*Settings!$B$3)+(U86*Settings!$B$4)+(V86*Settings!$B$5)+(X86*Settings!$B$9)+(AA86*Settings!$B$6)+(W86*Settings!$B$8)+(AB86*Settings!$B$7)+(AC86*Settings!$B$14)+(AD86*Settings!$B$15)+(AE86*Settings!$B$16)+(AF86*Settings!$B$17)+(AG86*Settings!$B$18)+(Y86*Settings!$B$10)+(Z86*Settings!$B$11),VLOOKUP(B86,'Standard Deviations'!A1:C666,3,FALSE))</f>
        <v>370.70924805714361</v>
      </c>
      <c r="J86" s="52">
        <f>IF(D86="G",I86/AJ86,I86/Q86)</f>
        <v>4.6092350011767573</v>
      </c>
      <c r="K86" s="51">
        <f>IF(Settings!$E$18="C/LW/RW",VLOOKUP(B86,LW!A1:F152,6,FALSE),VLOOKUP(B86,F!A1:F392,6,FALSE))</f>
        <v>-10.352264245356139</v>
      </c>
      <c r="L86" s="53">
        <f>IFERROR(K86/H86,"N/A")</f>
        <v>-2.4845235426971319</v>
      </c>
      <c r="M86" s="54">
        <f>IF(Settings!$E$9="YAHOO",VLOOKUP(B86,ADP!A1:E665,2,FALSE),IF(Settings!$E$9="ESPN",VLOOKUP(B86,ADP!A1:E665,3,FALSE),IF(Settings!$E$9="FANTRAX",VLOOKUP(B86,ADP!A1:E665,4,FALSE),VLOOKUP(B86,ADP!A1:E665,5,FALSE))))</f>
        <v>57.9</v>
      </c>
      <c r="N86" s="54">
        <f>IFERROR(M86-A86,"N/A")</f>
        <v>-27.1</v>
      </c>
      <c r="O86" s="54"/>
      <c r="P86" s="55" t="str">
        <f>IF(Settings!$E$27="ON",VLOOKUP(B86,ADP!A1:H665,8,FALSE)," ")</f>
        <v>-</v>
      </c>
      <c r="Q86" s="56">
        <f>IF(Settings!$E$12="YES",VLOOKUP(B86,'Player Data'!A1:E667,5,FALSE),82)</f>
        <v>80.427499999999995</v>
      </c>
      <c r="R86" s="54">
        <f>VLOOKUP(B86,'Player Data'!$A1:$AE667,6,FALSE)</f>
        <v>18.4363587716247</v>
      </c>
      <c r="S86" s="56">
        <f>VLOOKUP(B86,'Player Data'!$A1:$AE667,7,FALSE)*$Q86*IFERROR((VLOOKUP(P86,Settings!$E$28:$F$33,2,FALSE)+1),1)</f>
        <v>34.724435086157712</v>
      </c>
      <c r="T86" s="56">
        <f>VLOOKUP(B86,'Player Data'!$A1:$AE667,8,FALSE)*$Q86*IFERROR((VLOOKUP(P86,Settings!$E$28:$F$33,2,FALSE)+1),1)</f>
        <v>36.073436840213148</v>
      </c>
      <c r="U86" s="56">
        <f>SUM(S86:T86)</f>
        <v>70.79787192637086</v>
      </c>
      <c r="V86" s="56">
        <f>VLOOKUP(B86,'Player Data'!$A1:$AE667,10,FALSE)*$Q86*IFERROR(((VLOOKUP(P86,Settings!$E$28:$F$33,2,FALSE)/2)+1),1)</f>
        <v>253.88277609646732</v>
      </c>
      <c r="W86" s="56">
        <f>VLOOKUP(B86,'Player Data'!$A1:$AE667,11,FALSE)*$Q86*IFERROR((VLOOKUP(P86,Settings!$E$28:$F$33,2,FALSE)+1),1)</f>
        <v>8.021003674925387</v>
      </c>
      <c r="X86" s="57">
        <f>VLOOKUP(B86,'Player Data'!$A1:$AE667,12,FALSE)*$Q86*IFERROR((VLOOKUP(P86,Settings!$E$28:$F$33,2,FALSE)+1),1)</f>
        <v>18.339311450451188</v>
      </c>
      <c r="Y86" s="56">
        <f>VLOOKUP(B86,'Player Data'!$A1:$AE667,13,FALSE)*$Q86</f>
        <v>5.457596214599016E-3</v>
      </c>
      <c r="Z86" s="56">
        <f>VLOOKUP(B86,'Player Data'!$A1:$AE667,14,FALSE)*$Q86</f>
        <v>9.2125186131980143E-3</v>
      </c>
      <c r="AA86" s="56">
        <f>VLOOKUP(B86,'Player Data'!$A1:$AE667,15,FALSE)*$Q86</f>
        <v>26.051440521465988</v>
      </c>
      <c r="AB86" s="56">
        <f>VLOOKUP(B86,'Player Data'!$A1:$AE667,16,FALSE)*$Q86</f>
        <v>56.036405818762667</v>
      </c>
      <c r="AC86" s="56">
        <f>VLOOKUP(B86,'Player Data'!$A1:$AE667,17,FALSE)*$Q86*IFERROR((VLOOKUP(P86,Settings!$E$28:$F$33,2,FALSE)+1),1)</f>
        <v>7.4654713343296439</v>
      </c>
      <c r="AD86" s="56">
        <f>VLOOKUP(B86,'Player Data'!$A1:$AE667,18,FALSE)*$Q86</f>
        <v>45.068024244632745</v>
      </c>
      <c r="AE86" s="56">
        <f>VLOOKUP(B86,'Player Data'!$A1:$AE667,19,FALSE)*$Q86*IFERROR((VLOOKUP(P86,Settings!$E$28:$F$33,2,FALSE)+1),1)</f>
        <v>5.915714853616274</v>
      </c>
      <c r="AF86" s="56">
        <f>VLOOKUP(B86,'Player Data'!$A1:$AE667,20,FALSE)*$Q86</f>
        <v>38.539708585979689</v>
      </c>
      <c r="AG86" s="56">
        <f>VLOOKUP(B86,'Player Data'!$A1:$AE667,21,FALSE)*$Q86</f>
        <v>37.670178365594538</v>
      </c>
      <c r="AH86" s="58">
        <f>VLOOKUP(B86,'Player Data'!$A1:$AE667,22,FALSE)</f>
        <v>0.50570483867098304</v>
      </c>
      <c r="AI86" s="54"/>
      <c r="AJ86" s="56"/>
      <c r="AK86" s="56"/>
      <c r="AL86" s="56"/>
      <c r="AM86" s="56"/>
      <c r="AN86" s="56"/>
      <c r="AO86" s="56"/>
      <c r="AP86" s="56"/>
      <c r="AQ86" s="59"/>
      <c r="AR86" s="60"/>
      <c r="AS86" s="54"/>
    </row>
    <row r="87" spans="1:45" ht="21.25" customHeight="1" x14ac:dyDescent="0.15">
      <c r="A87" s="45">
        <f>RANK(K87,K$1:K$665)</f>
        <v>86</v>
      </c>
      <c r="B87" s="9" t="s">
        <v>212</v>
      </c>
      <c r="C87" s="46" t="s">
        <v>127</v>
      </c>
      <c r="D87" s="47" t="str">
        <f>VLOOKUP(B87,'Player Data'!A1:D667,4,FALSE)</f>
        <v>D</v>
      </c>
      <c r="E87" s="66">
        <f>VLOOKUP(B87,D!A1:C213,3,FALSE)</f>
        <v>21</v>
      </c>
      <c r="F87" s="55" t="str">
        <f>VLOOKUP(B87,'Player Data'!A1:B667,2,FALSE)</f>
        <v>CHI</v>
      </c>
      <c r="G87" s="10">
        <f>VLOOKUP(B87,'Player Data'!A1:D667,3,FALSE)</f>
        <v>29</v>
      </c>
      <c r="H87" s="50">
        <f>IFERROR(VLOOKUP(B87,ADP!A1:G665,7,FALSE)/1000000,VLOOKUP(B87,ADP!A1:G665,7,FALSE))</f>
        <v>9.5</v>
      </c>
      <c r="I87" s="51">
        <f>IF(Settings!$E$15="POINTS",((R87*Q87)*Settings!$B$12)+(S87*Settings!$B$2)+(T87*Settings!$B$3)+(U87*Settings!$B$4)+(V87*Settings!$B$5)+(X87*Settings!$B$9)+(AA87*Settings!$B$6)+(W87*Settings!$B$8)+(AB87*Settings!$B$7)+(AC87*Settings!$B$14)+(AD87*Settings!$B$15)+(AE87*Settings!$B$16)+(AF87*Settings!$B$17)+(AG87*Settings!$B$18)+(U87*Settings!$B$13)+(Y87*Settings!$B$10)+(Z87*Settings!$B$11),VLOOKUP(B87,'Standard Deviations'!A1:C666,3,FALSE))</f>
        <v>324.73246834553606</v>
      </c>
      <c r="J87" s="52">
        <f>IF(D87="G",I87/AJ87,I87/Q87)</f>
        <v>4.1851012449081555</v>
      </c>
      <c r="K87" s="51">
        <f>VLOOKUP(B87,D!A1:F213,6,FALSE)</f>
        <v>-11.501656700058845</v>
      </c>
      <c r="L87" s="53">
        <f>IFERROR(K87/H87,"N/A")</f>
        <v>-1.2107007052693521</v>
      </c>
      <c r="M87" s="54">
        <f>IF(Settings!$E$9="YAHOO",VLOOKUP(B87,ADP!A1:E665,2,FALSE),IF(Settings!$E$9="ESPN",VLOOKUP(B87,ADP!A1:E665,3,FALSE),IF(Settings!$E$9="FANTRAX",VLOOKUP(B87,ADP!A1:E665,4,FALSE),VLOOKUP(B87,ADP!A1:E665,5,FALSE))))</f>
        <v>145.6</v>
      </c>
      <c r="N87" s="54">
        <f>IFERROR(M87-A87,"N/A")</f>
        <v>59.599999999999994</v>
      </c>
      <c r="O87" s="54"/>
      <c r="P87" s="55" t="str">
        <f>IF(Settings!$E$27="ON",VLOOKUP(B87,ADP!A1:H665,8,FALSE)," ")</f>
        <v xml:space="preserve"> </v>
      </c>
      <c r="Q87" s="56">
        <f>IF(Settings!$E$12="YES",VLOOKUP(B87,'Player Data'!A1:E667,5,FALSE),82)</f>
        <v>77.592500000000001</v>
      </c>
      <c r="R87" s="54">
        <f>VLOOKUP(B87,'Player Data'!$A1:$AE667,6,FALSE)</f>
        <v>25.8583008478248</v>
      </c>
      <c r="S87" s="56">
        <f>VLOOKUP(B87,'Player Data'!$A1:$AE667,7,FALSE)*$Q87*IFERROR((VLOOKUP(P87,Settings!$E$28:$F$33,2,FALSE)+1),1)</f>
        <v>10.074097839105589</v>
      </c>
      <c r="T87" s="56">
        <f>VLOOKUP(B87,'Player Data'!$A1:$AE667,8,FALSE)*$Q87*IFERROR((VLOOKUP(P87,Settings!$E$28:$F$33,2,FALSE)+1),1)</f>
        <v>35.027276592092285</v>
      </c>
      <c r="U87" s="56">
        <f>SUM(S87:T87)</f>
        <v>45.101374431197875</v>
      </c>
      <c r="V87" s="56">
        <f>VLOOKUP(B87,'Player Data'!$A1:$AE667,10,FALSE)*$Q87*IFERROR(((VLOOKUP(P87,Settings!$E$28:$F$33,2,FALSE)/2)+1),1)</f>
        <v>196.9934537223275</v>
      </c>
      <c r="W87" s="56">
        <f>VLOOKUP(B87,'Player Data'!$A1:$AE667,11,FALSE)*$Q87*IFERROR((VLOOKUP(P87,Settings!$E$28:$F$33,2,FALSE)+1),1)</f>
        <v>2.4080209939378312</v>
      </c>
      <c r="X87" s="57">
        <f>VLOOKUP(B87,'Player Data'!$A1:$AE667,12,FALSE)*$Q87*IFERROR((VLOOKUP(P87,Settings!$E$28:$F$33,2,FALSE)+1),1)</f>
        <v>15.095034840866855</v>
      </c>
      <c r="Y87" s="56">
        <f>VLOOKUP(B87,'Player Data'!$A1:$AE667,13,FALSE)*$Q87</f>
        <v>3.3937941329814071E-2</v>
      </c>
      <c r="Z87" s="56">
        <f>VLOOKUP(B87,'Player Data'!$A1:$AE667,14,FALSE)*$Q87</f>
        <v>0.65559516798020567</v>
      </c>
      <c r="AA87" s="56">
        <f>VLOOKUP(B87,'Player Data'!$A1:$AE667,15,FALSE)*$Q87</f>
        <v>150.36197636386325</v>
      </c>
      <c r="AB87" s="56">
        <f>VLOOKUP(B87,'Player Data'!$A1:$AE667,16,FALSE)*$Q87</f>
        <v>96.162539299592581</v>
      </c>
      <c r="AC87" s="56">
        <f>VLOOKUP(B87,'Player Data'!$A1:$AE667,17,FALSE)*$Q87*IFERROR((VLOOKUP(P87,Settings!$E$28:$F$33,2,FALSE)+1),1)</f>
        <v>-6.9894991533932798</v>
      </c>
      <c r="AD87" s="56">
        <f>VLOOKUP(B87,'Player Data'!$A1:$AE667,18,FALSE)*$Q87</f>
        <v>37.089987700416707</v>
      </c>
      <c r="AE87" s="56">
        <f>VLOOKUP(B87,'Player Data'!$A1:$AE667,19,FALSE)*$Q87*IFERROR((VLOOKUP(P87,Settings!$E$28:$F$33,2,FALSE)+1),1)</f>
        <v>1.3019285056615784</v>
      </c>
      <c r="AF87" s="56">
        <f>VLOOKUP(B87,'Player Data'!$A1:$AE667,20,FALSE)*$Q87</f>
        <v>0</v>
      </c>
      <c r="AG87" s="56">
        <f>VLOOKUP(B87,'Player Data'!$A1:$AE667,21,FALSE)*$Q87</f>
        <v>0</v>
      </c>
      <c r="AH87" s="58">
        <f>VLOOKUP(B87,'Player Data'!$A1:$AE667,22,FALSE)</f>
        <v>0</v>
      </c>
      <c r="AI87" s="54"/>
      <c r="AJ87" s="56"/>
      <c r="AK87" s="56"/>
      <c r="AL87" s="56"/>
      <c r="AM87" s="56"/>
      <c r="AN87" s="56"/>
      <c r="AO87" s="56"/>
      <c r="AP87" s="56"/>
      <c r="AQ87" s="59"/>
      <c r="AR87" s="60"/>
      <c r="AS87" s="54"/>
    </row>
    <row r="88" spans="1:45" ht="21.25" customHeight="1" x14ac:dyDescent="0.15">
      <c r="A88" s="45">
        <f>RANK(K88,K$1:K$665)</f>
        <v>87</v>
      </c>
      <c r="B88" s="9" t="s">
        <v>213</v>
      </c>
      <c r="C88" s="46" t="s">
        <v>127</v>
      </c>
      <c r="D88" s="47" t="str">
        <f>VLOOKUP(B88,'Player Data'!A1:D667,4,FALSE)</f>
        <v>C/RW</v>
      </c>
      <c r="E88" s="68">
        <f>VLOOKUP(B88,RW!A1:C136,3,FALSE)</f>
        <v>24</v>
      </c>
      <c r="F88" s="72" t="str">
        <f>VLOOKUP(B88,'Player Data'!A1:B667,2,FALSE)</f>
        <v>CAR</v>
      </c>
      <c r="G88" s="69">
        <f>VLOOKUP(B88,'Player Data'!A1:D667,3,FALSE)</f>
        <v>22</v>
      </c>
      <c r="H88" s="65" t="str">
        <f>IFERROR(VLOOKUP(B88,ADP!A1:G665,7,FALSE)/1000000,VLOOKUP(B88,ADP!A1:G665,7,FALSE))</f>
        <v>RFA</v>
      </c>
      <c r="I88" s="51">
        <f>IF(Settings!$E$15="POINTS",((R88*Q88)*Settings!$B$12)+(S88*Settings!$B$2)+(T88*Settings!$B$3)+(U88*Settings!$B$4)+(V88*Settings!$B$5)+(X88*Settings!$B$9)+(AA88*Settings!$B$6)+(W88*Settings!$B$8)+(AB88*Settings!$B$7)+(AC88*Settings!$B$14)+(AD88*Settings!$B$15)+(AE88*Settings!$B$16)+(AF88*Settings!$B$17)+(AG88*Settings!$B$18)+(Y88*Settings!$B$10)+(Z88*Settings!$B$11),VLOOKUP(B88,'Standard Deviations'!A1:C666,3,FALSE))</f>
        <v>353.34076548583994</v>
      </c>
      <c r="J88" s="52">
        <f>IF(D88="G",I88/AJ88,I88/Q88)</f>
        <v>4.3919177836094585</v>
      </c>
      <c r="K88" s="51">
        <f>IF(Settings!$E$18="C/LW/RW",VLOOKUP(B88,RW!A1:F136,6,FALSE),VLOOKUP(B88,F!A1:F392,6,FALSE))</f>
        <v>-15.506957620452454</v>
      </c>
      <c r="L88" s="76" t="str">
        <f>IFERROR(K88/H88,"N/A")</f>
        <v>N/A</v>
      </c>
      <c r="M88" s="54">
        <f>IF(Settings!$E$9="YAHOO",VLOOKUP(B88,ADP!A1:E665,2,FALSE),IF(Settings!$E$9="ESPN",VLOOKUP(B88,ADP!A1:E665,3,FALSE),IF(Settings!$E$9="FANTRAX",VLOOKUP(B88,ADP!A1:E665,4,FALSE),VLOOKUP(B88,ADP!A1:E665,5,FALSE))))</f>
        <v>78.7</v>
      </c>
      <c r="N88" s="54">
        <f>IFERROR(M88-A88,"N/A")</f>
        <v>-8.2999999999999972</v>
      </c>
      <c r="O88" s="54"/>
      <c r="P88" s="55" t="str">
        <f>IF(Settings!$E$27="ON",VLOOKUP(B88,ADP!A1:H665,8,FALSE)," ")</f>
        <v>+</v>
      </c>
      <c r="Q88" s="56">
        <f>IF(Settings!$E$12="YES",VLOOKUP(B88,'Player Data'!A1:E667,5,FALSE),82)</f>
        <v>80.452500000000001</v>
      </c>
      <c r="R88" s="54">
        <f>VLOOKUP(B88,'Player Data'!$A1:$AE667,6,FALSE)</f>
        <v>19.192046722028099</v>
      </c>
      <c r="S88" s="56">
        <f>VLOOKUP(B88,'Player Data'!$A1:$AE667,7,FALSE)*$Q88*IFERROR((VLOOKUP(P88,Settings!$E$28:$F$33,2,FALSE)+1),1)</f>
        <v>31.151513648693303</v>
      </c>
      <c r="T88" s="56">
        <f>VLOOKUP(B88,'Player Data'!$A1:$AE667,8,FALSE)*$Q88*IFERROR((VLOOKUP(P88,Settings!$E$28:$F$33,2,FALSE)+1),1)</f>
        <v>37.689377134118338</v>
      </c>
      <c r="U88" s="56">
        <f>SUM(S88:T88)</f>
        <v>68.840890782811641</v>
      </c>
      <c r="V88" s="56">
        <f>VLOOKUP(B88,'Player Data'!$A1:$AE667,10,FALSE)*$Q88*IFERROR(((VLOOKUP(P88,Settings!$E$28:$F$33,2,FALSE)/2)+1),1)</f>
        <v>195.67904609350001</v>
      </c>
      <c r="W88" s="56">
        <f>VLOOKUP(B88,'Player Data'!$A1:$AE667,11,FALSE)*$Q88*IFERROR((VLOOKUP(P88,Settings!$E$28:$F$33,2,FALSE)+1),1)</f>
        <v>8.9990428555798356</v>
      </c>
      <c r="X88" s="57">
        <f>VLOOKUP(B88,'Player Data'!$A1:$AE667,12,FALSE)*$Q88*IFERROR((VLOOKUP(P88,Settings!$E$28:$F$33,2,FALSE)+1),1)</f>
        <v>18.599418557809834</v>
      </c>
      <c r="Y88" s="56">
        <f>VLOOKUP(B88,'Player Data'!$A1:$AE667,13,FALSE)*$Q88</f>
        <v>2.3421622349400737</v>
      </c>
      <c r="Z88" s="56">
        <f>VLOOKUP(B88,'Player Data'!$A1:$AE667,14,FALSE)*$Q88</f>
        <v>3.3711324346103217</v>
      </c>
      <c r="AA88" s="56">
        <f>VLOOKUP(B88,'Player Data'!$A1:$AE667,15,FALSE)*$Q88</f>
        <v>54.016038196469673</v>
      </c>
      <c r="AB88" s="56">
        <f>VLOOKUP(B88,'Player Data'!$A1:$AE667,16,FALSE)*$Q88</f>
        <v>102.28735687111708</v>
      </c>
      <c r="AC88" s="56">
        <f>VLOOKUP(B88,'Player Data'!$A1:$AE667,17,FALSE)*$Q88*IFERROR((VLOOKUP(P88,Settings!$E$28:$F$33,2,FALSE)+1),1)</f>
        <v>8.8352888566906103</v>
      </c>
      <c r="AD88" s="56">
        <f>VLOOKUP(B88,'Player Data'!$A1:$AE667,18,FALSE)*$Q88</f>
        <v>21.359960387215231</v>
      </c>
      <c r="AE88" s="56">
        <f>VLOOKUP(B88,'Player Data'!$A1:$AE667,19,FALSE)*$Q88*IFERROR((VLOOKUP(P88,Settings!$E$28:$F$33,2,FALSE)+1),1)</f>
        <v>5.3981083025198888</v>
      </c>
      <c r="AF88" s="56">
        <f>VLOOKUP(B88,'Player Data'!$A1:$AE667,20,FALSE)*$Q88</f>
        <v>115.59973359040717</v>
      </c>
      <c r="AG88" s="56">
        <f>VLOOKUP(B88,'Player Data'!$A1:$AE667,21,FALSE)*$Q88</f>
        <v>166.13851835137265</v>
      </c>
      <c r="AH88" s="58">
        <f>VLOOKUP(B88,'Player Data'!$A1:$AE667,22,FALSE)</f>
        <v>0.41030897577335401</v>
      </c>
      <c r="AI88" s="54"/>
      <c r="AJ88" s="56"/>
      <c r="AK88" s="56"/>
      <c r="AL88" s="56"/>
      <c r="AM88" s="56"/>
      <c r="AN88" s="56"/>
      <c r="AO88" s="56"/>
      <c r="AP88" s="56"/>
      <c r="AQ88" s="59"/>
      <c r="AR88" s="60"/>
      <c r="AS88" s="54"/>
    </row>
    <row r="89" spans="1:45" ht="21.25" customHeight="1" x14ac:dyDescent="0.15">
      <c r="A89" s="45">
        <f>RANK(K89,K$1:K$665)</f>
        <v>88</v>
      </c>
      <c r="B89" s="9" t="s">
        <v>214</v>
      </c>
      <c r="C89" s="46" t="s">
        <v>127</v>
      </c>
      <c r="D89" s="47" t="str">
        <f>VLOOKUP(B89,'Player Data'!A1:D667,4,FALSE)</f>
        <v>G</v>
      </c>
      <c r="E89" s="73">
        <f>VLOOKUP(B89,G!A1:D65,3,FALSE)</f>
        <v>11</v>
      </c>
      <c r="F89" s="65" t="str">
        <f>VLOOKUP(B89,'Player Data'!A1:B667,2,FALSE)</f>
        <v>FLA</v>
      </c>
      <c r="G89" s="63">
        <f>VLOOKUP(B89,'Player Data'!A1:D667,3,FALSE)</f>
        <v>35</v>
      </c>
      <c r="H89" s="50">
        <f>IFERROR(VLOOKUP(B89,ADP!A1:G665,7,FALSE)/1000000,VLOOKUP(B89,ADP!A1:G665,7,FALSE))</f>
        <v>10</v>
      </c>
      <c r="I89" s="51">
        <f>IF(Settings!$E$15="POINTS",(AJ89*Settings!$B$29)+(AK89*Settings!$B$21)+(AL89*Settings!$B$22)+(AN89*Settings!$B$24)+(AO89*Settings!$B$25)+(AP89*Settings!$B$27)+(AM89*Settings!$B$23),VLOOKUP(B89,'Standard Deviations'!A1:C666,3,FALSE))</f>
        <v>395.10517732109781</v>
      </c>
      <c r="J89" s="52">
        <f>IF(D89="G",I89/AJ89,I89/Q89)</f>
        <v>7.0554495950196037</v>
      </c>
      <c r="K89" s="51">
        <f>VLOOKUP(B89,G!A1:F65,6,FALSE)</f>
        <v>-15.554565448322364</v>
      </c>
      <c r="L89" s="53">
        <f>IFERROR(K89/H89,"N/A")</f>
        <v>-1.5554565448322364</v>
      </c>
      <c r="M89" s="54">
        <f>IF(Settings!$E$9="YAHOO",VLOOKUP(B89,ADP!A1:E665,2,FALSE),IF(Settings!$E$9="ESPN",VLOOKUP(B89,ADP!A1:E665,3,FALSE),IF(Settings!$E$9="FANTRAX",VLOOKUP(B89,ADP!A1:E665,4,FALSE),VLOOKUP(B89,ADP!A1:E665,5,FALSE))))</f>
        <v>42</v>
      </c>
      <c r="N89" s="54">
        <f>IFERROR(M89-A89,"N/A")</f>
        <v>-46</v>
      </c>
      <c r="O89" s="54"/>
      <c r="P89" s="55" t="str">
        <f>IF(Settings!$E$27="ON",VLOOKUP(B89,ADP!A1:H665,8,FALSE)," ")</f>
        <v xml:space="preserve"> </v>
      </c>
      <c r="Q89" s="56"/>
      <c r="R89" s="54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8"/>
      <c r="AI89" s="54"/>
      <c r="AJ89" s="64">
        <f>VLOOKUP(B89,'Player Data'!$A1:$AE667,24,FALSE)</f>
        <v>56</v>
      </c>
      <c r="AK89" s="56">
        <f>VLOOKUP(B89,'Player Data'!$A1:$AE667,25,FALSE)*$AJ89*IFERROR((VLOOKUP(P89,Settings!$E$28:$F$33,2,FALSE)+1),1)</f>
        <v>34.846631037731299</v>
      </c>
      <c r="AL89" s="56">
        <f>AJ89-AK89-AM89</f>
        <v>14.153368962268701</v>
      </c>
      <c r="AM89" s="56">
        <f>VLOOKUP(B89,'Player Data'!$A1:$AE667,27,FALSE)*$AJ89</f>
        <v>7</v>
      </c>
      <c r="AN89" s="56">
        <f>VLOOKUP(B89,'Player Data'!$A1:$AE667,28,FALSE)*AJ89</f>
        <v>4.0105552823534465</v>
      </c>
      <c r="AO89" s="56">
        <f>VLOOKUP(B89,'Player Data'!$A1:$AE667,29,FALSE)*$AJ89*IFERROR((VLOOKUP(P89,Settings!$E$28:$F$33,2,FALSE)/4)+1,1)</f>
        <v>1446.0080828557168</v>
      </c>
      <c r="AP89" s="56">
        <f>VLOOKUP(B89,'Player Data'!$A1:$AE667,31,FALSE)*$AJ89*(IFERROR(1-(VLOOKUP(P89,Settings!$E$28:$F$33,2,FALSE)/4),1))</f>
        <v>145.48310416743598</v>
      </c>
      <c r="AQ89" s="59">
        <f>1-(AP89/(AO89+AP89))</f>
        <v>0.90858692441799893</v>
      </c>
      <c r="AR89" s="60">
        <f>AP89/AJ89</f>
        <v>2.5979125744184999</v>
      </c>
      <c r="AS89" s="54"/>
    </row>
    <row r="90" spans="1:45" ht="21.25" customHeight="1" x14ac:dyDescent="0.15">
      <c r="A90" s="45">
        <f>RANK(K90,K$1:K$665)</f>
        <v>89</v>
      </c>
      <c r="B90" s="9" t="s">
        <v>215</v>
      </c>
      <c r="C90" s="46" t="s">
        <v>127</v>
      </c>
      <c r="D90" s="47" t="str">
        <f>VLOOKUP(B90,'Player Data'!A1:D667,4,FALSE)</f>
        <v>D</v>
      </c>
      <c r="E90" s="66">
        <f>VLOOKUP(B90,D!A1:C213,3,FALSE)</f>
        <v>22</v>
      </c>
      <c r="F90" s="55" t="str">
        <f>VLOOKUP(B90,'Player Data'!A1:B667,2,FALSE)</f>
        <v>N.J</v>
      </c>
      <c r="G90" s="63">
        <f>VLOOKUP(B90,'Player Data'!A1:D667,3,FALSE)</f>
        <v>31</v>
      </c>
      <c r="H90" s="50">
        <f>IFERROR(VLOOKUP(B90,ADP!A1:G665,7,FALSE)/1000000,VLOOKUP(B90,ADP!A1:G665,7,FALSE))</f>
        <v>9</v>
      </c>
      <c r="I90" s="51">
        <f>IF(Settings!$E$15="POINTS",((R90*Q90)*Settings!$B$12)+(S90*Settings!$B$2)+(T90*Settings!$B$3)+(U90*Settings!$B$4)+(V90*Settings!$B$5)+(X90*Settings!$B$9)+(AA90*Settings!$B$6)+(W90*Settings!$B$8)+(AB90*Settings!$B$7)+(AC90*Settings!$B$14)+(AD90*Settings!$B$15)+(AE90*Settings!$B$16)+(AF90*Settings!$B$17)+(AG90*Settings!$B$18)+(U90*Settings!$B$13)+(Y90*Settings!$B$10)+(Z90*Settings!$B$11),VLOOKUP(B90,'Standard Deviations'!A1:C666,3,FALSE))</f>
        <v>319.62808409504555</v>
      </c>
      <c r="J90" s="52">
        <f>IF(D90="G",I90/AJ90,I90/Q90)</f>
        <v>4.6306133153936333</v>
      </c>
      <c r="K90" s="51">
        <f>VLOOKUP(B90,D!A1:F213,6,FALSE)</f>
        <v>-16.606040950549357</v>
      </c>
      <c r="L90" s="53">
        <f>IFERROR(K90/H90,"N/A")</f>
        <v>-1.8451156611721506</v>
      </c>
      <c r="M90" s="54">
        <f>IF(Settings!$E$9="YAHOO",VLOOKUP(B90,ADP!A1:E665,2,FALSE),IF(Settings!$E$9="ESPN",VLOOKUP(B90,ADP!A1:E665,3,FALSE),IF(Settings!$E$9="FANTRAX",VLOOKUP(B90,ADP!A1:E665,4,FALSE),VLOOKUP(B90,ADP!A1:E665,5,FALSE))))</f>
        <v>64.8</v>
      </c>
      <c r="N90" s="54">
        <f>IFERROR(M90-A90,"N/A")</f>
        <v>-24.200000000000003</v>
      </c>
      <c r="O90" s="54"/>
      <c r="P90" s="55" t="str">
        <f>IF(Settings!$E$27="ON",VLOOKUP(B90,ADP!A1:H665,8,FALSE)," ")</f>
        <v xml:space="preserve"> </v>
      </c>
      <c r="Q90" s="56">
        <f>IF(Settings!$E$12="YES",VLOOKUP(B90,'Player Data'!A1:E667,5,FALSE),82)</f>
        <v>69.025000000000006</v>
      </c>
      <c r="R90" s="75">
        <f>VLOOKUP(B90,'Player Data'!$A1:$AE667,6,FALSE)</f>
        <v>22.019225952541099</v>
      </c>
      <c r="S90" s="56">
        <f>VLOOKUP(B90,'Player Data'!$A1:$AE667,7,FALSE)*$Q90*IFERROR((VLOOKUP(P90,Settings!$E$28:$F$33,2,FALSE)+1),1)</f>
        <v>14.695147844779948</v>
      </c>
      <c r="T90" s="56">
        <f>VLOOKUP(B90,'Player Data'!$A1:$AE667,8,FALSE)*$Q90*IFERROR((VLOOKUP(P90,Settings!$E$28:$F$33,2,FALSE)+1),1)</f>
        <v>36.018456503267238</v>
      </c>
      <c r="U90" s="56">
        <f>SUM(S90:T90)</f>
        <v>50.713604348047184</v>
      </c>
      <c r="V90" s="56">
        <f>VLOOKUP(B90,'Player Data'!$A1:$AE667,10,FALSE)*$Q90*IFERROR(((VLOOKUP(P90,Settings!$E$28:$F$33,2,FALSE)/2)+1),1)</f>
        <v>212.55629656046443</v>
      </c>
      <c r="W90" s="56">
        <f>VLOOKUP(B90,'Player Data'!$A1:$AE667,11,FALSE)*$Q90*IFERROR((VLOOKUP(P90,Settings!$E$28:$F$33,2,FALSE)+1),1)</f>
        <v>5.926385588063356</v>
      </c>
      <c r="X90" s="78">
        <f>VLOOKUP(B90,'Player Data'!$A1:$AE667,12,FALSE)*$Q90*IFERROR((VLOOKUP(P90,Settings!$E$28:$F$33,2,FALSE)+1),1)</f>
        <v>17.706068748605507</v>
      </c>
      <c r="Y90" s="56">
        <f>VLOOKUP(B90,'Player Data'!$A1:$AE667,13,FALSE)*$Q90</f>
        <v>9.1282030083180855E-3</v>
      </c>
      <c r="Z90" s="56">
        <f>VLOOKUP(B90,'Player Data'!$A1:$AE667,14,FALSE)*$Q90</f>
        <v>4.4807533898713385E-2</v>
      </c>
      <c r="AA90" s="56">
        <f>VLOOKUP(B90,'Player Data'!$A1:$AE667,15,FALSE)*$Q90</f>
        <v>86.916492976335178</v>
      </c>
      <c r="AB90" s="56">
        <f>VLOOKUP(B90,'Player Data'!$A1:$AE667,16,FALSE)*$Q90</f>
        <v>68.453729747818997</v>
      </c>
      <c r="AC90" s="56">
        <f>VLOOKUP(B90,'Player Data'!$A1:$AE667,17,FALSE)*$Q90*IFERROR((VLOOKUP(P90,Settings!$E$28:$F$33,2,FALSE)+1),1)</f>
        <v>3.2847864846866539</v>
      </c>
      <c r="AD90" s="56">
        <f>VLOOKUP(B90,'Player Data'!$A1:$AE667,18,FALSE)*$Q90</f>
        <v>43.295200336726012</v>
      </c>
      <c r="AE90" s="56">
        <f>VLOOKUP(B90,'Player Data'!$A1:$AE667,19,FALSE)*$Q90*IFERROR((VLOOKUP(P90,Settings!$E$28:$F$33,2,FALSE)+1),1)</f>
        <v>2.2171498444211548</v>
      </c>
      <c r="AF90" s="56">
        <f>VLOOKUP(B90,'Player Data'!$A1:$AE667,20,FALSE)*$Q90</f>
        <v>0</v>
      </c>
      <c r="AG90" s="56">
        <f>VLOOKUP(B90,'Player Data'!$A1:$AE667,21,FALSE)*$Q90</f>
        <v>0</v>
      </c>
      <c r="AH90" s="58">
        <f>VLOOKUP(B90,'Player Data'!$A1:$AE667,22,FALSE)</f>
        <v>0</v>
      </c>
      <c r="AI90" s="54"/>
      <c r="AJ90" s="64"/>
      <c r="AK90" s="56"/>
      <c r="AL90" s="56"/>
      <c r="AM90" s="56"/>
      <c r="AN90" s="56"/>
      <c r="AO90" s="56"/>
      <c r="AP90" s="56"/>
      <c r="AQ90" s="59"/>
      <c r="AR90" s="60"/>
      <c r="AS90" s="54"/>
    </row>
    <row r="91" spans="1:45" ht="21.25" customHeight="1" x14ac:dyDescent="0.15">
      <c r="A91" s="45">
        <f>RANK(K91,K$1:K$665)</f>
        <v>90</v>
      </c>
      <c r="B91" s="9" t="s">
        <v>216</v>
      </c>
      <c r="C91" s="46" t="s">
        <v>127</v>
      </c>
      <c r="D91" s="47" t="str">
        <f>VLOOKUP(B91,'Player Data'!A1:D667,4,FALSE)</f>
        <v>C</v>
      </c>
      <c r="E91" s="48">
        <f>VLOOKUP(B91,'C'!A1:C206,3,FALSE)</f>
        <v>30</v>
      </c>
      <c r="F91" s="65" t="str">
        <f>VLOOKUP(B91,'Player Data'!A1:B667,2,FALSE)</f>
        <v>CGY</v>
      </c>
      <c r="G91" s="63">
        <f>VLOOKUP(B91,'Player Data'!A1:D667,3,FALSE)</f>
        <v>33</v>
      </c>
      <c r="H91" s="50">
        <f>IFERROR(VLOOKUP(B91,ADP!A1:G665,7,FALSE)/1000000,VLOOKUP(B91,ADP!A1:G665,7,FALSE))</f>
        <v>7</v>
      </c>
      <c r="I91" s="51">
        <f>IF(Settings!$E$15="POINTS",((R91*Q91)*Settings!$B$12)+(S91*Settings!$B$2)+(T91*Settings!$B$3)+(U91*Settings!$B$4)+(V91*Settings!$B$5)+(X91*Settings!$B$9)+(AA91*Settings!$B$6)+(W91*Settings!$B$8)+(AB91*Settings!$B$7)+(AC91*Settings!$B$14)+(AD91*Settings!$B$15)+(AE91*Settings!$B$16)+(AF91*Settings!$B$17)+(AG91*Settings!$B$18)+(Y91*Settings!$B$10)+(Z91*Settings!$B$11),VLOOKUP(B91,'Standard Deviations'!A1:C666,3,FALSE))</f>
        <v>372.8156076466318</v>
      </c>
      <c r="J91" s="52">
        <f>IF(D91="G",I91/AJ91,I91/Q91)</f>
        <v>4.6066428721936461</v>
      </c>
      <c r="K91" s="51">
        <f>IF(Settings!$E$18="C/LW/RW",VLOOKUP(B91,'C'!A1:F206,6,FALSE),VLOOKUP(B91,F!A1:F392,6,FALSE))</f>
        <v>-17.121550131449283</v>
      </c>
      <c r="L91" s="53">
        <f>IFERROR(K91/H91,"N/A")</f>
        <v>-2.4459357330641831</v>
      </c>
      <c r="M91" s="54">
        <f>IF(Settings!$E$9="YAHOO",VLOOKUP(B91,ADP!A1:E665,2,FALSE),IF(Settings!$E$9="ESPN",VLOOKUP(B91,ADP!A1:E665,3,FALSE),IF(Settings!$E$9="FANTRAX",VLOOKUP(B91,ADP!A1:E665,4,FALSE),VLOOKUP(B91,ADP!A1:E665,5,FALSE))))</f>
        <v>151.30000000000001</v>
      </c>
      <c r="N91" s="54">
        <f>IFERROR(M91-A91,"N/A")</f>
        <v>61.300000000000011</v>
      </c>
      <c r="O91" s="54"/>
      <c r="P91" s="55" t="str">
        <f>IF(Settings!$E$27="ON",VLOOKUP(B91,ADP!A1:H665,8,FALSE)," ")</f>
        <v xml:space="preserve"> </v>
      </c>
      <c r="Q91" s="56">
        <f>IF(Settings!$E$12="YES",VLOOKUP(B91,'Player Data'!A1:E667,5,FALSE),82)</f>
        <v>80.930000000000007</v>
      </c>
      <c r="R91" s="54">
        <f>VLOOKUP(B91,'Player Data'!$A1:$AE667,6,FALSE)</f>
        <v>18.731188770020601</v>
      </c>
      <c r="S91" s="56">
        <f>VLOOKUP(B91,'Player Data'!$A1:$AE667,7,FALSE)*$Q91*IFERROR((VLOOKUP(P91,Settings!$E$28:$F$33,2,FALSE)+1),1)</f>
        <v>25.390573154540817</v>
      </c>
      <c r="T91" s="56">
        <f>VLOOKUP(B91,'Player Data'!$A1:$AE667,8,FALSE)*$Q91*IFERROR((VLOOKUP(P91,Settings!$E$28:$F$33,2,FALSE)+1),1)</f>
        <v>42.240052376509219</v>
      </c>
      <c r="U91" s="56">
        <f>SUM(S91:T91)</f>
        <v>67.630625531050043</v>
      </c>
      <c r="V91" s="56">
        <f>VLOOKUP(B91,'Player Data'!$A1:$AE667,10,FALSE)*$Q91*IFERROR(((VLOOKUP(P91,Settings!$E$28:$F$33,2,FALSE)/2)+1),1)</f>
        <v>269.38567253576429</v>
      </c>
      <c r="W91" s="56">
        <f>VLOOKUP(B91,'Player Data'!$A1:$AE667,11,FALSE)*$Q91*IFERROR((VLOOKUP(P91,Settings!$E$28:$F$33,2,FALSE)+1),1)</f>
        <v>8.6300152599260365</v>
      </c>
      <c r="X91" s="57">
        <f>VLOOKUP(B91,'Player Data'!$A1:$AE667,12,FALSE)*$Q91*IFERROR((VLOOKUP(P91,Settings!$E$28:$F$33,2,FALSE)+1),1)</f>
        <v>20.543438574172267</v>
      </c>
      <c r="Y91" s="56">
        <f>VLOOKUP(B91,'Player Data'!$A1:$AE667,13,FALSE)*$Q91</f>
        <v>0.14043620898848452</v>
      </c>
      <c r="Z91" s="56">
        <f>VLOOKUP(B91,'Player Data'!$A1:$AE667,14,FALSE)*$Q91</f>
        <v>0.24178543230995872</v>
      </c>
      <c r="AA91" s="56">
        <f>VLOOKUP(B91,'Player Data'!$A1:$AE667,15,FALSE)*$Q91</f>
        <v>28.8913415582347</v>
      </c>
      <c r="AB91" s="56">
        <f>VLOOKUP(B91,'Player Data'!$A1:$AE667,16,FALSE)*$Q91</f>
        <v>69.160115075116565</v>
      </c>
      <c r="AC91" s="56">
        <f>VLOOKUP(B91,'Player Data'!$A1:$AE667,17,FALSE)*$Q91*IFERROR((VLOOKUP(P91,Settings!$E$28:$F$33,2,FALSE)+1),1)</f>
        <v>-1.3094685285186558</v>
      </c>
      <c r="AD91" s="56">
        <f>VLOOKUP(B91,'Player Data'!$A1:$AE667,18,FALSE)*$Q91</f>
        <v>46.385606021934144</v>
      </c>
      <c r="AE91" s="56">
        <f>VLOOKUP(B91,'Player Data'!$A1:$AE667,19,FALSE)*$Q91*IFERROR((VLOOKUP(P91,Settings!$E$28:$F$33,2,FALSE)+1),1)</f>
        <v>3.6888384022690714</v>
      </c>
      <c r="AF91" s="56">
        <f>VLOOKUP(B91,'Player Data'!$A1:$AE667,20,FALSE)*$Q91</f>
        <v>604.40724972220528</v>
      </c>
      <c r="AG91" s="56">
        <f>VLOOKUP(B91,'Player Data'!$A1:$AE667,21,FALSE)*$Q91</f>
        <v>637.74658174811827</v>
      </c>
      <c r="AH91" s="58">
        <f>VLOOKUP(B91,'Player Data'!$A1:$AE667,22,FALSE)</f>
        <v>0.48658003091837299</v>
      </c>
      <c r="AI91" s="54"/>
      <c r="AJ91" s="56"/>
      <c r="AK91" s="56"/>
      <c r="AL91" s="56"/>
      <c r="AM91" s="56"/>
      <c r="AN91" s="56"/>
      <c r="AO91" s="56"/>
      <c r="AP91" s="56"/>
      <c r="AQ91" s="59"/>
      <c r="AR91" s="60"/>
      <c r="AS91" s="54"/>
    </row>
    <row r="92" spans="1:45" ht="21.25" customHeight="1" x14ac:dyDescent="0.15">
      <c r="A92" s="45">
        <f>RANK(K92,K$1:K$665)</f>
        <v>91</v>
      </c>
      <c r="B92" s="9" t="s">
        <v>217</v>
      </c>
      <c r="C92" s="46" t="s">
        <v>127</v>
      </c>
      <c r="D92" s="47" t="str">
        <f>VLOOKUP(B92,'Player Data'!A1:D667,4,FALSE)</f>
        <v>LW/RW</v>
      </c>
      <c r="E92" s="68">
        <f>VLOOKUP(B92,RW!A1:C136,3,FALSE)</f>
        <v>25</v>
      </c>
      <c r="F92" s="65" t="str">
        <f>VLOOKUP(B92,'Player Data'!A1:B667,2,FALSE)</f>
        <v>DET</v>
      </c>
      <c r="G92" s="69">
        <f>VLOOKUP(B92,'Player Data'!A1:D667,3,FALSE)</f>
        <v>22</v>
      </c>
      <c r="H92" s="65" t="str">
        <f>IFERROR(VLOOKUP(B92,ADP!A1:G665,7,FALSE)/1000000,VLOOKUP(B92,ADP!A1:G665,7,FALSE))</f>
        <v>RFA</v>
      </c>
      <c r="I92" s="51">
        <f>IF(Settings!$E$15="POINTS",((R92*Q92)*Settings!$B$12)+(S92*Settings!$B$2)+(T92*Settings!$B$3)+(U92*Settings!$B$4)+(V92*Settings!$B$5)+(X92*Settings!$B$9)+(AA92*Settings!$B$6)+(W92*Settings!$B$8)+(AB92*Settings!$B$7)+(AC92*Settings!$B$14)+(AD92*Settings!$B$15)+(AE92*Settings!$B$16)+(AF92*Settings!$B$17)+(AG92*Settings!$B$18)+(Y92*Settings!$B$10)+(Z92*Settings!$B$11),VLOOKUP(B92,'Standard Deviations'!A1:C666,3,FALSE))</f>
        <v>351.0179088454758</v>
      </c>
      <c r="J92" s="52">
        <f>IF(D92="G",I92/AJ92,I92/Q92)</f>
        <v>4.3373027164892592</v>
      </c>
      <c r="K92" s="51">
        <f>IF(Settings!$E$18="C/LW/RW",VLOOKUP(B92,RW!A1:F136,6,FALSE),VLOOKUP(B92,F!A1:F392,6,FALSE))</f>
        <v>-17.82981426081659</v>
      </c>
      <c r="L92" s="76" t="str">
        <f>IFERROR(K92/H92,"N/A")</f>
        <v>N/A</v>
      </c>
      <c r="M92" s="54">
        <f>IF(Settings!$E$9="YAHOO",VLOOKUP(B92,ADP!A1:E665,2,FALSE),IF(Settings!$E$9="ESPN",VLOOKUP(B92,ADP!A1:E665,3,FALSE),IF(Settings!$E$9="FANTRAX",VLOOKUP(B92,ADP!A1:E665,4,FALSE),VLOOKUP(B92,ADP!A1:E665,5,FALSE))))</f>
        <v>110.9</v>
      </c>
      <c r="N92" s="54">
        <f>IFERROR(M92-A92,"N/A")</f>
        <v>19.900000000000006</v>
      </c>
      <c r="O92" s="54"/>
      <c r="P92" s="55" t="str">
        <f>IF(Settings!$E$27="ON",VLOOKUP(B92,ADP!A1:H665,8,FALSE)," ")</f>
        <v>+</v>
      </c>
      <c r="Q92" s="56">
        <f>IF(Settings!$E$12="YES",VLOOKUP(B92,'Player Data'!A1:E667,5,FALSE),82)</f>
        <v>80.930000000000007</v>
      </c>
      <c r="R92" s="54">
        <f>VLOOKUP(B92,'Player Data'!$A1:$AE667,6,FALSE)</f>
        <v>18.7340133808761</v>
      </c>
      <c r="S92" s="56">
        <f>VLOOKUP(B92,'Player Data'!$A1:$AE667,7,FALSE)*$Q92*IFERROR((VLOOKUP(P92,Settings!$E$28:$F$33,2,FALSE)+1),1)</f>
        <v>30.898596409454306</v>
      </c>
      <c r="T92" s="56">
        <f>VLOOKUP(B92,'Player Data'!$A1:$AE667,8,FALSE)*$Q92*IFERROR((VLOOKUP(P92,Settings!$E$28:$F$33,2,FALSE)+1),1)</f>
        <v>44.006838063438359</v>
      </c>
      <c r="U92" s="56">
        <f>SUM(S92:T92)</f>
        <v>74.905434472892665</v>
      </c>
      <c r="V92" s="56">
        <f>VLOOKUP(B92,'Player Data'!$A1:$AE667,10,FALSE)*$Q92*IFERROR(((VLOOKUP(P92,Settings!$E$28:$F$33,2,FALSE)/2)+1),1)</f>
        <v>181.59853475760929</v>
      </c>
      <c r="W92" s="56">
        <f>VLOOKUP(B92,'Player Data'!$A1:$AE667,11,FALSE)*$Q92*IFERROR((VLOOKUP(P92,Settings!$E$28:$F$33,2,FALSE)+1),1)</f>
        <v>6.7269571066573848</v>
      </c>
      <c r="X92" s="57">
        <f>VLOOKUP(B92,'Player Data'!$A1:$AE667,12,FALSE)*$Q92*IFERROR((VLOOKUP(P92,Settings!$E$28:$F$33,2,FALSE)+1),1)</f>
        <v>21.2164633185456</v>
      </c>
      <c r="Y92" s="56">
        <f>VLOOKUP(B92,'Player Data'!$A1:$AE667,13,FALSE)*$Q92</f>
        <v>5.7077592386348276E-2</v>
      </c>
      <c r="Z92" s="56">
        <f>VLOOKUP(B92,'Player Data'!$A1:$AE667,14,FALSE)*$Q92</f>
        <v>9.5819523113245458E-2</v>
      </c>
      <c r="AA92" s="56">
        <f>VLOOKUP(B92,'Player Data'!$A1:$AE667,15,FALSE)*$Q92</f>
        <v>28.380110412668699</v>
      </c>
      <c r="AB92" s="56">
        <f>VLOOKUP(B92,'Player Data'!$A1:$AE667,16,FALSE)*$Q92</f>
        <v>65.723822981591255</v>
      </c>
      <c r="AC92" s="56">
        <f>VLOOKUP(B92,'Player Data'!$A1:$AE667,17,FALSE)*$Q92*IFERROR((VLOOKUP(P92,Settings!$E$28:$F$33,2,FALSE)+1),1)</f>
        <v>-4.6187129893010992</v>
      </c>
      <c r="AD92" s="56">
        <f>VLOOKUP(B92,'Player Data'!$A1:$AE667,18,FALSE)*$Q92</f>
        <v>29.062821965382188</v>
      </c>
      <c r="AE92" s="56">
        <f>VLOOKUP(B92,'Player Data'!$A1:$AE667,19,FALSE)*$Q92*IFERROR((VLOOKUP(P92,Settings!$E$28:$F$33,2,FALSE)+1),1)</f>
        <v>4.2436955795213267</v>
      </c>
      <c r="AF92" s="56">
        <f>VLOOKUP(B92,'Player Data'!$A1:$AE667,20,FALSE)*$Q92</f>
        <v>5.4052214184761871</v>
      </c>
      <c r="AG92" s="56">
        <f>VLOOKUP(B92,'Player Data'!$A1:$AE667,21,FALSE)*$Q92</f>
        <v>9.4671030938992242</v>
      </c>
      <c r="AH92" s="58">
        <f>VLOOKUP(B92,'Player Data'!$A1:$AE667,22,FALSE)</f>
        <v>0.36344160013308202</v>
      </c>
      <c r="AI92" s="54"/>
      <c r="AJ92" s="64"/>
      <c r="AK92" s="56"/>
      <c r="AL92" s="56"/>
      <c r="AM92" s="56"/>
      <c r="AN92" s="56"/>
      <c r="AO92" s="56"/>
      <c r="AP92" s="56"/>
      <c r="AQ92" s="59"/>
      <c r="AR92" s="60"/>
      <c r="AS92" s="54"/>
    </row>
    <row r="93" spans="1:45" ht="21.25" customHeight="1" x14ac:dyDescent="0.15">
      <c r="A93" s="45">
        <f>RANK(K93,K$1:K$665)</f>
        <v>92</v>
      </c>
      <c r="B93" s="9" t="s">
        <v>218</v>
      </c>
      <c r="C93" s="46" t="s">
        <v>127</v>
      </c>
      <c r="D93" s="47" t="str">
        <f>VLOOKUP(B93,'Player Data'!A1:D667,4,FALSE)</f>
        <v>LW/RW</v>
      </c>
      <c r="E93" s="68">
        <f>VLOOKUP(B93,RW!A1:C136,3,FALSE)</f>
        <v>26</v>
      </c>
      <c r="F93" s="72" t="str">
        <f>VLOOKUP(B93,'Player Data'!A1:B667,2,FALSE)</f>
        <v>CAR</v>
      </c>
      <c r="G93" s="10">
        <f>VLOOKUP(B93,'Player Data'!A1:D667,3,FALSE)</f>
        <v>24</v>
      </c>
      <c r="H93" s="50">
        <f>IFERROR(VLOOKUP(B93,ADP!A1:G665,7,FALSE)/1000000,VLOOKUP(B93,ADP!A1:G665,7,FALSE))</f>
        <v>7.75</v>
      </c>
      <c r="I93" s="51">
        <f>IF(Settings!$E$15="POINTS",((R93*Q93)*Settings!$B$12)+(S93*Settings!$B$2)+(T93*Settings!$B$3)+(U93*Settings!$B$4)+(V93*Settings!$B$5)+(X93*Settings!$B$9)+(AA93*Settings!$B$6)+(W93*Settings!$B$8)+(AB93*Settings!$B$7)+(AC93*Settings!$B$14)+(AD93*Settings!$B$15)+(AE93*Settings!$B$16)+(AF93*Settings!$B$17)+(AG93*Settings!$B$18)+(Y93*Settings!$B$10)+(Z93*Settings!$B$11),VLOOKUP(B93,'Standard Deviations'!A1:C666,3,FALSE))</f>
        <v>350.51278798656949</v>
      </c>
      <c r="J93" s="52">
        <f>IF(D93="G",I93/AJ93,I93/Q93)</f>
        <v>4.6689904823546504</v>
      </c>
      <c r="K93" s="51">
        <f>IF(Settings!$E$18="C/LW/RW",VLOOKUP(B93,RW!A1:F136,6,FALSE),VLOOKUP(B93,F!A1:F392,6,FALSE))</f>
        <v>-18.3349351197229</v>
      </c>
      <c r="L93" s="53">
        <f>IFERROR(K93/H93,"N/A")</f>
        <v>-2.3657980799642453</v>
      </c>
      <c r="M93" s="54">
        <f>IF(Settings!$E$9="YAHOO",VLOOKUP(B93,ADP!A1:E665,2,FALSE),IF(Settings!$E$9="ESPN",VLOOKUP(B93,ADP!A1:E665,3,FALSE),IF(Settings!$E$9="FANTRAX",VLOOKUP(B93,ADP!A1:E665,4,FALSE),VLOOKUP(B93,ADP!A1:E665,5,FALSE))))</f>
        <v>45.2</v>
      </c>
      <c r="N93" s="54">
        <f>IFERROR(M93-A93,"N/A")</f>
        <v>-46.8</v>
      </c>
      <c r="O93" s="54"/>
      <c r="P93" s="55" t="str">
        <f>IF(Settings!$E$27="ON",VLOOKUP(B93,ADP!A1:H665,8,FALSE)," ")</f>
        <v xml:space="preserve"> </v>
      </c>
      <c r="Q93" s="56">
        <f>IF(Settings!$E$12="YES",VLOOKUP(B93,'Player Data'!A1:E667,5,FALSE),82)</f>
        <v>75.072500000000005</v>
      </c>
      <c r="R93" s="75">
        <f>VLOOKUP(B93,'Player Data'!$A1:$AE667,6,FALSE)</f>
        <v>17.967213548338801</v>
      </c>
      <c r="S93" s="56">
        <f>VLOOKUP(B93,'Player Data'!$A1:$AE667,7,FALSE)*$Q93*IFERROR((VLOOKUP(P93,Settings!$E$28:$F$33,2,FALSE)+1),1)</f>
        <v>27.500676080771569</v>
      </c>
      <c r="T93" s="56">
        <f>VLOOKUP(B93,'Player Data'!$A1:$AE667,8,FALSE)*$Q93*IFERROR((VLOOKUP(P93,Settings!$E$28:$F$33,2,FALSE)+1),1)</f>
        <v>41.825141588057733</v>
      </c>
      <c r="U93" s="56">
        <f>SUM(S93:T93)</f>
        <v>69.325817668829302</v>
      </c>
      <c r="V93" s="56">
        <f>VLOOKUP(B93,'Player Data'!$A1:$AE667,10,FALSE)*$Q93*IFERROR(((VLOOKUP(P93,Settings!$E$28:$F$33,2,FALSE)/2)+1),1)</f>
        <v>215.08639986034652</v>
      </c>
      <c r="W93" s="56">
        <f>VLOOKUP(B93,'Player Data'!$A1:$AE667,11,FALSE)*$Q93*IFERROR((VLOOKUP(P93,Settings!$E$28:$F$33,2,FALSE)+1),1)</f>
        <v>6.5608856059632616</v>
      </c>
      <c r="X93" s="57">
        <f>VLOOKUP(B93,'Player Data'!$A1:$AE667,12,FALSE)*$Q93*IFERROR((VLOOKUP(P93,Settings!$E$28:$F$33,2,FALSE)+1),1)</f>
        <v>21.593759989958386</v>
      </c>
      <c r="Y93" s="56">
        <f>VLOOKUP(B93,'Player Data'!$A1:$AE667,13,FALSE)*$Q93</f>
        <v>1.0681363954625009E-2</v>
      </c>
      <c r="Z93" s="56">
        <f>VLOOKUP(B93,'Player Data'!$A1:$AE667,14,FALSE)*$Q93</f>
        <v>1.7960654833642561E-2</v>
      </c>
      <c r="AA93" s="56">
        <f>VLOOKUP(B93,'Player Data'!$A1:$AE667,15,FALSE)*$Q93</f>
        <v>26.760828810232532</v>
      </c>
      <c r="AB93" s="56">
        <f>VLOOKUP(B93,'Player Data'!$A1:$AE667,16,FALSE)*$Q93</f>
        <v>161.84971673772799</v>
      </c>
      <c r="AC93" s="56">
        <f>VLOOKUP(B93,'Player Data'!$A1:$AE667,17,FALSE)*$Q93*IFERROR((VLOOKUP(P93,Settings!$E$28:$F$33,2,FALSE)+1),1)</f>
        <v>6.6123049735300254</v>
      </c>
      <c r="AD93" s="56">
        <f>VLOOKUP(B93,'Player Data'!$A1:$AE667,18,FALSE)*$Q93</f>
        <v>66.198379273354874</v>
      </c>
      <c r="AE93" s="56">
        <f>VLOOKUP(B93,'Player Data'!$A1:$AE667,19,FALSE)*$Q93*IFERROR((VLOOKUP(P93,Settings!$E$28:$F$33,2,FALSE)+1),1)</f>
        <v>4.7654707745718232</v>
      </c>
      <c r="AF93" s="56">
        <f>VLOOKUP(B93,'Player Data'!$A1:$AE667,20,FALSE)*$Q93</f>
        <v>3.3219397527674341</v>
      </c>
      <c r="AG93" s="56">
        <f>VLOOKUP(B93,'Player Data'!$A1:$AE667,21,FALSE)*$Q93</f>
        <v>6.5433221755839712</v>
      </c>
      <c r="AH93" s="58">
        <f>VLOOKUP(B93,'Player Data'!$A1:$AE667,22,FALSE)</f>
        <v>0.33673102416273798</v>
      </c>
      <c r="AI93" s="54"/>
      <c r="AJ93" s="64"/>
      <c r="AK93" s="56"/>
      <c r="AL93" s="56"/>
      <c r="AM93" s="56"/>
      <c r="AN93" s="56"/>
      <c r="AO93" s="56"/>
      <c r="AP93" s="56"/>
      <c r="AQ93" s="59"/>
      <c r="AR93" s="60"/>
      <c r="AS93" s="54"/>
    </row>
    <row r="94" spans="1:45" ht="21.25" customHeight="1" x14ac:dyDescent="0.15">
      <c r="A94" s="45">
        <f>RANK(K94,K$1:K$665)</f>
        <v>93</v>
      </c>
      <c r="B94" s="9" t="s">
        <v>219</v>
      </c>
      <c r="C94" s="46" t="s">
        <v>127</v>
      </c>
      <c r="D94" s="47" t="str">
        <f>VLOOKUP(B94,'Player Data'!A1:D667,4,FALSE)</f>
        <v>C</v>
      </c>
      <c r="E94" s="48">
        <f>VLOOKUP(B94,'C'!A1:C206,3,FALSE)</f>
        <v>32</v>
      </c>
      <c r="F94" s="72" t="str">
        <f>VLOOKUP(B94,'Player Data'!A1:B667,2,FALSE)</f>
        <v>NYI</v>
      </c>
      <c r="G94" s="10">
        <f>VLOOKUP(B94,'Player Data'!A1:D667,3,FALSE)</f>
        <v>29</v>
      </c>
      <c r="H94" s="50">
        <f>IFERROR(VLOOKUP(B94,ADP!A1:G665,7,FALSE)/1000000,VLOOKUP(B94,ADP!A1:G665,7,FALSE))</f>
        <v>8.5</v>
      </c>
      <c r="I94" s="51">
        <f>IF(Settings!$E$15="POINTS",((R94*Q94)*Settings!$B$12)+(S94*Settings!$B$2)+(T94*Settings!$B$3)+(U94*Settings!$B$4)+(V94*Settings!$B$5)+(X94*Settings!$B$9)+(AA94*Settings!$B$6)+(W94*Settings!$B$8)+(AB94*Settings!$B$7)+(AC94*Settings!$B$14)+(AD94*Settings!$B$15)+(AE94*Settings!$B$16)+(AF94*Settings!$B$17)+(AG94*Settings!$B$18)+(Y94*Settings!$B$10)+(Z94*Settings!$B$11),VLOOKUP(B94,'Standard Deviations'!A1:C666,3,FALSE))</f>
        <v>371.15998568550168</v>
      </c>
      <c r="J94" s="52">
        <f>IF(D94="G",I94/AJ94,I94/Q94)</f>
        <v>4.6256229522121348</v>
      </c>
      <c r="K94" s="51">
        <f>IF(Settings!$E$18="C/LW/RW",VLOOKUP(B94,'C'!A1:F206,6,FALSE),VLOOKUP(B94,F!A1:F392,6,FALSE))</f>
        <v>-18.777172092579406</v>
      </c>
      <c r="L94" s="53">
        <f>IFERROR(K94/H94,"N/A")</f>
        <v>-2.2090790697152243</v>
      </c>
      <c r="M94" s="54">
        <f>IF(Settings!$E$9="YAHOO",VLOOKUP(B94,ADP!A1:E665,2,FALSE),IF(Settings!$E$9="ESPN",VLOOKUP(B94,ADP!A1:E665,3,FALSE),IF(Settings!$E$9="FANTRAX",VLOOKUP(B94,ADP!A1:E665,4,FALSE),VLOOKUP(B94,ADP!A1:E665,5,FALSE))))</f>
        <v>148.80000000000001</v>
      </c>
      <c r="N94" s="54">
        <f>IFERROR(M94-A94,"N/A")</f>
        <v>55.800000000000011</v>
      </c>
      <c r="O94" s="54"/>
      <c r="P94" s="55" t="str">
        <f>IF(Settings!$E$27="ON",VLOOKUP(B94,ADP!A1:H665,8,FALSE)," ")</f>
        <v xml:space="preserve"> </v>
      </c>
      <c r="Q94" s="56">
        <f>IF(Settings!$E$12="YES",VLOOKUP(B94,'Player Data'!A1:E667,5,FALSE),82)</f>
        <v>80.239999999999995</v>
      </c>
      <c r="R94" s="54">
        <f>VLOOKUP(B94,'Player Data'!$A1:$AE667,6,FALSE)</f>
        <v>20.1073567807708</v>
      </c>
      <c r="S94" s="56">
        <f>VLOOKUP(B94,'Player Data'!$A1:$AE667,7,FALSE)*$Q94*IFERROR((VLOOKUP(P94,Settings!$E$28:$F$33,2,FALSE)+1),1)</f>
        <v>34.443500712868648</v>
      </c>
      <c r="T94" s="56">
        <f>VLOOKUP(B94,'Player Data'!$A1:$AE667,8,FALSE)*$Q94*IFERROR((VLOOKUP(P94,Settings!$E$28:$F$33,2,FALSE)+1),1)</f>
        <v>33.9717596592616</v>
      </c>
      <c r="U94" s="56">
        <f>SUM(S94:T94)</f>
        <v>68.415260372130248</v>
      </c>
      <c r="V94" s="56">
        <f>VLOOKUP(B94,'Player Data'!$A1:$AE667,10,FALSE)*$Q94*IFERROR(((VLOOKUP(P94,Settings!$E$28:$F$33,2,FALSE)/2)+1),1)</f>
        <v>244.20803448134652</v>
      </c>
      <c r="W94" s="56">
        <f>VLOOKUP(B94,'Player Data'!$A1:$AE667,11,FALSE)*$Q94*IFERROR((VLOOKUP(P94,Settings!$E$28:$F$33,2,FALSE)+1),1)</f>
        <v>10.504995791626962</v>
      </c>
      <c r="X94" s="57">
        <f>VLOOKUP(B94,'Player Data'!$A1:$AE667,12,FALSE)*$Q94*IFERROR((VLOOKUP(P94,Settings!$E$28:$F$33,2,FALSE)+1),1)</f>
        <v>19.549173941986631</v>
      </c>
      <c r="Y94" s="56">
        <f>VLOOKUP(B94,'Player Data'!$A1:$AE667,13,FALSE)*$Q94</f>
        <v>0.97230449069589953</v>
      </c>
      <c r="Z94" s="56">
        <f>VLOOKUP(B94,'Player Data'!$A1:$AE667,14,FALSE)*$Q94</f>
        <v>1.6005521664918847</v>
      </c>
      <c r="AA94" s="56">
        <f>VLOOKUP(B94,'Player Data'!$A1:$AE667,15,FALSE)*$Q94</f>
        <v>45.320922439918363</v>
      </c>
      <c r="AB94" s="56">
        <f>VLOOKUP(B94,'Player Data'!$A1:$AE667,16,FALSE)*$Q94</f>
        <v>62.308379391517988</v>
      </c>
      <c r="AC94" s="56">
        <f>VLOOKUP(B94,'Player Data'!$A1:$AE667,17,FALSE)*$Q94*IFERROR((VLOOKUP(P94,Settings!$E$28:$F$33,2,FALSE)+1),1)</f>
        <v>3.212977256585456</v>
      </c>
      <c r="AD94" s="56">
        <f>VLOOKUP(B94,'Player Data'!$A1:$AE667,18,FALSE)*$Q94</f>
        <v>31.63969350791691</v>
      </c>
      <c r="AE94" s="56">
        <f>VLOOKUP(B94,'Player Data'!$A1:$AE667,19,FALSE)*$Q94*IFERROR((VLOOKUP(P94,Settings!$E$28:$F$33,2,FALSE)+1),1)</f>
        <v>5.4131040018095984</v>
      </c>
      <c r="AF94" s="56">
        <f>VLOOKUP(B94,'Player Data'!$A1:$AE667,20,FALSE)*$Q94</f>
        <v>840.19397712324883</v>
      </c>
      <c r="AG94" s="56">
        <f>VLOOKUP(B94,'Player Data'!$A1:$AE667,21,FALSE)*$Q94</f>
        <v>669.34332758822916</v>
      </c>
      <c r="AH94" s="58">
        <f>VLOOKUP(B94,'Player Data'!$A1:$AE667,22,FALSE)</f>
        <v>0.55659040323209297</v>
      </c>
      <c r="AI94" s="54"/>
      <c r="AJ94" s="64"/>
      <c r="AK94" s="56"/>
      <c r="AL94" s="56"/>
      <c r="AM94" s="56"/>
      <c r="AN94" s="56"/>
      <c r="AO94" s="56"/>
      <c r="AP94" s="56"/>
      <c r="AQ94" s="59"/>
      <c r="AR94" s="60"/>
      <c r="AS94" s="54"/>
    </row>
    <row r="95" spans="1:45" ht="21.25" customHeight="1" x14ac:dyDescent="0.15">
      <c r="A95" s="45">
        <f>RANK(K95,K$1:K$665)</f>
        <v>94</v>
      </c>
      <c r="B95" s="9" t="s">
        <v>220</v>
      </c>
      <c r="C95" s="46" t="s">
        <v>127</v>
      </c>
      <c r="D95" s="47" t="str">
        <f>VLOOKUP(B95,'Player Data'!A1:D667,4,FALSE)</f>
        <v>D</v>
      </c>
      <c r="E95" s="66">
        <f>VLOOKUP(B95,D!A1:C213,3,FALSE)</f>
        <v>23</v>
      </c>
      <c r="F95" s="72" t="str">
        <f>VLOOKUP(B95,'Player Data'!A1:B667,2,FALSE)</f>
        <v>MIN</v>
      </c>
      <c r="G95" s="69">
        <f>VLOOKUP(B95,'Player Data'!A1:D667,3,FALSE)</f>
        <v>22</v>
      </c>
      <c r="H95" s="50">
        <f>IFERROR(VLOOKUP(B95,ADP!A1:G665,7,FALSE)/1000000,VLOOKUP(B95,ADP!A1:G665,7,FALSE))</f>
        <v>0.92500000000000004</v>
      </c>
      <c r="I95" s="51">
        <f>IF(Settings!$E$15="POINTS",((R95*Q95)*Settings!$B$12)+(S95*Settings!$B$2)+(T95*Settings!$B$3)+(U95*Settings!$B$4)+(V95*Settings!$B$5)+(X95*Settings!$B$9)+(AA95*Settings!$B$6)+(W95*Settings!$B$8)+(AB95*Settings!$B$7)+(AC95*Settings!$B$14)+(AD95*Settings!$B$15)+(AE95*Settings!$B$16)+(AF95*Settings!$B$17)+(AG95*Settings!$B$18)+(U95*Settings!$B$13)+(Y95*Settings!$B$10)+(Z95*Settings!$B$11),VLOOKUP(B95,'Standard Deviations'!A1:C666,3,FALSE))</f>
        <v>316.35041398116402</v>
      </c>
      <c r="J95" s="52">
        <f>IF(D95="G",I95/AJ95,I95/Q95)</f>
        <v>3.9210512392310859</v>
      </c>
      <c r="K95" s="51">
        <f>VLOOKUP(B95,D!A1:F213,6,FALSE)</f>
        <v>-19.883711064430884</v>
      </c>
      <c r="L95" s="53">
        <f>IFERROR(K95/H95,"N/A")</f>
        <v>-21.495903853438794</v>
      </c>
      <c r="M95" s="54">
        <f>IF(Settings!$E$9="YAHOO",VLOOKUP(B95,ADP!A1:E665,2,FALSE),IF(Settings!$E$9="ESPN",VLOOKUP(B95,ADP!A1:E665,3,FALSE),IF(Settings!$E$9="FANTRAX",VLOOKUP(B95,ADP!A1:E665,4,FALSE),VLOOKUP(B95,ADP!A1:E665,5,FALSE))))</f>
        <v>109.2</v>
      </c>
      <c r="N95" s="54">
        <f>IFERROR(M95-A95,"N/A")</f>
        <v>15.200000000000003</v>
      </c>
      <c r="O95" s="54"/>
      <c r="P95" s="55" t="str">
        <f>IF(Settings!$E$27="ON",VLOOKUP(B95,ADP!A1:H665,8,FALSE)," ")</f>
        <v xml:space="preserve"> </v>
      </c>
      <c r="Q95" s="56">
        <f>IF(Settings!$E$12="YES",VLOOKUP(B95,'Player Data'!A1:E667,5,FALSE),82)</f>
        <v>80.680000000000007</v>
      </c>
      <c r="R95" s="54">
        <f>VLOOKUP(B95,'Player Data'!$A1:$AE667,6,FALSE)</f>
        <v>24.306197688146401</v>
      </c>
      <c r="S95" s="56">
        <f>VLOOKUP(B95,'Player Data'!$A1:$AE667,7,FALSE)*$Q95*IFERROR((VLOOKUP(P95,Settings!$E$28:$F$33,2,FALSE)+1),1)</f>
        <v>9.3356055331149896</v>
      </c>
      <c r="T95" s="56">
        <f>VLOOKUP(B95,'Player Data'!$A1:$AE667,8,FALSE)*$Q95*IFERROR((VLOOKUP(P95,Settings!$E$28:$F$33,2,FALSE)+1),1)</f>
        <v>42.361041367539073</v>
      </c>
      <c r="U95" s="56">
        <f>SUM(S95:T95)</f>
        <v>51.696646900654059</v>
      </c>
      <c r="V95" s="56">
        <f>VLOOKUP(B95,'Player Data'!$A1:$AE667,10,FALSE)*$Q95*IFERROR(((VLOOKUP(P95,Settings!$E$28:$F$33,2,FALSE)/2)+1),1)</f>
        <v>144.84398499085617</v>
      </c>
      <c r="W95" s="56">
        <f>VLOOKUP(B95,'Player Data'!$A1:$AE667,11,FALSE)*$Q95*IFERROR((VLOOKUP(P95,Settings!$E$28:$F$33,2,FALSE)+1),1)</f>
        <v>2.5358505455045388</v>
      </c>
      <c r="X95" s="57">
        <f>VLOOKUP(B95,'Player Data'!$A1:$AE667,12,FALSE)*$Q95*IFERROR((VLOOKUP(P95,Settings!$E$28:$F$33,2,FALSE)+1),1)</f>
        <v>18.072666176307056</v>
      </c>
      <c r="Y95" s="56">
        <f>VLOOKUP(B95,'Player Data'!$A1:$AE667,13,FALSE)*$Q95</f>
        <v>3.7623114753152505E-2</v>
      </c>
      <c r="Z95" s="56">
        <f>VLOOKUP(B95,'Player Data'!$A1:$AE667,14,FALSE)*$Q95</f>
        <v>0.16088672136424542</v>
      </c>
      <c r="AA95" s="56">
        <f>VLOOKUP(B95,'Player Data'!$A1:$AE667,15,FALSE)*$Q95</f>
        <v>141.20985577220495</v>
      </c>
      <c r="AB95" s="56">
        <f>VLOOKUP(B95,'Player Data'!$A1:$AE667,16,FALSE)*$Q95</f>
        <v>69.058731656341365</v>
      </c>
      <c r="AC95" s="56">
        <f>VLOOKUP(B95,'Player Data'!$A1:$AE667,17,FALSE)*$Q95*IFERROR((VLOOKUP(P95,Settings!$E$28:$F$33,2,FALSE)+1),1)</f>
        <v>0.21484691591237215</v>
      </c>
      <c r="AD95" s="56">
        <f>VLOOKUP(B95,'Player Data'!$A1:$AE667,18,FALSE)*$Q95</f>
        <v>31.30087699516989</v>
      </c>
      <c r="AE95" s="56">
        <f>VLOOKUP(B95,'Player Data'!$A1:$AE667,19,FALSE)*$Q95*IFERROR((VLOOKUP(P95,Settings!$E$28:$F$33,2,FALSE)+1),1)</f>
        <v>1.5411136118599398</v>
      </c>
      <c r="AF95" s="56">
        <f>VLOOKUP(B95,'Player Data'!$A1:$AE667,20,FALSE)*$Q95</f>
        <v>0</v>
      </c>
      <c r="AG95" s="56">
        <f>VLOOKUP(B95,'Player Data'!$A1:$AE667,21,FALSE)*$Q95</f>
        <v>0</v>
      </c>
      <c r="AH95" s="58">
        <f>VLOOKUP(B95,'Player Data'!$A1:$AE667,22,FALSE)</f>
        <v>0</v>
      </c>
      <c r="AI95" s="54"/>
      <c r="AJ95" s="56"/>
      <c r="AK95" s="56"/>
      <c r="AL95" s="56"/>
      <c r="AM95" s="56"/>
      <c r="AN95" s="56"/>
      <c r="AO95" s="56"/>
      <c r="AP95" s="56"/>
      <c r="AQ95" s="59"/>
      <c r="AR95" s="60"/>
      <c r="AS95" s="54"/>
    </row>
    <row r="96" spans="1:45" ht="21.25" customHeight="1" x14ac:dyDescent="0.15">
      <c r="A96" s="45">
        <f>RANK(K96,K$1:K$665)</f>
        <v>95</v>
      </c>
      <c r="B96" s="9" t="s">
        <v>221</v>
      </c>
      <c r="C96" s="46" t="s">
        <v>127</v>
      </c>
      <c r="D96" s="47" t="str">
        <f>VLOOKUP(B96,'Player Data'!A1:D667,4,FALSE)</f>
        <v>C</v>
      </c>
      <c r="E96" s="48">
        <f>VLOOKUP(B96,'C'!A1:C206,3,FALSE)</f>
        <v>34</v>
      </c>
      <c r="F96" s="72" t="str">
        <f>VLOOKUP(B96,'Player Data'!A1:B667,2,FALSE)</f>
        <v>NYI</v>
      </c>
      <c r="G96" s="63">
        <f>VLOOKUP(B96,'Player Data'!A1:D667,3,FALSE)</f>
        <v>32</v>
      </c>
      <c r="H96" s="67">
        <f>IFERROR(VLOOKUP(B96,ADP!A1:G665,7,FALSE)/1000000,VLOOKUP(B96,ADP!A1:G665,7,FALSE))</f>
        <v>6</v>
      </c>
      <c r="I96" s="51">
        <f>IF(Settings!$E$15="POINTS",((R96*Q96)*Settings!$B$12)+(S96*Settings!$B$2)+(T96*Settings!$B$3)+(U96*Settings!$B$4)+(V96*Settings!$B$5)+(X96*Settings!$B$9)+(AA96*Settings!$B$6)+(W96*Settings!$B$8)+(AB96*Settings!$B$7)+(AC96*Settings!$B$14)+(AD96*Settings!$B$15)+(AE96*Settings!$B$16)+(AF96*Settings!$B$17)+(AG96*Settings!$B$18)+(Y96*Settings!$B$10)+(Z96*Settings!$B$11),VLOOKUP(B96,'Standard Deviations'!A1:C666,3,FALSE))</f>
        <v>368.80027278962189</v>
      </c>
      <c r="J96" s="52">
        <f>IF(D96="G",I96/AJ96,I96/Q96)</f>
        <v>4.5514040823105253</v>
      </c>
      <c r="K96" s="51">
        <f>IF(Settings!$E$18="C/LW/RW",VLOOKUP(B96,'C'!A1:F206,6,FALSE),VLOOKUP(B96,F!A1:F392,6,FALSE))</f>
        <v>-21.136884988459201</v>
      </c>
      <c r="L96" s="53">
        <f>IFERROR(K96/H96,"N/A")</f>
        <v>-3.5228141647432003</v>
      </c>
      <c r="M96" s="54">
        <f>IF(Settings!$E$9="YAHOO",VLOOKUP(B96,ADP!A1:E665,2,FALSE),IF(Settings!$E$9="ESPN",VLOOKUP(B96,ADP!A1:E665,3,FALSE),IF(Settings!$E$9="FANTRAX",VLOOKUP(B96,ADP!A1:E665,4,FALSE),VLOOKUP(B96,ADP!A1:E665,5,FALSE))))</f>
        <v>160.30000000000001</v>
      </c>
      <c r="N96" s="54">
        <f>IFERROR(M96-A96,"N/A")</f>
        <v>65.300000000000011</v>
      </c>
      <c r="O96" s="54"/>
      <c r="P96" s="55" t="str">
        <f>IF(Settings!$E$27="ON",VLOOKUP(B96,ADP!A1:H665,8,FALSE)," ")</f>
        <v xml:space="preserve"> </v>
      </c>
      <c r="Q96" s="56">
        <f>IF(Settings!$E$12="YES",VLOOKUP(B96,'Player Data'!A1:E667,5,FALSE),82)</f>
        <v>81.03</v>
      </c>
      <c r="R96" s="54">
        <f>VLOOKUP(B96,'Player Data'!$A1:$AE667,6,FALSE)</f>
        <v>18.7872021367005</v>
      </c>
      <c r="S96" s="56">
        <f>VLOOKUP(B96,'Player Data'!$A1:$AE667,7,FALSE)*$Q96*IFERROR((VLOOKUP(P96,Settings!$E$28:$F$33,2,FALSE)+1),1)</f>
        <v>33.695925755086542</v>
      </c>
      <c r="T96" s="56">
        <f>VLOOKUP(B96,'Player Data'!$A1:$AE667,8,FALSE)*$Q96*IFERROR((VLOOKUP(P96,Settings!$E$28:$F$33,2,FALSE)+1),1)</f>
        <v>34.913716365008284</v>
      </c>
      <c r="U96" s="56">
        <f>SUM(S96:T96)</f>
        <v>68.609642120094833</v>
      </c>
      <c r="V96" s="56">
        <f>VLOOKUP(B96,'Player Data'!$A1:$AE667,10,FALSE)*$Q96*IFERROR(((VLOOKUP(P96,Settings!$E$28:$F$33,2,FALSE)/2)+1),1)</f>
        <v>239.90873470636299</v>
      </c>
      <c r="W96" s="56">
        <f>VLOOKUP(B96,'Player Data'!$A1:$AE667,11,FALSE)*$Q96*IFERROR((VLOOKUP(P96,Settings!$E$28:$F$33,2,FALSE)+1),1)</f>
        <v>8.4412440094392682</v>
      </c>
      <c r="X96" s="57">
        <f>VLOOKUP(B96,'Player Data'!$A1:$AE667,12,FALSE)*$Q96*IFERROR((VLOOKUP(P96,Settings!$E$28:$F$33,2,FALSE)+1),1)</f>
        <v>18.612724419276059</v>
      </c>
      <c r="Y96" s="56">
        <f>VLOOKUP(B96,'Player Data'!$A1:$AE667,13,FALSE)*$Q96</f>
        <v>0.64765262194647344</v>
      </c>
      <c r="Z96" s="56">
        <f>VLOOKUP(B96,'Player Data'!$A1:$AE667,14,FALSE)*$Q96</f>
        <v>1.2647116623787411</v>
      </c>
      <c r="AA96" s="56">
        <f>VLOOKUP(B96,'Player Data'!$A1:$AE667,15,FALSE)*$Q96</f>
        <v>46.27908598900224</v>
      </c>
      <c r="AB96" s="56">
        <f>VLOOKUP(B96,'Player Data'!$A1:$AE667,16,FALSE)*$Q96</f>
        <v>44.028897522232711</v>
      </c>
      <c r="AC96" s="56">
        <f>VLOOKUP(B96,'Player Data'!$A1:$AE667,17,FALSE)*$Q96*IFERROR((VLOOKUP(P96,Settings!$E$28:$F$33,2,FALSE)+1),1)</f>
        <v>3.7148158348796678</v>
      </c>
      <c r="AD96" s="56">
        <f>VLOOKUP(B96,'Player Data'!$A1:$AE667,18,FALSE)*$Q96</f>
        <v>32.213596316588124</v>
      </c>
      <c r="AE96" s="56">
        <f>VLOOKUP(B96,'Player Data'!$A1:$AE667,19,FALSE)*$Q96*IFERROR((VLOOKUP(P96,Settings!$E$28:$F$33,2,FALSE)+1),1)</f>
        <v>5.2956159151787574</v>
      </c>
      <c r="AF96" s="56">
        <f>VLOOKUP(B96,'Player Data'!$A1:$AE667,20,FALSE)*$Q96</f>
        <v>415.89136927800871</v>
      </c>
      <c r="AG96" s="56">
        <f>VLOOKUP(B96,'Player Data'!$A1:$AE667,21,FALSE)*$Q96</f>
        <v>471.8088542791163</v>
      </c>
      <c r="AH96" s="58">
        <f>VLOOKUP(B96,'Player Data'!$A1:$AE667,22,FALSE)</f>
        <v>0.46850429710548103</v>
      </c>
      <c r="AI96" s="54"/>
      <c r="AJ96" s="56"/>
      <c r="AK96" s="56"/>
      <c r="AL96" s="56"/>
      <c r="AM96" s="56"/>
      <c r="AN96" s="56"/>
      <c r="AO96" s="56"/>
      <c r="AP96" s="56"/>
      <c r="AQ96" s="59"/>
      <c r="AR96" s="60"/>
      <c r="AS96" s="54"/>
    </row>
    <row r="97" spans="1:45" ht="21.25" customHeight="1" x14ac:dyDescent="0.15">
      <c r="A97" s="45">
        <f>RANK(K97,K$1:K$665)</f>
        <v>96</v>
      </c>
      <c r="B97" s="9" t="s">
        <v>222</v>
      </c>
      <c r="C97" s="46" t="s">
        <v>127</v>
      </c>
      <c r="D97" s="47" t="str">
        <f>VLOOKUP(B97,'Player Data'!A1:D667,4,FALSE)</f>
        <v>RW</v>
      </c>
      <c r="E97" s="61">
        <f>VLOOKUP(B97,RW!A1:F136,3,FALSE)</f>
        <v>27</v>
      </c>
      <c r="F97" s="65" t="str">
        <f>VLOOKUP(B97,'Player Data'!A1:B667,2,FALSE)</f>
        <v>NSH</v>
      </c>
      <c r="G97" s="63">
        <f>VLOOKUP(B97,'Player Data'!A1:D667,3,FALSE)</f>
        <v>33</v>
      </c>
      <c r="H97" s="50">
        <f>IFERROR(VLOOKUP(B97,ADP!A1:G665,7,FALSE)/1000000,VLOOKUP(B97,ADP!A1:G665,7,FALSE))</f>
        <v>5.5</v>
      </c>
      <c r="I97" s="51">
        <f>IF(Settings!$E$15="POINTS",((R97*Q97)*Settings!$B$12)+(S97*Settings!$B$2)+(T97*Settings!$B$3)+(U97*Settings!$B$4)+(V97*Settings!$B$5)+(X97*Settings!$B$9)+(AA97*Settings!$B$6)+(W97*Settings!$B$8)+(AB97*Settings!$B$7)+(AC97*Settings!$B$14)+(AD97*Settings!$B$15)+(AE97*Settings!$B$16)+(AF97*Settings!$B$17)+(AG97*Settings!$B$18)+(Y97*Settings!$B$10)+(Z97*Settings!$B$11),VLOOKUP(B97,'Standard Deviations'!A1:C666,3,FALSE))</f>
        <v>347.4875879832552</v>
      </c>
      <c r="J97" s="52">
        <f>IF(D97="G",I97/AJ97,I97/Q97)</f>
        <v>4.3109929654891781</v>
      </c>
      <c r="K97" s="51">
        <f>IF(Settings!$E$18="C/LW/RW",VLOOKUP(B97,RW!A1:F136,6,FALSE),VLOOKUP(B97,F!A1:F392,6,FALSE))</f>
        <v>-21.360135123037196</v>
      </c>
      <c r="L97" s="53">
        <f>IFERROR(K97/H97,"N/A")</f>
        <v>-3.8836609314613084</v>
      </c>
      <c r="M97" s="54">
        <f>IF(Settings!$E$9="YAHOO",VLOOKUP(B97,ADP!A1:E665,2,FALSE),IF(Settings!$E$9="ESPN",VLOOKUP(B97,ADP!A1:E665,3,FALSE),IF(Settings!$E$9="FANTRAX",VLOOKUP(B97,ADP!A1:E665,4,FALSE),VLOOKUP(B97,ADP!A1:E665,5,FALSE))))</f>
        <v>91.8</v>
      </c>
      <c r="N97" s="54">
        <f>IFERROR(M97-A97,"N/A")</f>
        <v>-4.2000000000000028</v>
      </c>
      <c r="O97" s="54"/>
      <c r="P97" s="55" t="str">
        <f>IF(Settings!$E$27="ON",VLOOKUP(B97,ADP!A1:H665,8,FALSE)," ")</f>
        <v>-</v>
      </c>
      <c r="Q97" s="56">
        <f>IF(Settings!$E$12="YES",VLOOKUP(B97,'Player Data'!A1:E667,5,FALSE),82)</f>
        <v>80.605000000000004</v>
      </c>
      <c r="R97" s="54">
        <f>VLOOKUP(B97,'Player Data'!$A1:$AE667,6,FALSE)</f>
        <v>17.772379735531501</v>
      </c>
      <c r="S97" s="56">
        <f>VLOOKUP(B97,'Player Data'!$A1:$AE667,7,FALSE)*$Q97*IFERROR((VLOOKUP(P97,Settings!$E$28:$F$33,2,FALSE)+1),1)</f>
        <v>33.352771729290673</v>
      </c>
      <c r="T97" s="56">
        <f>VLOOKUP(B97,'Player Data'!$A1:$AE667,8,FALSE)*$Q97*IFERROR((VLOOKUP(P97,Settings!$E$28:$F$33,2,FALSE)+1),1)</f>
        <v>30.204033085087016</v>
      </c>
      <c r="U97" s="56">
        <f>SUM(S97:T97)</f>
        <v>63.556804814377685</v>
      </c>
      <c r="V97" s="56">
        <f>VLOOKUP(B97,'Player Data'!$A1:$AE667,10,FALSE)*$Q97*IFERROR(((VLOOKUP(P97,Settings!$E$28:$F$33,2,FALSE)/2)+1),1)</f>
        <v>251.08103513429782</v>
      </c>
      <c r="W97" s="56">
        <f>VLOOKUP(B97,'Player Data'!$A1:$AE667,11,FALSE)*$Q97*IFERROR((VLOOKUP(P97,Settings!$E$28:$F$33,2,FALSE)+1),1)</f>
        <v>8.6974346944926335</v>
      </c>
      <c r="X97" s="57">
        <f>VLOOKUP(B97,'Player Data'!$A1:$AE667,12,FALSE)*$Q97*IFERROR((VLOOKUP(P97,Settings!$E$28:$F$33,2,FALSE)+1),1)</f>
        <v>19.766433669255843</v>
      </c>
      <c r="Y97" s="56">
        <f>VLOOKUP(B97,'Player Data'!$A1:$AE667,13,FALSE)*$Q97</f>
        <v>5.7866957888276643E-3</v>
      </c>
      <c r="Z97" s="56">
        <f>VLOOKUP(B97,'Player Data'!$A1:$AE667,14,FALSE)*$Q97</f>
        <v>9.7298531439715258E-3</v>
      </c>
      <c r="AA97" s="56">
        <f>VLOOKUP(B97,'Player Data'!$A1:$AE667,15,FALSE)*$Q97</f>
        <v>23.000984901146843</v>
      </c>
      <c r="AB97" s="56">
        <f>VLOOKUP(B97,'Player Data'!$A1:$AE667,16,FALSE)*$Q97</f>
        <v>93.574231393198801</v>
      </c>
      <c r="AC97" s="56">
        <f>VLOOKUP(B97,'Player Data'!$A1:$AE667,17,FALSE)*$Q97*IFERROR((VLOOKUP(P97,Settings!$E$28:$F$33,2,FALSE)+1),1)</f>
        <v>0.39455955972124729</v>
      </c>
      <c r="AD97" s="56">
        <f>VLOOKUP(B97,'Player Data'!$A1:$AE667,18,FALSE)*$Q97</f>
        <v>33.695918635709866</v>
      </c>
      <c r="AE97" s="56">
        <f>VLOOKUP(B97,'Player Data'!$A1:$AE667,19,FALSE)*$Q97*IFERROR((VLOOKUP(P97,Settings!$E$28:$F$33,2,FALSE)+1),1)</f>
        <v>4.7225130047449468</v>
      </c>
      <c r="AF97" s="56">
        <f>VLOOKUP(B97,'Player Data'!$A1:$AE667,20,FALSE)*$Q97</f>
        <v>13.313740334117364</v>
      </c>
      <c r="AG97" s="56">
        <f>VLOOKUP(B97,'Player Data'!$A1:$AE667,21,FALSE)*$Q97</f>
        <v>26.676376686862422</v>
      </c>
      <c r="AH97" s="58">
        <f>VLOOKUP(B97,'Player Data'!$A1:$AE667,22,FALSE)</f>
        <v>0.33292576581190397</v>
      </c>
      <c r="AI97" s="54"/>
      <c r="AJ97" s="56"/>
      <c r="AK97" s="56"/>
      <c r="AL97" s="56"/>
      <c r="AM97" s="56"/>
      <c r="AN97" s="56"/>
      <c r="AO97" s="56"/>
      <c r="AP97" s="56"/>
      <c r="AQ97" s="59"/>
      <c r="AR97" s="60"/>
      <c r="AS97" s="54"/>
    </row>
    <row r="98" spans="1:45" ht="21.25" customHeight="1" x14ac:dyDescent="0.15">
      <c r="A98" s="45">
        <f>RANK(K98,K$1:K$665)</f>
        <v>97</v>
      </c>
      <c r="B98" s="9" t="s">
        <v>223</v>
      </c>
      <c r="C98" s="46" t="s">
        <v>127</v>
      </c>
      <c r="D98" s="47" t="str">
        <f>VLOOKUP(B98,'Player Data'!A1:D667,4,FALSE)</f>
        <v>RW</v>
      </c>
      <c r="E98" s="61">
        <f>VLOOKUP(B98,RW!A1:F136,3,FALSE)</f>
        <v>28</v>
      </c>
      <c r="F98" s="74" t="str">
        <f>VLOOKUP(B98,'Player Data'!A1:B667,2,FALSE)</f>
        <v>PIT</v>
      </c>
      <c r="G98" s="63">
        <f>VLOOKUP(B98,'Player Data'!A1:D667,3,FALSE)</f>
        <v>32</v>
      </c>
      <c r="H98" s="50">
        <f>IFERROR(VLOOKUP(B98,ADP!A1:G665,7,FALSE)/1000000,VLOOKUP(B98,ADP!A1:G665,7,FALSE))</f>
        <v>5.125</v>
      </c>
      <c r="I98" s="51">
        <f>IF(Settings!$E$15="POINTS",((R98*Q98)*Settings!$B$12)+(S98*Settings!$B$2)+(T98*Settings!$B$3)+(U98*Settings!$B$4)+(V98*Settings!$B$5)+(X98*Settings!$B$9)+(AA98*Settings!$B$6)+(W98*Settings!$B$8)+(AB98*Settings!$B$7)+(AC98*Settings!$B$14)+(AD98*Settings!$B$15)+(AE98*Settings!$B$16)+(AF98*Settings!$B$17)+(AG98*Settings!$B$18)+(Y98*Settings!$B$10)+(Z98*Settings!$B$11),VLOOKUP(B98,'Standard Deviations'!A1:C666,3,FALSE))</f>
        <v>347.44960190592195</v>
      </c>
      <c r="J98" s="52">
        <f>IF(D98="G",I98/AJ98,I98/Q98)</f>
        <v>4.5631493831424228</v>
      </c>
      <c r="K98" s="51">
        <f>IF(Settings!$E$18="C/LW/RW",VLOOKUP(B98,RW!A1:F136,6,FALSE),VLOOKUP(B98,F!A1:F392,6,FALSE))</f>
        <v>-21.39812120037044</v>
      </c>
      <c r="L98" s="53">
        <f>IFERROR(K98/H98,"N/A")</f>
        <v>-4.1752431610478906</v>
      </c>
      <c r="M98" s="54">
        <f>IF(Settings!$E$9="YAHOO",VLOOKUP(B98,ADP!A1:E665,2,FALSE),IF(Settings!$E$9="ESPN",VLOOKUP(B98,ADP!A1:E665,3,FALSE),IF(Settings!$E$9="FANTRAX",VLOOKUP(B98,ADP!A1:E665,4,FALSE),VLOOKUP(B98,ADP!A1:E665,5,FALSE))))</f>
        <v>148.80000000000001</v>
      </c>
      <c r="N98" s="54">
        <f>IFERROR(M98-A98,"N/A")</f>
        <v>51.800000000000011</v>
      </c>
      <c r="O98" s="54"/>
      <c r="P98" s="55" t="str">
        <f>IF(Settings!$E$27="ON",VLOOKUP(B98,ADP!A1:H665,8,FALSE)," ")</f>
        <v xml:space="preserve"> </v>
      </c>
      <c r="Q98" s="56">
        <f>IF(Settings!$E$12="YES",VLOOKUP(B98,'Player Data'!A1:E667,5,FALSE),82)</f>
        <v>76.142499999999998</v>
      </c>
      <c r="R98" s="54">
        <f>VLOOKUP(B98,'Player Data'!$A1:$AE667,6,FALSE)</f>
        <v>20.527099367516001</v>
      </c>
      <c r="S98" s="56">
        <f>VLOOKUP(B98,'Player Data'!$A1:$AE667,7,FALSE)*$Q98*IFERROR((VLOOKUP(P98,Settings!$E$28:$F$33,2,FALSE)+1),1)</f>
        <v>27.049799232342526</v>
      </c>
      <c r="T98" s="56">
        <f>VLOOKUP(B98,'Player Data'!$A1:$AE667,8,FALSE)*$Q98*IFERROR((VLOOKUP(P98,Settings!$E$28:$F$33,2,FALSE)+1),1)</f>
        <v>33.071482656212915</v>
      </c>
      <c r="U98" s="56">
        <f>SUM(S98:T98)</f>
        <v>60.121281888555444</v>
      </c>
      <c r="V98" s="56">
        <f>VLOOKUP(B98,'Player Data'!$A1:$AE667,10,FALSE)*$Q98*IFERROR(((VLOOKUP(P98,Settings!$E$28:$F$33,2,FALSE)/2)+1),1)</f>
        <v>243.18268581872965</v>
      </c>
      <c r="W98" s="56">
        <f>VLOOKUP(B98,'Player Data'!$A1:$AE667,11,FALSE)*$Q98*IFERROR((VLOOKUP(P98,Settings!$E$28:$F$33,2,FALSE)+1),1)</f>
        <v>5.3997737776074137</v>
      </c>
      <c r="X98" s="57">
        <f>VLOOKUP(B98,'Player Data'!$A1:$AE667,12,FALSE)*$Q98*IFERROR((VLOOKUP(P98,Settings!$E$28:$F$33,2,FALSE)+1),1)</f>
        <v>16.31099895635899</v>
      </c>
      <c r="Y98" s="56">
        <f>VLOOKUP(B98,'Player Data'!$A1:$AE667,13,FALSE)*$Q98</f>
        <v>0.14775875326207696</v>
      </c>
      <c r="Z98" s="56">
        <f>VLOOKUP(B98,'Player Data'!$A1:$AE667,14,FALSE)*$Q98</f>
        <v>0.58288356517725737</v>
      </c>
      <c r="AA98" s="56">
        <f>VLOOKUP(B98,'Player Data'!$A1:$AE667,15,FALSE)*$Q98</f>
        <v>57.201061618708962</v>
      </c>
      <c r="AB98" s="56">
        <f>VLOOKUP(B98,'Player Data'!$A1:$AE667,16,FALSE)*$Q98</f>
        <v>73.267975997216226</v>
      </c>
      <c r="AC98" s="56">
        <f>VLOOKUP(B98,'Player Data'!$A1:$AE667,17,FALSE)*$Q98*IFERROR((VLOOKUP(P98,Settings!$E$28:$F$33,2,FALSE)+1),1)</f>
        <v>2.511779934305578</v>
      </c>
      <c r="AD98" s="56">
        <f>VLOOKUP(B98,'Player Data'!$A1:$AE667,18,FALSE)*$Q98</f>
        <v>29.627018682026979</v>
      </c>
      <c r="AE98" s="56">
        <f>VLOOKUP(B98,'Player Data'!$A1:$AE667,19,FALSE)*$Q98*IFERROR((VLOOKUP(P98,Settings!$E$28:$F$33,2,FALSE)+1),1)</f>
        <v>4.0099407423950453</v>
      </c>
      <c r="AF98" s="56">
        <f>VLOOKUP(B98,'Player Data'!$A1:$AE667,20,FALSE)*$Q98</f>
        <v>3.3369107526762813</v>
      </c>
      <c r="AG98" s="56">
        <f>VLOOKUP(B98,'Player Data'!$A1:$AE667,21,FALSE)*$Q98</f>
        <v>6.7836538131163167</v>
      </c>
      <c r="AH98" s="58">
        <f>VLOOKUP(B98,'Player Data'!$A1:$AE667,22,FALSE)</f>
        <v>0.32971587019512799</v>
      </c>
      <c r="AI98" s="54"/>
      <c r="AJ98" s="56"/>
      <c r="AK98" s="56"/>
      <c r="AL98" s="56"/>
      <c r="AM98" s="56"/>
      <c r="AN98" s="56"/>
      <c r="AO98" s="56"/>
      <c r="AP98" s="56"/>
      <c r="AQ98" s="59"/>
      <c r="AR98" s="60"/>
      <c r="AS98" s="64"/>
    </row>
    <row r="99" spans="1:45" ht="21.25" customHeight="1" x14ac:dyDescent="0.15">
      <c r="A99" s="45">
        <f>RANK(K99,K$1:K$665)</f>
        <v>98</v>
      </c>
      <c r="B99" s="9" t="s">
        <v>224</v>
      </c>
      <c r="C99" s="46" t="s">
        <v>127</v>
      </c>
      <c r="D99" s="47" t="str">
        <f>VLOOKUP(B99,'Player Data'!A1:D667,4,FALSE)</f>
        <v>C</v>
      </c>
      <c r="E99" s="48">
        <f>VLOOKUP(B99,'C'!A1:C206,3,FALSE)</f>
        <v>35</v>
      </c>
      <c r="F99" s="55" t="str">
        <f>VLOOKUP(B99,'Player Data'!A1:B667,2,FALSE)</f>
        <v>DAL</v>
      </c>
      <c r="G99" s="10">
        <f>VLOOKUP(B99,'Player Data'!A1:D667,3,FALSE)</f>
        <v>27</v>
      </c>
      <c r="H99" s="50">
        <f>IFERROR(VLOOKUP(B99,ADP!A1:G665,7,FALSE)/1000000,VLOOKUP(B99,ADP!A1:G665,7,FALSE))</f>
        <v>8.4499999999999993</v>
      </c>
      <c r="I99" s="51">
        <f>IF(Settings!$E$15="POINTS",((R99*Q99)*Settings!$B$12)+(S99*Settings!$B$2)+(T99*Settings!$B$3)+(U99*Settings!$B$4)+(V99*Settings!$B$5)+(X99*Settings!$B$9)+(AA99*Settings!$B$6)+(W99*Settings!$B$8)+(AB99*Settings!$B$7)+(AC99*Settings!$B$14)+(AD99*Settings!$B$15)+(AE99*Settings!$B$16)+(AF99*Settings!$B$17)+(AG99*Settings!$B$18)+(Y99*Settings!$B$10)+(Z99*Settings!$B$11),VLOOKUP(B99,'Standard Deviations'!A1:C666,3,FALSE))</f>
        <v>368.0392157392468</v>
      </c>
      <c r="J99" s="52">
        <f>IF(D99="G",I99/AJ99,I99/Q99)</f>
        <v>4.5868729177659677</v>
      </c>
      <c r="K99" s="51">
        <f>IF(Settings!$E$18="C/LW/RW",VLOOKUP(B99,'C'!A1:F206,6,FALSE),VLOOKUP(B99,F!A1:F392,6,FALSE))</f>
        <v>-21.897942038834287</v>
      </c>
      <c r="L99" s="53">
        <f>IFERROR(K99/H99,"N/A")</f>
        <v>-2.5914724306312769</v>
      </c>
      <c r="M99" s="54">
        <f>IF(Settings!$E$9="YAHOO",VLOOKUP(B99,ADP!A1:E665,2,FALSE),IF(Settings!$E$9="ESPN",VLOOKUP(B99,ADP!A1:E665,3,FALSE),IF(Settings!$E$9="FANTRAX",VLOOKUP(B99,ADP!A1:E665,4,FALSE),VLOOKUP(B99,ADP!A1:E665,5,FALSE))))</f>
        <v>90.7</v>
      </c>
      <c r="N99" s="54">
        <f>IFERROR(M99-A99,"N/A")</f>
        <v>-7.2999999999999972</v>
      </c>
      <c r="O99" s="54"/>
      <c r="P99" s="55" t="str">
        <f>IF(Settings!$E$27="ON",VLOOKUP(B99,ADP!A1:H665,8,FALSE)," ")</f>
        <v xml:space="preserve"> </v>
      </c>
      <c r="Q99" s="56">
        <f>IF(Settings!$E$12="YES",VLOOKUP(B99,'Player Data'!A1:E667,5,FALSE),82)</f>
        <v>80.237499999999997</v>
      </c>
      <c r="R99" s="75">
        <f>VLOOKUP(B99,'Player Data'!$A1:$AE667,6,FALSE)</f>
        <v>18.410798757824502</v>
      </c>
      <c r="S99" s="56">
        <f>VLOOKUP(B99,'Player Data'!$A1:$AE667,7,FALSE)*$Q99*IFERROR((VLOOKUP(P99,Settings!$E$28:$F$33,2,FALSE)+1),1)</f>
        <v>34.445931472395309</v>
      </c>
      <c r="T99" s="56">
        <f>VLOOKUP(B99,'Player Data'!$A1:$AE667,8,FALSE)*$Q99*IFERROR((VLOOKUP(P99,Settings!$E$28:$F$33,2,FALSE)+1),1)</f>
        <v>38.656133117070716</v>
      </c>
      <c r="U99" s="56">
        <f>SUM(S99:T99)</f>
        <v>73.102064589466025</v>
      </c>
      <c r="V99" s="56">
        <f>VLOOKUP(B99,'Player Data'!$A1:$AE667,10,FALSE)*$Q99*IFERROR(((VLOOKUP(P99,Settings!$E$28:$F$33,2,FALSE)/2)+1),1)</f>
        <v>201.86377338982817</v>
      </c>
      <c r="W99" s="56">
        <f>VLOOKUP(B99,'Player Data'!$A1:$AE667,11,FALSE)*$Q99*IFERROR((VLOOKUP(P99,Settings!$E$28:$F$33,2,FALSE)+1),1)</f>
        <v>9.2209359084501461</v>
      </c>
      <c r="X99" s="57">
        <f>VLOOKUP(B99,'Player Data'!$A1:$AE667,12,FALSE)*$Q99*IFERROR((VLOOKUP(P99,Settings!$E$28:$F$33,2,FALSE)+1),1)</f>
        <v>22.433832044011051</v>
      </c>
      <c r="Y99" s="56">
        <f>VLOOKUP(B99,'Player Data'!$A1:$AE667,13,FALSE)*$Q99</f>
        <v>2.4532087223706007</v>
      </c>
      <c r="Z99" s="56">
        <f>VLOOKUP(B99,'Player Data'!$A1:$AE667,14,FALSE)*$Q99</f>
        <v>3.2151546104661834</v>
      </c>
      <c r="AA99" s="56">
        <f>VLOOKUP(B99,'Player Data'!$A1:$AE667,15,FALSE)*$Q99</f>
        <v>44.304297242914799</v>
      </c>
      <c r="AB99" s="56">
        <f>VLOOKUP(B99,'Player Data'!$A1:$AE667,16,FALSE)*$Q99</f>
        <v>49.305979901740841</v>
      </c>
      <c r="AC99" s="56">
        <f>VLOOKUP(B99,'Player Data'!$A1:$AE667,17,FALSE)*$Q99*IFERROR((VLOOKUP(P99,Settings!$E$28:$F$33,2,FALSE)+1),1)</f>
        <v>8.6652206099260756</v>
      </c>
      <c r="AD99" s="56">
        <f>VLOOKUP(B99,'Player Data'!$A1:$AE667,18,FALSE)*$Q99</f>
        <v>30.180530193748087</v>
      </c>
      <c r="AE99" s="56">
        <f>VLOOKUP(B99,'Player Data'!$A1:$AE667,19,FALSE)*$Q99*IFERROR((VLOOKUP(P99,Settings!$E$28:$F$33,2,FALSE)+1),1)</f>
        <v>5.5085490559381887</v>
      </c>
      <c r="AF99" s="56">
        <f>VLOOKUP(B99,'Player Data'!$A1:$AE667,20,FALSE)*$Q99</f>
        <v>330.30626332368877</v>
      </c>
      <c r="AG99" s="56">
        <f>VLOOKUP(B99,'Player Data'!$A1:$AE667,21,FALSE)*$Q99</f>
        <v>281.40179081559018</v>
      </c>
      <c r="AH99" s="58">
        <f>VLOOKUP(B99,'Player Data'!$A1:$AE667,22,FALSE)</f>
        <v>0.53997370328637495</v>
      </c>
      <c r="AI99" s="54"/>
      <c r="AJ99" s="56"/>
      <c r="AK99" s="56"/>
      <c r="AL99" s="56"/>
      <c r="AM99" s="56"/>
      <c r="AN99" s="56"/>
      <c r="AO99" s="56"/>
      <c r="AP99" s="56"/>
      <c r="AQ99" s="59"/>
      <c r="AR99" s="60"/>
      <c r="AS99" s="54"/>
    </row>
    <row r="100" spans="1:45" ht="21.25" customHeight="1" x14ac:dyDescent="0.15">
      <c r="A100" s="45">
        <f>RANK(K100,K$1:K$665)</f>
        <v>99</v>
      </c>
      <c r="B100" s="9" t="s">
        <v>225</v>
      </c>
      <c r="C100" s="46" t="s">
        <v>127</v>
      </c>
      <c r="D100" s="47" t="str">
        <f>VLOOKUP(B100,'Player Data'!A1:D667,4,FALSE)</f>
        <v>LW</v>
      </c>
      <c r="E100" s="70">
        <f>VLOOKUP(B100,LW!A1:C152,3,FALSE)</f>
        <v>27</v>
      </c>
      <c r="F100" s="71" t="str">
        <f>VLOOKUP(B100,'Player Data'!A1:B667,2,FALSE)</f>
        <v>NYR</v>
      </c>
      <c r="G100" s="63">
        <f>VLOOKUP(B100,'Player Data'!A1:D667,3,FALSE)</f>
        <v>33</v>
      </c>
      <c r="H100" s="50">
        <f>IFERROR(VLOOKUP(B100,ADP!A1:G665,7,FALSE)/1000000,VLOOKUP(B100,ADP!A1:G665,7,FALSE))</f>
        <v>6.5</v>
      </c>
      <c r="I100" s="51">
        <f>IF(Settings!$E$15="POINTS",((R100*Q100)*Settings!$B$12)+(S100*Settings!$B$2)+(T100*Settings!$B$3)+(U100*Settings!$B$4)+(V100*Settings!$B$5)+(X100*Settings!$B$9)+(AA100*Settings!$B$6)+(W100*Settings!$B$8)+(AB100*Settings!$B$7)+(AC100*Settings!$B$14)+(AD100*Settings!$B$15)+(AE100*Settings!$B$16)+(AF100*Settings!$B$17)+(AG100*Settings!$B$18)+(Y100*Settings!$B$10)+(Z100*Settings!$B$11),VLOOKUP(B100,'Standard Deviations'!A1:C666,3,FALSE))</f>
        <v>359.10332320269032</v>
      </c>
      <c r="J100" s="52">
        <f>IF(D100="G",I100/AJ100,I100/Q100)</f>
        <v>4.40522983657117</v>
      </c>
      <c r="K100" s="51">
        <f>IF(Settings!$E$18="C/LW/RW",VLOOKUP(B100,LW!A1:F152,6,FALSE),VLOOKUP(B100,F!A1:F392,6,FALSE))</f>
        <v>-21.958189099809431</v>
      </c>
      <c r="L100" s="53">
        <f>IFERROR(K100/H100,"N/A")</f>
        <v>-3.3781829384322202</v>
      </c>
      <c r="M100" s="54">
        <f>IF(Settings!$E$9="YAHOO",VLOOKUP(B100,ADP!A1:E665,2,FALSE),IF(Settings!$E$9="ESPN",VLOOKUP(B100,ADP!A1:E665,3,FALSE),IF(Settings!$E$9="FANTRAX",VLOOKUP(B100,ADP!A1:E665,4,FALSE),VLOOKUP(B100,ADP!A1:E665,5,FALSE))))</f>
        <v>30.2</v>
      </c>
      <c r="N100" s="54">
        <f>IFERROR(M100-A100,"N/A")</f>
        <v>-68.8</v>
      </c>
      <c r="O100" s="54"/>
      <c r="P100" s="55" t="str">
        <f>IF(Settings!$E$27="ON",VLOOKUP(B100,ADP!A1:H665,8,FALSE)," ")</f>
        <v xml:space="preserve"> </v>
      </c>
      <c r="Q100" s="56">
        <f>IF(Settings!$E$12="YES",VLOOKUP(B100,'Player Data'!A1:E667,5,FALSE),82)</f>
        <v>81.517499999999998</v>
      </c>
      <c r="R100" s="54">
        <f>VLOOKUP(B100,'Player Data'!$A1:$AE667,6,FALSE)</f>
        <v>18.838793565351502</v>
      </c>
      <c r="S100" s="56">
        <f>VLOOKUP(B100,'Player Data'!$A1:$AE667,7,FALSE)*$Q100*IFERROR((VLOOKUP(P100,Settings!$E$28:$F$33,2,FALSE)+1),1)</f>
        <v>37.335308013383624</v>
      </c>
      <c r="T100" s="56">
        <f>VLOOKUP(B100,'Player Data'!$A1:$AE667,8,FALSE)*$Q100*IFERROR((VLOOKUP(P100,Settings!$E$28:$F$33,2,FALSE)+1),1)</f>
        <v>28.489619125630966</v>
      </c>
      <c r="U100" s="56">
        <f>SUM(S100:T100)</f>
        <v>65.824927139014591</v>
      </c>
      <c r="V100" s="56">
        <f>VLOOKUP(B100,'Player Data'!$A1:$AE667,10,FALSE)*$Q100*IFERROR(((VLOOKUP(P100,Settings!$E$28:$F$33,2,FALSE)/2)+1),1)</f>
        <v>242.20170753146442</v>
      </c>
      <c r="W100" s="56">
        <f>VLOOKUP(B100,'Player Data'!$A1:$AE667,11,FALSE)*$Q100*IFERROR((VLOOKUP(P100,Settings!$E$28:$F$33,2,FALSE)+1),1)</f>
        <v>13.980252306407944</v>
      </c>
      <c r="X100" s="57">
        <f>VLOOKUP(B100,'Player Data'!$A1:$AE667,12,FALSE)*$Q100*IFERROR((VLOOKUP(P100,Settings!$E$28:$F$33,2,FALSE)+1),1)</f>
        <v>23.592033551500613</v>
      </c>
      <c r="Y100" s="56">
        <f>VLOOKUP(B100,'Player Data'!$A1:$AE667,13,FALSE)*$Q100</f>
        <v>2.6532581406820537</v>
      </c>
      <c r="Z100" s="56">
        <f>VLOOKUP(B100,'Player Data'!$A1:$AE667,14,FALSE)*$Q100</f>
        <v>4.1764866344136893</v>
      </c>
      <c r="AA100" s="56">
        <f>VLOOKUP(B100,'Player Data'!$A1:$AE667,15,FALSE)*$Q100</f>
        <v>25.518335668000205</v>
      </c>
      <c r="AB100" s="56">
        <f>VLOOKUP(B100,'Player Data'!$A1:$AE667,16,FALSE)*$Q100</f>
        <v>106.87065884782352</v>
      </c>
      <c r="AC100" s="56">
        <f>VLOOKUP(B100,'Player Data'!$A1:$AE667,17,FALSE)*$Q100*IFERROR((VLOOKUP(P100,Settings!$E$28:$F$33,2,FALSE)+1),1)</f>
        <v>5.21687872808132</v>
      </c>
      <c r="AD100" s="56">
        <f>VLOOKUP(B100,'Player Data'!$A1:$AE667,18,FALSE)*$Q100</f>
        <v>28.416252485613196</v>
      </c>
      <c r="AE100" s="56">
        <f>VLOOKUP(B100,'Player Data'!$A1:$AE667,19,FALSE)*$Q100*IFERROR((VLOOKUP(P100,Settings!$E$28:$F$33,2,FALSE)+1),1)</f>
        <v>6.1027661214458711</v>
      </c>
      <c r="AF100" s="56">
        <f>VLOOKUP(B100,'Player Data'!$A1:$AE667,20,FALSE)*$Q100</f>
        <v>42.833844889600122</v>
      </c>
      <c r="AG100" s="56">
        <f>VLOOKUP(B100,'Player Data'!$A1:$AE667,21,FALSE)*$Q100</f>
        <v>58.138371015706142</v>
      </c>
      <c r="AH100" s="58">
        <f>VLOOKUP(B100,'Player Data'!$A1:$AE667,22,FALSE)</f>
        <v>0.42421417125054001</v>
      </c>
      <c r="AI100" s="54"/>
      <c r="AJ100" s="64"/>
      <c r="AK100" s="56"/>
      <c r="AL100" s="56"/>
      <c r="AM100" s="56"/>
      <c r="AN100" s="56"/>
      <c r="AO100" s="56"/>
      <c r="AP100" s="56"/>
      <c r="AQ100" s="59"/>
      <c r="AR100" s="60"/>
      <c r="AS100" s="54"/>
    </row>
    <row r="101" spans="1:45" ht="21.25" customHeight="1" x14ac:dyDescent="0.15">
      <c r="A101" s="45">
        <f>RANK(K101,K$1:K$665)</f>
        <v>100</v>
      </c>
      <c r="B101" s="9" t="s">
        <v>226</v>
      </c>
      <c r="C101" s="46" t="s">
        <v>127</v>
      </c>
      <c r="D101" s="47" t="str">
        <f>VLOOKUP(B101,'Player Data'!A1:D667,4,FALSE)</f>
        <v>C/LW</v>
      </c>
      <c r="E101" s="68">
        <f>VLOOKUP(B101,LW!A1:C152,3,FALSE)</f>
        <v>28</v>
      </c>
      <c r="F101" s="77" t="str">
        <f>VLOOKUP(B101,'Player Data'!A1:B667,2,FALSE)</f>
        <v>STL</v>
      </c>
      <c r="G101" s="10">
        <f>VLOOKUP(B101,'Player Data'!A1:D667,3,FALSE)</f>
        <v>29</v>
      </c>
      <c r="H101" s="50">
        <f>IFERROR(VLOOKUP(B101,ADP!A1:G665,7,FALSE)/1000000,VLOOKUP(B101,ADP!A1:G665,7,FALSE))</f>
        <v>5.8</v>
      </c>
      <c r="I101" s="51">
        <f>IF(Settings!$E$15="POINTS",((R101*Q101)*Settings!$B$12)+(S101*Settings!$B$2)+(T101*Settings!$B$3)+(U101*Settings!$B$4)+(V101*Settings!$B$5)+(X101*Settings!$B$9)+(AA101*Settings!$B$6)+(W101*Settings!$B$8)+(AB101*Settings!$B$7)+(AC101*Settings!$B$14)+(AD101*Settings!$B$15)+(AE101*Settings!$B$16)+(AF101*Settings!$B$17)+(AG101*Settings!$B$18)+(Y101*Settings!$B$10)+(Z101*Settings!$B$11),VLOOKUP(B101,'Standard Deviations'!A1:C666,3,FALSE))</f>
        <v>357.56680797817324</v>
      </c>
      <c r="J101" s="52">
        <f>IF(D101="G",I101/AJ101,I101/Q101)</f>
        <v>4.5746593056539036</v>
      </c>
      <c r="K101" s="51">
        <f>IF(Settings!$E$18="C/LW/RW",VLOOKUP(B101,LW!A1:F152,6,FALSE),VLOOKUP(B101,F!A1:F392,6,FALSE))</f>
        <v>-23.494704324326506</v>
      </c>
      <c r="L101" s="53">
        <f>IFERROR(K101/H101,"N/A")</f>
        <v>-4.0508110904011216</v>
      </c>
      <c r="M101" s="54">
        <f>IF(Settings!$E$9="YAHOO",VLOOKUP(B101,ADP!A1:E665,2,FALSE),IF(Settings!$E$9="ESPN",VLOOKUP(B101,ADP!A1:E665,3,FALSE),IF(Settings!$E$9="FANTRAX",VLOOKUP(B101,ADP!A1:E665,4,FALSE),VLOOKUP(B101,ADP!A1:E665,5,FALSE))))</f>
        <v>153</v>
      </c>
      <c r="N101" s="54">
        <f>IFERROR(M101-A101,"N/A")</f>
        <v>53</v>
      </c>
      <c r="O101" s="54"/>
      <c r="P101" s="55" t="str">
        <f>IF(Settings!$E$27="ON",VLOOKUP(B101,ADP!A1:H665,8,FALSE)," ")</f>
        <v xml:space="preserve"> </v>
      </c>
      <c r="Q101" s="56">
        <f>IF(Settings!$E$12="YES",VLOOKUP(B101,'Player Data'!A1:E667,5,FALSE),82)</f>
        <v>78.162499999999994</v>
      </c>
      <c r="R101" s="54">
        <f>VLOOKUP(B101,'Player Data'!$A1:$AE667,6,FALSE)</f>
        <v>19.871428988604301</v>
      </c>
      <c r="S101" s="56">
        <f>VLOOKUP(B101,'Player Data'!$A1:$AE667,7,FALSE)*$Q101*IFERROR((VLOOKUP(P101,Settings!$E$28:$F$33,2,FALSE)+1),1)</f>
        <v>29.348256588416056</v>
      </c>
      <c r="T101" s="56">
        <f>VLOOKUP(B101,'Player Data'!$A1:$AE667,8,FALSE)*$Q101*IFERROR((VLOOKUP(P101,Settings!$E$28:$F$33,2,FALSE)+1),1)</f>
        <v>42.918380789183651</v>
      </c>
      <c r="U101" s="56">
        <f>SUM(S101:T101)</f>
        <v>72.266637377599707</v>
      </c>
      <c r="V101" s="56">
        <f>VLOOKUP(B101,'Player Data'!$A1:$AE667,10,FALSE)*$Q101*IFERROR(((VLOOKUP(P101,Settings!$E$28:$F$33,2,FALSE)/2)+1),1)</f>
        <v>203.39380624968416</v>
      </c>
      <c r="W101" s="56">
        <f>VLOOKUP(B101,'Player Data'!$A1:$AE667,11,FALSE)*$Q101*IFERROR((VLOOKUP(P101,Settings!$E$28:$F$33,2,FALSE)+1),1)</f>
        <v>9.4190300690318072</v>
      </c>
      <c r="X101" s="57">
        <f>VLOOKUP(B101,'Player Data'!$A1:$AE667,12,FALSE)*$Q101*IFERROR((VLOOKUP(P101,Settings!$E$28:$F$33,2,FALSE)+1),1)</f>
        <v>22.418149733857145</v>
      </c>
      <c r="Y101" s="56">
        <f>VLOOKUP(B101,'Player Data'!$A1:$AE667,13,FALSE)*$Q101</f>
        <v>1.1182391576845425</v>
      </c>
      <c r="Z101" s="56">
        <f>VLOOKUP(B101,'Player Data'!$A1:$AE667,14,FALSE)*$Q101</f>
        <v>2.4571060290871118</v>
      </c>
      <c r="AA101" s="56">
        <f>VLOOKUP(B101,'Player Data'!$A1:$AE667,15,FALSE)*$Q101</f>
        <v>28.389473915175603</v>
      </c>
      <c r="AB101" s="56">
        <f>VLOOKUP(B101,'Player Data'!$A1:$AE667,16,FALSE)*$Q101</f>
        <v>50.258451324486657</v>
      </c>
      <c r="AC101" s="56">
        <f>VLOOKUP(B101,'Player Data'!$A1:$AE667,17,FALSE)*$Q101*IFERROR((VLOOKUP(P101,Settings!$E$28:$F$33,2,FALSE)+1),1)</f>
        <v>-0.5992469798033635</v>
      </c>
      <c r="AD101" s="56">
        <f>VLOOKUP(B101,'Player Data'!$A1:$AE667,18,FALSE)*$Q101</f>
        <v>34.79933714765739</v>
      </c>
      <c r="AE101" s="56">
        <f>VLOOKUP(B101,'Player Data'!$A1:$AE667,19,FALSE)*$Q101*IFERROR((VLOOKUP(P101,Settings!$E$28:$F$33,2,FALSE)+1),1)</f>
        <v>3.5333567431991102</v>
      </c>
      <c r="AF101" s="56">
        <f>VLOOKUP(B101,'Player Data'!$A1:$AE667,20,FALSE)*$Q101</f>
        <v>64.870495392221144</v>
      </c>
      <c r="AG101" s="56">
        <f>VLOOKUP(B101,'Player Data'!$A1:$AE667,21,FALSE)*$Q101</f>
        <v>124.8163609965374</v>
      </c>
      <c r="AH101" s="58">
        <f>VLOOKUP(B101,'Player Data'!$A1:$AE667,22,FALSE)</f>
        <v>0.34198729752403401</v>
      </c>
      <c r="AI101" s="54"/>
      <c r="AJ101" s="56"/>
      <c r="AK101" s="56"/>
      <c r="AL101" s="56"/>
      <c r="AM101" s="56"/>
      <c r="AN101" s="56"/>
      <c r="AO101" s="56"/>
      <c r="AP101" s="56"/>
      <c r="AQ101" s="59"/>
      <c r="AR101" s="60"/>
      <c r="AS101" s="54"/>
    </row>
    <row r="102" spans="1:45" ht="21.25" customHeight="1" x14ac:dyDescent="0.15">
      <c r="A102" s="45">
        <f>RANK(K102,K$1:K$665)</f>
        <v>101</v>
      </c>
      <c r="B102" s="9" t="s">
        <v>227</v>
      </c>
      <c r="C102" s="46" t="s">
        <v>127</v>
      </c>
      <c r="D102" s="47" t="str">
        <f>VLOOKUP(B102,'Player Data'!A1:D667,4,FALSE)</f>
        <v>C/LW</v>
      </c>
      <c r="E102" s="68">
        <f>VLOOKUP(B102,LW!A1:C152,3,FALSE)</f>
        <v>29</v>
      </c>
      <c r="F102" s="62" t="str">
        <f>VLOOKUP(B102,'Player Data'!A1:B667,2,FALSE)</f>
        <v>SEA</v>
      </c>
      <c r="G102" s="10">
        <f>VLOOKUP(B102,'Player Data'!A1:D667,3,FALSE)</f>
        <v>28</v>
      </c>
      <c r="H102" s="50">
        <f>IFERROR(VLOOKUP(B102,ADP!A1:G665,7,FALSE)/1000000,VLOOKUP(B102,ADP!A1:G665,7,FALSE))</f>
        <v>5</v>
      </c>
      <c r="I102" s="51">
        <f>IF(Settings!$E$15="POINTS",((R102*Q102)*Settings!$B$12)+(S102*Settings!$B$2)+(T102*Settings!$B$3)+(U102*Settings!$B$4)+(V102*Settings!$B$5)+(X102*Settings!$B$9)+(AA102*Settings!$B$6)+(W102*Settings!$B$8)+(AB102*Settings!$B$7)+(AC102*Settings!$B$14)+(AD102*Settings!$B$15)+(AE102*Settings!$B$16)+(AF102*Settings!$B$17)+(AG102*Settings!$B$18)+(Y102*Settings!$B$10)+(Z102*Settings!$B$11),VLOOKUP(B102,'Standard Deviations'!A1:C666,3,FALSE))</f>
        <v>354.57426983418583</v>
      </c>
      <c r="J102" s="52">
        <f>IF(D102="G",I102/AJ102,I102/Q102)</f>
        <v>4.4067021262598827</v>
      </c>
      <c r="K102" s="51">
        <f>IF(Settings!$E$18="C/LW/RW",VLOOKUP(B102,LW!A1:F152,6,FALSE),VLOOKUP(B102,F!A1:F392,6,FALSE))</f>
        <v>-26.487242468313923</v>
      </c>
      <c r="L102" s="53">
        <f>IFERROR(K102/H102,"N/A")</f>
        <v>-5.2974484936627846</v>
      </c>
      <c r="M102" s="54">
        <f>IF(Settings!$E$9="YAHOO",VLOOKUP(B102,ADP!A1:E665,2,FALSE),IF(Settings!$E$9="ESPN",VLOOKUP(B102,ADP!A1:E665,3,FALSE),IF(Settings!$E$9="FANTRAX",VLOOKUP(B102,ADP!A1:E665,4,FALSE),VLOOKUP(B102,ADP!A1:E665,5,FALSE))))</f>
        <v>150.1</v>
      </c>
      <c r="N102" s="54">
        <f>IFERROR(M102-A102,"N/A")</f>
        <v>49.099999999999994</v>
      </c>
      <c r="O102" s="54"/>
      <c r="P102" s="55" t="str">
        <f>IF(Settings!$E$27="ON",VLOOKUP(B102,ADP!A1:H665,8,FALSE)," ")</f>
        <v xml:space="preserve"> </v>
      </c>
      <c r="Q102" s="56">
        <f>IF(Settings!$E$12="YES",VLOOKUP(B102,'Player Data'!A1:E667,5,FALSE),82)</f>
        <v>80.462500000000006</v>
      </c>
      <c r="R102" s="75">
        <f>VLOOKUP(B102,'Player Data'!$A1:$AE667,6,FALSE)</f>
        <v>17.885494987060301</v>
      </c>
      <c r="S102" s="56">
        <f>VLOOKUP(B102,'Player Data'!$A1:$AE667,7,FALSE)*$Q102*IFERROR((VLOOKUP(P102,Settings!$E$28:$F$33,2,FALSE)+1),1)</f>
        <v>33.849435484251032</v>
      </c>
      <c r="T102" s="56">
        <f>VLOOKUP(B102,'Player Data'!$A1:$AE667,8,FALSE)*$Q102*IFERROR((VLOOKUP(P102,Settings!$E$28:$F$33,2,FALSE)+1),1)</f>
        <v>33.299986040197581</v>
      </c>
      <c r="U102" s="56">
        <f>SUM(S102:T102)</f>
        <v>67.149421524448613</v>
      </c>
      <c r="V102" s="56">
        <f>VLOOKUP(B102,'Player Data'!$A1:$AE667,10,FALSE)*$Q102*IFERROR(((VLOOKUP(P102,Settings!$E$28:$F$33,2,FALSE)/2)+1),1)</f>
        <v>227.81279950534028</v>
      </c>
      <c r="W102" s="56">
        <f>VLOOKUP(B102,'Player Data'!$A1:$AE667,11,FALSE)*$Q102*IFERROR((VLOOKUP(P102,Settings!$E$28:$F$33,2,FALSE)+1),1)</f>
        <v>7.9964918825724407</v>
      </c>
      <c r="X102" s="78">
        <f>VLOOKUP(B102,'Player Data'!$A1:$AE667,12,FALSE)*$Q102*IFERROR((VLOOKUP(P102,Settings!$E$28:$F$33,2,FALSE)+1),1)</f>
        <v>20.063795015827505</v>
      </c>
      <c r="Y102" s="56">
        <f>VLOOKUP(B102,'Player Data'!$A1:$AE667,13,FALSE)*$Q102</f>
        <v>2.7348840568223109</v>
      </c>
      <c r="Z102" s="56">
        <f>VLOOKUP(B102,'Player Data'!$A1:$AE667,14,FALSE)*$Q102</f>
        <v>2.8989264604800038</v>
      </c>
      <c r="AA102" s="56">
        <f>VLOOKUP(B102,'Player Data'!$A1:$AE667,15,FALSE)*$Q102</f>
        <v>32.513768063724598</v>
      </c>
      <c r="AB102" s="56">
        <f>VLOOKUP(B102,'Player Data'!$A1:$AE667,16,FALSE)*$Q102</f>
        <v>58.718781291367385</v>
      </c>
      <c r="AC102" s="56">
        <f>VLOOKUP(B102,'Player Data'!$A1:$AE667,17,FALSE)*$Q102*IFERROR((VLOOKUP(P102,Settings!$E$28:$F$33,2,FALSE)+1),1)</f>
        <v>3.4652967848713474E-2</v>
      </c>
      <c r="AD102" s="56">
        <f>VLOOKUP(B102,'Player Data'!$A1:$AE667,18,FALSE)*$Q102</f>
        <v>28.636250214236181</v>
      </c>
      <c r="AE102" s="56">
        <f>VLOOKUP(B102,'Player Data'!$A1:$AE667,19,FALSE)*$Q102*IFERROR((VLOOKUP(P102,Settings!$E$28:$F$33,2,FALSE)+1),1)</f>
        <v>5.139957937920772</v>
      </c>
      <c r="AF102" s="56">
        <f>VLOOKUP(B102,'Player Data'!$A1:$AE667,20,FALSE)*$Q102</f>
        <v>139.61505653812546</v>
      </c>
      <c r="AG102" s="56">
        <f>VLOOKUP(B102,'Player Data'!$A1:$AE667,21,FALSE)*$Q102</f>
        <v>190.05126016282793</v>
      </c>
      <c r="AH102" s="58">
        <f>VLOOKUP(B102,'Player Data'!$A1:$AE667,22,FALSE)</f>
        <v>0.423504160010297</v>
      </c>
      <c r="AI102" s="54"/>
      <c r="AJ102" s="56"/>
      <c r="AK102" s="56"/>
      <c r="AL102" s="56"/>
      <c r="AM102" s="56"/>
      <c r="AN102" s="56"/>
      <c r="AO102" s="56"/>
      <c r="AP102" s="56"/>
      <c r="AQ102" s="59"/>
      <c r="AR102" s="60"/>
      <c r="AS102" s="54"/>
    </row>
    <row r="103" spans="1:45" ht="21.25" customHeight="1" x14ac:dyDescent="0.15">
      <c r="A103" s="45">
        <f>RANK(K103,K$1:K$665)</f>
        <v>102</v>
      </c>
      <c r="B103" s="9" t="s">
        <v>228</v>
      </c>
      <c r="C103" s="46" t="s">
        <v>127</v>
      </c>
      <c r="D103" s="47" t="str">
        <f>VLOOKUP(B103,'Player Data'!A1:D667,4,FALSE)</f>
        <v>G</v>
      </c>
      <c r="E103" s="73">
        <f>VLOOKUP(B103,G!A1:D65,3,FALSE)</f>
        <v>12</v>
      </c>
      <c r="F103" s="71" t="str">
        <f>VLOOKUP(B103,'Player Data'!A1:B667,2,FALSE)</f>
        <v>COL</v>
      </c>
      <c r="G103" s="10">
        <f>VLOOKUP(B103,'Player Data'!A1:D667,3,FALSE)</f>
        <v>28</v>
      </c>
      <c r="H103" s="67">
        <f>IFERROR(VLOOKUP(B103,ADP!A1:G665,7,FALSE)/1000000,VLOOKUP(B103,ADP!A1:G665,7,FALSE))</f>
        <v>3.4</v>
      </c>
      <c r="I103" s="51">
        <f>IF(Settings!$E$15="POINTS",(AJ103*Settings!$B$29)+(AK103*Settings!$B$21)+(AL103*Settings!$B$22)+(AN103*Settings!$B$24)+(AO103*Settings!$B$25)+(AP103*Settings!$B$27)+(AM103*Settings!$B$23),VLOOKUP(B103,'Standard Deviations'!A1:C666,3,FALSE))</f>
        <v>383.09494736938132</v>
      </c>
      <c r="J103" s="52">
        <f>IF(D103="G",I103/AJ103,I103/Q103)</f>
        <v>7.0943508772107648</v>
      </c>
      <c r="K103" s="51">
        <f>VLOOKUP(B103,G!A1:F65,6,FALSE)</f>
        <v>-27.564795400038861</v>
      </c>
      <c r="L103" s="53">
        <f>IFERROR(K103/H103,"N/A")</f>
        <v>-8.1072927647173127</v>
      </c>
      <c r="M103" s="54">
        <f>IF(Settings!$E$9="YAHOO",VLOOKUP(B103,ADP!A1:E665,2,FALSE),IF(Settings!$E$9="ESPN",VLOOKUP(B103,ADP!A1:E665,3,FALSE),IF(Settings!$E$9="FANTRAX",VLOOKUP(B103,ADP!A1:E665,4,FALSE),VLOOKUP(B103,ADP!A1:E665,5,FALSE))))</f>
        <v>52</v>
      </c>
      <c r="N103" s="54">
        <f>IFERROR(M103-A103,"N/A")</f>
        <v>-50</v>
      </c>
      <c r="O103" s="54"/>
      <c r="P103" s="55" t="str">
        <f>IF(Settings!$E$27="ON",VLOOKUP(B103,ADP!A1:H665,8,FALSE)," ")</f>
        <v xml:space="preserve"> </v>
      </c>
      <c r="Q103" s="56"/>
      <c r="R103" s="54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8"/>
      <c r="AI103" s="54"/>
      <c r="AJ103" s="64">
        <f>VLOOKUP(B103,'Player Data'!$A1:$AE667,24,FALSE)</f>
        <v>54</v>
      </c>
      <c r="AK103" s="56">
        <f>VLOOKUP(B103,'Player Data'!$A1:$AE667,25,FALSE)*$AJ103*IFERROR((VLOOKUP(P103,Settings!$E$28:$F$33,2,FALSE)+1),1)</f>
        <v>31.762644243966378</v>
      </c>
      <c r="AL103" s="56">
        <f>AJ103-AK103-AM103</f>
        <v>15.487355756033622</v>
      </c>
      <c r="AM103" s="56">
        <f>VLOOKUP(B103,'Player Data'!$A1:$AE667,27,FALSE)*$AJ103</f>
        <v>6.75</v>
      </c>
      <c r="AN103" s="56">
        <f>VLOOKUP(B103,'Player Data'!$A1:$AE667,28,FALSE)*AJ103</f>
        <v>2.9838911908766437</v>
      </c>
      <c r="AO103" s="56">
        <f>VLOOKUP(B103,'Player Data'!$A1:$AE667,29,FALSE)*$AJ103*IFERROR((VLOOKUP(P103,Settings!$E$28:$F$33,2,FALSE)/4)+1,1)</f>
        <v>1477.9482363365455</v>
      </c>
      <c r="AP103" s="56">
        <f>VLOOKUP(B103,'Player Data'!$A1:$AE667,31,FALSE)*$AJ103*(IFERROR(1-(VLOOKUP(P103,Settings!$E$28:$F$33,2,FALSE)/4),1))</f>
        <v>151.3836649072224</v>
      </c>
      <c r="AQ103" s="59">
        <f>1-(AP103/(AO103+AP103))</f>
        <v>0.90708850370408745</v>
      </c>
      <c r="AR103" s="60">
        <f>AP103/AJ103</f>
        <v>2.8034012019855998</v>
      </c>
      <c r="AS103" s="54"/>
    </row>
    <row r="104" spans="1:45" ht="21.25" customHeight="1" x14ac:dyDescent="0.15">
      <c r="A104" s="45">
        <f>RANK(K104,K$1:K$665)</f>
        <v>103</v>
      </c>
      <c r="B104" s="9" t="s">
        <v>229</v>
      </c>
      <c r="C104" s="46" t="s">
        <v>127</v>
      </c>
      <c r="D104" s="47" t="str">
        <f>VLOOKUP(B104,'Player Data'!A1:D667,4,FALSE)</f>
        <v>D</v>
      </c>
      <c r="E104" s="66">
        <f>VLOOKUP(B104,D!A1:C213,3,FALSE)</f>
        <v>24</v>
      </c>
      <c r="F104" s="65" t="str">
        <f>VLOOKUP(B104,'Player Data'!A1:B667,2,FALSE)</f>
        <v>CGY</v>
      </c>
      <c r="G104" s="10">
        <f>VLOOKUP(B104,'Player Data'!A1:D667,3,FALSE)</f>
        <v>27</v>
      </c>
      <c r="H104" s="50">
        <f>IFERROR(VLOOKUP(B104,ADP!A1:G665,7,FALSE)/1000000,VLOOKUP(B104,ADP!A1:G665,7,FALSE))</f>
        <v>4.55</v>
      </c>
      <c r="I104" s="51">
        <f>IF(Settings!$E$15="POINTS",((R104*Q104)*Settings!$B$12)+(S104*Settings!$B$2)+(T104*Settings!$B$3)+(U104*Settings!$B$4)+(V104*Settings!$B$5)+(X104*Settings!$B$9)+(AA104*Settings!$B$6)+(W104*Settings!$B$8)+(AB104*Settings!$B$7)+(AC104*Settings!$B$14)+(AD104*Settings!$B$15)+(AE104*Settings!$B$16)+(AF104*Settings!$B$17)+(AG104*Settings!$B$18)+(U104*Settings!$B$13)+(Y104*Settings!$B$10)+(Z104*Settings!$B$11),VLOOKUP(B104,'Standard Deviations'!A1:C666,3,FALSE))</f>
        <v>307.13762894048409</v>
      </c>
      <c r="J104" s="52">
        <f>IF(D104="G",I104/AJ104,I104/Q104)</f>
        <v>3.7961576978708291</v>
      </c>
      <c r="K104" s="51">
        <f>VLOOKUP(B104,D!A1:F213,6,FALSE)</f>
        <v>-29.096496105110816</v>
      </c>
      <c r="L104" s="53">
        <f>IFERROR(K104/H104,"N/A")</f>
        <v>-6.3948343088155646</v>
      </c>
      <c r="M104" s="54">
        <f>IF(Settings!$E$9="YAHOO",VLOOKUP(B104,ADP!A1:E665,2,FALSE),IF(Settings!$E$9="ESPN",VLOOKUP(B104,ADP!A1:E665,3,FALSE),IF(Settings!$E$9="FANTRAX",VLOOKUP(B104,ADP!A1:E665,4,FALSE),VLOOKUP(B104,ADP!A1:E665,5,FALSE))))</f>
        <v>165.5</v>
      </c>
      <c r="N104" s="54">
        <f>IFERROR(M104-A104,"N/A")</f>
        <v>62.5</v>
      </c>
      <c r="O104" s="54"/>
      <c r="P104" s="55" t="str">
        <f>IF(Settings!$E$27="ON",VLOOKUP(B104,ADP!A1:H665,8,FALSE)," ")</f>
        <v xml:space="preserve"> </v>
      </c>
      <c r="Q104" s="56">
        <f>IF(Settings!$E$12="YES",VLOOKUP(B104,'Player Data'!A1:E667,5,FALSE),82)</f>
        <v>80.907499999999999</v>
      </c>
      <c r="R104" s="54">
        <f>VLOOKUP(B104,'Player Data'!$A1:$AE667,6,FALSE)</f>
        <v>23.668466175428001</v>
      </c>
      <c r="S104" s="56">
        <f>VLOOKUP(B104,'Player Data'!$A1:$AE667,7,FALSE)*$Q104*IFERROR((VLOOKUP(P104,Settings!$E$28:$F$33,2,FALSE)+1),1)</f>
        <v>8.5496790974923087</v>
      </c>
      <c r="T104" s="56">
        <f>VLOOKUP(B104,'Player Data'!$A1:$AE667,8,FALSE)*$Q104*IFERROR((VLOOKUP(P104,Settings!$E$28:$F$33,2,FALSE)+1),1)</f>
        <v>35.02975680775112</v>
      </c>
      <c r="U104" s="56">
        <f>SUM(S104:T104)</f>
        <v>43.579435905243429</v>
      </c>
      <c r="V104" s="56">
        <f>VLOOKUP(B104,'Player Data'!$A1:$AE667,10,FALSE)*$Q104*IFERROR(((VLOOKUP(P104,Settings!$E$28:$F$33,2,FALSE)/2)+1),1)</f>
        <v>158.05885656738425</v>
      </c>
      <c r="W104" s="56">
        <f>VLOOKUP(B104,'Player Data'!$A1:$AE667,11,FALSE)*$Q104*IFERROR((VLOOKUP(P104,Settings!$E$28:$F$33,2,FALSE)+1),1)</f>
        <v>0.72313377312165439</v>
      </c>
      <c r="X104" s="56">
        <f>VLOOKUP(B104,'Player Data'!$A1:$AE667,12,FALSE)*$Q104*IFERROR((VLOOKUP(P104,Settings!$E$28:$F$33,2,FALSE)+1),1)</f>
        <v>11.803666145967155</v>
      </c>
      <c r="Y104" s="56">
        <f>VLOOKUP(B104,'Player Data'!$A1:$AE667,13,FALSE)*$Q104</f>
        <v>0.76754989028988285</v>
      </c>
      <c r="Z104" s="56">
        <f>VLOOKUP(B104,'Player Data'!$A1:$AE667,14,FALSE)*$Q104</f>
        <v>1.3117177608969692</v>
      </c>
      <c r="AA104" s="56">
        <f>VLOOKUP(B104,'Player Data'!$A1:$AE667,15,FALSE)*$Q104</f>
        <v>168.50901806839508</v>
      </c>
      <c r="AB104" s="56">
        <f>VLOOKUP(B104,'Player Data'!$A1:$AE667,16,FALSE)*$Q104</f>
        <v>58.41821456037232</v>
      </c>
      <c r="AC104" s="56">
        <f>VLOOKUP(B104,'Player Data'!$A1:$AE667,17,FALSE)*$Q104*IFERROR((VLOOKUP(P104,Settings!$E$28:$F$33,2,FALSE)+1),1)</f>
        <v>-3.3321332105665955</v>
      </c>
      <c r="AD104" s="56">
        <f>VLOOKUP(B104,'Player Data'!$A1:$AE667,18,FALSE)*$Q104</f>
        <v>35.408303079174757</v>
      </c>
      <c r="AE104" s="56">
        <f>VLOOKUP(B104,'Player Data'!$A1:$AE667,19,FALSE)*$Q104*IFERROR((VLOOKUP(P104,Settings!$E$28:$F$33,2,FALSE)+1),1)</f>
        <v>1.2421296829318174</v>
      </c>
      <c r="AF104" s="56">
        <f>VLOOKUP(B104,'Player Data'!$A1:$AE667,20,FALSE)*$Q104</f>
        <v>0</v>
      </c>
      <c r="AG104" s="56">
        <f>VLOOKUP(B104,'Player Data'!$A1:$AE667,21,FALSE)*$Q104</f>
        <v>0</v>
      </c>
      <c r="AH104" s="58">
        <f>VLOOKUP(B104,'Player Data'!$A1:$AE667,22,FALSE)</f>
        <v>0</v>
      </c>
      <c r="AI104" s="54"/>
      <c r="AJ104" s="56"/>
      <c r="AK104" s="56"/>
      <c r="AL104" s="56"/>
      <c r="AM104" s="56"/>
      <c r="AN104" s="56"/>
      <c r="AO104" s="56"/>
      <c r="AP104" s="56"/>
      <c r="AQ104" s="59"/>
      <c r="AR104" s="60"/>
      <c r="AS104" s="54"/>
    </row>
    <row r="105" spans="1:45" ht="21.25" customHeight="1" x14ac:dyDescent="0.15">
      <c r="A105" s="45">
        <f>RANK(K105,K$1:K$665)</f>
        <v>104</v>
      </c>
      <c r="B105" s="9" t="s">
        <v>230</v>
      </c>
      <c r="C105" s="46" t="s">
        <v>127</v>
      </c>
      <c r="D105" s="47" t="str">
        <f>VLOOKUP(B105,'Player Data'!A1:D667,4,FALSE)</f>
        <v>D</v>
      </c>
      <c r="E105" s="66">
        <f>VLOOKUP(B105,D!A1:C213,3,FALSE)</f>
        <v>25</v>
      </c>
      <c r="F105" s="55" t="str">
        <f>VLOOKUP(B105,'Player Data'!A1:B667,2,FALSE)</f>
        <v>VGK</v>
      </c>
      <c r="G105" s="10">
        <f>VLOOKUP(B105,'Player Data'!A1:D667,3,FALSE)</f>
        <v>27</v>
      </c>
      <c r="H105" s="50">
        <f>IFERROR(VLOOKUP(B105,ADP!A1:G665,7,FALSE)/1000000,VLOOKUP(B105,ADP!A1:G665,7,FALSE))</f>
        <v>7.35</v>
      </c>
      <c r="I105" s="51">
        <f>IF(Settings!$E$15="POINTS",((R105*Q105)*Settings!$B$12)+(S105*Settings!$B$2)+(T105*Settings!$B$3)+(U105*Settings!$B$4)+(V105*Settings!$B$5)+(X105*Settings!$B$9)+(AA105*Settings!$B$6)+(W105*Settings!$B$8)+(AB105*Settings!$B$7)+(AC105*Settings!$B$14)+(AD105*Settings!$B$15)+(AE105*Settings!$B$16)+(AF105*Settings!$B$17)+(AG105*Settings!$B$18)+(U105*Settings!$B$13)+(Y105*Settings!$B$10)+(Z105*Settings!$B$11),VLOOKUP(B105,'Standard Deviations'!A1:C666,3,FALSE))</f>
        <v>306.49186373568489</v>
      </c>
      <c r="J105" s="52">
        <f>IF(D105="G",I105/AJ105,I105/Q105)</f>
        <v>3.7635225017428691</v>
      </c>
      <c r="K105" s="51">
        <f>VLOOKUP(B105,D!A1:F213,6,FALSE)</f>
        <v>-29.74226130991002</v>
      </c>
      <c r="L105" s="53">
        <f>IFERROR(K105/H105,"N/A")</f>
        <v>-4.0465661646136084</v>
      </c>
      <c r="M105" s="54">
        <f>IF(Settings!$E$9="YAHOO",VLOOKUP(B105,ADP!A1:E665,2,FALSE),IF(Settings!$E$9="ESPN",VLOOKUP(B105,ADP!A1:E665,3,FALSE),IF(Settings!$E$9="FANTRAX",VLOOKUP(B105,ADP!A1:E665,4,FALSE),VLOOKUP(B105,ADP!A1:E665,5,FALSE))))</f>
        <v>114.4</v>
      </c>
      <c r="N105" s="54">
        <f>IFERROR(M105-A105,"N/A")</f>
        <v>10.400000000000006</v>
      </c>
      <c r="O105" s="54"/>
      <c r="P105" s="55" t="str">
        <f>IF(Settings!$E$27="ON",VLOOKUP(B105,ADP!A1:H665,8,FALSE)," ")</f>
        <v xml:space="preserve"> </v>
      </c>
      <c r="Q105" s="56">
        <f>IF(Settings!$E$12="YES",VLOOKUP(B105,'Player Data'!A1:E667,5,FALSE),82)</f>
        <v>81.4375</v>
      </c>
      <c r="R105" s="54">
        <f>VLOOKUP(B105,'Player Data'!$A1:$AE667,6,FALSE)</f>
        <v>23.574048039084602</v>
      </c>
      <c r="S105" s="56">
        <f>VLOOKUP(B105,'Player Data'!$A1:$AE667,7,FALSE)*$Q105*IFERROR((VLOOKUP(P105,Settings!$E$28:$F$33,2,FALSE)+1),1)</f>
        <v>10.846708597948171</v>
      </c>
      <c r="T105" s="56">
        <f>VLOOKUP(B105,'Player Data'!$A1:$AE667,8,FALSE)*$Q105*IFERROR((VLOOKUP(P105,Settings!$E$28:$F$33,2,FALSE)+1),1)</f>
        <v>36.56098159445623</v>
      </c>
      <c r="U105" s="56">
        <f>SUM(S105:T105)</f>
        <v>47.407690192404402</v>
      </c>
      <c r="V105" s="56">
        <f>VLOOKUP(B105,'Player Data'!$A1:$AE667,10,FALSE)*$Q105*IFERROR(((VLOOKUP(P105,Settings!$E$28:$F$33,2,FALSE)/2)+1),1)</f>
        <v>175.64098326491504</v>
      </c>
      <c r="W105" s="56">
        <f>VLOOKUP(B105,'Player Data'!$A1:$AE667,11,FALSE)*$Q105*IFERROR((VLOOKUP(P105,Settings!$E$28:$F$33,2,FALSE)+1),1)</f>
        <v>2.8293398866483868</v>
      </c>
      <c r="X105" s="56">
        <f>VLOOKUP(B105,'Player Data'!$A1:$AE667,12,FALSE)*$Q105*IFERROR((VLOOKUP(P105,Settings!$E$28:$F$33,2,FALSE)+1),1)</f>
        <v>11.747947731684986</v>
      </c>
      <c r="Y105" s="56">
        <f>VLOOKUP(B105,'Player Data'!$A1:$AE667,13,FALSE)*$Q105</f>
        <v>2.6683156592347587E-2</v>
      </c>
      <c r="Z105" s="56">
        <f>VLOOKUP(B105,'Player Data'!$A1:$AE667,14,FALSE)*$Q105</f>
        <v>1.2275150937100161</v>
      </c>
      <c r="AA105" s="56">
        <f>VLOOKUP(B105,'Player Data'!$A1:$AE667,15,FALSE)*$Q105</f>
        <v>126.9456774012384</v>
      </c>
      <c r="AB105" s="56">
        <f>VLOOKUP(B105,'Player Data'!$A1:$AE667,16,FALSE)*$Q105</f>
        <v>73.804058230186129</v>
      </c>
      <c r="AC105" s="56">
        <f>VLOOKUP(B105,'Player Data'!$A1:$AE667,17,FALSE)*$Q105*IFERROR((VLOOKUP(P105,Settings!$E$28:$F$33,2,FALSE)+1),1)</f>
        <v>1.5241149817509938</v>
      </c>
      <c r="AD105" s="56">
        <f>VLOOKUP(B105,'Player Data'!$A1:$AE667,18,FALSE)*$Q105</f>
        <v>30.927368938625794</v>
      </c>
      <c r="AE105" s="56">
        <f>VLOOKUP(B105,'Player Data'!$A1:$AE667,19,FALSE)*$Q105*IFERROR((VLOOKUP(P105,Settings!$E$28:$F$33,2,FALSE)+1),1)</f>
        <v>1.6497983587214728</v>
      </c>
      <c r="AF105" s="56">
        <f>VLOOKUP(B105,'Player Data'!$A1:$AE667,20,FALSE)*$Q105</f>
        <v>0</v>
      </c>
      <c r="AG105" s="56">
        <f>VLOOKUP(B105,'Player Data'!$A1:$AE667,21,FALSE)*$Q105</f>
        <v>0</v>
      </c>
      <c r="AH105" s="58">
        <f>VLOOKUP(B105,'Player Data'!$A1:$AE667,22,FALSE)</f>
        <v>0</v>
      </c>
      <c r="AI105" s="54"/>
      <c r="AJ105" s="64"/>
      <c r="AK105" s="56"/>
      <c r="AL105" s="56"/>
      <c r="AM105" s="56"/>
      <c r="AN105" s="56"/>
      <c r="AO105" s="56"/>
      <c r="AP105" s="56"/>
      <c r="AQ105" s="59"/>
      <c r="AR105" s="60"/>
      <c r="AS105" s="54"/>
    </row>
    <row r="106" spans="1:45" ht="21.25" customHeight="1" x14ac:dyDescent="0.15">
      <c r="A106" s="45">
        <f>RANK(K106,K$1:K$665)</f>
        <v>105</v>
      </c>
      <c r="B106" s="9" t="s">
        <v>231</v>
      </c>
      <c r="C106" s="46" t="s">
        <v>127</v>
      </c>
      <c r="D106" s="47" t="str">
        <f>VLOOKUP(B106,'Player Data'!A1:D667,4,FALSE)</f>
        <v>LW/RW</v>
      </c>
      <c r="E106" s="68">
        <f>VLOOKUP(B106,RW!A1:C136,3,FALSE)</f>
        <v>29</v>
      </c>
      <c r="F106" s="80" t="str">
        <f>VLOOKUP(B106,'Player Data'!A1:B667,2,FALSE)</f>
        <v>PHI</v>
      </c>
      <c r="G106" s="10">
        <f>VLOOKUP(B106,'Player Data'!A1:D667,3,FALSE)</f>
        <v>25</v>
      </c>
      <c r="H106" s="50">
        <f>IFERROR(VLOOKUP(B106,ADP!A1:G665,7,FALSE)/1000000,VLOOKUP(B106,ADP!A1:G665,7,FALSE))</f>
        <v>6.2</v>
      </c>
      <c r="I106" s="51">
        <f>IF(Settings!$E$15="POINTS",((R106*Q106)*Settings!$B$12)+(S106*Settings!$B$2)+(T106*Settings!$B$3)+(U106*Settings!$B$4)+(V106*Settings!$B$5)+(X106*Settings!$B$9)+(AA106*Settings!$B$6)+(W106*Settings!$B$8)+(AB106*Settings!$B$7)+(AC106*Settings!$B$14)+(AD106*Settings!$B$15)+(AE106*Settings!$B$16)+(AF106*Settings!$B$17)+(AG106*Settings!$B$18)+(Y106*Settings!$B$10)+(Z106*Settings!$B$11),VLOOKUP(B106,'Standard Deviations'!A1:C666,3,FALSE))</f>
        <v>338.79853884258853</v>
      </c>
      <c r="J106" s="52">
        <f>IF(D106="G",I106/AJ106,I106/Q106)</f>
        <v>4.303159925603639</v>
      </c>
      <c r="K106" s="51">
        <f>IF(Settings!$E$18="C/LW/RW",VLOOKUP(B106,RW!A1:F136,6,FALSE),VLOOKUP(B106,F!A1:F392,6,FALSE))</f>
        <v>-30.049184263703864</v>
      </c>
      <c r="L106" s="53">
        <f>IFERROR(K106/H106,"N/A")</f>
        <v>-4.8466426231780426</v>
      </c>
      <c r="M106" s="54">
        <f>IF(Settings!$E$9="YAHOO",VLOOKUP(B106,ADP!A1:E665,2,FALSE),IF(Settings!$E$9="ESPN",VLOOKUP(B106,ADP!A1:E665,3,FALSE),IF(Settings!$E$9="FANTRAX",VLOOKUP(B106,ADP!A1:E665,4,FALSE),VLOOKUP(B106,ADP!A1:E665,5,FALSE))))</f>
        <v>73.8</v>
      </c>
      <c r="N106" s="54">
        <f>IFERROR(M106-A106,"N/A")</f>
        <v>-31.200000000000003</v>
      </c>
      <c r="O106" s="54"/>
      <c r="P106" s="55" t="str">
        <f>IF(Settings!$E$27="ON",VLOOKUP(B106,ADP!A1:H665,8,FALSE)," ")</f>
        <v xml:space="preserve"> </v>
      </c>
      <c r="Q106" s="56">
        <f>IF(Settings!$E$12="YES",VLOOKUP(B106,'Player Data'!A1:E667,5,FALSE),82)</f>
        <v>78.732500000000002</v>
      </c>
      <c r="R106" s="54">
        <f>VLOOKUP(B106,'Player Data'!$A1:$AE667,6,FALSE)</f>
        <v>17.4747066562133</v>
      </c>
      <c r="S106" s="56">
        <f>VLOOKUP(B106,'Player Data'!$A1:$AE667,7,FALSE)*$Q106*IFERROR((VLOOKUP(P106,Settings!$E$28:$F$33,2,FALSE)+1),1)</f>
        <v>27.827232674309901</v>
      </c>
      <c r="T106" s="56">
        <f>VLOOKUP(B106,'Player Data'!$A1:$AE667,8,FALSE)*$Q106*IFERROR((VLOOKUP(P106,Settings!$E$28:$F$33,2,FALSE)+1),1)</f>
        <v>27.029351825936001</v>
      </c>
      <c r="U106" s="56">
        <f>SUM(S106:T106)</f>
        <v>54.856584500245901</v>
      </c>
      <c r="V106" s="56">
        <f>VLOOKUP(B106,'Player Data'!$A1:$AE667,10,FALSE)*$Q106*IFERROR(((VLOOKUP(P106,Settings!$E$28:$F$33,2,FALSE)/2)+1),1)</f>
        <v>273.61066048534195</v>
      </c>
      <c r="W106" s="56">
        <f>VLOOKUP(B106,'Player Data'!$A1:$AE667,11,FALSE)*$Q106*IFERROR((VLOOKUP(P106,Settings!$E$28:$F$33,2,FALSE)+1),1)</f>
        <v>6.2558165539669979</v>
      </c>
      <c r="X106" s="78">
        <f>VLOOKUP(B106,'Player Data'!$A1:$AE667,12,FALSE)*$Q106*IFERROR((VLOOKUP(P106,Settings!$E$28:$F$33,2,FALSE)+1),1)</f>
        <v>11.207949319853414</v>
      </c>
      <c r="Y106" s="56">
        <f>VLOOKUP(B106,'Player Data'!$A1:$AE667,13,FALSE)*$Q106</f>
        <v>8.7332473439195452E-3</v>
      </c>
      <c r="Z106" s="56">
        <f>VLOOKUP(B106,'Player Data'!$A1:$AE667,14,FALSE)*$Q106</f>
        <v>1.4767362124446329E-2</v>
      </c>
      <c r="AA106" s="56">
        <f>VLOOKUP(B106,'Player Data'!$A1:$AE667,15,FALSE)*$Q106</f>
        <v>52.401476834403823</v>
      </c>
      <c r="AB106" s="56">
        <f>VLOOKUP(B106,'Player Data'!$A1:$AE667,16,FALSE)*$Q106</f>
        <v>138.79470492572798</v>
      </c>
      <c r="AC106" s="56">
        <f>VLOOKUP(B106,'Player Data'!$A1:$AE667,17,FALSE)*$Q106*IFERROR((VLOOKUP(P106,Settings!$E$28:$F$33,2,FALSE)+1),1)</f>
        <v>-2.6053920515366187</v>
      </c>
      <c r="AD106" s="56">
        <f>VLOOKUP(B106,'Player Data'!$A1:$AE667,18,FALSE)*$Q106</f>
        <v>18.932630141711225</v>
      </c>
      <c r="AE106" s="56">
        <f>VLOOKUP(B106,'Player Data'!$A1:$AE667,19,FALSE)*$Q106*IFERROR((VLOOKUP(P106,Settings!$E$28:$F$33,2,FALSE)+1),1)</f>
        <v>4.0335442140136655</v>
      </c>
      <c r="AF106" s="56">
        <f>VLOOKUP(B106,'Player Data'!$A1:$AE667,20,FALSE)*$Q106</f>
        <v>24.454981744304497</v>
      </c>
      <c r="AG106" s="56">
        <f>VLOOKUP(B106,'Player Data'!$A1:$AE667,21,FALSE)*$Q106</f>
        <v>24.830053332197092</v>
      </c>
      <c r="AH106" s="58">
        <f>VLOOKUP(B106,'Player Data'!$A1:$AE667,22,FALSE)</f>
        <v>0.49619487348126601</v>
      </c>
      <c r="AI106" s="54"/>
      <c r="AJ106" s="56"/>
      <c r="AK106" s="56"/>
      <c r="AL106" s="56"/>
      <c r="AM106" s="56"/>
      <c r="AN106" s="56"/>
      <c r="AO106" s="56"/>
      <c r="AP106" s="56"/>
      <c r="AQ106" s="59"/>
      <c r="AR106" s="60"/>
      <c r="AS106" s="54"/>
    </row>
    <row r="107" spans="1:45" ht="21.25" customHeight="1" x14ac:dyDescent="0.15">
      <c r="A107" s="45">
        <f>RANK(K107,K$1:K$665)</f>
        <v>106</v>
      </c>
      <c r="B107" s="9" t="s">
        <v>232</v>
      </c>
      <c r="C107" s="46" t="s">
        <v>127</v>
      </c>
      <c r="D107" s="47" t="str">
        <f>VLOOKUP(B107,'Player Data'!A1:D667,4,FALSE)</f>
        <v>D</v>
      </c>
      <c r="E107" s="66">
        <f>VLOOKUP(B107,D!A1:C213,3,FALSE)</f>
        <v>26</v>
      </c>
      <c r="F107" s="77" t="str">
        <f>VLOOKUP(B107,'Player Data'!A1:B667,2,FALSE)</f>
        <v>STL</v>
      </c>
      <c r="G107" s="63">
        <f>VLOOKUP(B107,'Player Data'!A1:D667,3,FALSE)</f>
        <v>32</v>
      </c>
      <c r="H107" s="50">
        <f>IFERROR(VLOOKUP(B107,ADP!A1:G665,7,FALSE)/1000000,VLOOKUP(B107,ADP!A1:G665,7,FALSE))</f>
        <v>6.5</v>
      </c>
      <c r="I107" s="51">
        <f>IF(Settings!$E$15="POINTS",((R107*Q107)*Settings!$B$12)+(S107*Settings!$B$2)+(T107*Settings!$B$3)+(U107*Settings!$B$4)+(V107*Settings!$B$5)+(X107*Settings!$B$9)+(AA107*Settings!$B$6)+(W107*Settings!$B$8)+(AB107*Settings!$B$7)+(AC107*Settings!$B$14)+(AD107*Settings!$B$15)+(AE107*Settings!$B$16)+(AF107*Settings!$B$17)+(AG107*Settings!$B$18)+(U107*Settings!$B$13)+(Y107*Settings!$B$10)+(Z107*Settings!$B$11),VLOOKUP(B107,'Standard Deviations'!A1:C666,3,FALSE))</f>
        <v>304.82215798324239</v>
      </c>
      <c r="J107" s="52">
        <f>IF(D107="G",I107/AJ107,I107/Q107)</f>
        <v>3.9319207737277311</v>
      </c>
      <c r="K107" s="51">
        <f>VLOOKUP(B107,D!A1:F213,6,FALSE)</f>
        <v>-31.411967062352517</v>
      </c>
      <c r="L107" s="53">
        <f>IFERROR(K107/H107,"N/A")</f>
        <v>-4.8326103172850026</v>
      </c>
      <c r="M107" s="54">
        <f>IF(Settings!$E$9="YAHOO",VLOOKUP(B107,ADP!A1:E665,2,FALSE),IF(Settings!$E$9="ESPN",VLOOKUP(B107,ADP!A1:E665,3,FALSE),IF(Settings!$E$9="FANTRAX",VLOOKUP(B107,ADP!A1:E665,4,FALSE),VLOOKUP(B107,ADP!A1:E665,5,FALSE))))</f>
        <v>171.5</v>
      </c>
      <c r="N107" s="54">
        <f>IFERROR(M107-A107,"N/A")</f>
        <v>65.5</v>
      </c>
      <c r="O107" s="54"/>
      <c r="P107" s="55" t="str">
        <f>IF(Settings!$E$27="ON",VLOOKUP(B107,ADP!A1:H665,8,FALSE)," ")</f>
        <v xml:space="preserve"> </v>
      </c>
      <c r="Q107" s="56">
        <f>IF(Settings!$E$12="YES",VLOOKUP(B107,'Player Data'!A1:E667,5,FALSE),82)</f>
        <v>77.525000000000006</v>
      </c>
      <c r="R107" s="75">
        <f>VLOOKUP(B107,'Player Data'!$A1:$AE667,6,FALSE)</f>
        <v>23.0847739339676</v>
      </c>
      <c r="S107" s="56">
        <f>VLOOKUP(B107,'Player Data'!$A1:$AE667,7,FALSE)*$Q107*IFERROR((VLOOKUP(P107,Settings!$E$28:$F$33,2,FALSE)+1),1)</f>
        <v>9.2835152002698553</v>
      </c>
      <c r="T107" s="56">
        <f>VLOOKUP(B107,'Player Data'!$A1:$AE667,8,FALSE)*$Q107*IFERROR((VLOOKUP(P107,Settings!$E$28:$F$33,2,FALSE)+1),1)</f>
        <v>37.006029920194322</v>
      </c>
      <c r="U107" s="56">
        <f>SUM(S107:T107)</f>
        <v>46.289545120464176</v>
      </c>
      <c r="V107" s="56">
        <f>VLOOKUP(B107,'Player Data'!$A1:$AE667,10,FALSE)*$Q107*IFERROR(((VLOOKUP(P107,Settings!$E$28:$F$33,2,FALSE)/2)+1),1)</f>
        <v>176.93738778647187</v>
      </c>
      <c r="W107" s="56">
        <f>VLOOKUP(B107,'Player Data'!$A1:$AE667,11,FALSE)*$Q107*IFERROR((VLOOKUP(P107,Settings!$E$28:$F$33,2,FALSE)+1),1)</f>
        <v>2.1730251397555822</v>
      </c>
      <c r="X107" s="78">
        <f>VLOOKUP(B107,'Player Data'!$A1:$AE667,12,FALSE)*$Q107*IFERROR((VLOOKUP(P107,Settings!$E$28:$F$33,2,FALSE)+1),1)</f>
        <v>12.92465471786784</v>
      </c>
      <c r="Y107" s="56">
        <f>VLOOKUP(B107,'Player Data'!$A1:$AE667,13,FALSE)*$Q107</f>
        <v>2.7830958660866503E-2</v>
      </c>
      <c r="Z107" s="56">
        <f>VLOOKUP(B107,'Player Data'!$A1:$AE667,14,FALSE)*$Q107</f>
        <v>0.51554900146167826</v>
      </c>
      <c r="AA107" s="56">
        <f>VLOOKUP(B107,'Player Data'!$A1:$AE667,15,FALSE)*$Q107</f>
        <v>128.08925001856883</v>
      </c>
      <c r="AB107" s="56">
        <f>VLOOKUP(B107,'Player Data'!$A1:$AE667,16,FALSE)*$Q107</f>
        <v>105.27742022644985</v>
      </c>
      <c r="AC107" s="56">
        <f>VLOOKUP(B107,'Player Data'!$A1:$AE667,17,FALSE)*$Q107*IFERROR((VLOOKUP(P107,Settings!$E$28:$F$33,2,FALSE)+1),1)</f>
        <v>-4.1557297943354206</v>
      </c>
      <c r="AD107" s="56">
        <f>VLOOKUP(B107,'Player Data'!$A1:$AE667,18,FALSE)*$Q107</f>
        <v>34.683082602443051</v>
      </c>
      <c r="AE107" s="56">
        <f>VLOOKUP(B107,'Player Data'!$A1:$AE667,19,FALSE)*$Q107*IFERROR((VLOOKUP(P107,Settings!$E$28:$F$33,2,FALSE)+1),1)</f>
        <v>1.1176803955847945</v>
      </c>
      <c r="AF107" s="56">
        <f>VLOOKUP(B107,'Player Data'!$A1:$AE667,20,FALSE)*$Q107</f>
        <v>0</v>
      </c>
      <c r="AG107" s="56">
        <f>VLOOKUP(B107,'Player Data'!$A1:$AE667,21,FALSE)*$Q107</f>
        <v>0</v>
      </c>
      <c r="AH107" s="58">
        <f>VLOOKUP(B107,'Player Data'!$A1:$AE667,22,FALSE)</f>
        <v>0</v>
      </c>
      <c r="AI107" s="54"/>
      <c r="AJ107" s="56"/>
      <c r="AK107" s="56"/>
      <c r="AL107" s="56"/>
      <c r="AM107" s="56"/>
      <c r="AN107" s="56"/>
      <c r="AO107" s="56"/>
      <c r="AP107" s="56"/>
      <c r="AQ107" s="59"/>
      <c r="AR107" s="60"/>
      <c r="AS107" s="64"/>
    </row>
    <row r="108" spans="1:45" ht="21.25" customHeight="1" x14ac:dyDescent="0.15">
      <c r="A108" s="45">
        <f>RANK(K108,K$1:K$665)</f>
        <v>107</v>
      </c>
      <c r="B108" s="9" t="s">
        <v>233</v>
      </c>
      <c r="C108" s="46" t="s">
        <v>127</v>
      </c>
      <c r="D108" s="47" t="str">
        <f>VLOOKUP(B108,'Player Data'!A1:D667,4,FALSE)</f>
        <v>C</v>
      </c>
      <c r="E108" s="48">
        <f>VLOOKUP(B108,'C'!A1:C206,3,FALSE)</f>
        <v>36</v>
      </c>
      <c r="F108" s="72" t="str">
        <f>VLOOKUP(B108,'Player Data'!A1:B667,2,FALSE)</f>
        <v>MIN</v>
      </c>
      <c r="G108" s="10">
        <f>VLOOKUP(B108,'Player Data'!A1:D667,3,FALSE)</f>
        <v>27</v>
      </c>
      <c r="H108" s="50">
        <f>IFERROR(VLOOKUP(B108,ADP!A1:G665,7,FALSE)/1000000,VLOOKUP(B108,ADP!A1:G665,7,FALSE))</f>
        <v>5.25</v>
      </c>
      <c r="I108" s="51">
        <f>IF(Settings!$E$15="POINTS",((R108*Q108)*Settings!$B$12)+(S108*Settings!$B$2)+(T108*Settings!$B$3)+(U108*Settings!$B$4)+(V108*Settings!$B$5)+(X108*Settings!$B$9)+(AA108*Settings!$B$6)+(W108*Settings!$B$8)+(AB108*Settings!$B$7)+(AC108*Settings!$B$14)+(AD108*Settings!$B$15)+(AE108*Settings!$B$16)+(AF108*Settings!$B$17)+(AG108*Settings!$B$18)+(Y108*Settings!$B$10)+(Z108*Settings!$B$11),VLOOKUP(B108,'Standard Deviations'!A1:C666,3,FALSE))</f>
        <v>358.41265279674332</v>
      </c>
      <c r="J108" s="52">
        <f>IF(D108="G",I108/AJ108,I108/Q108)</f>
        <v>4.4749839597558241</v>
      </c>
      <c r="K108" s="51">
        <f>IF(Settings!$E$18="C/LW/RW",VLOOKUP(B108,'C'!A1:F206,6,FALSE),VLOOKUP(B108,F!A1:F392,6,FALSE))</f>
        <v>-31.52450498133777</v>
      </c>
      <c r="L108" s="53">
        <f>IFERROR(K108/H108,"N/A")</f>
        <v>-6.0046676154929086</v>
      </c>
      <c r="M108" s="54">
        <f>IF(Settings!$E$9="YAHOO",VLOOKUP(B108,ADP!A1:E665,2,FALSE),IF(Settings!$E$9="ESPN",VLOOKUP(B108,ADP!A1:E665,3,FALSE),IF(Settings!$E$9="FANTRAX",VLOOKUP(B108,ADP!A1:E665,4,FALSE),VLOOKUP(B108,ADP!A1:E665,5,FALSE))))</f>
        <v>62.3</v>
      </c>
      <c r="N108" s="54">
        <f>IFERROR(M108-A108,"N/A")</f>
        <v>-44.7</v>
      </c>
      <c r="O108" s="54"/>
      <c r="P108" s="55" t="str">
        <f>IF(Settings!$E$27="ON",VLOOKUP(B108,ADP!A1:H665,8,FALSE)," ")</f>
        <v xml:space="preserve"> </v>
      </c>
      <c r="Q108" s="56">
        <f>IF(Settings!$E$12="YES",VLOOKUP(B108,'Player Data'!A1:E667,5,FALSE),82)</f>
        <v>80.092500000000001</v>
      </c>
      <c r="R108" s="54">
        <f>VLOOKUP(B108,'Player Data'!$A1:$AE667,6,FALSE)</f>
        <v>19.609456977109399</v>
      </c>
      <c r="S108" s="56">
        <f>VLOOKUP(B108,'Player Data'!$A1:$AE667,7,FALSE)*$Q108*IFERROR((VLOOKUP(P108,Settings!$E$28:$F$33,2,FALSE)+1),1)</f>
        <v>26.555020081231472</v>
      </c>
      <c r="T108" s="56">
        <f>VLOOKUP(B108,'Player Data'!$A1:$AE667,8,FALSE)*$Q108*IFERROR((VLOOKUP(P108,Settings!$E$28:$F$33,2,FALSE)+1),1)</f>
        <v>34.273285276632748</v>
      </c>
      <c r="U108" s="56">
        <f>SUM(S108:T108)</f>
        <v>60.828305357864224</v>
      </c>
      <c r="V108" s="56">
        <f>VLOOKUP(B108,'Player Data'!$A1:$AE667,10,FALSE)*$Q108*IFERROR(((VLOOKUP(P108,Settings!$E$28:$F$33,2,FALSE)/2)+1),1)</f>
        <v>253.94392064825146</v>
      </c>
      <c r="W108" s="56">
        <f>VLOOKUP(B108,'Player Data'!$A1:$AE667,11,FALSE)*$Q108*IFERROR((VLOOKUP(P108,Settings!$E$28:$F$33,2,FALSE)+1),1)</f>
        <v>11.085389135122462</v>
      </c>
      <c r="X108" s="57">
        <f>VLOOKUP(B108,'Player Data'!$A1:$AE667,12,FALSE)*$Q108*IFERROR((VLOOKUP(P108,Settings!$E$28:$F$33,2,FALSE)+1),1)</f>
        <v>19.785903291041219</v>
      </c>
      <c r="Y108" s="56">
        <f>VLOOKUP(B108,'Player Data'!$A1:$AE667,13,FALSE)*$Q108</f>
        <v>1.0744620943616667</v>
      </c>
      <c r="Z108" s="56">
        <f>VLOOKUP(B108,'Player Data'!$A1:$AE667,14,FALSE)*$Q108</f>
        <v>1.4301508497653865</v>
      </c>
      <c r="AA108" s="56">
        <f>VLOOKUP(B108,'Player Data'!$A1:$AE667,15,FALSE)*$Q108</f>
        <v>55.479444516436601</v>
      </c>
      <c r="AB108" s="56">
        <f>VLOOKUP(B108,'Player Data'!$A1:$AE667,16,FALSE)*$Q108</f>
        <v>149.66893786133289</v>
      </c>
      <c r="AC108" s="56">
        <f>VLOOKUP(B108,'Player Data'!$A1:$AE667,17,FALSE)*$Q108*IFERROR((VLOOKUP(P108,Settings!$E$28:$F$33,2,FALSE)+1),1)</f>
        <v>2.3525504735742242</v>
      </c>
      <c r="AD108" s="56">
        <f>VLOOKUP(B108,'Player Data'!$A1:$AE667,18,FALSE)*$Q108</f>
        <v>43.864867328874773</v>
      </c>
      <c r="AE108" s="56">
        <f>VLOOKUP(B108,'Player Data'!$A1:$AE667,19,FALSE)*$Q108*IFERROR((VLOOKUP(P108,Settings!$E$28:$F$33,2,FALSE)+1),1)</f>
        <v>4.3836795337200503</v>
      </c>
      <c r="AF108" s="56">
        <f>VLOOKUP(B108,'Player Data'!$A1:$AE667,20,FALSE)*$Q108</f>
        <v>774.0191709476162</v>
      </c>
      <c r="AG108" s="56">
        <f>VLOOKUP(B108,'Player Data'!$A1:$AE667,21,FALSE)*$Q108</f>
        <v>802.78479060164648</v>
      </c>
      <c r="AH108" s="58">
        <f>VLOOKUP(B108,'Player Data'!$A1:$AE667,22,FALSE)</f>
        <v>0.49087850476169398</v>
      </c>
      <c r="AI108" s="54"/>
      <c r="AJ108" s="56"/>
      <c r="AK108" s="56"/>
      <c r="AL108" s="56"/>
      <c r="AM108" s="56"/>
      <c r="AN108" s="56"/>
      <c r="AO108" s="56"/>
      <c r="AP108" s="56"/>
      <c r="AQ108" s="59"/>
      <c r="AR108" s="60"/>
      <c r="AS108" s="54"/>
    </row>
    <row r="109" spans="1:45" ht="21.25" customHeight="1" x14ac:dyDescent="0.15">
      <c r="A109" s="45">
        <f>RANK(K109,K$1:K$665)</f>
        <v>108</v>
      </c>
      <c r="B109" s="9" t="s">
        <v>234</v>
      </c>
      <c r="C109" s="46" t="s">
        <v>127</v>
      </c>
      <c r="D109" s="47" t="str">
        <f>VLOOKUP(B109,'Player Data'!A1:D667,4,FALSE)</f>
        <v>LW/RW</v>
      </c>
      <c r="E109" s="68">
        <f>VLOOKUP(B109,RW!A1:C136,3,FALSE)</f>
        <v>30</v>
      </c>
      <c r="F109" s="71" t="str">
        <f>VLOOKUP(B109,'Player Data'!A1:B667,2,FALSE)</f>
        <v>VAN</v>
      </c>
      <c r="G109" s="10">
        <f>VLOOKUP(B109,'Player Data'!A1:D667,3,FALSE)</f>
        <v>27</v>
      </c>
      <c r="H109" s="50">
        <f>IFERROR(VLOOKUP(B109,ADP!A1:G665,7,FALSE)/1000000,VLOOKUP(B109,ADP!A1:G665,7,FALSE))</f>
        <v>5.5</v>
      </c>
      <c r="I109" s="51">
        <f>IF(Settings!$E$15="POINTS",((R109*Q109)*Settings!$B$12)+(S109*Settings!$B$2)+(T109*Settings!$B$3)+(U109*Settings!$B$4)+(V109*Settings!$B$5)+(X109*Settings!$B$9)+(AA109*Settings!$B$6)+(W109*Settings!$B$8)+(AB109*Settings!$B$7)+(AC109*Settings!$B$14)+(AD109*Settings!$B$15)+(AE109*Settings!$B$16)+(AF109*Settings!$B$17)+(AG109*Settings!$B$18)+(Y109*Settings!$B$10)+(Z109*Settings!$B$11),VLOOKUP(B109,'Standard Deviations'!A1:C666,3,FALSE))</f>
        <v>336.02426996003572</v>
      </c>
      <c r="J109" s="52">
        <f>IF(D109="G",I109/AJ109,I109/Q109)</f>
        <v>4.2696857682342531</v>
      </c>
      <c r="K109" s="51">
        <f>IF(Settings!$E$18="C/LW/RW",VLOOKUP(B109,RW!A1:F136,6,FALSE),VLOOKUP(B109,F!A1:F392,6,FALSE))</f>
        <v>-32.823453146256668</v>
      </c>
      <c r="L109" s="53">
        <f>IFERROR(K109/H109,"N/A")</f>
        <v>-5.9679005720466671</v>
      </c>
      <c r="M109" s="54">
        <f>IF(Settings!$E$9="YAHOO",VLOOKUP(B109,ADP!A1:E665,2,FALSE),IF(Settings!$E$9="ESPN",VLOOKUP(B109,ADP!A1:E665,3,FALSE),IF(Settings!$E$9="FANTRAX",VLOOKUP(B109,ADP!A1:E665,4,FALSE),VLOOKUP(B109,ADP!A1:E665,5,FALSE))))</f>
        <v>153.5</v>
      </c>
      <c r="N109" s="54">
        <f>IFERROR(M109-A109,"N/A")</f>
        <v>45.5</v>
      </c>
      <c r="O109" s="54"/>
      <c r="P109" s="55" t="str">
        <f>IF(Settings!$E$27="ON",VLOOKUP(B109,ADP!A1:H665,8,FALSE)," ")</f>
        <v xml:space="preserve"> </v>
      </c>
      <c r="Q109" s="56">
        <f>IF(Settings!$E$12="YES",VLOOKUP(B109,'Player Data'!A1:E667,5,FALSE),82)</f>
        <v>78.7</v>
      </c>
      <c r="R109" s="75">
        <f>VLOOKUP(B109,'Player Data'!$A1:$AE667,6,FALSE)</f>
        <v>18.788566455598598</v>
      </c>
      <c r="S109" s="56">
        <f>VLOOKUP(B109,'Player Data'!$A1:$AE667,7,FALSE)*$Q109*IFERROR((VLOOKUP(P109,Settings!$E$28:$F$33,2,FALSE)+1),1)</f>
        <v>29.863029879252551</v>
      </c>
      <c r="T109" s="56">
        <f>VLOOKUP(B109,'Player Data'!$A1:$AE667,8,FALSE)*$Q109*IFERROR((VLOOKUP(P109,Settings!$E$28:$F$33,2,FALSE)+1),1)</f>
        <v>31.646515506398639</v>
      </c>
      <c r="U109" s="56">
        <f>SUM(S109:T109)</f>
        <v>61.509545385651194</v>
      </c>
      <c r="V109" s="56">
        <f>VLOOKUP(B109,'Player Data'!$A1:$AE667,10,FALSE)*$Q109*IFERROR(((VLOOKUP(P109,Settings!$E$28:$F$33,2,FALSE)/2)+1),1)</f>
        <v>221.33930562745823</v>
      </c>
      <c r="W109" s="56">
        <f>VLOOKUP(B109,'Player Data'!$A1:$AE667,11,FALSE)*$Q109*IFERROR((VLOOKUP(P109,Settings!$E$28:$F$33,2,FALSE)+1),1)</f>
        <v>6.2050580762201371</v>
      </c>
      <c r="X109" s="57">
        <f>VLOOKUP(B109,'Player Data'!$A1:$AE667,12,FALSE)*$Q109*IFERROR((VLOOKUP(P109,Settings!$E$28:$F$33,2,FALSE)+1),1)</f>
        <v>18.046379401848178</v>
      </c>
      <c r="Y109" s="56">
        <f>VLOOKUP(B109,'Player Data'!$A1:$AE667,13,FALSE)*$Q109</f>
        <v>0.45947593517821333</v>
      </c>
      <c r="Z109" s="56">
        <f>VLOOKUP(B109,'Player Data'!$A1:$AE667,14,FALSE)*$Q109</f>
        <v>0.73689837272997949</v>
      </c>
      <c r="AA109" s="56">
        <f>VLOOKUP(B109,'Player Data'!$A1:$AE667,15,FALSE)*$Q109</f>
        <v>44.085406429549778</v>
      </c>
      <c r="AB109" s="56">
        <f>VLOOKUP(B109,'Player Data'!$A1:$AE667,16,FALSE)*$Q109</f>
        <v>108.26491613404463</v>
      </c>
      <c r="AC109" s="56">
        <f>VLOOKUP(B109,'Player Data'!$A1:$AE667,17,FALSE)*$Q109*IFERROR((VLOOKUP(P109,Settings!$E$28:$F$33,2,FALSE)+1),1)</f>
        <v>3.991137185133629</v>
      </c>
      <c r="AD109" s="56">
        <f>VLOOKUP(B109,'Player Data'!$A1:$AE667,18,FALSE)*$Q109</f>
        <v>22.192925751542727</v>
      </c>
      <c r="AE109" s="56">
        <f>VLOOKUP(B109,'Player Data'!$A1:$AE667,19,FALSE)*$Q109*IFERROR((VLOOKUP(P109,Settings!$E$28:$F$33,2,FALSE)+1),1)</f>
        <v>5.0998351398684676</v>
      </c>
      <c r="AF109" s="56">
        <f>VLOOKUP(B109,'Player Data'!$A1:$AE667,20,FALSE)*$Q109</f>
        <v>8.2177823202261262</v>
      </c>
      <c r="AG109" s="56">
        <f>VLOOKUP(B109,'Player Data'!$A1:$AE667,21,FALSE)*$Q109</f>
        <v>16.845687463184021</v>
      </c>
      <c r="AH109" s="58">
        <f>VLOOKUP(B109,'Player Data'!$A1:$AE667,22,FALSE)</f>
        <v>0.32787887675734201</v>
      </c>
      <c r="AI109" s="54"/>
      <c r="AJ109" s="56"/>
      <c r="AK109" s="56"/>
      <c r="AL109" s="56"/>
      <c r="AM109" s="56"/>
      <c r="AN109" s="56"/>
      <c r="AO109" s="56"/>
      <c r="AP109" s="56"/>
      <c r="AQ109" s="59"/>
      <c r="AR109" s="60"/>
      <c r="AS109" s="54"/>
    </row>
    <row r="110" spans="1:45" ht="21.25" customHeight="1" x14ac:dyDescent="0.15">
      <c r="A110" s="45">
        <f>RANK(K110,K$1:K$665)</f>
        <v>109</v>
      </c>
      <c r="B110" s="9" t="s">
        <v>235</v>
      </c>
      <c r="C110" s="46" t="s">
        <v>127</v>
      </c>
      <c r="D110" s="47" t="str">
        <f>VLOOKUP(B110,'Player Data'!A1:D667,4,FALSE)</f>
        <v>D</v>
      </c>
      <c r="E110" s="66">
        <f>VLOOKUP(B110,D!A1:C213,3,FALSE)</f>
        <v>27</v>
      </c>
      <c r="F110" s="55" t="str">
        <f>VLOOKUP(B110,'Player Data'!A1:B667,2,FALSE)</f>
        <v>VGK</v>
      </c>
      <c r="G110" s="63">
        <f>VLOOKUP(B110,'Player Data'!A1:D667,3,FALSE)</f>
        <v>34</v>
      </c>
      <c r="H110" s="50">
        <f>IFERROR(VLOOKUP(B110,ADP!A1:G665,7,FALSE)/1000000,VLOOKUP(B110,ADP!A1:G665,7,FALSE))</f>
        <v>8.8000000000000007</v>
      </c>
      <c r="I110" s="51">
        <f>IF(Settings!$E$15="POINTS",((R110*Q110)*Settings!$B$12)+(S110*Settings!$B$2)+(T110*Settings!$B$3)+(U110*Settings!$B$4)+(V110*Settings!$B$5)+(X110*Settings!$B$9)+(AA110*Settings!$B$6)+(W110*Settings!$B$8)+(AB110*Settings!$B$7)+(AC110*Settings!$B$14)+(AD110*Settings!$B$15)+(AE110*Settings!$B$16)+(AF110*Settings!$B$17)+(AG110*Settings!$B$18)+(U110*Settings!$B$13)+(Y110*Settings!$B$10)+(Z110*Settings!$B$11),VLOOKUP(B110,'Standard Deviations'!A1:C666,3,FALSE))</f>
        <v>302.56637916142898</v>
      </c>
      <c r="J110" s="52">
        <f>IF(D110="G",I110/AJ110,I110/Q110)</f>
        <v>3.9092526136041732</v>
      </c>
      <c r="K110" s="51">
        <f>VLOOKUP(B110,D!A1:F213,6,FALSE)</f>
        <v>-33.667745884165925</v>
      </c>
      <c r="L110" s="53">
        <f>IFERROR(K110/H110,"N/A")</f>
        <v>-3.8258802141097639</v>
      </c>
      <c r="M110" s="54">
        <f>IF(Settings!$E$9="YAHOO",VLOOKUP(B110,ADP!A1:E665,2,FALSE),IF(Settings!$E$9="ESPN",VLOOKUP(B110,ADP!A1:E665,3,FALSE),IF(Settings!$E$9="FANTRAX",VLOOKUP(B110,ADP!A1:E665,4,FALSE),VLOOKUP(B110,ADP!A1:E665,5,FALSE))))</f>
        <v>142.6</v>
      </c>
      <c r="N110" s="54">
        <f>IFERROR(M110-A110,"N/A")</f>
        <v>33.599999999999994</v>
      </c>
      <c r="O110" s="54"/>
      <c r="P110" s="55" t="str">
        <f>IF(Settings!$E$27="ON",VLOOKUP(B110,ADP!A1:H665,8,FALSE)," ")</f>
        <v xml:space="preserve"> </v>
      </c>
      <c r="Q110" s="56">
        <f>IF(Settings!$E$12="YES",VLOOKUP(B110,'Player Data'!A1:E667,5,FALSE),82)</f>
        <v>77.397499999999994</v>
      </c>
      <c r="R110" s="54">
        <f>VLOOKUP(B110,'Player Data'!$A1:$AE667,6,FALSE)</f>
        <v>22.8120472701487</v>
      </c>
      <c r="S110" s="56">
        <f>VLOOKUP(B110,'Player Data'!$A1:$AE667,7,FALSE)*$Q110*IFERROR((VLOOKUP(P110,Settings!$E$28:$F$33,2,FALSE)+1),1)</f>
        <v>7.866134400926609</v>
      </c>
      <c r="T110" s="56">
        <f>VLOOKUP(B110,'Player Data'!$A1:$AE667,8,FALSE)*$Q110*IFERROR((VLOOKUP(P110,Settings!$E$28:$F$33,2,FALSE)+1),1)</f>
        <v>32.783548964454198</v>
      </c>
      <c r="U110" s="56">
        <f>SUM(S110:T110)</f>
        <v>40.64968336538081</v>
      </c>
      <c r="V110" s="56">
        <f>VLOOKUP(B110,'Player Data'!$A1:$AE667,10,FALSE)*$Q110*IFERROR(((VLOOKUP(P110,Settings!$E$28:$F$33,2,FALSE)/2)+1),1)</f>
        <v>164.87905390987044</v>
      </c>
      <c r="W110" s="56">
        <f>VLOOKUP(B110,'Player Data'!$A1:$AE667,11,FALSE)*$Q110*IFERROR((VLOOKUP(P110,Settings!$E$28:$F$33,2,FALSE)+1),1)</f>
        <v>0.9307944106793401</v>
      </c>
      <c r="X110" s="56">
        <f>VLOOKUP(B110,'Player Data'!$A1:$AE667,12,FALSE)*$Q110*IFERROR((VLOOKUP(P110,Settings!$E$28:$F$33,2,FALSE)+1),1)</f>
        <v>9.7234927822694619</v>
      </c>
      <c r="Y110" s="56">
        <f>VLOOKUP(B110,'Player Data'!$A1:$AE667,13,FALSE)*$Q110</f>
        <v>0.17297284699218307</v>
      </c>
      <c r="Z110" s="56">
        <f>VLOOKUP(B110,'Player Data'!$A1:$AE667,14,FALSE)*$Q110</f>
        <v>1.5279990530529808</v>
      </c>
      <c r="AA110" s="56">
        <f>VLOOKUP(B110,'Player Data'!$A1:$AE667,15,FALSE)*$Q110</f>
        <v>173.85262055005771</v>
      </c>
      <c r="AB110" s="56">
        <f>VLOOKUP(B110,'Player Data'!$A1:$AE667,16,FALSE)*$Q110</f>
        <v>68.994325374525474</v>
      </c>
      <c r="AC110" s="56">
        <f>VLOOKUP(B110,'Player Data'!$A1:$AE667,17,FALSE)*$Q110*IFERROR((VLOOKUP(P110,Settings!$E$28:$F$33,2,FALSE)+1),1)</f>
        <v>1.3347608813257685</v>
      </c>
      <c r="AD110" s="56">
        <f>VLOOKUP(B110,'Player Data'!$A1:$AE667,18,FALSE)*$Q110</f>
        <v>24.004672837287028</v>
      </c>
      <c r="AE110" s="56">
        <f>VLOOKUP(B110,'Player Data'!$A1:$AE667,19,FALSE)*$Q110*IFERROR((VLOOKUP(P110,Settings!$E$28:$F$33,2,FALSE)+1),1)</f>
        <v>1.1964491815135663</v>
      </c>
      <c r="AF110" s="56">
        <f>VLOOKUP(B110,'Player Data'!$A1:$AE667,20,FALSE)*$Q110</f>
        <v>5.6329825083116569E-2</v>
      </c>
      <c r="AG110" s="56">
        <f>VLOOKUP(B110,'Player Data'!$A1:$AE667,21,FALSE)*$Q110</f>
        <v>0.10350656428765466</v>
      </c>
      <c r="AH110" s="58">
        <f>VLOOKUP(B110,'Player Data'!$A1:$AE667,22,FALSE)</f>
        <v>0.35242178145333902</v>
      </c>
      <c r="AI110" s="54"/>
      <c r="AJ110" s="56"/>
      <c r="AK110" s="56"/>
      <c r="AL110" s="56"/>
      <c r="AM110" s="56"/>
      <c r="AN110" s="56"/>
      <c r="AO110" s="56"/>
      <c r="AP110" s="56"/>
      <c r="AQ110" s="59"/>
      <c r="AR110" s="60"/>
      <c r="AS110" s="54"/>
    </row>
    <row r="111" spans="1:45" ht="21.25" customHeight="1" x14ac:dyDescent="0.15">
      <c r="A111" s="45">
        <f>RANK(K111,K$1:K$665)</f>
        <v>110</v>
      </c>
      <c r="B111" s="9" t="s">
        <v>236</v>
      </c>
      <c r="C111" s="46" t="s">
        <v>127</v>
      </c>
      <c r="D111" s="47" t="str">
        <f>VLOOKUP(B111,'Player Data'!A1:D667,4,FALSE)</f>
        <v>C/RW</v>
      </c>
      <c r="E111" s="68">
        <f>VLOOKUP(B111,RW!A1:C136,3,FALSE)</f>
        <v>31</v>
      </c>
      <c r="F111" s="72" t="str">
        <f>VLOOKUP(B111,'Player Data'!A1:B667,2,FALSE)</f>
        <v>CAR</v>
      </c>
      <c r="G111" s="10">
        <f>VLOOKUP(B111,'Player Data'!A1:D667,3,FALSE)</f>
        <v>25</v>
      </c>
      <c r="H111" s="50">
        <f>IFERROR(VLOOKUP(B111,ADP!A1:G665,7,FALSE)/1000000,VLOOKUP(B111,ADP!A1:G665,7,FALSE))</f>
        <v>6.5</v>
      </c>
      <c r="I111" s="51">
        <f>IF(Settings!$E$15="POINTS",((R111*Q111)*Settings!$B$12)+(S111*Settings!$B$2)+(T111*Settings!$B$3)+(U111*Settings!$B$4)+(V111*Settings!$B$5)+(X111*Settings!$B$9)+(AA111*Settings!$B$6)+(W111*Settings!$B$8)+(AB111*Settings!$B$7)+(AC111*Settings!$B$14)+(AD111*Settings!$B$15)+(AE111*Settings!$B$16)+(AF111*Settings!$B$17)+(AG111*Settings!$B$18)+(Y111*Settings!$B$10)+(Z111*Settings!$B$11),VLOOKUP(B111,'Standard Deviations'!A1:C666,3,FALSE))</f>
        <v>332.60632585145726</v>
      </c>
      <c r="J111" s="52">
        <f>IF(D111="G",I111/AJ111,I111/Q111)</f>
        <v>4.1193463894659841</v>
      </c>
      <c r="K111" s="51">
        <f>IF(Settings!$E$18="C/LW/RW",VLOOKUP(B111,RW!A1:F136,6,FALSE),VLOOKUP(B111,F!A1:F392,6,FALSE))</f>
        <v>-36.241397254835135</v>
      </c>
      <c r="L111" s="53">
        <f>IFERROR(K111/H111,"N/A")</f>
        <v>-5.575599577666944</v>
      </c>
      <c r="M111" s="54">
        <f>IF(Settings!$E$9="YAHOO",VLOOKUP(B111,ADP!A1:E665,2,FALSE),IF(Settings!$E$9="ESPN",VLOOKUP(B111,ADP!A1:E665,3,FALSE),IF(Settings!$E$9="FANTRAX",VLOOKUP(B111,ADP!A1:E665,4,FALSE),VLOOKUP(B111,ADP!A1:E665,5,FALSE))))</f>
        <v>114.2</v>
      </c>
      <c r="N111" s="54">
        <f>IFERROR(M111-A111,"N/A")</f>
        <v>4.2000000000000028</v>
      </c>
      <c r="O111" s="54"/>
      <c r="P111" s="55" t="str">
        <f>IF(Settings!$E$27="ON",VLOOKUP(B111,ADP!A1:H665,8,FALSE)," ")</f>
        <v xml:space="preserve"> </v>
      </c>
      <c r="Q111" s="56">
        <f>IF(Settings!$E$12="YES",VLOOKUP(B111,'Player Data'!A1:E667,5,FALSE),82)</f>
        <v>80.742500000000007</v>
      </c>
      <c r="R111" s="54">
        <f>VLOOKUP(B111,'Player Data'!$A1:$AE667,6,FALSE)</f>
        <v>17.500334909652999</v>
      </c>
      <c r="S111" s="56">
        <f>VLOOKUP(B111,'Player Data'!$A1:$AE667,7,FALSE)*$Q111*IFERROR((VLOOKUP(P111,Settings!$E$28:$F$33,2,FALSE)+1),1)</f>
        <v>25.849557949224955</v>
      </c>
      <c r="T111" s="56">
        <f>VLOOKUP(B111,'Player Data'!$A1:$AE667,8,FALSE)*$Q111*IFERROR((VLOOKUP(P111,Settings!$E$28:$F$33,2,FALSE)+1),1)</f>
        <v>35.424018795014561</v>
      </c>
      <c r="U111" s="56">
        <f>SUM(S111:T111)</f>
        <v>61.27357674423952</v>
      </c>
      <c r="V111" s="56">
        <f>VLOOKUP(B111,'Player Data'!$A1:$AE667,10,FALSE)*$Q111*IFERROR(((VLOOKUP(P111,Settings!$E$28:$F$33,2,FALSE)/2)+1),1)</f>
        <v>231.00815483477368</v>
      </c>
      <c r="W111" s="56">
        <f>VLOOKUP(B111,'Player Data'!$A1:$AE667,11,FALSE)*$Q111*IFERROR((VLOOKUP(P111,Settings!$E$28:$F$33,2,FALSE)+1),1)</f>
        <v>8.451517207034728</v>
      </c>
      <c r="X111" s="57">
        <f>VLOOKUP(B111,'Player Data'!$A1:$AE667,12,FALSE)*$Q111*IFERROR((VLOOKUP(P111,Settings!$E$28:$F$33,2,FALSE)+1),1)</f>
        <v>18.692258879479322</v>
      </c>
      <c r="Y111" s="56">
        <f>VLOOKUP(B111,'Player Data'!$A1:$AE667,13,FALSE)*$Q111</f>
        <v>4.9126615935065752E-2</v>
      </c>
      <c r="Z111" s="56">
        <f>VLOOKUP(B111,'Player Data'!$A1:$AE667,14,FALSE)*$Q111</f>
        <v>0.11172282341731167</v>
      </c>
      <c r="AA111" s="56">
        <f>VLOOKUP(B111,'Player Data'!$A1:$AE667,15,FALSE)*$Q111</f>
        <v>28.955072996910385</v>
      </c>
      <c r="AB111" s="56">
        <f>VLOOKUP(B111,'Player Data'!$A1:$AE667,16,FALSE)*$Q111</f>
        <v>71.547332165421821</v>
      </c>
      <c r="AC111" s="56">
        <f>VLOOKUP(B111,'Player Data'!$A1:$AE667,17,FALSE)*$Q111*IFERROR((VLOOKUP(P111,Settings!$E$28:$F$33,2,FALSE)+1),1)</f>
        <v>3.8352288335552243</v>
      </c>
      <c r="AD111" s="56">
        <f>VLOOKUP(B111,'Player Data'!$A1:$AE667,18,FALSE)*$Q111</f>
        <v>38.782632733556973</v>
      </c>
      <c r="AE111" s="56">
        <f>VLOOKUP(B111,'Player Data'!$A1:$AE667,19,FALSE)*$Q111*IFERROR((VLOOKUP(P111,Settings!$E$28:$F$33,2,FALSE)+1),1)</f>
        <v>4.4793558013202128</v>
      </c>
      <c r="AF111" s="56">
        <f>VLOOKUP(B111,'Player Data'!$A1:$AE667,20,FALSE)*$Q111</f>
        <v>72.708707212546315</v>
      </c>
      <c r="AG111" s="56">
        <f>VLOOKUP(B111,'Player Data'!$A1:$AE667,21,FALSE)*$Q111</f>
        <v>106.26249489990762</v>
      </c>
      <c r="AH111" s="58">
        <f>VLOOKUP(B111,'Player Data'!$A1:$AE667,22,FALSE)</f>
        <v>0.40625925486526598</v>
      </c>
      <c r="AI111" s="54"/>
      <c r="AJ111" s="64"/>
      <c r="AK111" s="56"/>
      <c r="AL111" s="56"/>
      <c r="AM111" s="56"/>
      <c r="AN111" s="56"/>
      <c r="AO111" s="56"/>
      <c r="AP111" s="56"/>
      <c r="AQ111" s="59"/>
      <c r="AR111" s="60"/>
      <c r="AS111" s="54"/>
    </row>
    <row r="112" spans="1:45" ht="21.25" customHeight="1" x14ac:dyDescent="0.15">
      <c r="A112" s="45">
        <f>RANK(K112,K$1:K$665)</f>
        <v>111</v>
      </c>
      <c r="B112" s="9" t="s">
        <v>237</v>
      </c>
      <c r="C112" s="46" t="s">
        <v>127</v>
      </c>
      <c r="D112" s="47" t="str">
        <f>VLOOKUP(B112,'Player Data'!A1:D667,4,FALSE)</f>
        <v>G</v>
      </c>
      <c r="E112" s="73">
        <f>VLOOKUP(B112,G!A1:D65,3,FALSE)</f>
        <v>13</v>
      </c>
      <c r="F112" s="62" t="str">
        <f>VLOOKUP(B112,'Player Data'!A1:B667,2,FALSE)</f>
        <v>STL</v>
      </c>
      <c r="G112" s="10">
        <f>VLOOKUP(B112,'Player Data'!A1:D667,3,FALSE)</f>
        <v>31</v>
      </c>
      <c r="H112" s="50">
        <f>IFERROR(VLOOKUP(B112,ADP!A1:G665,7,FALSE)/1000000,VLOOKUP(B112,ADP!A1:G665,7,FALSE))</f>
        <v>6</v>
      </c>
      <c r="I112" s="51">
        <f>IF(Settings!$E$15="POINTS",(AJ112*Settings!$B$29)+(AK112*Settings!$B$21)+(AL112*Settings!$B$22)+(AN112*Settings!$B$24)+(AO112*Settings!$B$25)+(AP112*Settings!$B$27)+(AM112*Settings!$B$23),VLOOKUP(B112,'Standard Deviations'!A1:C666,3,FALSE))</f>
        <v>373.59645672844908</v>
      </c>
      <c r="J112" s="52">
        <f>IF(D112="G",I112/AJ112,I112/Q112)</f>
        <v>6.9184529023786867</v>
      </c>
      <c r="K112" s="51">
        <f>VLOOKUP(B112,G!A1:F65,6,FALSE)</f>
        <v>-37.063286040971093</v>
      </c>
      <c r="L112" s="53">
        <f>IFERROR(K112/H112,"N/A")</f>
        <v>-6.1772143401618491</v>
      </c>
      <c r="M112" s="54">
        <f>IF(Settings!$E$9="YAHOO",VLOOKUP(B112,ADP!A1:E665,2,FALSE),IF(Settings!$E$9="ESPN",VLOOKUP(B112,ADP!A1:E665,3,FALSE),IF(Settings!$E$9="FANTRAX",VLOOKUP(B112,ADP!A1:E665,4,FALSE),VLOOKUP(B112,ADP!A1:E665,5,FALSE))))</f>
        <v>88</v>
      </c>
      <c r="N112" s="54">
        <f>IFERROR(M112-A112,"N/A")</f>
        <v>-23</v>
      </c>
      <c r="O112" s="54"/>
      <c r="P112" s="55" t="str">
        <f>IF(Settings!$E$27="ON",VLOOKUP(B112,ADP!A1:H665,8,FALSE)," ")</f>
        <v xml:space="preserve"> </v>
      </c>
      <c r="Q112" s="56"/>
      <c r="R112" s="54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8"/>
      <c r="AI112" s="54"/>
      <c r="AJ112" s="64">
        <f>VLOOKUP(B112,'Player Data'!$A1:$AE667,24,FALSE)</f>
        <v>54</v>
      </c>
      <c r="AK112" s="56">
        <f>VLOOKUP(B112,'Player Data'!$A1:$AE667,25,FALSE)*$AJ112*IFERROR((VLOOKUP(P112,Settings!$E$28:$F$33,2,FALSE)+1),1)</f>
        <v>24.7400078461535</v>
      </c>
      <c r="AL112" s="56">
        <f>AJ112-AK112-AM112</f>
        <v>22.5099921538465</v>
      </c>
      <c r="AM112" s="56">
        <f>VLOOKUP(B112,'Player Data'!$A1:$AE667,27,FALSE)*$AJ112</f>
        <v>6.75</v>
      </c>
      <c r="AN112" s="56">
        <f>VLOOKUP(B112,'Player Data'!$A1:$AE667,28,FALSE)*AJ112</f>
        <v>2.5060716470956015</v>
      </c>
      <c r="AO112" s="56">
        <f>VLOOKUP(B112,'Player Data'!$A1:$AE667,29,FALSE)*$AJ112*IFERROR((VLOOKUP(P112,Settings!$E$28:$F$33,2,FALSE)/4)+1,1)</f>
        <v>1557.5162756238631</v>
      </c>
      <c r="AP112" s="56">
        <f>VLOOKUP(B112,'Player Data'!$A1:$AE667,31,FALSE)*$AJ112*(IFERROR(1-(VLOOKUP(P112,Settings!$E$28:$F$33,2,FALSE)/4),1))</f>
        <v>160.62925875634619</v>
      </c>
      <c r="AQ112" s="59">
        <f>1-(AP112/(AO112+AP112))</f>
        <v>0.90651009734498977</v>
      </c>
      <c r="AR112" s="60">
        <f>AP112/AJ112</f>
        <v>2.9746159028952999</v>
      </c>
      <c r="AS112" s="54"/>
    </row>
    <row r="113" spans="1:45" ht="21.25" customHeight="1" x14ac:dyDescent="0.15">
      <c r="A113" s="45">
        <f>RANK(K113,K$1:K$665)</f>
        <v>112</v>
      </c>
      <c r="B113" s="9" t="s">
        <v>238</v>
      </c>
      <c r="C113" s="46" t="s">
        <v>127</v>
      </c>
      <c r="D113" s="47" t="str">
        <f>VLOOKUP(B113,'Player Data'!A1:D667,4,FALSE)</f>
        <v>LW</v>
      </c>
      <c r="E113" s="70">
        <f>VLOOKUP(B113,LW!A1:C152,3,FALSE)</f>
        <v>32</v>
      </c>
      <c r="F113" s="62" t="str">
        <f>VLOOKUP(B113,'Player Data'!A1:B667,2,FALSE)</f>
        <v>BOS</v>
      </c>
      <c r="G113" s="63">
        <f>VLOOKUP(B113,'Player Data'!A1:D667,3,FALSE)</f>
        <v>36</v>
      </c>
      <c r="H113" s="67">
        <f>IFERROR(VLOOKUP(B113,ADP!A1:G665,7,FALSE)/1000000,VLOOKUP(B113,ADP!A1:G665,7,FALSE))</f>
        <v>6.125</v>
      </c>
      <c r="I113" s="51">
        <f>IF(Settings!$E$15="POINTS",((R113*Q113)*Settings!$B$12)+(S113*Settings!$B$2)+(T113*Settings!$B$3)+(U113*Settings!$B$4)+(V113*Settings!$B$5)+(X113*Settings!$B$9)+(AA113*Settings!$B$6)+(W113*Settings!$B$8)+(AB113*Settings!$B$7)+(AC113*Settings!$B$14)+(AD113*Settings!$B$15)+(AE113*Settings!$B$16)+(AF113*Settings!$B$17)+(AG113*Settings!$B$18)+(Y113*Settings!$B$10)+(Z113*Settings!$B$11),VLOOKUP(B113,'Standard Deviations'!A1:C666,3,FALSE))</f>
        <v>341.8917399973347</v>
      </c>
      <c r="J113" s="52">
        <f>IF(D113="G",I113/AJ113,I113/Q113)</f>
        <v>4.2955270910869077</v>
      </c>
      <c r="K113" s="51">
        <f>IF(Settings!$E$18="C/LW/RW",VLOOKUP(B113,LW!A1:F152,6,FALSE),VLOOKUP(B113,F!A1:F392,6,FALSE))</f>
        <v>-39.169772305165054</v>
      </c>
      <c r="L113" s="53">
        <f>IFERROR(K113/H113,"N/A")</f>
        <v>-6.3950648661493963</v>
      </c>
      <c r="M113" s="54">
        <f>IF(Settings!$E$9="YAHOO",VLOOKUP(B113,ADP!A1:E665,2,FALSE),IF(Settings!$E$9="ESPN",VLOOKUP(B113,ADP!A1:E665,3,FALSE),IF(Settings!$E$9="FANTRAX",VLOOKUP(B113,ADP!A1:E665,4,FALSE),VLOOKUP(B113,ADP!A1:E665,5,FALSE))))</f>
        <v>58.7</v>
      </c>
      <c r="N113" s="54">
        <f>IFERROR(M113-A113,"N/A")</f>
        <v>-53.3</v>
      </c>
      <c r="O113" s="54"/>
      <c r="P113" s="55" t="str">
        <f>IF(Settings!$E$27="ON",VLOOKUP(B113,ADP!A1:H665,8,FALSE)," ")</f>
        <v xml:space="preserve"> </v>
      </c>
      <c r="Q113" s="56">
        <f>IF(Settings!$E$12="YES",VLOOKUP(B113,'Player Data'!A1:E667,5,FALSE),82)</f>
        <v>79.592500000000001</v>
      </c>
      <c r="R113" s="54">
        <f>VLOOKUP(B113,'Player Data'!$A1:$AE667,6,FALSE)</f>
        <v>18.9353261930065</v>
      </c>
      <c r="S113" s="56">
        <f>VLOOKUP(B113,'Player Data'!$A1:$AE667,7,FALSE)*$Q113*IFERROR((VLOOKUP(P113,Settings!$E$28:$F$33,2,FALSE)+1),1)</f>
        <v>24.531135328832491</v>
      </c>
      <c r="T113" s="56">
        <f>VLOOKUP(B113,'Player Data'!$A1:$AE667,8,FALSE)*$Q113*IFERROR((VLOOKUP(P113,Settings!$E$28:$F$33,2,FALSE)+1),1)</f>
        <v>40.258316553400789</v>
      </c>
      <c r="U113" s="56">
        <f>SUM(S113:T113)</f>
        <v>64.78945188223328</v>
      </c>
      <c r="V113" s="56">
        <f>VLOOKUP(B113,'Player Data'!$A1:$AE667,10,FALSE)*$Q113*IFERROR(((VLOOKUP(P113,Settings!$E$28:$F$33,2,FALSE)/2)+1),1)</f>
        <v>208.87927917800931</v>
      </c>
      <c r="W113" s="56">
        <f>VLOOKUP(B113,'Player Data'!$A1:$AE667,11,FALSE)*$Q113*IFERROR((VLOOKUP(P113,Settings!$E$28:$F$33,2,FALSE)+1),1)</f>
        <v>6.5589721721918339</v>
      </c>
      <c r="X113" s="57">
        <f>VLOOKUP(B113,'Player Data'!$A1:$AE667,12,FALSE)*$Q113*IFERROR((VLOOKUP(P113,Settings!$E$28:$F$33,2,FALSE)+1),1)</f>
        <v>24.839919600261894</v>
      </c>
      <c r="Y113" s="56">
        <f>VLOOKUP(B113,'Player Data'!$A1:$AE667,13,FALSE)*$Q113</f>
        <v>1.5404957904767422</v>
      </c>
      <c r="Z113" s="56">
        <f>VLOOKUP(B113,'Player Data'!$A1:$AE667,14,FALSE)*$Q113</f>
        <v>2.2810450367173387</v>
      </c>
      <c r="AA113" s="56">
        <f>VLOOKUP(B113,'Player Data'!$A1:$AE667,15,FALSE)*$Q113</f>
        <v>31.925560249301817</v>
      </c>
      <c r="AB113" s="56">
        <f>VLOOKUP(B113,'Player Data'!$A1:$AE667,16,FALSE)*$Q113</f>
        <v>102.22121019158797</v>
      </c>
      <c r="AC113" s="56">
        <f>VLOOKUP(B113,'Player Data'!$A1:$AE667,17,FALSE)*$Q113*IFERROR((VLOOKUP(P113,Settings!$E$28:$F$33,2,FALSE)+1),1)</f>
        <v>3.9165395614026899</v>
      </c>
      <c r="AD113" s="56">
        <f>VLOOKUP(B113,'Player Data'!$A1:$AE667,18,FALSE)*$Q113</f>
        <v>71.343398362093026</v>
      </c>
      <c r="AE113" s="56">
        <f>VLOOKUP(B113,'Player Data'!$A1:$AE667,19,FALSE)*$Q113*IFERROR((VLOOKUP(P113,Settings!$E$28:$F$33,2,FALSE)+1),1)</f>
        <v>3.8208155334289393</v>
      </c>
      <c r="AF113" s="56">
        <f>VLOOKUP(B113,'Player Data'!$A1:$AE667,20,FALSE)*$Q113</f>
        <v>21.274540241465242</v>
      </c>
      <c r="AG113" s="56">
        <f>VLOOKUP(B113,'Player Data'!$A1:$AE667,21,FALSE)*$Q113</f>
        <v>32.110671949051046</v>
      </c>
      <c r="AH113" s="58">
        <f>VLOOKUP(B113,'Player Data'!$A1:$AE667,22,FALSE)</f>
        <v>0.39850998747635602</v>
      </c>
      <c r="AI113" s="54"/>
      <c r="AJ113" s="64"/>
      <c r="AK113" s="56"/>
      <c r="AL113" s="56"/>
      <c r="AM113" s="56"/>
      <c r="AN113" s="56"/>
      <c r="AO113" s="56"/>
      <c r="AP113" s="56"/>
      <c r="AQ113" s="59"/>
      <c r="AR113" s="60"/>
      <c r="AS113" s="54"/>
    </row>
    <row r="114" spans="1:45" ht="21.25" customHeight="1" x14ac:dyDescent="0.15">
      <c r="A114" s="45">
        <f>RANK(K114,K$1:K$665)</f>
        <v>113</v>
      </c>
      <c r="B114" s="9" t="s">
        <v>239</v>
      </c>
      <c r="C114" s="46" t="s">
        <v>127</v>
      </c>
      <c r="D114" s="47" t="str">
        <f>VLOOKUP(B114,'Player Data'!A1:D667,4,FALSE)</f>
        <v>C</v>
      </c>
      <c r="E114" s="48">
        <f>VLOOKUP(B114,'C'!A1:C206,3,FALSE)</f>
        <v>40</v>
      </c>
      <c r="F114" s="65" t="str">
        <f>VLOOKUP(B114,'Player Data'!A1:B667,2,FALSE)</f>
        <v>BUF</v>
      </c>
      <c r="G114" s="69">
        <f>VLOOKUP(B114,'Player Data'!A1:D667,3,FALSE)</f>
        <v>23</v>
      </c>
      <c r="H114" s="50">
        <f>IFERROR(VLOOKUP(B114,ADP!A1:G665,7,FALSE)/1000000,VLOOKUP(B114,ADP!A1:G665,7,FALSE))</f>
        <v>7.1</v>
      </c>
      <c r="I114" s="51">
        <f>IF(Settings!$E$15="POINTS",((R114*Q114)*Settings!$B$12)+(S114*Settings!$B$2)+(T114*Settings!$B$3)+(U114*Settings!$B$4)+(V114*Settings!$B$5)+(X114*Settings!$B$9)+(AA114*Settings!$B$6)+(W114*Settings!$B$8)+(AB114*Settings!$B$7)+(AC114*Settings!$B$14)+(AD114*Settings!$B$15)+(AE114*Settings!$B$16)+(AF114*Settings!$B$17)+(AG114*Settings!$B$18)+(Y114*Settings!$B$10)+(Z114*Settings!$B$11),VLOOKUP(B114,'Standard Deviations'!A1:C666,3,FALSE))</f>
        <v>350.39841048104796</v>
      </c>
      <c r="J114" s="52">
        <f>IF(D114="G",I114/AJ114,I114/Q114)</f>
        <v>4.3227042990506783</v>
      </c>
      <c r="K114" s="51">
        <f>IF(Settings!$E$18="C/LW/RW",VLOOKUP(B114,'C'!A1:F206,6,FALSE),VLOOKUP(B114,F!A1:F392,6,FALSE))</f>
        <v>-39.538747297033126</v>
      </c>
      <c r="L114" s="53">
        <f>IFERROR(K114/H114,"N/A")</f>
        <v>-5.5688376474694543</v>
      </c>
      <c r="M114" s="54">
        <f>IF(Settings!$E$9="YAHOO",VLOOKUP(B114,ADP!A1:E665,2,FALSE),IF(Settings!$E$9="ESPN",VLOOKUP(B114,ADP!A1:E665,3,FALSE),IF(Settings!$E$9="FANTRAX",VLOOKUP(B114,ADP!A1:E665,4,FALSE),VLOOKUP(B114,ADP!A1:E665,5,FALSE))))</f>
        <v>169.4</v>
      </c>
      <c r="N114" s="54">
        <f>IFERROR(M114-A114,"N/A")</f>
        <v>56.400000000000006</v>
      </c>
      <c r="O114" s="54"/>
      <c r="P114" s="55" t="str">
        <f>IF(Settings!$E$27="ON",VLOOKUP(B114,ADP!A1:H665,8,FALSE)," ")</f>
        <v xml:space="preserve"> </v>
      </c>
      <c r="Q114" s="56">
        <f>IF(Settings!$E$12="YES",VLOOKUP(B114,'Player Data'!A1:E667,5,FALSE),82)</f>
        <v>81.06</v>
      </c>
      <c r="R114" s="75">
        <f>VLOOKUP(B114,'Player Data'!$A1:$AE667,6,FALSE)</f>
        <v>18.739456893642501</v>
      </c>
      <c r="S114" s="56">
        <f>VLOOKUP(B114,'Player Data'!$A1:$AE667,7,FALSE)*$Q114*IFERROR((VLOOKUP(P114,Settings!$E$28:$F$33,2,FALSE)+1),1)</f>
        <v>27.201433740683935</v>
      </c>
      <c r="T114" s="56">
        <f>VLOOKUP(B114,'Player Data'!$A1:$AE667,8,FALSE)*$Q114*IFERROR((VLOOKUP(P114,Settings!$E$28:$F$33,2,FALSE)+1),1)</f>
        <v>40.006093404825904</v>
      </c>
      <c r="U114" s="56">
        <f>SUM(S114:T114)</f>
        <v>67.207527145509843</v>
      </c>
      <c r="V114" s="56">
        <f>VLOOKUP(B114,'Player Data'!$A1:$AE667,10,FALSE)*$Q114*IFERROR(((VLOOKUP(P114,Settings!$E$28:$F$33,2,FALSE)/2)+1),1)</f>
        <v>223.36642293035212</v>
      </c>
      <c r="W114" s="56">
        <f>VLOOKUP(B114,'Player Data'!$A1:$AE667,11,FALSE)*$Q114*IFERROR((VLOOKUP(P114,Settings!$E$28:$F$33,2,FALSE)+1),1)</f>
        <v>5.229967874807155</v>
      </c>
      <c r="X114" s="57">
        <f>VLOOKUP(B114,'Player Data'!$A1:$AE667,12,FALSE)*$Q114*IFERROR((VLOOKUP(P114,Settings!$E$28:$F$33,2,FALSE)+1),1)</f>
        <v>18.940991541550233</v>
      </c>
      <c r="Y114" s="56">
        <f>VLOOKUP(B114,'Player Data'!$A1:$AE667,13,FALSE)*$Q114</f>
        <v>1.7988848252733027</v>
      </c>
      <c r="Z114" s="56">
        <f>VLOOKUP(B114,'Player Data'!$A1:$AE667,14,FALSE)*$Q114</f>
        <v>2.3105755484676944</v>
      </c>
      <c r="AA114" s="56">
        <f>VLOOKUP(B114,'Player Data'!$A1:$AE667,15,FALSE)*$Q114</f>
        <v>31.682100978648943</v>
      </c>
      <c r="AB114" s="56">
        <f>VLOOKUP(B114,'Player Data'!$A1:$AE667,16,FALSE)*$Q114</f>
        <v>93.708114714852201</v>
      </c>
      <c r="AC114" s="56">
        <f>VLOOKUP(B114,'Player Data'!$A1:$AE667,17,FALSE)*$Q114*IFERROR((VLOOKUP(P114,Settings!$E$28:$F$33,2,FALSE)+1),1)</f>
        <v>-1.4509476142440187</v>
      </c>
      <c r="AD114" s="56">
        <f>VLOOKUP(B114,'Player Data'!$A1:$AE667,18,FALSE)*$Q114</f>
        <v>40.670794441836321</v>
      </c>
      <c r="AE114" s="56">
        <f>VLOOKUP(B114,'Player Data'!$A1:$AE667,19,FALSE)*$Q114*IFERROR((VLOOKUP(P114,Settings!$E$28:$F$33,2,FALSE)+1),1)</f>
        <v>3.8477906661543804</v>
      </c>
      <c r="AF114" s="56">
        <f>VLOOKUP(B114,'Player Data'!$A1:$AE667,20,FALSE)*$Q114</f>
        <v>581.90897806750718</v>
      </c>
      <c r="AG114" s="56">
        <f>VLOOKUP(B114,'Player Data'!$A1:$AE667,21,FALSE)*$Q114</f>
        <v>669.64108486028977</v>
      </c>
      <c r="AH114" s="58">
        <f>VLOOKUP(B114,'Player Data'!$A1:$AE667,22,FALSE)</f>
        <v>0.46495062027820599</v>
      </c>
      <c r="AI114" s="54"/>
      <c r="AJ114" s="56"/>
      <c r="AK114" s="56"/>
      <c r="AL114" s="56"/>
      <c r="AM114" s="56"/>
      <c r="AN114" s="56"/>
      <c r="AO114" s="56"/>
      <c r="AP114" s="56"/>
      <c r="AQ114" s="59"/>
      <c r="AR114" s="60"/>
      <c r="AS114" s="54"/>
    </row>
    <row r="115" spans="1:45" ht="21.25" customHeight="1" x14ac:dyDescent="0.15">
      <c r="A115" s="45">
        <f>RANK(K115,K$1:K$665)</f>
        <v>114</v>
      </c>
      <c r="B115" s="9" t="s">
        <v>240</v>
      </c>
      <c r="C115" s="46" t="s">
        <v>127</v>
      </c>
      <c r="D115" s="47" t="str">
        <f>VLOOKUP(B115,'Player Data'!A1:D667,4,FALSE)</f>
        <v>D</v>
      </c>
      <c r="E115" s="66">
        <f>VLOOKUP(B115,D!A1:C213,3,FALSE)</f>
        <v>28</v>
      </c>
      <c r="F115" s="65" t="str">
        <f>VLOOKUP(B115,'Player Data'!A1:B667,2,FALSE)</f>
        <v>NSH</v>
      </c>
      <c r="G115" s="10">
        <f>VLOOKUP(B115,'Player Data'!A1:D667,3,FALSE)</f>
        <v>30</v>
      </c>
      <c r="H115" s="50">
        <f>IFERROR(VLOOKUP(B115,ADP!A1:G665,7,FALSE)/1000000,VLOOKUP(B115,ADP!A1:G665,7,FALSE))</f>
        <v>7</v>
      </c>
      <c r="I115" s="51">
        <f>IF(Settings!$E$15="POINTS",((R115*Q115)*Settings!$B$12)+(S115*Settings!$B$2)+(T115*Settings!$B$3)+(U115*Settings!$B$4)+(V115*Settings!$B$5)+(X115*Settings!$B$9)+(AA115*Settings!$B$6)+(W115*Settings!$B$8)+(AB115*Settings!$B$7)+(AC115*Settings!$B$14)+(AD115*Settings!$B$15)+(AE115*Settings!$B$16)+(AF115*Settings!$B$17)+(AG115*Settings!$B$18)+(U115*Settings!$B$13)+(Y115*Settings!$B$10)+(Z115*Settings!$B$11),VLOOKUP(B115,'Standard Deviations'!A1:C666,3,FALSE))</f>
        <v>296.21835639829078</v>
      </c>
      <c r="J115" s="52">
        <f>IF(D115="G",I115/AJ115,I115/Q115)</f>
        <v>3.6329094759870095</v>
      </c>
      <c r="K115" s="51">
        <f>VLOOKUP(B115,D!A1:F213,6,FALSE)</f>
        <v>-40.015768647304128</v>
      </c>
      <c r="L115" s="53">
        <f>IFERROR(K115/H115,"N/A")</f>
        <v>-5.7165383781863044</v>
      </c>
      <c r="M115" s="54">
        <f>IF(Settings!$E$9="YAHOO",VLOOKUP(B115,ADP!A1:E665,2,FALSE),IF(Settings!$E$9="ESPN",VLOOKUP(B115,ADP!A1:E665,3,FALSE),IF(Settings!$E$9="FANTRAX",VLOOKUP(B115,ADP!A1:E665,4,FALSE),VLOOKUP(B115,ADP!A1:E665,5,FALSE))))</f>
        <v>138.1</v>
      </c>
      <c r="N115" s="54">
        <f>IFERROR(M115-A115,"N/A")</f>
        <v>24.099999999999994</v>
      </c>
      <c r="O115" s="54"/>
      <c r="P115" s="55" t="str">
        <f>IF(Settings!$E$27="ON",VLOOKUP(B115,ADP!A1:H665,8,FALSE)," ")</f>
        <v xml:space="preserve"> </v>
      </c>
      <c r="Q115" s="56">
        <f>IF(Settings!$E$12="YES",VLOOKUP(B115,'Player Data'!A1:E667,5,FALSE),82)</f>
        <v>81.537499999999994</v>
      </c>
      <c r="R115" s="54">
        <f>VLOOKUP(B115,'Player Data'!$A1:$AE667,6,FALSE)</f>
        <v>21.785682637398999</v>
      </c>
      <c r="S115" s="56">
        <f>VLOOKUP(B115,'Player Data'!$A1:$AE667,7,FALSE)*$Q115*IFERROR((VLOOKUP(P115,Settings!$E$28:$F$33,2,FALSE)+1),1)</f>
        <v>13.541999246129265</v>
      </c>
      <c r="T115" s="56">
        <f>VLOOKUP(B115,'Player Data'!$A1:$AE667,8,FALSE)*$Q115*IFERROR((VLOOKUP(P115,Settings!$E$28:$F$33,2,FALSE)+1),1)</f>
        <v>32.842446055581355</v>
      </c>
      <c r="U115" s="56">
        <f>SUM(S115:T115)</f>
        <v>46.38444530171062</v>
      </c>
      <c r="V115" s="56">
        <f>VLOOKUP(B115,'Player Data'!$A1:$AE667,10,FALSE)*$Q115*IFERROR(((VLOOKUP(P115,Settings!$E$28:$F$33,2,FALSE)/2)+1),1)</f>
        <v>188.29721473654317</v>
      </c>
      <c r="W115" s="56">
        <f>VLOOKUP(B115,'Player Data'!$A1:$AE667,11,FALSE)*$Q115*IFERROR((VLOOKUP(P115,Settings!$E$28:$F$33,2,FALSE)+1),1)</f>
        <v>2.8639540283423273</v>
      </c>
      <c r="X115" s="56">
        <f>VLOOKUP(B115,'Player Data'!$A1:$AE667,12,FALSE)*$Q115*IFERROR((VLOOKUP(P115,Settings!$E$28:$F$33,2,FALSE)+1),1)</f>
        <v>13.720074891357774</v>
      </c>
      <c r="Y115" s="56">
        <f>VLOOKUP(B115,'Player Data'!$A1:$AE667,13,FALSE)*$Q115</f>
        <v>0.65949750390874518</v>
      </c>
      <c r="Z115" s="56">
        <f>VLOOKUP(B115,'Player Data'!$A1:$AE667,14,FALSE)*$Q115</f>
        <v>1.9693858775784749</v>
      </c>
      <c r="AA115" s="56">
        <f>VLOOKUP(B115,'Player Data'!$A1:$AE667,15,FALSE)*$Q115</f>
        <v>94.453904711902098</v>
      </c>
      <c r="AB115" s="56">
        <f>VLOOKUP(B115,'Player Data'!$A1:$AE667,16,FALSE)*$Q115</f>
        <v>79.758505329114044</v>
      </c>
      <c r="AC115" s="56">
        <f>VLOOKUP(B115,'Player Data'!$A1:$AE667,17,FALSE)*$Q115*IFERROR((VLOOKUP(P115,Settings!$E$28:$F$33,2,FALSE)+1),1)</f>
        <v>0.25168958748058035</v>
      </c>
      <c r="AD115" s="56">
        <f>VLOOKUP(B115,'Player Data'!$A1:$AE667,18,FALSE)*$Q115</f>
        <v>43.913844807736233</v>
      </c>
      <c r="AE115" s="56">
        <f>VLOOKUP(B115,'Player Data'!$A1:$AE667,19,FALSE)*$Q115*IFERROR((VLOOKUP(P115,Settings!$E$28:$F$33,2,FALSE)+1),1)</f>
        <v>1.9174498620133622</v>
      </c>
      <c r="AF115" s="56">
        <f>VLOOKUP(B115,'Player Data'!$A1:$AE667,20,FALSE)*$Q115</f>
        <v>0</v>
      </c>
      <c r="AG115" s="56">
        <f>VLOOKUP(B115,'Player Data'!$A1:$AE667,21,FALSE)*$Q115</f>
        <v>0</v>
      </c>
      <c r="AH115" s="58">
        <f>VLOOKUP(B115,'Player Data'!$A1:$AE667,22,FALSE)</f>
        <v>0</v>
      </c>
      <c r="AI115" s="54"/>
      <c r="AJ115" s="56"/>
      <c r="AK115" s="56"/>
      <c r="AL115" s="56"/>
      <c r="AM115" s="56"/>
      <c r="AN115" s="56"/>
      <c r="AO115" s="56"/>
      <c r="AP115" s="56"/>
      <c r="AQ115" s="59"/>
      <c r="AR115" s="60"/>
      <c r="AS115" s="64"/>
    </row>
    <row r="116" spans="1:45" ht="21.25" customHeight="1" x14ac:dyDescent="0.15">
      <c r="A116" s="45">
        <f>RANK(K116,K$1:K$665)</f>
        <v>115</v>
      </c>
      <c r="B116" s="9" t="s">
        <v>241</v>
      </c>
      <c r="C116" s="46" t="s">
        <v>127</v>
      </c>
      <c r="D116" s="47" t="str">
        <f>VLOOKUP(B116,'Player Data'!A1:D667,4,FALSE)</f>
        <v>RW</v>
      </c>
      <c r="E116" s="61">
        <f>VLOOKUP(B116,RW!A1:F136,3,FALSE)</f>
        <v>32</v>
      </c>
      <c r="F116" s="71" t="str">
        <f>VLOOKUP(B116,'Player Data'!A1:B667,2,FALSE)</f>
        <v>VAN</v>
      </c>
      <c r="G116" s="10">
        <f>VLOOKUP(B116,'Player Data'!A1:D667,3,FALSE)</f>
        <v>27</v>
      </c>
      <c r="H116" s="67">
        <f>IFERROR(VLOOKUP(B116,ADP!A1:G665,7,FALSE)/1000000,VLOOKUP(B116,ADP!A1:G665,7,FALSE))</f>
        <v>6.5</v>
      </c>
      <c r="I116" s="51">
        <f>IF(Settings!$E$15="POINTS",((R116*Q116)*Settings!$B$12)+(S116*Settings!$B$2)+(T116*Settings!$B$3)+(U116*Settings!$B$4)+(V116*Settings!$B$5)+(X116*Settings!$B$9)+(AA116*Settings!$B$6)+(W116*Settings!$B$8)+(AB116*Settings!$B$7)+(AC116*Settings!$B$14)+(AD116*Settings!$B$15)+(AE116*Settings!$B$16)+(AF116*Settings!$B$17)+(AG116*Settings!$B$18)+(Y116*Settings!$B$10)+(Z116*Settings!$B$11),VLOOKUP(B116,'Standard Deviations'!A1:C666,3,FALSE))</f>
        <v>328.59762492795909</v>
      </c>
      <c r="J116" s="52">
        <f>IF(D116="G",I116/AJ116,I116/Q116)</f>
        <v>4.1253899743003553</v>
      </c>
      <c r="K116" s="51">
        <f>IF(Settings!$E$18="C/LW/RW",VLOOKUP(B116,RW!A1:F136,6,FALSE),VLOOKUP(B116,F!A1:F392,6,FALSE))</f>
        <v>-40.250098178333303</v>
      </c>
      <c r="L116" s="53">
        <f>IFERROR(K116/H116,"N/A")</f>
        <v>-6.1923227966666623</v>
      </c>
      <c r="M116" s="54">
        <f>IF(Settings!$E$9="YAHOO",VLOOKUP(B116,ADP!A1:E665,2,FALSE),IF(Settings!$E$9="ESPN",VLOOKUP(B116,ADP!A1:E665,3,FALSE),IF(Settings!$E$9="FANTRAX",VLOOKUP(B116,ADP!A1:E665,4,FALSE),VLOOKUP(B116,ADP!A1:E665,5,FALSE))))</f>
        <v>60.4</v>
      </c>
      <c r="N116" s="54">
        <f>IFERROR(M116-A116,"N/A")</f>
        <v>-54.6</v>
      </c>
      <c r="O116" s="54"/>
      <c r="P116" s="55" t="str">
        <f>IF(Settings!$E$27="ON",VLOOKUP(B116,ADP!A1:H665,8,FALSE)," ")</f>
        <v xml:space="preserve"> </v>
      </c>
      <c r="Q116" s="56">
        <f>IF(Settings!$E$12="YES",VLOOKUP(B116,'Player Data'!A1:E667,5,FALSE),82)</f>
        <v>79.652500000000003</v>
      </c>
      <c r="R116" s="54">
        <f>VLOOKUP(B116,'Player Data'!$A1:$AE667,6,FALSE)</f>
        <v>17.922349985466099</v>
      </c>
      <c r="S116" s="56">
        <f>VLOOKUP(B116,'Player Data'!$A1:$AE667,7,FALSE)*$Q116*IFERROR((VLOOKUP(P116,Settings!$E$28:$F$33,2,FALSE)+1),1)</f>
        <v>30.184880963336067</v>
      </c>
      <c r="T116" s="56">
        <f>VLOOKUP(B116,'Player Data'!$A1:$AE667,8,FALSE)*$Q116*IFERROR((VLOOKUP(P116,Settings!$E$28:$F$33,2,FALSE)+1),1)</f>
        <v>33.700239498920915</v>
      </c>
      <c r="U116" s="56">
        <f>SUM(S116:T116)</f>
        <v>63.885120462256978</v>
      </c>
      <c r="V116" s="56">
        <f>VLOOKUP(B116,'Player Data'!$A1:$AE667,10,FALSE)*$Q116*IFERROR(((VLOOKUP(P116,Settings!$E$28:$F$33,2,FALSE)/2)+1),1)</f>
        <v>198.99901620526859</v>
      </c>
      <c r="W116" s="56">
        <f>VLOOKUP(B116,'Player Data'!$A1:$AE667,11,FALSE)*$Q116*IFERROR((VLOOKUP(P116,Settings!$E$28:$F$33,2,FALSE)+1),1)</f>
        <v>12.246419571908291</v>
      </c>
      <c r="X116" s="57">
        <f>VLOOKUP(B116,'Player Data'!$A1:$AE667,12,FALSE)*$Q116*IFERROR((VLOOKUP(P116,Settings!$E$28:$F$33,2,FALSE)+1),1)</f>
        <v>22.2636522385204</v>
      </c>
      <c r="Y116" s="56">
        <f>VLOOKUP(B116,'Player Data'!$A1:$AE667,13,FALSE)*$Q116</f>
        <v>5.156907294550598E-3</v>
      </c>
      <c r="Z116" s="56">
        <f>VLOOKUP(B116,'Player Data'!$A1:$AE667,14,FALSE)*$Q116</f>
        <v>8.714752111226234E-3</v>
      </c>
      <c r="AA116" s="56">
        <f>VLOOKUP(B116,'Player Data'!$A1:$AE667,15,FALSE)*$Q116</f>
        <v>30.340776895844289</v>
      </c>
      <c r="AB116" s="56">
        <f>VLOOKUP(B116,'Player Data'!$A1:$AE667,16,FALSE)*$Q116</f>
        <v>53.523071552271105</v>
      </c>
      <c r="AC116" s="56">
        <f>VLOOKUP(B116,'Player Data'!$A1:$AE667,17,FALSE)*$Q116*IFERROR((VLOOKUP(P116,Settings!$E$28:$F$33,2,FALSE)+1),1)</f>
        <v>4.4118842795363999</v>
      </c>
      <c r="AD116" s="56">
        <f>VLOOKUP(B116,'Player Data'!$A1:$AE667,18,FALSE)*$Q116</f>
        <v>23.118004114126503</v>
      </c>
      <c r="AE116" s="56">
        <f>VLOOKUP(B116,'Player Data'!$A1:$AE667,19,FALSE)*$Q116*IFERROR((VLOOKUP(P116,Settings!$E$28:$F$33,2,FALSE)+1),1)</f>
        <v>5.1547990023784207</v>
      </c>
      <c r="AF116" s="56">
        <f>VLOOKUP(B116,'Player Data'!$A1:$AE667,20,FALSE)*$Q116</f>
        <v>15.833749030511768</v>
      </c>
      <c r="AG116" s="56">
        <f>VLOOKUP(B116,'Player Data'!$A1:$AE667,21,FALSE)*$Q116</f>
        <v>17.49428203930777</v>
      </c>
      <c r="AH116" s="58">
        <f>VLOOKUP(B116,'Player Data'!$A1:$AE667,22,FALSE)</f>
        <v>0.47508804217510903</v>
      </c>
      <c r="AI116" s="54"/>
      <c r="AJ116" s="64"/>
      <c r="AK116" s="56"/>
      <c r="AL116" s="56"/>
      <c r="AM116" s="56"/>
      <c r="AN116" s="56"/>
      <c r="AO116" s="56"/>
      <c r="AP116" s="56"/>
      <c r="AQ116" s="59"/>
      <c r="AR116" s="60"/>
      <c r="AS116" s="54"/>
    </row>
    <row r="117" spans="1:45" ht="21.25" customHeight="1" x14ac:dyDescent="0.15">
      <c r="A117" s="45">
        <f>RANK(K117,K$1:K$665)</f>
        <v>116</v>
      </c>
      <c r="B117" s="9" t="s">
        <v>242</v>
      </c>
      <c r="C117" s="46" t="s">
        <v>127</v>
      </c>
      <c r="D117" s="47" t="str">
        <f>VLOOKUP(B117,'Player Data'!A1:D667,4,FALSE)</f>
        <v>D</v>
      </c>
      <c r="E117" s="66">
        <f>VLOOKUP(B117,D!A1:C213,3,FALSE)</f>
        <v>29</v>
      </c>
      <c r="F117" s="72" t="str">
        <f>VLOOKUP(B117,'Player Data'!A1:B667,2,FALSE)</f>
        <v>L.A</v>
      </c>
      <c r="G117" s="63">
        <f>VLOOKUP(B117,'Player Data'!A1:D667,3,FALSE)</f>
        <v>34</v>
      </c>
      <c r="H117" s="50">
        <f>IFERROR(VLOOKUP(B117,ADP!A1:G665,7,FALSE)/1000000,VLOOKUP(B117,ADP!A1:G665,7,FALSE))</f>
        <v>11</v>
      </c>
      <c r="I117" s="51">
        <f>IF(Settings!$E$15="POINTS",((R117*Q117)*Settings!$B$12)+(S117*Settings!$B$2)+(T117*Settings!$B$3)+(U117*Settings!$B$4)+(V117*Settings!$B$5)+(X117*Settings!$B$9)+(AA117*Settings!$B$6)+(W117*Settings!$B$8)+(AB117*Settings!$B$7)+(AC117*Settings!$B$14)+(AD117*Settings!$B$15)+(AE117*Settings!$B$16)+(AF117*Settings!$B$17)+(AG117*Settings!$B$18)+(U117*Settings!$B$13)+(Y117*Settings!$B$10)+(Z117*Settings!$B$11),VLOOKUP(B117,'Standard Deviations'!A1:C666,3,FALSE))</f>
        <v>295.88360011065964</v>
      </c>
      <c r="J117" s="52">
        <f>IF(D117="G",I117/AJ117,I117/Q117)</f>
        <v>3.8133015447454284</v>
      </c>
      <c r="K117" s="51">
        <f>VLOOKUP(B117,D!A1:F213,6,FALSE)</f>
        <v>-40.350524934935265</v>
      </c>
      <c r="L117" s="53">
        <f>IFERROR(K117/H117,"N/A")</f>
        <v>-3.6682295395395697</v>
      </c>
      <c r="M117" s="54">
        <f>IF(Settings!$E$9="YAHOO",VLOOKUP(B117,ADP!A1:E665,2,FALSE),IF(Settings!$E$9="ESPN",VLOOKUP(B117,ADP!A1:E665,3,FALSE),IF(Settings!$E$9="FANTRAX",VLOOKUP(B117,ADP!A1:E665,4,FALSE),VLOOKUP(B117,ADP!A1:E665,5,FALSE))))</f>
        <v>109.1</v>
      </c>
      <c r="N117" s="54">
        <f>IFERROR(M117-A117,"N/A")</f>
        <v>-6.9000000000000057</v>
      </c>
      <c r="O117" s="54"/>
      <c r="P117" s="55" t="str">
        <f>IF(Settings!$E$27="ON",VLOOKUP(B117,ADP!A1:H665,8,FALSE)," ")</f>
        <v xml:space="preserve"> </v>
      </c>
      <c r="Q117" s="56">
        <f>IF(Settings!$E$12="YES",VLOOKUP(B117,'Player Data'!A1:E667,5,FALSE),82)</f>
        <v>77.592500000000001</v>
      </c>
      <c r="R117" s="54">
        <f>VLOOKUP(B117,'Player Data'!$A1:$AE667,6,FALSE)</f>
        <v>25.599727606893101</v>
      </c>
      <c r="S117" s="56">
        <f>VLOOKUP(B117,'Player Data'!$A1:$AE667,7,FALSE)*$Q117*IFERROR((VLOOKUP(P117,Settings!$E$28:$F$33,2,FALSE)+1),1)</f>
        <v>10.973780919025415</v>
      </c>
      <c r="T117" s="56">
        <f>VLOOKUP(B117,'Player Data'!$A1:$AE667,8,FALSE)*$Q117*IFERROR((VLOOKUP(P117,Settings!$E$28:$F$33,2,FALSE)+1),1)</f>
        <v>37.041567584782563</v>
      </c>
      <c r="U117" s="56">
        <f>SUM(S117:T117)</f>
        <v>48.015348503807978</v>
      </c>
      <c r="V117" s="56">
        <f>VLOOKUP(B117,'Player Data'!$A1:$AE667,10,FALSE)*$Q117*IFERROR(((VLOOKUP(P117,Settings!$E$28:$F$33,2,FALSE)/2)+1),1)</f>
        <v>137.74225708893803</v>
      </c>
      <c r="W117" s="56">
        <f>VLOOKUP(B117,'Player Data'!$A1:$AE667,11,FALSE)*$Q117*IFERROR((VLOOKUP(P117,Settings!$E$28:$F$33,2,FALSE)+1),1)</f>
        <v>4.3193515566175158</v>
      </c>
      <c r="X117" s="57">
        <f>VLOOKUP(B117,'Player Data'!$A1:$AE667,12,FALSE)*$Q117*IFERROR((VLOOKUP(P117,Settings!$E$28:$F$33,2,FALSE)+1),1)</f>
        <v>19.714595056580634</v>
      </c>
      <c r="Y117" s="56">
        <f>VLOOKUP(B117,'Player Data'!$A1:$AE667,13,FALSE)*$Q117</f>
        <v>2.3991278228963436E-2</v>
      </c>
      <c r="Z117" s="56">
        <f>VLOOKUP(B117,'Player Data'!$A1:$AE667,14,FALSE)*$Q117</f>
        <v>0.10443936551503696</v>
      </c>
      <c r="AA117" s="56">
        <f>VLOOKUP(B117,'Player Data'!$A1:$AE667,15,FALSE)*$Q117</f>
        <v>126.29478326534212</v>
      </c>
      <c r="AB117" s="56">
        <f>VLOOKUP(B117,'Player Data'!$A1:$AE667,16,FALSE)*$Q117</f>
        <v>101.4361353591969</v>
      </c>
      <c r="AC117" s="56">
        <f>VLOOKUP(B117,'Player Data'!$A1:$AE667,17,FALSE)*$Q117*IFERROR((VLOOKUP(P117,Settings!$E$28:$F$33,2,FALSE)+1),1)</f>
        <v>3.484285717231395</v>
      </c>
      <c r="AD117" s="56">
        <f>VLOOKUP(B117,'Player Data'!$A1:$AE667,18,FALSE)*$Q117</f>
        <v>42.242292777512901</v>
      </c>
      <c r="AE117" s="56">
        <f>VLOOKUP(B117,'Player Data'!$A1:$AE667,19,FALSE)*$Q117*IFERROR((VLOOKUP(P117,Settings!$E$28:$F$33,2,FALSE)+1),1)</f>
        <v>1.9556558277384803</v>
      </c>
      <c r="AF117" s="56">
        <f>VLOOKUP(B117,'Player Data'!$A1:$AE667,20,FALSE)*$Q117</f>
        <v>0</v>
      </c>
      <c r="AG117" s="56">
        <f>VLOOKUP(B117,'Player Data'!$A1:$AE667,21,FALSE)*$Q117</f>
        <v>0</v>
      </c>
      <c r="AH117" s="58">
        <f>VLOOKUP(B117,'Player Data'!$A1:$AE667,22,FALSE)</f>
        <v>0</v>
      </c>
      <c r="AI117" s="54"/>
      <c r="AJ117" s="56"/>
      <c r="AK117" s="56"/>
      <c r="AL117" s="56"/>
      <c r="AM117" s="56"/>
      <c r="AN117" s="56"/>
      <c r="AO117" s="56"/>
      <c r="AP117" s="56"/>
      <c r="AQ117" s="59"/>
      <c r="AR117" s="60"/>
      <c r="AS117" s="54"/>
    </row>
    <row r="118" spans="1:45" ht="21.25" customHeight="1" x14ac:dyDescent="0.15">
      <c r="A118" s="45">
        <f>RANK(K118,K$1:K$665)</f>
        <v>117</v>
      </c>
      <c r="B118" s="9" t="s">
        <v>243</v>
      </c>
      <c r="C118" s="46" t="s">
        <v>127</v>
      </c>
      <c r="D118" s="47" t="str">
        <f>VLOOKUP(B118,'Player Data'!A1:D667,4,FALSE)</f>
        <v>C/RW</v>
      </c>
      <c r="E118" s="68">
        <f>VLOOKUP(B118,RW!A1:C136,3,FALSE)</f>
        <v>33</v>
      </c>
      <c r="F118" s="82" t="str">
        <f>VLOOKUP(B118,'Player Data'!A1:B667,2,FALSE)</f>
        <v>ANA</v>
      </c>
      <c r="G118" s="10">
        <f>VLOOKUP(B118,'Player Data'!A1:D667,3,FALSE)</f>
        <v>26</v>
      </c>
      <c r="H118" s="50">
        <f>IFERROR(VLOOKUP(B118,ADP!A1:G665,7,FALSE)/1000000,VLOOKUP(B118,ADP!A1:G665,7,FALSE))</f>
        <v>7</v>
      </c>
      <c r="I118" s="51">
        <f>IF(Settings!$E$15="POINTS",((R118*Q118)*Settings!$B$12)+(S118*Settings!$B$2)+(T118*Settings!$B$3)+(U118*Settings!$B$4)+(V118*Settings!$B$5)+(X118*Settings!$B$9)+(AA118*Settings!$B$6)+(W118*Settings!$B$8)+(AB118*Settings!$B$7)+(AC118*Settings!$B$14)+(AD118*Settings!$B$15)+(AE118*Settings!$B$16)+(AF118*Settings!$B$17)+(AG118*Settings!$B$18)+(Y118*Settings!$B$10)+(Z118*Settings!$B$11),VLOOKUP(B118,'Standard Deviations'!A1:C666,3,FALSE))</f>
        <v>328.29973884741958</v>
      </c>
      <c r="J118" s="52">
        <f>IF(D118="G",I118/AJ118,I118/Q118)</f>
        <v>4.1760445061046827</v>
      </c>
      <c r="K118" s="51">
        <f>IF(Settings!$E$18="C/LW/RW",VLOOKUP(B118,RW!A1:F136,6,FALSE),VLOOKUP(B118,F!A1:F392,6,FALSE))</f>
        <v>-40.547984258872816</v>
      </c>
      <c r="L118" s="53">
        <f>IFERROR(K118/H118,"N/A")</f>
        <v>-5.7925691798389733</v>
      </c>
      <c r="M118" s="54">
        <f>IF(Settings!$E$9="YAHOO",VLOOKUP(B118,ADP!A1:E665,2,FALSE),IF(Settings!$E$9="ESPN",VLOOKUP(B118,ADP!A1:E665,3,FALSE),IF(Settings!$E$9="FANTRAX",VLOOKUP(B118,ADP!A1:E665,4,FALSE),VLOOKUP(B118,ADP!A1:E665,5,FALSE))))</f>
        <v>171</v>
      </c>
      <c r="N118" s="54">
        <f>IFERROR(M118-A118,"N/A")</f>
        <v>54</v>
      </c>
      <c r="O118" s="54"/>
      <c r="P118" s="55" t="str">
        <f>IF(Settings!$E$27="ON",VLOOKUP(B118,ADP!A1:H665,8,FALSE)," ")</f>
        <v xml:space="preserve"> </v>
      </c>
      <c r="Q118" s="56">
        <f>IF(Settings!$E$12="YES",VLOOKUP(B118,'Player Data'!A1:E667,5,FALSE),82)</f>
        <v>78.614999999999995</v>
      </c>
      <c r="R118" s="54">
        <f>VLOOKUP(B118,'Player Data'!$A1:$AE667,6,FALSE)</f>
        <v>18.915992000941799</v>
      </c>
      <c r="S118" s="56">
        <f>VLOOKUP(B118,'Player Data'!$A1:$AE667,7,FALSE)*$Q118*IFERROR((VLOOKUP(P118,Settings!$E$28:$F$33,2,FALSE)+1),1)</f>
        <v>27.009289808205391</v>
      </c>
      <c r="T118" s="56">
        <f>VLOOKUP(B118,'Player Data'!$A1:$AE667,8,FALSE)*$Q118*IFERROR((VLOOKUP(P118,Settings!$E$28:$F$33,2,FALSE)+1),1)</f>
        <v>39.08173912611781</v>
      </c>
      <c r="U118" s="56">
        <f>SUM(S118:T118)</f>
        <v>66.091028934323205</v>
      </c>
      <c r="V118" s="56">
        <f>VLOOKUP(B118,'Player Data'!$A1:$AE667,10,FALSE)*$Q118*IFERROR(((VLOOKUP(P118,Settings!$E$28:$F$33,2,FALSE)/2)+1),1)</f>
        <v>197.05936404540824</v>
      </c>
      <c r="W118" s="56">
        <f>VLOOKUP(B118,'Player Data'!$A1:$AE667,11,FALSE)*$Q118*IFERROR((VLOOKUP(P118,Settings!$E$28:$F$33,2,FALSE)+1),1)</f>
        <v>6.6689593471874202</v>
      </c>
      <c r="X118" s="57">
        <f>VLOOKUP(B118,'Player Data'!$A1:$AE667,12,FALSE)*$Q118*IFERROR((VLOOKUP(P118,Settings!$E$28:$F$33,2,FALSE)+1),1)</f>
        <v>16.397297364937721</v>
      </c>
      <c r="Y118" s="56">
        <f>VLOOKUP(B118,'Player Data'!$A1:$AE667,13,FALSE)*$Q118</f>
        <v>1.8580742039132358E-2</v>
      </c>
      <c r="Z118" s="56">
        <f>VLOOKUP(B118,'Player Data'!$A1:$AE667,14,FALSE)*$Q118</f>
        <v>3.143249466255358E-2</v>
      </c>
      <c r="AA118" s="56">
        <f>VLOOKUP(B118,'Player Data'!$A1:$AE667,15,FALSE)*$Q118</f>
        <v>30.136480324291085</v>
      </c>
      <c r="AB118" s="56">
        <f>VLOOKUP(B118,'Player Data'!$A1:$AE667,16,FALSE)*$Q118</f>
        <v>21.531289093869528</v>
      </c>
      <c r="AC118" s="56">
        <f>VLOOKUP(B118,'Player Data'!$A1:$AE667,17,FALSE)*$Q118*IFERROR((VLOOKUP(P118,Settings!$E$28:$F$33,2,FALSE)+1),1)</f>
        <v>-5.9771926305127172</v>
      </c>
      <c r="AD118" s="56">
        <f>VLOOKUP(B118,'Player Data'!$A1:$AE667,18,FALSE)*$Q118</f>
        <v>28.299840667053846</v>
      </c>
      <c r="AE118" s="56">
        <f>VLOOKUP(B118,'Player Data'!$A1:$AE667,19,FALSE)*$Q118*IFERROR((VLOOKUP(P118,Settings!$E$28:$F$33,2,FALSE)+1),1)</f>
        <v>3.1481906477709045</v>
      </c>
      <c r="AF118" s="56">
        <f>VLOOKUP(B118,'Player Data'!$A1:$AE667,20,FALSE)*$Q118</f>
        <v>7.8072831907030364</v>
      </c>
      <c r="AG118" s="56">
        <f>VLOOKUP(B118,'Player Data'!$A1:$AE667,21,FALSE)*$Q118</f>
        <v>7.640816023471217</v>
      </c>
      <c r="AH118" s="58">
        <f>VLOOKUP(B118,'Player Data'!$A1:$AE667,22,FALSE)</f>
        <v>0.50538794983524804</v>
      </c>
      <c r="AI118" s="54"/>
      <c r="AJ118" s="56"/>
      <c r="AK118" s="56"/>
      <c r="AL118" s="56"/>
      <c r="AM118" s="56"/>
      <c r="AN118" s="56"/>
      <c r="AO118" s="56"/>
      <c r="AP118" s="56"/>
      <c r="AQ118" s="59"/>
      <c r="AR118" s="60"/>
      <c r="AS118" s="54"/>
    </row>
    <row r="119" spans="1:45" ht="21.25" customHeight="1" x14ac:dyDescent="0.15">
      <c r="A119" s="45">
        <f>RANK(K119,K$1:K$665)</f>
        <v>118</v>
      </c>
      <c r="B119" s="9" t="s">
        <v>244</v>
      </c>
      <c r="C119" s="46" t="s">
        <v>127</v>
      </c>
      <c r="D119" s="47" t="str">
        <f>VLOOKUP(B119,'Player Data'!A1:D667,4,FALSE)</f>
        <v>D</v>
      </c>
      <c r="E119" s="66">
        <f>VLOOKUP(B119,D!A1:C213,3,FALSE)</f>
        <v>30</v>
      </c>
      <c r="F119" s="74" t="str">
        <f>VLOOKUP(B119,'Player Data'!A1:B667,2,FALSE)</f>
        <v>PIT</v>
      </c>
      <c r="G119" s="63">
        <f>VLOOKUP(B119,'Player Data'!A1:D667,3,FALSE)</f>
        <v>37</v>
      </c>
      <c r="H119" s="50">
        <f>IFERROR(VLOOKUP(B119,ADP!A1:G665,7,FALSE)/1000000,VLOOKUP(B119,ADP!A1:G665,7,FALSE))</f>
        <v>6.1</v>
      </c>
      <c r="I119" s="51">
        <f>IF(Settings!$E$15="POINTS",((R119*Q119)*Settings!$B$12)+(S119*Settings!$B$2)+(T119*Settings!$B$3)+(U119*Settings!$B$4)+(V119*Settings!$B$5)+(X119*Settings!$B$9)+(AA119*Settings!$B$6)+(W119*Settings!$B$8)+(AB119*Settings!$B$7)+(AC119*Settings!$B$14)+(AD119*Settings!$B$15)+(AE119*Settings!$B$16)+(AF119*Settings!$B$17)+(AG119*Settings!$B$18)+(U119*Settings!$B$13)+(Y119*Settings!$B$10)+(Z119*Settings!$B$11),VLOOKUP(B119,'Standard Deviations'!A1:C666,3,FALSE))</f>
        <v>294.68111396280347</v>
      </c>
      <c r="J119" s="52">
        <f>IF(D119="G",I119/AJ119,I119/Q119)</f>
        <v>3.7228363838393466</v>
      </c>
      <c r="K119" s="51">
        <f>VLOOKUP(B119,D!A1:F213,6,FALSE)</f>
        <v>-41.553011082791443</v>
      </c>
      <c r="L119" s="53">
        <f>IFERROR(K119/H119,"N/A")</f>
        <v>-6.8119690299658107</v>
      </c>
      <c r="M119" s="54">
        <f>IF(Settings!$E$9="YAHOO",VLOOKUP(B119,ADP!A1:E665,2,FALSE),IF(Settings!$E$9="ESPN",VLOOKUP(B119,ADP!A1:E665,3,FALSE),IF(Settings!$E$9="FANTRAX",VLOOKUP(B119,ADP!A1:E665,4,FALSE),VLOOKUP(B119,ADP!A1:E665,5,FALSE))))</f>
        <v>143.80000000000001</v>
      </c>
      <c r="N119" s="54">
        <f>IFERROR(M119-A119,"N/A")</f>
        <v>25.800000000000011</v>
      </c>
      <c r="O119" s="54"/>
      <c r="P119" s="55" t="str">
        <f>IF(Settings!$E$27="ON",VLOOKUP(B119,ADP!A1:H665,8,FALSE)," ")</f>
        <v xml:space="preserve"> </v>
      </c>
      <c r="Q119" s="56">
        <f>IF(Settings!$E$12="YES",VLOOKUP(B119,'Player Data'!A1:E667,5,FALSE),82)</f>
        <v>79.155000000000001</v>
      </c>
      <c r="R119" s="54">
        <f>VLOOKUP(B119,'Player Data'!$A1:$AE667,6,FALSE)</f>
        <v>24.719250479314599</v>
      </c>
      <c r="S119" s="56">
        <f>VLOOKUP(B119,'Player Data'!$A1:$AE667,7,FALSE)*$Q119*IFERROR((VLOOKUP(P119,Settings!$E$28:$F$33,2,FALSE)+1),1)</f>
        <v>8.8707038229539528</v>
      </c>
      <c r="T119" s="56">
        <f>VLOOKUP(B119,'Player Data'!$A1:$AE667,8,FALSE)*$Q119*IFERROR((VLOOKUP(P119,Settings!$E$28:$F$33,2,FALSE)+1),1)</f>
        <v>35.578221986117448</v>
      </c>
      <c r="U119" s="56">
        <f>SUM(S119:T119)</f>
        <v>44.448925809071397</v>
      </c>
      <c r="V119" s="56">
        <f>VLOOKUP(B119,'Player Data'!$A1:$AE667,10,FALSE)*$Q119*IFERROR(((VLOOKUP(P119,Settings!$E$28:$F$33,2,FALSE)/2)+1),1)</f>
        <v>165.4631935288366</v>
      </c>
      <c r="W119" s="56">
        <f>VLOOKUP(B119,'Player Data'!$A1:$AE667,11,FALSE)*$Q119*IFERROR((VLOOKUP(P119,Settings!$E$28:$F$33,2,FALSE)+1),1)</f>
        <v>1.3796283153184641</v>
      </c>
      <c r="X119" s="56">
        <f>VLOOKUP(B119,'Player Data'!$A1:$AE667,12,FALSE)*$Q119*IFERROR((VLOOKUP(P119,Settings!$E$28:$F$33,2,FALSE)+1),1)</f>
        <v>8.7124716241002886</v>
      </c>
      <c r="Y119" s="56">
        <f>VLOOKUP(B119,'Player Data'!$A1:$AE667,13,FALSE)*$Q119</f>
        <v>0.34032663920813838</v>
      </c>
      <c r="Z119" s="56">
        <f>VLOOKUP(B119,'Player Data'!$A1:$AE667,14,FALSE)*$Q119</f>
        <v>0.47597267579648039</v>
      </c>
      <c r="AA119" s="56">
        <f>VLOOKUP(B119,'Player Data'!$A1:$AE667,15,FALSE)*$Q119</f>
        <v>138.82859094254837</v>
      </c>
      <c r="AB119" s="56">
        <f>VLOOKUP(B119,'Player Data'!$A1:$AE667,16,FALSE)*$Q119</f>
        <v>139.12359143861624</v>
      </c>
      <c r="AC119" s="56">
        <f>VLOOKUP(B119,'Player Data'!$A1:$AE667,17,FALSE)*$Q119*IFERROR((VLOOKUP(P119,Settings!$E$28:$F$33,2,FALSE)+1),1)</f>
        <v>0.47621075234320487</v>
      </c>
      <c r="AD119" s="56">
        <f>VLOOKUP(B119,'Player Data'!$A1:$AE667,18,FALSE)*$Q119</f>
        <v>46.914391519694597</v>
      </c>
      <c r="AE119" s="56">
        <f>VLOOKUP(B119,'Player Data'!$A1:$AE667,19,FALSE)*$Q119*IFERROR((VLOOKUP(P119,Settings!$E$28:$F$33,2,FALSE)+1),1)</f>
        <v>1.315018879358314</v>
      </c>
      <c r="AF119" s="56">
        <f>VLOOKUP(B119,'Player Data'!$A1:$AE667,20,FALSE)*$Q119</f>
        <v>0</v>
      </c>
      <c r="AG119" s="56">
        <f>VLOOKUP(B119,'Player Data'!$A1:$AE667,21,FALSE)*$Q119</f>
        <v>2.7046843541082425E-5</v>
      </c>
      <c r="AH119" s="58">
        <f>VLOOKUP(B119,'Player Data'!$A1:$AE667,22,FALSE)</f>
        <v>0</v>
      </c>
      <c r="AI119" s="54"/>
      <c r="AJ119" s="56"/>
      <c r="AK119" s="56"/>
      <c r="AL119" s="56"/>
      <c r="AM119" s="56"/>
      <c r="AN119" s="56"/>
      <c r="AO119" s="56"/>
      <c r="AP119" s="56"/>
      <c r="AQ119" s="59"/>
      <c r="AR119" s="60"/>
      <c r="AS119" s="54"/>
    </row>
    <row r="120" spans="1:45" ht="21.25" customHeight="1" x14ac:dyDescent="0.15">
      <c r="A120" s="45">
        <f>RANK(K120,K$1:K$665)</f>
        <v>119</v>
      </c>
      <c r="B120" s="9" t="s">
        <v>245</v>
      </c>
      <c r="C120" s="46" t="s">
        <v>127</v>
      </c>
      <c r="D120" s="47" t="str">
        <f>VLOOKUP(B120,'Player Data'!A1:D667,4,FALSE)</f>
        <v>RW</v>
      </c>
      <c r="E120" s="61">
        <f>VLOOKUP(B120,RW!A1:F136,3,FALSE)</f>
        <v>34</v>
      </c>
      <c r="F120" s="65" t="str">
        <f>VLOOKUP(B120,'Player Data'!A1:B667,2,FALSE)</f>
        <v>BUF</v>
      </c>
      <c r="G120" s="69">
        <f>VLOOKUP(B120,'Player Data'!A1:D667,3,FALSE)</f>
        <v>22</v>
      </c>
      <c r="H120" s="67">
        <f>IFERROR(VLOOKUP(B120,ADP!A1:G665,7,FALSE)/1000000,VLOOKUP(B120,ADP!A1:G665,7,FALSE))</f>
        <v>0.85583299999999995</v>
      </c>
      <c r="I120" s="51">
        <f>IF(Settings!$E$15="POINTS",((R120*Q120)*Settings!$B$12)+(S120*Settings!$B$2)+(T120*Settings!$B$3)+(U120*Settings!$B$4)+(V120*Settings!$B$5)+(X120*Settings!$B$9)+(AA120*Settings!$B$6)+(W120*Settings!$B$8)+(AB120*Settings!$B$7)+(AC120*Settings!$B$14)+(AD120*Settings!$B$15)+(AE120*Settings!$B$16)+(AF120*Settings!$B$17)+(AG120*Settings!$B$18)+(Y120*Settings!$B$10)+(Z120*Settings!$B$11),VLOOKUP(B120,'Standard Deviations'!A1:C666,3,FALSE))</f>
        <v>327.29068573031645</v>
      </c>
      <c r="J120" s="52">
        <f>IF(D120="G",I120/AJ120,I120/Q120)</f>
        <v>4.0736930731594914</v>
      </c>
      <c r="K120" s="51">
        <f>IF(Settings!$E$18="C/LW/RW",VLOOKUP(B120,RW!A1:F136,6,FALSE),VLOOKUP(B120,F!A1:F392,6,FALSE))</f>
        <v>-41.557037375975938</v>
      </c>
      <c r="L120" s="53">
        <f>IFERROR(K120/H120,"N/A")</f>
        <v>-48.557414093609317</v>
      </c>
      <c r="M120" s="54">
        <f>IF(Settings!$E$9="YAHOO",VLOOKUP(B120,ADP!A1:E665,2,FALSE),IF(Settings!$E$9="ESPN",VLOOKUP(B120,ADP!A1:E665,3,FALSE),IF(Settings!$E$9="FANTRAX",VLOOKUP(B120,ADP!A1:E665,4,FALSE),VLOOKUP(B120,ADP!A1:E665,5,FALSE))))</f>
        <v>158</v>
      </c>
      <c r="N120" s="54">
        <f>IFERROR(M120-A120,"N/A")</f>
        <v>39</v>
      </c>
      <c r="O120" s="54"/>
      <c r="P120" s="55" t="str">
        <f>IF(Settings!$E$27="ON",VLOOKUP(B120,ADP!A1:H665,8,FALSE)," ")</f>
        <v xml:space="preserve"> </v>
      </c>
      <c r="Q120" s="56">
        <f>IF(Settings!$E$12="YES",VLOOKUP(B120,'Player Data'!A1:E667,5,FALSE),82)</f>
        <v>80.342500000000001</v>
      </c>
      <c r="R120" s="75">
        <f>VLOOKUP(B120,'Player Data'!$A1:$AE667,6,FALSE)</f>
        <v>17.8798997013355</v>
      </c>
      <c r="S120" s="56">
        <f>VLOOKUP(B120,'Player Data'!$A1:$AE667,7,FALSE)*$Q120*IFERROR((VLOOKUP(P120,Settings!$E$28:$F$33,2,FALSE)+1),1)</f>
        <v>29.654936155157685</v>
      </c>
      <c r="T120" s="56">
        <f>VLOOKUP(B120,'Player Data'!$A1:$AE667,8,FALSE)*$Q120*IFERROR((VLOOKUP(P120,Settings!$E$28:$F$33,2,FALSE)+1),1)</f>
        <v>32.864833978380233</v>
      </c>
      <c r="U120" s="56">
        <f>SUM(S120:T120)</f>
        <v>62.519770133537918</v>
      </c>
      <c r="V120" s="56">
        <f>VLOOKUP(B120,'Player Data'!$A1:$AE667,10,FALSE)*$Q120*IFERROR(((VLOOKUP(P120,Settings!$E$28:$F$33,2,FALSE)/2)+1),1)</f>
        <v>229.88729615108454</v>
      </c>
      <c r="W120" s="56">
        <f>VLOOKUP(B120,'Player Data'!$A1:$AE667,11,FALSE)*$Q120*IFERROR((VLOOKUP(P120,Settings!$E$28:$F$33,2,FALSE)+1),1)</f>
        <v>6.0595715446140401</v>
      </c>
      <c r="X120" s="57">
        <f>VLOOKUP(B120,'Player Data'!$A1:$AE667,12,FALSE)*$Q120*IFERROR((VLOOKUP(P120,Settings!$E$28:$F$33,2,FALSE)+1),1)</f>
        <v>14.894379341103303</v>
      </c>
      <c r="Y120" s="56">
        <f>VLOOKUP(B120,'Player Data'!$A1:$AE667,13,FALSE)*$Q120</f>
        <v>1.1716377543052178E-3</v>
      </c>
      <c r="Z120" s="56">
        <f>VLOOKUP(B120,'Player Data'!$A1:$AE667,14,FALSE)*$Q120</f>
        <v>1.9779797824073472E-3</v>
      </c>
      <c r="AA120" s="56">
        <f>VLOOKUP(B120,'Player Data'!$A1:$AE667,15,FALSE)*$Q120</f>
        <v>19.78273986654947</v>
      </c>
      <c r="AB120" s="56">
        <f>VLOOKUP(B120,'Player Data'!$A1:$AE667,16,FALSE)*$Q120</f>
        <v>31.826863597541163</v>
      </c>
      <c r="AC120" s="56">
        <f>VLOOKUP(B120,'Player Data'!$A1:$AE667,17,FALSE)*$Q120*IFERROR((VLOOKUP(P120,Settings!$E$28:$F$33,2,FALSE)+1),1)</f>
        <v>0.24156699292805589</v>
      </c>
      <c r="AD120" s="56">
        <f>VLOOKUP(B120,'Player Data'!$A1:$AE667,18,FALSE)*$Q120</f>
        <v>27.775181644187388</v>
      </c>
      <c r="AE120" s="56">
        <f>VLOOKUP(B120,'Player Data'!$A1:$AE667,19,FALSE)*$Q120*IFERROR((VLOOKUP(P120,Settings!$E$28:$F$33,2,FALSE)+1),1)</f>
        <v>4.194851919608805</v>
      </c>
      <c r="AF120" s="56">
        <f>VLOOKUP(B120,'Player Data'!$A1:$AE667,20,FALSE)*$Q120</f>
        <v>5.2055636857506187</v>
      </c>
      <c r="AG120" s="56">
        <f>VLOOKUP(B120,'Player Data'!$A1:$AE667,21,FALSE)*$Q120</f>
        <v>10.242292406082569</v>
      </c>
      <c r="AH120" s="58">
        <f>VLOOKUP(B120,'Player Data'!$A1:$AE667,22,FALSE)</f>
        <v>0.33697644869326798</v>
      </c>
      <c r="AI120" s="54"/>
      <c r="AJ120" s="64"/>
      <c r="AK120" s="56"/>
      <c r="AL120" s="56"/>
      <c r="AM120" s="56"/>
      <c r="AN120" s="56"/>
      <c r="AO120" s="56"/>
      <c r="AP120" s="56"/>
      <c r="AQ120" s="59"/>
      <c r="AR120" s="60"/>
      <c r="AS120" s="54"/>
    </row>
    <row r="121" spans="1:45" ht="21.25" customHeight="1" x14ac:dyDescent="0.15">
      <c r="A121" s="45">
        <f>RANK(K121,K$1:K$665)</f>
        <v>120</v>
      </c>
      <c r="B121" s="9" t="s">
        <v>246</v>
      </c>
      <c r="C121" s="46" t="s">
        <v>127</v>
      </c>
      <c r="D121" s="47" t="str">
        <f>VLOOKUP(B121,'Player Data'!A1:D667,4,FALSE)</f>
        <v>G</v>
      </c>
      <c r="E121" s="73">
        <f>VLOOKUP(B121,G!A1:D65,3,FALSE)</f>
        <v>14</v>
      </c>
      <c r="F121" s="62" t="str">
        <f>VLOOKUP(B121,'Player Data'!A1:B667,2,FALSE)</f>
        <v>OTT</v>
      </c>
      <c r="G121" s="10">
        <f>VLOOKUP(B121,'Player Data'!A1:D667,3,FALSE)</f>
        <v>30</v>
      </c>
      <c r="H121" s="67">
        <f>IFERROR(VLOOKUP(B121,ADP!A1:G665,7,FALSE)/1000000,VLOOKUP(B121,ADP!A1:G665,7,FALSE))</f>
        <v>5</v>
      </c>
      <c r="I121" s="51">
        <f>IF(Settings!$E$15="POINTS",(AJ121*Settings!$B$29)+(AK121*Settings!$B$21)+(AL121*Settings!$B$22)+(AN121*Settings!$B$24)+(AO121*Settings!$B$25)+(AP121*Settings!$B$27)+(AM121*Settings!$B$23),VLOOKUP(B121,'Standard Deviations'!A1:C666,3,FALSE))</f>
        <v>368.95700931581428</v>
      </c>
      <c r="J121" s="52">
        <f>IF(D121="G",I121/AJ121,I121/Q121)</f>
        <v>7.6866043607461307</v>
      </c>
      <c r="K121" s="51">
        <f>VLOOKUP(B121,G!A1:F65,6,FALSE)</f>
        <v>-41.702733453605902</v>
      </c>
      <c r="L121" s="53">
        <f>IFERROR(K121/H121,"N/A")</f>
        <v>-8.3405466907211796</v>
      </c>
      <c r="M121" s="54">
        <f>IF(Settings!$E$9="YAHOO",VLOOKUP(B121,ADP!A1:E665,2,FALSE),IF(Settings!$E$9="ESPN",VLOOKUP(B121,ADP!A1:E665,3,FALSE),IF(Settings!$E$9="FANTRAX",VLOOKUP(B121,ADP!A1:E665,4,FALSE),VLOOKUP(B121,ADP!A1:E665,5,FALSE))))</f>
        <v>89.3</v>
      </c>
      <c r="N121" s="54">
        <f>IFERROR(M121-A121,"N/A")</f>
        <v>-30.700000000000003</v>
      </c>
      <c r="O121" s="54"/>
      <c r="P121" s="55" t="str">
        <f>IF(Settings!$E$27="ON",VLOOKUP(B121,ADP!A1:H665,8,FALSE)," ")</f>
        <v xml:space="preserve"> </v>
      </c>
      <c r="Q121" s="56"/>
      <c r="R121" s="54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8"/>
      <c r="AI121" s="54"/>
      <c r="AJ121" s="64">
        <f>VLOOKUP(B121,'Player Data'!$A1:$AE667,24,FALSE)</f>
        <v>48</v>
      </c>
      <c r="AK121" s="56">
        <f>VLOOKUP(B121,'Player Data'!$A1:$AE667,25,FALSE)*$AJ121*IFERROR((VLOOKUP(P121,Settings!$E$28:$F$33,2,FALSE)+1),1)</f>
        <v>26.17157382426192</v>
      </c>
      <c r="AL121" s="56">
        <f>AJ121-AK121-AM121</f>
        <v>15.82842617573808</v>
      </c>
      <c r="AM121" s="56">
        <f>VLOOKUP(B121,'Player Data'!$A1:$AE667,27,FALSE)*$AJ121</f>
        <v>6</v>
      </c>
      <c r="AN121" s="56">
        <f>VLOOKUP(B121,'Player Data'!$A1:$AE667,28,FALSE)*AJ121</f>
        <v>3.2160548714213952</v>
      </c>
      <c r="AO121" s="56">
        <f>VLOOKUP(B121,'Player Data'!$A1:$AE667,29,FALSE)*$AJ121*IFERROR((VLOOKUP(P121,Settings!$E$28:$F$33,2,FALSE)/4)+1,1)</f>
        <v>1341.3685457957999</v>
      </c>
      <c r="AP121" s="56">
        <f>VLOOKUP(B121,'Player Data'!$A1:$AE667,31,FALSE)*$AJ121*(IFERROR(1-(VLOOKUP(P121,Settings!$E$28:$F$33,2,FALSE)/4),1))</f>
        <v>127.8193466420976</v>
      </c>
      <c r="AQ121" s="59">
        <f>1-(AP121/(AO121+AP121))</f>
        <v>0.91299999999999959</v>
      </c>
      <c r="AR121" s="60">
        <f>AP121/AJ121</f>
        <v>2.6629030550436998</v>
      </c>
      <c r="AS121" s="54"/>
    </row>
    <row r="122" spans="1:45" ht="21.25" customHeight="1" x14ac:dyDescent="0.15">
      <c r="A122" s="45">
        <f>RANK(K122,K$1:K$665)</f>
        <v>121</v>
      </c>
      <c r="B122" s="9" t="s">
        <v>247</v>
      </c>
      <c r="C122" s="46" t="s">
        <v>127</v>
      </c>
      <c r="D122" s="47" t="str">
        <f>VLOOKUP(B122,'Player Data'!A1:D667,4,FALSE)</f>
        <v>D</v>
      </c>
      <c r="E122" s="66">
        <f>VLOOKUP(B122,D!A1:C213,3,FALSE)</f>
        <v>31</v>
      </c>
      <c r="F122" s="62" t="str">
        <f>VLOOKUP(B122,'Player Data'!A1:B667,2,FALSE)</f>
        <v>OTT</v>
      </c>
      <c r="G122" s="69">
        <f>VLOOKUP(B122,'Player Data'!A1:D667,3,FALSE)</f>
        <v>22</v>
      </c>
      <c r="H122" s="50">
        <f>IFERROR(VLOOKUP(B122,ADP!A1:G665,7,FALSE)/1000000,VLOOKUP(B122,ADP!A1:G665,7,FALSE))</f>
        <v>8.0500000000000007</v>
      </c>
      <c r="I122" s="51">
        <f>IF(Settings!$E$15="POINTS",((R122*Q122)*Settings!$B$12)+(S122*Settings!$B$2)+(T122*Settings!$B$3)+(U122*Settings!$B$4)+(V122*Settings!$B$5)+(X122*Settings!$B$9)+(AA122*Settings!$B$6)+(W122*Settings!$B$8)+(AB122*Settings!$B$7)+(AC122*Settings!$B$14)+(AD122*Settings!$B$15)+(AE122*Settings!$B$16)+(AF122*Settings!$B$17)+(AG122*Settings!$B$18)+(U122*Settings!$B$13)+(Y122*Settings!$B$10)+(Z122*Settings!$B$11),VLOOKUP(B122,'Standard Deviations'!A1:C666,3,FALSE))</f>
        <v>294.20597366119802</v>
      </c>
      <c r="J122" s="52">
        <f>IF(D122="G",I122/AJ122,I122/Q122)</f>
        <v>3.672524948960155</v>
      </c>
      <c r="K122" s="51">
        <f>VLOOKUP(B122,D!A1:F213,6,FALSE)</f>
        <v>-42.028151384396892</v>
      </c>
      <c r="L122" s="53">
        <f>IFERROR(K122/H122,"N/A")</f>
        <v>-5.2208883707325331</v>
      </c>
      <c r="M122" s="54">
        <f>IF(Settings!$E$9="YAHOO",VLOOKUP(B122,ADP!A1:E665,2,FALSE),IF(Settings!$E$9="ESPN",VLOOKUP(B122,ADP!A1:E665,3,FALSE),IF(Settings!$E$9="FANTRAX",VLOOKUP(B122,ADP!A1:E665,4,FALSE),VLOOKUP(B122,ADP!A1:E665,5,FALSE))))</f>
        <v>131.30000000000001</v>
      </c>
      <c r="N122" s="54">
        <f>IFERROR(M122-A122,"N/A")</f>
        <v>10.300000000000011</v>
      </c>
      <c r="O122" s="54"/>
      <c r="P122" s="55" t="str">
        <f>IF(Settings!$E$27="ON",VLOOKUP(B122,ADP!A1:H665,8,FALSE)," ")</f>
        <v xml:space="preserve"> </v>
      </c>
      <c r="Q122" s="56">
        <f>IF(Settings!$E$12="YES",VLOOKUP(B122,'Player Data'!A1:E667,5,FALSE),82)</f>
        <v>80.11</v>
      </c>
      <c r="R122" s="54">
        <f>VLOOKUP(B122,'Player Data'!$A1:$AE667,6,FALSE)</f>
        <v>23.5145568152398</v>
      </c>
      <c r="S122" s="56">
        <f>VLOOKUP(B122,'Player Data'!$A1:$AE667,7,FALSE)*$Q122*IFERROR((VLOOKUP(P122,Settings!$E$28:$F$33,2,FALSE)+1),1)</f>
        <v>8.7522383462878004</v>
      </c>
      <c r="T122" s="56">
        <f>VLOOKUP(B122,'Player Data'!$A1:$AE667,8,FALSE)*$Q122*IFERROR((VLOOKUP(P122,Settings!$E$28:$F$33,2,FALSE)+1),1)</f>
        <v>32.708070651520174</v>
      </c>
      <c r="U122" s="56">
        <f>SUM(S122:T122)</f>
        <v>41.460308997807971</v>
      </c>
      <c r="V122" s="56">
        <f>VLOOKUP(B122,'Player Data'!$A1:$AE667,10,FALSE)*$Q122*IFERROR(((VLOOKUP(P122,Settings!$E$28:$F$33,2,FALSE)/2)+1),1)</f>
        <v>160.54994088789408</v>
      </c>
      <c r="W122" s="56">
        <f>VLOOKUP(B122,'Player Data'!$A1:$AE667,11,FALSE)*$Q122*IFERROR((VLOOKUP(P122,Settings!$E$28:$F$33,2,FALSE)+1),1)</f>
        <v>2.9589644170628215</v>
      </c>
      <c r="X122" s="57">
        <f>VLOOKUP(B122,'Player Data'!$A1:$AE667,12,FALSE)*$Q122*IFERROR((VLOOKUP(P122,Settings!$E$28:$F$33,2,FALSE)+1),1)</f>
        <v>17.098337772978319</v>
      </c>
      <c r="Y122" s="56">
        <f>VLOOKUP(B122,'Player Data'!$A1:$AE667,13,FALSE)*$Q122</f>
        <v>2.7378204681605893E-2</v>
      </c>
      <c r="Z122" s="56">
        <f>VLOOKUP(B122,'Player Data'!$A1:$AE667,14,FALSE)*$Q122</f>
        <v>0.11575670580686513</v>
      </c>
      <c r="AA122" s="56">
        <f>VLOOKUP(B122,'Player Data'!$A1:$AE667,15,FALSE)*$Q122</f>
        <v>144.67196349008367</v>
      </c>
      <c r="AB122" s="56">
        <f>VLOOKUP(B122,'Player Data'!$A1:$AE667,16,FALSE)*$Q122</f>
        <v>63.807977048898877</v>
      </c>
      <c r="AC122" s="56">
        <f>VLOOKUP(B122,'Player Data'!$A1:$AE667,17,FALSE)*$Q122*IFERROR((VLOOKUP(P122,Settings!$E$28:$F$33,2,FALSE)+1),1)</f>
        <v>0.16532511707892023</v>
      </c>
      <c r="AD122" s="56">
        <f>VLOOKUP(B122,'Player Data'!$A1:$AE667,18,FALSE)*$Q122</f>
        <v>25.093191594279464</v>
      </c>
      <c r="AE122" s="56">
        <f>VLOOKUP(B122,'Player Data'!$A1:$AE667,19,FALSE)*$Q122*IFERROR((VLOOKUP(P122,Settings!$E$28:$F$33,2,FALSE)+1),1)</f>
        <v>1.3589096286142917</v>
      </c>
      <c r="AF122" s="56">
        <f>VLOOKUP(B122,'Player Data'!$A1:$AE667,20,FALSE)*$Q122</f>
        <v>0.48965466507024985</v>
      </c>
      <c r="AG122" s="56">
        <f>VLOOKUP(B122,'Player Data'!$A1:$AE667,21,FALSE)*$Q122</f>
        <v>0.3737277432720309</v>
      </c>
      <c r="AH122" s="58">
        <f>VLOOKUP(B122,'Player Data'!$A1:$AE667,22,FALSE)</f>
        <v>0.56713532768220398</v>
      </c>
      <c r="AI122" s="54"/>
      <c r="AJ122" s="56"/>
      <c r="AK122" s="56"/>
      <c r="AL122" s="56"/>
      <c r="AM122" s="56"/>
      <c r="AN122" s="56"/>
      <c r="AO122" s="56"/>
      <c r="AP122" s="56"/>
      <c r="AQ122" s="59"/>
      <c r="AR122" s="60"/>
      <c r="AS122" s="54"/>
    </row>
    <row r="123" spans="1:45" ht="21.25" customHeight="1" x14ac:dyDescent="0.15">
      <c r="A123" s="45">
        <f>RANK(K123,K$1:K$665)</f>
        <v>122</v>
      </c>
      <c r="B123" s="9" t="s">
        <v>248</v>
      </c>
      <c r="C123" s="46" t="s">
        <v>127</v>
      </c>
      <c r="D123" s="47" t="str">
        <f>VLOOKUP(B123,'Player Data'!A1:D667,4,FALSE)</f>
        <v>C</v>
      </c>
      <c r="E123" s="48">
        <f>VLOOKUP(B123,'C'!A1:C206,3,FALSE)</f>
        <v>41</v>
      </c>
      <c r="F123" s="55" t="str">
        <f>VLOOKUP(B123,'Player Data'!A1:B667,2,FALSE)</f>
        <v>WPG</v>
      </c>
      <c r="G123" s="63">
        <f>VLOOKUP(B123,'Player Data'!A1:D667,3,FALSE)</f>
        <v>31</v>
      </c>
      <c r="H123" s="50">
        <f>IFERROR(VLOOKUP(B123,ADP!A1:G665,7,FALSE)/1000000,VLOOKUP(B123,ADP!A1:G665,7,FALSE))</f>
        <v>8.5</v>
      </c>
      <c r="I123" s="51">
        <f>IF(Settings!$E$15="POINTS",((R123*Q123)*Settings!$B$12)+(S123*Settings!$B$2)+(T123*Settings!$B$3)+(U123*Settings!$B$4)+(V123*Settings!$B$5)+(X123*Settings!$B$9)+(AA123*Settings!$B$6)+(W123*Settings!$B$8)+(AB123*Settings!$B$7)+(AC123*Settings!$B$14)+(AD123*Settings!$B$15)+(AE123*Settings!$B$16)+(AF123*Settings!$B$17)+(AG123*Settings!$B$18)+(Y123*Settings!$B$10)+(Z123*Settings!$B$11),VLOOKUP(B123,'Standard Deviations'!A1:C666,3,FALSE))</f>
        <v>347.51240021842267</v>
      </c>
      <c r="J123" s="52">
        <f>IF(D123="G",I123/AJ123,I123/Q123)</f>
        <v>4.40042293479911</v>
      </c>
      <c r="K123" s="51">
        <f>IF(Settings!$E$18="C/LW/RW",VLOOKUP(B123,'C'!A1:F206,6,FALSE),VLOOKUP(B123,F!A1:F392,6,FALSE))</f>
        <v>-42.424757559658417</v>
      </c>
      <c r="L123" s="53">
        <f>IFERROR(K123/H123,"N/A")</f>
        <v>-4.991147948195108</v>
      </c>
      <c r="M123" s="54">
        <f>IF(Settings!$E$9="YAHOO",VLOOKUP(B123,ADP!A1:E665,2,FALSE),IF(Settings!$E$9="ESPN",VLOOKUP(B123,ADP!A1:E665,3,FALSE),IF(Settings!$E$9="FANTRAX",VLOOKUP(B123,ADP!A1:E665,4,FALSE),VLOOKUP(B123,ADP!A1:E665,5,FALSE))))</f>
        <v>132.19999999999999</v>
      </c>
      <c r="N123" s="54">
        <f>IFERROR(M123-A123,"N/A")</f>
        <v>10.199999999999989</v>
      </c>
      <c r="O123" s="54"/>
      <c r="P123" s="55" t="str">
        <f>IF(Settings!$E$27="ON",VLOOKUP(B123,ADP!A1:H665,8,FALSE)," ")</f>
        <v xml:space="preserve"> </v>
      </c>
      <c r="Q123" s="56">
        <f>IF(Settings!$E$12="YES",VLOOKUP(B123,'Player Data'!A1:E667,5,FALSE),82)</f>
        <v>78.972499999999997</v>
      </c>
      <c r="R123" s="54">
        <f>VLOOKUP(B123,'Player Data'!$A1:$AE667,6,FALSE)</f>
        <v>20.300179404297399</v>
      </c>
      <c r="S123" s="56">
        <f>VLOOKUP(B123,'Player Data'!$A1:$AE667,7,FALSE)*$Q123*IFERROR((VLOOKUP(P123,Settings!$E$28:$F$33,2,FALSE)+1),1)</f>
        <v>31.370191019259835</v>
      </c>
      <c r="T123" s="56">
        <f>VLOOKUP(B123,'Player Data'!$A1:$AE667,8,FALSE)*$Q123*IFERROR((VLOOKUP(P123,Settings!$E$28:$F$33,2,FALSE)+1),1)</f>
        <v>40.949921351649294</v>
      </c>
      <c r="U123" s="56">
        <f>SUM(S123:T123)</f>
        <v>72.320112370909129</v>
      </c>
      <c r="V123" s="56">
        <f>VLOOKUP(B123,'Player Data'!$A1:$AE667,10,FALSE)*$Q123*IFERROR(((VLOOKUP(P123,Settings!$E$28:$F$33,2,FALSE)/2)+1),1)</f>
        <v>180.06502588832959</v>
      </c>
      <c r="W123" s="56">
        <f>VLOOKUP(B123,'Player Data'!$A1:$AE667,11,FALSE)*$Q123*IFERROR((VLOOKUP(P123,Settings!$E$28:$F$33,2,FALSE)+1),1)</f>
        <v>7.8921873304693477</v>
      </c>
      <c r="X123" s="57">
        <f>VLOOKUP(B123,'Player Data'!$A1:$AE667,12,FALSE)*$Q123*IFERROR((VLOOKUP(P123,Settings!$E$28:$F$33,2,FALSE)+1),1)</f>
        <v>19.574682158323089</v>
      </c>
      <c r="Y123" s="56">
        <f>VLOOKUP(B123,'Player Data'!$A1:$AE667,13,FALSE)*$Q123</f>
        <v>2.1368641542640274E-2</v>
      </c>
      <c r="Z123" s="56">
        <f>VLOOKUP(B123,'Player Data'!$A1:$AE667,14,FALSE)*$Q123</f>
        <v>3.6320766498429462E-2</v>
      </c>
      <c r="AA123" s="56">
        <f>VLOOKUP(B123,'Player Data'!$A1:$AE667,15,FALSE)*$Q123</f>
        <v>41.817094473417995</v>
      </c>
      <c r="AB123" s="56">
        <f>VLOOKUP(B123,'Player Data'!$A1:$AE667,16,FALSE)*$Q123</f>
        <v>61.098977481025102</v>
      </c>
      <c r="AC123" s="56">
        <f>VLOOKUP(B123,'Player Data'!$A1:$AE667,17,FALSE)*$Q123*IFERROR((VLOOKUP(P123,Settings!$E$28:$F$33,2,FALSE)+1),1)</f>
        <v>1.5382365198665704</v>
      </c>
      <c r="AD123" s="56">
        <f>VLOOKUP(B123,'Player Data'!$A1:$AE667,18,FALSE)*$Q123</f>
        <v>36.386802727716116</v>
      </c>
      <c r="AE123" s="56">
        <f>VLOOKUP(B123,'Player Data'!$A1:$AE667,19,FALSE)*$Q123*IFERROR((VLOOKUP(P123,Settings!$E$28:$F$33,2,FALSE)+1),1)</f>
        <v>5.2145588726635808</v>
      </c>
      <c r="AF123" s="56">
        <f>VLOOKUP(B123,'Player Data'!$A1:$AE667,20,FALSE)*$Q123</f>
        <v>614.98191566171602</v>
      </c>
      <c r="AG123" s="56">
        <f>VLOOKUP(B123,'Player Data'!$A1:$AE667,21,FALSE)*$Q123</f>
        <v>648.36113687582485</v>
      </c>
      <c r="AH123" s="58">
        <f>VLOOKUP(B123,'Player Data'!$A1:$AE667,22,FALSE)</f>
        <v>0.48678932806609299</v>
      </c>
      <c r="AI123" s="54"/>
      <c r="AJ123" s="56"/>
      <c r="AK123" s="56"/>
      <c r="AL123" s="56"/>
      <c r="AM123" s="56"/>
      <c r="AN123" s="56"/>
      <c r="AO123" s="56"/>
      <c r="AP123" s="56"/>
      <c r="AQ123" s="59"/>
      <c r="AR123" s="60"/>
      <c r="AS123" s="54"/>
    </row>
    <row r="124" spans="1:45" ht="21.25" customHeight="1" x14ac:dyDescent="0.15">
      <c r="A124" s="45">
        <f>RANK(K124,K$1:K$665)</f>
        <v>123</v>
      </c>
      <c r="B124" s="9" t="s">
        <v>249</v>
      </c>
      <c r="C124" s="46" t="s">
        <v>127</v>
      </c>
      <c r="D124" s="47" t="str">
        <f>VLOOKUP(B124,'Player Data'!A1:D667,4,FALSE)</f>
        <v>C</v>
      </c>
      <c r="E124" s="48">
        <f>VLOOKUP(B124,'C'!A1:C206,3,FALSE)</f>
        <v>42</v>
      </c>
      <c r="F124" s="62" t="str">
        <f>VLOOKUP(B124,'Player Data'!A1:B667,2,FALSE)</f>
        <v>BOS</v>
      </c>
      <c r="G124" s="10">
        <f>VLOOKUP(B124,'Player Data'!A1:D667,3,FALSE)</f>
        <v>29</v>
      </c>
      <c r="H124" s="50">
        <f>IFERROR(VLOOKUP(B124,ADP!A1:G665,7,FALSE)/1000000,VLOOKUP(B124,ADP!A1:G665,7,FALSE))</f>
        <v>7.75</v>
      </c>
      <c r="I124" s="51">
        <f>IF(Settings!$E$15="POINTS",((R124*Q124)*Settings!$B$12)+(S124*Settings!$B$2)+(T124*Settings!$B$3)+(U124*Settings!$B$4)+(V124*Settings!$B$5)+(X124*Settings!$B$9)+(AA124*Settings!$B$6)+(W124*Settings!$B$8)+(AB124*Settings!$B$7)+(AC124*Settings!$B$14)+(AD124*Settings!$B$15)+(AE124*Settings!$B$16)+(AF124*Settings!$B$17)+(AG124*Settings!$B$18)+(Y124*Settings!$B$10)+(Z124*Settings!$B$11),VLOOKUP(B124,'Standard Deviations'!A1:C666,3,FALSE))</f>
        <v>346.24116150700775</v>
      </c>
      <c r="J124" s="52">
        <f>IF(D124="G",I124/AJ124,I124/Q124)</f>
        <v>4.3004646670642162</v>
      </c>
      <c r="K124" s="51">
        <f>IF(Settings!$E$18="C/LW/RW",VLOOKUP(B124,'C'!A1:F206,6,FALSE),VLOOKUP(B124,F!A1:F392,6,FALSE))</f>
        <v>-43.695996271073341</v>
      </c>
      <c r="L124" s="53">
        <f>IFERROR(K124/H124,"N/A")</f>
        <v>-5.63819306723527</v>
      </c>
      <c r="M124" s="54">
        <f>IF(Settings!$E$9="YAHOO",VLOOKUP(B124,ADP!A1:E665,2,FALSE),IF(Settings!$E$9="ESPN",VLOOKUP(B124,ADP!A1:E665,3,FALSE),IF(Settings!$E$9="FANTRAX",VLOOKUP(B124,ADP!A1:E665,4,FALSE),VLOOKUP(B124,ADP!A1:E665,5,FALSE))))</f>
        <v>123.4</v>
      </c>
      <c r="N124" s="54">
        <f>IFERROR(M124-A124,"N/A")</f>
        <v>0.40000000000000568</v>
      </c>
      <c r="O124" s="54"/>
      <c r="P124" s="55" t="str">
        <f>IF(Settings!$E$27="ON",VLOOKUP(B124,ADP!A1:H665,8,FALSE)," ")</f>
        <v>-</v>
      </c>
      <c r="Q124" s="56">
        <f>IF(Settings!$E$12="YES",VLOOKUP(B124,'Player Data'!A1:E667,5,FALSE),82)</f>
        <v>80.512500000000003</v>
      </c>
      <c r="R124" s="54">
        <f>VLOOKUP(B124,'Player Data'!$A1:$AE667,6,FALSE)</f>
        <v>20.3596832263846</v>
      </c>
      <c r="S124" s="56">
        <f>VLOOKUP(B124,'Player Data'!$A1:$AE667,7,FALSE)*$Q124*IFERROR((VLOOKUP(P124,Settings!$E$28:$F$33,2,FALSE)+1),1)</f>
        <v>25.287399711791664</v>
      </c>
      <c r="T124" s="56">
        <f>VLOOKUP(B124,'Player Data'!$A1:$AE667,8,FALSE)*$Q124*IFERROR((VLOOKUP(P124,Settings!$E$28:$F$33,2,FALSE)+1),1)</f>
        <v>39.221904807801721</v>
      </c>
      <c r="U124" s="56">
        <f>SUM(S124:T124)</f>
        <v>64.509304519593385</v>
      </c>
      <c r="V124" s="56">
        <f>VLOOKUP(B124,'Player Data'!$A1:$AE667,10,FALSE)*$Q124*IFERROR(((VLOOKUP(P124,Settings!$E$28:$F$33,2,FALSE)/2)+1),1)</f>
        <v>202.080330420536</v>
      </c>
      <c r="W124" s="56">
        <f>VLOOKUP(B124,'Player Data'!$A1:$AE667,11,FALSE)*$Q124*IFERROR((VLOOKUP(P124,Settings!$E$28:$F$33,2,FALSE)+1),1)</f>
        <v>8.7540785094854723</v>
      </c>
      <c r="X124" s="57">
        <f>VLOOKUP(B124,'Player Data'!$A1:$AE667,12,FALSE)*$Q124*IFERROR((VLOOKUP(P124,Settings!$E$28:$F$33,2,FALSE)+1),1)</f>
        <v>18.498794819517759</v>
      </c>
      <c r="Y124" s="56">
        <f>VLOOKUP(B124,'Player Data'!$A1:$AE667,13,FALSE)*$Q124</f>
        <v>1.0031696235125245</v>
      </c>
      <c r="Z124" s="56">
        <f>VLOOKUP(B124,'Player Data'!$A1:$AE667,14,FALSE)*$Q124</f>
        <v>2.749193335587544</v>
      </c>
      <c r="AA124" s="56">
        <f>VLOOKUP(B124,'Player Data'!$A1:$AE667,15,FALSE)*$Q124</f>
        <v>60.850189165708585</v>
      </c>
      <c r="AB124" s="56">
        <f>VLOOKUP(B124,'Player Data'!$A1:$AE667,16,FALSE)*$Q124</f>
        <v>94.447646716504622</v>
      </c>
      <c r="AC124" s="56">
        <f>VLOOKUP(B124,'Player Data'!$A1:$AE667,17,FALSE)*$Q124*IFERROR((VLOOKUP(P124,Settings!$E$28:$F$33,2,FALSE)+1),1)</f>
        <v>0.18686257528749409</v>
      </c>
      <c r="AD124" s="56">
        <f>VLOOKUP(B124,'Player Data'!$A1:$AE667,18,FALSE)*$Q124</f>
        <v>25.860218397910021</v>
      </c>
      <c r="AE124" s="56">
        <f>VLOOKUP(B124,'Player Data'!$A1:$AE667,19,FALSE)*$Q124*IFERROR((VLOOKUP(P124,Settings!$E$28:$F$33,2,FALSE)+1),1)</f>
        <v>3.938606522841209</v>
      </c>
      <c r="AF124" s="56">
        <f>VLOOKUP(B124,'Player Data'!$A1:$AE667,20,FALSE)*$Q124</f>
        <v>845.45020676381409</v>
      </c>
      <c r="AG124" s="56">
        <f>VLOOKUP(B124,'Player Data'!$A1:$AE667,21,FALSE)*$Q124</f>
        <v>685.10924144644468</v>
      </c>
      <c r="AH124" s="58">
        <f>VLOOKUP(B124,'Player Data'!$A1:$AE667,22,FALSE)</f>
        <v>0.55237985545248303</v>
      </c>
      <c r="AI124" s="54"/>
      <c r="AJ124" s="56"/>
      <c r="AK124" s="56"/>
      <c r="AL124" s="56"/>
      <c r="AM124" s="56"/>
      <c r="AN124" s="56"/>
      <c r="AO124" s="56"/>
      <c r="AP124" s="56"/>
      <c r="AQ124" s="59"/>
      <c r="AR124" s="60"/>
      <c r="AS124" s="54"/>
    </row>
    <row r="125" spans="1:45" ht="21.25" customHeight="1" x14ac:dyDescent="0.15">
      <c r="A125" s="45">
        <f>RANK(K125,K$1:K$665)</f>
        <v>124</v>
      </c>
      <c r="B125" s="9" t="s">
        <v>250</v>
      </c>
      <c r="C125" s="46" t="s">
        <v>127</v>
      </c>
      <c r="D125" s="47" t="str">
        <f>VLOOKUP(B125,'Player Data'!A1:D667,4,FALSE)</f>
        <v>D</v>
      </c>
      <c r="E125" s="66">
        <f>VLOOKUP(B125,D!A1:C213,3,FALSE)</f>
        <v>32</v>
      </c>
      <c r="F125" s="62" t="str">
        <f>VLOOKUP(B125,'Player Data'!A1:B667,2,FALSE)</f>
        <v>SEA</v>
      </c>
      <c r="G125" s="10">
        <f>VLOOKUP(B125,'Player Data'!A1:D667,3,FALSE)</f>
        <v>27</v>
      </c>
      <c r="H125" s="50">
        <f>IFERROR(VLOOKUP(B125,ADP!A1:G665,7,FALSE)/1000000,VLOOKUP(B125,ADP!A1:G665,7,FALSE))</f>
        <v>7.35</v>
      </c>
      <c r="I125" s="51">
        <f>IF(Settings!$E$15="POINTS",((R125*Q125)*Settings!$B$12)+(S125*Settings!$B$2)+(T125*Settings!$B$3)+(U125*Settings!$B$4)+(V125*Settings!$B$5)+(X125*Settings!$B$9)+(AA125*Settings!$B$6)+(W125*Settings!$B$8)+(AB125*Settings!$B$7)+(AC125*Settings!$B$14)+(AD125*Settings!$B$15)+(AE125*Settings!$B$16)+(AF125*Settings!$B$17)+(AG125*Settings!$B$18)+(U125*Settings!$B$13)+(Y125*Settings!$B$10)+(Z125*Settings!$B$11),VLOOKUP(B125,'Standard Deviations'!A1:C666,3,FALSE))</f>
        <v>292.21299396794666</v>
      </c>
      <c r="J125" s="52">
        <f>IF(D125="G",I125/AJ125,I125/Q125)</f>
        <v>3.7994148221030644</v>
      </c>
      <c r="K125" s="51">
        <f>VLOOKUP(B125,D!A1:F213,6,FALSE)</f>
        <v>-44.021131077648249</v>
      </c>
      <c r="L125" s="53">
        <f>IFERROR(K125/H125,"N/A")</f>
        <v>-5.9892695343739115</v>
      </c>
      <c r="M125" s="54">
        <f>IF(Settings!$E$9="YAHOO",VLOOKUP(B125,ADP!A1:E665,2,FALSE),IF(Settings!$E$9="ESPN",VLOOKUP(B125,ADP!A1:E665,3,FALSE),IF(Settings!$E$9="FANTRAX",VLOOKUP(B125,ADP!A1:E665,4,FALSE),VLOOKUP(B125,ADP!A1:E665,5,FALSE))))</f>
        <v>113.4</v>
      </c>
      <c r="N125" s="54">
        <f>IFERROR(M125-A125,"N/A")</f>
        <v>-10.599999999999994</v>
      </c>
      <c r="O125" s="54"/>
      <c r="P125" s="55" t="str">
        <f>IF(Settings!$E$27="ON",VLOOKUP(B125,ADP!A1:H665,8,FALSE)," ")</f>
        <v xml:space="preserve"> </v>
      </c>
      <c r="Q125" s="56">
        <f>IF(Settings!$E$12="YES",VLOOKUP(B125,'Player Data'!A1:E667,5,FALSE),82)</f>
        <v>76.91</v>
      </c>
      <c r="R125" s="54">
        <f>VLOOKUP(B125,'Player Data'!$A1:$AE667,6,FALSE)</f>
        <v>22.6821536844542</v>
      </c>
      <c r="S125" s="56">
        <f>VLOOKUP(B125,'Player Data'!$A1:$AE667,7,FALSE)*$Q125*IFERROR((VLOOKUP(P125,Settings!$E$28:$F$33,2,FALSE)+1),1)</f>
        <v>11.943638647474698</v>
      </c>
      <c r="T125" s="56">
        <f>VLOOKUP(B125,'Player Data'!$A1:$AE667,8,FALSE)*$Q125*IFERROR((VLOOKUP(P125,Settings!$E$28:$F$33,2,FALSE)+1),1)</f>
        <v>41.119293299114673</v>
      </c>
      <c r="U125" s="56">
        <f>SUM(S125:T125)</f>
        <v>53.062931946589373</v>
      </c>
      <c r="V125" s="56">
        <f>VLOOKUP(B125,'Player Data'!$A1:$AE667,10,FALSE)*$Q125*IFERROR(((VLOOKUP(P125,Settings!$E$28:$F$33,2,FALSE)/2)+1),1)</f>
        <v>147.66190476358247</v>
      </c>
      <c r="W125" s="56">
        <f>VLOOKUP(B125,'Player Data'!$A1:$AE667,11,FALSE)*$Q125*IFERROR((VLOOKUP(P125,Settings!$E$28:$F$33,2,FALSE)+1),1)</f>
        <v>2.2369100630354759</v>
      </c>
      <c r="X125" s="78">
        <f>VLOOKUP(B125,'Player Data'!$A1:$AE667,12,FALSE)*$Q125*IFERROR((VLOOKUP(P125,Settings!$E$28:$F$33,2,FALSE)+1),1)</f>
        <v>14.468963329378406</v>
      </c>
      <c r="Y125" s="56">
        <f>VLOOKUP(B125,'Player Data'!$A1:$AE667,13,FALSE)*$Q125</f>
        <v>7.4836858006693385E-3</v>
      </c>
      <c r="Z125" s="56">
        <f>VLOOKUP(B125,'Player Data'!$A1:$AE667,14,FALSE)*$Q125</f>
        <v>0.17542161043547788</v>
      </c>
      <c r="AA125" s="56">
        <f>VLOOKUP(B125,'Player Data'!$A1:$AE667,15,FALSE)*$Q125</f>
        <v>89.097721613146859</v>
      </c>
      <c r="AB125" s="56">
        <f>VLOOKUP(B125,'Player Data'!$A1:$AE667,16,FALSE)*$Q125</f>
        <v>73.058584355136531</v>
      </c>
      <c r="AC125" s="56">
        <f>VLOOKUP(B125,'Player Data'!$A1:$AE667,17,FALSE)*$Q125*IFERROR((VLOOKUP(P125,Settings!$E$28:$F$33,2,FALSE)+1),1)</f>
        <v>1.6539360335122011</v>
      </c>
      <c r="AD125" s="56">
        <f>VLOOKUP(B125,'Player Data'!$A1:$AE667,18,FALSE)*$Q125</f>
        <v>57.28716553680831</v>
      </c>
      <c r="AE125" s="56">
        <f>VLOOKUP(B125,'Player Data'!$A1:$AE667,19,FALSE)*$Q125*IFERROR((VLOOKUP(P125,Settings!$E$28:$F$33,2,FALSE)+1),1)</f>
        <v>1.8136137101106868</v>
      </c>
      <c r="AF125" s="56">
        <f>VLOOKUP(B125,'Player Data'!$A1:$AE667,20,FALSE)*$Q125</f>
        <v>0</v>
      </c>
      <c r="AG125" s="56">
        <f>VLOOKUP(B125,'Player Data'!$A1:$AE667,21,FALSE)*$Q125</f>
        <v>0</v>
      </c>
      <c r="AH125" s="58">
        <f>VLOOKUP(B125,'Player Data'!$A1:$AE667,22,FALSE)</f>
        <v>0</v>
      </c>
      <c r="AI125" s="54"/>
      <c r="AJ125" s="56"/>
      <c r="AK125" s="56"/>
      <c r="AL125" s="56"/>
      <c r="AM125" s="56"/>
      <c r="AN125" s="56"/>
      <c r="AO125" s="56"/>
      <c r="AP125" s="56"/>
      <c r="AQ125" s="59"/>
      <c r="AR125" s="60"/>
      <c r="AS125" s="64"/>
    </row>
    <row r="126" spans="1:45" ht="21.25" customHeight="1" x14ac:dyDescent="0.15">
      <c r="A126" s="45">
        <f>RANK(K126,K$1:K$665)</f>
        <v>125</v>
      </c>
      <c r="B126" s="9" t="s">
        <v>251</v>
      </c>
      <c r="C126" s="46" t="s">
        <v>127</v>
      </c>
      <c r="D126" s="47" t="str">
        <f>VLOOKUP(B126,'Player Data'!A1:D667,4,FALSE)</f>
        <v>C/RW</v>
      </c>
      <c r="E126" s="68">
        <f>VLOOKUP(B126,RW!A1:C136,3,FALSE)</f>
        <v>35</v>
      </c>
      <c r="F126" s="65" t="str">
        <f>VLOOKUP(B126,'Player Data'!A1:B667,2,FALSE)</f>
        <v>CGY</v>
      </c>
      <c r="G126" s="10">
        <f>VLOOKUP(B126,'Player Data'!A1:D667,3,FALSE)</f>
        <v>26</v>
      </c>
      <c r="H126" s="50">
        <f>IFERROR(VLOOKUP(B126,ADP!A1:G665,7,FALSE)/1000000,VLOOKUP(B126,ADP!A1:G665,7,FALSE))</f>
        <v>3.1</v>
      </c>
      <c r="I126" s="51">
        <f>IF(Settings!$E$15="POINTS",((R126*Q126)*Settings!$B$12)+(S126*Settings!$B$2)+(T126*Settings!$B$3)+(U126*Settings!$B$4)+(V126*Settings!$B$5)+(X126*Settings!$B$9)+(AA126*Settings!$B$6)+(W126*Settings!$B$8)+(AB126*Settings!$B$7)+(AC126*Settings!$B$14)+(AD126*Settings!$B$15)+(AE126*Settings!$B$16)+(AF126*Settings!$B$17)+(AG126*Settings!$B$18)+(Y126*Settings!$B$10)+(Z126*Settings!$B$11),VLOOKUP(B126,'Standard Deviations'!A1:C666,3,FALSE))</f>
        <v>324.7167796629285</v>
      </c>
      <c r="J126" s="52">
        <f>IF(D126="G",I126/AJ126,I126/Q126)</f>
        <v>4.0353780055665762</v>
      </c>
      <c r="K126" s="51">
        <f>IF(Settings!$E$18="C/LW/RW",VLOOKUP(B126,RW!A1:F136,6,FALSE),VLOOKUP(B126,F!A1:F392,6,FALSE))</f>
        <v>-44.13094344336389</v>
      </c>
      <c r="L126" s="53">
        <f>IFERROR(K126/H126,"N/A")</f>
        <v>-14.235788207536737</v>
      </c>
      <c r="M126" s="54">
        <f>IF(Settings!$E$9="YAHOO",VLOOKUP(B126,ADP!A1:E665,2,FALSE),IF(Settings!$E$9="ESPN",VLOOKUP(B126,ADP!A1:E665,3,FALSE),IF(Settings!$E$9="FANTRAX",VLOOKUP(B126,ADP!A1:E665,4,FALSE),VLOOKUP(B126,ADP!A1:E665,5,FALSE))))</f>
        <v>177</v>
      </c>
      <c r="N126" s="54">
        <f>IFERROR(M126-A126,"N/A")</f>
        <v>52</v>
      </c>
      <c r="O126" s="54"/>
      <c r="P126" s="55" t="str">
        <f>IF(Settings!$E$27="ON",VLOOKUP(B126,ADP!A1:H665,8,FALSE)," ")</f>
        <v xml:space="preserve"> </v>
      </c>
      <c r="Q126" s="56">
        <f>IF(Settings!$E$12="YES",VLOOKUP(B126,'Player Data'!A1:E667,5,FALSE),82)</f>
        <v>80.467500000000001</v>
      </c>
      <c r="R126" s="54">
        <f>VLOOKUP(B126,'Player Data'!$A1:$AE667,6,FALSE)</f>
        <v>18.2878523117691</v>
      </c>
      <c r="S126" s="56">
        <f>VLOOKUP(B126,'Player Data'!$A1:$AE667,7,FALSE)*$Q126*IFERROR((VLOOKUP(P126,Settings!$E$28:$F$33,2,FALSE)+1),1)</f>
        <v>28.468809622827806</v>
      </c>
      <c r="T126" s="56">
        <f>VLOOKUP(B126,'Player Data'!$A1:$AE667,8,FALSE)*$Q126*IFERROR((VLOOKUP(P126,Settings!$E$28:$F$33,2,FALSE)+1),1)</f>
        <v>31.982504989165093</v>
      </c>
      <c r="U126" s="56">
        <f>SUM(S126:T126)</f>
        <v>60.451314611992899</v>
      </c>
      <c r="V126" s="56">
        <f>VLOOKUP(B126,'Player Data'!$A1:$AE667,10,FALSE)*$Q126*IFERROR(((VLOOKUP(P126,Settings!$E$28:$F$33,2,FALSE)/2)+1),1)</f>
        <v>193.80609472566431</v>
      </c>
      <c r="W126" s="56">
        <f>VLOOKUP(B126,'Player Data'!$A1:$AE667,11,FALSE)*$Q126*IFERROR((VLOOKUP(P126,Settings!$E$28:$F$33,2,FALSE)+1),1)</f>
        <v>7.1772162064266931</v>
      </c>
      <c r="X126" s="57">
        <f>VLOOKUP(B126,'Player Data'!$A1:$AE667,12,FALSE)*$Q126*IFERROR((VLOOKUP(P126,Settings!$E$28:$F$33,2,FALSE)+1),1)</f>
        <v>19.530589502413289</v>
      </c>
      <c r="Y126" s="56">
        <f>VLOOKUP(B126,'Player Data'!$A1:$AE667,13,FALSE)*$Q126</f>
        <v>2.1982187435407985</v>
      </c>
      <c r="Z126" s="56">
        <f>VLOOKUP(B126,'Player Data'!$A1:$AE667,14,FALSE)*$Q126</f>
        <v>4.7120433653872746</v>
      </c>
      <c r="AA126" s="56">
        <f>VLOOKUP(B126,'Player Data'!$A1:$AE667,15,FALSE)*$Q126</f>
        <v>44.434311192634112</v>
      </c>
      <c r="AB126" s="56">
        <f>VLOOKUP(B126,'Player Data'!$A1:$AE667,16,FALSE)*$Q126</f>
        <v>25.572406258082232</v>
      </c>
      <c r="AC126" s="56">
        <f>VLOOKUP(B126,'Player Data'!$A1:$AE667,17,FALSE)*$Q126*IFERROR((VLOOKUP(P126,Settings!$E$28:$F$33,2,FALSE)+1),1)</f>
        <v>-5.5003493070072684</v>
      </c>
      <c r="AD126" s="56">
        <f>VLOOKUP(B126,'Player Data'!$A1:$AE667,18,FALSE)*$Q126</f>
        <v>18.170236891569257</v>
      </c>
      <c r="AE126" s="56">
        <f>VLOOKUP(B126,'Player Data'!$A1:$AE667,19,FALSE)*$Q126*IFERROR((VLOOKUP(P126,Settings!$E$28:$F$33,2,FALSE)+1),1)</f>
        <v>4.1360562270250831</v>
      </c>
      <c r="AF126" s="56">
        <f>VLOOKUP(B126,'Player Data'!$A1:$AE667,20,FALSE)*$Q126</f>
        <v>117.10560064623589</v>
      </c>
      <c r="AG126" s="56">
        <f>VLOOKUP(B126,'Player Data'!$A1:$AE667,21,FALSE)*$Q126</f>
        <v>194.62410486335534</v>
      </c>
      <c r="AH126" s="58">
        <f>VLOOKUP(B126,'Player Data'!$A1:$AE667,22,FALSE)</f>
        <v>0.375663911961168</v>
      </c>
      <c r="AI126" s="54"/>
      <c r="AJ126" s="56"/>
      <c r="AK126" s="56"/>
      <c r="AL126" s="56"/>
      <c r="AM126" s="56"/>
      <c r="AN126" s="56"/>
      <c r="AO126" s="56"/>
      <c r="AP126" s="56"/>
      <c r="AQ126" s="59"/>
      <c r="AR126" s="60"/>
      <c r="AS126" s="54"/>
    </row>
    <row r="127" spans="1:45" ht="21.25" customHeight="1" x14ac:dyDescent="0.15">
      <c r="A127" s="45">
        <f>RANK(K127,K$1:K$665)</f>
        <v>126</v>
      </c>
      <c r="B127" s="9" t="s">
        <v>252</v>
      </c>
      <c r="C127" s="46" t="s">
        <v>127</v>
      </c>
      <c r="D127" s="47" t="str">
        <f>VLOOKUP(B127,'Player Data'!A1:D667,4,FALSE)</f>
        <v>C</v>
      </c>
      <c r="E127" s="48">
        <f>VLOOKUP(B127,'C'!A1:C206,3,FALSE)</f>
        <v>43</v>
      </c>
      <c r="F127" s="65" t="str">
        <f>VLOOKUP(B127,'Player Data'!A1:B667,2,FALSE)</f>
        <v>WSH</v>
      </c>
      <c r="G127" s="10">
        <f>VLOOKUP(B127,'Player Data'!A1:D667,3,FALSE)</f>
        <v>27</v>
      </c>
      <c r="H127" s="50">
        <f>IFERROR(VLOOKUP(B127,ADP!A1:G665,7,FALSE)/1000000,VLOOKUP(B127,ADP!A1:G665,7,FALSE))</f>
        <v>5</v>
      </c>
      <c r="I127" s="51">
        <f>IF(Settings!$E$15="POINTS",((R127*Q127)*Settings!$B$12)+(S127*Settings!$B$2)+(T127*Settings!$B$3)+(U127*Settings!$B$4)+(V127*Settings!$B$5)+(X127*Settings!$B$9)+(AA127*Settings!$B$6)+(W127*Settings!$B$8)+(AB127*Settings!$B$7)+(AC127*Settings!$B$14)+(AD127*Settings!$B$15)+(AE127*Settings!$B$16)+(AF127*Settings!$B$17)+(AG127*Settings!$B$18)+(Y127*Settings!$B$10)+(Z127*Settings!$B$11),VLOOKUP(B127,'Standard Deviations'!A1:C666,3,FALSE))</f>
        <v>345.67632965586904</v>
      </c>
      <c r="J127" s="52">
        <f>IF(D127="G",I127/AJ127,I127/Q127)</f>
        <v>4.2891873270573448</v>
      </c>
      <c r="K127" s="51">
        <f>IF(Settings!$E$18="C/LW/RW",VLOOKUP(B127,'C'!A1:F206,6,FALSE),VLOOKUP(B127,F!A1:F392,6,FALSE))</f>
        <v>-44.260828122212047</v>
      </c>
      <c r="L127" s="53">
        <f>IFERROR(K127/H127,"N/A")</f>
        <v>-8.8521656244424101</v>
      </c>
      <c r="M127" s="54">
        <f>IF(Settings!$E$9="YAHOO",VLOOKUP(B127,ADP!A1:E665,2,FALSE),IF(Settings!$E$9="ESPN",VLOOKUP(B127,ADP!A1:E665,3,FALSE),IF(Settings!$E$9="FANTRAX",VLOOKUP(B127,ADP!A1:E665,4,FALSE),VLOOKUP(B127,ADP!A1:E665,5,FALSE))))</f>
        <v>182</v>
      </c>
      <c r="N127" s="54">
        <f>IFERROR(M127-A127,"N/A")</f>
        <v>56</v>
      </c>
      <c r="O127" s="54"/>
      <c r="P127" s="55" t="str">
        <f>IF(Settings!$E$27="ON",VLOOKUP(B127,ADP!A1:H665,8,FALSE)," ")</f>
        <v xml:space="preserve"> </v>
      </c>
      <c r="Q127" s="56">
        <f>IF(Settings!$E$12="YES",VLOOKUP(B127,'Player Data'!A1:E667,5,FALSE),82)</f>
        <v>80.592500000000001</v>
      </c>
      <c r="R127" s="54">
        <f>VLOOKUP(B127,'Player Data'!$A1:$AE667,6,FALSE)</f>
        <v>18.2168884104208</v>
      </c>
      <c r="S127" s="56">
        <f>VLOOKUP(B127,'Player Data'!$A1:$AE667,7,FALSE)*$Q127*IFERROR((VLOOKUP(P127,Settings!$E$28:$F$33,2,FALSE)+1),1)</f>
        <v>27.358141083389025</v>
      </c>
      <c r="T127" s="56">
        <f>VLOOKUP(B127,'Player Data'!$A1:$AE667,8,FALSE)*$Q127*IFERROR((VLOOKUP(P127,Settings!$E$28:$F$33,2,FALSE)+1),1)</f>
        <v>42.588815341101217</v>
      </c>
      <c r="U127" s="56">
        <f>SUM(S127:T127)</f>
        <v>69.946956424490239</v>
      </c>
      <c r="V127" s="56">
        <f>VLOOKUP(B127,'Player Data'!$A1:$AE667,10,FALSE)*$Q127*IFERROR(((VLOOKUP(P127,Settings!$E$28:$F$33,2,FALSE)/2)+1),1)</f>
        <v>171.53176194042325</v>
      </c>
      <c r="W127" s="56">
        <f>VLOOKUP(B127,'Player Data'!$A1:$AE667,11,FALSE)*$Q127*IFERROR((VLOOKUP(P127,Settings!$E$28:$F$33,2,FALSE)+1),1)</f>
        <v>6.0765417764838219</v>
      </c>
      <c r="X127" s="57">
        <f>VLOOKUP(B127,'Player Data'!$A1:$AE667,12,FALSE)*$Q127*IFERROR((VLOOKUP(P127,Settings!$E$28:$F$33,2,FALSE)+1),1)</f>
        <v>23.189548676671365</v>
      </c>
      <c r="Y127" s="56">
        <f>VLOOKUP(B127,'Player Data'!$A1:$AE667,13,FALSE)*$Q127</f>
        <v>1.2638628589863086E-2</v>
      </c>
      <c r="Z127" s="56">
        <f>VLOOKUP(B127,'Player Data'!$A1:$AE667,14,FALSE)*$Q127</f>
        <v>2.1402920138684847E-2</v>
      </c>
      <c r="AA127" s="56">
        <f>VLOOKUP(B127,'Player Data'!$A1:$AE667,15,FALSE)*$Q127</f>
        <v>53.71725563075325</v>
      </c>
      <c r="AB127" s="56">
        <f>VLOOKUP(B127,'Player Data'!$A1:$AE667,16,FALSE)*$Q127</f>
        <v>20.580195550295372</v>
      </c>
      <c r="AC127" s="56">
        <f>VLOOKUP(B127,'Player Data'!$A1:$AE667,17,FALSE)*$Q127*IFERROR((VLOOKUP(P127,Settings!$E$28:$F$33,2,FALSE)+1),1)</f>
        <v>0.14466233888111199</v>
      </c>
      <c r="AD127" s="56">
        <f>VLOOKUP(B127,'Player Data'!$A1:$AE667,18,FALSE)*$Q127</f>
        <v>28.25755281405354</v>
      </c>
      <c r="AE127" s="56">
        <f>VLOOKUP(B127,'Player Data'!$A1:$AE667,19,FALSE)*$Q127*IFERROR((VLOOKUP(P127,Settings!$E$28:$F$33,2,FALSE)+1),1)</f>
        <v>3.882463154965559</v>
      </c>
      <c r="AF127" s="56">
        <f>VLOOKUP(B127,'Player Data'!$A1:$AE667,20,FALSE)*$Q127</f>
        <v>650.32062434193983</v>
      </c>
      <c r="AG127" s="56">
        <f>VLOOKUP(B127,'Player Data'!$A1:$AE667,21,FALSE)*$Q127</f>
        <v>616.32458573235556</v>
      </c>
      <c r="AH127" s="58">
        <f>VLOOKUP(B127,'Player Data'!$A1:$AE667,22,FALSE)</f>
        <v>0.51341971624697902</v>
      </c>
      <c r="AI127" s="54"/>
      <c r="AJ127" s="64"/>
      <c r="AK127" s="56"/>
      <c r="AL127" s="56"/>
      <c r="AM127" s="56"/>
      <c r="AN127" s="56"/>
      <c r="AO127" s="56"/>
      <c r="AP127" s="56"/>
      <c r="AQ127" s="59"/>
      <c r="AR127" s="60"/>
      <c r="AS127" s="54"/>
    </row>
    <row r="128" spans="1:45" ht="21.25" customHeight="1" x14ac:dyDescent="0.15">
      <c r="A128" s="45">
        <f>RANK(K128,K$1:K$665)</f>
        <v>127</v>
      </c>
      <c r="B128" s="9" t="s">
        <v>253</v>
      </c>
      <c r="C128" s="46" t="s">
        <v>127</v>
      </c>
      <c r="D128" s="47" t="str">
        <f>VLOOKUP(B128,'Player Data'!A1:D667,4,FALSE)</f>
        <v>D</v>
      </c>
      <c r="E128" s="66">
        <f>VLOOKUP(B128,D!A1:C213,3,FALSE)</f>
        <v>33</v>
      </c>
      <c r="F128" s="72" t="str">
        <f>VLOOKUP(B128,'Player Data'!A1:B667,2,FALSE)</f>
        <v>CAR</v>
      </c>
      <c r="G128" s="63">
        <f>VLOOKUP(B128,'Player Data'!A1:D667,3,FALSE)</f>
        <v>39</v>
      </c>
      <c r="H128" s="67">
        <f>IFERROR(VLOOKUP(B128,ADP!A1:G665,7,FALSE)/1000000,VLOOKUP(B128,ADP!A1:G665,7,FALSE))</f>
        <v>5.28</v>
      </c>
      <c r="I128" s="51">
        <f>IF(Settings!$E$15="POINTS",((R128*Q128)*Settings!$B$12)+(S128*Settings!$B$2)+(T128*Settings!$B$3)+(U128*Settings!$B$4)+(V128*Settings!$B$5)+(X128*Settings!$B$9)+(AA128*Settings!$B$6)+(W128*Settings!$B$8)+(AB128*Settings!$B$7)+(AC128*Settings!$B$14)+(AD128*Settings!$B$15)+(AE128*Settings!$B$16)+(AF128*Settings!$B$17)+(AG128*Settings!$B$18)+(U128*Settings!$B$13)+(Y128*Settings!$B$10)+(Z128*Settings!$B$11),VLOOKUP(B128,'Standard Deviations'!A1:C666,3,FALSE))</f>
        <v>291.88180990432056</v>
      </c>
      <c r="J128" s="52">
        <f>IF(D128="G",I128/AJ128,I128/Q128)</f>
        <v>3.5582324747570468</v>
      </c>
      <c r="K128" s="51">
        <f>VLOOKUP(B128,D!A1:F213,6,FALSE)</f>
        <v>-44.352315141274346</v>
      </c>
      <c r="L128" s="53">
        <f>IFERROR(K128/H128,"N/A")</f>
        <v>-8.4000596858474132</v>
      </c>
      <c r="M128" s="54">
        <f>IF(Settings!$E$9="YAHOO",VLOOKUP(B128,ADP!A1:E665,2,FALSE),IF(Settings!$E$9="ESPN",VLOOKUP(B128,ADP!A1:E665,3,FALSE),IF(Settings!$E$9="FANTRAX",VLOOKUP(B128,ADP!A1:E665,4,FALSE),VLOOKUP(B128,ADP!A1:E665,5,FALSE))))</f>
        <v>118.3</v>
      </c>
      <c r="N128" s="54">
        <f>IFERROR(M128-A128,"N/A")</f>
        <v>-8.7000000000000028</v>
      </c>
      <c r="O128" s="54"/>
      <c r="P128" s="55" t="str">
        <f>IF(Settings!$E$27="ON",VLOOKUP(B128,ADP!A1:H665,8,FALSE)," ")</f>
        <v xml:space="preserve"> </v>
      </c>
      <c r="Q128" s="56">
        <f>IF(Settings!$E$12="YES",VLOOKUP(B128,'Player Data'!A1:E667,5,FALSE),82)</f>
        <v>82.03</v>
      </c>
      <c r="R128" s="54">
        <f>VLOOKUP(B128,'Player Data'!$A1:$AE667,6,FALSE)</f>
        <v>22.0162372145702</v>
      </c>
      <c r="S128" s="56">
        <f>VLOOKUP(B128,'Player Data'!$A1:$AE667,7,FALSE)*$Q128*IFERROR((VLOOKUP(P128,Settings!$E$28:$F$33,2,FALSE)+1),1)</f>
        <v>10.149309367245145</v>
      </c>
      <c r="T128" s="56">
        <f>VLOOKUP(B128,'Player Data'!$A1:$AE667,8,FALSE)*$Q128*IFERROR((VLOOKUP(P128,Settings!$E$28:$F$33,2,FALSE)+1),1)</f>
        <v>33.341440456727561</v>
      </c>
      <c r="U128" s="56">
        <f>SUM(S128:T128)</f>
        <v>43.490749823972706</v>
      </c>
      <c r="V128" s="56">
        <f>VLOOKUP(B128,'Player Data'!$A1:$AE667,10,FALSE)*$Q128*IFERROR(((VLOOKUP(P128,Settings!$E$28:$F$33,2,FALSE)/2)+1),1)</f>
        <v>190.12129124600935</v>
      </c>
      <c r="W128" s="56">
        <f>VLOOKUP(B128,'Player Data'!$A1:$AE667,11,FALSE)*$Q128*IFERROR((VLOOKUP(P128,Settings!$E$28:$F$33,2,FALSE)+1),1)</f>
        <v>2.9686309699378155</v>
      </c>
      <c r="X128" s="78">
        <f>VLOOKUP(B128,'Player Data'!$A1:$AE667,12,FALSE)*$Q128*IFERROR((VLOOKUP(P128,Settings!$E$28:$F$33,2,FALSE)+1),1)</f>
        <v>15.671902665542639</v>
      </c>
      <c r="Y128" s="56">
        <f>VLOOKUP(B128,'Player Data'!$A1:$AE667,13,FALSE)*$Q128</f>
        <v>2.2085819042991044E-2</v>
      </c>
      <c r="Z128" s="56">
        <f>VLOOKUP(B128,'Player Data'!$A1:$AE667,14,FALSE)*$Q128</f>
        <v>0.2270569667330119</v>
      </c>
      <c r="AA128" s="56">
        <f>VLOOKUP(B128,'Player Data'!$A1:$AE667,15,FALSE)*$Q128</f>
        <v>100.89991035424424</v>
      </c>
      <c r="AB128" s="56">
        <f>VLOOKUP(B128,'Player Data'!$A1:$AE667,16,FALSE)*$Q128</f>
        <v>55.329662968362932</v>
      </c>
      <c r="AC128" s="56">
        <f>VLOOKUP(B128,'Player Data'!$A1:$AE667,17,FALSE)*$Q128*IFERROR((VLOOKUP(P128,Settings!$E$28:$F$33,2,FALSE)+1),1)</f>
        <v>7.9483146318701996</v>
      </c>
      <c r="AD128" s="56">
        <f>VLOOKUP(B128,'Player Data'!$A1:$AE667,18,FALSE)*$Q128</f>
        <v>33.878225036361457</v>
      </c>
      <c r="AE128" s="56">
        <f>VLOOKUP(B128,'Player Data'!$A1:$AE667,19,FALSE)*$Q128*IFERROR((VLOOKUP(P128,Settings!$E$28:$F$33,2,FALSE)+1),1)</f>
        <v>1.7587290228661803</v>
      </c>
      <c r="AF128" s="56">
        <f>VLOOKUP(B128,'Player Data'!$A1:$AE667,20,FALSE)*$Q128</f>
        <v>9.8259156228937231E-2</v>
      </c>
      <c r="AG128" s="56">
        <f>VLOOKUP(B128,'Player Data'!$A1:$AE667,21,FALSE)*$Q128</f>
        <v>0.18815796685097846</v>
      </c>
      <c r="AH128" s="58">
        <f>VLOOKUP(B128,'Player Data'!$A1:$AE667,22,FALSE)</f>
        <v>0.343063135235531</v>
      </c>
      <c r="AI128" s="54"/>
      <c r="AJ128" s="56"/>
      <c r="AK128" s="56"/>
      <c r="AL128" s="56"/>
      <c r="AM128" s="56"/>
      <c r="AN128" s="56"/>
      <c r="AO128" s="56"/>
      <c r="AP128" s="56"/>
      <c r="AQ128" s="59"/>
      <c r="AR128" s="60"/>
      <c r="AS128" s="54"/>
    </row>
    <row r="129" spans="1:45" ht="21.25" customHeight="1" x14ac:dyDescent="0.15">
      <c r="A129" s="45">
        <f>RANK(K129,K$1:K$665)</f>
        <v>128</v>
      </c>
      <c r="B129" s="9" t="s">
        <v>254</v>
      </c>
      <c r="C129" s="46" t="s">
        <v>127</v>
      </c>
      <c r="D129" s="47" t="str">
        <f>VLOOKUP(B129,'Player Data'!A1:D667,4,FALSE)</f>
        <v>D</v>
      </c>
      <c r="E129" s="66">
        <f>VLOOKUP(B129,D!A1:C213,3,FALSE)</f>
        <v>34</v>
      </c>
      <c r="F129" s="62" t="str">
        <f>VLOOKUP(B129,'Player Data'!A1:B667,2,FALSE)</f>
        <v>SEA</v>
      </c>
      <c r="G129" s="10">
        <f>VLOOKUP(B129,'Player Data'!A1:D667,3,FALSE)</f>
        <v>30</v>
      </c>
      <c r="H129" s="50">
        <f>IFERROR(VLOOKUP(B129,ADP!A1:G665,7,FALSE)/1000000,VLOOKUP(B129,ADP!A1:G665,7,FALSE))</f>
        <v>7.1428570000000002</v>
      </c>
      <c r="I129" s="51">
        <f>IF(Settings!$E$15="POINTS",((R129*Q129)*Settings!$B$12)+(S129*Settings!$B$2)+(T129*Settings!$B$3)+(U129*Settings!$B$4)+(V129*Settings!$B$5)+(X129*Settings!$B$9)+(AA129*Settings!$B$6)+(W129*Settings!$B$8)+(AB129*Settings!$B$7)+(AC129*Settings!$B$14)+(AD129*Settings!$B$15)+(AE129*Settings!$B$16)+(AF129*Settings!$B$17)+(AG129*Settings!$B$18)+(U129*Settings!$B$13)+(Y129*Settings!$B$10)+(Z129*Settings!$B$11),VLOOKUP(B129,'Standard Deviations'!A1:C666,3,FALSE))</f>
        <v>291.4397103123801</v>
      </c>
      <c r="J129" s="52">
        <f>IF(D129="G",I129/AJ129,I129/Q129)</f>
        <v>3.6977695909710095</v>
      </c>
      <c r="K129" s="51">
        <f>VLOOKUP(B129,D!A1:F213,6,FALSE)</f>
        <v>-44.794414733214808</v>
      </c>
      <c r="L129" s="53">
        <f>IFERROR(K129/H129,"N/A")</f>
        <v>-6.2712181880744362</v>
      </c>
      <c r="M129" s="54">
        <f>IF(Settings!$E$9="YAHOO",VLOOKUP(B129,ADP!A1:E665,2,FALSE),IF(Settings!$E$9="ESPN",VLOOKUP(B129,ADP!A1:E665,3,FALSE),IF(Settings!$E$9="FANTRAX",VLOOKUP(B129,ADP!A1:E665,4,FALSE),VLOOKUP(B129,ADP!A1:E665,5,FALSE))))</f>
        <v>85.6</v>
      </c>
      <c r="N129" s="54">
        <f>IFERROR(M129-A129,"N/A")</f>
        <v>-42.400000000000006</v>
      </c>
      <c r="O129" s="54"/>
      <c r="P129" s="55" t="str">
        <f>IF(Settings!$E$27="ON",VLOOKUP(B129,ADP!A1:H665,8,FALSE)," ")</f>
        <v xml:space="preserve"> </v>
      </c>
      <c r="Q129" s="56">
        <f>IF(Settings!$E$12="YES",VLOOKUP(B129,'Player Data'!A1:E667,5,FALSE),82)</f>
        <v>78.814999999999998</v>
      </c>
      <c r="R129" s="81">
        <f>VLOOKUP(B129,'Player Data'!$A1:$AE667,6,FALSE)</f>
        <v>22.298676990687401</v>
      </c>
      <c r="S129" s="56">
        <f>VLOOKUP(B129,'Player Data'!$A1:$AE667,7,FALSE)*$Q129*IFERROR((VLOOKUP(P129,Settings!$E$28:$F$33,2,FALSE)+1),1)</f>
        <v>11.2387814757546</v>
      </c>
      <c r="T129" s="56">
        <f>VLOOKUP(B129,'Player Data'!$A1:$AE667,8,FALSE)*$Q129*IFERROR((VLOOKUP(P129,Settings!$E$28:$F$33,2,FALSE)+1),1)</f>
        <v>34.173667159428277</v>
      </c>
      <c r="U129" s="56">
        <f>SUM(S129:T129)</f>
        <v>45.412448635182876</v>
      </c>
      <c r="V129" s="56">
        <f>VLOOKUP(B129,'Player Data'!$A1:$AE667,10,FALSE)*$Q129*IFERROR(((VLOOKUP(P129,Settings!$E$28:$F$33,2,FALSE)/2)+1),1)</f>
        <v>190.09019225683903</v>
      </c>
      <c r="W129" s="56">
        <f>VLOOKUP(B129,'Player Data'!$A1:$AE667,11,FALSE)*$Q129*IFERROR((VLOOKUP(P129,Settings!$E$28:$F$33,2,FALSE)+1),1)</f>
        <v>1.2585108161986027</v>
      </c>
      <c r="X129" s="78">
        <f>VLOOKUP(B129,'Player Data'!$A1:$AE667,12,FALSE)*$Q129*IFERROR((VLOOKUP(P129,Settings!$E$28:$F$33,2,FALSE)+1),1)</f>
        <v>14.185962720066478</v>
      </c>
      <c r="Y129" s="56">
        <f>VLOOKUP(B129,'Player Data'!$A1:$AE667,13,FALSE)*$Q129</f>
        <v>2.4110831766044966E-2</v>
      </c>
      <c r="Z129" s="56">
        <f>VLOOKUP(B129,'Player Data'!$A1:$AE667,14,FALSE)*$Q129</f>
        <v>0.11911423019071445</v>
      </c>
      <c r="AA129" s="56">
        <f>VLOOKUP(B129,'Player Data'!$A1:$AE667,15,FALSE)*$Q129</f>
        <v>91.704382656309576</v>
      </c>
      <c r="AB129" s="56">
        <f>VLOOKUP(B129,'Player Data'!$A1:$AE667,16,FALSE)*$Q129</f>
        <v>105.89556479882395</v>
      </c>
      <c r="AC129" s="56">
        <f>VLOOKUP(B129,'Player Data'!$A1:$AE667,17,FALSE)*$Q129*IFERROR((VLOOKUP(P129,Settings!$E$28:$F$33,2,FALSE)+1),1)</f>
        <v>0.65585044592121478</v>
      </c>
      <c r="AD129" s="56">
        <f>VLOOKUP(B129,'Player Data'!$A1:$AE667,18,FALSE)*$Q129</f>
        <v>45.304059192358395</v>
      </c>
      <c r="AE129" s="56">
        <f>VLOOKUP(B129,'Player Data'!$A1:$AE667,19,FALSE)*$Q129*IFERROR((VLOOKUP(P129,Settings!$E$28:$F$33,2,FALSE)+1),1)</f>
        <v>1.7065827903020363</v>
      </c>
      <c r="AF129" s="56">
        <f>VLOOKUP(B129,'Player Data'!$A1:$AE667,20,FALSE)*$Q129</f>
        <v>0</v>
      </c>
      <c r="AG129" s="56">
        <f>VLOOKUP(B129,'Player Data'!$A1:$AE667,21,FALSE)*$Q129</f>
        <v>0</v>
      </c>
      <c r="AH129" s="58">
        <f>VLOOKUP(B129,'Player Data'!$A1:$AE667,22,FALSE)</f>
        <v>0</v>
      </c>
      <c r="AI129" s="54"/>
      <c r="AJ129" s="56"/>
      <c r="AK129" s="56"/>
      <c r="AL129" s="56"/>
      <c r="AM129" s="56"/>
      <c r="AN129" s="56"/>
      <c r="AO129" s="56"/>
      <c r="AP129" s="56"/>
      <c r="AQ129" s="59"/>
      <c r="AR129" s="60"/>
      <c r="AS129" s="54"/>
    </row>
    <row r="130" spans="1:45" ht="21.25" customHeight="1" x14ac:dyDescent="0.15">
      <c r="A130" s="45">
        <f>RANK(K130,K$1:K$665)</f>
        <v>129</v>
      </c>
      <c r="B130" s="9" t="s">
        <v>255</v>
      </c>
      <c r="C130" s="46" t="s">
        <v>127</v>
      </c>
      <c r="D130" s="47" t="str">
        <f>VLOOKUP(B130,'Player Data'!A1:D667,4,FALSE)</f>
        <v>LW</v>
      </c>
      <c r="E130" s="70">
        <f>VLOOKUP(B130,LW!A1:C152,3,FALSE)</f>
        <v>35</v>
      </c>
      <c r="F130" s="55" t="str">
        <f>VLOOKUP(B130,'Player Data'!A1:B667,2,FALSE)</f>
        <v>WPG</v>
      </c>
      <c r="G130" s="10">
        <f>VLOOKUP(B130,'Player Data'!A1:D667,3,FALSE)</f>
        <v>28</v>
      </c>
      <c r="H130" s="67">
        <f>IFERROR(VLOOKUP(B130,ADP!A1:G665,7,FALSE)/1000000,VLOOKUP(B130,ADP!A1:G665,7,FALSE))</f>
        <v>6</v>
      </c>
      <c r="I130" s="51">
        <f>IF(Settings!$E$15="POINTS",((R130*Q130)*Settings!$B$12)+(S130*Settings!$B$2)+(T130*Settings!$B$3)+(U130*Settings!$B$4)+(V130*Settings!$B$5)+(X130*Settings!$B$9)+(AA130*Settings!$B$6)+(W130*Settings!$B$8)+(AB130*Settings!$B$7)+(AC130*Settings!$B$14)+(AD130*Settings!$B$15)+(AE130*Settings!$B$16)+(AF130*Settings!$B$17)+(AG130*Settings!$B$18)+(Y130*Settings!$B$10)+(Z130*Settings!$B$11),VLOOKUP(B130,'Standard Deviations'!A1:C666,3,FALSE))</f>
        <v>335.52306528703303</v>
      </c>
      <c r="J130" s="52">
        <f>IF(D130="G",I130/AJ130,I130/Q130)</f>
        <v>4.477073293352011</v>
      </c>
      <c r="K130" s="51">
        <f>IF(Settings!$E$18="C/LW/RW",VLOOKUP(B130,LW!A1:F152,6,FALSE),VLOOKUP(B130,F!A1:F392,6,FALSE))</f>
        <v>-45.538447015466716</v>
      </c>
      <c r="L130" s="53">
        <f>IFERROR(K130/H130,"N/A")</f>
        <v>-7.5897411692444523</v>
      </c>
      <c r="M130" s="54">
        <f>IF(Settings!$E$9="YAHOO",VLOOKUP(B130,ADP!A1:E665,2,FALSE),IF(Settings!$E$9="ESPN",VLOOKUP(B130,ADP!A1:E665,3,FALSE),IF(Settings!$E$9="FANTRAX",VLOOKUP(B130,ADP!A1:E665,4,FALSE),VLOOKUP(B130,ADP!A1:E665,5,FALSE))))</f>
        <v>135.1</v>
      </c>
      <c r="N130" s="54">
        <f>IFERROR(M130-A130,"N/A")</f>
        <v>6.0999999999999943</v>
      </c>
      <c r="O130" s="54"/>
      <c r="P130" s="55" t="str">
        <f>IF(Settings!$E$27="ON",VLOOKUP(B130,ADP!A1:H665,8,FALSE)," ")</f>
        <v xml:space="preserve"> </v>
      </c>
      <c r="Q130" s="56">
        <f>IF(Settings!$E$12="YES",VLOOKUP(B130,'Player Data'!A1:E667,5,FALSE),82)</f>
        <v>74.942499999999995</v>
      </c>
      <c r="R130" s="75">
        <f>VLOOKUP(B130,'Player Data'!$A1:$AE667,6,FALSE)</f>
        <v>17.479807861012301</v>
      </c>
      <c r="S130" s="56">
        <f>VLOOKUP(B130,'Player Data'!$A1:$AE667,7,FALSE)*$Q130*IFERROR((VLOOKUP(P130,Settings!$E$28:$F$33,2,FALSE)+1),1)</f>
        <v>24.608328657289395</v>
      </c>
      <c r="T130" s="56">
        <f>VLOOKUP(B130,'Player Data'!$A1:$AE667,8,FALSE)*$Q130*IFERROR((VLOOKUP(P130,Settings!$E$28:$F$33,2,FALSE)+1),1)</f>
        <v>37.412813789575317</v>
      </c>
      <c r="U130" s="56">
        <f>SUM(S130:T130)</f>
        <v>62.021142446864715</v>
      </c>
      <c r="V130" s="56">
        <f>VLOOKUP(B130,'Player Data'!$A1:$AE667,10,FALSE)*$Q130*IFERROR(((VLOOKUP(P130,Settings!$E$28:$F$33,2,FALSE)/2)+1),1)</f>
        <v>237.37845501836944</v>
      </c>
      <c r="W130" s="56">
        <f>VLOOKUP(B130,'Player Data'!$A1:$AE667,11,FALSE)*$Q130*IFERROR((VLOOKUP(P130,Settings!$E$28:$F$33,2,FALSE)+1),1)</f>
        <v>3.0192764351350916</v>
      </c>
      <c r="X130" s="57">
        <f>VLOOKUP(B130,'Player Data'!$A1:$AE667,12,FALSE)*$Q130*IFERROR((VLOOKUP(P130,Settings!$E$28:$F$33,2,FALSE)+1),1)</f>
        <v>13.365526740307383</v>
      </c>
      <c r="Y130" s="56">
        <f>VLOOKUP(B130,'Player Data'!$A1:$AE667,13,FALSE)*$Q130</f>
        <v>3.5454966550789082E-3</v>
      </c>
      <c r="Z130" s="56">
        <f>VLOOKUP(B130,'Player Data'!$A1:$AE667,14,FALSE)*$Q130</f>
        <v>6.0171389149419044E-3</v>
      </c>
      <c r="AA130" s="56">
        <f>VLOOKUP(B130,'Player Data'!$A1:$AE667,15,FALSE)*$Q130</f>
        <v>34.797733116063739</v>
      </c>
      <c r="AB130" s="56">
        <f>VLOOKUP(B130,'Player Data'!$A1:$AE667,16,FALSE)*$Q130</f>
        <v>40.461777934262074</v>
      </c>
      <c r="AC130" s="56">
        <f>VLOOKUP(B130,'Player Data'!$A1:$AE667,17,FALSE)*$Q130*IFERROR((VLOOKUP(P130,Settings!$E$28:$F$33,2,FALSE)+1),1)</f>
        <v>5.7440499214261918</v>
      </c>
      <c r="AD130" s="56">
        <f>VLOOKUP(B130,'Player Data'!$A1:$AE667,18,FALSE)*$Q130</f>
        <v>27.841643552809398</v>
      </c>
      <c r="AE130" s="56">
        <f>VLOOKUP(B130,'Player Data'!$A1:$AE667,19,FALSE)*$Q130*IFERROR((VLOOKUP(P130,Settings!$E$28:$F$33,2,FALSE)+1),1)</f>
        <v>4.0905577674839897</v>
      </c>
      <c r="AF130" s="56">
        <f>VLOOKUP(B130,'Player Data'!$A1:$AE667,20,FALSE)*$Q130</f>
        <v>5.3052893814251894</v>
      </c>
      <c r="AG130" s="56">
        <f>VLOOKUP(B130,'Player Data'!$A1:$AE667,21,FALSE)*$Q130</f>
        <v>7.2120501746456043</v>
      </c>
      <c r="AH130" s="58">
        <f>VLOOKUP(B130,'Player Data'!$A1:$AE667,22,FALSE)</f>
        <v>0.42383522134718898</v>
      </c>
      <c r="AI130" s="54"/>
      <c r="AJ130" s="56"/>
      <c r="AK130" s="56"/>
      <c r="AL130" s="56"/>
      <c r="AM130" s="56"/>
      <c r="AN130" s="56"/>
      <c r="AO130" s="56"/>
      <c r="AP130" s="56"/>
      <c r="AQ130" s="59"/>
      <c r="AR130" s="60"/>
      <c r="AS130" s="54"/>
    </row>
    <row r="131" spans="1:45" ht="21.25" customHeight="1" x14ac:dyDescent="0.15">
      <c r="A131" s="45">
        <f>RANK(K131,K$1:K$665)</f>
        <v>130</v>
      </c>
      <c r="B131" s="9" t="s">
        <v>256</v>
      </c>
      <c r="C131" s="46" t="s">
        <v>127</v>
      </c>
      <c r="D131" s="47" t="str">
        <f>VLOOKUP(B131,'Player Data'!A1:D667,4,FALSE)</f>
        <v>RW</v>
      </c>
      <c r="E131" s="61">
        <f>VLOOKUP(B131,RW!A1:F136,3,FALSE)</f>
        <v>36</v>
      </c>
      <c r="F131" s="65" t="str">
        <f>VLOOKUP(B131,'Player Data'!A1:B667,2,FALSE)</f>
        <v>DET</v>
      </c>
      <c r="G131" s="63">
        <f>VLOOKUP(B131,'Player Data'!A1:D667,3,FALSE)</f>
        <v>35</v>
      </c>
      <c r="H131" s="67">
        <f>IFERROR(VLOOKUP(B131,ADP!A1:G665,7,FALSE)/1000000,VLOOKUP(B131,ADP!A1:G665,7,FALSE))</f>
        <v>4</v>
      </c>
      <c r="I131" s="51">
        <f>IF(Settings!$E$15="POINTS",((R131*Q131)*Settings!$B$12)+(S131*Settings!$B$2)+(T131*Settings!$B$3)+(U131*Settings!$B$4)+(V131*Settings!$B$5)+(X131*Settings!$B$9)+(AA131*Settings!$B$6)+(W131*Settings!$B$8)+(AB131*Settings!$B$7)+(AC131*Settings!$B$14)+(AD131*Settings!$B$15)+(AE131*Settings!$B$16)+(AF131*Settings!$B$17)+(AG131*Settings!$B$18)+(Y131*Settings!$B$10)+(Z131*Settings!$B$11),VLOOKUP(B131,'Standard Deviations'!A1:C666,3,FALSE))</f>
        <v>318.79169757083247</v>
      </c>
      <c r="J131" s="52">
        <f>IF(D131="G",I131/AJ131,I131/Q131)</f>
        <v>4.266912465395114</v>
      </c>
      <c r="K131" s="51">
        <f>IF(Settings!$E$18="C/LW/RW",VLOOKUP(B131,RW!A1:F136,6,FALSE),VLOOKUP(B131,F!A1:F392,6,FALSE))</f>
        <v>-50.056025535459924</v>
      </c>
      <c r="L131" s="53">
        <f>IFERROR(K131/H131,"N/A")</f>
        <v>-12.514006383864981</v>
      </c>
      <c r="M131" s="54">
        <f>IF(Settings!$E$9="YAHOO",VLOOKUP(B131,ADP!A1:E665,2,FALSE),IF(Settings!$E$9="ESPN",VLOOKUP(B131,ADP!A1:E665,3,FALSE),IF(Settings!$E$9="FANTRAX",VLOOKUP(B131,ADP!A1:E665,4,FALSE),VLOOKUP(B131,ADP!A1:E665,5,FALSE))))</f>
        <v>121.3</v>
      </c>
      <c r="N131" s="54">
        <f>IFERROR(M131-A131,"N/A")</f>
        <v>-8.7000000000000028</v>
      </c>
      <c r="O131" s="54"/>
      <c r="P131" s="55" t="str">
        <f>IF(Settings!$E$27="ON",VLOOKUP(B131,ADP!A1:H665,8,FALSE)," ")</f>
        <v xml:space="preserve"> </v>
      </c>
      <c r="Q131" s="56">
        <f>IF(Settings!$E$12="YES",VLOOKUP(B131,'Player Data'!A1:E667,5,FALSE),82)</f>
        <v>74.712500000000006</v>
      </c>
      <c r="R131" s="54">
        <f>VLOOKUP(B131,'Player Data'!$A1:$AE667,6,FALSE)</f>
        <v>18.382017483654302</v>
      </c>
      <c r="S131" s="56">
        <f>VLOOKUP(B131,'Player Data'!$A1:$AE667,7,FALSE)*$Q131*IFERROR((VLOOKUP(P131,Settings!$E$28:$F$33,2,FALSE)+1),1)</f>
        <v>22.404221830742824</v>
      </c>
      <c r="T131" s="56">
        <f>VLOOKUP(B131,'Player Data'!$A1:$AE667,8,FALSE)*$Q131*IFERROR((VLOOKUP(P131,Settings!$E$28:$F$33,2,FALSE)+1),1)</f>
        <v>37.396791553248484</v>
      </c>
      <c r="U131" s="56">
        <f>SUM(S131:T131)</f>
        <v>59.801013383991304</v>
      </c>
      <c r="V131" s="56">
        <f>VLOOKUP(B131,'Player Data'!$A1:$AE667,10,FALSE)*$Q131*IFERROR(((VLOOKUP(P131,Settings!$E$28:$F$33,2,FALSE)/2)+1),1)</f>
        <v>218.65630822472312</v>
      </c>
      <c r="W131" s="56">
        <f>VLOOKUP(B131,'Player Data'!$A1:$AE667,11,FALSE)*$Q131*IFERROR((VLOOKUP(P131,Settings!$E$28:$F$33,2,FALSE)+1),1)</f>
        <v>4.2922402651620351</v>
      </c>
      <c r="X131" s="57">
        <f>VLOOKUP(B131,'Player Data'!$A1:$AE667,12,FALSE)*$Q131*IFERROR((VLOOKUP(P131,Settings!$E$28:$F$33,2,FALSE)+1),1)</f>
        <v>19.210798541603801</v>
      </c>
      <c r="Y131" s="56">
        <f>VLOOKUP(B131,'Player Data'!$A1:$AE667,13,FALSE)*$Q131</f>
        <v>3.358653152880232E-3</v>
      </c>
      <c r="Z131" s="56">
        <f>VLOOKUP(B131,'Player Data'!$A1:$AE667,14,FALSE)*$Q131</f>
        <v>5.7953427744920601E-3</v>
      </c>
      <c r="AA131" s="56">
        <f>VLOOKUP(B131,'Player Data'!$A1:$AE667,15,FALSE)*$Q131</f>
        <v>21.687818844237317</v>
      </c>
      <c r="AB131" s="56">
        <f>VLOOKUP(B131,'Player Data'!$A1:$AE667,16,FALSE)*$Q131</f>
        <v>23.756751480894831</v>
      </c>
      <c r="AC131" s="56">
        <f>VLOOKUP(B131,'Player Data'!$A1:$AE667,17,FALSE)*$Q131*IFERROR((VLOOKUP(P131,Settings!$E$28:$F$33,2,FALSE)+1),1)</f>
        <v>-2.3808793515815658</v>
      </c>
      <c r="AD131" s="56">
        <f>VLOOKUP(B131,'Player Data'!$A1:$AE667,18,FALSE)*$Q131</f>
        <v>21.424190854016853</v>
      </c>
      <c r="AE131" s="56">
        <f>VLOOKUP(B131,'Player Data'!$A1:$AE667,19,FALSE)*$Q131*IFERROR((VLOOKUP(P131,Settings!$E$28:$F$33,2,FALSE)+1),1)</f>
        <v>3.0770555363041394</v>
      </c>
      <c r="AF131" s="56">
        <f>VLOOKUP(B131,'Player Data'!$A1:$AE667,20,FALSE)*$Q131</f>
        <v>0.63706416521250797</v>
      </c>
      <c r="AG131" s="56">
        <f>VLOOKUP(B131,'Player Data'!$A1:$AE667,21,FALSE)*$Q131</f>
        <v>1.1763412179968962</v>
      </c>
      <c r="AH131" s="58">
        <f>VLOOKUP(B131,'Player Data'!$A1:$AE667,22,FALSE)</f>
        <v>0.35130819126885898</v>
      </c>
      <c r="AI131" s="54"/>
      <c r="AJ131" s="56"/>
      <c r="AK131" s="56"/>
      <c r="AL131" s="56"/>
      <c r="AM131" s="56"/>
      <c r="AN131" s="56"/>
      <c r="AO131" s="56"/>
      <c r="AP131" s="56"/>
      <c r="AQ131" s="59"/>
      <c r="AR131" s="60"/>
      <c r="AS131" s="64"/>
    </row>
    <row r="132" spans="1:45" ht="21.25" customHeight="1" x14ac:dyDescent="0.15">
      <c r="A132" s="45">
        <f>RANK(K132,K$1:K$665)</f>
        <v>131</v>
      </c>
      <c r="B132" s="9" t="s">
        <v>257</v>
      </c>
      <c r="C132" s="46" t="s">
        <v>127</v>
      </c>
      <c r="D132" s="47" t="str">
        <f>VLOOKUP(B132,'Player Data'!A1:D667,4,FALSE)</f>
        <v>D</v>
      </c>
      <c r="E132" s="66">
        <f>VLOOKUP(B132,D!A1:C213,3,FALSE)</f>
        <v>35</v>
      </c>
      <c r="F132" s="65" t="str">
        <f>VLOOKUP(B132,'Player Data'!A1:B667,2,FALSE)</f>
        <v>FLA</v>
      </c>
      <c r="G132" s="10">
        <f>VLOOKUP(B132,'Player Data'!A1:D667,3,FALSE)</f>
        <v>28</v>
      </c>
      <c r="H132" s="50">
        <f>IFERROR(VLOOKUP(B132,ADP!A1:G665,7,FALSE)/1000000,VLOOKUP(B132,ADP!A1:G665,7,FALSE))</f>
        <v>5.75</v>
      </c>
      <c r="I132" s="51">
        <f>IF(Settings!$E$15="POINTS",((R132*Q132)*Settings!$B$12)+(S132*Settings!$B$2)+(T132*Settings!$B$3)+(U132*Settings!$B$4)+(V132*Settings!$B$5)+(X132*Settings!$B$9)+(AA132*Settings!$B$6)+(W132*Settings!$B$8)+(AB132*Settings!$B$7)+(AC132*Settings!$B$14)+(AD132*Settings!$B$15)+(AE132*Settings!$B$16)+(AF132*Settings!$B$17)+(AG132*Settings!$B$18)+(U132*Settings!$B$13)+(Y132*Settings!$B$10)+(Z132*Settings!$B$11),VLOOKUP(B132,'Standard Deviations'!A1:C666,3,FALSE))</f>
        <v>284.80411438831743</v>
      </c>
      <c r="J132" s="52">
        <f>IF(D132="G",I132/AJ132,I132/Q132)</f>
        <v>3.5424498820027668</v>
      </c>
      <c r="K132" s="51">
        <f>VLOOKUP(B132,D!A1:F213,6,FALSE)</f>
        <v>-51.430010657277478</v>
      </c>
      <c r="L132" s="53">
        <f>IFERROR(K132/H132,"N/A")</f>
        <v>-8.9443496795265176</v>
      </c>
      <c r="M132" s="54">
        <f>IF(Settings!$E$9="YAHOO",VLOOKUP(B132,ADP!A1:E665,2,FALSE),IF(Settings!$E$9="ESPN",VLOOKUP(B132,ADP!A1:E665,3,FALSE),IF(Settings!$E$9="FANTRAX",VLOOKUP(B132,ADP!A1:E665,4,FALSE),VLOOKUP(B132,ADP!A1:E665,5,FALSE))))</f>
        <v>94.7</v>
      </c>
      <c r="N132" s="54">
        <f>IFERROR(M132-A132,"N/A")</f>
        <v>-36.299999999999997</v>
      </c>
      <c r="O132" s="54"/>
      <c r="P132" s="55" t="str">
        <f>IF(Settings!$E$27="ON",VLOOKUP(B132,ADP!A1:H665,8,FALSE)," ")</f>
        <v xml:space="preserve"> </v>
      </c>
      <c r="Q132" s="56">
        <f>IF(Settings!$E$12="YES",VLOOKUP(B132,'Player Data'!A1:E667,5,FALSE),82)</f>
        <v>80.397499999999994</v>
      </c>
      <c r="R132" s="75">
        <f>VLOOKUP(B132,'Player Data'!$A1:$AE667,6,FALSE)</f>
        <v>23.698452752408699</v>
      </c>
      <c r="S132" s="56">
        <f>VLOOKUP(B132,'Player Data'!$A1:$AE667,7,FALSE)*$Q132*IFERROR((VLOOKUP(P132,Settings!$E$28:$F$33,2,FALSE)+1),1)</f>
        <v>11.82124035578537</v>
      </c>
      <c r="T132" s="56">
        <f>VLOOKUP(B132,'Player Data'!$A1:$AE667,8,FALSE)*$Q132*IFERROR((VLOOKUP(P132,Settings!$E$28:$F$33,2,FALSE)+1),1)</f>
        <v>31.506711266595314</v>
      </c>
      <c r="U132" s="56">
        <f>SUM(S132:T132)</f>
        <v>43.327951622380681</v>
      </c>
      <c r="V132" s="56">
        <f>VLOOKUP(B132,'Player Data'!$A1:$AE667,10,FALSE)*$Q132*IFERROR(((VLOOKUP(P132,Settings!$E$28:$F$33,2,FALSE)/2)+1),1)</f>
        <v>185.97031552982097</v>
      </c>
      <c r="W132" s="56">
        <f>VLOOKUP(B132,'Player Data'!$A1:$AE667,11,FALSE)*$Q132*IFERROR((VLOOKUP(P132,Settings!$E$28:$F$33,2,FALSE)+1),1)</f>
        <v>1.1431016620959997</v>
      </c>
      <c r="X132" s="56">
        <f>VLOOKUP(B132,'Player Data'!$A1:$AE667,12,FALSE)*$Q132*IFERROR((VLOOKUP(P132,Settings!$E$28:$F$33,2,FALSE)+1),1)</f>
        <v>4.3166502622531846</v>
      </c>
      <c r="Y132" s="56">
        <f>VLOOKUP(B132,'Player Data'!$A1:$AE667,13,FALSE)*$Q132</f>
        <v>2.7123574443802586E-2</v>
      </c>
      <c r="Z132" s="56">
        <f>VLOOKUP(B132,'Player Data'!$A1:$AE667,14,FALSE)*$Q132</f>
        <v>0.61880707753021091</v>
      </c>
      <c r="AA132" s="56">
        <f>VLOOKUP(B132,'Player Data'!$A1:$AE667,15,FALSE)*$Q132</f>
        <v>113.79928883296301</v>
      </c>
      <c r="AB132" s="56">
        <f>VLOOKUP(B132,'Player Data'!$A1:$AE667,16,FALSE)*$Q132</f>
        <v>98.728406924266807</v>
      </c>
      <c r="AC132" s="56">
        <f>VLOOKUP(B132,'Player Data'!$A1:$AE667,17,FALSE)*$Q132*IFERROR((VLOOKUP(P132,Settings!$E$28:$F$33,2,FALSE)+1),1)</f>
        <v>8.4096349206929837</v>
      </c>
      <c r="AD132" s="56">
        <f>VLOOKUP(B132,'Player Data'!$A1:$AE667,18,FALSE)*$Q132</f>
        <v>37.636510819206705</v>
      </c>
      <c r="AE132" s="56">
        <f>VLOOKUP(B132,'Player Data'!$A1:$AE667,19,FALSE)*$Q132*IFERROR((VLOOKUP(P132,Settings!$E$28:$F$33,2,FALSE)+1),1)</f>
        <v>2.0138869642479631</v>
      </c>
      <c r="AF132" s="56">
        <f>VLOOKUP(B132,'Player Data'!$A1:$AE667,20,FALSE)*$Q132</f>
        <v>0</v>
      </c>
      <c r="AG132" s="56">
        <f>VLOOKUP(B132,'Player Data'!$A1:$AE667,21,FALSE)*$Q132</f>
        <v>0</v>
      </c>
      <c r="AH132" s="58">
        <f>VLOOKUP(B132,'Player Data'!$A1:$AE667,22,FALSE)</f>
        <v>0</v>
      </c>
      <c r="AI132" s="54"/>
      <c r="AJ132" s="56"/>
      <c r="AK132" s="56"/>
      <c r="AL132" s="56"/>
      <c r="AM132" s="56"/>
      <c r="AN132" s="56"/>
      <c r="AO132" s="56"/>
      <c r="AP132" s="56"/>
      <c r="AQ132" s="59"/>
      <c r="AR132" s="60"/>
      <c r="AS132" s="54"/>
    </row>
    <row r="133" spans="1:45" ht="21.25" customHeight="1" x14ac:dyDescent="0.15">
      <c r="A133" s="45">
        <f>RANK(K133,K$1:K$665)</f>
        <v>132</v>
      </c>
      <c r="B133" s="9" t="s">
        <v>258</v>
      </c>
      <c r="C133" s="46" t="s">
        <v>127</v>
      </c>
      <c r="D133" s="47" t="str">
        <f>VLOOKUP(B133,'Player Data'!A1:D667,4,FALSE)</f>
        <v>C</v>
      </c>
      <c r="E133" s="48">
        <f>VLOOKUP(B133,'C'!A1:C206,3,FALSE)</f>
        <v>44</v>
      </c>
      <c r="F133" s="74" t="str">
        <f>VLOOKUP(B133,'Player Data'!A1:B667,2,FALSE)</f>
        <v>PIT</v>
      </c>
      <c r="G133" s="63">
        <f>VLOOKUP(B133,'Player Data'!A1:D667,3,FALSE)</f>
        <v>38</v>
      </c>
      <c r="H133" s="50">
        <f>IFERROR(VLOOKUP(B133,ADP!A1:G665,7,FALSE)/1000000,VLOOKUP(B133,ADP!A1:G665,7,FALSE))</f>
        <v>6.1</v>
      </c>
      <c r="I133" s="51">
        <f>IF(Settings!$E$15="POINTS",((R133*Q133)*Settings!$B$12)+(S133*Settings!$B$2)+(T133*Settings!$B$3)+(U133*Settings!$B$4)+(V133*Settings!$B$5)+(X133*Settings!$B$9)+(AA133*Settings!$B$6)+(W133*Settings!$B$8)+(AB133*Settings!$B$7)+(AC133*Settings!$B$14)+(AD133*Settings!$B$15)+(AE133*Settings!$B$16)+(AF133*Settings!$B$17)+(AG133*Settings!$B$18)+(Y133*Settings!$B$10)+(Z133*Settings!$B$11),VLOOKUP(B133,'Standard Deviations'!A1:C666,3,FALSE))</f>
        <v>337.82564059107443</v>
      </c>
      <c r="J133" s="52">
        <f>IF(D133="G",I133/AJ133,I133/Q133)</f>
        <v>4.3349883304385273</v>
      </c>
      <c r="K133" s="51">
        <f>IF(Settings!$E$18="C/LW/RW",VLOOKUP(B133,'C'!A1:F206,6,FALSE),VLOOKUP(B133,F!A1:F392,6,FALSE))</f>
        <v>-52.111517187006655</v>
      </c>
      <c r="L133" s="53">
        <f>IFERROR(K133/H133,"N/A")</f>
        <v>-8.5428716700010909</v>
      </c>
      <c r="M133" s="54">
        <f>IF(Settings!$E$9="YAHOO",VLOOKUP(B133,ADP!A1:E665,2,FALSE),IF(Settings!$E$9="ESPN",VLOOKUP(B133,ADP!A1:E665,3,FALSE),IF(Settings!$E$9="FANTRAX",VLOOKUP(B133,ADP!A1:E665,4,FALSE),VLOOKUP(B133,ADP!A1:E665,5,FALSE))))</f>
        <v>186</v>
      </c>
      <c r="N133" s="54">
        <f>IFERROR(M133-A133,"N/A")</f>
        <v>54</v>
      </c>
      <c r="O133" s="54"/>
      <c r="P133" s="55" t="str">
        <f>IF(Settings!$E$27="ON",VLOOKUP(B133,ADP!A1:H665,8,FALSE)," ")</f>
        <v xml:space="preserve"> </v>
      </c>
      <c r="Q133" s="56">
        <f>IF(Settings!$E$12="YES",VLOOKUP(B133,'Player Data'!A1:E667,5,FALSE),82)</f>
        <v>77.930000000000007</v>
      </c>
      <c r="R133" s="54">
        <f>VLOOKUP(B133,'Player Data'!$A1:$AE667,6,FALSE)</f>
        <v>18.676623219418801</v>
      </c>
      <c r="S133" s="56">
        <f>VLOOKUP(B133,'Player Data'!$A1:$AE667,7,FALSE)*$Q133*IFERROR((VLOOKUP(P133,Settings!$E$28:$F$33,2,FALSE)+1),1)</f>
        <v>24.397264536227514</v>
      </c>
      <c r="T133" s="56">
        <f>VLOOKUP(B133,'Player Data'!$A1:$AE667,8,FALSE)*$Q133*IFERROR((VLOOKUP(P133,Settings!$E$28:$F$33,2,FALSE)+1),1)</f>
        <v>40.889822685210945</v>
      </c>
      <c r="U133" s="56">
        <f>SUM(S133:T133)</f>
        <v>65.287087221438455</v>
      </c>
      <c r="V133" s="56">
        <f>VLOOKUP(B133,'Player Data'!$A1:$AE667,10,FALSE)*$Q133*IFERROR(((VLOOKUP(P133,Settings!$E$28:$F$33,2,FALSE)/2)+1),1)</f>
        <v>202.12596572988602</v>
      </c>
      <c r="W133" s="56">
        <f>VLOOKUP(B133,'Player Data'!$A1:$AE667,11,FALSE)*$Q133*IFERROR((VLOOKUP(P133,Settings!$E$28:$F$33,2,FALSE)+1),1)</f>
        <v>7.4236252969537535</v>
      </c>
      <c r="X133" s="57">
        <f>VLOOKUP(B133,'Player Data'!$A1:$AE667,12,FALSE)*$Q133*IFERROR((VLOOKUP(P133,Settings!$E$28:$F$33,2,FALSE)+1),1)</f>
        <v>21.995735859051269</v>
      </c>
      <c r="Y133" s="56">
        <f>VLOOKUP(B133,'Player Data'!$A1:$AE667,13,FALSE)*$Q133</f>
        <v>6.750001800493996E-3</v>
      </c>
      <c r="Z133" s="56">
        <f>VLOOKUP(B133,'Player Data'!$A1:$AE667,14,FALSE)*$Q133</f>
        <v>1.1628945339884796E-2</v>
      </c>
      <c r="AA133" s="56">
        <f>VLOOKUP(B133,'Player Data'!$A1:$AE667,15,FALSE)*$Q133</f>
        <v>37.788062514849848</v>
      </c>
      <c r="AB133" s="56">
        <f>VLOOKUP(B133,'Player Data'!$A1:$AE667,16,FALSE)*$Q133</f>
        <v>39.030567890803795</v>
      </c>
      <c r="AC133" s="56">
        <f>VLOOKUP(B133,'Player Data'!$A1:$AE667,17,FALSE)*$Q133*IFERROR((VLOOKUP(P133,Settings!$E$28:$F$33,2,FALSE)+1),1)</f>
        <v>1.3890766577874858</v>
      </c>
      <c r="AD133" s="56">
        <f>VLOOKUP(B133,'Player Data'!$A1:$AE667,18,FALSE)*$Q133</f>
        <v>56.796379466814962</v>
      </c>
      <c r="AE133" s="56">
        <f>VLOOKUP(B133,'Player Data'!$A1:$AE667,19,FALSE)*$Q133*IFERROR((VLOOKUP(P133,Settings!$E$28:$F$33,2,FALSE)+1),1)</f>
        <v>3.6167213008307448</v>
      </c>
      <c r="AF133" s="56">
        <f>VLOOKUP(B133,'Player Data'!$A1:$AE667,20,FALSE)*$Q133</f>
        <v>371.16539500438915</v>
      </c>
      <c r="AG133" s="56">
        <f>VLOOKUP(B133,'Player Data'!$A1:$AE667,21,FALSE)*$Q133</f>
        <v>399.29269966221449</v>
      </c>
      <c r="AH133" s="58">
        <f>VLOOKUP(B133,'Player Data'!$A1:$AE667,22,FALSE)</f>
        <v>0.48174637605047399</v>
      </c>
      <c r="AI133" s="54"/>
      <c r="AJ133" s="64"/>
      <c r="AK133" s="56"/>
      <c r="AL133" s="56"/>
      <c r="AM133" s="56"/>
      <c r="AN133" s="56"/>
      <c r="AO133" s="56"/>
      <c r="AP133" s="56"/>
      <c r="AQ133" s="59"/>
      <c r="AR133" s="60"/>
      <c r="AS133" s="64"/>
    </row>
    <row r="134" spans="1:45" ht="21.25" customHeight="1" x14ac:dyDescent="0.15">
      <c r="A134" s="45">
        <f>RANK(K134,K$1:K$665)</f>
        <v>133</v>
      </c>
      <c r="B134" s="9" t="s">
        <v>259</v>
      </c>
      <c r="C134" s="46" t="s">
        <v>127</v>
      </c>
      <c r="D134" s="47" t="str">
        <f>VLOOKUP(B134,'Player Data'!A1:D667,4,FALSE)</f>
        <v>LW</v>
      </c>
      <c r="E134" s="70">
        <f>VLOOKUP(B134,LW!A1:C152,3,FALSE)</f>
        <v>36</v>
      </c>
      <c r="F134" s="55" t="str">
        <f>VLOOKUP(B134,'Player Data'!A1:B667,2,FALSE)</f>
        <v>UTA</v>
      </c>
      <c r="G134" s="69">
        <f>VLOOKUP(B134,'Player Data'!A1:D667,3,FALSE)</f>
        <v>21</v>
      </c>
      <c r="H134" s="67">
        <f>IFERROR(VLOOKUP(B134,ADP!A1:G665,7,FALSE)/1000000,VLOOKUP(B134,ADP!A1:G665,7,FALSE))</f>
        <v>0.89416700000000005</v>
      </c>
      <c r="I134" s="51">
        <f>IF(Settings!$E$15="POINTS",((R134*Q134)*Settings!$B$12)+(S134*Settings!$B$2)+(T134*Settings!$B$3)+(U134*Settings!$B$4)+(V134*Settings!$B$5)+(X134*Settings!$B$9)+(AA134*Settings!$B$6)+(W134*Settings!$B$8)+(AB134*Settings!$B$7)+(AC134*Settings!$B$14)+(AD134*Settings!$B$15)+(AE134*Settings!$B$16)+(AF134*Settings!$B$17)+(AG134*Settings!$B$18)+(Y134*Settings!$B$10)+(Z134*Settings!$B$11),VLOOKUP(B134,'Standard Deviations'!A1:C666,3,FALSE))</f>
        <v>328.73202163470648</v>
      </c>
      <c r="J134" s="52">
        <f>IF(D134="G",I134/AJ134,I134/Q134)</f>
        <v>4.355508733152786</v>
      </c>
      <c r="K134" s="51">
        <f>IF(Settings!$E$18="C/LW/RW",VLOOKUP(B134,LW!A1:F152,6,FALSE),VLOOKUP(B134,F!A1:F392,6,FALSE))</f>
        <v>-52.329490667793266</v>
      </c>
      <c r="L134" s="53">
        <f>IFERROR(K134/H134,"N/A")</f>
        <v>-58.523173711167225</v>
      </c>
      <c r="M134" s="54">
        <f>IF(Settings!$E$9="YAHOO",VLOOKUP(B134,ADP!A1:E665,2,FALSE),IF(Settings!$E$9="ESPN",VLOOKUP(B134,ADP!A1:E665,3,FALSE),IF(Settings!$E$9="FANTRAX",VLOOKUP(B134,ADP!A1:E665,4,FALSE),VLOOKUP(B134,ADP!A1:E665,5,FALSE))))</f>
        <v>175</v>
      </c>
      <c r="N134" s="54">
        <f>IFERROR(M134-A134,"N/A")</f>
        <v>42</v>
      </c>
      <c r="O134" s="54"/>
      <c r="P134" s="55" t="str">
        <f>IF(Settings!$E$27="ON",VLOOKUP(B134,ADP!A1:H665,8,FALSE)," ")</f>
        <v>-</v>
      </c>
      <c r="Q134" s="56">
        <f>IF(Settings!$E$12="YES",VLOOKUP(B134,'Player Data'!A1:E667,5,FALSE),82)</f>
        <v>75.474999999999994</v>
      </c>
      <c r="R134" s="75">
        <f>VLOOKUP(B134,'Player Data'!$A1:$AE667,6,FALSE)</f>
        <v>17.639158663726</v>
      </c>
      <c r="S134" s="56">
        <f>VLOOKUP(B134,'Player Data'!$A1:$AE667,7,FALSE)*$Q134*IFERROR((VLOOKUP(P134,Settings!$E$28:$F$33,2,FALSE)+1),1)</f>
        <v>28.599655981324879</v>
      </c>
      <c r="T134" s="56">
        <f>VLOOKUP(B134,'Player Data'!$A1:$AE667,8,FALSE)*$Q134*IFERROR((VLOOKUP(P134,Settings!$E$28:$F$33,2,FALSE)+1),1)</f>
        <v>31.781724089533711</v>
      </c>
      <c r="U134" s="56">
        <f>SUM(S134:T134)</f>
        <v>60.38138007085859</v>
      </c>
      <c r="V134" s="56">
        <f>VLOOKUP(B134,'Player Data'!$A1:$AE667,10,FALSE)*$Q134*IFERROR(((VLOOKUP(P134,Settings!$E$28:$F$33,2,FALSE)/2)+1),1)</f>
        <v>202.79081080316928</v>
      </c>
      <c r="W134" s="56">
        <f>VLOOKUP(B134,'Player Data'!$A1:$AE667,11,FALSE)*$Q134*IFERROR((VLOOKUP(P134,Settings!$E$28:$F$33,2,FALSE)+1),1)</f>
        <v>15.026293970438568</v>
      </c>
      <c r="X134" s="57">
        <f>VLOOKUP(B134,'Player Data'!$A1:$AE667,12,FALSE)*$Q134*IFERROR((VLOOKUP(P134,Settings!$E$28:$F$33,2,FALSE)+1),1)</f>
        <v>24.74388682027665</v>
      </c>
      <c r="Y134" s="56">
        <f>VLOOKUP(B134,'Player Data'!$A1:$AE667,13,FALSE)*$Q134</f>
        <v>0.63979274133578179</v>
      </c>
      <c r="Z134" s="56">
        <f>VLOOKUP(B134,'Player Data'!$A1:$AE667,14,FALSE)*$Q134</f>
        <v>1.2487839525101687</v>
      </c>
      <c r="AA134" s="56">
        <f>VLOOKUP(B134,'Player Data'!$A1:$AE667,15,FALSE)*$Q134</f>
        <v>40.399610495518502</v>
      </c>
      <c r="AB134" s="56">
        <f>VLOOKUP(B134,'Player Data'!$A1:$AE667,16,FALSE)*$Q134</f>
        <v>64.400614601979271</v>
      </c>
      <c r="AC134" s="56">
        <f>VLOOKUP(B134,'Player Data'!$A1:$AE667,17,FALSE)*$Q134*IFERROR((VLOOKUP(P134,Settings!$E$28:$F$33,2,FALSE)+1),1)</f>
        <v>8.2199833548721735E-2</v>
      </c>
      <c r="AD134" s="56">
        <f>VLOOKUP(B134,'Player Data'!$A1:$AE667,18,FALSE)*$Q134</f>
        <v>30.561117285735012</v>
      </c>
      <c r="AE134" s="56">
        <f>VLOOKUP(B134,'Player Data'!$A1:$AE667,19,FALSE)*$Q134*IFERROR((VLOOKUP(P134,Settings!$E$28:$F$33,2,FALSE)+1),1)</f>
        <v>4.1849702952585233</v>
      </c>
      <c r="AF134" s="56">
        <f>VLOOKUP(B134,'Player Data'!$A1:$AE667,20,FALSE)*$Q134</f>
        <v>14.654802309630554</v>
      </c>
      <c r="AG134" s="56">
        <f>VLOOKUP(B134,'Player Data'!$A1:$AE667,21,FALSE)*$Q134</f>
        <v>33.666969300400645</v>
      </c>
      <c r="AH134" s="58">
        <f>VLOOKUP(B134,'Player Data'!$A1:$AE667,22,FALSE)</f>
        <v>0.30327535231734598</v>
      </c>
      <c r="AI134" s="54"/>
      <c r="AJ134" s="56"/>
      <c r="AK134" s="56"/>
      <c r="AL134" s="56"/>
      <c r="AM134" s="56"/>
      <c r="AN134" s="56"/>
      <c r="AO134" s="56"/>
      <c r="AP134" s="56"/>
      <c r="AQ134" s="59"/>
      <c r="AR134" s="60"/>
      <c r="AS134" s="54"/>
    </row>
    <row r="135" spans="1:45" ht="21.25" customHeight="1" x14ac:dyDescent="0.15">
      <c r="A135" s="45">
        <f>RANK(K135,K$1:K$665)</f>
        <v>134</v>
      </c>
      <c r="B135" s="9" t="s">
        <v>260</v>
      </c>
      <c r="C135" s="46" t="s">
        <v>127</v>
      </c>
      <c r="D135" s="47" t="str">
        <f>VLOOKUP(B135,'Player Data'!A1:D667,4,FALSE)</f>
        <v>LW</v>
      </c>
      <c r="E135" s="70">
        <f>VLOOKUP(B135,LW!A1:C152,3,FALSE)</f>
        <v>37</v>
      </c>
      <c r="F135" s="62" t="str">
        <f>VLOOKUP(B135,'Player Data'!A1:B667,2,FALSE)</f>
        <v>MTL</v>
      </c>
      <c r="G135" s="69">
        <f>VLOOKUP(B135,'Player Data'!A1:D667,3,FALSE)</f>
        <v>20</v>
      </c>
      <c r="H135" s="50">
        <f>IFERROR(VLOOKUP(B135,ADP!A1:G665,7,FALSE)/1000000,VLOOKUP(B135,ADP!A1:G665,7,FALSE))</f>
        <v>0.95</v>
      </c>
      <c r="I135" s="51">
        <f>IF(Settings!$E$15="POINTS",((R135*Q135)*Settings!$B$12)+(S135*Settings!$B$2)+(T135*Settings!$B$3)+(U135*Settings!$B$4)+(V135*Settings!$B$5)+(X135*Settings!$B$9)+(AA135*Settings!$B$6)+(W135*Settings!$B$8)+(AB135*Settings!$B$7)+(AC135*Settings!$B$14)+(AD135*Settings!$B$15)+(AE135*Settings!$B$16)+(AF135*Settings!$B$17)+(AG135*Settings!$B$18)+(Y135*Settings!$B$10)+(Z135*Settings!$B$11),VLOOKUP(B135,'Standard Deviations'!A1:C666,3,FALSE))</f>
        <v>326.23499279001544</v>
      </c>
      <c r="J135" s="52">
        <f>IF(D135="G",I135/AJ135,I135/Q135)</f>
        <v>4.2803161057501944</v>
      </c>
      <c r="K135" s="51">
        <f>IF(Settings!$E$18="C/LW/RW",VLOOKUP(B135,LW!A1:F152,6,FALSE),VLOOKUP(B135,F!A1:F392,6,FALSE))</f>
        <v>-54.82651951248431</v>
      </c>
      <c r="L135" s="53">
        <f>IFERROR(K135/H135,"N/A")</f>
        <v>-57.712125802615063</v>
      </c>
      <c r="M135" s="54">
        <f>IF(Settings!$E$9="YAHOO",VLOOKUP(B135,ADP!A1:E665,2,FALSE),IF(Settings!$E$9="ESPN",VLOOKUP(B135,ADP!A1:E665,3,FALSE),IF(Settings!$E$9="FANTRAX",VLOOKUP(B135,ADP!A1:E665,4,FALSE),VLOOKUP(B135,ADP!A1:E665,5,FALSE))))</f>
        <v>112.6</v>
      </c>
      <c r="N135" s="54">
        <f>IFERROR(M135-A135,"N/A")</f>
        <v>-21.400000000000006</v>
      </c>
      <c r="O135" s="54"/>
      <c r="P135" s="55" t="str">
        <f>IF(Settings!$E$27="ON",VLOOKUP(B135,ADP!A1:H665,8,FALSE)," ")</f>
        <v>+ +</v>
      </c>
      <c r="Q135" s="56">
        <f>IF(Settings!$E$12="YES",VLOOKUP(B135,'Player Data'!A1:E667,5,FALSE),82)</f>
        <v>76.217500000000001</v>
      </c>
      <c r="R135" s="75">
        <f>VLOOKUP(B135,'Player Data'!$A1:$AE667,6,FALSE)</f>
        <v>19.2690625217244</v>
      </c>
      <c r="S135" s="56">
        <f>VLOOKUP(B135,'Player Data'!$A1:$AE667,7,FALSE)*$Q135*IFERROR((VLOOKUP(P135,Settings!$E$28:$F$33,2,FALSE)+1),1)</f>
        <v>25.501098121205381</v>
      </c>
      <c r="T135" s="56">
        <f>VLOOKUP(B135,'Player Data'!$A1:$AE667,8,FALSE)*$Q135*IFERROR((VLOOKUP(P135,Settings!$E$28:$F$33,2,FALSE)+1),1)</f>
        <v>37.259912320476886</v>
      </c>
      <c r="U135" s="56">
        <f>SUM(S135:T135)</f>
        <v>62.761010441682267</v>
      </c>
      <c r="V135" s="56">
        <f>VLOOKUP(B135,'Player Data'!$A1:$AE667,10,FALSE)*$Q135*IFERROR(((VLOOKUP(P135,Settings!$E$28:$F$33,2,FALSE)/2)+1),1)</f>
        <v>169.8065136914621</v>
      </c>
      <c r="W135" s="56">
        <f>VLOOKUP(B135,'Player Data'!$A1:$AE667,11,FALSE)*$Q135*IFERROR((VLOOKUP(P135,Settings!$E$28:$F$33,2,FALSE)+1),1)</f>
        <v>8.8479004463963502</v>
      </c>
      <c r="X135" s="57">
        <f>VLOOKUP(B135,'Player Data'!$A1:$AE667,12,FALSE)*$Q135*IFERROR((VLOOKUP(P135,Settings!$E$28:$F$33,2,FALSE)+1),1)</f>
        <v>20.913551432900821</v>
      </c>
      <c r="Y135" s="56">
        <f>VLOOKUP(B135,'Player Data'!$A1:$AE667,13,FALSE)*$Q135</f>
        <v>5.8387168207999626E-3</v>
      </c>
      <c r="Z135" s="56">
        <f>VLOOKUP(B135,'Player Data'!$A1:$AE667,14,FALSE)*$Q135</f>
        <v>9.7727391929450305E-3</v>
      </c>
      <c r="AA135" s="56">
        <f>VLOOKUP(B135,'Player Data'!$A1:$AE667,15,FALSE)*$Q135</f>
        <v>64.250760894287637</v>
      </c>
      <c r="AB135" s="56">
        <f>VLOOKUP(B135,'Player Data'!$A1:$AE667,16,FALSE)*$Q135</f>
        <v>133.12491256402771</v>
      </c>
      <c r="AC135" s="56">
        <f>VLOOKUP(B135,'Player Data'!$A1:$AE667,17,FALSE)*$Q135*IFERROR((VLOOKUP(P135,Settings!$E$28:$F$33,2,FALSE)+1),1)</f>
        <v>-4.4634470713748522</v>
      </c>
      <c r="AD135" s="56">
        <f>VLOOKUP(B135,'Player Data'!$A1:$AE667,18,FALSE)*$Q135</f>
        <v>52.831750372392662</v>
      </c>
      <c r="AE135" s="56">
        <f>VLOOKUP(B135,'Player Data'!$A1:$AE667,19,FALSE)*$Q135*IFERROR((VLOOKUP(P135,Settings!$E$28:$F$33,2,FALSE)+1),1)</f>
        <v>2.9556097265979857</v>
      </c>
      <c r="AF135" s="56">
        <f>VLOOKUP(B135,'Player Data'!$A1:$AE667,20,FALSE)*$Q135</f>
        <v>10.325224498673652</v>
      </c>
      <c r="AG135" s="56">
        <f>VLOOKUP(B135,'Player Data'!$A1:$AE667,21,FALSE)*$Q135</f>
        <v>10.325224498673576</v>
      </c>
      <c r="AH135" s="58">
        <f>VLOOKUP(B135,'Player Data'!$A1:$AE667,22,FALSE)</f>
        <v>0.5</v>
      </c>
      <c r="AI135" s="54"/>
      <c r="AJ135" s="64"/>
      <c r="AK135" s="56"/>
      <c r="AL135" s="56"/>
      <c r="AM135" s="56"/>
      <c r="AN135" s="56"/>
      <c r="AO135" s="56"/>
      <c r="AP135" s="56"/>
      <c r="AQ135" s="59"/>
      <c r="AR135" s="60"/>
      <c r="AS135" s="54"/>
    </row>
    <row r="136" spans="1:45" ht="21.25" customHeight="1" x14ac:dyDescent="0.15">
      <c r="A136" s="45">
        <f>RANK(K136,K$1:K$665)</f>
        <v>135</v>
      </c>
      <c r="B136" s="9" t="s">
        <v>261</v>
      </c>
      <c r="C136" s="46" t="s">
        <v>127</v>
      </c>
      <c r="D136" s="47" t="str">
        <f>VLOOKUP(B136,'Player Data'!A1:D667,4,FALSE)</f>
        <v>LW/RW</v>
      </c>
      <c r="E136" s="68">
        <f>VLOOKUP(B136,RW!A1:C136,3,FALSE)</f>
        <v>37</v>
      </c>
      <c r="F136" s="77" t="str">
        <f>VLOOKUP(B136,'Player Data'!A1:B667,2,FALSE)</f>
        <v>S.J</v>
      </c>
      <c r="G136" s="63">
        <f>VLOOKUP(B136,'Player Data'!A1:D667,3,FALSE)</f>
        <v>32</v>
      </c>
      <c r="H136" s="50">
        <f>IFERROR(VLOOKUP(B136,ADP!A1:G665,7,FALSE)/1000000,VLOOKUP(B136,ADP!A1:G665,7,FALSE))</f>
        <v>6</v>
      </c>
      <c r="I136" s="51">
        <f>IF(Settings!$E$15="POINTS",((R136*Q136)*Settings!$B$12)+(S136*Settings!$B$2)+(T136*Settings!$B$3)+(U136*Settings!$B$4)+(V136*Settings!$B$5)+(X136*Settings!$B$9)+(AA136*Settings!$B$6)+(W136*Settings!$B$8)+(AB136*Settings!$B$7)+(AC136*Settings!$B$14)+(AD136*Settings!$B$15)+(AE136*Settings!$B$16)+(AF136*Settings!$B$17)+(AG136*Settings!$B$18)+(Y136*Settings!$B$10)+(Z136*Settings!$B$11),VLOOKUP(B136,'Standard Deviations'!A1:C666,3,FALSE))</f>
        <v>312.84983177776769</v>
      </c>
      <c r="J136" s="52">
        <f>IF(D136="G",I136/AJ136,I136/Q136)</f>
        <v>3.8768218566593471</v>
      </c>
      <c r="K136" s="51">
        <f>IF(Settings!$E$18="C/LW/RW",VLOOKUP(B136,RW!A1:F136,6,FALSE),VLOOKUP(B136,F!A1:F392,6,FALSE))</f>
        <v>-55.997891328524702</v>
      </c>
      <c r="L136" s="53">
        <f>IFERROR(K136/H136,"N/A")</f>
        <v>-9.3329818880874509</v>
      </c>
      <c r="M136" s="54">
        <f>IF(Settings!$E$9="YAHOO",VLOOKUP(B136,ADP!A1:E665,2,FALSE),IF(Settings!$E$9="ESPN",VLOOKUP(B136,ADP!A1:E665,3,FALSE),IF(Settings!$E$9="FANTRAX",VLOOKUP(B136,ADP!A1:E665,4,FALSE),VLOOKUP(B136,ADP!A1:E665,5,FALSE))))</f>
        <v>153.30000000000001</v>
      </c>
      <c r="N136" s="54">
        <f>IFERROR(M136-A136,"N/A")</f>
        <v>18.300000000000011</v>
      </c>
      <c r="O136" s="54"/>
      <c r="P136" s="55" t="str">
        <f>IF(Settings!$E$27="ON",VLOOKUP(B136,ADP!A1:H665,8,FALSE)," ")</f>
        <v xml:space="preserve"> </v>
      </c>
      <c r="Q136" s="56">
        <f>IF(Settings!$E$12="YES",VLOOKUP(B136,'Player Data'!A1:E667,5,FALSE),82)</f>
        <v>80.697500000000005</v>
      </c>
      <c r="R136" s="54">
        <f>VLOOKUP(B136,'Player Data'!$A1:$AE667,6,FALSE)</f>
        <v>17.253153697487601</v>
      </c>
      <c r="S136" s="56">
        <f>VLOOKUP(B136,'Player Data'!$A1:$AE667,7,FALSE)*$Q136*IFERROR((VLOOKUP(P136,Settings!$E$28:$F$33,2,FALSE)+1),1)</f>
        <v>28.252738578146928</v>
      </c>
      <c r="T136" s="56">
        <f>VLOOKUP(B136,'Player Data'!$A1:$AE667,8,FALSE)*$Q136*IFERROR((VLOOKUP(P136,Settings!$E$28:$F$33,2,FALSE)+1),1)</f>
        <v>27.47102648268287</v>
      </c>
      <c r="U136" s="56">
        <f>SUM(S136:T136)</f>
        <v>55.723765060829798</v>
      </c>
      <c r="V136" s="56">
        <f>VLOOKUP(B136,'Player Data'!$A1:$AE667,10,FALSE)*$Q136*IFERROR(((VLOOKUP(P136,Settings!$E$28:$F$33,2,FALSE)/2)+1),1)</f>
        <v>238.66523215632847</v>
      </c>
      <c r="W136" s="56">
        <f>VLOOKUP(B136,'Player Data'!$A1:$AE667,11,FALSE)*$Q136*IFERROR((VLOOKUP(P136,Settings!$E$28:$F$33,2,FALSE)+1),1)</f>
        <v>8.6478218170697048</v>
      </c>
      <c r="X136" s="57">
        <f>VLOOKUP(B136,'Player Data'!$A1:$AE667,12,FALSE)*$Q136*IFERROR((VLOOKUP(P136,Settings!$E$28:$F$33,2,FALSE)+1),1)</f>
        <v>18.097854286015103</v>
      </c>
      <c r="Y136" s="56">
        <f>VLOOKUP(B136,'Player Data'!$A1:$AE667,13,FALSE)*$Q136</f>
        <v>5.7153122941103413E-3</v>
      </c>
      <c r="Z136" s="56">
        <f>VLOOKUP(B136,'Player Data'!$A1:$AE667,14,FALSE)*$Q136</f>
        <v>1.0758016201536272E-2</v>
      </c>
      <c r="AA136" s="56">
        <f>VLOOKUP(B136,'Player Data'!$A1:$AE667,15,FALSE)*$Q136</f>
        <v>16.474616429794885</v>
      </c>
      <c r="AB136" s="56">
        <f>VLOOKUP(B136,'Player Data'!$A1:$AE667,16,FALSE)*$Q136</f>
        <v>75.919047670884666</v>
      </c>
      <c r="AC136" s="56">
        <f>VLOOKUP(B136,'Player Data'!$A1:$AE667,17,FALSE)*$Q136*IFERROR((VLOOKUP(P136,Settings!$E$28:$F$33,2,FALSE)+1),1)</f>
        <v>1.0451028198364503</v>
      </c>
      <c r="AD136" s="56">
        <f>VLOOKUP(B136,'Player Data'!$A1:$AE667,18,FALSE)*$Q136</f>
        <v>22.727234094570306</v>
      </c>
      <c r="AE136" s="56">
        <f>VLOOKUP(B136,'Player Data'!$A1:$AE667,19,FALSE)*$Q136*IFERROR((VLOOKUP(P136,Settings!$E$28:$F$33,2,FALSE)+1),1)</f>
        <v>3.0176785368134618</v>
      </c>
      <c r="AF136" s="56">
        <f>VLOOKUP(B136,'Player Data'!$A1:$AE667,20,FALSE)*$Q136</f>
        <v>29.125463160460427</v>
      </c>
      <c r="AG136" s="56">
        <f>VLOOKUP(B136,'Player Data'!$A1:$AE667,21,FALSE)*$Q136</f>
        <v>30.839298299757846</v>
      </c>
      <c r="AH136" s="58">
        <f>VLOOKUP(B136,'Player Data'!$A1:$AE667,22,FALSE)</f>
        <v>0.48570964765336</v>
      </c>
      <c r="AI136" s="54"/>
      <c r="AJ136" s="64"/>
      <c r="AK136" s="56"/>
      <c r="AL136" s="56"/>
      <c r="AM136" s="56"/>
      <c r="AN136" s="56"/>
      <c r="AO136" s="56"/>
      <c r="AP136" s="56"/>
      <c r="AQ136" s="59"/>
      <c r="AR136" s="60"/>
      <c r="AS136" s="54"/>
    </row>
    <row r="137" spans="1:45" ht="21.25" customHeight="1" x14ac:dyDescent="0.15">
      <c r="A137" s="45">
        <f>RANK(K137,K$1:K$665)</f>
        <v>136</v>
      </c>
      <c r="B137" s="9" t="s">
        <v>262</v>
      </c>
      <c r="C137" s="46" t="s">
        <v>127</v>
      </c>
      <c r="D137" s="47" t="str">
        <f>VLOOKUP(B137,'Player Data'!A1:D667,4,FALSE)</f>
        <v>C</v>
      </c>
      <c r="E137" s="48">
        <f>VLOOKUP(B137,'C'!A1:C206,3,FALSE)</f>
        <v>46</v>
      </c>
      <c r="F137" s="55" t="str">
        <f>VLOOKUP(B137,'Player Data'!A1:B667,2,FALSE)</f>
        <v>UTA</v>
      </c>
      <c r="G137" s="69">
        <f>VLOOKUP(B137,'Player Data'!A1:D667,3,FALSE)</f>
        <v>20</v>
      </c>
      <c r="H137" s="50">
        <f>IFERROR(VLOOKUP(B137,ADP!A1:G665,7,FALSE)/1000000,VLOOKUP(B137,ADP!A1:G665,7,FALSE))</f>
        <v>0.95</v>
      </c>
      <c r="I137" s="51">
        <f>IF(Settings!$E$15="POINTS",((R137*Q137)*Settings!$B$12)+(S137*Settings!$B$2)+(T137*Settings!$B$3)+(U137*Settings!$B$4)+(V137*Settings!$B$5)+(X137*Settings!$B$9)+(AA137*Settings!$B$6)+(W137*Settings!$B$8)+(AB137*Settings!$B$7)+(AC137*Settings!$B$14)+(AD137*Settings!$B$15)+(AE137*Settings!$B$16)+(AF137*Settings!$B$17)+(AG137*Settings!$B$18)+(Y137*Settings!$B$10)+(Z137*Settings!$B$11),VLOOKUP(B137,'Standard Deviations'!A1:C666,3,FALSE))</f>
        <v>332.17288551324236</v>
      </c>
      <c r="J137" s="52">
        <f>IF(D137="G",I137/AJ137,I137/Q137)</f>
        <v>4.1171651650129197</v>
      </c>
      <c r="K137" s="51">
        <f>IF(Settings!$E$18="C/LW/RW",VLOOKUP(B137,'C'!A1:F206,6,FALSE),VLOOKUP(B137,F!A1:F392,6,FALSE))</f>
        <v>-57.764272264838723</v>
      </c>
      <c r="L137" s="53">
        <f>IFERROR(K137/H137,"N/A")</f>
        <v>-60.804497120882871</v>
      </c>
      <c r="M137" s="83" t="str">
        <f>IF(Settings!$E$9="YAHOO",VLOOKUP(B137,ADP!A1:E665,2,FALSE),IF(Settings!$E$9="ESPN",VLOOKUP(B137,ADP!A1:E665,3,FALSE),IF(Settings!$E$9="FANTRAX",VLOOKUP(B137,ADP!A1:E665,4,FALSE),VLOOKUP(B137,ADP!A1:E665,5,FALSE))))</f>
        <v>—</v>
      </c>
      <c r="N137" s="83" t="str">
        <f>IFERROR(M137-A137,"N/A")</f>
        <v>N/A</v>
      </c>
      <c r="O137" s="54"/>
      <c r="P137" s="55" t="str">
        <f>IF(Settings!$E$27="ON",VLOOKUP(B137,ADP!A1:H665,8,FALSE)," ")</f>
        <v xml:space="preserve"> </v>
      </c>
      <c r="Q137" s="56">
        <f>IF(Settings!$E$12="YES",VLOOKUP(B137,'Player Data'!A1:E667,5,FALSE),82)</f>
        <v>80.680000000000007</v>
      </c>
      <c r="R137" s="75">
        <f>VLOOKUP(B137,'Player Data'!$A1:$AE667,6,FALSE)</f>
        <v>18.3350173890489</v>
      </c>
      <c r="S137" s="56">
        <f>VLOOKUP(B137,'Player Data'!$A1:$AE667,7,FALSE)*$Q137*IFERROR((VLOOKUP(P137,Settings!$E$28:$F$33,2,FALSE)+1),1)</f>
        <v>28.073093562625782</v>
      </c>
      <c r="T137" s="56">
        <f>VLOOKUP(B137,'Player Data'!$A1:$AE667,8,FALSE)*$Q137*IFERROR((VLOOKUP(P137,Settings!$E$28:$F$33,2,FALSE)+1),1)</f>
        <v>38.514938460377046</v>
      </c>
      <c r="U137" s="56">
        <f>SUM(S137:T137)</f>
        <v>66.588032023002825</v>
      </c>
      <c r="V137" s="56">
        <f>VLOOKUP(B137,'Player Data'!$A1:$AE667,10,FALSE)*$Q137*IFERROR(((VLOOKUP(P137,Settings!$E$28:$F$33,2,FALSE)/2)+1),1)</f>
        <v>180.51753387073975</v>
      </c>
      <c r="W137" s="56">
        <f>VLOOKUP(B137,'Player Data'!$A1:$AE667,11,FALSE)*$Q137*IFERROR((VLOOKUP(P137,Settings!$E$28:$F$33,2,FALSE)+1),1)</f>
        <v>7.1421483136448591</v>
      </c>
      <c r="X137" s="57">
        <f>VLOOKUP(B137,'Player Data'!$A1:$AE667,12,FALSE)*$Q137*IFERROR((VLOOKUP(P137,Settings!$E$28:$F$33,2,FALSE)+1),1)</f>
        <v>25.574941525879794</v>
      </c>
      <c r="Y137" s="56">
        <f>VLOOKUP(B137,'Player Data'!$A1:$AE667,13,FALSE)*$Q137</f>
        <v>0.67927715694724278</v>
      </c>
      <c r="Z137" s="56">
        <f>VLOOKUP(B137,'Player Data'!$A1:$AE667,14,FALSE)*$Q137</f>
        <v>0.76530842042142955</v>
      </c>
      <c r="AA137" s="56">
        <f>VLOOKUP(B137,'Player Data'!$A1:$AE667,15,FALSE)*$Q137</f>
        <v>31.619545125125537</v>
      </c>
      <c r="AB137" s="56">
        <f>VLOOKUP(B137,'Player Data'!$A1:$AE667,16,FALSE)*$Q137</f>
        <v>59.061983279484643</v>
      </c>
      <c r="AC137" s="56">
        <f>VLOOKUP(B137,'Player Data'!$A1:$AE667,17,FALSE)*$Q137*IFERROR((VLOOKUP(P137,Settings!$E$28:$F$33,2,FALSE)+1),1)</f>
        <v>-0.77567985443821263</v>
      </c>
      <c r="AD137" s="56">
        <f>VLOOKUP(B137,'Player Data'!$A1:$AE667,18,FALSE)*$Q137</f>
        <v>26.827588275279069</v>
      </c>
      <c r="AE137" s="56">
        <f>VLOOKUP(B137,'Player Data'!$A1:$AE667,19,FALSE)*$Q137*IFERROR((VLOOKUP(P137,Settings!$E$28:$F$33,2,FALSE)+1),1)</f>
        <v>4.1079187362364769</v>
      </c>
      <c r="AF137" s="56">
        <f>VLOOKUP(B137,'Player Data'!$A1:$AE667,20,FALSE)*$Q137</f>
        <v>298.86069861083087</v>
      </c>
      <c r="AG137" s="56">
        <f>VLOOKUP(B137,'Player Data'!$A1:$AE667,21,FALSE)*$Q137</f>
        <v>487.07449735429287</v>
      </c>
      <c r="AH137" s="58">
        <f>VLOOKUP(B137,'Player Data'!$A1:$AE667,22,FALSE)</f>
        <v>0.380261248185776</v>
      </c>
      <c r="AI137" s="54"/>
      <c r="AJ137" s="56"/>
      <c r="AK137" s="56"/>
      <c r="AL137" s="56"/>
      <c r="AM137" s="56"/>
      <c r="AN137" s="56"/>
      <c r="AO137" s="56"/>
      <c r="AP137" s="56"/>
      <c r="AQ137" s="59"/>
      <c r="AR137" s="60"/>
      <c r="AS137" s="54"/>
    </row>
    <row r="138" spans="1:45" ht="21.25" customHeight="1" x14ac:dyDescent="0.15">
      <c r="A138" s="45">
        <f>RANK(K138,K$1:K$665)</f>
        <v>137</v>
      </c>
      <c r="B138" s="9" t="s">
        <v>263</v>
      </c>
      <c r="C138" s="46" t="s">
        <v>127</v>
      </c>
      <c r="D138" s="47" t="str">
        <f>VLOOKUP(B138,'Player Data'!A1:D667,4,FALSE)</f>
        <v>C/RW</v>
      </c>
      <c r="E138" s="68">
        <f>VLOOKUP(B138,RW!A1:C136,3,FALSE)</f>
        <v>38</v>
      </c>
      <c r="F138" s="55" t="str">
        <f>VLOOKUP(B138,'Player Data'!A1:B667,2,FALSE)</f>
        <v>UTA</v>
      </c>
      <c r="G138" s="10">
        <f>VLOOKUP(B138,'Player Data'!A1:D667,3,FALSE)</f>
        <v>28</v>
      </c>
      <c r="H138" s="50">
        <f>IFERROR(VLOOKUP(B138,ADP!A1:G665,7,FALSE)/1000000,VLOOKUP(B138,ADP!A1:G665,7,FALSE))</f>
        <v>5.85</v>
      </c>
      <c r="I138" s="51">
        <f>IF(Settings!$E$15="POINTS",((R138*Q138)*Settings!$B$12)+(S138*Settings!$B$2)+(T138*Settings!$B$3)+(U138*Settings!$B$4)+(V138*Settings!$B$5)+(X138*Settings!$B$9)+(AA138*Settings!$B$6)+(W138*Settings!$B$8)+(AB138*Settings!$B$7)+(AC138*Settings!$B$14)+(AD138*Settings!$B$15)+(AE138*Settings!$B$16)+(AF138*Settings!$B$17)+(AG138*Settings!$B$18)+(Y138*Settings!$B$10)+(Z138*Settings!$B$11),VLOOKUP(B138,'Standard Deviations'!A1:C666,3,FALSE))</f>
        <v>309.11075443473175</v>
      </c>
      <c r="J138" s="52">
        <f>IF(D138="G",I138/AJ138,I138/Q138)</f>
        <v>4.0152075655612363</v>
      </c>
      <c r="K138" s="51">
        <f>IF(Settings!$E$18="C/LW/RW",VLOOKUP(B138,RW!A1:F136,6,FALSE),VLOOKUP(B138,F!A1:F392,6,FALSE))</f>
        <v>-59.736968671560646</v>
      </c>
      <c r="L138" s="53">
        <f>IFERROR(K138/H138,"N/A")</f>
        <v>-10.211447636164214</v>
      </c>
      <c r="M138" s="83" t="str">
        <f>IF(Settings!$E$9="YAHOO",VLOOKUP(B138,ADP!A1:E665,2,FALSE),IF(Settings!$E$9="ESPN",VLOOKUP(B138,ADP!A1:E665,3,FALSE),IF(Settings!$E$9="FANTRAX",VLOOKUP(B138,ADP!A1:E665,4,FALSE),VLOOKUP(B138,ADP!A1:E665,5,FALSE))))</f>
        <v>—</v>
      </c>
      <c r="N138" s="83" t="str">
        <f>IFERROR(M138-A138,"N/A")</f>
        <v>N/A</v>
      </c>
      <c r="O138" s="54"/>
      <c r="P138" s="55" t="str">
        <f>IF(Settings!$E$27="ON",VLOOKUP(B138,ADP!A1:H665,8,FALSE)," ")</f>
        <v xml:space="preserve"> </v>
      </c>
      <c r="Q138" s="56">
        <f>IF(Settings!$E$12="YES",VLOOKUP(B138,'Player Data'!A1:E667,5,FALSE),82)</f>
        <v>76.984999999999999</v>
      </c>
      <c r="R138" s="54">
        <f>VLOOKUP(B138,'Player Data'!$A1:$AE667,6,FALSE)</f>
        <v>18.9124496780219</v>
      </c>
      <c r="S138" s="56">
        <f>VLOOKUP(B138,'Player Data'!$A1:$AE667,7,FALSE)*$Q138*IFERROR((VLOOKUP(P138,Settings!$E$28:$F$33,2,FALSE)+1),1)</f>
        <v>24.050107048174588</v>
      </c>
      <c r="T138" s="56">
        <f>VLOOKUP(B138,'Player Data'!$A1:$AE667,8,FALSE)*$Q138*IFERROR((VLOOKUP(P138,Settings!$E$28:$F$33,2,FALSE)+1),1)</f>
        <v>40.293886631600664</v>
      </c>
      <c r="U138" s="56">
        <f>SUM(S138:T138)</f>
        <v>64.343993679775252</v>
      </c>
      <c r="V138" s="56">
        <f>VLOOKUP(B138,'Player Data'!$A1:$AE667,10,FALSE)*$Q138*IFERROR(((VLOOKUP(P138,Settings!$E$28:$F$33,2,FALSE)/2)+1),1)</f>
        <v>158.11536149916353</v>
      </c>
      <c r="W138" s="56">
        <f>VLOOKUP(B138,'Player Data'!$A1:$AE667,11,FALSE)*$Q138*IFERROR((VLOOKUP(P138,Settings!$E$28:$F$33,2,FALSE)+1),1)</f>
        <v>8.2487488832374005</v>
      </c>
      <c r="X138" s="57">
        <f>VLOOKUP(B138,'Player Data'!$A1:$AE667,12,FALSE)*$Q138*IFERROR((VLOOKUP(P138,Settings!$E$28:$F$33,2,FALSE)+1),1)</f>
        <v>17.833290567990392</v>
      </c>
      <c r="Y138" s="56">
        <f>VLOOKUP(B138,'Player Data'!$A1:$AE667,13,FALSE)*$Q138</f>
        <v>0.3580867581863425</v>
      </c>
      <c r="Z138" s="56">
        <f>VLOOKUP(B138,'Player Data'!$A1:$AE667,14,FALSE)*$Q138</f>
        <v>0.57798747878584866</v>
      </c>
      <c r="AA138" s="56">
        <f>VLOOKUP(B138,'Player Data'!$A1:$AE667,15,FALSE)*$Q138</f>
        <v>37.219629198095944</v>
      </c>
      <c r="AB138" s="56">
        <f>VLOOKUP(B138,'Player Data'!$A1:$AE667,16,FALSE)*$Q138</f>
        <v>21.012986620838248</v>
      </c>
      <c r="AC138" s="56">
        <f>VLOOKUP(B138,'Player Data'!$A1:$AE667,17,FALSE)*$Q138*IFERROR((VLOOKUP(P138,Settings!$E$28:$F$33,2,FALSE)+1),1)</f>
        <v>0.48919294645338302</v>
      </c>
      <c r="AD138" s="56">
        <f>VLOOKUP(B138,'Player Data'!$A1:$AE667,18,FALSE)*$Q138</f>
        <v>20.576208373424098</v>
      </c>
      <c r="AE138" s="56">
        <f>VLOOKUP(B138,'Player Data'!$A1:$AE667,19,FALSE)*$Q138*IFERROR((VLOOKUP(P138,Settings!$E$28:$F$33,2,FALSE)+1),1)</f>
        <v>3.5192375621623042</v>
      </c>
      <c r="AF138" s="56">
        <f>VLOOKUP(B138,'Player Data'!$A1:$AE667,20,FALSE)*$Q138</f>
        <v>144.51095097645893</v>
      </c>
      <c r="AG138" s="56">
        <f>VLOOKUP(B138,'Player Data'!$A1:$AE667,21,FALSE)*$Q138</f>
        <v>196.26507940901519</v>
      </c>
      <c r="AH138" s="58">
        <f>VLOOKUP(B138,'Player Data'!$A1:$AE667,22,FALSE)</f>
        <v>0.42406430643902099</v>
      </c>
      <c r="AI138" s="54"/>
      <c r="AJ138" s="64"/>
      <c r="AK138" s="56"/>
      <c r="AL138" s="56"/>
      <c r="AM138" s="56"/>
      <c r="AN138" s="56"/>
      <c r="AO138" s="56"/>
      <c r="AP138" s="56"/>
      <c r="AQ138" s="59"/>
      <c r="AR138" s="60"/>
      <c r="AS138" s="54"/>
    </row>
    <row r="139" spans="1:45" ht="21.25" customHeight="1" x14ac:dyDescent="0.15">
      <c r="A139" s="45">
        <f>RANK(K139,K$1:K$665)</f>
        <v>138</v>
      </c>
      <c r="B139" s="9" t="s">
        <v>264</v>
      </c>
      <c r="C139" s="46" t="s">
        <v>127</v>
      </c>
      <c r="D139" s="47" t="str">
        <f>VLOOKUP(B139,'Player Data'!A1:D667,4,FALSE)</f>
        <v>LW/RW</v>
      </c>
      <c r="E139" s="68">
        <f>VLOOKUP(B139,RW!A1:C136,3,FALSE)</f>
        <v>39</v>
      </c>
      <c r="F139" s="71" t="str">
        <f>VLOOKUP(B139,'Player Data'!A1:B667,2,FALSE)</f>
        <v>NYR</v>
      </c>
      <c r="G139" s="69">
        <f>VLOOKUP(B139,'Player Data'!A1:D667,3,FALSE)</f>
        <v>22</v>
      </c>
      <c r="H139" s="67">
        <f>IFERROR(VLOOKUP(B139,ADP!A1:G665,7,FALSE)/1000000,VLOOKUP(B139,ADP!A1:G665,7,FALSE))</f>
        <v>2.3250000000000002</v>
      </c>
      <c r="I139" s="51">
        <f>IF(Settings!$E$15="POINTS",((R139*Q139)*Settings!$B$12)+(S139*Settings!$B$2)+(T139*Settings!$B$3)+(U139*Settings!$B$4)+(V139*Settings!$B$5)+(X139*Settings!$B$9)+(AA139*Settings!$B$6)+(W139*Settings!$B$8)+(AB139*Settings!$B$7)+(AC139*Settings!$B$14)+(AD139*Settings!$B$15)+(AE139*Settings!$B$16)+(AF139*Settings!$B$17)+(AG139*Settings!$B$18)+(Y139*Settings!$B$10)+(Z139*Settings!$B$11),VLOOKUP(B139,'Standard Deviations'!A1:C666,3,FALSE))</f>
        <v>308.82845350902903</v>
      </c>
      <c r="J139" s="52">
        <f>IF(D139="G",I139/AJ139,I139/Q139)</f>
        <v>3.7850103074305732</v>
      </c>
      <c r="K139" s="51">
        <f>IF(Settings!$E$18="C/LW/RW",VLOOKUP(B139,RW!A1:F136,6,FALSE),VLOOKUP(B139,F!A1:F392,6,FALSE))</f>
        <v>-60.01926959726336</v>
      </c>
      <c r="L139" s="53">
        <f>IFERROR(K139/H139,"N/A")</f>
        <v>-25.814739611726175</v>
      </c>
      <c r="M139" s="83" t="str">
        <f>IF(Settings!$E$9="YAHOO",VLOOKUP(B139,ADP!A1:E665,2,FALSE),IF(Settings!$E$9="ESPN",VLOOKUP(B139,ADP!A1:E665,3,FALSE),IF(Settings!$E$9="FANTRAX",VLOOKUP(B139,ADP!A1:E665,4,FALSE),VLOOKUP(B139,ADP!A1:E665,5,FALSE))))</f>
        <v>—</v>
      </c>
      <c r="N139" s="83" t="str">
        <f>IFERROR(M139-A139,"N/A")</f>
        <v>N/A</v>
      </c>
      <c r="O139" s="54"/>
      <c r="P139" s="55" t="str">
        <f>IF(Settings!$E$27="ON",VLOOKUP(B139,ADP!A1:H665,8,FALSE)," ")</f>
        <v>+</v>
      </c>
      <c r="Q139" s="56">
        <f>IF(Settings!$E$12="YES",VLOOKUP(B139,'Player Data'!A1:E667,5,FALSE),82)</f>
        <v>81.592500000000001</v>
      </c>
      <c r="R139" s="54">
        <f>VLOOKUP(B139,'Player Data'!$A1:$AE667,6,FALSE)</f>
        <v>18.002009323301799</v>
      </c>
      <c r="S139" s="56">
        <f>VLOOKUP(B139,'Player Data'!$A1:$AE667,7,FALSE)*$Q139*IFERROR((VLOOKUP(P139,Settings!$E$28:$F$33,2,FALSE)+1),1)</f>
        <v>28.239865561408724</v>
      </c>
      <c r="T139" s="56">
        <f>VLOOKUP(B139,'Player Data'!$A1:$AE667,8,FALSE)*$Q139*IFERROR((VLOOKUP(P139,Settings!$E$28:$F$33,2,FALSE)+1),1)</f>
        <v>32.552547762754834</v>
      </c>
      <c r="U139" s="56">
        <f>SUM(S139:T139)</f>
        <v>60.792413324163562</v>
      </c>
      <c r="V139" s="56">
        <f>VLOOKUP(B139,'Player Data'!$A1:$AE667,10,FALSE)*$Q139*IFERROR(((VLOOKUP(P139,Settings!$E$28:$F$33,2,FALSE)/2)+1),1)</f>
        <v>212.32043931061875</v>
      </c>
      <c r="W139" s="56">
        <f>VLOOKUP(B139,'Player Data'!$A1:$AE667,11,FALSE)*$Q139*IFERROR((VLOOKUP(P139,Settings!$E$28:$F$33,2,FALSE)+1),1)</f>
        <v>3.4916172776277423</v>
      </c>
      <c r="X139" s="56">
        <f>VLOOKUP(B139,'Player Data'!$A1:$AE667,12,FALSE)*$Q139*IFERROR((VLOOKUP(P139,Settings!$E$28:$F$33,2,FALSE)+1),1)</f>
        <v>7.2445715499680183</v>
      </c>
      <c r="Y139" s="56">
        <f>VLOOKUP(B139,'Player Data'!$A1:$AE667,13,FALSE)*$Q139</f>
        <v>1.0168511116378478E-2</v>
      </c>
      <c r="Z139" s="56">
        <f>VLOOKUP(B139,'Player Data'!$A1:$AE667,14,FALSE)*$Q139</f>
        <v>1.7167306625121847E-2</v>
      </c>
      <c r="AA139" s="56">
        <f>VLOOKUP(B139,'Player Data'!$A1:$AE667,15,FALSE)*$Q139</f>
        <v>26.058510049271614</v>
      </c>
      <c r="AB139" s="56">
        <f>VLOOKUP(B139,'Player Data'!$A1:$AE667,16,FALSE)*$Q139</f>
        <v>94.023785211183153</v>
      </c>
      <c r="AC139" s="56">
        <f>VLOOKUP(B139,'Player Data'!$A1:$AE667,17,FALSE)*$Q139*IFERROR((VLOOKUP(P139,Settings!$E$28:$F$33,2,FALSE)+1),1)</f>
        <v>4.3204834033466595</v>
      </c>
      <c r="AD139" s="56">
        <f>VLOOKUP(B139,'Player Data'!$A1:$AE667,18,FALSE)*$Q139</f>
        <v>37.83829949828452</v>
      </c>
      <c r="AE139" s="56">
        <f>VLOOKUP(B139,'Player Data'!$A1:$AE667,19,FALSE)*$Q139*IFERROR((VLOOKUP(P139,Settings!$E$28:$F$33,2,FALSE)+1),1)</f>
        <v>4.6160405255146673</v>
      </c>
      <c r="AF139" s="56">
        <f>VLOOKUP(B139,'Player Data'!$A1:$AE667,20,FALSE)*$Q139</f>
        <v>21.360818144400671</v>
      </c>
      <c r="AG139" s="56">
        <f>VLOOKUP(B139,'Player Data'!$A1:$AE667,21,FALSE)*$Q139</f>
        <v>49.499684021441922</v>
      </c>
      <c r="AH139" s="58">
        <f>VLOOKUP(B139,'Player Data'!$A1:$AE667,22,FALSE)</f>
        <v>0.30144886772616403</v>
      </c>
      <c r="AI139" s="54"/>
      <c r="AJ139" s="64"/>
      <c r="AK139" s="56"/>
      <c r="AL139" s="56"/>
      <c r="AM139" s="56"/>
      <c r="AN139" s="56"/>
      <c r="AO139" s="56"/>
      <c r="AP139" s="56"/>
      <c r="AQ139" s="59"/>
      <c r="AR139" s="60"/>
      <c r="AS139" s="54"/>
    </row>
    <row r="140" spans="1:45" ht="21.25" customHeight="1" x14ac:dyDescent="0.15">
      <c r="A140" s="45">
        <f>RANK(K140,K$1:K$665)</f>
        <v>139</v>
      </c>
      <c r="B140" s="9" t="s">
        <v>265</v>
      </c>
      <c r="C140" s="46" t="s">
        <v>127</v>
      </c>
      <c r="D140" s="47" t="str">
        <f>VLOOKUP(B140,'Player Data'!A1:D667,4,FALSE)</f>
        <v>RW</v>
      </c>
      <c r="E140" s="61">
        <f>VLOOKUP(B140,RW!A1:F136,3,FALSE)</f>
        <v>40</v>
      </c>
      <c r="F140" s="62" t="str">
        <f>VLOOKUP(B140,'Player Data'!A1:B667,2,FALSE)</f>
        <v>OTT</v>
      </c>
      <c r="G140" s="63">
        <f>VLOOKUP(B140,'Player Data'!A1:D667,3,FALSE)</f>
        <v>36</v>
      </c>
      <c r="H140" s="67">
        <f>IFERROR(VLOOKUP(B140,ADP!A1:G665,7,FALSE)/1000000,VLOOKUP(B140,ADP!A1:G665,7,FALSE))</f>
        <v>6.5</v>
      </c>
      <c r="I140" s="51">
        <f>IF(Settings!$E$15="POINTS",((R140*Q140)*Settings!$B$12)+(S140*Settings!$B$2)+(T140*Settings!$B$3)+(U140*Settings!$B$4)+(V140*Settings!$B$5)+(X140*Settings!$B$9)+(AA140*Settings!$B$6)+(W140*Settings!$B$8)+(AB140*Settings!$B$7)+(AC140*Settings!$B$14)+(AD140*Settings!$B$15)+(AE140*Settings!$B$16)+(AF140*Settings!$B$17)+(AG140*Settings!$B$18)+(Y140*Settings!$B$10)+(Z140*Settings!$B$11),VLOOKUP(B140,'Standard Deviations'!A1:C666,3,FALSE))</f>
        <v>308.3794654198133</v>
      </c>
      <c r="J140" s="52">
        <f>IF(D140="G",I140/AJ140,I140/Q140)</f>
        <v>3.7917062021371364</v>
      </c>
      <c r="K140" s="51">
        <f>IF(Settings!$E$18="C/LW/RW",VLOOKUP(B140,RW!A1:F136,6,FALSE),VLOOKUP(B140,F!A1:F392,6,FALSE))</f>
        <v>-60.468257686479092</v>
      </c>
      <c r="L140" s="53">
        <f>IFERROR(K140/H140,"N/A")</f>
        <v>-9.3028088748429365</v>
      </c>
      <c r="M140" s="54">
        <f>IF(Settings!$E$9="YAHOO",VLOOKUP(B140,ADP!A1:E665,2,FALSE),IF(Settings!$E$9="ESPN",VLOOKUP(B140,ADP!A1:E665,3,FALSE),IF(Settings!$E$9="FANTRAX",VLOOKUP(B140,ADP!A1:E665,4,FALSE),VLOOKUP(B140,ADP!A1:E665,5,FALSE))))</f>
        <v>179.8</v>
      </c>
      <c r="N140" s="54">
        <f>IFERROR(M140-A140,"N/A")</f>
        <v>40.800000000000011</v>
      </c>
      <c r="O140" s="54"/>
      <c r="P140" s="55" t="str">
        <f>IF(Settings!$E$27="ON",VLOOKUP(B140,ADP!A1:H665,8,FALSE)," ")</f>
        <v xml:space="preserve"> </v>
      </c>
      <c r="Q140" s="56">
        <f>IF(Settings!$E$12="YES",VLOOKUP(B140,'Player Data'!A1:E667,5,FALSE),82)</f>
        <v>81.33</v>
      </c>
      <c r="R140" s="54">
        <f>VLOOKUP(B140,'Player Data'!$A1:$AE667,6,FALSE)</f>
        <v>19.5924550802476</v>
      </c>
      <c r="S140" s="56">
        <f>VLOOKUP(B140,'Player Data'!$A1:$AE667,7,FALSE)*$Q140*IFERROR((VLOOKUP(P140,Settings!$E$28:$F$33,2,FALSE)+1),1)</f>
        <v>22.535489644073451</v>
      </c>
      <c r="T140" s="56">
        <f>VLOOKUP(B140,'Player Data'!$A1:$AE667,8,FALSE)*$Q140*IFERROR((VLOOKUP(P140,Settings!$E$28:$F$33,2,FALSE)+1),1)</f>
        <v>37.34008363976632</v>
      </c>
      <c r="U140" s="56">
        <f>SUM(S140:T140)</f>
        <v>59.875573283839771</v>
      </c>
      <c r="V140" s="56">
        <f>VLOOKUP(B140,'Player Data'!$A1:$AE667,10,FALSE)*$Q140*IFERROR(((VLOOKUP(P140,Settings!$E$28:$F$33,2,FALSE)/2)+1),1)</f>
        <v>191.82074433834339</v>
      </c>
      <c r="W140" s="56">
        <f>VLOOKUP(B140,'Player Data'!$A1:$AE667,11,FALSE)*$Q140*IFERROR((VLOOKUP(P140,Settings!$E$28:$F$33,2,FALSE)+1),1)</f>
        <v>3.2561600985841825</v>
      </c>
      <c r="X140" s="78">
        <f>VLOOKUP(B140,'Player Data'!$A1:$AE667,12,FALSE)*$Q140*IFERROR((VLOOKUP(P140,Settings!$E$28:$F$33,2,FALSE)+1),1)</f>
        <v>14.948998773288546</v>
      </c>
      <c r="Y140" s="56">
        <f>VLOOKUP(B140,'Player Data'!$A1:$AE667,13,FALSE)*$Q140</f>
        <v>1.2018444654935307</v>
      </c>
      <c r="Z140" s="56">
        <f>VLOOKUP(B140,'Player Data'!$A1:$AE667,14,FALSE)*$Q140</f>
        <v>1.91166537310078</v>
      </c>
      <c r="AA140" s="56">
        <f>VLOOKUP(B140,'Player Data'!$A1:$AE667,15,FALSE)*$Q140</f>
        <v>31.963418505465864</v>
      </c>
      <c r="AB140" s="56">
        <f>VLOOKUP(B140,'Player Data'!$A1:$AE667,16,FALSE)*$Q140</f>
        <v>53.232430887916237</v>
      </c>
      <c r="AC140" s="56">
        <f>VLOOKUP(B140,'Player Data'!$A1:$AE667,17,FALSE)*$Q140*IFERROR((VLOOKUP(P140,Settings!$E$28:$F$33,2,FALSE)+1),1)</f>
        <v>-0.18866296768344182</v>
      </c>
      <c r="AD140" s="56">
        <f>VLOOKUP(B140,'Player Data'!$A1:$AE667,18,FALSE)*$Q140</f>
        <v>31.269250414953611</v>
      </c>
      <c r="AE140" s="56">
        <f>VLOOKUP(B140,'Player Data'!$A1:$AE667,19,FALSE)*$Q140*IFERROR((VLOOKUP(P140,Settings!$E$28:$F$33,2,FALSE)+1),1)</f>
        <v>3.4989556558246377</v>
      </c>
      <c r="AF140" s="56">
        <f>VLOOKUP(B140,'Player Data'!$A1:$AE667,20,FALSE)*$Q140</f>
        <v>683.90871466077226</v>
      </c>
      <c r="AG140" s="56">
        <f>VLOOKUP(B140,'Player Data'!$A1:$AE667,21,FALSE)*$Q140</f>
        <v>482.43494186364148</v>
      </c>
      <c r="AH140" s="58">
        <f>VLOOKUP(B140,'Player Data'!$A1:$AE667,22,FALSE)</f>
        <v>0.58636981547852796</v>
      </c>
      <c r="AI140" s="54"/>
      <c r="AJ140" s="56"/>
      <c r="AK140" s="56"/>
      <c r="AL140" s="56"/>
      <c r="AM140" s="56"/>
      <c r="AN140" s="56"/>
      <c r="AO140" s="56"/>
      <c r="AP140" s="56"/>
      <c r="AQ140" s="59"/>
      <c r="AR140" s="60"/>
      <c r="AS140" s="54"/>
    </row>
    <row r="141" spans="1:45" ht="21.25" customHeight="1" x14ac:dyDescent="0.15">
      <c r="A141" s="45">
        <f>RANK(K141,K$1:K$665)</f>
        <v>140</v>
      </c>
      <c r="B141" s="9" t="s">
        <v>266</v>
      </c>
      <c r="C141" s="46" t="s">
        <v>127</v>
      </c>
      <c r="D141" s="47" t="str">
        <f>VLOOKUP(B141,'Player Data'!A1:D667,4,FALSE)</f>
        <v>C/LW</v>
      </c>
      <c r="E141" s="68">
        <f>VLOOKUP(B141,LW!A1:C152,3,FALSE)</f>
        <v>38</v>
      </c>
      <c r="F141" s="65" t="str">
        <f>VLOOKUP(B141,'Player Data'!A1:B667,2,FALSE)</f>
        <v>CGY</v>
      </c>
      <c r="G141" s="63">
        <f>VLOOKUP(B141,'Player Data'!A1:D667,3,FALSE)</f>
        <v>31</v>
      </c>
      <c r="H141" s="50">
        <f>IFERROR(VLOOKUP(B141,ADP!A1:G665,7,FALSE)/1000000,VLOOKUP(B141,ADP!A1:G665,7,FALSE))</f>
        <v>10.5</v>
      </c>
      <c r="I141" s="51">
        <f>IF(Settings!$E$15="POINTS",((R141*Q141)*Settings!$B$12)+(S141*Settings!$B$2)+(T141*Settings!$B$3)+(U141*Settings!$B$4)+(V141*Settings!$B$5)+(X141*Settings!$B$9)+(AA141*Settings!$B$6)+(W141*Settings!$B$8)+(AB141*Settings!$B$7)+(AC141*Settings!$B$14)+(AD141*Settings!$B$15)+(AE141*Settings!$B$16)+(AF141*Settings!$B$17)+(AG141*Settings!$B$18)+(Y141*Settings!$B$10)+(Z141*Settings!$B$11),VLOOKUP(B141,'Standard Deviations'!A1:C666,3,FALSE))</f>
        <v>320.48231207302712</v>
      </c>
      <c r="J141" s="52">
        <f>IF(D141="G",I141/AJ141,I141/Q141)</f>
        <v>3.9448832111401666</v>
      </c>
      <c r="K141" s="51">
        <f>IF(Settings!$E$18="C/LW/RW",VLOOKUP(B141,LW!A1:F152,6,FALSE),VLOOKUP(B141,F!A1:F392,6,FALSE))</f>
        <v>-60.579200229472633</v>
      </c>
      <c r="L141" s="53">
        <f>IFERROR(K141/H141,"N/A")</f>
        <v>-5.7694476409021558</v>
      </c>
      <c r="M141" s="83" t="str">
        <f>IF(Settings!$E$9="YAHOO",VLOOKUP(B141,ADP!A1:E665,2,FALSE),IF(Settings!$E$9="ESPN",VLOOKUP(B141,ADP!A1:E665,3,FALSE),IF(Settings!$E$9="FANTRAX",VLOOKUP(B141,ADP!A1:E665,4,FALSE),VLOOKUP(B141,ADP!A1:E665,5,FALSE))))</f>
        <v>—</v>
      </c>
      <c r="N141" s="83" t="str">
        <f>IFERROR(M141-A141,"N/A")</f>
        <v>N/A</v>
      </c>
      <c r="O141" s="54"/>
      <c r="P141" s="55" t="str">
        <f>IF(Settings!$E$27="ON",VLOOKUP(B141,ADP!A1:H665,8,FALSE)," ")</f>
        <v xml:space="preserve"> </v>
      </c>
      <c r="Q141" s="56">
        <f>IF(Settings!$E$12="YES",VLOOKUP(B141,'Player Data'!A1:E667,5,FALSE),82)</f>
        <v>81.239999999999995</v>
      </c>
      <c r="R141" s="54">
        <f>VLOOKUP(B141,'Player Data'!$A1:$AE667,6,FALSE)</f>
        <v>18.324356984088599</v>
      </c>
      <c r="S141" s="56">
        <f>VLOOKUP(B141,'Player Data'!$A1:$AE667,7,FALSE)*$Q141*IFERROR((VLOOKUP(P141,Settings!$E$28:$F$33,2,FALSE)+1),1)</f>
        <v>17.221096271790621</v>
      </c>
      <c r="T141" s="56">
        <f>VLOOKUP(B141,'Player Data'!$A1:$AE667,8,FALSE)*$Q141*IFERROR((VLOOKUP(P141,Settings!$E$28:$F$33,2,FALSE)+1),1)</f>
        <v>49.123312256589976</v>
      </c>
      <c r="U141" s="56">
        <f>SUM(S141:T141)</f>
        <v>66.344408528380598</v>
      </c>
      <c r="V141" s="56">
        <f>VLOOKUP(B141,'Player Data'!$A1:$AE667,10,FALSE)*$Q141*IFERROR(((VLOOKUP(P141,Settings!$E$28:$F$33,2,FALSE)/2)+1),1)</f>
        <v>164.23311530539513</v>
      </c>
      <c r="W141" s="56">
        <f>VLOOKUP(B141,'Player Data'!$A1:$AE667,11,FALSE)*$Q141*IFERROR((VLOOKUP(P141,Settings!$E$28:$F$33,2,FALSE)+1),1)</f>
        <v>4.5202803038549195</v>
      </c>
      <c r="X141" s="57">
        <f>VLOOKUP(B141,'Player Data'!$A1:$AE667,12,FALSE)*$Q141*IFERROR((VLOOKUP(P141,Settings!$E$28:$F$33,2,FALSE)+1),1)</f>
        <v>21.243693974517893</v>
      </c>
      <c r="Y141" s="56">
        <f>VLOOKUP(B141,'Player Data'!$A1:$AE667,13,FALSE)*$Q141</f>
        <v>3.4801867502490536E-2</v>
      </c>
      <c r="Z141" s="56">
        <f>VLOOKUP(B141,'Player Data'!$A1:$AE667,14,FALSE)*$Q141</f>
        <v>6.0900725632576515E-2</v>
      </c>
      <c r="AA141" s="56">
        <f>VLOOKUP(B141,'Player Data'!$A1:$AE667,15,FALSE)*$Q141</f>
        <v>36.055868270074605</v>
      </c>
      <c r="AB141" s="56">
        <f>VLOOKUP(B141,'Player Data'!$A1:$AE667,16,FALSE)*$Q141</f>
        <v>68.451213518141358</v>
      </c>
      <c r="AC141" s="56">
        <f>VLOOKUP(B141,'Player Data'!$A1:$AE667,17,FALSE)*$Q141*IFERROR((VLOOKUP(P141,Settings!$E$28:$F$33,2,FALSE)+1),1)</f>
        <v>-2.2589964194874264</v>
      </c>
      <c r="AD141" s="56">
        <f>VLOOKUP(B141,'Player Data'!$A1:$AE667,18,FALSE)*$Q141</f>
        <v>38.660194199184446</v>
      </c>
      <c r="AE141" s="56">
        <f>VLOOKUP(B141,'Player Data'!$A1:$AE667,19,FALSE)*$Q141*IFERROR((VLOOKUP(P141,Settings!$E$28:$F$33,2,FALSE)+1),1)</f>
        <v>2.5019459336306094</v>
      </c>
      <c r="AF141" s="56">
        <f>VLOOKUP(B141,'Player Data'!$A1:$AE667,20,FALSE)*$Q141</f>
        <v>13.264033590722594</v>
      </c>
      <c r="AG141" s="56">
        <f>VLOOKUP(B141,'Player Data'!$A1:$AE667,21,FALSE)*$Q141</f>
        <v>20.293532093734477</v>
      </c>
      <c r="AH141" s="58">
        <f>VLOOKUP(B141,'Player Data'!$A1:$AE667,22,FALSE)</f>
        <v>0.39526209128053902</v>
      </c>
      <c r="AI141" s="54"/>
      <c r="AJ141" s="64"/>
      <c r="AK141" s="56"/>
      <c r="AL141" s="56"/>
      <c r="AM141" s="56"/>
      <c r="AN141" s="56"/>
      <c r="AO141" s="56"/>
      <c r="AP141" s="56"/>
      <c r="AQ141" s="59"/>
      <c r="AR141" s="60"/>
      <c r="AS141" s="54"/>
    </row>
    <row r="142" spans="1:45" ht="21.25" customHeight="1" x14ac:dyDescent="0.15">
      <c r="A142" s="45">
        <f>RANK(K142,K$1:K$665)</f>
        <v>141</v>
      </c>
      <c r="B142" s="9" t="s">
        <v>267</v>
      </c>
      <c r="C142" s="46" t="s">
        <v>127</v>
      </c>
      <c r="D142" s="47" t="str">
        <f>VLOOKUP(B142,'Player Data'!A1:D667,4,FALSE)</f>
        <v>D</v>
      </c>
      <c r="E142" s="66">
        <f>VLOOKUP(B142,D!A1:C213,3,FALSE)</f>
        <v>36</v>
      </c>
      <c r="F142" s="55" t="str">
        <f>VLOOKUP(B142,'Player Data'!A1:B667,2,FALSE)</f>
        <v>COL</v>
      </c>
      <c r="G142" s="10">
        <f>VLOOKUP(B142,'Player Data'!A1:D667,3,FALSE)</f>
        <v>30</v>
      </c>
      <c r="H142" s="50">
        <f>IFERROR(VLOOKUP(B142,ADP!A1:G665,7,FALSE)/1000000,VLOOKUP(B142,ADP!A1:G665,7,FALSE))</f>
        <v>7.25</v>
      </c>
      <c r="I142" s="51">
        <f>IF(Settings!$E$15="POINTS",((R142*Q142)*Settings!$B$12)+(S142*Settings!$B$2)+(T142*Settings!$B$3)+(U142*Settings!$B$4)+(V142*Settings!$B$5)+(X142*Settings!$B$9)+(AA142*Settings!$B$6)+(W142*Settings!$B$8)+(AB142*Settings!$B$7)+(AC142*Settings!$B$14)+(AD142*Settings!$B$15)+(AE142*Settings!$B$16)+(AF142*Settings!$B$17)+(AG142*Settings!$B$18)+(U142*Settings!$B$13)+(Y142*Settings!$B$10)+(Z142*Settings!$B$11),VLOOKUP(B142,'Standard Deviations'!A1:C666,3,FALSE))</f>
        <v>273.77249759961609</v>
      </c>
      <c r="J142" s="52">
        <f>IF(D142="G",I142/AJ142,I142/Q142)</f>
        <v>3.4155386139307105</v>
      </c>
      <c r="K142" s="51">
        <f>VLOOKUP(B142,D!A1:F213,6,FALSE)</f>
        <v>-62.46162744597882</v>
      </c>
      <c r="L142" s="53">
        <f>IFERROR(K142/H142,"N/A")</f>
        <v>-8.615396889100527</v>
      </c>
      <c r="M142" s="54">
        <f>IF(Settings!$E$9="YAHOO",VLOOKUP(B142,ADP!A1:E665,2,FALSE),IF(Settings!$E$9="ESPN",VLOOKUP(B142,ADP!A1:E665,3,FALSE),IF(Settings!$E$9="FANTRAX",VLOOKUP(B142,ADP!A1:E665,4,FALSE),VLOOKUP(B142,ADP!A1:E665,5,FALSE))))</f>
        <v>99</v>
      </c>
      <c r="N142" s="54">
        <f>IFERROR(M142-A142,"N/A")</f>
        <v>-42</v>
      </c>
      <c r="O142" s="54"/>
      <c r="P142" s="55" t="str">
        <f>IF(Settings!$E$27="ON",VLOOKUP(B142,ADP!A1:H665,8,FALSE)," ")</f>
        <v xml:space="preserve"> </v>
      </c>
      <c r="Q142" s="56">
        <f>IF(Settings!$E$12="YES",VLOOKUP(B142,'Player Data'!A1:E667,5,FALSE),82)</f>
        <v>80.155000000000001</v>
      </c>
      <c r="R142" s="54">
        <f>VLOOKUP(B142,'Player Data'!$A1:$AE667,6,FALSE)</f>
        <v>22.566269296368699</v>
      </c>
      <c r="S142" s="56">
        <f>VLOOKUP(B142,'Player Data'!$A1:$AE667,7,FALSE)*$Q142*IFERROR((VLOOKUP(P142,Settings!$E$28:$F$33,2,FALSE)+1),1)</f>
        <v>9.2814380434963084</v>
      </c>
      <c r="T142" s="56">
        <f>VLOOKUP(B142,'Player Data'!$A1:$AE667,8,FALSE)*$Q142*IFERROR((VLOOKUP(P142,Settings!$E$28:$F$33,2,FALSE)+1),1)</f>
        <v>36.201064869399467</v>
      </c>
      <c r="U142" s="56">
        <f>SUM(S142:T142)</f>
        <v>45.482502912895775</v>
      </c>
      <c r="V142" s="56">
        <f>VLOOKUP(B142,'Player Data'!$A1:$AE667,10,FALSE)*$Q142*IFERROR(((VLOOKUP(P142,Settings!$E$28:$F$33,2,FALSE)/2)+1),1)</f>
        <v>150.02910448065808</v>
      </c>
      <c r="W142" s="56">
        <f>VLOOKUP(B142,'Player Data'!$A1:$AE667,11,FALSE)*$Q142*IFERROR((VLOOKUP(P142,Settings!$E$28:$F$33,2,FALSE)+1),1)</f>
        <v>0.43747967677704552</v>
      </c>
      <c r="X142" s="56">
        <f>VLOOKUP(B142,'Player Data'!$A1:$AE667,12,FALSE)*$Q142*IFERROR((VLOOKUP(P142,Settings!$E$28:$F$33,2,FALSE)+1),1)</f>
        <v>3.9473754990809877</v>
      </c>
      <c r="Y142" s="56">
        <f>VLOOKUP(B142,'Player Data'!$A1:$AE667,13,FALSE)*$Q142</f>
        <v>2.50550551375084E-2</v>
      </c>
      <c r="Z142" s="56">
        <f>VLOOKUP(B142,'Player Data'!$A1:$AE667,14,FALSE)*$Q142</f>
        <v>0.51913004374420724</v>
      </c>
      <c r="AA142" s="56">
        <f>VLOOKUP(B142,'Player Data'!$A1:$AE667,15,FALSE)*$Q142</f>
        <v>115.68786215554907</v>
      </c>
      <c r="AB142" s="56">
        <f>VLOOKUP(B142,'Player Data'!$A1:$AE667,16,FALSE)*$Q142</f>
        <v>79.138370163538539</v>
      </c>
      <c r="AC142" s="56">
        <f>VLOOKUP(B142,'Player Data'!$A1:$AE667,17,FALSE)*$Q142*IFERROR((VLOOKUP(P142,Settings!$E$28:$F$33,2,FALSE)+1),1)</f>
        <v>6.4110623503831681</v>
      </c>
      <c r="AD142" s="56">
        <f>VLOOKUP(B142,'Player Data'!$A1:$AE667,18,FALSE)*$Q142</f>
        <v>23.975017404868073</v>
      </c>
      <c r="AE142" s="56">
        <f>VLOOKUP(B142,'Player Data'!$A1:$AE667,19,FALSE)*$Q142*IFERROR((VLOOKUP(P142,Settings!$E$28:$F$33,2,FALSE)+1),1)</f>
        <v>1.3867457340179314</v>
      </c>
      <c r="AF142" s="56">
        <f>VLOOKUP(B142,'Player Data'!$A1:$AE667,20,FALSE)*$Q142</f>
        <v>0</v>
      </c>
      <c r="AG142" s="56">
        <f>VLOOKUP(B142,'Player Data'!$A1:$AE667,21,FALSE)*$Q142</f>
        <v>0</v>
      </c>
      <c r="AH142" s="58">
        <f>VLOOKUP(B142,'Player Data'!$A1:$AE667,22,FALSE)</f>
        <v>0</v>
      </c>
      <c r="AI142" s="54"/>
      <c r="AJ142" s="56"/>
      <c r="AK142" s="56"/>
      <c r="AL142" s="56"/>
      <c r="AM142" s="56"/>
      <c r="AN142" s="56"/>
      <c r="AO142" s="56"/>
      <c r="AP142" s="56"/>
      <c r="AQ142" s="59"/>
      <c r="AR142" s="60"/>
      <c r="AS142" s="54"/>
    </row>
    <row r="143" spans="1:45" ht="21.25" customHeight="1" x14ac:dyDescent="0.15">
      <c r="A143" s="45">
        <f>RANK(K143,K$1:K$665)</f>
        <v>142</v>
      </c>
      <c r="B143" s="9" t="s">
        <v>268</v>
      </c>
      <c r="C143" s="46" t="s">
        <v>127</v>
      </c>
      <c r="D143" s="47" t="str">
        <f>VLOOKUP(B143,'Player Data'!A1:D667,4,FALSE)</f>
        <v>C</v>
      </c>
      <c r="E143" s="48">
        <f>VLOOKUP(B143,'C'!A1:C206,3,FALSE)</f>
        <v>48</v>
      </c>
      <c r="F143" s="72" t="str">
        <f>VLOOKUP(B143,'Player Data'!A1:B667,2,FALSE)</f>
        <v>L.A</v>
      </c>
      <c r="G143" s="63">
        <f>VLOOKUP(B143,'Player Data'!A1:D667,3,FALSE)</f>
        <v>37</v>
      </c>
      <c r="H143" s="50">
        <f>IFERROR(VLOOKUP(B143,ADP!A1:G665,7,FALSE)/1000000,VLOOKUP(B143,ADP!A1:G665,7,FALSE))</f>
        <v>7</v>
      </c>
      <c r="I143" s="51">
        <f>IF(Settings!$E$15="POINTS",((R143*Q143)*Settings!$B$12)+(S143*Settings!$B$2)+(T143*Settings!$B$3)+(U143*Settings!$B$4)+(V143*Settings!$B$5)+(X143*Settings!$B$9)+(AA143*Settings!$B$6)+(W143*Settings!$B$8)+(AB143*Settings!$B$7)+(AC143*Settings!$B$14)+(AD143*Settings!$B$15)+(AE143*Settings!$B$16)+(AF143*Settings!$B$17)+(AG143*Settings!$B$18)+(Y143*Settings!$B$10)+(Z143*Settings!$B$11),VLOOKUP(B143,'Standard Deviations'!A1:C666,3,FALSE))</f>
        <v>327.27319615067228</v>
      </c>
      <c r="J143" s="52">
        <f>IF(D143="G",I143/AJ143,I143/Q143)</f>
        <v>4.0032194263254617</v>
      </c>
      <c r="K143" s="51">
        <f>IF(Settings!$E$18="C/LW/RW",VLOOKUP(B143,'C'!A1:F206,6,FALSE),VLOOKUP(B143,F!A1:F392,6,FALSE))</f>
        <v>-62.66396162740881</v>
      </c>
      <c r="L143" s="53">
        <f>IFERROR(K143/H143,"N/A")</f>
        <v>-8.9519945182012588</v>
      </c>
      <c r="M143" s="54">
        <f>IF(Settings!$E$9="YAHOO",VLOOKUP(B143,ADP!A1:E665,2,FALSE),IF(Settings!$E$9="ESPN",VLOOKUP(B143,ADP!A1:E665,3,FALSE),IF(Settings!$E$9="FANTRAX",VLOOKUP(B143,ADP!A1:E665,4,FALSE),VLOOKUP(B143,ADP!A1:E665,5,FALSE))))</f>
        <v>169.9</v>
      </c>
      <c r="N143" s="54">
        <f>IFERROR(M143-A143,"N/A")</f>
        <v>27.900000000000006</v>
      </c>
      <c r="O143" s="54"/>
      <c r="P143" s="55" t="str">
        <f>IF(Settings!$E$27="ON",VLOOKUP(B143,ADP!A1:H665,8,FALSE)," ")</f>
        <v xml:space="preserve"> </v>
      </c>
      <c r="Q143" s="56">
        <f>IF(Settings!$E$12="YES",VLOOKUP(B143,'Player Data'!A1:E667,5,FALSE),82)</f>
        <v>81.752499999999998</v>
      </c>
      <c r="R143" s="54">
        <f>VLOOKUP(B143,'Player Data'!$A1:$AE667,6,FALSE)</f>
        <v>19.7039148154219</v>
      </c>
      <c r="S143" s="56">
        <f>VLOOKUP(B143,'Player Data'!$A1:$AE667,7,FALSE)*$Q143*IFERROR((VLOOKUP(P143,Settings!$E$28:$F$33,2,FALSE)+1),1)</f>
        <v>23.122102250440459</v>
      </c>
      <c r="T143" s="56">
        <f>VLOOKUP(B143,'Player Data'!$A1:$AE667,8,FALSE)*$Q143*IFERROR((VLOOKUP(P143,Settings!$E$28:$F$33,2,FALSE)+1),1)</f>
        <v>41.622093338863856</v>
      </c>
      <c r="U143" s="56">
        <f>SUM(S143:T143)</f>
        <v>64.744195589304312</v>
      </c>
      <c r="V143" s="56">
        <f>VLOOKUP(B143,'Player Data'!$A1:$AE667,10,FALSE)*$Q143*IFERROR(((VLOOKUP(P143,Settings!$E$28:$F$33,2,FALSE)/2)+1),1)</f>
        <v>154.77211284972449</v>
      </c>
      <c r="W143" s="56">
        <f>VLOOKUP(B143,'Player Data'!$A1:$AE667,11,FALSE)*$Q143*IFERROR((VLOOKUP(P143,Settings!$E$28:$F$33,2,FALSE)+1),1)</f>
        <v>6.5742565970616509</v>
      </c>
      <c r="X143" s="57">
        <f>VLOOKUP(B143,'Player Data'!$A1:$AE667,12,FALSE)*$Q143*IFERROR((VLOOKUP(P143,Settings!$E$28:$F$33,2,FALSE)+1),1)</f>
        <v>19.39228314862418</v>
      </c>
      <c r="Y143" s="56">
        <f>VLOOKUP(B143,'Player Data'!$A1:$AE667,13,FALSE)*$Q143</f>
        <v>0.5553941924346717</v>
      </c>
      <c r="Z143" s="56">
        <f>VLOOKUP(B143,'Player Data'!$A1:$AE667,14,FALSE)*$Q143</f>
        <v>1.994413614201054</v>
      </c>
      <c r="AA143" s="56">
        <f>VLOOKUP(B143,'Player Data'!$A1:$AE667,15,FALSE)*$Q143</f>
        <v>68.535712390143672</v>
      </c>
      <c r="AB143" s="56">
        <f>VLOOKUP(B143,'Player Data'!$A1:$AE667,16,FALSE)*$Q143</f>
        <v>49.615135360295561</v>
      </c>
      <c r="AC143" s="56">
        <f>VLOOKUP(B143,'Player Data'!$A1:$AE667,17,FALSE)*$Q143*IFERROR((VLOOKUP(P143,Settings!$E$28:$F$33,2,FALSE)+1),1)</f>
        <v>3.2381694035800899</v>
      </c>
      <c r="AD143" s="56">
        <f>VLOOKUP(B143,'Player Data'!$A1:$AE667,18,FALSE)*$Q143</f>
        <v>14.886459264221445</v>
      </c>
      <c r="AE143" s="56">
        <f>VLOOKUP(B143,'Player Data'!$A1:$AE667,19,FALSE)*$Q143*IFERROR((VLOOKUP(P143,Settings!$E$28:$F$33,2,FALSE)+1),1)</f>
        <v>4.1206284642736213</v>
      </c>
      <c r="AF143" s="56">
        <f>VLOOKUP(B143,'Player Data'!$A1:$AE667,20,FALSE)*$Q143</f>
        <v>867.49611336587452</v>
      </c>
      <c r="AG143" s="56">
        <f>VLOOKUP(B143,'Player Data'!$A1:$AE667,21,FALSE)*$Q143</f>
        <v>687.31741924527364</v>
      </c>
      <c r="AH143" s="58">
        <f>VLOOKUP(B143,'Player Data'!$A1:$AE667,22,FALSE)</f>
        <v>0.55794221954641998</v>
      </c>
      <c r="AI143" s="54"/>
      <c r="AJ143" s="56"/>
      <c r="AK143" s="56"/>
      <c r="AL143" s="56"/>
      <c r="AM143" s="56"/>
      <c r="AN143" s="56"/>
      <c r="AO143" s="56"/>
      <c r="AP143" s="56"/>
      <c r="AQ143" s="59"/>
      <c r="AR143" s="60"/>
      <c r="AS143" s="54"/>
    </row>
    <row r="144" spans="1:45" ht="21.25" customHeight="1" x14ac:dyDescent="0.15">
      <c r="A144" s="45">
        <f>RANK(K144,K$1:K$665)</f>
        <v>143</v>
      </c>
      <c r="B144" s="9" t="s">
        <v>269</v>
      </c>
      <c r="C144" s="46" t="s">
        <v>127</v>
      </c>
      <c r="D144" s="47" t="str">
        <f>VLOOKUP(B144,'Player Data'!A1:D667,4,FALSE)</f>
        <v>D</v>
      </c>
      <c r="E144" s="66">
        <f>VLOOKUP(B144,D!A1:C213,3,FALSE)</f>
        <v>37</v>
      </c>
      <c r="F144" s="55" t="str">
        <f>VLOOKUP(B144,'Player Data'!A1:B667,2,FALSE)</f>
        <v>DAL</v>
      </c>
      <c r="G144" s="69">
        <f>VLOOKUP(B144,'Player Data'!A1:D667,3,FALSE)</f>
        <v>23</v>
      </c>
      <c r="H144" s="65" t="str">
        <f>IFERROR(VLOOKUP(B144,ADP!A1:G665,7,FALSE)/1000000,VLOOKUP(B144,ADP!A1:G665,7,FALSE))</f>
        <v>RFA</v>
      </c>
      <c r="I144" s="51">
        <f>IF(Settings!$E$15="POINTS",((R144*Q144)*Settings!$B$12)+(S144*Settings!$B$2)+(T144*Settings!$B$3)+(U144*Settings!$B$4)+(V144*Settings!$B$5)+(X144*Settings!$B$9)+(AA144*Settings!$B$6)+(W144*Settings!$B$8)+(AB144*Settings!$B$7)+(AC144*Settings!$B$14)+(AD144*Settings!$B$15)+(AE144*Settings!$B$16)+(AF144*Settings!$B$17)+(AG144*Settings!$B$18)+(U144*Settings!$B$13)+(Y144*Settings!$B$10)+(Z144*Settings!$B$11),VLOOKUP(B144,'Standard Deviations'!A1:C666,3,FALSE))</f>
        <v>270.29158270581598</v>
      </c>
      <c r="J144" s="52">
        <f>IF(D144="G",I144/AJ144,I144/Q144)</f>
        <v>3.614852822973901</v>
      </c>
      <c r="K144" s="51">
        <f>VLOOKUP(B144,D!A1:F213,6,FALSE)</f>
        <v>-65.942542339778925</v>
      </c>
      <c r="L144" s="76" t="str">
        <f>IFERROR(K144/H144,"N/A")</f>
        <v>N/A</v>
      </c>
      <c r="M144" s="54">
        <f>IF(Settings!$E$9="YAHOO",VLOOKUP(B144,ADP!A1:E665,2,FALSE),IF(Settings!$E$9="ESPN",VLOOKUP(B144,ADP!A1:E665,3,FALSE),IF(Settings!$E$9="FANTRAX",VLOOKUP(B144,ADP!A1:E665,4,FALSE),VLOOKUP(B144,ADP!A1:E665,5,FALSE))))</f>
        <v>132</v>
      </c>
      <c r="N144" s="54">
        <f>IFERROR(M144-A144,"N/A")</f>
        <v>-11</v>
      </c>
      <c r="O144" s="54"/>
      <c r="P144" s="55" t="str">
        <f>IF(Settings!$E$27="ON",VLOOKUP(B144,ADP!A1:H665,8,FALSE)," ")</f>
        <v xml:space="preserve"> </v>
      </c>
      <c r="Q144" s="56">
        <f>IF(Settings!$E$12="YES",VLOOKUP(B144,'Player Data'!A1:E667,5,FALSE),82)</f>
        <v>74.772499999999994</v>
      </c>
      <c r="R144" s="54">
        <f>VLOOKUP(B144,'Player Data'!$A1:$AE667,6,FALSE)</f>
        <v>21.281060180600299</v>
      </c>
      <c r="S144" s="56">
        <f>VLOOKUP(B144,'Player Data'!$A1:$AE667,7,FALSE)*$Q144*IFERROR((VLOOKUP(P144,Settings!$E$28:$F$33,2,FALSE)+1),1)</f>
        <v>11.885895524387271</v>
      </c>
      <c r="T144" s="56">
        <f>VLOOKUP(B144,'Player Data'!$A1:$AE667,8,FALSE)*$Q144*IFERROR((VLOOKUP(P144,Settings!$E$28:$F$33,2,FALSE)+1),1)</f>
        <v>31.229166747944856</v>
      </c>
      <c r="U144" s="56">
        <f>SUM(S144:T144)</f>
        <v>43.115062272332125</v>
      </c>
      <c r="V144" s="56">
        <f>VLOOKUP(B144,'Player Data'!$A1:$AE667,10,FALSE)*$Q144*IFERROR(((VLOOKUP(P144,Settings!$E$28:$F$33,2,FALSE)/2)+1),1)</f>
        <v>138.44216199274734</v>
      </c>
      <c r="W144" s="56">
        <f>VLOOKUP(B144,'Player Data'!$A1:$AE667,11,FALSE)*$Q144*IFERROR((VLOOKUP(P144,Settings!$E$28:$F$33,2,FALSE)+1),1)</f>
        <v>1.1555335099229758</v>
      </c>
      <c r="X144" s="56">
        <f>VLOOKUP(B144,'Player Data'!$A1:$AE667,12,FALSE)*$Q144*IFERROR((VLOOKUP(P144,Settings!$E$28:$F$33,2,FALSE)+1),1)</f>
        <v>9.7031719141119357</v>
      </c>
      <c r="Y144" s="56">
        <f>VLOOKUP(B144,'Player Data'!$A1:$AE667,13,FALSE)*$Q144</f>
        <v>0.57151780834204746</v>
      </c>
      <c r="Z144" s="56">
        <f>VLOOKUP(B144,'Player Data'!$A1:$AE667,14,FALSE)*$Q144</f>
        <v>0.69195516232780874</v>
      </c>
      <c r="AA144" s="56">
        <f>VLOOKUP(B144,'Player Data'!$A1:$AE667,15,FALSE)*$Q144</f>
        <v>122.6603756320124</v>
      </c>
      <c r="AB144" s="56">
        <f>VLOOKUP(B144,'Player Data'!$A1:$AE667,16,FALSE)*$Q144</f>
        <v>69.02234457989293</v>
      </c>
      <c r="AC144" s="56">
        <f>VLOOKUP(B144,'Player Data'!$A1:$AE667,17,FALSE)*$Q144*IFERROR((VLOOKUP(P144,Settings!$E$28:$F$33,2,FALSE)+1),1)</f>
        <v>7.603456429659631</v>
      </c>
      <c r="AD144" s="56">
        <f>VLOOKUP(B144,'Player Data'!$A1:$AE667,18,FALSE)*$Q144</f>
        <v>24.320974106642044</v>
      </c>
      <c r="AE144" s="56">
        <f>VLOOKUP(B144,'Player Data'!$A1:$AE667,19,FALSE)*$Q144*IFERROR((VLOOKUP(P144,Settings!$E$28:$F$33,2,FALSE)+1),1)</f>
        <v>1.9007771243554239</v>
      </c>
      <c r="AF144" s="56">
        <f>VLOOKUP(B144,'Player Data'!$A1:$AE667,20,FALSE)*$Q144</f>
        <v>0</v>
      </c>
      <c r="AG144" s="56">
        <f>VLOOKUP(B144,'Player Data'!$A1:$AE667,21,FALSE)*$Q144</f>
        <v>0</v>
      </c>
      <c r="AH144" s="58">
        <f>VLOOKUP(B144,'Player Data'!$A1:$AE667,22,FALSE)</f>
        <v>0</v>
      </c>
      <c r="AI144" s="54"/>
      <c r="AJ144" s="56"/>
      <c r="AK144" s="56"/>
      <c r="AL144" s="56"/>
      <c r="AM144" s="56"/>
      <c r="AN144" s="56"/>
      <c r="AO144" s="56"/>
      <c r="AP144" s="56"/>
      <c r="AQ144" s="59"/>
      <c r="AR144" s="60"/>
      <c r="AS144" s="54"/>
    </row>
    <row r="145" spans="1:45" ht="21.25" customHeight="1" x14ac:dyDescent="0.15">
      <c r="A145" s="45">
        <f>RANK(K145,K$1:K$665)</f>
        <v>144</v>
      </c>
      <c r="B145" s="9" t="s">
        <v>270</v>
      </c>
      <c r="C145" s="46" t="s">
        <v>127</v>
      </c>
      <c r="D145" s="47" t="str">
        <f>VLOOKUP(B145,'Player Data'!A1:D667,4,FALSE)</f>
        <v>LW/RW</v>
      </c>
      <c r="E145" s="68">
        <f>VLOOKUP(B145,RW!A1:C136,3,FALSE)</f>
        <v>41</v>
      </c>
      <c r="F145" s="62" t="str">
        <f>VLOOKUP(B145,'Player Data'!A1:B667,2,FALSE)</f>
        <v>OTT</v>
      </c>
      <c r="G145" s="10">
        <f>VLOOKUP(B145,'Player Data'!A1:D667,3,FALSE)</f>
        <v>26</v>
      </c>
      <c r="H145" s="50">
        <f>IFERROR(VLOOKUP(B145,ADP!A1:G665,7,FALSE)/1000000,VLOOKUP(B145,ADP!A1:G665,7,FALSE))</f>
        <v>4.9749999999999996</v>
      </c>
      <c r="I145" s="51">
        <f>IF(Settings!$E$15="POINTS",((R145*Q145)*Settings!$B$12)+(S145*Settings!$B$2)+(T145*Settings!$B$3)+(U145*Settings!$B$4)+(V145*Settings!$B$5)+(X145*Settings!$B$9)+(AA145*Settings!$B$6)+(W145*Settings!$B$8)+(AB145*Settings!$B$7)+(AC145*Settings!$B$14)+(AD145*Settings!$B$15)+(AE145*Settings!$B$16)+(AF145*Settings!$B$17)+(AG145*Settings!$B$18)+(Y145*Settings!$B$10)+(Z145*Settings!$B$11),VLOOKUP(B145,'Standard Deviations'!A1:C666,3,FALSE))</f>
        <v>302.18187008004935</v>
      </c>
      <c r="J145" s="52">
        <f>IF(D145="G",I145/AJ145,I145/Q145)</f>
        <v>3.8528862690303369</v>
      </c>
      <c r="K145" s="51">
        <f>IF(Settings!$E$18="C/LW/RW",VLOOKUP(B145,RW!A1:F136,6,FALSE),VLOOKUP(B145,F!A1:F392,6,FALSE))</f>
        <v>-66.665853026243042</v>
      </c>
      <c r="L145" s="53">
        <f>IFERROR(K145/H145,"N/A")</f>
        <v>-13.400171462561417</v>
      </c>
      <c r="M145" s="54">
        <f>IF(Settings!$E$9="YAHOO",VLOOKUP(B145,ADP!A1:E665,2,FALSE),IF(Settings!$E$9="ESPN",VLOOKUP(B145,ADP!A1:E665,3,FALSE),IF(Settings!$E$9="FANTRAX",VLOOKUP(B145,ADP!A1:E665,4,FALSE),VLOOKUP(B145,ADP!A1:E665,5,FALSE))))</f>
        <v>94.8</v>
      </c>
      <c r="N145" s="54">
        <f>IFERROR(M145-A145,"N/A")</f>
        <v>-49.2</v>
      </c>
      <c r="O145" s="54"/>
      <c r="P145" s="55" t="str">
        <f>IF(Settings!$E$27="ON",VLOOKUP(B145,ADP!A1:H665,8,FALSE)," ")</f>
        <v xml:space="preserve"> </v>
      </c>
      <c r="Q145" s="56">
        <f>IF(Settings!$E$12="YES",VLOOKUP(B145,'Player Data'!A1:E667,5,FALSE),82)</f>
        <v>78.430000000000007</v>
      </c>
      <c r="R145" s="54">
        <f>VLOOKUP(B145,'Player Data'!$A1:$AE667,6,FALSE)</f>
        <v>17.575206980338201</v>
      </c>
      <c r="S145" s="56">
        <f>VLOOKUP(B145,'Player Data'!$A1:$AE667,7,FALSE)*$Q145*IFERROR((VLOOKUP(P145,Settings!$E$28:$F$33,2,FALSE)+1),1)</f>
        <v>23.317933298689638</v>
      </c>
      <c r="T145" s="56">
        <f>VLOOKUP(B145,'Player Data'!$A1:$AE667,8,FALSE)*$Q145*IFERROR((VLOOKUP(P145,Settings!$E$28:$F$33,2,FALSE)+1),1)</f>
        <v>35.085517168309686</v>
      </c>
      <c r="U145" s="56">
        <f>SUM(S145:T145)</f>
        <v>58.403450466999324</v>
      </c>
      <c r="V145" s="56">
        <f>VLOOKUP(B145,'Player Data'!$A1:$AE667,10,FALSE)*$Q145*IFERROR(((VLOOKUP(P145,Settings!$E$28:$F$33,2,FALSE)/2)+1),1)</f>
        <v>187.84564719648927</v>
      </c>
      <c r="W145" s="56">
        <f>VLOOKUP(B145,'Player Data'!$A1:$AE667,11,FALSE)*$Q145*IFERROR((VLOOKUP(P145,Settings!$E$28:$F$33,2,FALSE)+1),1)</f>
        <v>6.0546407195033316</v>
      </c>
      <c r="X145" s="78">
        <f>VLOOKUP(B145,'Player Data'!$A1:$AE667,12,FALSE)*$Q145*IFERROR((VLOOKUP(P145,Settings!$E$28:$F$33,2,FALSE)+1),1)</f>
        <v>16.764629700252186</v>
      </c>
      <c r="Y145" s="56">
        <f>VLOOKUP(B145,'Player Data'!$A1:$AE667,13,FALSE)*$Q145</f>
        <v>1.1871738429715815E-2</v>
      </c>
      <c r="Z145" s="56">
        <f>VLOOKUP(B145,'Player Data'!$A1:$AE667,14,FALSE)*$Q145</f>
        <v>2.0066086036322116E-2</v>
      </c>
      <c r="AA145" s="56">
        <f>VLOOKUP(B145,'Player Data'!$A1:$AE667,15,FALSE)*$Q145</f>
        <v>32.527998589036386</v>
      </c>
      <c r="AB145" s="56">
        <f>VLOOKUP(B145,'Player Data'!$A1:$AE667,16,FALSE)*$Q145</f>
        <v>94.865133594589921</v>
      </c>
      <c r="AC145" s="56">
        <f>VLOOKUP(B145,'Player Data'!$A1:$AE667,17,FALSE)*$Q145*IFERROR((VLOOKUP(P145,Settings!$E$28:$F$33,2,FALSE)+1),1)</f>
        <v>-1.1757700916839293</v>
      </c>
      <c r="AD145" s="56">
        <f>VLOOKUP(B145,'Player Data'!$A1:$AE667,18,FALSE)*$Q145</f>
        <v>31.663832684439278</v>
      </c>
      <c r="AE145" s="56">
        <f>VLOOKUP(B145,'Player Data'!$A1:$AE667,19,FALSE)*$Q145*IFERROR((VLOOKUP(P145,Settings!$E$28:$F$33,2,FALSE)+1),1)</f>
        <v>3.620441174618477</v>
      </c>
      <c r="AF145" s="56">
        <f>VLOOKUP(B145,'Player Data'!$A1:$AE667,20,FALSE)*$Q145</f>
        <v>29.29767259001899</v>
      </c>
      <c r="AG145" s="56">
        <f>VLOOKUP(B145,'Player Data'!$A1:$AE667,21,FALSE)*$Q145</f>
        <v>46.915150397219641</v>
      </c>
      <c r="AH145" s="58">
        <f>VLOOKUP(B145,'Player Data'!$A1:$AE667,22,FALSE)</f>
        <v>0.38441920193567303</v>
      </c>
      <c r="AI145" s="54"/>
      <c r="AJ145" s="64"/>
      <c r="AK145" s="56"/>
      <c r="AL145" s="56"/>
      <c r="AM145" s="56"/>
      <c r="AN145" s="56"/>
      <c r="AO145" s="56"/>
      <c r="AP145" s="56"/>
      <c r="AQ145" s="59"/>
      <c r="AR145" s="60"/>
      <c r="AS145" s="54"/>
    </row>
    <row r="146" spans="1:45" ht="21.25" customHeight="1" x14ac:dyDescent="0.15">
      <c r="A146" s="45">
        <f>RANK(K146,K$1:K$665)</f>
        <v>145</v>
      </c>
      <c r="B146" s="9" t="s">
        <v>271</v>
      </c>
      <c r="C146" s="46" t="s">
        <v>127</v>
      </c>
      <c r="D146" s="47" t="str">
        <f>VLOOKUP(B146,'Player Data'!A1:D667,4,FALSE)</f>
        <v>C/LW</v>
      </c>
      <c r="E146" s="68">
        <f>VLOOKUP(B146,LW!A1:C152,3,FALSE)</f>
        <v>39</v>
      </c>
      <c r="F146" s="65" t="str">
        <f>VLOOKUP(B146,'Player Data'!A1:B667,2,FALSE)</f>
        <v>WSH</v>
      </c>
      <c r="G146" s="10">
        <f>VLOOKUP(B146,'Player Data'!A1:D667,3,FALSE)</f>
        <v>26</v>
      </c>
      <c r="H146" s="50">
        <f>IFERROR(VLOOKUP(B146,ADP!A1:G665,7,FALSE)/1000000,VLOOKUP(B146,ADP!A1:G665,7,FALSE))</f>
        <v>8.5</v>
      </c>
      <c r="I146" s="51">
        <f>IF(Settings!$E$15="POINTS",((R146*Q146)*Settings!$B$12)+(S146*Settings!$B$2)+(T146*Settings!$B$3)+(U146*Settings!$B$4)+(V146*Settings!$B$5)+(X146*Settings!$B$9)+(AA146*Settings!$B$6)+(W146*Settings!$B$8)+(AB146*Settings!$B$7)+(AC146*Settings!$B$14)+(AD146*Settings!$B$15)+(AE146*Settings!$B$16)+(AF146*Settings!$B$17)+(AG146*Settings!$B$18)+(Y146*Settings!$B$10)+(Z146*Settings!$B$11),VLOOKUP(B146,'Standard Deviations'!A1:C666,3,FALSE))</f>
        <v>313.3564789996388</v>
      </c>
      <c r="J146" s="52">
        <f>IF(D146="G",I146/AJ146,I146/Q146)</f>
        <v>3.8833408185350411</v>
      </c>
      <c r="K146" s="51">
        <f>IF(Settings!$E$18="C/LW/RW",VLOOKUP(B146,LW!A1:F152,6,FALSE),VLOOKUP(B146,F!A1:F392,6,FALSE))</f>
        <v>-67.705033302860954</v>
      </c>
      <c r="L146" s="53">
        <f>IFERROR(K146/H146,"N/A")</f>
        <v>-7.9652980356307008</v>
      </c>
      <c r="M146" s="54">
        <f>IF(Settings!$E$9="YAHOO",VLOOKUP(B146,ADP!A1:E665,2,FALSE),IF(Settings!$E$9="ESPN",VLOOKUP(B146,ADP!A1:E665,3,FALSE),IF(Settings!$E$9="FANTRAX",VLOOKUP(B146,ADP!A1:E665,4,FALSE),VLOOKUP(B146,ADP!A1:E665,5,FALSE))))</f>
        <v>175</v>
      </c>
      <c r="N146" s="54">
        <f>IFERROR(M146-A146,"N/A")</f>
        <v>30</v>
      </c>
      <c r="O146" s="54"/>
      <c r="P146" s="55" t="str">
        <f>IF(Settings!$E$27="ON",VLOOKUP(B146,ADP!A1:H665,8,FALSE)," ")</f>
        <v xml:space="preserve"> </v>
      </c>
      <c r="Q146" s="56">
        <f>IF(Settings!$E$12="YES",VLOOKUP(B146,'Player Data'!A1:E667,5,FALSE),82)</f>
        <v>80.692499999999995</v>
      </c>
      <c r="R146" s="75">
        <f>VLOOKUP(B146,'Player Data'!$A1:$AE667,6,FALSE)</f>
        <v>17.796106498242398</v>
      </c>
      <c r="S146" s="56">
        <f>VLOOKUP(B146,'Player Data'!$A1:$AE667,7,FALSE)*$Q146*IFERROR((VLOOKUP(P146,Settings!$E$28:$F$33,2,FALSE)+1),1)</f>
        <v>25.472823423552764</v>
      </c>
      <c r="T146" s="56">
        <f>VLOOKUP(B146,'Player Data'!$A1:$AE667,8,FALSE)*$Q146*IFERROR((VLOOKUP(P146,Settings!$E$28:$F$33,2,FALSE)+1),1)</f>
        <v>34.47872677844213</v>
      </c>
      <c r="U146" s="56">
        <f>SUM(S146:T146)</f>
        <v>59.951550201994891</v>
      </c>
      <c r="V146" s="56">
        <f>VLOOKUP(B146,'Player Data'!$A1:$AE667,10,FALSE)*$Q146*IFERROR(((VLOOKUP(P146,Settings!$E$28:$F$33,2,FALSE)/2)+1),1)</f>
        <v>188.67583019617015</v>
      </c>
      <c r="W146" s="56">
        <f>VLOOKUP(B146,'Player Data'!$A1:$AE667,11,FALSE)*$Q146*IFERROR((VLOOKUP(P146,Settings!$E$28:$F$33,2,FALSE)+1),1)</f>
        <v>10.724934456698389</v>
      </c>
      <c r="X146" s="57">
        <f>VLOOKUP(B146,'Player Data'!$A1:$AE667,12,FALSE)*$Q146*IFERROR((VLOOKUP(P146,Settings!$E$28:$F$33,2,FALSE)+1),1)</f>
        <v>17.968989023340175</v>
      </c>
      <c r="Y146" s="56">
        <f>VLOOKUP(B146,'Player Data'!$A1:$AE667,13,FALSE)*$Q146</f>
        <v>2.253926905244889E-2</v>
      </c>
      <c r="Z146" s="56">
        <f>VLOOKUP(B146,'Player Data'!$A1:$AE667,14,FALSE)*$Q146</f>
        <v>3.8088909799718969E-2</v>
      </c>
      <c r="AA146" s="56">
        <f>VLOOKUP(B146,'Player Data'!$A1:$AE667,15,FALSE)*$Q146</f>
        <v>42.313670724858255</v>
      </c>
      <c r="AB146" s="56">
        <f>VLOOKUP(B146,'Player Data'!$A1:$AE667,16,FALSE)*$Q146</f>
        <v>94.084488517564907</v>
      </c>
      <c r="AC146" s="56">
        <f>VLOOKUP(B146,'Player Data'!$A1:$AE667,17,FALSE)*$Q146*IFERROR((VLOOKUP(P146,Settings!$E$28:$F$33,2,FALSE)+1),1)</f>
        <v>2.1860301953506061</v>
      </c>
      <c r="AD146" s="56">
        <f>VLOOKUP(B146,'Player Data'!$A1:$AE667,18,FALSE)*$Q146</f>
        <v>69.276106792010964</v>
      </c>
      <c r="AE146" s="56">
        <f>VLOOKUP(B146,'Player Data'!$A1:$AE667,19,FALSE)*$Q146*IFERROR((VLOOKUP(P146,Settings!$E$28:$F$33,2,FALSE)+1),1)</f>
        <v>3.6149129465135483</v>
      </c>
      <c r="AF146" s="56">
        <f>VLOOKUP(B146,'Player Data'!$A1:$AE667,20,FALSE)*$Q146</f>
        <v>491.68607485885889</v>
      </c>
      <c r="AG146" s="56">
        <f>VLOOKUP(B146,'Player Data'!$A1:$AE667,21,FALSE)*$Q146</f>
        <v>517.68746073853538</v>
      </c>
      <c r="AH146" s="58">
        <f>VLOOKUP(B146,'Player Data'!$A1:$AE667,22,FALSE)</f>
        <v>0.48712003784392499</v>
      </c>
      <c r="AI146" s="54"/>
      <c r="AJ146" s="56"/>
      <c r="AK146" s="56"/>
      <c r="AL146" s="56"/>
      <c r="AM146" s="56"/>
      <c r="AN146" s="56"/>
      <c r="AO146" s="56"/>
      <c r="AP146" s="56"/>
      <c r="AQ146" s="59"/>
      <c r="AR146" s="60"/>
      <c r="AS146" s="54"/>
    </row>
    <row r="147" spans="1:45" ht="21.25" customHeight="1" x14ac:dyDescent="0.15">
      <c r="A147" s="45">
        <f>RANK(K147,K$1:K$665)</f>
        <v>146</v>
      </c>
      <c r="B147" s="9" t="s">
        <v>272</v>
      </c>
      <c r="C147" s="46" t="s">
        <v>127</v>
      </c>
      <c r="D147" s="47" t="str">
        <f>VLOOKUP(B147,'Player Data'!A1:D667,4,FALSE)</f>
        <v>LW/RW</v>
      </c>
      <c r="E147" s="68">
        <f>VLOOKUP(B147,RW!A1:C136,3,FALSE)</f>
        <v>42</v>
      </c>
      <c r="F147" s="55" t="str">
        <f>VLOOKUP(B147,'Player Data'!A1:B667,2,FALSE)</f>
        <v>CHI</v>
      </c>
      <c r="G147" s="10">
        <f>VLOOKUP(B147,'Player Data'!A1:D667,3,FALSE)</f>
        <v>29</v>
      </c>
      <c r="H147" s="50">
        <f>IFERROR(VLOOKUP(B147,ADP!A1:G665,7,FALSE)/1000000,VLOOKUP(B147,ADP!A1:G665,7,FALSE))</f>
        <v>5.4</v>
      </c>
      <c r="I147" s="51">
        <f>IF(Settings!$E$15="POINTS",((R147*Q147)*Settings!$B$12)+(S147*Settings!$B$2)+(T147*Settings!$B$3)+(U147*Settings!$B$4)+(V147*Settings!$B$5)+(X147*Settings!$B$9)+(AA147*Settings!$B$6)+(W147*Settings!$B$8)+(AB147*Settings!$B$7)+(AC147*Settings!$B$14)+(AD147*Settings!$B$15)+(AE147*Settings!$B$16)+(AF147*Settings!$B$17)+(AG147*Settings!$B$18)+(Y147*Settings!$B$10)+(Z147*Settings!$B$11),VLOOKUP(B147,'Standard Deviations'!A1:C666,3,FALSE))</f>
        <v>300.77951234858818</v>
      </c>
      <c r="J147" s="52">
        <f>IF(D147="G",I147/AJ147,I147/Q147)</f>
        <v>3.8296347383319094</v>
      </c>
      <c r="K147" s="51">
        <f>IF(Settings!$E$18="C/LW/RW",VLOOKUP(B147,RW!A1:F136,6,FALSE),VLOOKUP(B147,F!A1:F392,6,FALSE))</f>
        <v>-68.068210757704207</v>
      </c>
      <c r="L147" s="53">
        <f>IFERROR(K147/H147,"N/A")</f>
        <v>-12.605224214389667</v>
      </c>
      <c r="M147" s="54">
        <f>IF(Settings!$E$9="YAHOO",VLOOKUP(B147,ADP!A1:E665,2,FALSE),IF(Settings!$E$9="ESPN",VLOOKUP(B147,ADP!A1:E665,3,FALSE),IF(Settings!$E$9="FANTRAX",VLOOKUP(B147,ADP!A1:E665,4,FALSE),VLOOKUP(B147,ADP!A1:E665,5,FALSE))))</f>
        <v>172.7</v>
      </c>
      <c r="N147" s="54">
        <f>IFERROR(M147-A147,"N/A")</f>
        <v>26.699999999999989</v>
      </c>
      <c r="O147" s="54"/>
      <c r="P147" s="55" t="str">
        <f>IF(Settings!$E$27="ON",VLOOKUP(B147,ADP!A1:H665,8,FALSE)," ")</f>
        <v xml:space="preserve"> </v>
      </c>
      <c r="Q147" s="56">
        <f>IF(Settings!$E$12="YES",VLOOKUP(B147,'Player Data'!A1:E667,5,FALSE),82)</f>
        <v>78.540000000000006</v>
      </c>
      <c r="R147" s="75">
        <f>VLOOKUP(B147,'Player Data'!$A1:$AE667,6,FALSE)</f>
        <v>19.0365702426685</v>
      </c>
      <c r="S147" s="56">
        <f>VLOOKUP(B147,'Player Data'!$A1:$AE667,7,FALSE)*$Q147*IFERROR((VLOOKUP(P147,Settings!$E$28:$F$33,2,FALSE)+1),1)</f>
        <v>22.735976355472431</v>
      </c>
      <c r="T147" s="56">
        <f>VLOOKUP(B147,'Player Data'!$A1:$AE667,8,FALSE)*$Q147*IFERROR((VLOOKUP(P147,Settings!$E$28:$F$33,2,FALSE)+1),1)</f>
        <v>33.890060731976575</v>
      </c>
      <c r="U147" s="56">
        <f>SUM(S147:T147)</f>
        <v>56.626037087449006</v>
      </c>
      <c r="V147" s="56">
        <f>VLOOKUP(B147,'Player Data'!$A1:$AE667,10,FALSE)*$Q147*IFERROR(((VLOOKUP(P147,Settings!$E$28:$F$33,2,FALSE)/2)+1),1)</f>
        <v>183.42442817547547</v>
      </c>
      <c r="W147" s="56">
        <f>VLOOKUP(B147,'Player Data'!$A1:$AE667,11,FALSE)*$Q147*IFERROR((VLOOKUP(P147,Settings!$E$28:$F$33,2,FALSE)+1),1)</f>
        <v>8.5397861423579311</v>
      </c>
      <c r="X147" s="78">
        <f>VLOOKUP(B147,'Player Data'!$A1:$AE667,12,FALSE)*$Q147*IFERROR((VLOOKUP(P147,Settings!$E$28:$F$33,2,FALSE)+1),1)</f>
        <v>19.569403526930934</v>
      </c>
      <c r="Y147" s="56">
        <f>VLOOKUP(B147,'Player Data'!$A1:$AE667,13,FALSE)*$Q147</f>
        <v>1.6297554048104066</v>
      </c>
      <c r="Z147" s="56">
        <f>VLOOKUP(B147,'Player Data'!$A1:$AE667,14,FALSE)*$Q147</f>
        <v>3.8694381343016828</v>
      </c>
      <c r="AA147" s="56">
        <f>VLOOKUP(B147,'Player Data'!$A1:$AE667,15,FALSE)*$Q147</f>
        <v>31.500690674541556</v>
      </c>
      <c r="AB147" s="56">
        <f>VLOOKUP(B147,'Player Data'!$A1:$AE667,16,FALSE)*$Q147</f>
        <v>26.763714067466623</v>
      </c>
      <c r="AC147" s="56">
        <f>VLOOKUP(B147,'Player Data'!$A1:$AE667,17,FALSE)*$Q147*IFERROR((VLOOKUP(P147,Settings!$E$28:$F$33,2,FALSE)+1),1)</f>
        <v>5.8855028436415147</v>
      </c>
      <c r="AD147" s="56">
        <f>VLOOKUP(B147,'Player Data'!$A1:$AE667,18,FALSE)*$Q147</f>
        <v>22.605002007468801</v>
      </c>
      <c r="AE147" s="56">
        <f>VLOOKUP(B147,'Player Data'!$A1:$AE667,19,FALSE)*$Q147*IFERROR((VLOOKUP(P147,Settings!$E$28:$F$33,2,FALSE)+1),1)</f>
        <v>2.9382894819954588</v>
      </c>
      <c r="AF147" s="56">
        <f>VLOOKUP(B147,'Player Data'!$A1:$AE667,20,FALSE)*$Q147</f>
        <v>72.712991963232952</v>
      </c>
      <c r="AG147" s="56">
        <f>VLOOKUP(B147,'Player Data'!$A1:$AE667,21,FALSE)*$Q147</f>
        <v>62.710107096929917</v>
      </c>
      <c r="AH147" s="58">
        <f>VLOOKUP(B147,'Player Data'!$A1:$AE667,22,FALSE)</f>
        <v>0.53693197444056096</v>
      </c>
      <c r="AI147" s="54"/>
      <c r="AJ147" s="64"/>
      <c r="AK147" s="56"/>
      <c r="AL147" s="56"/>
      <c r="AM147" s="56"/>
      <c r="AN147" s="56"/>
      <c r="AO147" s="56"/>
      <c r="AP147" s="56"/>
      <c r="AQ147" s="59"/>
      <c r="AR147" s="60"/>
      <c r="AS147" s="54"/>
    </row>
    <row r="148" spans="1:45" ht="21.25" customHeight="1" x14ac:dyDescent="0.15">
      <c r="A148" s="45">
        <f>RANK(K148,K$1:K$665)</f>
        <v>147</v>
      </c>
      <c r="B148" s="9" t="s">
        <v>273</v>
      </c>
      <c r="C148" s="46" t="s">
        <v>127</v>
      </c>
      <c r="D148" s="47" t="str">
        <f>VLOOKUP(B148,'Player Data'!A1:D667,4,FALSE)</f>
        <v>D</v>
      </c>
      <c r="E148" s="66">
        <f>VLOOKUP(B148,D!A1:C213,3,FALSE)</f>
        <v>38</v>
      </c>
      <c r="F148" s="77" t="str">
        <f>VLOOKUP(B148,'Player Data'!A1:B667,2,FALSE)</f>
        <v>S.J</v>
      </c>
      <c r="G148" s="10">
        <f>VLOOKUP(B148,'Player Data'!A1:D667,3,FALSE)</f>
        <v>28</v>
      </c>
      <c r="H148" s="50">
        <f>IFERROR(VLOOKUP(B148,ADP!A1:G665,7,FALSE)/1000000,VLOOKUP(B148,ADP!A1:G665,7,FALSE))</f>
        <v>3.4</v>
      </c>
      <c r="I148" s="51">
        <f>IF(Settings!$E$15="POINTS",((R148*Q148)*Settings!$B$12)+(S148*Settings!$B$2)+(T148*Settings!$B$3)+(U148*Settings!$B$4)+(V148*Settings!$B$5)+(X148*Settings!$B$9)+(AA148*Settings!$B$6)+(W148*Settings!$B$8)+(AB148*Settings!$B$7)+(AC148*Settings!$B$14)+(AD148*Settings!$B$15)+(AE148*Settings!$B$16)+(AF148*Settings!$B$17)+(AG148*Settings!$B$18)+(U148*Settings!$B$13)+(Y148*Settings!$B$10)+(Z148*Settings!$B$11),VLOOKUP(B148,'Standard Deviations'!A1:C666,3,FALSE))</f>
        <v>267.66956388876338</v>
      </c>
      <c r="J148" s="52">
        <f>IF(D148="G",I148/AJ148,I148/Q148)</f>
        <v>3.6694710245906288</v>
      </c>
      <c r="K148" s="51">
        <f>VLOOKUP(B148,D!A1:F213,6,FALSE)</f>
        <v>-68.56456115683153</v>
      </c>
      <c r="L148" s="53">
        <f>IFERROR(K148/H148,"N/A")</f>
        <v>-20.166047399068098</v>
      </c>
      <c r="M148" s="83" t="str">
        <f>IF(Settings!$E$9="YAHOO",VLOOKUP(B148,ADP!A1:E665,2,FALSE),IF(Settings!$E$9="ESPN",VLOOKUP(B148,ADP!A1:E665,3,FALSE),IF(Settings!$E$9="FANTRAX",VLOOKUP(B148,ADP!A1:E665,4,FALSE),VLOOKUP(B148,ADP!A1:E665,5,FALSE))))</f>
        <v>—</v>
      </c>
      <c r="N148" s="83" t="str">
        <f>IFERROR(M148-A148,"N/A")</f>
        <v>N/A</v>
      </c>
      <c r="O148" s="54"/>
      <c r="P148" s="55" t="str">
        <f>IF(Settings!$E$27="ON",VLOOKUP(B148,ADP!A1:H665,8,FALSE)," ")</f>
        <v xml:space="preserve"> </v>
      </c>
      <c r="Q148" s="56">
        <f>IF(Settings!$E$12="YES",VLOOKUP(B148,'Player Data'!A1:E667,5,FALSE),82)</f>
        <v>72.944999999999993</v>
      </c>
      <c r="R148" s="75">
        <f>VLOOKUP(B148,'Player Data'!$A1:$AE667,6,FALSE)</f>
        <v>22.127590238671999</v>
      </c>
      <c r="S148" s="56">
        <f>VLOOKUP(B148,'Player Data'!$A1:$AE667,7,FALSE)*$Q148*IFERROR((VLOOKUP(P148,Settings!$E$28:$F$33,2,FALSE)+1),1)</f>
        <v>11.806616789204439</v>
      </c>
      <c r="T148" s="56">
        <f>VLOOKUP(B148,'Player Data'!$A1:$AE667,8,FALSE)*$Q148*IFERROR((VLOOKUP(P148,Settings!$E$28:$F$33,2,FALSE)+1),1)</f>
        <v>20.547135150611794</v>
      </c>
      <c r="U148" s="56">
        <f>SUM(S148:T148)</f>
        <v>32.353751939816235</v>
      </c>
      <c r="V148" s="56">
        <f>VLOOKUP(B148,'Player Data'!$A1:$AE667,10,FALSE)*$Q148*IFERROR(((VLOOKUP(P148,Settings!$E$28:$F$33,2,FALSE)/2)+1),1)</f>
        <v>160.0016710152988</v>
      </c>
      <c r="W148" s="56">
        <f>VLOOKUP(B148,'Player Data'!$A1:$AE667,11,FALSE)*$Q148*IFERROR((VLOOKUP(P148,Settings!$E$28:$F$33,2,FALSE)+1),1)</f>
        <v>2.1935965413966283</v>
      </c>
      <c r="X148" s="78">
        <f>VLOOKUP(B148,'Player Data'!$A1:$AE667,12,FALSE)*$Q148*IFERROR((VLOOKUP(P148,Settings!$E$28:$F$33,2,FALSE)+1),1)</f>
        <v>11.868508751962006</v>
      </c>
      <c r="Y148" s="56">
        <f>VLOOKUP(B148,'Player Data'!$A1:$AE667,13,FALSE)*$Q148</f>
        <v>3.0350647883848017E-2</v>
      </c>
      <c r="Z148" s="56">
        <f>VLOOKUP(B148,'Player Data'!$A1:$AE667,14,FALSE)*$Q148</f>
        <v>0.62043586299513298</v>
      </c>
      <c r="AA148" s="56">
        <f>VLOOKUP(B148,'Player Data'!$A1:$AE667,15,FALSE)*$Q148</f>
        <v>156.2370558934164</v>
      </c>
      <c r="AB148" s="56">
        <f>VLOOKUP(B148,'Player Data'!$A1:$AE667,16,FALSE)*$Q148</f>
        <v>64.404355069142937</v>
      </c>
      <c r="AC148" s="56">
        <f>VLOOKUP(B148,'Player Data'!$A1:$AE667,17,FALSE)*$Q148*IFERROR((VLOOKUP(P148,Settings!$E$28:$F$33,2,FALSE)+1),1)</f>
        <v>-3.9490659111806612</v>
      </c>
      <c r="AD148" s="56">
        <f>VLOOKUP(B148,'Player Data'!$A1:$AE667,18,FALSE)*$Q148</f>
        <v>45.0509572836568</v>
      </c>
      <c r="AE148" s="56">
        <f>VLOOKUP(B148,'Player Data'!$A1:$AE667,19,FALSE)*$Q148*IFERROR((VLOOKUP(P148,Settings!$E$28:$F$33,2,FALSE)+1),1)</f>
        <v>1.2610662141163878</v>
      </c>
      <c r="AF148" s="56">
        <f>VLOOKUP(B148,'Player Data'!$A1:$AE667,20,FALSE)*$Q148</f>
        <v>0</v>
      </c>
      <c r="AG148" s="56">
        <f>VLOOKUP(B148,'Player Data'!$A1:$AE667,21,FALSE)*$Q148</f>
        <v>0</v>
      </c>
      <c r="AH148" s="58">
        <f>VLOOKUP(B148,'Player Data'!$A1:$AE667,22,FALSE)</f>
        <v>0</v>
      </c>
      <c r="AI148" s="54"/>
      <c r="AJ148" s="64"/>
      <c r="AK148" s="56"/>
      <c r="AL148" s="56"/>
      <c r="AM148" s="56"/>
      <c r="AN148" s="56"/>
      <c r="AO148" s="56"/>
      <c r="AP148" s="56"/>
      <c r="AQ148" s="59"/>
      <c r="AR148" s="60"/>
      <c r="AS148" s="54"/>
    </row>
    <row r="149" spans="1:45" ht="21.25" customHeight="1" x14ac:dyDescent="0.15">
      <c r="A149" s="45">
        <f>RANK(K149,K$1:K$665)</f>
        <v>148</v>
      </c>
      <c r="B149" s="9" t="s">
        <v>274</v>
      </c>
      <c r="C149" s="46" t="s">
        <v>127</v>
      </c>
      <c r="D149" s="47" t="str">
        <f>VLOOKUP(B149,'Player Data'!A1:D667,4,FALSE)</f>
        <v>G</v>
      </c>
      <c r="E149" s="73">
        <f>VLOOKUP(B149,G!A1:D65,3,FALSE)</f>
        <v>15</v>
      </c>
      <c r="F149" s="65" t="str">
        <f>VLOOKUP(B149,'Player Data'!A1:B667,2,FALSE)</f>
        <v>PIT</v>
      </c>
      <c r="G149" s="10">
        <f>VLOOKUP(B149,'Player Data'!A1:D667,3,FALSE)</f>
        <v>29</v>
      </c>
      <c r="H149" s="50">
        <f>IFERROR(VLOOKUP(B149,ADP!A1:G665,7,FALSE)/1000000,VLOOKUP(B149,ADP!A1:G665,7,FALSE))</f>
        <v>5.375</v>
      </c>
      <c r="I149" s="51">
        <f>IF(Settings!$E$15="POINTS",(AJ149*Settings!$B$29)+(AK149*Settings!$B$21)+(AL149*Settings!$B$22)+(AN149*Settings!$B$24)+(AO149*Settings!$B$25)+(AP149*Settings!$B$27)+(AM149*Settings!$B$23),VLOOKUP(B149,'Standard Deviations'!A1:C666,3,FALSE))</f>
        <v>341.3711975496073</v>
      </c>
      <c r="J149" s="52">
        <f>IF(D149="G",I149/AJ149,I149/Q149)</f>
        <v>7.1118999489501524</v>
      </c>
      <c r="K149" s="51">
        <f>VLOOKUP(B149,G!A1:F65,6,FALSE)</f>
        <v>-69.288545219812875</v>
      </c>
      <c r="L149" s="53">
        <f>IFERROR(K149/H149,"N/A")</f>
        <v>-12.890892133918674</v>
      </c>
      <c r="M149" s="54">
        <f>IF(Settings!$E$9="YAHOO",VLOOKUP(B149,ADP!A1:E665,2,FALSE),IF(Settings!$E$9="ESPN",VLOOKUP(B149,ADP!A1:E665,3,FALSE),IF(Settings!$E$9="FANTRAX",VLOOKUP(B149,ADP!A1:E665,4,FALSE),VLOOKUP(B149,ADP!A1:E665,5,FALSE))))</f>
        <v>137.9</v>
      </c>
      <c r="N149" s="54">
        <f>IFERROR(M149-A149,"N/A")</f>
        <v>-10.099999999999994</v>
      </c>
      <c r="O149" s="54"/>
      <c r="P149" s="55" t="str">
        <f>IF(Settings!$E$27="ON",VLOOKUP(B149,ADP!A1:H665,8,FALSE)," ")</f>
        <v xml:space="preserve"> </v>
      </c>
      <c r="Q149" s="56"/>
      <c r="R149" s="54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8"/>
      <c r="AI149" s="54"/>
      <c r="AJ149" s="64">
        <f>VLOOKUP(B149,'Player Data'!$A1:$AE667,24,FALSE)</f>
        <v>48</v>
      </c>
      <c r="AK149" s="56">
        <f>VLOOKUP(B149,'Player Data'!$A1:$AE667,25,FALSE)*$AJ149*IFERROR((VLOOKUP(P149,Settings!$E$28:$F$33,2,FALSE)+1),1)</f>
        <v>25.250011494755277</v>
      </c>
      <c r="AL149" s="56">
        <f>AJ149-AK149-AM149</f>
        <v>16.749988505244723</v>
      </c>
      <c r="AM149" s="56">
        <f>VLOOKUP(B149,'Player Data'!$A1:$AE667,27,FALSE)*$AJ149</f>
        <v>6</v>
      </c>
      <c r="AN149" s="56">
        <f>VLOOKUP(B149,'Player Data'!$A1:$AE667,28,FALSE)*AJ149</f>
        <v>2.5945426543511667</v>
      </c>
      <c r="AO149" s="56">
        <f>VLOOKUP(B149,'Player Data'!$A1:$AE667,29,FALSE)*$AJ149*IFERROR((VLOOKUP(P149,Settings!$E$28:$F$33,2,FALSE)/4)+1,1)</f>
        <v>1353.5533047201407</v>
      </c>
      <c r="AP149" s="56">
        <f>VLOOKUP(B149,'Player Data'!$A1:$AE667,31,FALSE)*$AJ149*(IFERROR(1-(VLOOKUP(P149,Settings!$E$28:$F$33,2,FALSE)/4),1))</f>
        <v>137.91667731635999</v>
      </c>
      <c r="AQ149" s="59">
        <f>1-(AP149/(AO149+AP149))</f>
        <v>0.90752969957327323</v>
      </c>
      <c r="AR149" s="60">
        <f>AP149/AJ149</f>
        <v>2.8732641107574999</v>
      </c>
      <c r="AS149" s="64"/>
    </row>
    <row r="150" spans="1:45" ht="21.25" customHeight="1" x14ac:dyDescent="0.15">
      <c r="A150" s="45">
        <f>RANK(K150,K$1:K$665)</f>
        <v>149</v>
      </c>
      <c r="B150" s="9" t="s">
        <v>275</v>
      </c>
      <c r="C150" s="46" t="s">
        <v>127</v>
      </c>
      <c r="D150" s="47" t="str">
        <f>VLOOKUP(B150,'Player Data'!A1:D667,4,FALSE)</f>
        <v>C</v>
      </c>
      <c r="E150" s="48">
        <f>VLOOKUP(B150,'C'!A1:C206,3,FALSE)</f>
        <v>51</v>
      </c>
      <c r="F150" s="55" t="str">
        <f>VLOOKUP(B150,'Player Data'!A1:B667,2,FALSE)</f>
        <v>VGK</v>
      </c>
      <c r="G150" s="63">
        <f>VLOOKUP(B150,'Player Data'!A1:D667,3,FALSE)</f>
        <v>30</v>
      </c>
      <c r="H150" s="50">
        <f>IFERROR(VLOOKUP(B150,ADP!A1:G665,7,FALSE)/1000000,VLOOKUP(B150,ADP!A1:G665,7,FALSE))</f>
        <v>6.75</v>
      </c>
      <c r="I150" s="51">
        <f>IF(Settings!$E$15="POINTS",((R150*Q150)*Settings!$B$12)+(S150*Settings!$B$2)+(T150*Settings!$B$3)+(U150*Settings!$B$4)+(V150*Settings!$B$5)+(X150*Settings!$B$9)+(AA150*Settings!$B$6)+(W150*Settings!$B$8)+(AB150*Settings!$B$7)+(AC150*Settings!$B$14)+(AD150*Settings!$B$15)+(AE150*Settings!$B$16)+(AF150*Settings!$B$17)+(AG150*Settings!$B$18)+(Y150*Settings!$B$10)+(Z150*Settings!$B$11),VLOOKUP(B150,'Standard Deviations'!A1:C666,3,FALSE))</f>
        <v>319.91599006589149</v>
      </c>
      <c r="J150" s="52">
        <f>IF(D150="G",I150/AJ150,I150/Q150)</f>
        <v>4.1738607269107471</v>
      </c>
      <c r="K150" s="51">
        <f>IF(Settings!$E$18="C/LW/RW",VLOOKUP(B150,'C'!A1:F206,6,FALSE),VLOOKUP(B150,F!A1:F392,6,FALSE))</f>
        <v>-70.021167712189595</v>
      </c>
      <c r="L150" s="53">
        <f>IFERROR(K150/H150,"N/A")</f>
        <v>-10.373506327731791</v>
      </c>
      <c r="M150" s="54">
        <f>IF(Settings!$E$9="YAHOO",VLOOKUP(B150,ADP!A1:E665,2,FALSE),IF(Settings!$E$9="ESPN",VLOOKUP(B150,ADP!A1:E665,3,FALSE),IF(Settings!$E$9="FANTRAX",VLOOKUP(B150,ADP!A1:E665,4,FALSE),VLOOKUP(B150,ADP!A1:E665,5,FALSE))))</f>
        <v>134</v>
      </c>
      <c r="N150" s="54">
        <f>IFERROR(M150-A150,"N/A")</f>
        <v>-15</v>
      </c>
      <c r="O150" s="54"/>
      <c r="P150" s="55" t="str">
        <f>IF(Settings!$E$27="ON",VLOOKUP(B150,ADP!A1:H665,8,FALSE)," ")</f>
        <v xml:space="preserve"> </v>
      </c>
      <c r="Q150" s="56">
        <f>IF(Settings!$E$12="YES",VLOOKUP(B150,'Player Data'!A1:E667,5,FALSE),82)</f>
        <v>76.647499999999994</v>
      </c>
      <c r="R150" s="54">
        <f>VLOOKUP(B150,'Player Data'!$A1:$AE667,6,FALSE)</f>
        <v>19.6578705778367</v>
      </c>
      <c r="S150" s="56">
        <f>VLOOKUP(B150,'Player Data'!$A1:$AE667,7,FALSE)*$Q150*IFERROR((VLOOKUP(P150,Settings!$E$28:$F$33,2,FALSE)+1),1)</f>
        <v>24.200579948036406</v>
      </c>
      <c r="T150" s="56">
        <f>VLOOKUP(B150,'Player Data'!$A1:$AE667,8,FALSE)*$Q150*IFERROR((VLOOKUP(P150,Settings!$E$28:$F$33,2,FALSE)+1),1)</f>
        <v>35.024318897865875</v>
      </c>
      <c r="U150" s="56">
        <f>SUM(S150:T150)</f>
        <v>59.224898845902281</v>
      </c>
      <c r="V150" s="56">
        <f>VLOOKUP(B150,'Player Data'!$A1:$AE667,10,FALSE)*$Q150*IFERROR(((VLOOKUP(P150,Settings!$E$28:$F$33,2,FALSE)/2)+1),1)</f>
        <v>180.68052141894151</v>
      </c>
      <c r="W150" s="56">
        <f>VLOOKUP(B150,'Player Data'!$A1:$AE667,11,FALSE)*$Q150*IFERROR((VLOOKUP(P150,Settings!$E$28:$F$33,2,FALSE)+1),1)</f>
        <v>8.540651875226132</v>
      </c>
      <c r="X150" s="57">
        <f>VLOOKUP(B150,'Player Data'!$A1:$AE667,12,FALSE)*$Q150*IFERROR((VLOOKUP(P150,Settings!$E$28:$F$33,2,FALSE)+1),1)</f>
        <v>22.037201026226441</v>
      </c>
      <c r="Y150" s="56">
        <f>VLOOKUP(B150,'Player Data'!$A1:$AE667,13,FALSE)*$Q150</f>
        <v>0.72765885483753023</v>
      </c>
      <c r="Z150" s="56">
        <f>VLOOKUP(B150,'Player Data'!$A1:$AE667,14,FALSE)*$Q150</f>
        <v>1.0434681413232429</v>
      </c>
      <c r="AA150" s="56">
        <f>VLOOKUP(B150,'Player Data'!$A1:$AE667,15,FALSE)*$Q150</f>
        <v>57.640727302328536</v>
      </c>
      <c r="AB150" s="56">
        <f>VLOOKUP(B150,'Player Data'!$A1:$AE667,16,FALSE)*$Q150</f>
        <v>81.561450824869709</v>
      </c>
      <c r="AC150" s="56">
        <f>VLOOKUP(B150,'Player Data'!$A1:$AE667,17,FALSE)*$Q150*IFERROR((VLOOKUP(P150,Settings!$E$28:$F$33,2,FALSE)+1),1)</f>
        <v>0.17268553227469546</v>
      </c>
      <c r="AD150" s="56">
        <f>VLOOKUP(B150,'Player Data'!$A1:$AE667,18,FALSE)*$Q150</f>
        <v>30.53763321031305</v>
      </c>
      <c r="AE150" s="56">
        <f>VLOOKUP(B150,'Player Data'!$A1:$AE667,19,FALSE)*$Q150*IFERROR((VLOOKUP(P150,Settings!$E$28:$F$33,2,FALSE)+1),1)</f>
        <v>3.6809394036759584</v>
      </c>
      <c r="AF150" s="56">
        <f>VLOOKUP(B150,'Player Data'!$A1:$AE667,20,FALSE)*$Q150</f>
        <v>746.76798685473477</v>
      </c>
      <c r="AG150" s="56">
        <f>VLOOKUP(B150,'Player Data'!$A1:$AE667,21,FALSE)*$Q150</f>
        <v>610.24360140857186</v>
      </c>
      <c r="AH150" s="58">
        <f>VLOOKUP(B150,'Player Data'!$A1:$AE667,22,FALSE)</f>
        <v>0.55030332335661403</v>
      </c>
      <c r="AI150" s="54"/>
      <c r="AJ150" s="64"/>
      <c r="AK150" s="56"/>
      <c r="AL150" s="56"/>
      <c r="AM150" s="56"/>
      <c r="AN150" s="56"/>
      <c r="AO150" s="56"/>
      <c r="AP150" s="56"/>
      <c r="AQ150" s="59"/>
      <c r="AR150" s="60"/>
      <c r="AS150" s="54"/>
    </row>
    <row r="151" spans="1:45" ht="21.25" customHeight="1" x14ac:dyDescent="0.15">
      <c r="A151" s="45">
        <f>RANK(K151,K$1:K$665)</f>
        <v>150</v>
      </c>
      <c r="B151" s="9" t="s">
        <v>276</v>
      </c>
      <c r="C151" s="46" t="s">
        <v>127</v>
      </c>
      <c r="D151" s="47" t="str">
        <f>VLOOKUP(B151,'Player Data'!A1:D667,4,FALSE)</f>
        <v>G</v>
      </c>
      <c r="E151" s="73">
        <f>VLOOKUP(B151,G!A1:D65,3,FALSE)</f>
        <v>16</v>
      </c>
      <c r="F151" s="55" t="str">
        <f>VLOOKUP(B151,'Player Data'!A1:B667,2,FALSE)</f>
        <v>VGK</v>
      </c>
      <c r="G151" s="10">
        <f>VLOOKUP(B151,'Player Data'!A1:D667,3,FALSE)</f>
        <v>28</v>
      </c>
      <c r="H151" s="67">
        <f>IFERROR(VLOOKUP(B151,ADP!A1:G665,7,FALSE)/1000000,VLOOKUP(B151,ADP!A1:G665,7,FALSE))</f>
        <v>4.9000000000000004</v>
      </c>
      <c r="I151" s="51">
        <f>IF(Settings!$E$15="POINTS",(AJ151*Settings!$B$29)+(AK151*Settings!$B$21)+(AL151*Settings!$B$22)+(AN151*Settings!$B$24)+(AO151*Settings!$B$25)+(AP151*Settings!$B$27)+(AM151*Settings!$B$23),VLOOKUP(B151,'Standard Deviations'!A1:C666,3,FALSE))</f>
        <v>339.87774425593398</v>
      </c>
      <c r="J151" s="52">
        <f>IF(D151="G",I151/AJ151,I151/Q151)</f>
        <v>7.0807863386652912</v>
      </c>
      <c r="K151" s="51">
        <f>VLOOKUP(B151,G!A1:F65,6,FALSE)</f>
        <v>-70.781998513486201</v>
      </c>
      <c r="L151" s="53">
        <f>IFERROR(K151/H151,"N/A")</f>
        <v>-14.445305819078815</v>
      </c>
      <c r="M151" s="54">
        <f>IF(Settings!$E$9="YAHOO",VLOOKUP(B151,ADP!A1:E665,2,FALSE),IF(Settings!$E$9="ESPN",VLOOKUP(B151,ADP!A1:E665,3,FALSE),IF(Settings!$E$9="FANTRAX",VLOOKUP(B151,ADP!A1:E665,4,FALSE),VLOOKUP(B151,ADP!A1:E665,5,FALSE))))</f>
        <v>78.8</v>
      </c>
      <c r="N151" s="54">
        <f>IFERROR(M151-A151,"N/A")</f>
        <v>-71.2</v>
      </c>
      <c r="O151" s="54"/>
      <c r="P151" s="55" t="str">
        <f>IF(Settings!$E$27="ON",VLOOKUP(B151,ADP!A1:H665,8,FALSE)," ")</f>
        <v xml:space="preserve"> </v>
      </c>
      <c r="Q151" s="56"/>
      <c r="R151" s="54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8"/>
      <c r="AI151" s="54"/>
      <c r="AJ151" s="64">
        <f>VLOOKUP(B151,'Player Data'!$A1:$AE667,24,FALSE)</f>
        <v>48</v>
      </c>
      <c r="AK151" s="56">
        <f>VLOOKUP(B151,'Player Data'!$A1:$AE667,25,FALSE)*$AJ151*IFERROR((VLOOKUP(P151,Settings!$E$28:$F$33,2,FALSE)+1),1)</f>
        <v>26.746951150319326</v>
      </c>
      <c r="AL151" s="56">
        <f>AJ151-AK151-AM151</f>
        <v>15.253048849680674</v>
      </c>
      <c r="AM151" s="56">
        <f>VLOOKUP(B151,'Player Data'!$A1:$AE667,27,FALSE)*$AJ151</f>
        <v>6</v>
      </c>
      <c r="AN151" s="56">
        <f>VLOOKUP(B151,'Player Data'!$A1:$AE667,28,FALSE)*AJ151</f>
        <v>3.2016190280559313</v>
      </c>
      <c r="AO151" s="56">
        <f>VLOOKUP(B151,'Player Data'!$A1:$AE667,29,FALSE)*$AJ151*IFERROR((VLOOKUP(P151,Settings!$E$28:$F$33,2,FALSE)/4)+1,1)</f>
        <v>1282.8011747148673</v>
      </c>
      <c r="AP151" s="56">
        <f>VLOOKUP(B151,'Player Data'!$A1:$AE667,31,FALSE)*$AJ151*(IFERROR(1-(VLOOKUP(P151,Settings!$E$28:$F$33,2,FALSE)/4),1))</f>
        <v>128.3217718601712</v>
      </c>
      <c r="AQ151" s="59">
        <f>1-(AP151/(AO151+AP151))</f>
        <v>0.90906407399041789</v>
      </c>
      <c r="AR151" s="60">
        <f>AP151/AJ151</f>
        <v>2.6733702470869001</v>
      </c>
      <c r="AS151" s="54"/>
    </row>
    <row r="152" spans="1:45" ht="21.25" customHeight="1" x14ac:dyDescent="0.15">
      <c r="A152" s="45">
        <f>RANK(K152,K$1:K$665)</f>
        <v>151</v>
      </c>
      <c r="B152" s="9" t="s">
        <v>277</v>
      </c>
      <c r="C152" s="46" t="s">
        <v>127</v>
      </c>
      <c r="D152" s="47" t="str">
        <f>VLOOKUP(B152,'Player Data'!A1:D667,4,FALSE)</f>
        <v>C</v>
      </c>
      <c r="E152" s="48">
        <f>VLOOKUP(B152,'C'!A1:C206,3,FALSE)</f>
        <v>52</v>
      </c>
      <c r="F152" s="65" t="str">
        <f>VLOOKUP(B152,'Player Data'!A1:B667,2,FALSE)</f>
        <v>NSH</v>
      </c>
      <c r="G152" s="63">
        <f>VLOOKUP(B152,'Player Data'!A1:D667,3,FALSE)</f>
        <v>33</v>
      </c>
      <c r="H152" s="50">
        <f>IFERROR(VLOOKUP(B152,ADP!A1:G665,7,FALSE)/1000000,VLOOKUP(B152,ADP!A1:G665,7,FALSE))</f>
        <v>4.5</v>
      </c>
      <c r="I152" s="51">
        <f>IF(Settings!$E$15="POINTS",((R152*Q152)*Settings!$B$12)+(S152*Settings!$B$2)+(T152*Settings!$B$3)+(U152*Settings!$B$4)+(V152*Settings!$B$5)+(X152*Settings!$B$9)+(AA152*Settings!$B$6)+(W152*Settings!$B$8)+(AB152*Settings!$B$7)+(AC152*Settings!$B$14)+(AD152*Settings!$B$15)+(AE152*Settings!$B$16)+(AF152*Settings!$B$17)+(AG152*Settings!$B$18)+(Y152*Settings!$B$10)+(Z152*Settings!$B$11),VLOOKUP(B152,'Standard Deviations'!A1:C666,3,FALSE))</f>
        <v>318.95498324987705</v>
      </c>
      <c r="J152" s="52">
        <f>IF(D152="G",I152/AJ152,I152/Q152)</f>
        <v>4.1079947612438685</v>
      </c>
      <c r="K152" s="51">
        <f>IF(Settings!$E$18="C/LW/RW",VLOOKUP(B152,'C'!A1:F206,6,FALSE),VLOOKUP(B152,F!A1:F392,6,FALSE))</f>
        <v>-70.982174528204041</v>
      </c>
      <c r="L152" s="53">
        <f>IFERROR(K152/H152,"N/A")</f>
        <v>-15.77381656182312</v>
      </c>
      <c r="M152" s="54">
        <f>IF(Settings!$E$9="YAHOO",VLOOKUP(B152,ADP!A1:E665,2,FALSE),IF(Settings!$E$9="ESPN",VLOOKUP(B152,ADP!A1:E665,3,FALSE),IF(Settings!$E$9="FANTRAX",VLOOKUP(B152,ADP!A1:E665,4,FALSE),VLOOKUP(B152,ADP!A1:E665,5,FALSE))))</f>
        <v>172.2</v>
      </c>
      <c r="N152" s="54">
        <f>IFERROR(M152-A152,"N/A")</f>
        <v>21.199999999999989</v>
      </c>
      <c r="O152" s="54"/>
      <c r="P152" s="55" t="str">
        <f>IF(Settings!$E$27="ON",VLOOKUP(B152,ADP!A1:H665,8,FALSE)," ")</f>
        <v>+</v>
      </c>
      <c r="Q152" s="56">
        <f>IF(Settings!$E$12="YES",VLOOKUP(B152,'Player Data'!A1:E667,5,FALSE),82)</f>
        <v>77.642499999999998</v>
      </c>
      <c r="R152" s="54">
        <f>VLOOKUP(B152,'Player Data'!$A1:$AE667,6,FALSE)</f>
        <v>19.787777849658799</v>
      </c>
      <c r="S152" s="56">
        <f>VLOOKUP(B152,'Player Data'!$A1:$AE667,7,FALSE)*$Q152*IFERROR((VLOOKUP(P152,Settings!$E$28:$F$33,2,FALSE)+1),1)</f>
        <v>24.621761383968071</v>
      </c>
      <c r="T152" s="56">
        <f>VLOOKUP(B152,'Player Data'!$A1:$AE667,8,FALSE)*$Q152*IFERROR((VLOOKUP(P152,Settings!$E$28:$F$33,2,FALSE)+1),1)</f>
        <v>36.419529674132036</v>
      </c>
      <c r="U152" s="56">
        <f>SUM(S152:T152)</f>
        <v>61.041291058100107</v>
      </c>
      <c r="V152" s="56">
        <f>VLOOKUP(B152,'Player Data'!$A1:$AE667,10,FALSE)*$Q152*IFERROR(((VLOOKUP(P152,Settings!$E$28:$F$33,2,FALSE)/2)+1),1)</f>
        <v>176.52887721878582</v>
      </c>
      <c r="W152" s="56">
        <f>VLOOKUP(B152,'Player Data'!$A1:$AE667,11,FALSE)*$Q152*IFERROR((VLOOKUP(P152,Settings!$E$28:$F$33,2,FALSE)+1),1)</f>
        <v>10.369749794299121</v>
      </c>
      <c r="X152" s="57">
        <f>VLOOKUP(B152,'Player Data'!$A1:$AE667,12,FALSE)*$Q152*IFERROR((VLOOKUP(P152,Settings!$E$28:$F$33,2,FALSE)+1),1)</f>
        <v>22.644335724882275</v>
      </c>
      <c r="Y152" s="56">
        <f>VLOOKUP(B152,'Player Data'!$A1:$AE667,13,FALSE)*$Q152</f>
        <v>0.40624314737460049</v>
      </c>
      <c r="Z152" s="56">
        <f>VLOOKUP(B152,'Player Data'!$A1:$AE667,14,FALSE)*$Q152</f>
        <v>0.69911797875459658</v>
      </c>
      <c r="AA152" s="56">
        <f>VLOOKUP(B152,'Player Data'!$A1:$AE667,15,FALSE)*$Q152</f>
        <v>48.446435525093847</v>
      </c>
      <c r="AB152" s="56">
        <f>VLOOKUP(B152,'Player Data'!$A1:$AE667,16,FALSE)*$Q152</f>
        <v>31.98276004948239</v>
      </c>
      <c r="AC152" s="56">
        <f>VLOOKUP(B152,'Player Data'!$A1:$AE667,17,FALSE)*$Q152*IFERROR((VLOOKUP(P152,Settings!$E$28:$F$33,2,FALSE)+1),1)</f>
        <v>2.4983870016681293</v>
      </c>
      <c r="AD152" s="56">
        <f>VLOOKUP(B152,'Player Data'!$A1:$AE667,18,FALSE)*$Q152</f>
        <v>21.683194382798575</v>
      </c>
      <c r="AE152" s="56">
        <f>VLOOKUP(B152,'Player Data'!$A1:$AE667,19,FALSE)*$Q152*IFERROR((VLOOKUP(P152,Settings!$E$28:$F$33,2,FALSE)+1),1)</f>
        <v>3.4862646282977767</v>
      </c>
      <c r="AF152" s="56">
        <f>VLOOKUP(B152,'Player Data'!$A1:$AE667,20,FALSE)*$Q152</f>
        <v>816.2940286522562</v>
      </c>
      <c r="AG152" s="56">
        <f>VLOOKUP(B152,'Player Data'!$A1:$AE667,21,FALSE)*$Q152</f>
        <v>664.74018745311071</v>
      </c>
      <c r="AH152" s="58">
        <f>VLOOKUP(B152,'Player Data'!$A1:$AE667,22,FALSE)</f>
        <v>0.55116486828970201</v>
      </c>
      <c r="AI152" s="54"/>
      <c r="AJ152" s="56"/>
      <c r="AK152" s="56"/>
      <c r="AL152" s="56"/>
      <c r="AM152" s="56"/>
      <c r="AN152" s="56"/>
      <c r="AO152" s="56"/>
      <c r="AP152" s="56"/>
      <c r="AQ152" s="59"/>
      <c r="AR152" s="60"/>
      <c r="AS152" s="54"/>
    </row>
    <row r="153" spans="1:45" ht="21.25" customHeight="1" x14ac:dyDescent="0.15">
      <c r="A153" s="45">
        <f>RANK(K153,K$1:K$665)</f>
        <v>152</v>
      </c>
      <c r="B153" s="9" t="s">
        <v>278</v>
      </c>
      <c r="C153" s="46" t="s">
        <v>127</v>
      </c>
      <c r="D153" s="47" t="str">
        <f>VLOOKUP(B153,'Player Data'!A1:D667,4,FALSE)</f>
        <v>G</v>
      </c>
      <c r="E153" s="73">
        <f>VLOOKUP(B153,G!A1:D65,3,FALSE)</f>
        <v>17</v>
      </c>
      <c r="F153" s="71" t="str">
        <f>VLOOKUP(B153,'Player Data'!A1:B667,2,FALSE)</f>
        <v>UTA</v>
      </c>
      <c r="G153" s="69">
        <f>VLOOKUP(B153,'Player Data'!A1:D667,3,FALSE)</f>
        <v>27</v>
      </c>
      <c r="H153" s="50">
        <f>IFERROR(VLOOKUP(B153,ADP!A1:G665,7,FALSE)/1000000,VLOOKUP(B153,ADP!A1:G665,7,FALSE))</f>
        <v>1.95</v>
      </c>
      <c r="I153" s="51">
        <f>IF(Settings!$E$15="POINTS",(AJ153*Settings!$B$29)+(AK153*Settings!$B$21)+(AL153*Settings!$B$22)+(AN153*Settings!$B$24)+(AO153*Settings!$B$25)+(AP153*Settings!$B$27)+(AM153*Settings!$B$23),VLOOKUP(B153,'Standard Deviations'!A1:C666,3,FALSE))</f>
        <v>338.53106992564858</v>
      </c>
      <c r="J153" s="52">
        <f>IF(D153="G",I153/AJ153,I153/Q153)</f>
        <v>7.0527306234510121</v>
      </c>
      <c r="K153" s="51">
        <f>VLOOKUP(B153,G!A1:F65,6,FALSE)</f>
        <v>-72.128672843771596</v>
      </c>
      <c r="L153" s="53">
        <f>IFERROR(K153/H153,"N/A")</f>
        <v>-36.989062996805949</v>
      </c>
      <c r="M153" s="54">
        <f>IF(Settings!$E$9="YAHOO",VLOOKUP(B153,ADP!A1:E665,2,FALSE),IF(Settings!$E$9="ESPN",VLOOKUP(B153,ADP!A1:E665,3,FALSE),IF(Settings!$E$9="FANTRAX",VLOOKUP(B153,ADP!A1:E665,4,FALSE),VLOOKUP(B153,ADP!A1:E665,5,FALSE))))</f>
        <v>144.30000000000001</v>
      </c>
      <c r="N153" s="54">
        <f>IFERROR(M153-A153,"N/A")</f>
        <v>-7.6999999999999886</v>
      </c>
      <c r="O153" s="54"/>
      <c r="P153" s="55" t="str">
        <f>IF(Settings!$E$27="ON",VLOOKUP(B153,ADP!A1:H665,8,FALSE)," ")</f>
        <v xml:space="preserve"> </v>
      </c>
      <c r="Q153" s="56"/>
      <c r="R153" s="54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8"/>
      <c r="AI153" s="54"/>
      <c r="AJ153" s="64">
        <f>VLOOKUP(B153,'Player Data'!$A1:$AE667,24,FALSE)</f>
        <v>48</v>
      </c>
      <c r="AK153" s="56">
        <f>VLOOKUP(B153,'Player Data'!$A1:$AE667,25,FALSE)*$AJ153*IFERROR((VLOOKUP(P153,Settings!$E$28:$F$33,2,FALSE)+1),1)</f>
        <v>25.911502972451473</v>
      </c>
      <c r="AL153" s="56">
        <f>AJ153-AK153-AM153</f>
        <v>16.088497027548527</v>
      </c>
      <c r="AM153" s="56">
        <f>VLOOKUP(B153,'Player Data'!$A1:$AE667,27,FALSE)*$AJ153</f>
        <v>6</v>
      </c>
      <c r="AN153" s="56">
        <f>VLOOKUP(B153,'Player Data'!$A1:$AE667,28,FALSE)*AJ153</f>
        <v>2.6424047443628114</v>
      </c>
      <c r="AO153" s="56">
        <f>VLOOKUP(B153,'Player Data'!$A1:$AE667,29,FALSE)*$AJ153*IFERROR((VLOOKUP(P153,Settings!$E$28:$F$33,2,FALSE)/4)+1,1)</f>
        <v>1329.6473375827682</v>
      </c>
      <c r="AP153" s="56">
        <f>VLOOKUP(B153,'Player Data'!$A1:$AE667,31,FALSE)*$AJ153*(IFERROR(1-(VLOOKUP(P153,Settings!$E$28:$F$33,2,FALSE)/4),1))</f>
        <v>135.55650417581759</v>
      </c>
      <c r="AQ153" s="59">
        <f>1-(AP153/(AO153+AP153))</f>
        <v>0.90748283596286627</v>
      </c>
      <c r="AR153" s="60">
        <f>AP153/AJ153</f>
        <v>2.8240938369961999</v>
      </c>
      <c r="AS153" s="54"/>
    </row>
    <row r="154" spans="1:45" ht="21.25" customHeight="1" x14ac:dyDescent="0.15">
      <c r="A154" s="45">
        <f>RANK(K154,K$1:K$665)</f>
        <v>153</v>
      </c>
      <c r="B154" s="9" t="s">
        <v>279</v>
      </c>
      <c r="C154" s="46" t="s">
        <v>127</v>
      </c>
      <c r="D154" s="47" t="str">
        <f>VLOOKUP(B154,'Player Data'!A1:D667,4,FALSE)</f>
        <v>D</v>
      </c>
      <c r="E154" s="66">
        <f>VLOOKUP(B154,D!A1:C213,3,FALSE)</f>
        <v>39</v>
      </c>
      <c r="F154" s="77" t="str">
        <f>VLOOKUP(B154,'Player Data'!A1:B667,2,FALSE)</f>
        <v>STL</v>
      </c>
      <c r="G154" s="63">
        <f>VLOOKUP(B154,'Player Data'!A1:D667,3,FALSE)</f>
        <v>31</v>
      </c>
      <c r="H154" s="50">
        <f>IFERROR(VLOOKUP(B154,ADP!A1:G665,7,FALSE)/1000000,VLOOKUP(B154,ADP!A1:G665,7,FALSE))</f>
        <v>6.5</v>
      </c>
      <c r="I154" s="51">
        <f>IF(Settings!$E$15="POINTS",((R154*Q154)*Settings!$B$12)+(S154*Settings!$B$2)+(T154*Settings!$B$3)+(U154*Settings!$B$4)+(V154*Settings!$B$5)+(X154*Settings!$B$9)+(AA154*Settings!$B$6)+(W154*Settings!$B$8)+(AB154*Settings!$B$7)+(AC154*Settings!$B$14)+(AD154*Settings!$B$15)+(AE154*Settings!$B$16)+(AF154*Settings!$B$17)+(AG154*Settings!$B$18)+(U154*Settings!$B$13)+(Y154*Settings!$B$10)+(Z154*Settings!$B$11),VLOOKUP(B154,'Standard Deviations'!A1:C666,3,FALSE))</f>
        <v>263.80025672640585</v>
      </c>
      <c r="J154" s="52">
        <f>IF(D154="G",I154/AJ154,I154/Q154)</f>
        <v>3.2400928145227481</v>
      </c>
      <c r="K154" s="51">
        <f>VLOOKUP(B154,D!A1:F213,6,FALSE)</f>
        <v>-72.43386831918906</v>
      </c>
      <c r="L154" s="53">
        <f>IFERROR(K154/H154,"N/A")</f>
        <v>-11.143672049106009</v>
      </c>
      <c r="M154" s="83" t="str">
        <f>IF(Settings!$E$9="YAHOO",VLOOKUP(B154,ADP!A1:E665,2,FALSE),IF(Settings!$E$9="ESPN",VLOOKUP(B154,ADP!A1:E665,3,FALSE),IF(Settings!$E$9="FANTRAX",VLOOKUP(B154,ADP!A1:E665,4,FALSE),VLOOKUP(B154,ADP!A1:E665,5,FALSE))))</f>
        <v>—</v>
      </c>
      <c r="N154" s="83" t="str">
        <f>IFERROR(M154-A154,"N/A")</f>
        <v>N/A</v>
      </c>
      <c r="O154" s="54"/>
      <c r="P154" s="55" t="str">
        <f>IF(Settings!$E$27="ON",VLOOKUP(B154,ADP!A1:H665,8,FALSE)," ")</f>
        <v xml:space="preserve"> </v>
      </c>
      <c r="Q154" s="56">
        <f>IF(Settings!$E$12="YES",VLOOKUP(B154,'Player Data'!A1:E667,5,FALSE),82)</f>
        <v>81.417500000000004</v>
      </c>
      <c r="R154" s="54">
        <f>VLOOKUP(B154,'Player Data'!$A1:$AE667,6,FALSE)</f>
        <v>24.062437516717299</v>
      </c>
      <c r="S154" s="56">
        <f>VLOOKUP(B154,'Player Data'!$A1:$AE667,7,FALSE)*$Q154*IFERROR((VLOOKUP(P154,Settings!$E$28:$F$33,2,FALSE)+1),1)</f>
        <v>7.0246493180033944</v>
      </c>
      <c r="T154" s="56">
        <f>VLOOKUP(B154,'Player Data'!$A1:$AE667,8,FALSE)*$Q154*IFERROR((VLOOKUP(P154,Settings!$E$28:$F$33,2,FALSE)+1),1)</f>
        <v>23.174425590539879</v>
      </c>
      <c r="U154" s="56">
        <f>SUM(S154:T154)</f>
        <v>30.199074908543274</v>
      </c>
      <c r="V154" s="56">
        <f>VLOOKUP(B154,'Player Data'!$A1:$AE667,10,FALSE)*$Q154*IFERROR(((VLOOKUP(P154,Settings!$E$28:$F$33,2,FALSE)/2)+1),1)</f>
        <v>148.03200076420228</v>
      </c>
      <c r="W154" s="56">
        <f>VLOOKUP(B154,'Player Data'!$A1:$AE667,11,FALSE)*$Q154*IFERROR((VLOOKUP(P154,Settings!$E$28:$F$33,2,FALSE)+1),1)</f>
        <v>0.1130819445970544</v>
      </c>
      <c r="X154" s="56">
        <f>VLOOKUP(B154,'Player Data'!$A1:$AE667,12,FALSE)*$Q154*IFERROR((VLOOKUP(P154,Settings!$E$28:$F$33,2,FALSE)+1),1)</f>
        <v>1.735034470471009</v>
      </c>
      <c r="Y154" s="56">
        <f>VLOOKUP(B154,'Player Data'!$A1:$AE667,13,FALSE)*$Q154</f>
        <v>0.51678907864077595</v>
      </c>
      <c r="Z154" s="56">
        <f>VLOOKUP(B154,'Player Data'!$A1:$AE667,14,FALSE)*$Q154</f>
        <v>1.4207111543864217</v>
      </c>
      <c r="AA154" s="56">
        <f>VLOOKUP(B154,'Player Data'!$A1:$AE667,15,FALSE)*$Q154</f>
        <v>192.0625719876349</v>
      </c>
      <c r="AB154" s="56">
        <f>VLOOKUP(B154,'Player Data'!$A1:$AE667,16,FALSE)*$Q154</f>
        <v>111.14771104866095</v>
      </c>
      <c r="AC154" s="56">
        <f>VLOOKUP(B154,'Player Data'!$A1:$AE667,17,FALSE)*$Q154*IFERROR((VLOOKUP(P154,Settings!$E$28:$F$33,2,FALSE)+1),1)</f>
        <v>-6.2359140193447224</v>
      </c>
      <c r="AD154" s="56">
        <f>VLOOKUP(B154,'Player Data'!$A1:$AE667,18,FALSE)*$Q154</f>
        <v>28.757600374522966</v>
      </c>
      <c r="AE154" s="56">
        <f>VLOOKUP(B154,'Player Data'!$A1:$AE667,19,FALSE)*$Q154*IFERROR((VLOOKUP(P154,Settings!$E$28:$F$33,2,FALSE)+1),1)</f>
        <v>0.84572628570288166</v>
      </c>
      <c r="AF154" s="56">
        <f>VLOOKUP(B154,'Player Data'!$A1:$AE667,20,FALSE)*$Q154</f>
        <v>0</v>
      </c>
      <c r="AG154" s="56">
        <f>VLOOKUP(B154,'Player Data'!$A1:$AE667,21,FALSE)*$Q154</f>
        <v>0</v>
      </c>
      <c r="AH154" s="58">
        <f>VLOOKUP(B154,'Player Data'!$A1:$AE667,22,FALSE)</f>
        <v>0</v>
      </c>
      <c r="AI154" s="54"/>
      <c r="AJ154" s="56"/>
      <c r="AK154" s="56"/>
      <c r="AL154" s="56"/>
      <c r="AM154" s="56"/>
      <c r="AN154" s="56"/>
      <c r="AO154" s="56"/>
      <c r="AP154" s="56"/>
      <c r="AQ154" s="59"/>
      <c r="AR154" s="60"/>
      <c r="AS154" s="54"/>
    </row>
    <row r="155" spans="1:45" ht="21.25" customHeight="1" x14ac:dyDescent="0.15">
      <c r="A155" s="45">
        <f>RANK(K155,K$1:K$665)</f>
        <v>154</v>
      </c>
      <c r="B155" s="9" t="s">
        <v>280</v>
      </c>
      <c r="C155" s="46" t="s">
        <v>127</v>
      </c>
      <c r="D155" s="47" t="str">
        <f>VLOOKUP(B155,'Player Data'!A1:D667,4,FALSE)</f>
        <v>D</v>
      </c>
      <c r="E155" s="66">
        <f>VLOOKUP(B155,D!A1:C213,3,FALSE)</f>
        <v>40</v>
      </c>
      <c r="F155" s="65" t="str">
        <f>VLOOKUP(B155,'Player Data'!A1:B667,2,FALSE)</f>
        <v>FLA</v>
      </c>
      <c r="G155" s="10">
        <f>VLOOKUP(B155,'Player Data'!A1:D667,3,FALSE)</f>
        <v>28</v>
      </c>
      <c r="H155" s="67">
        <f>IFERROR(VLOOKUP(B155,ADP!A1:G665,7,FALSE)/1000000,VLOOKUP(B155,ADP!A1:G665,7,FALSE))</f>
        <v>7.5</v>
      </c>
      <c r="I155" s="51">
        <f>IF(Settings!$E$15="POINTS",((R155*Q155)*Settings!$B$12)+(S155*Settings!$B$2)+(T155*Settings!$B$3)+(U155*Settings!$B$4)+(V155*Settings!$B$5)+(X155*Settings!$B$9)+(AA155*Settings!$B$6)+(W155*Settings!$B$8)+(AB155*Settings!$B$7)+(AC155*Settings!$B$14)+(AD155*Settings!$B$15)+(AE155*Settings!$B$16)+(AF155*Settings!$B$17)+(AG155*Settings!$B$18)+(U155*Settings!$B$13)+(Y155*Settings!$B$10)+(Z155*Settings!$B$11),VLOOKUP(B155,'Standard Deviations'!A1:C666,3,FALSE))</f>
        <v>262.19261158243995</v>
      </c>
      <c r="J155" s="52">
        <f>IF(D155="G",I155/AJ155,I155/Q155)</f>
        <v>3.5958665786524024</v>
      </c>
      <c r="K155" s="51">
        <f>VLOOKUP(B155,D!A1:F213,6,FALSE)</f>
        <v>-74.041513463154956</v>
      </c>
      <c r="L155" s="53">
        <f>IFERROR(K155/H155,"N/A")</f>
        <v>-9.872201795087328</v>
      </c>
      <c r="M155" s="54">
        <f>IF(Settings!$E$9="YAHOO",VLOOKUP(B155,ADP!A1:E665,2,FALSE),IF(Settings!$E$9="ESPN",VLOOKUP(B155,ADP!A1:E665,3,FALSE),IF(Settings!$E$9="FANTRAX",VLOOKUP(B155,ADP!A1:E665,4,FALSE),VLOOKUP(B155,ADP!A1:E665,5,FALSE))))</f>
        <v>121.7</v>
      </c>
      <c r="N155" s="54">
        <f>IFERROR(M155-A155,"N/A")</f>
        <v>-32.299999999999997</v>
      </c>
      <c r="O155" s="54"/>
      <c r="P155" s="55" t="str">
        <f>IF(Settings!$E$27="ON",VLOOKUP(B155,ADP!A1:H665,8,FALSE)," ")</f>
        <v xml:space="preserve"> </v>
      </c>
      <c r="Q155" s="56">
        <f>IF(Settings!$E$12="YES",VLOOKUP(B155,'Player Data'!A1:E667,5,FALSE),82)</f>
        <v>72.915000000000006</v>
      </c>
      <c r="R155" s="75">
        <f>VLOOKUP(B155,'Player Data'!$A1:$AE667,6,FALSE)</f>
        <v>23.399770734461001</v>
      </c>
      <c r="S155" s="56">
        <f>VLOOKUP(B155,'Player Data'!$A1:$AE667,7,FALSE)*$Q155*IFERROR((VLOOKUP(P155,Settings!$E$28:$F$33,2,FALSE)+1),1)</f>
        <v>10.587801645226104</v>
      </c>
      <c r="T155" s="56">
        <f>VLOOKUP(B155,'Player Data'!$A1:$AE667,8,FALSE)*$Q155*IFERROR((VLOOKUP(P155,Settings!$E$28:$F$33,2,FALSE)+1),1)</f>
        <v>27.597398457415768</v>
      </c>
      <c r="U155" s="56">
        <f>SUM(S155:T155)</f>
        <v>38.185200102641872</v>
      </c>
      <c r="V155" s="56">
        <f>VLOOKUP(B155,'Player Data'!$A1:$AE667,10,FALSE)*$Q155*IFERROR(((VLOOKUP(P155,Settings!$E$28:$F$33,2,FALSE)/2)+1),1)</f>
        <v>175.50386635430462</v>
      </c>
      <c r="W155" s="56">
        <f>VLOOKUP(B155,'Player Data'!$A1:$AE667,11,FALSE)*$Q155*IFERROR((VLOOKUP(P155,Settings!$E$28:$F$33,2,FALSE)+1),1)</f>
        <v>2.7085589823211866</v>
      </c>
      <c r="X155" s="56">
        <f>VLOOKUP(B155,'Player Data'!$A1:$AE667,12,FALSE)*$Q155*IFERROR((VLOOKUP(P155,Settings!$E$28:$F$33,2,FALSE)+1),1)</f>
        <v>9.6044263036002206</v>
      </c>
      <c r="Y155" s="56">
        <f>VLOOKUP(B155,'Player Data'!$A1:$AE667,13,FALSE)*$Q155</f>
        <v>0.29325077802365263</v>
      </c>
      <c r="Z155" s="56">
        <f>VLOOKUP(B155,'Player Data'!$A1:$AE667,14,FALSE)*$Q155</f>
        <v>0.87731141851730232</v>
      </c>
      <c r="AA155" s="56">
        <f>VLOOKUP(B155,'Player Data'!$A1:$AE667,15,FALSE)*$Q155</f>
        <v>98.806680750489079</v>
      </c>
      <c r="AB155" s="56">
        <f>VLOOKUP(B155,'Player Data'!$A1:$AE667,16,FALSE)*$Q155</f>
        <v>104.32498389350874</v>
      </c>
      <c r="AC155" s="56">
        <f>VLOOKUP(B155,'Player Data'!$A1:$AE667,17,FALSE)*$Q155*IFERROR((VLOOKUP(P155,Settings!$E$28:$F$33,2,FALSE)+1),1)</f>
        <v>5.8554250178351639</v>
      </c>
      <c r="AD155" s="56">
        <f>VLOOKUP(B155,'Player Data'!$A1:$AE667,18,FALSE)*$Q155</f>
        <v>48.347911418742832</v>
      </c>
      <c r="AE155" s="56">
        <f>VLOOKUP(B155,'Player Data'!$A1:$AE667,19,FALSE)*$Q155*IFERROR((VLOOKUP(P155,Settings!$E$28:$F$33,2,FALSE)+1),1)</f>
        <v>1.8037562109908867</v>
      </c>
      <c r="AF155" s="56">
        <f>VLOOKUP(B155,'Player Data'!$A1:$AE667,20,FALSE)*$Q155</f>
        <v>0</v>
      </c>
      <c r="AG155" s="56">
        <f>VLOOKUP(B155,'Player Data'!$A1:$AE667,21,FALSE)*$Q155</f>
        <v>0</v>
      </c>
      <c r="AH155" s="58">
        <f>VLOOKUP(B155,'Player Data'!$A1:$AE667,22,FALSE)</f>
        <v>0</v>
      </c>
      <c r="AI155" s="54"/>
      <c r="AJ155" s="56"/>
      <c r="AK155" s="56"/>
      <c r="AL155" s="56"/>
      <c r="AM155" s="56"/>
      <c r="AN155" s="56"/>
      <c r="AO155" s="56"/>
      <c r="AP155" s="56"/>
      <c r="AQ155" s="59"/>
      <c r="AR155" s="60"/>
      <c r="AS155" s="54"/>
    </row>
    <row r="156" spans="1:45" ht="21.25" customHeight="1" x14ac:dyDescent="0.15">
      <c r="A156" s="45">
        <f>RANK(K156,K$1:K$665)</f>
        <v>155</v>
      </c>
      <c r="B156" s="9" t="s">
        <v>281</v>
      </c>
      <c r="C156" s="46" t="s">
        <v>127</v>
      </c>
      <c r="D156" s="47" t="str">
        <f>VLOOKUP(B156,'Player Data'!A1:D667,4,FALSE)</f>
        <v>D</v>
      </c>
      <c r="E156" s="66">
        <f>VLOOKUP(B156,D!A1:C213,3,FALSE)</f>
        <v>41</v>
      </c>
      <c r="F156" s="80" t="str">
        <f>VLOOKUP(B156,'Player Data'!A1:B667,2,FALSE)</f>
        <v>PHI</v>
      </c>
      <c r="G156" s="10">
        <f>VLOOKUP(B156,'Player Data'!A1:D667,3,FALSE)</f>
        <v>28</v>
      </c>
      <c r="H156" s="50">
        <f>IFERROR(VLOOKUP(B156,ADP!A1:G665,7,FALSE)/1000000,VLOOKUP(B156,ADP!A1:G665,7,FALSE))</f>
        <v>6.25</v>
      </c>
      <c r="I156" s="51">
        <f>IF(Settings!$E$15="POINTS",((R156*Q156)*Settings!$B$12)+(S156*Settings!$B$2)+(T156*Settings!$B$3)+(U156*Settings!$B$4)+(V156*Settings!$B$5)+(X156*Settings!$B$9)+(AA156*Settings!$B$6)+(W156*Settings!$B$8)+(AB156*Settings!$B$7)+(AC156*Settings!$B$14)+(AD156*Settings!$B$15)+(AE156*Settings!$B$16)+(AF156*Settings!$B$17)+(AG156*Settings!$B$18)+(U156*Settings!$B$13)+(Y156*Settings!$B$10)+(Z156*Settings!$B$11),VLOOKUP(B156,'Standard Deviations'!A1:C666,3,FALSE))</f>
        <v>261.61127456585734</v>
      </c>
      <c r="J156" s="52">
        <f>IF(D156="G",I156/AJ156,I156/Q156)</f>
        <v>3.2093636087328385</v>
      </c>
      <c r="K156" s="51">
        <f>VLOOKUP(B156,D!A1:F213,6,FALSE)</f>
        <v>-74.622850479737565</v>
      </c>
      <c r="L156" s="53">
        <f>IFERROR(K156/H156,"N/A")</f>
        <v>-11.939656076758011</v>
      </c>
      <c r="M156" s="54">
        <f>IF(Settings!$E$9="YAHOO",VLOOKUP(B156,ADP!A1:E665,2,FALSE),IF(Settings!$E$9="ESPN",VLOOKUP(B156,ADP!A1:E665,3,FALSE),IF(Settings!$E$9="FANTRAX",VLOOKUP(B156,ADP!A1:E665,4,FALSE),VLOOKUP(B156,ADP!A1:E665,5,FALSE))))</f>
        <v>162.4</v>
      </c>
      <c r="N156" s="54">
        <f>IFERROR(M156-A156,"N/A")</f>
        <v>7.4000000000000057</v>
      </c>
      <c r="O156" s="54"/>
      <c r="P156" s="55" t="str">
        <f>IF(Settings!$E$27="ON",VLOOKUP(B156,ADP!A1:H665,8,FALSE)," ")</f>
        <v xml:space="preserve"> </v>
      </c>
      <c r="Q156" s="56">
        <f>IF(Settings!$E$12="YES",VLOOKUP(B156,'Player Data'!A1:E667,5,FALSE),82)</f>
        <v>81.515000000000001</v>
      </c>
      <c r="R156" s="54">
        <f>VLOOKUP(B156,'Player Data'!$A1:$AE667,6,FALSE)</f>
        <v>23.503379322770801</v>
      </c>
      <c r="S156" s="56">
        <f>VLOOKUP(B156,'Player Data'!$A1:$AE667,7,FALSE)*$Q156*IFERROR((VLOOKUP(P156,Settings!$E$28:$F$33,2,FALSE)+1),1)</f>
        <v>8.6229959462522103</v>
      </c>
      <c r="T156" s="56">
        <f>VLOOKUP(B156,'Player Data'!$A1:$AE667,8,FALSE)*$Q156*IFERROR((VLOOKUP(P156,Settings!$E$28:$F$33,2,FALSE)+1),1)</f>
        <v>27.947328200225407</v>
      </c>
      <c r="U156" s="56">
        <f>SUM(S156:T156)</f>
        <v>36.570324146477617</v>
      </c>
      <c r="V156" s="56">
        <f>VLOOKUP(B156,'Player Data'!$A1:$AE667,10,FALSE)*$Q156*IFERROR(((VLOOKUP(P156,Settings!$E$28:$F$33,2,FALSE)/2)+1),1)</f>
        <v>139.9607710038544</v>
      </c>
      <c r="W156" s="56">
        <f>VLOOKUP(B156,'Player Data'!$A1:$AE667,11,FALSE)*$Q156*IFERROR((VLOOKUP(P156,Settings!$E$28:$F$33,2,FALSE)+1),1)</f>
        <v>0.14025116201938015</v>
      </c>
      <c r="X156" s="56">
        <f>VLOOKUP(B156,'Player Data'!$A1:$AE667,12,FALSE)*$Q156*IFERROR((VLOOKUP(P156,Settings!$E$28:$F$33,2,FALSE)+1),1)</f>
        <v>3.3075624075496863</v>
      </c>
      <c r="Y156" s="56">
        <f>VLOOKUP(B156,'Player Data'!$A1:$AE667,13,FALSE)*$Q156</f>
        <v>0.83088853859735634</v>
      </c>
      <c r="Z156" s="56">
        <f>VLOOKUP(B156,'Player Data'!$A1:$AE667,14,FALSE)*$Q156</f>
        <v>2.4977106898601029</v>
      </c>
      <c r="AA156" s="56">
        <f>VLOOKUP(B156,'Player Data'!$A1:$AE667,15,FALSE)*$Q156</f>
        <v>152.2292870541749</v>
      </c>
      <c r="AB156" s="56">
        <f>VLOOKUP(B156,'Player Data'!$A1:$AE667,16,FALSE)*$Q156</f>
        <v>85.676067891737219</v>
      </c>
      <c r="AC156" s="56">
        <f>VLOOKUP(B156,'Player Data'!$A1:$AE667,17,FALSE)*$Q156*IFERROR((VLOOKUP(P156,Settings!$E$28:$F$33,2,FALSE)+1),1)</f>
        <v>-4.0023089722699918</v>
      </c>
      <c r="AD156" s="56">
        <f>VLOOKUP(B156,'Player Data'!$A1:$AE667,18,FALSE)*$Q156</f>
        <v>44.669418717403047</v>
      </c>
      <c r="AE156" s="56">
        <f>VLOOKUP(B156,'Player Data'!$A1:$AE667,19,FALSE)*$Q156*IFERROR((VLOOKUP(P156,Settings!$E$28:$F$33,2,FALSE)+1),1)</f>
        <v>1.2498991837797448</v>
      </c>
      <c r="AF156" s="56">
        <f>VLOOKUP(B156,'Player Data'!$A1:$AE667,20,FALSE)*$Q156</f>
        <v>0</v>
      </c>
      <c r="AG156" s="56">
        <f>VLOOKUP(B156,'Player Data'!$A1:$AE667,21,FALSE)*$Q156</f>
        <v>0</v>
      </c>
      <c r="AH156" s="58">
        <f>VLOOKUP(B156,'Player Data'!$A1:$AE667,22,FALSE)</f>
        <v>0</v>
      </c>
      <c r="AI156" s="54"/>
      <c r="AJ156" s="64"/>
      <c r="AK156" s="56"/>
      <c r="AL156" s="56"/>
      <c r="AM156" s="56"/>
      <c r="AN156" s="56"/>
      <c r="AO156" s="56"/>
      <c r="AP156" s="56"/>
      <c r="AQ156" s="59"/>
      <c r="AR156" s="60"/>
      <c r="AS156" s="54"/>
    </row>
    <row r="157" spans="1:45" ht="21.25" customHeight="1" x14ac:dyDescent="0.15">
      <c r="A157" s="45">
        <f>RANK(K157,K$1:K$665)</f>
        <v>156</v>
      </c>
      <c r="B157" s="9" t="s">
        <v>282</v>
      </c>
      <c r="C157" s="46" t="s">
        <v>127</v>
      </c>
      <c r="D157" s="47" t="str">
        <f>VLOOKUP(B157,'Player Data'!A1:D667,4,FALSE)</f>
        <v>D</v>
      </c>
      <c r="E157" s="66">
        <f>VLOOKUP(B157,D!A1:C213,3,FALSE)</f>
        <v>42</v>
      </c>
      <c r="F157" s="62" t="str">
        <f>VLOOKUP(B157,'Player Data'!A1:B667,2,FALSE)</f>
        <v>OTT</v>
      </c>
      <c r="G157" s="10">
        <f>VLOOKUP(B157,'Player Data'!A1:D667,3,FALSE)</f>
        <v>27</v>
      </c>
      <c r="H157" s="50">
        <f>IFERROR(VLOOKUP(B157,ADP!A1:G665,7,FALSE)/1000000,VLOOKUP(B157,ADP!A1:G665,7,FALSE))</f>
        <v>8</v>
      </c>
      <c r="I157" s="51">
        <f>IF(Settings!$E$15="POINTS",((R157*Q157)*Settings!$B$12)+(S157*Settings!$B$2)+(T157*Settings!$B$3)+(U157*Settings!$B$4)+(V157*Settings!$B$5)+(X157*Settings!$B$9)+(AA157*Settings!$B$6)+(W157*Settings!$B$8)+(AB157*Settings!$B$7)+(AC157*Settings!$B$14)+(AD157*Settings!$B$15)+(AE157*Settings!$B$16)+(AF157*Settings!$B$17)+(AG157*Settings!$B$18)+(U157*Settings!$B$13)+(Y157*Settings!$B$10)+(Z157*Settings!$B$11),VLOOKUP(B157,'Standard Deviations'!A1:C666,3,FALSE))</f>
        <v>260.99268422671571</v>
      </c>
      <c r="J157" s="52">
        <f>IF(D157="G",I157/AJ157,I157/Q157)</f>
        <v>3.6097325020119047</v>
      </c>
      <c r="K157" s="51">
        <f>VLOOKUP(B157,D!A1:F213,6,FALSE)</f>
        <v>-75.241440818879198</v>
      </c>
      <c r="L157" s="53">
        <f>IFERROR(K157/H157,"N/A")</f>
        <v>-9.4051801023598998</v>
      </c>
      <c r="M157" s="54">
        <f>IF(Settings!$E$9="YAHOO",VLOOKUP(B157,ADP!A1:E665,2,FALSE),IF(Settings!$E$9="ESPN",VLOOKUP(B157,ADP!A1:E665,3,FALSE),IF(Settings!$E$9="FANTRAX",VLOOKUP(B157,ADP!A1:E665,4,FALSE),VLOOKUP(B157,ADP!A1:E665,5,FALSE))))</f>
        <v>156.4</v>
      </c>
      <c r="N157" s="54">
        <f>IFERROR(M157-A157,"N/A")</f>
        <v>0.40000000000000568</v>
      </c>
      <c r="O157" s="54"/>
      <c r="P157" s="55" t="str">
        <f>IF(Settings!$E$27="ON",VLOOKUP(B157,ADP!A1:H665,8,FALSE)," ")</f>
        <v xml:space="preserve"> </v>
      </c>
      <c r="Q157" s="56">
        <f>IF(Settings!$E$12="YES",VLOOKUP(B157,'Player Data'!A1:E667,5,FALSE),82)</f>
        <v>72.302499999999995</v>
      </c>
      <c r="R157" s="54">
        <f>VLOOKUP(B157,'Player Data'!$A1:$AE667,6,FALSE)</f>
        <v>22.394059765812699</v>
      </c>
      <c r="S157" s="56">
        <f>VLOOKUP(B157,'Player Data'!$A1:$AE667,7,FALSE)*$Q157*IFERROR((VLOOKUP(P157,Settings!$E$28:$F$33,2,FALSE)+1),1)</f>
        <v>9.4529115201369542</v>
      </c>
      <c r="T157" s="56">
        <f>VLOOKUP(B157,'Player Data'!$A1:$AE667,8,FALSE)*$Q157*IFERROR((VLOOKUP(P157,Settings!$E$28:$F$33,2,FALSE)+1),1)</f>
        <v>27.932958682738455</v>
      </c>
      <c r="U157" s="56">
        <f>SUM(S157:T157)</f>
        <v>37.38587020287541</v>
      </c>
      <c r="V157" s="56">
        <f>VLOOKUP(B157,'Player Data'!$A1:$AE667,10,FALSE)*$Q157*IFERROR(((VLOOKUP(P157,Settings!$E$28:$F$33,2,FALSE)/2)+1),1)</f>
        <v>158.54455229553636</v>
      </c>
      <c r="W157" s="56">
        <f>VLOOKUP(B157,'Player Data'!$A1:$AE667,11,FALSE)*$Q157*IFERROR((VLOOKUP(P157,Settings!$E$28:$F$33,2,FALSE)+1),1)</f>
        <v>1.6627242983348296</v>
      </c>
      <c r="X157" s="56">
        <f>VLOOKUP(B157,'Player Data'!$A1:$AE667,12,FALSE)*$Q157*IFERROR((VLOOKUP(P157,Settings!$E$28:$F$33,2,FALSE)+1),1)</f>
        <v>9.2862025210343031</v>
      </c>
      <c r="Y157" s="56">
        <f>VLOOKUP(B157,'Player Data'!$A1:$AE667,13,FALSE)*$Q157</f>
        <v>1.9799750735410914E-2</v>
      </c>
      <c r="Z157" s="56">
        <f>VLOOKUP(B157,'Player Data'!$A1:$AE667,14,FALSE)*$Q157</f>
        <v>9.751930424162969E-2</v>
      </c>
      <c r="AA157" s="56">
        <f>VLOOKUP(B157,'Player Data'!$A1:$AE667,15,FALSE)*$Q157</f>
        <v>120.35815129009065</v>
      </c>
      <c r="AB157" s="56">
        <f>VLOOKUP(B157,'Player Data'!$A1:$AE667,16,FALSE)*$Q157</f>
        <v>70.736389910178247</v>
      </c>
      <c r="AC157" s="56">
        <f>VLOOKUP(B157,'Player Data'!$A1:$AE667,17,FALSE)*$Q157*IFERROR((VLOOKUP(P157,Settings!$E$28:$F$33,2,FALSE)+1),1)</f>
        <v>-0.62382748624237683</v>
      </c>
      <c r="AD157" s="56">
        <f>VLOOKUP(B157,'Player Data'!$A1:$AE667,18,FALSE)*$Q157</f>
        <v>39.111791915211228</v>
      </c>
      <c r="AE157" s="56">
        <f>VLOOKUP(B157,'Player Data'!$A1:$AE667,19,FALSE)*$Q157*IFERROR((VLOOKUP(P157,Settings!$E$28:$F$33,2,FALSE)+1),1)</f>
        <v>1.4676991159183232</v>
      </c>
      <c r="AF157" s="56">
        <f>VLOOKUP(B157,'Player Data'!$A1:$AE667,20,FALSE)*$Q157</f>
        <v>0</v>
      </c>
      <c r="AG157" s="56">
        <f>VLOOKUP(B157,'Player Data'!$A1:$AE667,21,FALSE)*$Q157</f>
        <v>0</v>
      </c>
      <c r="AH157" s="58">
        <f>VLOOKUP(B157,'Player Data'!$A1:$AE667,22,FALSE)</f>
        <v>0</v>
      </c>
      <c r="AI157" s="54"/>
      <c r="AJ157" s="64"/>
      <c r="AK157" s="56"/>
      <c r="AL157" s="56"/>
      <c r="AM157" s="56"/>
      <c r="AN157" s="56"/>
      <c r="AO157" s="56"/>
      <c r="AP157" s="56"/>
      <c r="AQ157" s="59"/>
      <c r="AR157" s="60"/>
      <c r="AS157" s="64"/>
    </row>
    <row r="158" spans="1:45" ht="21.25" customHeight="1" x14ac:dyDescent="0.15">
      <c r="A158" s="45">
        <f>RANK(K158,K$1:K$665)</f>
        <v>157</v>
      </c>
      <c r="B158" s="9" t="s">
        <v>283</v>
      </c>
      <c r="C158" s="46" t="s">
        <v>127</v>
      </c>
      <c r="D158" s="47" t="str">
        <f>VLOOKUP(B158,'Player Data'!A1:D667,4,FALSE)</f>
        <v>D</v>
      </c>
      <c r="E158" s="66">
        <f>VLOOKUP(B158,D!A1:C213,3,FALSE)</f>
        <v>43</v>
      </c>
      <c r="F158" s="65" t="str">
        <f>VLOOKUP(B158,'Player Data'!A1:B667,2,FALSE)</f>
        <v>WSH</v>
      </c>
      <c r="G158" s="10">
        <f>VLOOKUP(B158,'Player Data'!A1:D667,3,FALSE)</f>
        <v>26</v>
      </c>
      <c r="H158" s="67">
        <f>IFERROR(VLOOKUP(B158,ADP!A1:G665,7,FALSE)/1000000,VLOOKUP(B158,ADP!A1:G665,7,FALSE))</f>
        <v>4.5999999999999996</v>
      </c>
      <c r="I158" s="51">
        <f>IF(Settings!$E$15="POINTS",((R158*Q158)*Settings!$B$12)+(S158*Settings!$B$2)+(T158*Settings!$B$3)+(U158*Settings!$B$4)+(V158*Settings!$B$5)+(X158*Settings!$B$9)+(AA158*Settings!$B$6)+(W158*Settings!$B$8)+(AB158*Settings!$B$7)+(AC158*Settings!$B$14)+(AD158*Settings!$B$15)+(AE158*Settings!$B$16)+(AF158*Settings!$B$17)+(AG158*Settings!$B$18)+(U158*Settings!$B$13)+(Y158*Settings!$B$10)+(Z158*Settings!$B$11),VLOOKUP(B158,'Standard Deviations'!A1:C666,3,FALSE))</f>
        <v>260.91064571350432</v>
      </c>
      <c r="J158" s="52">
        <f>IF(D158="G",I158/AJ158,I158/Q158)</f>
        <v>3.5327418010087919</v>
      </c>
      <c r="K158" s="51">
        <f>VLOOKUP(B158,D!A1:F213,6,FALSE)</f>
        <v>-75.323479332090585</v>
      </c>
      <c r="L158" s="53">
        <f>IFERROR(K158/H158,"N/A")</f>
        <v>-16.374669420019693</v>
      </c>
      <c r="M158" s="54">
        <f>IF(Settings!$E$9="YAHOO",VLOOKUP(B158,ADP!A1:E665,2,FALSE),IF(Settings!$E$9="ESPN",VLOOKUP(B158,ADP!A1:E665,3,FALSE),IF(Settings!$E$9="FANTRAX",VLOOKUP(B158,ADP!A1:E665,4,FALSE),VLOOKUP(B158,ADP!A1:E665,5,FALSE))))</f>
        <v>148.1</v>
      </c>
      <c r="N158" s="54">
        <f>IFERROR(M158-A158,"N/A")</f>
        <v>-8.9000000000000057</v>
      </c>
      <c r="O158" s="54"/>
      <c r="P158" s="55" t="str">
        <f>IF(Settings!$E$27="ON",VLOOKUP(B158,ADP!A1:H665,8,FALSE)," ")</f>
        <v xml:space="preserve"> </v>
      </c>
      <c r="Q158" s="56">
        <f>IF(Settings!$E$12="YES",VLOOKUP(B158,'Player Data'!A1:E667,5,FALSE),82)</f>
        <v>73.855000000000004</v>
      </c>
      <c r="R158" s="81">
        <f>VLOOKUP(B158,'Player Data'!$A1:$AE667,6,FALSE)</f>
        <v>20.334200633978099</v>
      </c>
      <c r="S158" s="56">
        <f>VLOOKUP(B158,'Player Data'!$A1:$AE667,7,FALSE)*$Q158*IFERROR((VLOOKUP(P158,Settings!$E$28:$F$33,2,FALSE)+1),1)</f>
        <v>10.469769132724361</v>
      </c>
      <c r="T158" s="56">
        <f>VLOOKUP(B158,'Player Data'!$A1:$AE667,8,FALSE)*$Q158*IFERROR((VLOOKUP(P158,Settings!$E$28:$F$33,2,FALSE)+1),1)</f>
        <v>25.320665850833674</v>
      </c>
      <c r="U158" s="56">
        <f>SUM(S158:T158)</f>
        <v>35.790434983558036</v>
      </c>
      <c r="V158" s="56">
        <f>VLOOKUP(B158,'Player Data'!$A1:$AE667,10,FALSE)*$Q158*IFERROR(((VLOOKUP(P158,Settings!$E$28:$F$33,2,FALSE)/2)+1),1)</f>
        <v>166.53579620824209</v>
      </c>
      <c r="W158" s="56">
        <f>VLOOKUP(B158,'Player Data'!$A1:$AE667,11,FALSE)*$Q158*IFERROR((VLOOKUP(P158,Settings!$E$28:$F$33,2,FALSE)+1),1)</f>
        <v>3.9002658562008139</v>
      </c>
      <c r="X158" s="56">
        <f>VLOOKUP(B158,'Player Data'!$A1:$AE667,12,FALSE)*$Q158*IFERROR((VLOOKUP(P158,Settings!$E$28:$F$33,2,FALSE)+1),1)</f>
        <v>9.2684832122408753</v>
      </c>
      <c r="Y158" s="56">
        <f>VLOOKUP(B158,'Player Data'!$A1:$AE667,13,FALSE)*$Q158</f>
        <v>6.4898445676263069E-3</v>
      </c>
      <c r="Z158" s="56">
        <f>VLOOKUP(B158,'Player Data'!$A1:$AE667,14,FALSE)*$Q158</f>
        <v>3.1933201891862668E-2</v>
      </c>
      <c r="AA158" s="56">
        <f>VLOOKUP(B158,'Player Data'!$A1:$AE667,15,FALSE)*$Q158</f>
        <v>121.9420524891529</v>
      </c>
      <c r="AB158" s="56">
        <f>VLOOKUP(B158,'Player Data'!$A1:$AE667,16,FALSE)*$Q158</f>
        <v>69.759276297028023</v>
      </c>
      <c r="AC158" s="56">
        <f>VLOOKUP(B158,'Player Data'!$A1:$AE667,17,FALSE)*$Q158*IFERROR((VLOOKUP(P158,Settings!$E$28:$F$33,2,FALSE)+1),1)</f>
        <v>-2.4693303254846963</v>
      </c>
      <c r="AD158" s="56">
        <f>VLOOKUP(B158,'Player Data'!$A1:$AE667,18,FALSE)*$Q158</f>
        <v>41.800848376794264</v>
      </c>
      <c r="AE158" s="56">
        <f>VLOOKUP(B158,'Player Data'!$A1:$AE667,19,FALSE)*$Q158*IFERROR((VLOOKUP(P158,Settings!$E$28:$F$33,2,FALSE)+1),1)</f>
        <v>1.4857914788471684</v>
      </c>
      <c r="AF158" s="56">
        <f>VLOOKUP(B158,'Player Data'!$A1:$AE667,20,FALSE)*$Q158</f>
        <v>0</v>
      </c>
      <c r="AG158" s="56">
        <f>VLOOKUP(B158,'Player Data'!$A1:$AE667,21,FALSE)*$Q158</f>
        <v>0</v>
      </c>
      <c r="AH158" s="58">
        <f>VLOOKUP(B158,'Player Data'!$A1:$AE667,22,FALSE)</f>
        <v>0</v>
      </c>
      <c r="AI158" s="54"/>
      <c r="AJ158" s="64"/>
      <c r="AK158" s="56"/>
      <c r="AL158" s="56"/>
      <c r="AM158" s="56"/>
      <c r="AN158" s="56"/>
      <c r="AO158" s="56"/>
      <c r="AP158" s="56"/>
      <c r="AQ158" s="59"/>
      <c r="AR158" s="60"/>
      <c r="AS158" s="54"/>
    </row>
    <row r="159" spans="1:45" ht="21.25" customHeight="1" x14ac:dyDescent="0.15">
      <c r="A159" s="45">
        <f>RANK(K159,K$1:K$665)</f>
        <v>158</v>
      </c>
      <c r="B159" s="9" t="s">
        <v>284</v>
      </c>
      <c r="C159" s="46" t="s">
        <v>127</v>
      </c>
      <c r="D159" s="47" t="str">
        <f>VLOOKUP(B159,'Player Data'!A1:D667,4,FALSE)</f>
        <v>D</v>
      </c>
      <c r="E159" s="66">
        <f>VLOOKUP(B159,D!A1:C213,3,FALSE)</f>
        <v>44</v>
      </c>
      <c r="F159" s="65" t="str">
        <f>VLOOKUP(B159,'Player Data'!A1:B667,2,FALSE)</f>
        <v>EDM</v>
      </c>
      <c r="G159" s="10">
        <f>VLOOKUP(B159,'Player Data'!A1:D667,3,FALSE)</f>
        <v>29</v>
      </c>
      <c r="H159" s="50">
        <f>IFERROR(VLOOKUP(B159,ADP!A1:G665,7,FALSE)/1000000,VLOOKUP(B159,ADP!A1:G665,7,FALSE))</f>
        <v>9.25</v>
      </c>
      <c r="I159" s="51">
        <f>IF(Settings!$E$15="POINTS",((R159*Q159)*Settings!$B$12)+(S159*Settings!$B$2)+(T159*Settings!$B$3)+(U159*Settings!$B$4)+(V159*Settings!$B$5)+(X159*Settings!$B$9)+(AA159*Settings!$B$6)+(W159*Settings!$B$8)+(AB159*Settings!$B$7)+(AC159*Settings!$B$14)+(AD159*Settings!$B$15)+(AE159*Settings!$B$16)+(AF159*Settings!$B$17)+(AG159*Settings!$B$18)+(U159*Settings!$B$13)+(Y159*Settings!$B$10)+(Z159*Settings!$B$11),VLOOKUP(B159,'Standard Deviations'!A1:C666,3,FALSE))</f>
        <v>260.34837886984013</v>
      </c>
      <c r="J159" s="52">
        <f>IF(D159="G",I159/AJ159,I159/Q159)</f>
        <v>3.2240287157653342</v>
      </c>
      <c r="K159" s="51">
        <f>VLOOKUP(B159,D!A1:F213,6,FALSE)</f>
        <v>-75.885746175754775</v>
      </c>
      <c r="L159" s="53">
        <f>IFERROR(K159/H159,"N/A")</f>
        <v>-8.2038644514329491</v>
      </c>
      <c r="M159" s="54">
        <f>IF(Settings!$E$9="YAHOO",VLOOKUP(B159,ADP!A1:E665,2,FALSE),IF(Settings!$E$9="ESPN",VLOOKUP(B159,ADP!A1:E665,3,FALSE),IF(Settings!$E$9="FANTRAX",VLOOKUP(B159,ADP!A1:E665,4,FALSE),VLOOKUP(B159,ADP!A1:E665,5,FALSE))))</f>
        <v>142.30000000000001</v>
      </c>
      <c r="N159" s="54">
        <f>IFERROR(M159-A159,"N/A")</f>
        <v>-15.699999999999989</v>
      </c>
      <c r="O159" s="54"/>
      <c r="P159" s="55" t="str">
        <f>IF(Settings!$E$27="ON",VLOOKUP(B159,ADP!A1:H665,8,FALSE)," ")</f>
        <v xml:space="preserve"> </v>
      </c>
      <c r="Q159" s="56">
        <f>IF(Settings!$E$12="YES",VLOOKUP(B159,'Player Data'!A1:E667,5,FALSE),82)</f>
        <v>80.752499999999998</v>
      </c>
      <c r="R159" s="81">
        <f>VLOOKUP(B159,'Player Data'!$A1:$AE667,6,FALSE)</f>
        <v>20.6573875240551</v>
      </c>
      <c r="S159" s="56">
        <f>VLOOKUP(B159,'Player Data'!$A1:$AE667,7,FALSE)*$Q159*IFERROR((VLOOKUP(P159,Settings!$E$28:$F$33,2,FALSE)+1),1)</f>
        <v>8.7321281115147364</v>
      </c>
      <c r="T159" s="56">
        <f>VLOOKUP(B159,'Player Data'!$A1:$AE667,8,FALSE)*$Q159*IFERROR((VLOOKUP(P159,Settings!$E$28:$F$33,2,FALSE)+1),1)</f>
        <v>23.495557456402331</v>
      </c>
      <c r="U159" s="56">
        <f>SUM(S159:T159)</f>
        <v>32.227685567917064</v>
      </c>
      <c r="V159" s="56">
        <f>VLOOKUP(B159,'Player Data'!$A1:$AE667,10,FALSE)*$Q159*IFERROR(((VLOOKUP(P159,Settings!$E$28:$F$33,2,FALSE)/2)+1),1)</f>
        <v>167.48196756366991</v>
      </c>
      <c r="W159" s="56">
        <f>VLOOKUP(B159,'Player Data'!$A1:$AE667,11,FALSE)*$Q159*IFERROR((VLOOKUP(P159,Settings!$E$28:$F$33,2,FALSE)+1),1)</f>
        <v>0.43583849945583031</v>
      </c>
      <c r="X159" s="56">
        <f>VLOOKUP(B159,'Player Data'!$A1:$AE667,12,FALSE)*$Q159*IFERROR((VLOOKUP(P159,Settings!$E$28:$F$33,2,FALSE)+1),1)</f>
        <v>3.3694466345562635</v>
      </c>
      <c r="Y159" s="56">
        <f>VLOOKUP(B159,'Player Data'!$A1:$AE667,13,FALSE)*$Q159</f>
        <v>1.1169658252207464</v>
      </c>
      <c r="Z159" s="56">
        <f>VLOOKUP(B159,'Player Data'!$A1:$AE667,14,FALSE)*$Q159</f>
        <v>1.3467392299981451</v>
      </c>
      <c r="AA159" s="56">
        <f>VLOOKUP(B159,'Player Data'!$A1:$AE667,15,FALSE)*$Q159</f>
        <v>150.41630503939919</v>
      </c>
      <c r="AB159" s="56">
        <f>VLOOKUP(B159,'Player Data'!$A1:$AE667,16,FALSE)*$Q159</f>
        <v>144.16784975100884</v>
      </c>
      <c r="AC159" s="56">
        <f>VLOOKUP(B159,'Player Data'!$A1:$AE667,17,FALSE)*$Q159*IFERROR((VLOOKUP(P159,Settings!$E$28:$F$33,2,FALSE)+1),1)</f>
        <v>6.4164356882703482</v>
      </c>
      <c r="AD159" s="56">
        <f>VLOOKUP(B159,'Player Data'!$A1:$AE667,18,FALSE)*$Q159</f>
        <v>52.90492189271005</v>
      </c>
      <c r="AE159" s="56">
        <f>VLOOKUP(B159,'Player Data'!$A1:$AE667,19,FALSE)*$Q159*IFERROR((VLOOKUP(P159,Settings!$E$28:$F$33,2,FALSE)+1),1)</f>
        <v>1.4100217622067563</v>
      </c>
      <c r="AF159" s="56">
        <f>VLOOKUP(B159,'Player Data'!$A1:$AE667,20,FALSE)*$Q159</f>
        <v>0</v>
      </c>
      <c r="AG159" s="56">
        <f>VLOOKUP(B159,'Player Data'!$A1:$AE667,21,FALSE)*$Q159</f>
        <v>0</v>
      </c>
      <c r="AH159" s="58">
        <f>VLOOKUP(B159,'Player Data'!$A1:$AE667,22,FALSE)</f>
        <v>0</v>
      </c>
      <c r="AI159" s="54"/>
      <c r="AJ159" s="56"/>
      <c r="AK159" s="56"/>
      <c r="AL159" s="56"/>
      <c r="AM159" s="56"/>
      <c r="AN159" s="56"/>
      <c r="AO159" s="56"/>
      <c r="AP159" s="56"/>
      <c r="AQ159" s="59"/>
      <c r="AR159" s="60"/>
      <c r="AS159" s="54"/>
    </row>
    <row r="160" spans="1:45" ht="21.25" customHeight="1" x14ac:dyDescent="0.15">
      <c r="A160" s="45">
        <f>RANK(K160,K$1:K$665)</f>
        <v>159</v>
      </c>
      <c r="B160" s="9" t="s">
        <v>285</v>
      </c>
      <c r="C160" s="46" t="s">
        <v>127</v>
      </c>
      <c r="D160" s="47" t="str">
        <f>VLOOKUP(B160,'Player Data'!A1:D667,4,FALSE)</f>
        <v>G</v>
      </c>
      <c r="E160" s="73">
        <f>VLOOKUP(B160,G!A1:D65,3,FALSE)</f>
        <v>18</v>
      </c>
      <c r="F160" s="65" t="str">
        <f>VLOOKUP(B160,'Player Data'!A1:B667,2,FALSE)</f>
        <v>TOR</v>
      </c>
      <c r="G160" s="69">
        <f>VLOOKUP(B160,'Player Data'!A1:D667,3,FALSE)</f>
        <v>26</v>
      </c>
      <c r="H160" s="50">
        <f>IFERROR(VLOOKUP(B160,ADP!A1:G665,7,FALSE)/1000000,VLOOKUP(B160,ADP!A1:G665,7,FALSE))</f>
        <v>0.76666699999999999</v>
      </c>
      <c r="I160" s="51">
        <f>IF(Settings!$E$15="POINTS",(AJ160*Settings!$B$29)+(AK160*Settings!$B$21)+(AL160*Settings!$B$22)+(AN160*Settings!$B$24)+(AO160*Settings!$B$25)+(AP160*Settings!$B$27)+(AM160*Settings!$B$23),VLOOKUP(B160,'Standard Deviations'!A1:C666,3,FALSE))</f>
        <v>332.98755396390584</v>
      </c>
      <c r="J160" s="52">
        <f>IF(D160="G",I160/AJ160,I160/Q160)</f>
        <v>7.5678989537251331</v>
      </c>
      <c r="K160" s="51">
        <f>VLOOKUP(B160,G!A1:F65,6,FALSE)</f>
        <v>-77.672188805514338</v>
      </c>
      <c r="L160" s="53">
        <f>IFERROR(K160/H160,"N/A")</f>
        <v>-101.31150656740715</v>
      </c>
      <c r="M160" s="54">
        <f>IF(Settings!$E$9="YAHOO",VLOOKUP(B160,ADP!A1:E665,2,FALSE),IF(Settings!$E$9="ESPN",VLOOKUP(B160,ADP!A1:E665,3,FALSE),IF(Settings!$E$9="FANTRAX",VLOOKUP(B160,ADP!A1:E665,4,FALSE),VLOOKUP(B160,ADP!A1:E665,5,FALSE))))</f>
        <v>76.900000000000006</v>
      </c>
      <c r="N160" s="54">
        <f>IFERROR(M160-A160,"N/A")</f>
        <v>-82.1</v>
      </c>
      <c r="O160" s="54"/>
      <c r="P160" s="55" t="str">
        <f>IF(Settings!$E$27="ON",VLOOKUP(B160,ADP!A1:H665,8,FALSE)," ")</f>
        <v>+</v>
      </c>
      <c r="Q160" s="56"/>
      <c r="R160" s="54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8"/>
      <c r="AI160" s="54"/>
      <c r="AJ160" s="64">
        <f>VLOOKUP(B160,'Player Data'!$A1:$AE667,24,FALSE)</f>
        <v>44</v>
      </c>
      <c r="AK160" s="56">
        <f>VLOOKUP(B160,'Player Data'!$A1:$AE667,25,FALSE)*$AJ160*IFERROR((VLOOKUP(P160,Settings!$E$28:$F$33,2,FALSE)+1),1)</f>
        <v>29.121104864685048</v>
      </c>
      <c r="AL160" s="56">
        <f>AJ160-AK160-AM160</f>
        <v>9.3788951353149521</v>
      </c>
      <c r="AM160" s="56">
        <f>VLOOKUP(B160,'Player Data'!$A1:$AE667,27,FALSE)*$AJ160</f>
        <v>5.5</v>
      </c>
      <c r="AN160" s="56">
        <f>VLOOKUP(B160,'Player Data'!$A1:$AE667,28,FALSE)*AJ160</f>
        <v>2.7085265609238318</v>
      </c>
      <c r="AO160" s="56">
        <f>VLOOKUP(B160,'Player Data'!$A1:$AE667,29,FALSE)*$AJ160*IFERROR((VLOOKUP(P160,Settings!$E$28:$F$33,2,FALSE)/4)+1,1)</f>
        <v>1200.0782626759649</v>
      </c>
      <c r="AP160" s="56">
        <f>VLOOKUP(B160,'Player Data'!$A1:$AE667,31,FALSE)*$AJ160*(IFERROR(1-(VLOOKUP(P160,Settings!$E$28:$F$33,2,FALSE)/4),1))</f>
        <v>119.04113950968519</v>
      </c>
      <c r="AQ160" s="59">
        <f>1-(AP160/(AO160+AP160))</f>
        <v>0.90975711576037332</v>
      </c>
      <c r="AR160" s="60">
        <f>AP160/AJ160</f>
        <v>2.7054804434019362</v>
      </c>
      <c r="AS160" s="54"/>
    </row>
    <row r="161" spans="1:45" ht="21.25" customHeight="1" x14ac:dyDescent="0.15">
      <c r="A161" s="45">
        <f>RANK(K161,K$1:K$665)</f>
        <v>160</v>
      </c>
      <c r="B161" s="9" t="s">
        <v>286</v>
      </c>
      <c r="C161" s="46" t="s">
        <v>127</v>
      </c>
      <c r="D161" s="47" t="str">
        <f>VLOOKUP(B161,'Player Data'!A1:D667,4,FALSE)</f>
        <v>LW</v>
      </c>
      <c r="E161" s="70">
        <f>VLOOKUP(B161,LW!A1:C152,3,FALSE)</f>
        <v>43</v>
      </c>
      <c r="F161" s="55" t="str">
        <f>VLOOKUP(B161,'Player Data'!A1:B667,2,FALSE)</f>
        <v>DAL</v>
      </c>
      <c r="G161" s="63">
        <f>VLOOKUP(B161,'Player Data'!A1:D667,3,FALSE)</f>
        <v>35</v>
      </c>
      <c r="H161" s="67">
        <f>IFERROR(VLOOKUP(B161,ADP!A1:G665,7,FALSE)/1000000,VLOOKUP(B161,ADP!A1:G665,7,FALSE))</f>
        <v>9.5</v>
      </c>
      <c r="I161" s="51">
        <f>IF(Settings!$E$15="POINTS",((R161*Q161)*Settings!$B$12)+(S161*Settings!$B$2)+(T161*Settings!$B$3)+(U161*Settings!$B$4)+(V161*Settings!$B$5)+(X161*Settings!$B$9)+(AA161*Settings!$B$6)+(W161*Settings!$B$8)+(AB161*Settings!$B$7)+(AC161*Settings!$B$14)+(AD161*Settings!$B$15)+(AE161*Settings!$B$16)+(AF161*Settings!$B$17)+(AG161*Settings!$B$18)+(Y161*Settings!$B$10)+(Z161*Settings!$B$11),VLOOKUP(B161,'Standard Deviations'!A1:C666,3,FALSE))</f>
        <v>302.17122199964376</v>
      </c>
      <c r="J161" s="52">
        <f>IF(D161="G",I161/AJ161,I161/Q161)</f>
        <v>3.6836672193056659</v>
      </c>
      <c r="K161" s="51">
        <f>IF(Settings!$E$18="C/LW/RW",VLOOKUP(B161,LW!A1:F152,6,FALSE),VLOOKUP(B161,F!A1:F392,6,FALSE))</f>
        <v>-78.890290302855988</v>
      </c>
      <c r="L161" s="53">
        <f>IFERROR(K161/H161,"N/A")</f>
        <v>-8.3042410845111565</v>
      </c>
      <c r="M161" s="54">
        <f>IF(Settings!$E$9="YAHOO",VLOOKUP(B161,ADP!A1:E665,2,FALSE),IF(Settings!$E$9="ESPN",VLOOKUP(B161,ADP!A1:E665,3,FALSE),IF(Settings!$E$9="FANTRAX",VLOOKUP(B161,ADP!A1:E665,4,FALSE),VLOOKUP(B161,ADP!A1:E665,5,FALSE))))</f>
        <v>158</v>
      </c>
      <c r="N161" s="54">
        <f>IFERROR(M161-A161,"N/A")</f>
        <v>-2</v>
      </c>
      <c r="O161" s="54"/>
      <c r="P161" s="55" t="str">
        <f>IF(Settings!$E$27="ON",VLOOKUP(B161,ADP!A1:H665,8,FALSE)," ")</f>
        <v xml:space="preserve"> </v>
      </c>
      <c r="Q161" s="56">
        <f>IF(Settings!$E$12="YES",VLOOKUP(B161,'Player Data'!A1:E667,5,FALSE),82)</f>
        <v>82.03</v>
      </c>
      <c r="R161" s="54">
        <f>VLOOKUP(B161,'Player Data'!$A1:$AE667,6,FALSE)</f>
        <v>15.7138775244771</v>
      </c>
      <c r="S161" s="56">
        <f>VLOOKUP(B161,'Player Data'!$A1:$AE667,7,FALSE)*$Q161*IFERROR((VLOOKUP(P161,Settings!$E$28:$F$33,2,FALSE)+1),1)</f>
        <v>21.516933850034878</v>
      </c>
      <c r="T161" s="56">
        <f>VLOOKUP(B161,'Player Data'!$A1:$AE667,8,FALSE)*$Q161*IFERROR((VLOOKUP(P161,Settings!$E$28:$F$33,2,FALSE)+1),1)</f>
        <v>35.54464604753165</v>
      </c>
      <c r="U161" s="56">
        <f>SUM(S161:T161)</f>
        <v>57.061579897566531</v>
      </c>
      <c r="V161" s="56">
        <f>VLOOKUP(B161,'Player Data'!$A1:$AE667,10,FALSE)*$Q161*IFERROR(((VLOOKUP(P161,Settings!$E$28:$F$33,2,FALSE)/2)+1),1)</f>
        <v>170.3893131648619</v>
      </c>
      <c r="W161" s="56">
        <f>VLOOKUP(B161,'Player Data'!$A1:$AE667,11,FALSE)*$Q161*IFERROR((VLOOKUP(P161,Settings!$E$28:$F$33,2,FALSE)+1),1)</f>
        <v>6.8910246984812513</v>
      </c>
      <c r="X161" s="78">
        <f>VLOOKUP(B161,'Player Data'!$A1:$AE667,12,FALSE)*$Q161*IFERROR((VLOOKUP(P161,Settings!$E$28:$F$33,2,FALSE)+1),1)</f>
        <v>19.496040093353486</v>
      </c>
      <c r="Y161" s="56">
        <f>VLOOKUP(B161,'Player Data'!$A1:$AE667,13,FALSE)*$Q161</f>
        <v>1.1745252026149036</v>
      </c>
      <c r="Z161" s="56">
        <f>VLOOKUP(B161,'Player Data'!$A1:$AE667,14,FALSE)*$Q161</f>
        <v>2.4167661152575994</v>
      </c>
      <c r="AA161" s="56">
        <f>VLOOKUP(B161,'Player Data'!$A1:$AE667,15,FALSE)*$Q161</f>
        <v>47.75803903180428</v>
      </c>
      <c r="AB161" s="56">
        <f>VLOOKUP(B161,'Player Data'!$A1:$AE667,16,FALSE)*$Q161</f>
        <v>108.26896481377547</v>
      </c>
      <c r="AC161" s="56">
        <f>VLOOKUP(B161,'Player Data'!$A1:$AE667,17,FALSE)*$Q161*IFERROR((VLOOKUP(P161,Settings!$E$28:$F$33,2,FALSE)+1),1)</f>
        <v>6.1303418419626503</v>
      </c>
      <c r="AD161" s="56">
        <f>VLOOKUP(B161,'Player Data'!$A1:$AE667,18,FALSE)*$Q161</f>
        <v>46.835812501769212</v>
      </c>
      <c r="AE161" s="56">
        <f>VLOOKUP(B161,'Player Data'!$A1:$AE667,19,FALSE)*$Q161*IFERROR((VLOOKUP(P161,Settings!$E$28:$F$33,2,FALSE)+1),1)</f>
        <v>3.4409603857361377</v>
      </c>
      <c r="AF161" s="56">
        <f>VLOOKUP(B161,'Player Data'!$A1:$AE667,20,FALSE)*$Q161</f>
        <v>459.05834647942896</v>
      </c>
      <c r="AG161" s="56">
        <f>VLOOKUP(B161,'Player Data'!$A1:$AE667,21,FALSE)*$Q161</f>
        <v>314.43027526726087</v>
      </c>
      <c r="AH161" s="58">
        <f>VLOOKUP(B161,'Player Data'!$A1:$AE667,22,FALSE)</f>
        <v>0.59349075548491603</v>
      </c>
      <c r="AI161" s="54"/>
      <c r="AJ161" s="56"/>
      <c r="AK161" s="56"/>
      <c r="AL161" s="56"/>
      <c r="AM161" s="56"/>
      <c r="AN161" s="56"/>
      <c r="AO161" s="56"/>
      <c r="AP161" s="56"/>
      <c r="AQ161" s="59"/>
      <c r="AR161" s="60"/>
      <c r="AS161" s="54"/>
    </row>
    <row r="162" spans="1:45" ht="21.25" customHeight="1" x14ac:dyDescent="0.15">
      <c r="A162" s="45">
        <f>RANK(K162,K$1:K$665)</f>
        <v>161</v>
      </c>
      <c r="B162" s="9" t="s">
        <v>287</v>
      </c>
      <c r="C162" s="46" t="s">
        <v>127</v>
      </c>
      <c r="D162" s="47" t="str">
        <f>VLOOKUP(B162,'Player Data'!A1:D667,4,FALSE)</f>
        <v>C</v>
      </c>
      <c r="E162" s="48">
        <f>VLOOKUP(B162,'C'!A1:C206,3,FALSE)</f>
        <v>55</v>
      </c>
      <c r="F162" s="82" t="str">
        <f>VLOOKUP(B162,'Player Data'!A1:B667,2,FALSE)</f>
        <v>ANA</v>
      </c>
      <c r="G162" s="69">
        <f>VLOOKUP(B162,'Player Data'!A1:D667,3,FALSE)</f>
        <v>21</v>
      </c>
      <c r="H162" s="67">
        <f>IFERROR(VLOOKUP(B162,ADP!A1:G665,7,FALSE)/1000000,VLOOKUP(B162,ADP!A1:G665,7,FALSE))</f>
        <v>0.89416700000000005</v>
      </c>
      <c r="I162" s="51">
        <f>IF(Settings!$E$15="POINTS",((R162*Q162)*Settings!$B$12)+(S162*Settings!$B$2)+(T162*Settings!$B$3)+(U162*Settings!$B$4)+(V162*Settings!$B$5)+(X162*Settings!$B$9)+(AA162*Settings!$B$6)+(W162*Settings!$B$8)+(AB162*Settings!$B$7)+(AC162*Settings!$B$14)+(AD162*Settings!$B$15)+(AE162*Settings!$B$16)+(AF162*Settings!$B$17)+(AG162*Settings!$B$18)+(Y162*Settings!$B$10)+(Z162*Settings!$B$11),VLOOKUP(B162,'Standard Deviations'!A1:C666,3,FALSE))</f>
        <v>308.93797689844052</v>
      </c>
      <c r="J162" s="52">
        <f>IF(D162="G",I162/AJ162,I162/Q162)</f>
        <v>4.0247261190521169</v>
      </c>
      <c r="K162" s="51">
        <f>IF(Settings!$E$18="C/LW/RW",VLOOKUP(B162,'C'!A1:F206,6,FALSE),VLOOKUP(B162,F!A1:F392,6,FALSE))</f>
        <v>-80.999180879640562</v>
      </c>
      <c r="L162" s="53">
        <f>IFERROR(K162/H162,"N/A")</f>
        <v>-90.586189022453922</v>
      </c>
      <c r="M162" s="83" t="str">
        <f>IF(Settings!$E$9="YAHOO",VLOOKUP(B162,ADP!A1:E665,2,FALSE),IF(Settings!$E$9="ESPN",VLOOKUP(B162,ADP!A1:E665,3,FALSE),IF(Settings!$E$9="FANTRAX",VLOOKUP(B162,ADP!A1:E665,4,FALSE),VLOOKUP(B162,ADP!A1:E665,5,FALSE))))</f>
        <v>—</v>
      </c>
      <c r="N162" s="83" t="str">
        <f>IFERROR(M162-A162,"N/A")</f>
        <v>N/A</v>
      </c>
      <c r="O162" s="54"/>
      <c r="P162" s="55" t="str">
        <f>IF(Settings!$E$27="ON",VLOOKUP(B162,ADP!A1:H665,8,FALSE)," ")</f>
        <v xml:space="preserve"> </v>
      </c>
      <c r="Q162" s="56">
        <f>IF(Settings!$E$12="YES",VLOOKUP(B162,'Player Data'!A1:E667,5,FALSE),82)</f>
        <v>76.760000000000005</v>
      </c>
      <c r="R162" s="75">
        <f>VLOOKUP(B162,'Player Data'!$A1:$AE667,6,FALSE)</f>
        <v>18.012116429466499</v>
      </c>
      <c r="S162" s="56">
        <f>VLOOKUP(B162,'Player Data'!$A1:$AE667,7,FALSE)*$Q162*IFERROR((VLOOKUP(P162,Settings!$E$28:$F$33,2,FALSE)+1),1)</f>
        <v>25.540235960006576</v>
      </c>
      <c r="T162" s="56">
        <f>VLOOKUP(B162,'Player Data'!$A1:$AE667,8,FALSE)*$Q162*IFERROR((VLOOKUP(P162,Settings!$E$28:$F$33,2,FALSE)+1),1)</f>
        <v>33.893213092318483</v>
      </c>
      <c r="U162" s="56">
        <f>SUM(S162:T162)</f>
        <v>59.433449052325059</v>
      </c>
      <c r="V162" s="56">
        <f>VLOOKUP(B162,'Player Data'!$A1:$AE667,10,FALSE)*$Q162*IFERROR(((VLOOKUP(P162,Settings!$E$28:$F$33,2,FALSE)/2)+1),1)</f>
        <v>179.50114256077802</v>
      </c>
      <c r="W162" s="56">
        <f>VLOOKUP(B162,'Player Data'!$A1:$AE667,11,FALSE)*$Q162*IFERROR((VLOOKUP(P162,Settings!$E$28:$F$33,2,FALSE)+1),1)</f>
        <v>7.8520884233824164</v>
      </c>
      <c r="X162" s="57">
        <f>VLOOKUP(B162,'Player Data'!$A1:$AE667,12,FALSE)*$Q162*IFERROR((VLOOKUP(P162,Settings!$E$28:$F$33,2,FALSE)+1),1)</f>
        <v>16.956807742706321</v>
      </c>
      <c r="Y162" s="56">
        <f>VLOOKUP(B162,'Player Data'!$A1:$AE667,13,FALSE)*$Q162</f>
        <v>1.4126633441607508</v>
      </c>
      <c r="Z162" s="56">
        <f>VLOOKUP(B162,'Player Data'!$A1:$AE667,14,FALSE)*$Q162</f>
        <v>2.7456636316632648</v>
      </c>
      <c r="AA162" s="56">
        <f>VLOOKUP(B162,'Player Data'!$A1:$AE667,15,FALSE)*$Q162</f>
        <v>42.369174173413541</v>
      </c>
      <c r="AB162" s="56">
        <f>VLOOKUP(B162,'Player Data'!$A1:$AE667,16,FALSE)*$Q162</f>
        <v>76.714117073287284</v>
      </c>
      <c r="AC162" s="56">
        <f>VLOOKUP(B162,'Player Data'!$A1:$AE667,17,FALSE)*$Q162*IFERROR((VLOOKUP(P162,Settings!$E$28:$F$33,2,FALSE)+1),1)</f>
        <v>-8.3823961186149667</v>
      </c>
      <c r="AD162" s="56">
        <f>VLOOKUP(B162,'Player Data'!$A1:$AE667,18,FALSE)*$Q162</f>
        <v>65.702101564916788</v>
      </c>
      <c r="AE162" s="56">
        <f>VLOOKUP(B162,'Player Data'!$A1:$AE667,19,FALSE)*$Q162*IFERROR((VLOOKUP(P162,Settings!$E$28:$F$33,2,FALSE)+1),1)</f>
        <v>2.9769583932831813</v>
      </c>
      <c r="AF162" s="56">
        <f>VLOOKUP(B162,'Player Data'!$A1:$AE667,20,FALSE)*$Q162</f>
        <v>475.15869019202677</v>
      </c>
      <c r="AG162" s="56">
        <f>VLOOKUP(B162,'Player Data'!$A1:$AE667,21,FALSE)*$Q162</f>
        <v>567.95217019638449</v>
      </c>
      <c r="AH162" s="58">
        <f>VLOOKUP(B162,'Player Data'!$A1:$AE667,22,FALSE)</f>
        <v>0.45552079672058798</v>
      </c>
      <c r="AI162" s="54"/>
      <c r="AJ162" s="64"/>
      <c r="AK162" s="56"/>
      <c r="AL162" s="56"/>
      <c r="AM162" s="56"/>
      <c r="AN162" s="56"/>
      <c r="AO162" s="56"/>
      <c r="AP162" s="56"/>
      <c r="AQ162" s="59"/>
      <c r="AR162" s="60"/>
      <c r="AS162" s="54"/>
    </row>
    <row r="163" spans="1:45" ht="21.25" customHeight="1" x14ac:dyDescent="0.15">
      <c r="A163" s="45">
        <f>RANK(K163,K$1:K$665)</f>
        <v>162</v>
      </c>
      <c r="B163" s="9" t="s">
        <v>288</v>
      </c>
      <c r="C163" s="46" t="s">
        <v>127</v>
      </c>
      <c r="D163" s="47" t="str">
        <f>VLOOKUP(B163,'Player Data'!A1:D667,4,FALSE)</f>
        <v>RW</v>
      </c>
      <c r="E163" s="61">
        <f>VLOOKUP(B163,RW!A1:F136,3,FALSE)</f>
        <v>43</v>
      </c>
      <c r="F163" s="55" t="str">
        <f>VLOOKUP(B163,'Player Data'!A1:B667,2,FALSE)</f>
        <v>VGK</v>
      </c>
      <c r="G163" s="63">
        <f>VLOOKUP(B163,'Player Data'!A1:D667,3,FALSE)</f>
        <v>32</v>
      </c>
      <c r="H163" s="50">
        <f>IFERROR(VLOOKUP(B163,ADP!A1:G665,7,FALSE)/1000000,VLOOKUP(B163,ADP!A1:G665,7,FALSE))</f>
        <v>9.5</v>
      </c>
      <c r="I163" s="51">
        <f>IF(Settings!$E$15="POINTS",((R163*Q163)*Settings!$B$12)+(S163*Settings!$B$2)+(T163*Settings!$B$3)+(U163*Settings!$B$4)+(V163*Settings!$B$5)+(X163*Settings!$B$9)+(AA163*Settings!$B$6)+(W163*Settings!$B$8)+(AB163*Settings!$B$7)+(AC163*Settings!$B$14)+(AD163*Settings!$B$15)+(AE163*Settings!$B$16)+(AF163*Settings!$B$17)+(AG163*Settings!$B$18)+(Y163*Settings!$B$10)+(Z163*Settings!$B$11),VLOOKUP(B163,'Standard Deviations'!A1:C666,3,FALSE))</f>
        <v>287.15713062205958</v>
      </c>
      <c r="J163" s="52">
        <f>IF(D163="G",I163/AJ163,I163/Q163)</f>
        <v>4.2508734779920747</v>
      </c>
      <c r="K163" s="51">
        <f>IF(Settings!$E$18="C/LW/RW",VLOOKUP(B163,RW!A1:F136,6,FALSE),VLOOKUP(B163,F!A1:F392,6,FALSE))</f>
        <v>-81.690592484232809</v>
      </c>
      <c r="L163" s="53">
        <f>IFERROR(K163/H163,"N/A")</f>
        <v>-8.5990097351824009</v>
      </c>
      <c r="M163" s="54">
        <f>IF(Settings!$E$9="YAHOO",VLOOKUP(B163,ADP!A1:E665,2,FALSE),IF(Settings!$E$9="ESPN",VLOOKUP(B163,ADP!A1:E665,3,FALSE),IF(Settings!$E$9="FANTRAX",VLOOKUP(B163,ADP!A1:E665,4,FALSE),VLOOKUP(B163,ADP!A1:E665,5,FALSE))))</f>
        <v>137.69999999999999</v>
      </c>
      <c r="N163" s="54">
        <f>IFERROR(M163-A163,"N/A")</f>
        <v>-24.300000000000011</v>
      </c>
      <c r="O163" s="54"/>
      <c r="P163" s="55" t="str">
        <f>IF(Settings!$E$27="ON",VLOOKUP(B163,ADP!A1:H665,8,FALSE)," ")</f>
        <v xml:space="preserve"> </v>
      </c>
      <c r="Q163" s="56">
        <f>IF(Settings!$E$12="YES",VLOOKUP(B163,'Player Data'!A1:E667,5,FALSE),82)</f>
        <v>67.552499999999995</v>
      </c>
      <c r="R163" s="54">
        <f>VLOOKUP(B163,'Player Data'!$A1:$AE667,6,FALSE)</f>
        <v>19.028929747770601</v>
      </c>
      <c r="S163" s="56">
        <f>VLOOKUP(B163,'Player Data'!$A1:$AE667,7,FALSE)*$Q163*IFERROR((VLOOKUP(P163,Settings!$E$28:$F$33,2,FALSE)+1),1)</f>
        <v>20.264987763907104</v>
      </c>
      <c r="T163" s="56">
        <f>VLOOKUP(B163,'Player Data'!$A1:$AE667,8,FALSE)*$Q163*IFERROR((VLOOKUP(P163,Settings!$E$28:$F$33,2,FALSE)+1),1)</f>
        <v>37.467682281814447</v>
      </c>
      <c r="U163" s="56">
        <f>SUM(S163:T163)</f>
        <v>57.732670045721548</v>
      </c>
      <c r="V163" s="56">
        <f>VLOOKUP(B163,'Player Data'!$A1:$AE667,10,FALSE)*$Q163*IFERROR(((VLOOKUP(P163,Settings!$E$28:$F$33,2,FALSE)/2)+1),1)</f>
        <v>145.43660075436605</v>
      </c>
      <c r="W163" s="56">
        <f>VLOOKUP(B163,'Player Data'!$A1:$AE667,11,FALSE)*$Q163*IFERROR((VLOOKUP(P163,Settings!$E$28:$F$33,2,FALSE)+1),1)</f>
        <v>5.1399498947419922</v>
      </c>
      <c r="X163" s="57">
        <f>VLOOKUP(B163,'Player Data'!$A1:$AE667,12,FALSE)*$Q163*IFERROR((VLOOKUP(P163,Settings!$E$28:$F$33,2,FALSE)+1),1)</f>
        <v>15.852617083450905</v>
      </c>
      <c r="Y163" s="56">
        <f>VLOOKUP(B163,'Player Data'!$A1:$AE667,13,FALSE)*$Q163</f>
        <v>2.1944151119554012</v>
      </c>
      <c r="Z163" s="56">
        <f>VLOOKUP(B163,'Player Data'!$A1:$AE667,14,FALSE)*$Q163</f>
        <v>3.2985899637414642</v>
      </c>
      <c r="AA163" s="56">
        <f>VLOOKUP(B163,'Player Data'!$A1:$AE667,15,FALSE)*$Q163</f>
        <v>44.179226121039072</v>
      </c>
      <c r="AB163" s="56">
        <f>VLOOKUP(B163,'Player Data'!$A1:$AE667,16,FALSE)*$Q163</f>
        <v>46.346173274076342</v>
      </c>
      <c r="AC163" s="56">
        <f>VLOOKUP(B163,'Player Data'!$A1:$AE667,17,FALSE)*$Q163*IFERROR((VLOOKUP(P163,Settings!$E$28:$F$33,2,FALSE)+1),1)</f>
        <v>3.0557814120324234</v>
      </c>
      <c r="AD163" s="56">
        <f>VLOOKUP(B163,'Player Data'!$A1:$AE667,18,FALSE)*$Q163</f>
        <v>24.267633227560331</v>
      </c>
      <c r="AE163" s="56">
        <f>VLOOKUP(B163,'Player Data'!$A1:$AE667,19,FALSE)*$Q163*IFERROR((VLOOKUP(P163,Settings!$E$28:$F$33,2,FALSE)+1),1)</f>
        <v>3.0823307596489729</v>
      </c>
      <c r="AF163" s="56">
        <f>VLOOKUP(B163,'Player Data'!$A1:$AE667,20,FALSE)*$Q163</f>
        <v>0.80034869609121861</v>
      </c>
      <c r="AG163" s="56">
        <f>VLOOKUP(B163,'Player Data'!$A1:$AE667,21,FALSE)*$Q163</f>
        <v>8.9357322621560549</v>
      </c>
      <c r="AH163" s="58">
        <f>VLOOKUP(B163,'Player Data'!$A1:$AE667,22,FALSE)</f>
        <v>8.2204400263666697E-2</v>
      </c>
      <c r="AI163" s="54"/>
      <c r="AJ163" s="64"/>
      <c r="AK163" s="56"/>
      <c r="AL163" s="56"/>
      <c r="AM163" s="56"/>
      <c r="AN163" s="56"/>
      <c r="AO163" s="56"/>
      <c r="AP163" s="56"/>
      <c r="AQ163" s="59"/>
      <c r="AR163" s="60"/>
      <c r="AS163" s="54"/>
    </row>
    <row r="164" spans="1:45" ht="21.25" customHeight="1" x14ac:dyDescent="0.15">
      <c r="A164" s="45">
        <f>RANK(K164,K$1:K$665)</f>
        <v>163</v>
      </c>
      <c r="B164" s="9" t="s">
        <v>289</v>
      </c>
      <c r="C164" s="46" t="s">
        <v>127</v>
      </c>
      <c r="D164" s="47" t="str">
        <f>VLOOKUP(B164,'Player Data'!A1:D667,4,FALSE)</f>
        <v>RW</v>
      </c>
      <c r="E164" s="61">
        <f>VLOOKUP(B164,RW!A1:F136,3,FALSE)</f>
        <v>44</v>
      </c>
      <c r="F164" s="72" t="str">
        <f>VLOOKUP(B164,'Player Data'!A1:B667,2,FALSE)</f>
        <v>MIN</v>
      </c>
      <c r="G164" s="63">
        <f>VLOOKUP(B164,'Player Data'!A1:D667,3,FALSE)</f>
        <v>37</v>
      </c>
      <c r="H164" s="50">
        <f>IFERROR(VLOOKUP(B164,ADP!A1:G665,7,FALSE)/1000000,VLOOKUP(B164,ADP!A1:G665,7,FALSE))</f>
        <v>4.125</v>
      </c>
      <c r="I164" s="51">
        <f>IF(Settings!$E$15="POINTS",((R164*Q164)*Settings!$B$12)+(S164*Settings!$B$2)+(T164*Settings!$B$3)+(U164*Settings!$B$4)+(V164*Settings!$B$5)+(X164*Settings!$B$9)+(AA164*Settings!$B$6)+(W164*Settings!$B$8)+(AB164*Settings!$B$7)+(AC164*Settings!$B$14)+(AD164*Settings!$B$15)+(AE164*Settings!$B$16)+(AF164*Settings!$B$17)+(AG164*Settings!$B$18)+(Y164*Settings!$B$10)+(Z164*Settings!$B$11),VLOOKUP(B164,'Standard Deviations'!A1:C666,3,FALSE))</f>
        <v>286.82722316224573</v>
      </c>
      <c r="J164" s="52">
        <f>IF(D164="G",I164/AJ164,I164/Q164)</f>
        <v>3.6785690232100516</v>
      </c>
      <c r="K164" s="51">
        <f>IF(Settings!$E$18="C/LW/RW",VLOOKUP(B164,RW!A1:F136,6,FALSE),VLOOKUP(B164,F!A1:F392,6,FALSE))</f>
        <v>-82.020499944046662</v>
      </c>
      <c r="L164" s="53">
        <f>IFERROR(K164/H164,"N/A")</f>
        <v>-19.883757562193129</v>
      </c>
      <c r="M164" s="54">
        <f>IF(Settings!$E$9="YAHOO",VLOOKUP(B164,ADP!A1:E665,2,FALSE),IF(Settings!$E$9="ESPN",VLOOKUP(B164,ADP!A1:E665,3,FALSE),IF(Settings!$E$9="FANTRAX",VLOOKUP(B164,ADP!A1:E665,4,FALSE),VLOOKUP(B164,ADP!A1:E665,5,FALSE))))</f>
        <v>138.9</v>
      </c>
      <c r="N164" s="54">
        <f>IFERROR(M164-A164,"N/A")</f>
        <v>-24.099999999999994</v>
      </c>
      <c r="O164" s="54"/>
      <c r="P164" s="55" t="str">
        <f>IF(Settings!$E$27="ON",VLOOKUP(B164,ADP!A1:H665,8,FALSE)," ")</f>
        <v xml:space="preserve"> </v>
      </c>
      <c r="Q164" s="56">
        <f>IF(Settings!$E$12="YES",VLOOKUP(B164,'Player Data'!A1:E667,5,FALSE),82)</f>
        <v>77.972499999999997</v>
      </c>
      <c r="R164" s="81">
        <f>VLOOKUP(B164,'Player Data'!$A1:$AE667,6,FALSE)</f>
        <v>16.9242672078006</v>
      </c>
      <c r="S164" s="56">
        <f>VLOOKUP(B164,'Player Data'!$A1:$AE667,7,FALSE)*$Q164*IFERROR((VLOOKUP(P164,Settings!$E$28:$F$33,2,FALSE)+1),1)</f>
        <v>13.485785936484938</v>
      </c>
      <c r="T164" s="56">
        <f>VLOOKUP(B164,'Player Data'!$A1:$AE667,8,FALSE)*$Q164*IFERROR((VLOOKUP(P164,Settings!$E$28:$F$33,2,FALSE)+1),1)</f>
        <v>39.375386831899782</v>
      </c>
      <c r="U164" s="56">
        <f>SUM(S164:T164)</f>
        <v>52.861172768384719</v>
      </c>
      <c r="V164" s="56">
        <f>VLOOKUP(B164,'Player Data'!$A1:$AE667,10,FALSE)*$Q164*IFERROR(((VLOOKUP(P164,Settings!$E$28:$F$33,2,FALSE)/2)+1),1)</f>
        <v>164.76703823943132</v>
      </c>
      <c r="W164" s="56">
        <f>VLOOKUP(B164,'Player Data'!$A1:$AE667,11,FALSE)*$Q164*IFERROR((VLOOKUP(P164,Settings!$E$28:$F$33,2,FALSE)+1),1)</f>
        <v>4.5756893127756388</v>
      </c>
      <c r="X164" s="57">
        <f>VLOOKUP(B164,'Player Data'!$A1:$AE667,12,FALSE)*$Q164*IFERROR((VLOOKUP(P164,Settings!$E$28:$F$33,2,FALSE)+1),1)</f>
        <v>22.187200882052231</v>
      </c>
      <c r="Y164" s="56">
        <f>VLOOKUP(B164,'Player Data'!$A1:$AE667,13,FALSE)*$Q164</f>
        <v>9.5498589506054828E-3</v>
      </c>
      <c r="Z164" s="56">
        <f>VLOOKUP(B164,'Player Data'!$A1:$AE667,14,FALSE)*$Q164</f>
        <v>1.7354414368617344E-2</v>
      </c>
      <c r="AA164" s="56">
        <f>VLOOKUP(B164,'Player Data'!$A1:$AE667,15,FALSE)*$Q164</f>
        <v>47.31126088191008</v>
      </c>
      <c r="AB164" s="56">
        <f>VLOOKUP(B164,'Player Data'!$A1:$AE667,16,FALSE)*$Q164</f>
        <v>37.547606073808439</v>
      </c>
      <c r="AC164" s="56">
        <f>VLOOKUP(B164,'Player Data'!$A1:$AE667,17,FALSE)*$Q164*IFERROR((VLOOKUP(P164,Settings!$E$28:$F$33,2,FALSE)+1),1)</f>
        <v>0.58108833779087488</v>
      </c>
      <c r="AD164" s="56">
        <f>VLOOKUP(B164,'Player Data'!$A1:$AE667,18,FALSE)*$Q164</f>
        <v>27.531977794678031</v>
      </c>
      <c r="AE164" s="56">
        <f>VLOOKUP(B164,'Player Data'!$A1:$AE667,19,FALSE)*$Q164*IFERROR((VLOOKUP(P164,Settings!$E$28:$F$33,2,FALSE)+1),1)</f>
        <v>2.2262217699350035</v>
      </c>
      <c r="AF164" s="56">
        <f>VLOOKUP(B164,'Player Data'!$A1:$AE667,20,FALSE)*$Q164</f>
        <v>25.723553091568238</v>
      </c>
      <c r="AG164" s="56">
        <f>VLOOKUP(B164,'Player Data'!$A1:$AE667,21,FALSE)*$Q164</f>
        <v>40.879805993557824</v>
      </c>
      <c r="AH164" s="58">
        <f>VLOOKUP(B164,'Player Data'!$A1:$AE667,22,FALSE)</f>
        <v>0.38622005623906802</v>
      </c>
      <c r="AI164" s="54"/>
      <c r="AJ164" s="56"/>
      <c r="AK164" s="56"/>
      <c r="AL164" s="56"/>
      <c r="AM164" s="56"/>
      <c r="AN164" s="56"/>
      <c r="AO164" s="56"/>
      <c r="AP164" s="56"/>
      <c r="AQ164" s="59"/>
      <c r="AR164" s="60"/>
      <c r="AS164" s="54"/>
    </row>
    <row r="165" spans="1:45" ht="21.25" customHeight="1" x14ac:dyDescent="0.15">
      <c r="A165" s="45">
        <f>RANK(K165,K$1:K$665)</f>
        <v>164</v>
      </c>
      <c r="B165" s="9" t="s">
        <v>290</v>
      </c>
      <c r="C165" s="46" t="s">
        <v>127</v>
      </c>
      <c r="D165" s="47" t="str">
        <f>VLOOKUP(B165,'Player Data'!A1:D667,4,FALSE)</f>
        <v>G</v>
      </c>
      <c r="E165" s="73">
        <f>VLOOKUP(B165,G!A1:D65,3,FALSE)</f>
        <v>19</v>
      </c>
      <c r="F165" s="65" t="str">
        <f>VLOOKUP(B165,'Player Data'!A1:B667,2,FALSE)</f>
        <v>L.A</v>
      </c>
      <c r="G165" s="63">
        <f>VLOOKUP(B165,'Player Data'!A1:D667,3,FALSE)</f>
        <v>34</v>
      </c>
      <c r="H165" s="50">
        <f>IFERROR(VLOOKUP(B165,ADP!A1:G665,7,FALSE)/1000000,VLOOKUP(B165,ADP!A1:G665,7,FALSE))</f>
        <v>5.25</v>
      </c>
      <c r="I165" s="51">
        <f>IF(Settings!$E$15="POINTS",(AJ165*Settings!$B$29)+(AK165*Settings!$B$21)+(AL165*Settings!$B$22)+(AN165*Settings!$B$24)+(AO165*Settings!$B$25)+(AP165*Settings!$B$27)+(AM165*Settings!$B$23),VLOOKUP(B165,'Standard Deviations'!A1:C666,3,FALSE))</f>
        <v>328.61454433665597</v>
      </c>
      <c r="J165" s="52">
        <f>IF(D165="G",I165/AJ165,I165/Q165)</f>
        <v>6.5722908867331196</v>
      </c>
      <c r="K165" s="51">
        <f>VLOOKUP(B165,G!A1:F65,6,FALSE)</f>
        <v>-82.045198432764209</v>
      </c>
      <c r="L165" s="53">
        <f>IFERROR(K165/H165,"N/A")</f>
        <v>-15.627656844336039</v>
      </c>
      <c r="M165" s="54">
        <f>IF(Settings!$E$9="YAHOO",VLOOKUP(B165,ADP!A1:E665,2,FALSE),IF(Settings!$E$9="ESPN",VLOOKUP(B165,ADP!A1:E665,3,FALSE),IF(Settings!$E$9="FANTRAX",VLOOKUP(B165,ADP!A1:E665,4,FALSE),VLOOKUP(B165,ADP!A1:E665,5,FALSE))))</f>
        <v>105.7</v>
      </c>
      <c r="N165" s="54">
        <f>IFERROR(M165-A165,"N/A")</f>
        <v>-58.3</v>
      </c>
      <c r="O165" s="54"/>
      <c r="P165" s="55" t="str">
        <f>IF(Settings!$E$27="ON",VLOOKUP(B165,ADP!A1:H665,8,FALSE)," ")</f>
        <v xml:space="preserve"> </v>
      </c>
      <c r="Q165" s="56"/>
      <c r="R165" s="54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8"/>
      <c r="AI165" s="54"/>
      <c r="AJ165" s="64">
        <f>VLOOKUP(B165,'Player Data'!$A1:$AE667,24,FALSE)</f>
        <v>50</v>
      </c>
      <c r="AK165" s="56">
        <f>VLOOKUP(B165,'Player Data'!$A1:$AE667,25,FALSE)*$AJ165*IFERROR((VLOOKUP(P165,Settings!$E$28:$F$33,2,FALSE)+1),1)</f>
        <v>27.735636624147446</v>
      </c>
      <c r="AL165" s="56">
        <f>AJ165-AK165-AM165</f>
        <v>16.014363375852554</v>
      </c>
      <c r="AM165" s="56">
        <f>VLOOKUP(B165,'Player Data'!$A1:$AE667,27,FALSE)*$AJ165</f>
        <v>6.25</v>
      </c>
      <c r="AN165" s="56">
        <f>VLOOKUP(B165,'Player Data'!$A1:$AE667,28,FALSE)*AJ165</f>
        <v>3.23361643951859</v>
      </c>
      <c r="AO165" s="56">
        <f>VLOOKUP(B165,'Player Data'!$A1:$AE667,29,FALSE)*$AJ165*IFERROR((VLOOKUP(P165,Settings!$E$28:$F$33,2,FALSE)/4)+1,1)</f>
        <v>1290.61761886607</v>
      </c>
      <c r="AP165" s="56">
        <f>VLOOKUP(B165,'Player Data'!$A1:$AE667,31,FALSE)*$AJ165*(IFERROR(1-(VLOOKUP(P165,Settings!$E$28:$F$33,2,FALSE)/4),1))</f>
        <v>134.37826380278</v>
      </c>
      <c r="AQ165" s="59">
        <f>1-(AP165/(AO165+AP165))</f>
        <v>0.9056991915295185</v>
      </c>
      <c r="AR165" s="60">
        <f>AP165/AJ165</f>
        <v>2.6875652760555999</v>
      </c>
      <c r="AS165" s="54"/>
    </row>
    <row r="166" spans="1:45" ht="21.25" customHeight="1" x14ac:dyDescent="0.15">
      <c r="A166" s="45">
        <f>RANK(K166,K$1:K$665)</f>
        <v>165</v>
      </c>
      <c r="B166" s="9" t="s">
        <v>291</v>
      </c>
      <c r="C166" s="46" t="s">
        <v>127</v>
      </c>
      <c r="D166" s="47" t="str">
        <f>VLOOKUP(B166,'Player Data'!A1:D667,4,FALSE)</f>
        <v>D</v>
      </c>
      <c r="E166" s="66">
        <f>VLOOKUP(B166,D!A1:C213,3,FALSE)</f>
        <v>45</v>
      </c>
      <c r="F166" s="55" t="str">
        <f>VLOOKUP(B166,'Player Data'!A1:B667,2,FALSE)</f>
        <v>N.J</v>
      </c>
      <c r="G166" s="69">
        <f>VLOOKUP(B166,'Player Data'!A1:D667,3,FALSE)</f>
        <v>20</v>
      </c>
      <c r="H166" s="67">
        <f>IFERROR(VLOOKUP(B166,ADP!A1:G665,7,FALSE)/1000000,VLOOKUP(B166,ADP!A1:G665,7,FALSE))</f>
        <v>0.92500000000000004</v>
      </c>
      <c r="I166" s="51">
        <f>IF(Settings!$E$15="POINTS",((R166*Q166)*Settings!$B$12)+(S166*Settings!$B$2)+(T166*Settings!$B$3)+(U166*Settings!$B$4)+(V166*Settings!$B$5)+(X166*Settings!$B$9)+(AA166*Settings!$B$6)+(W166*Settings!$B$8)+(AB166*Settings!$B$7)+(AC166*Settings!$B$14)+(AD166*Settings!$B$15)+(AE166*Settings!$B$16)+(AF166*Settings!$B$17)+(AG166*Settings!$B$18)+(U166*Settings!$B$13)+(Y166*Settings!$B$10)+(Z166*Settings!$B$11),VLOOKUP(B166,'Standard Deviations'!A1:C666,3,FALSE))</f>
        <v>253.4547018668456</v>
      </c>
      <c r="J166" s="52">
        <f>IF(D166="G",I166/AJ166,I166/Q166)</f>
        <v>3.1414811832777092</v>
      </c>
      <c r="K166" s="51">
        <f>VLOOKUP(B166,D!A1:F213,6,FALSE)</f>
        <v>-82.779423178749312</v>
      </c>
      <c r="L166" s="53">
        <f>IFERROR(K166/H166,"N/A")</f>
        <v>-89.491268301350601</v>
      </c>
      <c r="M166" s="54">
        <f>IF(Settings!$E$9="YAHOO",VLOOKUP(B166,ADP!A1:E665,2,FALSE),IF(Settings!$E$9="ESPN",VLOOKUP(B166,ADP!A1:E665,3,FALSE),IF(Settings!$E$9="FANTRAX",VLOOKUP(B166,ADP!A1:E665,4,FALSE),VLOOKUP(B166,ADP!A1:E665,5,FALSE))))</f>
        <v>106.2</v>
      </c>
      <c r="N166" s="54">
        <f>IFERROR(M166-A166,"N/A")</f>
        <v>-58.8</v>
      </c>
      <c r="O166" s="54"/>
      <c r="P166" s="55" t="str">
        <f>IF(Settings!$E$27="ON",VLOOKUP(B166,ADP!A1:H665,8,FALSE)," ")</f>
        <v xml:space="preserve"> </v>
      </c>
      <c r="Q166" s="56">
        <f>IF(Settings!$E$12="YES",VLOOKUP(B166,'Player Data'!A1:E667,5,FALSE),82)</f>
        <v>80.680000000000007</v>
      </c>
      <c r="R166" s="54">
        <f>VLOOKUP(B166,'Player Data'!$A1:$AE667,6,FALSE)</f>
        <v>20.663250131208098</v>
      </c>
      <c r="S166" s="56">
        <f>VLOOKUP(B166,'Player Data'!$A1:$AE667,7,FALSE)*$Q166*IFERROR((VLOOKUP(P166,Settings!$E$28:$F$33,2,FALSE)+1),1)</f>
        <v>9.1566320642395311</v>
      </c>
      <c r="T166" s="56">
        <f>VLOOKUP(B166,'Player Data'!$A1:$AE667,8,FALSE)*$Q166*IFERROR((VLOOKUP(P166,Settings!$E$28:$F$33,2,FALSE)+1),1)</f>
        <v>35.796577743968555</v>
      </c>
      <c r="U166" s="56">
        <f>SUM(S166:T166)</f>
        <v>44.953209808208086</v>
      </c>
      <c r="V166" s="56">
        <f>VLOOKUP(B166,'Player Data'!$A1:$AE667,10,FALSE)*$Q166*IFERROR(((VLOOKUP(P166,Settings!$E$28:$F$33,2,FALSE)/2)+1),1)</f>
        <v>127.266814616722</v>
      </c>
      <c r="W166" s="56">
        <f>VLOOKUP(B166,'Player Data'!$A1:$AE667,11,FALSE)*$Q166*IFERROR((VLOOKUP(P166,Settings!$E$28:$F$33,2,FALSE)+1),1)</f>
        <v>3.2039871169069563</v>
      </c>
      <c r="X166" s="78">
        <f>VLOOKUP(B166,'Player Data'!$A1:$AE667,12,FALSE)*$Q166*IFERROR((VLOOKUP(P166,Settings!$E$28:$F$33,2,FALSE)+1),1)</f>
        <v>19.288376266924057</v>
      </c>
      <c r="Y166" s="56">
        <f>VLOOKUP(B166,'Player Data'!$A1:$AE667,13,FALSE)*$Q166</f>
        <v>6.2364406407501224E-3</v>
      </c>
      <c r="Z166" s="56">
        <f>VLOOKUP(B166,'Player Data'!$A1:$AE667,14,FALSE)*$Q166</f>
        <v>3.0416262727694255E-2</v>
      </c>
      <c r="AA166" s="56">
        <f>VLOOKUP(B166,'Player Data'!$A1:$AE667,15,FALSE)*$Q166</f>
        <v>71.285745208417197</v>
      </c>
      <c r="AB166" s="56">
        <f>VLOOKUP(B166,'Player Data'!$A1:$AE667,16,FALSE)*$Q166</f>
        <v>44.068487790372217</v>
      </c>
      <c r="AC166" s="56">
        <f>VLOOKUP(B166,'Player Data'!$A1:$AE667,17,FALSE)*$Q166*IFERROR((VLOOKUP(P166,Settings!$E$28:$F$33,2,FALSE)+1),1)</f>
        <v>2.3248624401720006</v>
      </c>
      <c r="AD166" s="56">
        <f>VLOOKUP(B166,'Player Data'!$A1:$AE667,18,FALSE)*$Q166</f>
        <v>32.002728841442689</v>
      </c>
      <c r="AE166" s="56">
        <f>VLOOKUP(B166,'Player Data'!$A1:$AE667,19,FALSE)*$Q166*IFERROR((VLOOKUP(P166,Settings!$E$28:$F$33,2,FALSE)+1),1)</f>
        <v>1.3815189592571531</v>
      </c>
      <c r="AF166" s="56">
        <f>VLOOKUP(B166,'Player Data'!$A1:$AE667,20,FALSE)*$Q166</f>
        <v>0</v>
      </c>
      <c r="AG166" s="56">
        <f>VLOOKUP(B166,'Player Data'!$A1:$AE667,21,FALSE)*$Q166</f>
        <v>0</v>
      </c>
      <c r="AH166" s="58">
        <f>VLOOKUP(B166,'Player Data'!$A1:$AE667,22,FALSE)</f>
        <v>0</v>
      </c>
      <c r="AI166" s="54"/>
      <c r="AJ166" s="56"/>
      <c r="AK166" s="56"/>
      <c r="AL166" s="56"/>
      <c r="AM166" s="56"/>
      <c r="AN166" s="56"/>
      <c r="AO166" s="56"/>
      <c r="AP166" s="56"/>
      <c r="AQ166" s="59"/>
      <c r="AR166" s="60"/>
      <c r="AS166" s="54"/>
    </row>
    <row r="167" spans="1:45" ht="21.25" customHeight="1" x14ac:dyDescent="0.15">
      <c r="A167" s="45">
        <f>RANK(K167,K$1:K$665)</f>
        <v>166</v>
      </c>
      <c r="B167" s="9" t="s">
        <v>292</v>
      </c>
      <c r="C167" s="46" t="s">
        <v>127</v>
      </c>
      <c r="D167" s="47" t="str">
        <f>VLOOKUP(B167,'Player Data'!A1:D667,4,FALSE)</f>
        <v>G</v>
      </c>
      <c r="E167" s="73">
        <f>VLOOKUP(B167,G!A1:D65,3,FALSE)</f>
        <v>20</v>
      </c>
      <c r="F167" s="65" t="str">
        <f>VLOOKUP(B167,'Player Data'!A1:B667,2,FALSE)</f>
        <v>MIN</v>
      </c>
      <c r="G167" s="69">
        <f>VLOOKUP(B167,'Player Data'!A1:D667,3,FALSE)</f>
        <v>26</v>
      </c>
      <c r="H167" s="50">
        <f>IFERROR(VLOOKUP(B167,ADP!A1:G665,7,FALSE)/1000000,VLOOKUP(B167,ADP!A1:G665,7,FALSE))</f>
        <v>3.75</v>
      </c>
      <c r="I167" s="51">
        <f>IF(Settings!$E$15="POINTS",(AJ167*Settings!$B$29)+(AK167*Settings!$B$21)+(AL167*Settings!$B$22)+(AN167*Settings!$B$24)+(AO167*Settings!$B$25)+(AP167*Settings!$B$27)+(AM167*Settings!$B$23),VLOOKUP(B167,'Standard Deviations'!A1:C666,3,FALSE))</f>
        <v>327.66893085394713</v>
      </c>
      <c r="J167" s="52">
        <f>IF(D167="G",I167/AJ167,I167/Q167)</f>
        <v>6.553378617078943</v>
      </c>
      <c r="K167" s="51">
        <f>VLOOKUP(B167,G!A1:F65,6,FALSE)</f>
        <v>-82.990811915473046</v>
      </c>
      <c r="L167" s="53">
        <f>IFERROR(K167/H167,"N/A")</f>
        <v>-22.130883177459477</v>
      </c>
      <c r="M167" s="54">
        <f>IF(Settings!$E$9="YAHOO",VLOOKUP(B167,ADP!A1:E665,2,FALSE),IF(Settings!$E$9="ESPN",VLOOKUP(B167,ADP!A1:E665,3,FALSE),IF(Settings!$E$9="FANTRAX",VLOOKUP(B167,ADP!A1:E665,4,FALSE),VLOOKUP(B167,ADP!A1:E665,5,FALSE))))</f>
        <v>158.9</v>
      </c>
      <c r="N167" s="54">
        <f>IFERROR(M167-A167,"N/A")</f>
        <v>-7.0999999999999943</v>
      </c>
      <c r="O167" s="54"/>
      <c r="P167" s="55" t="str">
        <f>IF(Settings!$E$27="ON",VLOOKUP(B167,ADP!A1:H665,8,FALSE)," ")</f>
        <v>-</v>
      </c>
      <c r="Q167" s="56"/>
      <c r="R167" s="54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8"/>
      <c r="AI167" s="54"/>
      <c r="AJ167" s="64">
        <f>VLOOKUP(B167,'Player Data'!$A1:$AE667,24,FALSE)</f>
        <v>50</v>
      </c>
      <c r="AK167" s="56">
        <f>VLOOKUP(B167,'Player Data'!$A1:$AE667,25,FALSE)*$AJ167*IFERROR((VLOOKUP(P167,Settings!$E$28:$F$33,2,FALSE)+1),1)</f>
        <v>25.706318377696956</v>
      </c>
      <c r="AL167" s="56">
        <f>AJ167-AK167-AM167</f>
        <v>18.043681622303044</v>
      </c>
      <c r="AM167" s="56">
        <f>VLOOKUP(B167,'Player Data'!$A1:$AE667,27,FALSE)*$AJ167</f>
        <v>6.25</v>
      </c>
      <c r="AN167" s="56">
        <f>VLOOKUP(B167,'Player Data'!$A1:$AE667,28,FALSE)*AJ167</f>
        <v>3.9424384579428748</v>
      </c>
      <c r="AO167" s="56">
        <f>VLOOKUP(B167,'Player Data'!$A1:$AE667,29,FALSE)*$AJ167*IFERROR((VLOOKUP(P167,Settings!$E$28:$F$33,2,FALSE)/4)+1,1)</f>
        <v>1254.974550903579</v>
      </c>
      <c r="AP167" s="56">
        <f>VLOOKUP(B167,'Player Data'!$A1:$AE667,31,FALSE)*$AJ167*(IFERROR(1-(VLOOKUP(P167,Settings!$E$28:$F$33,2,FALSE)/4),1))</f>
        <v>126.95991272962536</v>
      </c>
      <c r="AQ167" s="59">
        <f>1-(AP167/(AO167+AP167))</f>
        <v>0.90812884686598039</v>
      </c>
      <c r="AR167" s="60">
        <f>AP167/AJ167</f>
        <v>2.5391982545925074</v>
      </c>
      <c r="AS167" s="54"/>
    </row>
    <row r="168" spans="1:45" ht="21.25" customHeight="1" x14ac:dyDescent="0.15">
      <c r="A168" s="45">
        <f>RANK(K168,K$1:K$665)</f>
        <v>167</v>
      </c>
      <c r="B168" s="9" t="s">
        <v>293</v>
      </c>
      <c r="C168" s="46" t="s">
        <v>127</v>
      </c>
      <c r="D168" s="47" t="str">
        <f>VLOOKUP(B168,'Player Data'!A1:D667,4,FALSE)</f>
        <v>C/LW</v>
      </c>
      <c r="E168" s="68">
        <f>VLOOKUP(B168,LW!A1:C152,3,FALSE)</f>
        <v>45</v>
      </c>
      <c r="F168" s="82" t="str">
        <f>VLOOKUP(B168,'Player Data'!A1:B667,2,FALSE)</f>
        <v>ANA</v>
      </c>
      <c r="G168" s="63">
        <f>VLOOKUP(B168,'Player Data'!A1:D667,3,FALSE)</f>
        <v>30</v>
      </c>
      <c r="H168" s="67">
        <f>IFERROR(VLOOKUP(B168,ADP!A1:G665,7,FALSE)/1000000,VLOOKUP(B168,ADP!A1:G665,7,FALSE))</f>
        <v>3.65</v>
      </c>
      <c r="I168" s="51">
        <f>IF(Settings!$E$15="POINTS",((R168*Q168)*Settings!$B$12)+(S168*Settings!$B$2)+(T168*Settings!$B$3)+(U168*Settings!$B$4)+(V168*Settings!$B$5)+(X168*Settings!$B$9)+(AA168*Settings!$B$6)+(W168*Settings!$B$8)+(AB168*Settings!$B$7)+(AC168*Settings!$B$14)+(AD168*Settings!$B$15)+(AE168*Settings!$B$16)+(AF168*Settings!$B$17)+(AG168*Settings!$B$18)+(Y168*Settings!$B$10)+(Z168*Settings!$B$11),VLOOKUP(B168,'Standard Deviations'!A1:C666,3,FALSE))</f>
        <v>297.58783965303007</v>
      </c>
      <c r="J168" s="52">
        <f>IF(D168="G",I168/AJ168,I168/Q168)</f>
        <v>3.6833597135010065</v>
      </c>
      <c r="K168" s="51">
        <f>IF(Settings!$E$18="C/LW/RW",VLOOKUP(B168,LW!A1:F152,6,FALSE),VLOOKUP(B168,F!A1:F392,6,FALSE))</f>
        <v>-83.473672649469677</v>
      </c>
      <c r="L168" s="53">
        <f>IFERROR(K168/H168,"N/A")</f>
        <v>-22.869499356019091</v>
      </c>
      <c r="M168" s="54">
        <f>IF(Settings!$E$9="YAHOO",VLOOKUP(B168,ADP!A1:E665,2,FALSE),IF(Settings!$E$9="ESPN",VLOOKUP(B168,ADP!A1:E665,3,FALSE),IF(Settings!$E$9="FANTRAX",VLOOKUP(B168,ADP!A1:E665,4,FALSE),VLOOKUP(B168,ADP!A1:E665,5,FALSE))))</f>
        <v>147</v>
      </c>
      <c r="N168" s="54">
        <f>IFERROR(M168-A168,"N/A")</f>
        <v>-20</v>
      </c>
      <c r="O168" s="54"/>
      <c r="P168" s="55" t="str">
        <f>IF(Settings!$E$27="ON",VLOOKUP(B168,ADP!A1:H665,8,FALSE)," ")</f>
        <v xml:space="preserve"> </v>
      </c>
      <c r="Q168" s="56">
        <f>IF(Settings!$E$12="YES",VLOOKUP(B168,'Player Data'!A1:E667,5,FALSE),82)</f>
        <v>80.792500000000004</v>
      </c>
      <c r="R168" s="81">
        <f>VLOOKUP(B168,'Player Data'!$A1:$AE667,6,FALSE)</f>
        <v>16.712256189531299</v>
      </c>
      <c r="S168" s="56">
        <f>VLOOKUP(B168,'Player Data'!$A1:$AE667,7,FALSE)*$Q168*IFERROR((VLOOKUP(P168,Settings!$E$28:$F$33,2,FALSE)+1),1)</f>
        <v>25.894779111286461</v>
      </c>
      <c r="T168" s="56">
        <f>VLOOKUP(B168,'Player Data'!$A1:$AE667,8,FALSE)*$Q168*IFERROR((VLOOKUP(P168,Settings!$E$28:$F$33,2,FALSE)+1),1)</f>
        <v>19.856939218294169</v>
      </c>
      <c r="U168" s="56">
        <f>SUM(S168:T168)</f>
        <v>45.751718329580626</v>
      </c>
      <c r="V168" s="56">
        <f>VLOOKUP(B168,'Player Data'!$A1:$AE667,10,FALSE)*$Q168*IFERROR(((VLOOKUP(P168,Settings!$E$28:$F$33,2,FALSE)/2)+1),1)</f>
        <v>225.44781796553033</v>
      </c>
      <c r="W168" s="56">
        <f>VLOOKUP(B168,'Player Data'!$A1:$AE667,11,FALSE)*$Q168*IFERROR((VLOOKUP(P168,Settings!$E$28:$F$33,2,FALSE)+1),1)</f>
        <v>6.590703132677433</v>
      </c>
      <c r="X168" s="56">
        <f>VLOOKUP(B168,'Player Data'!$A1:$AE667,12,FALSE)*$Q168*IFERROR((VLOOKUP(P168,Settings!$E$28:$F$33,2,FALSE)+1),1)</f>
        <v>11.0485575723923</v>
      </c>
      <c r="Y168" s="56">
        <f>VLOOKUP(B168,'Player Data'!$A1:$AE667,13,FALSE)*$Q168</f>
        <v>1.3717338030830537</v>
      </c>
      <c r="Z168" s="56">
        <f>VLOOKUP(B168,'Player Data'!$A1:$AE667,14,FALSE)*$Q168</f>
        <v>2.1185562877546849</v>
      </c>
      <c r="AA168" s="56">
        <f>VLOOKUP(B168,'Player Data'!$A1:$AE667,15,FALSE)*$Q168</f>
        <v>68.883323642751975</v>
      </c>
      <c r="AB168" s="56">
        <f>VLOOKUP(B168,'Player Data'!$A1:$AE667,16,FALSE)*$Q168</f>
        <v>120.36399594874186</v>
      </c>
      <c r="AC168" s="56">
        <f>VLOOKUP(B168,'Player Data'!$A1:$AE667,17,FALSE)*$Q168*IFERROR((VLOOKUP(P168,Settings!$E$28:$F$33,2,FALSE)+1),1)</f>
        <v>-9.1562879234372758</v>
      </c>
      <c r="AD168" s="56">
        <f>VLOOKUP(B168,'Player Data'!$A1:$AE667,18,FALSE)*$Q168</f>
        <v>52.510982302076698</v>
      </c>
      <c r="AE168" s="56">
        <f>VLOOKUP(B168,'Player Data'!$A1:$AE667,19,FALSE)*$Q168*IFERROR((VLOOKUP(P168,Settings!$E$28:$F$33,2,FALSE)+1),1)</f>
        <v>3.0182837832144402</v>
      </c>
      <c r="AF168" s="56">
        <f>VLOOKUP(B168,'Player Data'!$A1:$AE667,20,FALSE)*$Q168</f>
        <v>9.4183740994796352</v>
      </c>
      <c r="AG168" s="56">
        <f>VLOOKUP(B168,'Player Data'!$A1:$AE667,21,FALSE)*$Q168</f>
        <v>14.95563094793852</v>
      </c>
      <c r="AH168" s="58">
        <f>VLOOKUP(B168,'Player Data'!$A1:$AE667,22,FALSE)</f>
        <v>0.38641060757789902</v>
      </c>
      <c r="AI168" s="54"/>
      <c r="AJ168" s="64"/>
      <c r="AK168" s="56"/>
      <c r="AL168" s="56"/>
      <c r="AM168" s="56"/>
      <c r="AN168" s="56"/>
      <c r="AO168" s="56"/>
      <c r="AP168" s="56"/>
      <c r="AQ168" s="59"/>
      <c r="AR168" s="60"/>
      <c r="AS168" s="54"/>
    </row>
    <row r="169" spans="1:45" ht="21.25" customHeight="1" x14ac:dyDescent="0.15">
      <c r="A169" s="45">
        <f>RANK(K169,K$1:K$665)</f>
        <v>168</v>
      </c>
      <c r="B169" s="9" t="s">
        <v>294</v>
      </c>
      <c r="C169" s="46" t="s">
        <v>127</v>
      </c>
      <c r="D169" s="47" t="str">
        <f>VLOOKUP(B169,'Player Data'!A1:D667,4,FALSE)</f>
        <v>C/RW</v>
      </c>
      <c r="E169" s="68">
        <f>VLOOKUP(B169,RW!A1:C136,3,FALSE)</f>
        <v>45</v>
      </c>
      <c r="F169" s="55" t="str">
        <f>VLOOKUP(B169,'Player Data'!A1:B667,2,FALSE)</f>
        <v>DAL</v>
      </c>
      <c r="G169" s="63">
        <f>VLOOKUP(B169,'Player Data'!A1:D667,3,FALSE)</f>
        <v>33</v>
      </c>
      <c r="H169" s="67">
        <f>IFERROR(VLOOKUP(B169,ADP!A1:G665,7,FALSE)/1000000,VLOOKUP(B169,ADP!A1:G665,7,FALSE))</f>
        <v>3</v>
      </c>
      <c r="I169" s="51">
        <f>IF(Settings!$E$15="POINTS",((R169*Q169)*Settings!$B$12)+(S169*Settings!$B$2)+(T169*Settings!$B$3)+(U169*Settings!$B$4)+(V169*Settings!$B$5)+(X169*Settings!$B$9)+(AA169*Settings!$B$6)+(W169*Settings!$B$8)+(AB169*Settings!$B$7)+(AC169*Settings!$B$14)+(AD169*Settings!$B$15)+(AE169*Settings!$B$16)+(AF169*Settings!$B$17)+(AG169*Settings!$B$18)+(Y169*Settings!$B$10)+(Z169*Settings!$B$11),VLOOKUP(B169,'Standard Deviations'!A1:C666,3,FALSE))</f>
        <v>285.0725543643324</v>
      </c>
      <c r="J169" s="52">
        <f>IF(D169="G",I169/AJ169,I169/Q169)</f>
        <v>3.574017293393918</v>
      </c>
      <c r="K169" s="51">
        <f>IF(Settings!$E$18="C/LW/RW",VLOOKUP(B169,RW!A1:F136,6,FALSE),VLOOKUP(B169,F!A1:F392,6,FALSE))</f>
        <v>-83.775168741959988</v>
      </c>
      <c r="L169" s="53">
        <f>IFERROR(K169/H169,"N/A")</f>
        <v>-27.925056247319997</v>
      </c>
      <c r="M169" s="54">
        <f>IF(Settings!$E$9="YAHOO",VLOOKUP(B169,ADP!A1:E665,2,FALSE),IF(Settings!$E$9="ESPN",VLOOKUP(B169,ADP!A1:E665,3,FALSE),IF(Settings!$E$9="FANTRAX",VLOOKUP(B169,ADP!A1:E665,4,FALSE),VLOOKUP(B169,ADP!A1:E665,5,FALSE))))</f>
        <v>168.4</v>
      </c>
      <c r="N169" s="54">
        <f>IFERROR(M169-A169,"N/A")</f>
        <v>0.40000000000000568</v>
      </c>
      <c r="O169" s="54"/>
      <c r="P169" s="55" t="str">
        <f>IF(Settings!$E$27="ON",VLOOKUP(B169,ADP!A1:H665,8,FALSE)," ")</f>
        <v xml:space="preserve"> </v>
      </c>
      <c r="Q169" s="56">
        <f>IF(Settings!$E$12="YES",VLOOKUP(B169,'Player Data'!A1:E667,5,FALSE),82)</f>
        <v>79.762500000000003</v>
      </c>
      <c r="R169" s="54">
        <f>VLOOKUP(B169,'Player Data'!$A1:$AE667,6,FALSE)</f>
        <v>16.2386835614281</v>
      </c>
      <c r="S169" s="56">
        <f>VLOOKUP(B169,'Player Data'!$A1:$AE667,7,FALSE)*$Q169*IFERROR((VLOOKUP(P169,Settings!$E$28:$F$33,2,FALSE)+1),1)</f>
        <v>22.555159642331212</v>
      </c>
      <c r="T169" s="56">
        <f>VLOOKUP(B169,'Player Data'!$A1:$AE667,8,FALSE)*$Q169*IFERROR((VLOOKUP(P169,Settings!$E$28:$F$33,2,FALSE)+1),1)</f>
        <v>33.513877642625182</v>
      </c>
      <c r="U169" s="56">
        <f>SUM(S169:T169)</f>
        <v>56.069037284956394</v>
      </c>
      <c r="V169" s="56">
        <f>VLOOKUP(B169,'Player Data'!$A1:$AE667,10,FALSE)*$Q169*IFERROR(((VLOOKUP(P169,Settings!$E$28:$F$33,2,FALSE)/2)+1),1)</f>
        <v>167.50599323851458</v>
      </c>
      <c r="W169" s="56">
        <f>VLOOKUP(B169,'Player Data'!$A1:$AE667,11,FALSE)*$Q169*IFERROR((VLOOKUP(P169,Settings!$E$28:$F$33,2,FALSE)+1),1)</f>
        <v>5.1082039445264282</v>
      </c>
      <c r="X169" s="56">
        <f>VLOOKUP(B169,'Player Data'!$A1:$AE667,12,FALSE)*$Q169*IFERROR((VLOOKUP(P169,Settings!$E$28:$F$33,2,FALSE)+1),1)</f>
        <v>12.283443257809415</v>
      </c>
      <c r="Y169" s="56">
        <f>VLOOKUP(B169,'Player Data'!$A1:$AE667,13,FALSE)*$Q169</f>
        <v>6.563227974720566E-2</v>
      </c>
      <c r="Z169" s="56">
        <f>VLOOKUP(B169,'Player Data'!$A1:$AE667,14,FALSE)*$Q169</f>
        <v>0.11241071329351864</v>
      </c>
      <c r="AA169" s="56">
        <f>VLOOKUP(B169,'Player Data'!$A1:$AE667,15,FALSE)*$Q169</f>
        <v>41.43318383820597</v>
      </c>
      <c r="AB169" s="56">
        <f>VLOOKUP(B169,'Player Data'!$A1:$AE667,16,FALSE)*$Q169</f>
        <v>34.962329137561731</v>
      </c>
      <c r="AC169" s="56">
        <f>VLOOKUP(B169,'Player Data'!$A1:$AE667,17,FALSE)*$Q169*IFERROR((VLOOKUP(P169,Settings!$E$28:$F$33,2,FALSE)+1),1)</f>
        <v>5.8565767293293973</v>
      </c>
      <c r="AD169" s="56">
        <f>VLOOKUP(B169,'Player Data'!$A1:$AE667,18,FALSE)*$Q169</f>
        <v>25.809993659485041</v>
      </c>
      <c r="AE169" s="56">
        <f>VLOOKUP(B169,'Player Data'!$A1:$AE667,19,FALSE)*$Q169*IFERROR((VLOOKUP(P169,Settings!$E$28:$F$33,2,FALSE)+1),1)</f>
        <v>3.6069921190509415</v>
      </c>
      <c r="AF169" s="56">
        <f>VLOOKUP(B169,'Player Data'!$A1:$AE667,20,FALSE)*$Q169</f>
        <v>272.23421994619684</v>
      </c>
      <c r="AG169" s="56">
        <f>VLOOKUP(B169,'Player Data'!$A1:$AE667,21,FALSE)*$Q169</f>
        <v>225.56374479633908</v>
      </c>
      <c r="AH169" s="58">
        <f>VLOOKUP(B169,'Player Data'!$A1:$AE667,22,FALSE)</f>
        <v>0.54687692443057201</v>
      </c>
      <c r="AI169" s="54"/>
      <c r="AJ169" s="56"/>
      <c r="AK169" s="56"/>
      <c r="AL169" s="56"/>
      <c r="AM169" s="56"/>
      <c r="AN169" s="56"/>
      <c r="AO169" s="56"/>
      <c r="AP169" s="56"/>
      <c r="AQ169" s="59"/>
      <c r="AR169" s="60"/>
      <c r="AS169" s="54"/>
    </row>
    <row r="170" spans="1:45" ht="21.25" customHeight="1" x14ac:dyDescent="0.15">
      <c r="A170" s="45">
        <f>RANK(K170,K$1:K$665)</f>
        <v>169</v>
      </c>
      <c r="B170" s="9" t="s">
        <v>295</v>
      </c>
      <c r="C170" s="46" t="s">
        <v>127</v>
      </c>
      <c r="D170" s="47" t="str">
        <f>VLOOKUP(B170,'Player Data'!A1:D667,4,FALSE)</f>
        <v>LW</v>
      </c>
      <c r="E170" s="70">
        <f>VLOOKUP(B170,LW!A1:C152,3,FALSE)</f>
        <v>46</v>
      </c>
      <c r="F170" s="62" t="str">
        <f>VLOOKUP(B170,'Player Data'!A1:B667,2,FALSE)</f>
        <v>MTL</v>
      </c>
      <c r="G170" s="10">
        <f>VLOOKUP(B170,'Player Data'!A1:D667,3,FALSE)</f>
        <v>26</v>
      </c>
      <c r="H170" s="50">
        <f>IFERROR(VLOOKUP(B170,ADP!A1:G665,7,FALSE)/1000000,VLOOKUP(B170,ADP!A1:G665,7,FALSE))</f>
        <v>8.6999999999999993</v>
      </c>
      <c r="I170" s="51">
        <f>IF(Settings!$E$15="POINTS",((R170*Q170)*Settings!$B$12)+(S170*Settings!$B$2)+(T170*Settings!$B$3)+(U170*Settings!$B$4)+(V170*Settings!$B$5)+(X170*Settings!$B$9)+(AA170*Settings!$B$6)+(W170*Settings!$B$8)+(AB170*Settings!$B$7)+(AC170*Settings!$B$14)+(AD170*Settings!$B$15)+(AE170*Settings!$B$16)+(AF170*Settings!$B$17)+(AG170*Settings!$B$18)+(Y170*Settings!$B$10)+(Z170*Settings!$B$11),VLOOKUP(B170,'Standard Deviations'!A1:C666,3,FALSE))</f>
        <v>295.85403258294076</v>
      </c>
      <c r="J170" s="52">
        <f>IF(D170="G",I170/AJ170,I170/Q170)</f>
        <v>4.5970404783116301</v>
      </c>
      <c r="K170" s="51">
        <f>IF(Settings!$E$18="C/LW/RW",VLOOKUP(B170,LW!A1:F152,6,FALSE),VLOOKUP(B170,F!A1:F392,6,FALSE))</f>
        <v>-85.207479719558989</v>
      </c>
      <c r="L170" s="53">
        <f>IFERROR(K170/H170,"N/A")</f>
        <v>-9.7939631861562066</v>
      </c>
      <c r="M170" s="54">
        <f>IF(Settings!$E$9="YAHOO",VLOOKUP(B170,ADP!A1:E665,2,FALSE),IF(Settings!$E$9="ESPN",VLOOKUP(B170,ADP!A1:E665,3,FALSE),IF(Settings!$E$9="FANTRAX",VLOOKUP(B170,ADP!A1:E665,4,FALSE),VLOOKUP(B170,ADP!A1:E665,5,FALSE))))</f>
        <v>149</v>
      </c>
      <c r="N170" s="54">
        <f>IFERROR(M170-A170,"N/A")</f>
        <v>-20</v>
      </c>
      <c r="O170" s="54"/>
      <c r="P170" s="55" t="str">
        <f>IF(Settings!$E$27="ON",VLOOKUP(B170,ADP!A1:H665,8,FALSE)," ")</f>
        <v>+</v>
      </c>
      <c r="Q170" s="56">
        <f>IF(Settings!$E$12="YES",VLOOKUP(B170,'Player Data'!A1:E667,5,FALSE),82)</f>
        <v>64.357500000000002</v>
      </c>
      <c r="R170" s="75">
        <f>VLOOKUP(B170,'Player Data'!$A1:$AE667,6,FALSE)</f>
        <v>17.765671071872202</v>
      </c>
      <c r="S170" s="56">
        <f>VLOOKUP(B170,'Player Data'!$A1:$AE667,7,FALSE)*$Q170*IFERROR((VLOOKUP(P170,Settings!$E$28:$F$33,2,FALSE)+1),1)</f>
        <v>25.565026384826183</v>
      </c>
      <c r="T170" s="56">
        <f>VLOOKUP(B170,'Player Data'!$A1:$AE667,8,FALSE)*$Q170*IFERROR((VLOOKUP(P170,Settings!$E$28:$F$33,2,FALSE)+1),1)</f>
        <v>30.567221186995852</v>
      </c>
      <c r="U170" s="56">
        <f>SUM(S170:T170)</f>
        <v>56.132247571822035</v>
      </c>
      <c r="V170" s="56">
        <f>VLOOKUP(B170,'Player Data'!$A1:$AE667,10,FALSE)*$Q170*IFERROR(((VLOOKUP(P170,Settings!$E$28:$F$33,2,FALSE)/2)+1),1)</f>
        <v>185.55898494995859</v>
      </c>
      <c r="W170" s="56">
        <f>VLOOKUP(B170,'Player Data'!$A1:$AE667,11,FALSE)*$Q170*IFERROR((VLOOKUP(P170,Settings!$E$28:$F$33,2,FALSE)+1),1)</f>
        <v>7.4640398625266764</v>
      </c>
      <c r="X170" s="57">
        <f>VLOOKUP(B170,'Player Data'!$A1:$AE667,12,FALSE)*$Q170*IFERROR((VLOOKUP(P170,Settings!$E$28:$F$33,2,FALSE)+1),1)</f>
        <v>16.828305558138506</v>
      </c>
      <c r="Y170" s="56">
        <f>VLOOKUP(B170,'Player Data'!$A1:$AE667,13,FALSE)*$Q170</f>
        <v>7.100677624863572E-3</v>
      </c>
      <c r="Z170" s="56">
        <f>VLOOKUP(B170,'Player Data'!$A1:$AE667,14,FALSE)*$Q170</f>
        <v>1.1990934606018775E-2</v>
      </c>
      <c r="AA170" s="56">
        <f>VLOOKUP(B170,'Player Data'!$A1:$AE667,15,FALSE)*$Q170</f>
        <v>35.675001799501743</v>
      </c>
      <c r="AB170" s="56">
        <f>VLOOKUP(B170,'Player Data'!$A1:$AE667,16,FALSE)*$Q170</f>
        <v>36.791201083726513</v>
      </c>
      <c r="AC170" s="56">
        <f>VLOOKUP(B170,'Player Data'!$A1:$AE667,17,FALSE)*$Q170*IFERROR((VLOOKUP(P170,Settings!$E$28:$F$33,2,FALSE)+1),1)</f>
        <v>-6.1091418570409841</v>
      </c>
      <c r="AD170" s="56">
        <f>VLOOKUP(B170,'Player Data'!$A1:$AE667,18,FALSE)*$Q170</f>
        <v>21.088670325646049</v>
      </c>
      <c r="AE170" s="56">
        <f>VLOOKUP(B170,'Player Data'!$A1:$AE667,19,FALSE)*$Q170*IFERROR((VLOOKUP(P170,Settings!$E$28:$F$33,2,FALSE)+1),1)</f>
        <v>2.9630190937108858</v>
      </c>
      <c r="AF170" s="56">
        <f>VLOOKUP(B170,'Player Data'!$A1:$AE667,20,FALSE)*$Q170</f>
        <v>60.267391888570032</v>
      </c>
      <c r="AG170" s="56">
        <f>VLOOKUP(B170,'Player Data'!$A1:$AE667,21,FALSE)*$Q170</f>
        <v>106.64080035043837</v>
      </c>
      <c r="AH170" s="58">
        <f>VLOOKUP(B170,'Player Data'!$A1:$AE667,22,FALSE)</f>
        <v>0.361081089430701</v>
      </c>
      <c r="AI170" s="54"/>
      <c r="AJ170" s="64"/>
      <c r="AK170" s="56"/>
      <c r="AL170" s="56"/>
      <c r="AM170" s="56"/>
      <c r="AN170" s="56"/>
      <c r="AO170" s="56"/>
      <c r="AP170" s="56"/>
      <c r="AQ170" s="59"/>
      <c r="AR170" s="60"/>
      <c r="AS170" s="54"/>
    </row>
    <row r="171" spans="1:45" ht="21.25" customHeight="1" x14ac:dyDescent="0.15">
      <c r="A171" s="45">
        <f>RANK(K171,K$1:K$665)</f>
        <v>170</v>
      </c>
      <c r="B171" s="9" t="s">
        <v>296</v>
      </c>
      <c r="C171" s="46" t="s">
        <v>127</v>
      </c>
      <c r="D171" s="47" t="str">
        <f>VLOOKUP(B171,'Player Data'!A1:D667,4,FALSE)</f>
        <v>LW/RW</v>
      </c>
      <c r="E171" s="68">
        <f>VLOOKUP(B171,RW!A1:C136,3,FALSE)</f>
        <v>46</v>
      </c>
      <c r="F171" s="72" t="str">
        <f>VLOOKUP(B171,'Player Data'!A1:B667,2,FALSE)</f>
        <v>L.A</v>
      </c>
      <c r="G171" s="10">
        <f>VLOOKUP(B171,'Player Data'!A1:D667,3,FALSE)</f>
        <v>29</v>
      </c>
      <c r="H171" s="50">
        <f>IFERROR(VLOOKUP(B171,ADP!A1:G665,7,FALSE)/1000000,VLOOKUP(B171,ADP!A1:G665,7,FALSE))</f>
        <v>4.2</v>
      </c>
      <c r="I171" s="51">
        <f>IF(Settings!$E$15="POINTS",((R171*Q171)*Settings!$B$12)+(S171*Settings!$B$2)+(T171*Settings!$B$3)+(U171*Settings!$B$4)+(V171*Settings!$B$5)+(X171*Settings!$B$9)+(AA171*Settings!$B$6)+(W171*Settings!$B$8)+(AB171*Settings!$B$7)+(AC171*Settings!$B$14)+(AD171*Settings!$B$15)+(AE171*Settings!$B$16)+(AF171*Settings!$B$17)+(AG171*Settings!$B$18)+(Y171*Settings!$B$10)+(Z171*Settings!$B$11),VLOOKUP(B171,'Standard Deviations'!A1:C666,3,FALSE))</f>
        <v>283.62556590770259</v>
      </c>
      <c r="J171" s="52">
        <f>IF(D171="G",I171/AJ171,I171/Q171)</f>
        <v>3.6007943112032579</v>
      </c>
      <c r="K171" s="51">
        <f>IF(Settings!$E$18="C/LW/RW",VLOOKUP(B171,RW!A1:F136,6,FALSE),VLOOKUP(B171,F!A1:F392,6,FALSE))</f>
        <v>-85.222157198589798</v>
      </c>
      <c r="L171" s="53">
        <f>IFERROR(K171/H171,"N/A")</f>
        <v>-20.290989809188048</v>
      </c>
      <c r="M171" s="54">
        <f>IF(Settings!$E$9="YAHOO",VLOOKUP(B171,ADP!A1:E665,2,FALSE),IF(Settings!$E$9="ESPN",VLOOKUP(B171,ADP!A1:E665,3,FALSE),IF(Settings!$E$9="FANTRAX",VLOOKUP(B171,ADP!A1:E665,4,FALSE),VLOOKUP(B171,ADP!A1:E665,5,FALSE))))</f>
        <v>162.69999999999999</v>
      </c>
      <c r="N171" s="54">
        <f>IFERROR(M171-A171,"N/A")</f>
        <v>-7.3000000000000114</v>
      </c>
      <c r="O171" s="54"/>
      <c r="P171" s="55" t="str">
        <f>IF(Settings!$E$27="ON",VLOOKUP(B171,ADP!A1:H665,8,FALSE)," ")</f>
        <v xml:space="preserve"> </v>
      </c>
      <c r="Q171" s="56">
        <f>IF(Settings!$E$12="YES",VLOOKUP(B171,'Player Data'!A1:E667,5,FALSE),82)</f>
        <v>78.767499999999998</v>
      </c>
      <c r="R171" s="54">
        <f>VLOOKUP(B171,'Player Data'!$A1:$AE667,6,FALSE)</f>
        <v>17.375370895321701</v>
      </c>
      <c r="S171" s="56">
        <f>VLOOKUP(B171,'Player Data'!$A1:$AE667,7,FALSE)*$Q171*IFERROR((VLOOKUP(P171,Settings!$E$28:$F$33,2,FALSE)+1),1)</f>
        <v>21.777585395136903</v>
      </c>
      <c r="T171" s="56">
        <f>VLOOKUP(B171,'Player Data'!$A1:$AE667,8,FALSE)*$Q171*IFERROR((VLOOKUP(P171,Settings!$E$28:$F$33,2,FALSE)+1),1)</f>
        <v>25.552909718534881</v>
      </c>
      <c r="U171" s="56">
        <f>SUM(S171:T171)</f>
        <v>47.330495113671788</v>
      </c>
      <c r="V171" s="56">
        <f>VLOOKUP(B171,'Player Data'!$A1:$AE667,10,FALSE)*$Q171*IFERROR(((VLOOKUP(P171,Settings!$E$28:$F$33,2,FALSE)/2)+1),1)</f>
        <v>217.03532857831956</v>
      </c>
      <c r="W171" s="56">
        <f>VLOOKUP(B171,'Player Data'!$A1:$AE667,11,FALSE)*$Q171*IFERROR((VLOOKUP(P171,Settings!$E$28:$F$33,2,FALSE)+1),1)</f>
        <v>1.9774972913863829</v>
      </c>
      <c r="X171" s="56">
        <f>VLOOKUP(B171,'Player Data'!$A1:$AE667,12,FALSE)*$Q171*IFERROR((VLOOKUP(P171,Settings!$E$28:$F$33,2,FALSE)+1),1)</f>
        <v>6.2003629156615689</v>
      </c>
      <c r="Y171" s="56">
        <f>VLOOKUP(B171,'Player Data'!$A1:$AE667,13,FALSE)*$Q171</f>
        <v>1.9191172280223097</v>
      </c>
      <c r="Z171" s="56">
        <f>VLOOKUP(B171,'Player Data'!$A1:$AE667,14,FALSE)*$Q171</f>
        <v>2.5649934255105151</v>
      </c>
      <c r="AA171" s="56">
        <f>VLOOKUP(B171,'Player Data'!$A1:$AE667,15,FALSE)*$Q171</f>
        <v>48.702119872710703</v>
      </c>
      <c r="AB171" s="56">
        <f>VLOOKUP(B171,'Player Data'!$A1:$AE667,16,FALSE)*$Q171</f>
        <v>83.22928184298479</v>
      </c>
      <c r="AC171" s="56">
        <f>VLOOKUP(B171,'Player Data'!$A1:$AE667,17,FALSE)*$Q171*IFERROR((VLOOKUP(P171,Settings!$E$28:$F$33,2,FALSE)+1),1)</f>
        <v>3.8178509107318397</v>
      </c>
      <c r="AD171" s="56">
        <f>VLOOKUP(B171,'Player Data'!$A1:$AE667,18,FALSE)*$Q171</f>
        <v>26.394539859748836</v>
      </c>
      <c r="AE171" s="56">
        <f>VLOOKUP(B171,'Player Data'!$A1:$AE667,19,FALSE)*$Q171*IFERROR((VLOOKUP(P171,Settings!$E$28:$F$33,2,FALSE)+1),1)</f>
        <v>3.8810198696635085</v>
      </c>
      <c r="AF171" s="56">
        <f>VLOOKUP(B171,'Player Data'!$A1:$AE667,20,FALSE)*$Q171</f>
        <v>16.772837956976208</v>
      </c>
      <c r="AG171" s="56">
        <f>VLOOKUP(B171,'Player Data'!$A1:$AE667,21,FALSE)*$Q171</f>
        <v>32.428774313769921</v>
      </c>
      <c r="AH171" s="58">
        <f>VLOOKUP(B171,'Player Data'!$A1:$AE667,22,FALSE)</f>
        <v>0.340900169382232</v>
      </c>
      <c r="AI171" s="54"/>
      <c r="AJ171" s="64"/>
      <c r="AK171" s="56"/>
      <c r="AL171" s="56"/>
      <c r="AM171" s="56"/>
      <c r="AN171" s="56"/>
      <c r="AO171" s="56"/>
      <c r="AP171" s="56"/>
      <c r="AQ171" s="59"/>
      <c r="AR171" s="60"/>
      <c r="AS171" s="54"/>
    </row>
    <row r="172" spans="1:45" ht="21.25" customHeight="1" x14ac:dyDescent="0.15">
      <c r="A172" s="45">
        <f>RANK(K172,K$1:K$665)</f>
        <v>171</v>
      </c>
      <c r="B172" s="9" t="s">
        <v>297</v>
      </c>
      <c r="C172" s="46" t="s">
        <v>127</v>
      </c>
      <c r="D172" s="47" t="str">
        <f>VLOOKUP(B172,'Player Data'!A1:D667,4,FALSE)</f>
        <v>D</v>
      </c>
      <c r="E172" s="66">
        <f>VLOOKUP(B172,D!A1:C213,3,FALSE)</f>
        <v>46</v>
      </c>
      <c r="F172" s="71" t="str">
        <f>VLOOKUP(B172,'Player Data'!A1:B667,2,FALSE)</f>
        <v>VAN</v>
      </c>
      <c r="G172" s="10">
        <f>VLOOKUP(B172,'Player Data'!A1:D667,3,FALSE)</f>
        <v>26</v>
      </c>
      <c r="H172" s="50">
        <f>IFERROR(VLOOKUP(B172,ADP!A1:G665,7,FALSE)/1000000,VLOOKUP(B172,ADP!A1:G665,7,FALSE))</f>
        <v>7.25</v>
      </c>
      <c r="I172" s="51">
        <f>IF(Settings!$E$15="POINTS",((R172*Q172)*Settings!$B$12)+(S172*Settings!$B$2)+(T172*Settings!$B$3)+(U172*Settings!$B$4)+(V172*Settings!$B$5)+(X172*Settings!$B$9)+(AA172*Settings!$B$6)+(W172*Settings!$B$8)+(AB172*Settings!$B$7)+(AC172*Settings!$B$14)+(AD172*Settings!$B$15)+(AE172*Settings!$B$16)+(AF172*Settings!$B$17)+(AG172*Settings!$B$18)+(U172*Settings!$B$13)+(Y172*Settings!$B$10)+(Z172*Settings!$B$11),VLOOKUP(B172,'Standard Deviations'!A1:C666,3,FALSE))</f>
        <v>250.90203301303555</v>
      </c>
      <c r="J172" s="52">
        <f>IF(D172="G",I172/AJ172,I172/Q172)</f>
        <v>3.1768799089998483</v>
      </c>
      <c r="K172" s="51">
        <f>VLOOKUP(B172,D!A1:F213,6,FALSE)</f>
        <v>-85.332092032559359</v>
      </c>
      <c r="L172" s="53">
        <f>IFERROR(K172/H172,"N/A")</f>
        <v>-11.769943728628878</v>
      </c>
      <c r="M172" s="54">
        <f>IF(Settings!$E$9="YAHOO",VLOOKUP(B172,ADP!A1:E665,2,FALSE),IF(Settings!$E$9="ESPN",VLOOKUP(B172,ADP!A1:E665,3,FALSE),IF(Settings!$E$9="FANTRAX",VLOOKUP(B172,ADP!A1:E665,4,FALSE),VLOOKUP(B172,ADP!A1:E665,5,FALSE))))</f>
        <v>134.9</v>
      </c>
      <c r="N172" s="54">
        <f>IFERROR(M172-A172,"N/A")</f>
        <v>-36.099999999999994</v>
      </c>
      <c r="O172" s="54"/>
      <c r="P172" s="55" t="str">
        <f>IF(Settings!$E$27="ON",VLOOKUP(B172,ADP!A1:H665,8,FALSE)," ")</f>
        <v xml:space="preserve"> </v>
      </c>
      <c r="Q172" s="56">
        <f>IF(Settings!$E$12="YES",VLOOKUP(B172,'Player Data'!A1:E667,5,FALSE),82)</f>
        <v>78.977500000000006</v>
      </c>
      <c r="R172" s="54">
        <f>VLOOKUP(B172,'Player Data'!$A1:$AE667,6,FALSE)</f>
        <v>22.4880497134729</v>
      </c>
      <c r="S172" s="56">
        <f>VLOOKUP(B172,'Player Data'!$A1:$AE667,7,FALSE)*$Q172*IFERROR((VLOOKUP(P172,Settings!$E$28:$F$33,2,FALSE)+1),1)</f>
        <v>6.5068832708954654</v>
      </c>
      <c r="T172" s="56">
        <f>VLOOKUP(B172,'Player Data'!$A1:$AE667,8,FALSE)*$Q172*IFERROR((VLOOKUP(P172,Settings!$E$28:$F$33,2,FALSE)+1),1)</f>
        <v>35.738770374172951</v>
      </c>
      <c r="U172" s="56">
        <f>SUM(S172:T172)</f>
        <v>42.245653645068415</v>
      </c>
      <c r="V172" s="56">
        <f>VLOOKUP(B172,'Player Data'!$A1:$AE667,10,FALSE)*$Q172*IFERROR(((VLOOKUP(P172,Settings!$E$28:$F$33,2,FALSE)/2)+1),1)</f>
        <v>141.91041819012909</v>
      </c>
      <c r="W172" s="56">
        <f>VLOOKUP(B172,'Player Data'!$A1:$AE667,11,FALSE)*$Q172*IFERROR((VLOOKUP(P172,Settings!$E$28:$F$33,2,FALSE)+1),1)</f>
        <v>1.6084216404822151</v>
      </c>
      <c r="X172" s="56">
        <f>VLOOKUP(B172,'Player Data'!$A1:$AE667,12,FALSE)*$Q172*IFERROR((VLOOKUP(P172,Settings!$E$28:$F$33,2,FALSE)+1),1)</f>
        <v>7.3661699134531036</v>
      </c>
      <c r="Y172" s="56">
        <f>VLOOKUP(B172,'Player Data'!$A1:$AE667,13,FALSE)*$Q172</f>
        <v>1.9549444708133829E-2</v>
      </c>
      <c r="Z172" s="56">
        <f>VLOOKUP(B172,'Player Data'!$A1:$AE667,14,FALSE)*$Q172</f>
        <v>9.6197925995871375E-2</v>
      </c>
      <c r="AA172" s="56">
        <f>VLOOKUP(B172,'Player Data'!$A1:$AE667,15,FALSE)*$Q172</f>
        <v>91.494990286633609</v>
      </c>
      <c r="AB172" s="56">
        <f>VLOOKUP(B172,'Player Data'!$A1:$AE667,16,FALSE)*$Q172</f>
        <v>100.77954628620833</v>
      </c>
      <c r="AC172" s="56">
        <f>VLOOKUP(B172,'Player Data'!$A1:$AE667,17,FALSE)*$Q172*IFERROR((VLOOKUP(P172,Settings!$E$28:$F$33,2,FALSE)+1),1)</f>
        <v>6.3341152336632449</v>
      </c>
      <c r="AD172" s="56">
        <f>VLOOKUP(B172,'Player Data'!$A1:$AE667,18,FALSE)*$Q172</f>
        <v>35.864284199263899</v>
      </c>
      <c r="AE172" s="56">
        <f>VLOOKUP(B172,'Player Data'!$A1:$AE667,19,FALSE)*$Q172*IFERROR((VLOOKUP(P172,Settings!$E$28:$F$33,2,FALSE)+1),1)</f>
        <v>1.1112078074498943</v>
      </c>
      <c r="AF172" s="56">
        <f>VLOOKUP(B172,'Player Data'!$A1:$AE667,20,FALSE)*$Q172</f>
        <v>0</v>
      </c>
      <c r="AG172" s="56">
        <f>VLOOKUP(B172,'Player Data'!$A1:$AE667,21,FALSE)*$Q172</f>
        <v>0</v>
      </c>
      <c r="AH172" s="58">
        <f>VLOOKUP(B172,'Player Data'!$A1:$AE667,22,FALSE)</f>
        <v>0</v>
      </c>
      <c r="AI172" s="54"/>
      <c r="AJ172" s="64"/>
      <c r="AK172" s="56"/>
      <c r="AL172" s="56"/>
      <c r="AM172" s="56"/>
      <c r="AN172" s="56"/>
      <c r="AO172" s="56"/>
      <c r="AP172" s="56"/>
      <c r="AQ172" s="59"/>
      <c r="AR172" s="60"/>
      <c r="AS172" s="54"/>
    </row>
    <row r="173" spans="1:45" ht="21.25" customHeight="1" x14ac:dyDescent="0.15">
      <c r="A173" s="45">
        <f>RANK(K173,K$1:K$665)</f>
        <v>172</v>
      </c>
      <c r="B173" s="9" t="s">
        <v>298</v>
      </c>
      <c r="C173" s="46" t="s">
        <v>127</v>
      </c>
      <c r="D173" s="47" t="str">
        <f>VLOOKUP(B173,'Player Data'!A1:D667,4,FALSE)</f>
        <v>D</v>
      </c>
      <c r="E173" s="66">
        <f>VLOOKUP(B173,D!A1:C213,3,FALSE)</f>
        <v>47</v>
      </c>
      <c r="F173" s="55" t="str">
        <f>VLOOKUP(B173,'Player Data'!A1:B667,2,FALSE)</f>
        <v>UTA</v>
      </c>
      <c r="G173" s="10">
        <f>VLOOKUP(B173,'Player Data'!A1:D667,3,FALSE)</f>
        <v>25</v>
      </c>
      <c r="H173" s="50">
        <f>IFERROR(VLOOKUP(B173,ADP!A1:G665,7,FALSE)/1000000,VLOOKUP(B173,ADP!A1:G665,7,FALSE))</f>
        <v>6</v>
      </c>
      <c r="I173" s="51">
        <f>IF(Settings!$E$15="POINTS",((R173*Q173)*Settings!$B$12)+(S173*Settings!$B$2)+(T173*Settings!$B$3)+(U173*Settings!$B$4)+(V173*Settings!$B$5)+(X173*Settings!$B$9)+(AA173*Settings!$B$6)+(W173*Settings!$B$8)+(AB173*Settings!$B$7)+(AC173*Settings!$B$14)+(AD173*Settings!$B$15)+(AE173*Settings!$B$16)+(AF173*Settings!$B$17)+(AG173*Settings!$B$18)+(U173*Settings!$B$13)+(Y173*Settings!$B$10)+(Z173*Settings!$B$11),VLOOKUP(B173,'Standard Deviations'!A1:C666,3,FALSE))</f>
        <v>248.9603240310399</v>
      </c>
      <c r="J173" s="52">
        <f>IF(D173="G",I173/AJ173,I173/Q173)</f>
        <v>3.2004155293873233</v>
      </c>
      <c r="K173" s="51">
        <f>VLOOKUP(B173,D!A1:F213,6,FALSE)</f>
        <v>-87.273801014555005</v>
      </c>
      <c r="L173" s="53">
        <f>IFERROR(K173/H173,"N/A")</f>
        <v>-14.545633502425835</v>
      </c>
      <c r="M173" s="54">
        <f>IF(Settings!$E$9="YAHOO",VLOOKUP(B173,ADP!A1:E665,2,FALSE),IF(Settings!$E$9="ESPN",VLOOKUP(B173,ADP!A1:E665,3,FALSE),IF(Settings!$E$9="FANTRAX",VLOOKUP(B173,ADP!A1:E665,4,FALSE),VLOOKUP(B173,ADP!A1:E665,5,FALSE))))</f>
        <v>164.8</v>
      </c>
      <c r="N173" s="54">
        <f>IFERROR(M173-A173,"N/A")</f>
        <v>-7.1999999999999886</v>
      </c>
      <c r="O173" s="54"/>
      <c r="P173" s="55" t="str">
        <f>IF(Settings!$E$27="ON",VLOOKUP(B173,ADP!A1:H665,8,FALSE)," ")</f>
        <v xml:space="preserve"> </v>
      </c>
      <c r="Q173" s="56">
        <f>IF(Settings!$E$12="YES",VLOOKUP(B173,'Player Data'!A1:E667,5,FALSE),82)</f>
        <v>77.790000000000006</v>
      </c>
      <c r="R173" s="81">
        <f>VLOOKUP(B173,'Player Data'!$A1:$AE667,6,FALSE)</f>
        <v>20.141990842714701</v>
      </c>
      <c r="S173" s="56">
        <f>VLOOKUP(B173,'Player Data'!$A1:$AE667,7,FALSE)*$Q173*IFERROR((VLOOKUP(P173,Settings!$E$28:$F$33,2,FALSE)+1),1)</f>
        <v>7.4230620238199805</v>
      </c>
      <c r="T173" s="56">
        <f>VLOOKUP(B173,'Player Data'!$A1:$AE667,8,FALSE)*$Q173*IFERROR((VLOOKUP(P173,Settings!$E$28:$F$33,2,FALSE)+1),1)</f>
        <v>26.893217810041861</v>
      </c>
      <c r="U173" s="56">
        <f>SUM(S173:T173)</f>
        <v>34.316279833861842</v>
      </c>
      <c r="V173" s="56">
        <f>VLOOKUP(B173,'Player Data'!$A1:$AE667,10,FALSE)*$Q173*IFERROR(((VLOOKUP(P173,Settings!$E$28:$F$33,2,FALSE)/2)+1),1)</f>
        <v>124.49064937245755</v>
      </c>
      <c r="W173" s="56">
        <f>VLOOKUP(B173,'Player Data'!$A1:$AE667,11,FALSE)*$Q173*IFERROR((VLOOKUP(P173,Settings!$E$28:$F$33,2,FALSE)+1),1)</f>
        <v>1.4744349541615782</v>
      </c>
      <c r="X173" s="56">
        <f>VLOOKUP(B173,'Player Data'!$A1:$AE667,12,FALSE)*$Q173*IFERROR((VLOOKUP(P173,Settings!$E$28:$F$33,2,FALSE)+1),1)</f>
        <v>10.738746658334462</v>
      </c>
      <c r="Y173" s="56">
        <f>VLOOKUP(B173,'Player Data'!$A1:$AE667,13,FALSE)*$Q173</f>
        <v>1.9609243953182542E-2</v>
      </c>
      <c r="Z173" s="56">
        <f>VLOOKUP(B173,'Player Data'!$A1:$AE667,14,FALSE)*$Q173</f>
        <v>0.22225253734515416</v>
      </c>
      <c r="AA173" s="56">
        <f>VLOOKUP(B173,'Player Data'!$A1:$AE667,15,FALSE)*$Q173</f>
        <v>145.61032129509198</v>
      </c>
      <c r="AB173" s="56">
        <f>VLOOKUP(B173,'Player Data'!$A1:$AE667,16,FALSE)*$Q173</f>
        <v>62.031781331084851</v>
      </c>
      <c r="AC173" s="56">
        <f>VLOOKUP(B173,'Player Data'!$A1:$AE667,17,FALSE)*$Q173*IFERROR((VLOOKUP(P173,Settings!$E$28:$F$33,2,FALSE)+1),1)</f>
        <v>-0.54399745410078137</v>
      </c>
      <c r="AD173" s="56">
        <f>VLOOKUP(B173,'Player Data'!$A1:$AE667,18,FALSE)*$Q173</f>
        <v>50.824804609992682</v>
      </c>
      <c r="AE173" s="56">
        <f>VLOOKUP(B173,'Player Data'!$A1:$AE667,19,FALSE)*$Q173*IFERROR((VLOOKUP(P173,Settings!$E$28:$F$33,2,FALSE)+1),1)</f>
        <v>1.0862121589795841</v>
      </c>
      <c r="AF173" s="56">
        <f>VLOOKUP(B173,'Player Data'!$A1:$AE667,20,FALSE)*$Q173</f>
        <v>0</v>
      </c>
      <c r="AG173" s="56">
        <f>VLOOKUP(B173,'Player Data'!$A1:$AE667,21,FALSE)*$Q173</f>
        <v>0</v>
      </c>
      <c r="AH173" s="58">
        <f>VLOOKUP(B173,'Player Data'!$A1:$AE667,22,FALSE)</f>
        <v>0</v>
      </c>
      <c r="AI173" s="54"/>
      <c r="AJ173" s="56"/>
      <c r="AK173" s="56"/>
      <c r="AL173" s="56"/>
      <c r="AM173" s="56"/>
      <c r="AN173" s="56"/>
      <c r="AO173" s="56"/>
      <c r="AP173" s="56"/>
      <c r="AQ173" s="59"/>
      <c r="AR173" s="60"/>
      <c r="AS173" s="54"/>
    </row>
    <row r="174" spans="1:45" ht="21.25" customHeight="1" x14ac:dyDescent="0.15">
      <c r="A174" s="45">
        <f>RANK(K174,K$1:K$665)</f>
        <v>173</v>
      </c>
      <c r="B174" s="9" t="s">
        <v>299</v>
      </c>
      <c r="C174" s="46" t="s">
        <v>127</v>
      </c>
      <c r="D174" s="47" t="str">
        <f>VLOOKUP(B174,'Player Data'!A1:D667,4,FALSE)</f>
        <v>C/LW</v>
      </c>
      <c r="E174" s="68">
        <f>VLOOKUP(B174,LW!A1:C152,3,FALSE)</f>
        <v>47</v>
      </c>
      <c r="F174" s="77" t="str">
        <f>VLOOKUP(B174,'Player Data'!A1:B667,2,FALSE)</f>
        <v>CBJ</v>
      </c>
      <c r="G174" s="63">
        <f>VLOOKUP(B174,'Player Data'!A1:D667,3,FALSE)</f>
        <v>31</v>
      </c>
      <c r="H174" s="50">
        <f>IFERROR(VLOOKUP(B174,ADP!A1:G665,7,FALSE)/1000000,VLOOKUP(B174,ADP!A1:G665,7,FALSE))</f>
        <v>3.75</v>
      </c>
      <c r="I174" s="51">
        <f>IF(Settings!$E$15="POINTS",((R174*Q174)*Settings!$B$12)+(S174*Settings!$B$2)+(T174*Settings!$B$3)+(U174*Settings!$B$4)+(V174*Settings!$B$5)+(X174*Settings!$B$9)+(AA174*Settings!$B$6)+(W174*Settings!$B$8)+(AB174*Settings!$B$7)+(AC174*Settings!$B$14)+(AD174*Settings!$B$15)+(AE174*Settings!$B$16)+(AF174*Settings!$B$17)+(AG174*Settings!$B$18)+(Y174*Settings!$B$10)+(Z174*Settings!$B$11),VLOOKUP(B174,'Standard Deviations'!A1:C666,3,FALSE))</f>
        <v>292.05147270563117</v>
      </c>
      <c r="J174" s="52">
        <f>IF(D174="G",I174/AJ174,I174/Q174)</f>
        <v>3.9710581644657172</v>
      </c>
      <c r="K174" s="51">
        <f>IF(Settings!$E$18="C/LW/RW",VLOOKUP(B174,LW!A1:F152,6,FALSE),VLOOKUP(B174,F!A1:F392,6,FALSE))</f>
        <v>-89.01003959686858</v>
      </c>
      <c r="L174" s="53">
        <f>IFERROR(K174/H174,"N/A")</f>
        <v>-23.736010559164956</v>
      </c>
      <c r="M174" s="54">
        <f>IF(Settings!$E$9="YAHOO",VLOOKUP(B174,ADP!A1:E665,2,FALSE),IF(Settings!$E$9="ESPN",VLOOKUP(B174,ADP!A1:E665,3,FALSE),IF(Settings!$E$9="FANTRAX",VLOOKUP(B174,ADP!A1:E665,4,FALSE),VLOOKUP(B174,ADP!A1:E665,5,FALSE))))</f>
        <v>169</v>
      </c>
      <c r="N174" s="54">
        <f>IFERROR(M174-A174,"N/A")</f>
        <v>-4</v>
      </c>
      <c r="O174" s="54"/>
      <c r="P174" s="55" t="str">
        <f>IF(Settings!$E$27="ON",VLOOKUP(B174,ADP!A1:H665,8,FALSE)," ")</f>
        <v xml:space="preserve"> </v>
      </c>
      <c r="Q174" s="56">
        <f>IF(Settings!$E$12="YES",VLOOKUP(B174,'Player Data'!A1:E667,5,FALSE),82)</f>
        <v>73.545000000000002</v>
      </c>
      <c r="R174" s="54">
        <f>VLOOKUP(B174,'Player Data'!$A1:$AE667,6,FALSE)</f>
        <v>20.077754733051801</v>
      </c>
      <c r="S174" s="56">
        <f>VLOOKUP(B174,'Player Data'!$A1:$AE667,7,FALSE)*$Q174*IFERROR((VLOOKUP(P174,Settings!$E$28:$F$33,2,FALSE)+1),1)</f>
        <v>25.572137047736611</v>
      </c>
      <c r="T174" s="56">
        <f>VLOOKUP(B174,'Player Data'!$A1:$AE667,8,FALSE)*$Q174*IFERROR((VLOOKUP(P174,Settings!$E$28:$F$33,2,FALSE)+1),1)</f>
        <v>20.888656141735904</v>
      </c>
      <c r="U174" s="56">
        <f>SUM(S174:T174)</f>
        <v>46.460793189472511</v>
      </c>
      <c r="V174" s="56">
        <f>VLOOKUP(B174,'Player Data'!$A1:$AE667,10,FALSE)*$Q174*IFERROR(((VLOOKUP(P174,Settings!$E$28:$F$33,2,FALSE)/2)+1),1)</f>
        <v>201.21386444132096</v>
      </c>
      <c r="W174" s="56">
        <f>VLOOKUP(B174,'Player Data'!$A1:$AE667,11,FALSE)*$Q174*IFERROR((VLOOKUP(P174,Settings!$E$28:$F$33,2,FALSE)+1),1)</f>
        <v>6.3965696680212529</v>
      </c>
      <c r="X174" s="78">
        <f>VLOOKUP(B174,'Player Data'!$A1:$AE667,12,FALSE)*$Q174*IFERROR((VLOOKUP(P174,Settings!$E$28:$F$33,2,FALSE)+1),1)</f>
        <v>10.740024302135815</v>
      </c>
      <c r="Y174" s="56">
        <f>VLOOKUP(B174,'Player Data'!$A1:$AE667,13,FALSE)*$Q174</f>
        <v>0.18075509743053259</v>
      </c>
      <c r="Z174" s="56">
        <f>VLOOKUP(B174,'Player Data'!$A1:$AE667,14,FALSE)*$Q174</f>
        <v>0.33237664010162993</v>
      </c>
      <c r="AA174" s="56">
        <f>VLOOKUP(B174,'Player Data'!$A1:$AE667,15,FALSE)*$Q174</f>
        <v>81.979519948631335</v>
      </c>
      <c r="AB174" s="56">
        <f>VLOOKUP(B174,'Player Data'!$A1:$AE667,16,FALSE)*$Q174</f>
        <v>129.23057837555905</v>
      </c>
      <c r="AC174" s="56">
        <f>VLOOKUP(B174,'Player Data'!$A1:$AE667,17,FALSE)*$Q174*IFERROR((VLOOKUP(P174,Settings!$E$28:$F$33,2,FALSE)+1),1)</f>
        <v>-6.9876865057743318</v>
      </c>
      <c r="AD174" s="56">
        <f>VLOOKUP(B174,'Player Data'!$A1:$AE667,18,FALSE)*$Q174</f>
        <v>36.734550222991281</v>
      </c>
      <c r="AE174" s="56">
        <f>VLOOKUP(B174,'Player Data'!$A1:$AE667,19,FALSE)*$Q174*IFERROR((VLOOKUP(P174,Settings!$E$28:$F$33,2,FALSE)+1),1)</f>
        <v>2.8278781313332146</v>
      </c>
      <c r="AF174" s="56">
        <f>VLOOKUP(B174,'Player Data'!$A1:$AE667,20,FALSE)*$Q174</f>
        <v>776.73974605394812</v>
      </c>
      <c r="AG174" s="56">
        <f>VLOOKUP(B174,'Player Data'!$A1:$AE667,21,FALSE)*$Q174</f>
        <v>654.57805613343123</v>
      </c>
      <c r="AH174" s="58">
        <f>VLOOKUP(B174,'Player Data'!$A1:$AE667,22,FALSE)</f>
        <v>0.54267455128896802</v>
      </c>
      <c r="AI174" s="54"/>
      <c r="AJ174" s="56"/>
      <c r="AK174" s="56"/>
      <c r="AL174" s="56"/>
      <c r="AM174" s="56"/>
      <c r="AN174" s="56"/>
      <c r="AO174" s="56"/>
      <c r="AP174" s="56"/>
      <c r="AQ174" s="59"/>
      <c r="AR174" s="60"/>
      <c r="AS174" s="54"/>
    </row>
    <row r="175" spans="1:45" ht="21.25" customHeight="1" x14ac:dyDescent="0.15">
      <c r="A175" s="45">
        <f>RANK(K175,K$1:K$665)</f>
        <v>174</v>
      </c>
      <c r="B175" s="9" t="s">
        <v>300</v>
      </c>
      <c r="C175" s="46" t="s">
        <v>127</v>
      </c>
      <c r="D175" s="47" t="str">
        <f>VLOOKUP(B175,'Player Data'!A1:D667,4,FALSE)</f>
        <v>LW</v>
      </c>
      <c r="E175" s="70">
        <f>VLOOKUP(B175,LW!A1:C152,3,FALSE)</f>
        <v>48</v>
      </c>
      <c r="F175" s="74" t="str">
        <f>VLOOKUP(B175,'Player Data'!A1:B667,2,FALSE)</f>
        <v>PIT</v>
      </c>
      <c r="G175" s="10">
        <f>VLOOKUP(B175,'Player Data'!A1:D667,3,FALSE)</f>
        <v>28</v>
      </c>
      <c r="H175" s="50">
        <f>IFERROR(VLOOKUP(B175,ADP!A1:G665,7,FALSE)/1000000,VLOOKUP(B175,ADP!A1:G665,7,FALSE))</f>
        <v>4.5</v>
      </c>
      <c r="I175" s="51">
        <f>IF(Settings!$E$15="POINTS",((R175*Q175)*Settings!$B$12)+(S175*Settings!$B$2)+(T175*Settings!$B$3)+(U175*Settings!$B$4)+(V175*Settings!$B$5)+(X175*Settings!$B$9)+(AA175*Settings!$B$6)+(W175*Settings!$B$8)+(AB175*Settings!$B$7)+(AC175*Settings!$B$14)+(AD175*Settings!$B$15)+(AE175*Settings!$B$16)+(AF175*Settings!$B$17)+(AG175*Settings!$B$18)+(Y175*Settings!$B$10)+(Z175*Settings!$B$11),VLOOKUP(B175,'Standard Deviations'!A1:C666,3,FALSE))</f>
        <v>290.67681727152728</v>
      </c>
      <c r="J175" s="52">
        <f>IF(D175="G",I175/AJ175,I175/Q175)</f>
        <v>3.5642906995067878</v>
      </c>
      <c r="K175" s="51">
        <f>IF(Settings!$E$18="C/LW/RW",VLOOKUP(B175,LW!A1:F152,6,FALSE),VLOOKUP(B175,F!A1:F392,6,FALSE))</f>
        <v>-90.384695030972466</v>
      </c>
      <c r="L175" s="53">
        <f>IFERROR(K175/H175,"N/A")</f>
        <v>-20.085487784660547</v>
      </c>
      <c r="M175" s="83" t="str">
        <f>IF(Settings!$E$9="YAHOO",VLOOKUP(B175,ADP!A1:E665,2,FALSE),IF(Settings!$E$9="ESPN",VLOOKUP(B175,ADP!A1:E665,3,FALSE),IF(Settings!$E$9="FANTRAX",VLOOKUP(B175,ADP!A1:E665,4,FALSE),VLOOKUP(B175,ADP!A1:E665,5,FALSE))))</f>
        <v>—</v>
      </c>
      <c r="N175" s="83" t="str">
        <f>IFERROR(M175-A175,"N/A")</f>
        <v>N/A</v>
      </c>
      <c r="O175" s="54"/>
      <c r="P175" s="55" t="str">
        <f>IF(Settings!$E$27="ON",VLOOKUP(B175,ADP!A1:H665,8,FALSE)," ")</f>
        <v>- -</v>
      </c>
      <c r="Q175" s="56">
        <f>IF(Settings!$E$12="YES",VLOOKUP(B175,'Player Data'!A1:E667,5,FALSE),82)</f>
        <v>81.552499999999995</v>
      </c>
      <c r="R175" s="75">
        <f>VLOOKUP(B175,'Player Data'!$A1:$AE667,6,FALSE)</f>
        <v>17.189890199026699</v>
      </c>
      <c r="S175" s="56">
        <f>VLOOKUP(B175,'Player Data'!$A1:$AE667,7,FALSE)*$Q175*IFERROR((VLOOKUP(P175,Settings!$E$28:$F$33,2,FALSE)+1),1)</f>
        <v>21.464625179265294</v>
      </c>
      <c r="T175" s="56">
        <f>VLOOKUP(B175,'Player Data'!$A1:$AE667,8,FALSE)*$Q175*IFERROR((VLOOKUP(P175,Settings!$E$28:$F$33,2,FALSE)+1),1)</f>
        <v>34.339668981017866</v>
      </c>
      <c r="U175" s="56">
        <f>SUM(S175:T175)</f>
        <v>55.804294160283163</v>
      </c>
      <c r="V175" s="56">
        <f>VLOOKUP(B175,'Player Data'!$A1:$AE667,10,FALSE)*$Q175*IFERROR(((VLOOKUP(P175,Settings!$E$28:$F$33,2,FALSE)/2)+1),1)</f>
        <v>183.33779002758732</v>
      </c>
      <c r="W175" s="56">
        <f>VLOOKUP(B175,'Player Data'!$A1:$AE667,11,FALSE)*$Q175*IFERROR((VLOOKUP(P175,Settings!$E$28:$F$33,2,FALSE)+1),1)</f>
        <v>8.0190236692756542</v>
      </c>
      <c r="X175" s="57">
        <f>VLOOKUP(B175,'Player Data'!$A1:$AE667,12,FALSE)*$Q175*IFERROR((VLOOKUP(P175,Settings!$E$28:$F$33,2,FALSE)+1),1)</f>
        <v>19.95970434025342</v>
      </c>
      <c r="Y175" s="56">
        <f>VLOOKUP(B175,'Player Data'!$A1:$AE667,13,FALSE)*$Q175</f>
        <v>5.3865386087038006E-3</v>
      </c>
      <c r="Z175" s="56">
        <f>VLOOKUP(B175,'Player Data'!$A1:$AE667,14,FALSE)*$Q175</f>
        <v>9.1674226239849364E-3</v>
      </c>
      <c r="AA175" s="56">
        <f>VLOOKUP(B175,'Player Data'!$A1:$AE667,15,FALSE)*$Q175</f>
        <v>23.25233602801347</v>
      </c>
      <c r="AB175" s="56">
        <f>VLOOKUP(B175,'Player Data'!$A1:$AE667,16,FALSE)*$Q175</f>
        <v>64.760726179691716</v>
      </c>
      <c r="AC175" s="56">
        <f>VLOOKUP(B175,'Player Data'!$A1:$AE667,17,FALSE)*$Q175*IFERROR((VLOOKUP(P175,Settings!$E$28:$F$33,2,FALSE)+1),1)</f>
        <v>0.74816143270608293</v>
      </c>
      <c r="AD175" s="56">
        <f>VLOOKUP(B175,'Player Data'!$A1:$AE667,18,FALSE)*$Q175</f>
        <v>61.916111638993407</v>
      </c>
      <c r="AE175" s="56">
        <f>VLOOKUP(B175,'Player Data'!$A1:$AE667,19,FALSE)*$Q175*IFERROR((VLOOKUP(P175,Settings!$E$28:$F$33,2,FALSE)+1),1)</f>
        <v>3.181978331419967</v>
      </c>
      <c r="AF175" s="56">
        <f>VLOOKUP(B175,'Player Data'!$A1:$AE667,20,FALSE)*$Q175</f>
        <v>7.5996402419150444</v>
      </c>
      <c r="AG175" s="56">
        <f>VLOOKUP(B175,'Player Data'!$A1:$AE667,21,FALSE)*$Q175</f>
        <v>13.476867799134359</v>
      </c>
      <c r="AH175" s="58">
        <f>VLOOKUP(B175,'Player Data'!$A1:$AE667,22,FALSE)</f>
        <v>0.36057397302787098</v>
      </c>
      <c r="AI175" s="54"/>
      <c r="AJ175" s="64"/>
      <c r="AK175" s="56"/>
      <c r="AL175" s="56"/>
      <c r="AM175" s="56"/>
      <c r="AN175" s="56"/>
      <c r="AO175" s="56"/>
      <c r="AP175" s="56"/>
      <c r="AQ175" s="59"/>
      <c r="AR175" s="60"/>
      <c r="AS175" s="54"/>
    </row>
    <row r="176" spans="1:45" ht="21.25" customHeight="1" x14ac:dyDescent="0.15">
      <c r="A176" s="45">
        <f>RANK(K176,K$1:K$665)</f>
        <v>175</v>
      </c>
      <c r="B176" s="9" t="s">
        <v>301</v>
      </c>
      <c r="C176" s="46" t="s">
        <v>127</v>
      </c>
      <c r="D176" s="47" t="str">
        <f>VLOOKUP(B176,'Player Data'!A1:D667,4,FALSE)</f>
        <v>D</v>
      </c>
      <c r="E176" s="66">
        <f>VLOOKUP(B176,D!A1:C213,3,FALSE)</f>
        <v>48</v>
      </c>
      <c r="F176" s="71" t="str">
        <f>VLOOKUP(B176,'Player Data'!A1:B667,2,FALSE)</f>
        <v>NYR</v>
      </c>
      <c r="G176" s="10">
        <f>VLOOKUP(B176,'Player Data'!A1:D667,3,FALSE)</f>
        <v>30</v>
      </c>
      <c r="H176" s="50">
        <f>IFERROR(VLOOKUP(B176,ADP!A1:G665,7,FALSE)/1000000,VLOOKUP(B176,ADP!A1:G665,7,FALSE))</f>
        <v>8</v>
      </c>
      <c r="I176" s="51">
        <f>IF(Settings!$E$15="POINTS",((R176*Q176)*Settings!$B$12)+(S176*Settings!$B$2)+(T176*Settings!$B$3)+(U176*Settings!$B$4)+(V176*Settings!$B$5)+(X176*Settings!$B$9)+(AA176*Settings!$B$6)+(W176*Settings!$B$8)+(AB176*Settings!$B$7)+(AC176*Settings!$B$14)+(AD176*Settings!$B$15)+(AE176*Settings!$B$16)+(AF176*Settings!$B$17)+(AG176*Settings!$B$18)+(U176*Settings!$B$13)+(Y176*Settings!$B$10)+(Z176*Settings!$B$11),VLOOKUP(B176,'Standard Deviations'!A1:C666,3,FALSE))</f>
        <v>245.70082950046449</v>
      </c>
      <c r="J176" s="52">
        <f>IF(D176="G",I176/AJ176,I176/Q176)</f>
        <v>3.0858215893806964</v>
      </c>
      <c r="K176" s="51">
        <f>VLOOKUP(B176,D!A1:F213,6,FALSE)</f>
        <v>-90.533295545130414</v>
      </c>
      <c r="L176" s="53">
        <f>IFERROR(K176/H176,"N/A")</f>
        <v>-11.316661943141302</v>
      </c>
      <c r="M176" s="54">
        <f>IF(Settings!$E$9="YAHOO",VLOOKUP(B176,ADP!A1:E665,2,FALSE),IF(Settings!$E$9="ESPN",VLOOKUP(B176,ADP!A1:E665,3,FALSE),IF(Settings!$E$9="FANTRAX",VLOOKUP(B176,ADP!A1:E665,4,FALSE),VLOOKUP(B176,ADP!A1:E665,5,FALSE))))</f>
        <v>152</v>
      </c>
      <c r="N176" s="54">
        <f>IFERROR(M176-A176,"N/A")</f>
        <v>-23</v>
      </c>
      <c r="O176" s="54"/>
      <c r="P176" s="55" t="str">
        <f>IF(Settings!$E$27="ON",VLOOKUP(B176,ADP!A1:H665,8,FALSE)," ")</f>
        <v xml:space="preserve"> </v>
      </c>
      <c r="Q176" s="56">
        <f>IF(Settings!$E$12="YES",VLOOKUP(B176,'Player Data'!A1:E667,5,FALSE),82)</f>
        <v>79.622500000000002</v>
      </c>
      <c r="R176" s="54">
        <f>VLOOKUP(B176,'Player Data'!$A1:$AE667,6,FALSE)</f>
        <v>20.287082762215601</v>
      </c>
      <c r="S176" s="56">
        <f>VLOOKUP(B176,'Player Data'!$A1:$AE667,7,FALSE)*$Q176*IFERROR((VLOOKUP(P176,Settings!$E$28:$F$33,2,FALSE)+1),1)</f>
        <v>5.6347675554458583</v>
      </c>
      <c r="T176" s="56">
        <f>VLOOKUP(B176,'Player Data'!$A1:$AE667,8,FALSE)*$Q176*IFERROR((VLOOKUP(P176,Settings!$E$28:$F$33,2,FALSE)+1),1)</f>
        <v>20.197824543990571</v>
      </c>
      <c r="U176" s="56">
        <f>SUM(S176:T176)</f>
        <v>25.832592099436429</v>
      </c>
      <c r="V176" s="56">
        <f>VLOOKUP(B176,'Player Data'!$A1:$AE667,10,FALSE)*$Q176*IFERROR(((VLOOKUP(P176,Settings!$E$28:$F$33,2,FALSE)/2)+1),1)</f>
        <v>148.00864267606048</v>
      </c>
      <c r="W176" s="56">
        <f>VLOOKUP(B176,'Player Data'!$A1:$AE667,11,FALSE)*$Q176*IFERROR((VLOOKUP(P176,Settings!$E$28:$F$33,2,FALSE)+1),1)</f>
        <v>0.30162293324849926</v>
      </c>
      <c r="X176" s="56">
        <f>VLOOKUP(B176,'Player Data'!$A1:$AE667,12,FALSE)*$Q176*IFERROR((VLOOKUP(P176,Settings!$E$28:$F$33,2,FALSE)+1),1)</f>
        <v>1.1058039230147356</v>
      </c>
      <c r="Y176" s="56">
        <f>VLOOKUP(B176,'Player Data'!$A1:$AE667,13,FALSE)*$Q176</f>
        <v>3.145758648475868E-2</v>
      </c>
      <c r="Z176" s="56">
        <f>VLOOKUP(B176,'Player Data'!$A1:$AE667,14,FALSE)*$Q176</f>
        <v>1.1346295107551891</v>
      </c>
      <c r="AA176" s="56">
        <f>VLOOKUP(B176,'Player Data'!$A1:$AE667,15,FALSE)*$Q176</f>
        <v>183.91659686071006</v>
      </c>
      <c r="AB176" s="56">
        <f>VLOOKUP(B176,'Player Data'!$A1:$AE667,16,FALSE)*$Q176</f>
        <v>185.250465254266</v>
      </c>
      <c r="AC176" s="56">
        <f>VLOOKUP(B176,'Player Data'!$A1:$AE667,17,FALSE)*$Q176*IFERROR((VLOOKUP(P176,Settings!$E$28:$F$33,2,FALSE)+1),1)</f>
        <v>2.0256788194219553</v>
      </c>
      <c r="AD176" s="56">
        <f>VLOOKUP(B176,'Player Data'!$A1:$AE667,18,FALSE)*$Q176</f>
        <v>59.690116020615299</v>
      </c>
      <c r="AE176" s="56">
        <f>VLOOKUP(B176,'Player Data'!$A1:$AE667,19,FALSE)*$Q176*IFERROR((VLOOKUP(P176,Settings!$E$28:$F$33,2,FALSE)+1),1)</f>
        <v>0.92104954718119303</v>
      </c>
      <c r="AF176" s="56">
        <f>VLOOKUP(B176,'Player Data'!$A1:$AE667,20,FALSE)*$Q176</f>
        <v>0</v>
      </c>
      <c r="AG176" s="56">
        <f>VLOOKUP(B176,'Player Data'!$A1:$AE667,21,FALSE)*$Q176</f>
        <v>0.15132805311012501</v>
      </c>
      <c r="AH176" s="58">
        <f>VLOOKUP(B176,'Player Data'!$A1:$AE667,22,FALSE)</f>
        <v>0</v>
      </c>
      <c r="AI176" s="54"/>
      <c r="AJ176" s="56"/>
      <c r="AK176" s="56"/>
      <c r="AL176" s="56"/>
      <c r="AM176" s="56"/>
      <c r="AN176" s="56"/>
      <c r="AO176" s="56"/>
      <c r="AP176" s="56"/>
      <c r="AQ176" s="59"/>
      <c r="AR176" s="60"/>
      <c r="AS176" s="54"/>
    </row>
    <row r="177" spans="1:45" ht="21.25" customHeight="1" x14ac:dyDescent="0.15">
      <c r="A177" s="45">
        <f>RANK(K177,K$1:K$665)</f>
        <v>176</v>
      </c>
      <c r="B177" s="9" t="s">
        <v>302</v>
      </c>
      <c r="C177" s="46" t="s">
        <v>127</v>
      </c>
      <c r="D177" s="47" t="str">
        <f>VLOOKUP(B177,'Player Data'!A1:D667,4,FALSE)</f>
        <v>G</v>
      </c>
      <c r="E177" s="73">
        <f>VLOOKUP(B177,G!A1:D65,3,FALSE)</f>
        <v>21</v>
      </c>
      <c r="F177" s="77" t="str">
        <f>VLOOKUP(B177,'Player Data'!A1:B667,2,FALSE)</f>
        <v>MTL</v>
      </c>
      <c r="G177" s="69">
        <f>VLOOKUP(B177,'Player Data'!A1:D667,3,FALSE)</f>
        <v>27</v>
      </c>
      <c r="H177" s="50">
        <f>IFERROR(VLOOKUP(B177,ADP!A1:G665,7,FALSE)/1000000,VLOOKUP(B177,ADP!A1:G665,7,FALSE))</f>
        <v>3.15</v>
      </c>
      <c r="I177" s="51">
        <f>IF(Settings!$E$15="POINTS",(AJ177*Settings!$B$29)+(AK177*Settings!$B$21)+(AL177*Settings!$B$22)+(AN177*Settings!$B$24)+(AO177*Settings!$B$25)+(AP177*Settings!$B$27)+(AM177*Settings!$B$23),VLOOKUP(B177,'Standard Deviations'!A1:C666,3,FALSE))</f>
        <v>318.73714650396056</v>
      </c>
      <c r="J177" s="52">
        <f>IF(D177="G",I177/AJ177,I177/Q177)</f>
        <v>6.3747429300792113</v>
      </c>
      <c r="K177" s="51">
        <f>VLOOKUP(B177,G!A1:F65,6,FALSE)</f>
        <v>-91.922596265459617</v>
      </c>
      <c r="L177" s="53">
        <f>IFERROR(K177/H177,"N/A")</f>
        <v>-29.181776592209403</v>
      </c>
      <c r="M177" s="54">
        <f>IF(Settings!$E$9="YAHOO",VLOOKUP(B177,ADP!A1:E665,2,FALSE),IF(Settings!$E$9="ESPN",VLOOKUP(B177,ADP!A1:E665,3,FALSE),IF(Settings!$E$9="FANTRAX",VLOOKUP(B177,ADP!A1:E665,4,FALSE),VLOOKUP(B177,ADP!A1:E665,5,FALSE))))</f>
        <v>163</v>
      </c>
      <c r="N177" s="54">
        <f>IFERROR(M177-A177,"N/A")</f>
        <v>-13</v>
      </c>
      <c r="O177" s="54"/>
      <c r="P177" s="55" t="str">
        <f>IF(Settings!$E$27="ON",VLOOKUP(B177,ADP!A1:H665,8,FALSE)," ")</f>
        <v>-</v>
      </c>
      <c r="Q177" s="56"/>
      <c r="R177" s="54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8"/>
      <c r="AI177" s="54"/>
      <c r="AJ177" s="64">
        <f>VLOOKUP(B177,'Player Data'!$A1:$AE667,24,FALSE)</f>
        <v>50</v>
      </c>
      <c r="AK177" s="56">
        <f>VLOOKUP(B177,'Player Data'!$A1:$AE667,25,FALSE)*$AJ177*IFERROR((VLOOKUP(P177,Settings!$E$28:$F$33,2,FALSE)+1),1)</f>
        <v>22.457589091347106</v>
      </c>
      <c r="AL177" s="56">
        <f>AJ177-AK177-AM177</f>
        <v>21.292410908652894</v>
      </c>
      <c r="AM177" s="56">
        <f>VLOOKUP(B177,'Player Data'!$A1:$AE667,27,FALSE)*$AJ177</f>
        <v>6.25</v>
      </c>
      <c r="AN177" s="56">
        <f>VLOOKUP(B177,'Player Data'!$A1:$AE667,28,FALSE)*AJ177</f>
        <v>1.955542058222155</v>
      </c>
      <c r="AO177" s="56">
        <f>VLOOKUP(B177,'Player Data'!$A1:$AE667,29,FALSE)*$AJ177*IFERROR((VLOOKUP(P177,Settings!$E$28:$F$33,2,FALSE)/4)+1,1)</f>
        <v>1422.0260884623938</v>
      </c>
      <c r="AP177" s="56">
        <f>VLOOKUP(B177,'Player Data'!$A1:$AE667,31,FALSE)*$AJ177*(IFERROR(1-(VLOOKUP(P177,Settings!$E$28:$F$33,2,FALSE)/4),1))</f>
        <v>153.86806901983329</v>
      </c>
      <c r="AQ177" s="59">
        <f>1-(AP177/(AO177+AP177))</f>
        <v>0.90236141920491342</v>
      </c>
      <c r="AR177" s="60">
        <f>AP177/AJ177</f>
        <v>3.0773613803966655</v>
      </c>
      <c r="AS177" s="54"/>
    </row>
    <row r="178" spans="1:45" ht="21.25" customHeight="1" x14ac:dyDescent="0.15">
      <c r="A178" s="45">
        <f>RANK(K178,K$1:K$665)</f>
        <v>177</v>
      </c>
      <c r="B178" s="9" t="s">
        <v>303</v>
      </c>
      <c r="C178" s="46" t="s">
        <v>127</v>
      </c>
      <c r="D178" s="47" t="str">
        <f>VLOOKUP(B178,'Player Data'!A1:D667,4,FALSE)</f>
        <v>C</v>
      </c>
      <c r="E178" s="48">
        <f>VLOOKUP(B178,'C'!A1:C206,3,FALSE)</f>
        <v>57</v>
      </c>
      <c r="F178" s="77" t="str">
        <f>VLOOKUP(B178,'Player Data'!A1:B667,2,FALSE)</f>
        <v>S.J</v>
      </c>
      <c r="G178" s="69">
        <f>VLOOKUP(B178,'Player Data'!A1:D667,3,FALSE)</f>
        <v>18</v>
      </c>
      <c r="H178" s="50">
        <f>IFERROR(VLOOKUP(B178,ADP!A1:G665,7,FALSE)/1000000,VLOOKUP(B178,ADP!A1:G665,7,FALSE))</f>
        <v>0.97499999999999998</v>
      </c>
      <c r="I178" s="51">
        <f>IF(Settings!$E$15="POINTS",((R178*Q178)*Settings!$B$12)+(S178*Settings!$B$2)+(T178*Settings!$B$3)+(U178*Settings!$B$4)+(V178*Settings!$B$5)+(X178*Settings!$B$9)+(AA178*Settings!$B$6)+(W178*Settings!$B$8)+(AB178*Settings!$B$7)+(AC178*Settings!$B$14)+(AD178*Settings!$B$15)+(AE178*Settings!$B$16)+(AF178*Settings!$B$17)+(AG178*Settings!$B$18)+(Y178*Settings!$B$10)+(Z178*Settings!$B$11),VLOOKUP(B178,'Standard Deviations'!A1:C666,3,FALSE))</f>
        <v>296.53031707317069</v>
      </c>
      <c r="J178" s="52">
        <f>IF(D178="G",I178/AJ178,I178/Q178)</f>
        <v>3.8016707317073166</v>
      </c>
      <c r="K178" s="51">
        <f>IF(Settings!$E$18="C/LW/RW",VLOOKUP(B178,'C'!A1:F206,6,FALSE),VLOOKUP(B178,F!A1:F392,6,FALSE))</f>
        <v>-93.406840704910394</v>
      </c>
      <c r="L178" s="53">
        <f>IFERROR(K178/H178,"N/A")</f>
        <v>-95.801887902472203</v>
      </c>
      <c r="M178" s="54">
        <f>IF(Settings!$E$9="YAHOO",VLOOKUP(B178,ADP!A1:E665,2,FALSE),IF(Settings!$E$9="ESPN",VLOOKUP(B178,ADP!A1:E665,3,FALSE),IF(Settings!$E$9="FANTRAX",VLOOKUP(B178,ADP!A1:E665,4,FALSE),VLOOKUP(B178,ADP!A1:E665,5,FALSE))))</f>
        <v>137.69999999999999</v>
      </c>
      <c r="N178" s="54">
        <f>IFERROR(M178-A178,"N/A")</f>
        <v>-39.300000000000011</v>
      </c>
      <c r="O178" s="54"/>
      <c r="P178" s="55" t="str">
        <f>IF(Settings!$E$27="ON",VLOOKUP(B178,ADP!A1:H665,8,FALSE)," ")</f>
        <v xml:space="preserve"> </v>
      </c>
      <c r="Q178" s="56">
        <f>IF(Settings!$E$12="YES",VLOOKUP(B178,'Player Data'!A1:E667,5,FALSE),82)</f>
        <v>78</v>
      </c>
      <c r="R178" s="54">
        <f>VLOOKUP(B178,'Player Data'!$A1:$AE667,6,FALSE)</f>
        <v>18</v>
      </c>
      <c r="S178" s="56">
        <f>VLOOKUP(B178,'Player Data'!$A1:$AE667,7,FALSE)*$Q178*IFERROR((VLOOKUP(P178,Settings!$E$28:$F$33,2,FALSE)+1),1)</f>
        <v>24.18</v>
      </c>
      <c r="T178" s="56">
        <f>VLOOKUP(B178,'Player Data'!$A1:$AE667,8,FALSE)*$Q178*IFERROR((VLOOKUP(P178,Settings!$E$28:$F$33,2,FALSE)+1),1)</f>
        <v>34.32</v>
      </c>
      <c r="U178" s="56">
        <f>SUM(S178:T178)</f>
        <v>58.5</v>
      </c>
      <c r="V178" s="56">
        <f>VLOOKUP(B178,'Player Data'!$A1:$AE667,10,FALSE)*$Q178*IFERROR(((VLOOKUP(P178,Settings!$E$28:$F$33,2,FALSE)/2)+1),1)</f>
        <v>173.57282926829274</v>
      </c>
      <c r="W178" s="56">
        <f>VLOOKUP(B178,'Player Data'!$A1:$AE667,11,FALSE)*$Q178*IFERROR((VLOOKUP(P178,Settings!$E$28:$F$33,2,FALSE)+1),1)</f>
        <v>6.9198048780487849</v>
      </c>
      <c r="X178" s="57">
        <f>VLOOKUP(B178,'Player Data'!$A1:$AE667,12,FALSE)*$Q178*IFERROR((VLOOKUP(P178,Settings!$E$28:$F$33,2,FALSE)+1),1)</f>
        <v>16.741463414634115</v>
      </c>
      <c r="Y178" s="56">
        <f>VLOOKUP(B178,'Player Data'!$A1:$AE667,13,FALSE)*$Q178</f>
        <v>0</v>
      </c>
      <c r="Z178" s="56">
        <f>VLOOKUP(B178,'Player Data'!$A1:$AE667,14,FALSE)*$Q178</f>
        <v>0</v>
      </c>
      <c r="AA178" s="56">
        <f>VLOOKUP(B178,'Player Data'!$A1:$AE667,15,FALSE)*$Q178</f>
        <v>35.004878048780483</v>
      </c>
      <c r="AB178" s="56">
        <f>VLOOKUP(B178,'Player Data'!$A1:$AE667,16,FALSE)*$Q178</f>
        <v>92.281207454846282</v>
      </c>
      <c r="AC178" s="56">
        <f>VLOOKUP(B178,'Player Data'!$A1:$AE667,17,FALSE)*$Q178*IFERROR((VLOOKUP(P178,Settings!$E$28:$F$33,2,FALSE)+1),1)</f>
        <v>-5.8542433878763775</v>
      </c>
      <c r="AD178" s="56">
        <f>VLOOKUP(B178,'Player Data'!$A1:$AE667,18,FALSE)*$Q178</f>
        <v>31.517218073913313</v>
      </c>
      <c r="AE178" s="56">
        <f>VLOOKUP(B178,'Player Data'!$A1:$AE667,19,FALSE)*$Q178*IFERROR((VLOOKUP(P178,Settings!$E$28:$F$33,2,FALSE)+1),1)</f>
        <v>2.5826688205223722</v>
      </c>
      <c r="AF178" s="56">
        <f>VLOOKUP(B178,'Player Data'!$A1:$AE667,20,FALSE)*$Q178</f>
        <v>228.29268292682906</v>
      </c>
      <c r="AG178" s="56">
        <f>VLOOKUP(B178,'Player Data'!$A1:$AE667,21,FALSE)*$Q178</f>
        <v>342.43902439024356</v>
      </c>
      <c r="AH178" s="58">
        <f>VLOOKUP(B178,'Player Data'!$A1:$AE667,22,FALSE)</f>
        <v>0.4</v>
      </c>
      <c r="AI178" s="54"/>
      <c r="AJ178" s="56"/>
      <c r="AK178" s="56"/>
      <c r="AL178" s="56"/>
      <c r="AM178" s="56"/>
      <c r="AN178" s="56"/>
      <c r="AO178" s="56"/>
      <c r="AP178" s="56"/>
      <c r="AQ178" s="59"/>
      <c r="AR178" s="60"/>
      <c r="AS178" s="54"/>
    </row>
    <row r="179" spans="1:45" ht="21.25" customHeight="1" x14ac:dyDescent="0.15">
      <c r="A179" s="45">
        <f>RANK(K179,K$1:K$665)</f>
        <v>178</v>
      </c>
      <c r="B179" s="9" t="s">
        <v>304</v>
      </c>
      <c r="C179" s="46" t="s">
        <v>127</v>
      </c>
      <c r="D179" s="47" t="str">
        <f>VLOOKUP(B179,'Player Data'!A1:D667,4,FALSE)</f>
        <v>C</v>
      </c>
      <c r="E179" s="48">
        <f>VLOOKUP(B179,'C'!A1:C206,3,FALSE)</f>
        <v>58</v>
      </c>
      <c r="F179" s="72" t="str">
        <f>VLOOKUP(B179,'Player Data'!A1:B667,2,FALSE)</f>
        <v>L.A</v>
      </c>
      <c r="G179" s="69">
        <f>VLOOKUP(B179,'Player Data'!A1:D667,3,FALSE)</f>
        <v>22</v>
      </c>
      <c r="H179" s="50">
        <f>IFERROR(VLOOKUP(B179,ADP!A1:G665,7,FALSE)/1000000,VLOOKUP(B179,ADP!A1:G665,7,FALSE))</f>
        <v>6.25</v>
      </c>
      <c r="I179" s="51">
        <f>IF(Settings!$E$15="POINTS",((R179*Q179)*Settings!$B$12)+(S179*Settings!$B$2)+(T179*Settings!$B$3)+(U179*Settings!$B$4)+(V179*Settings!$B$5)+(X179*Settings!$B$9)+(AA179*Settings!$B$6)+(W179*Settings!$B$8)+(AB179*Settings!$B$7)+(AC179*Settings!$B$14)+(AD179*Settings!$B$15)+(AE179*Settings!$B$16)+(AF179*Settings!$B$17)+(AG179*Settings!$B$18)+(Y179*Settings!$B$10)+(Z179*Settings!$B$11),VLOOKUP(B179,'Standard Deviations'!A1:C666,3,FALSE))</f>
        <v>295.21854070493464</v>
      </c>
      <c r="J179" s="52">
        <f>IF(D179="G",I179/AJ179,I179/Q179)</f>
        <v>3.8483759583501334</v>
      </c>
      <c r="K179" s="51">
        <f>IF(Settings!$E$18="C/LW/RW",VLOOKUP(B179,'C'!A1:F206,6,FALSE),VLOOKUP(B179,F!A1:F392,6,FALSE))</f>
        <v>-94.718617073146447</v>
      </c>
      <c r="L179" s="53">
        <f>IFERROR(K179/H179,"N/A")</f>
        <v>-15.154978731703432</v>
      </c>
      <c r="M179" s="54">
        <f>IF(Settings!$E$9="YAHOO",VLOOKUP(B179,ADP!A1:E665,2,FALSE),IF(Settings!$E$9="ESPN",VLOOKUP(B179,ADP!A1:E665,3,FALSE),IF(Settings!$E$9="FANTRAX",VLOOKUP(B179,ADP!A1:E665,4,FALSE),VLOOKUP(B179,ADP!A1:E665,5,FALSE))))</f>
        <v>152.1</v>
      </c>
      <c r="N179" s="54">
        <f>IFERROR(M179-A179,"N/A")</f>
        <v>-25.900000000000006</v>
      </c>
      <c r="O179" s="54"/>
      <c r="P179" s="55" t="str">
        <f>IF(Settings!$E$27="ON",VLOOKUP(B179,ADP!A1:H665,8,FALSE)," ")</f>
        <v xml:space="preserve"> </v>
      </c>
      <c r="Q179" s="56">
        <f>IF(Settings!$E$12="YES",VLOOKUP(B179,'Player Data'!A1:E667,5,FALSE),82)</f>
        <v>76.712500000000006</v>
      </c>
      <c r="R179" s="75">
        <f>VLOOKUP(B179,'Player Data'!$A1:$AE667,6,FALSE)</f>
        <v>18.653721548887301</v>
      </c>
      <c r="S179" s="56">
        <f>VLOOKUP(B179,'Player Data'!$A1:$AE667,7,FALSE)*$Q179*IFERROR((VLOOKUP(P179,Settings!$E$28:$F$33,2,FALSE)+1),1)</f>
        <v>21.171006114179988</v>
      </c>
      <c r="T179" s="56">
        <f>VLOOKUP(B179,'Player Data'!$A1:$AE667,8,FALSE)*$Q179*IFERROR((VLOOKUP(P179,Settings!$E$28:$F$33,2,FALSE)+1),1)</f>
        <v>38.525925677604256</v>
      </c>
      <c r="U179" s="56">
        <f>SUM(S179:T179)</f>
        <v>59.696931791784245</v>
      </c>
      <c r="V179" s="56">
        <f>VLOOKUP(B179,'Player Data'!$A1:$AE667,10,FALSE)*$Q179*IFERROR(((VLOOKUP(P179,Settings!$E$28:$F$33,2,FALSE)/2)+1),1)</f>
        <v>174.47209885570334</v>
      </c>
      <c r="W179" s="56">
        <f>VLOOKUP(B179,'Player Data'!$A1:$AE667,11,FALSE)*$Q179*IFERROR((VLOOKUP(P179,Settings!$E$28:$F$33,2,FALSE)+1),1)</f>
        <v>7.6387054033273802</v>
      </c>
      <c r="X179" s="57">
        <f>VLOOKUP(B179,'Player Data'!$A1:$AE667,12,FALSE)*$Q179*IFERROR((VLOOKUP(P179,Settings!$E$28:$F$33,2,FALSE)+1),1)</f>
        <v>16.026988725797793</v>
      </c>
      <c r="Y179" s="56">
        <f>VLOOKUP(B179,'Player Data'!$A1:$AE667,13,FALSE)*$Q179</f>
        <v>0.24618432108351998</v>
      </c>
      <c r="Z179" s="56">
        <f>VLOOKUP(B179,'Player Data'!$A1:$AE667,14,FALSE)*$Q179</f>
        <v>0.40958134933368617</v>
      </c>
      <c r="AA179" s="56">
        <f>VLOOKUP(B179,'Player Data'!$A1:$AE667,15,FALSE)*$Q179</f>
        <v>24.910251653197612</v>
      </c>
      <c r="AB179" s="56">
        <f>VLOOKUP(B179,'Player Data'!$A1:$AE667,16,FALSE)*$Q179</f>
        <v>71.619330147139678</v>
      </c>
      <c r="AC179" s="56">
        <f>VLOOKUP(B179,'Player Data'!$A1:$AE667,17,FALSE)*$Q179*IFERROR((VLOOKUP(P179,Settings!$E$28:$F$33,2,FALSE)+1),1)</f>
        <v>4.4961233661571773</v>
      </c>
      <c r="AD179" s="56">
        <f>VLOOKUP(B179,'Player Data'!$A1:$AE667,18,FALSE)*$Q179</f>
        <v>43.741802581412287</v>
      </c>
      <c r="AE179" s="56">
        <f>VLOOKUP(B179,'Player Data'!$A1:$AE667,19,FALSE)*$Q179*IFERROR((VLOOKUP(P179,Settings!$E$28:$F$33,2,FALSE)+1),1)</f>
        <v>3.772920362798724</v>
      </c>
      <c r="AF179" s="56">
        <f>VLOOKUP(B179,'Player Data'!$A1:$AE667,20,FALSE)*$Q179</f>
        <v>70.516734495504451</v>
      </c>
      <c r="AG179" s="56">
        <f>VLOOKUP(B179,'Player Data'!$A1:$AE667,21,FALSE)*$Q179</f>
        <v>82.774588360156642</v>
      </c>
      <c r="AH179" s="58">
        <f>VLOOKUP(B179,'Player Data'!$A1:$AE667,22,FALSE)</f>
        <v>0.46001778301504298</v>
      </c>
      <c r="AI179" s="54"/>
      <c r="AJ179" s="64"/>
      <c r="AK179" s="56"/>
      <c r="AL179" s="56"/>
      <c r="AM179" s="56"/>
      <c r="AN179" s="56"/>
      <c r="AO179" s="56"/>
      <c r="AP179" s="56"/>
      <c r="AQ179" s="59"/>
      <c r="AR179" s="60"/>
      <c r="AS179" s="54"/>
    </row>
    <row r="180" spans="1:45" ht="21.25" customHeight="1" x14ac:dyDescent="0.15">
      <c r="A180" s="45">
        <f>RANK(K180,K$1:K$665)</f>
        <v>179</v>
      </c>
      <c r="B180" s="9" t="s">
        <v>305</v>
      </c>
      <c r="C180" s="46" t="s">
        <v>127</v>
      </c>
      <c r="D180" s="47" t="str">
        <f>VLOOKUP(B180,'Player Data'!A1:D667,4,FALSE)</f>
        <v>D</v>
      </c>
      <c r="E180" s="66">
        <f>VLOOKUP(B180,D!A1:C213,3,FALSE)</f>
        <v>49</v>
      </c>
      <c r="F180" s="62" t="str">
        <f>VLOOKUP(B180,'Player Data'!A1:B667,2,FALSE)</f>
        <v>BOS</v>
      </c>
      <c r="G180" s="10">
        <f>VLOOKUP(B180,'Player Data'!A1:D667,3,FALSE)</f>
        <v>30</v>
      </c>
      <c r="H180" s="50">
        <f>IFERROR(VLOOKUP(B180,ADP!A1:G665,7,FALSE)/1000000,VLOOKUP(B180,ADP!A1:G665,7,FALSE))</f>
        <v>6.5</v>
      </c>
      <c r="I180" s="51">
        <f>IF(Settings!$E$15="POINTS",((R180*Q180)*Settings!$B$12)+(S180*Settings!$B$2)+(T180*Settings!$B$3)+(U180*Settings!$B$4)+(V180*Settings!$B$5)+(X180*Settings!$B$9)+(AA180*Settings!$B$6)+(W180*Settings!$B$8)+(AB180*Settings!$B$7)+(AC180*Settings!$B$14)+(AD180*Settings!$B$15)+(AE180*Settings!$B$16)+(AF180*Settings!$B$17)+(AG180*Settings!$B$18)+(U180*Settings!$B$13)+(Y180*Settings!$B$10)+(Z180*Settings!$B$11),VLOOKUP(B180,'Standard Deviations'!A1:C666,3,FALSE))</f>
        <v>240.68262539442622</v>
      </c>
      <c r="J180" s="52">
        <f>IF(D180="G",I180/AJ180,I180/Q180)</f>
        <v>3.0443996508165094</v>
      </c>
      <c r="K180" s="51">
        <f>VLOOKUP(B180,D!A1:F213,6,FALSE)</f>
        <v>-95.551499651168683</v>
      </c>
      <c r="L180" s="53">
        <f>IFERROR(K180/H180,"N/A")</f>
        <v>-14.700230715564413</v>
      </c>
      <c r="M180" s="54">
        <f>IF(Settings!$E$9="YAHOO",VLOOKUP(B180,ADP!A1:E665,2,FALSE),IF(Settings!$E$9="ESPN",VLOOKUP(B180,ADP!A1:E665,3,FALSE),IF(Settings!$E$9="FANTRAX",VLOOKUP(B180,ADP!A1:E665,4,FALSE),VLOOKUP(B180,ADP!A1:E665,5,FALSE))))</f>
        <v>180.7</v>
      </c>
      <c r="N180" s="54">
        <f>IFERROR(M180-A180,"N/A")</f>
        <v>1.6999999999999886</v>
      </c>
      <c r="O180" s="54"/>
      <c r="P180" s="55" t="str">
        <f>IF(Settings!$E$27="ON",VLOOKUP(B180,ADP!A1:H665,8,FALSE)," ")</f>
        <v xml:space="preserve"> </v>
      </c>
      <c r="Q180" s="56">
        <f>IF(Settings!$E$12="YES",VLOOKUP(B180,'Player Data'!A1:E667,5,FALSE),82)</f>
        <v>79.057500000000005</v>
      </c>
      <c r="R180" s="54">
        <f>VLOOKUP(B180,'Player Data'!$A1:$AE667,6,FALSE)</f>
        <v>23.2622512794598</v>
      </c>
      <c r="S180" s="56">
        <f>VLOOKUP(B180,'Player Data'!$A1:$AE667,7,FALSE)*$Q180*IFERROR((VLOOKUP(P180,Settings!$E$28:$F$33,2,FALSE)+1),1)</f>
        <v>6.3878048474631521</v>
      </c>
      <c r="T180" s="56">
        <f>VLOOKUP(B180,'Player Data'!$A1:$AE667,8,FALSE)*$Q180*IFERROR((VLOOKUP(P180,Settings!$E$28:$F$33,2,FALSE)+1),1)</f>
        <v>30.783355966682119</v>
      </c>
      <c r="U180" s="56">
        <f>SUM(S180:T180)</f>
        <v>37.171160814145274</v>
      </c>
      <c r="V180" s="56">
        <f>VLOOKUP(B180,'Player Data'!$A1:$AE667,10,FALSE)*$Q180*IFERROR(((VLOOKUP(P180,Settings!$E$28:$F$33,2,FALSE)/2)+1),1)</f>
        <v>128.56942154684322</v>
      </c>
      <c r="W180" s="56">
        <f>VLOOKUP(B180,'Player Data'!$A1:$AE667,11,FALSE)*$Q180*IFERROR((VLOOKUP(P180,Settings!$E$28:$F$33,2,FALSE)+1),1)</f>
        <v>1.0165701326965364</v>
      </c>
      <c r="X180" s="56">
        <f>VLOOKUP(B180,'Player Data'!$A1:$AE667,12,FALSE)*$Q180*IFERROR((VLOOKUP(P180,Settings!$E$28:$F$33,2,FALSE)+1),1)</f>
        <v>8.8889452753534268</v>
      </c>
      <c r="Y180" s="56">
        <f>VLOOKUP(B180,'Player Data'!$A1:$AE667,13,FALSE)*$Q180</f>
        <v>2.5916764397278625E-2</v>
      </c>
      <c r="Z180" s="56">
        <f>VLOOKUP(B180,'Player Data'!$A1:$AE667,14,FALSE)*$Q180</f>
        <v>0.26319240448048203</v>
      </c>
      <c r="AA180" s="56">
        <f>VLOOKUP(B180,'Player Data'!$A1:$AE667,15,FALSE)*$Q180</f>
        <v>111.46458899746976</v>
      </c>
      <c r="AB180" s="56">
        <f>VLOOKUP(B180,'Player Data'!$A1:$AE667,16,FALSE)*$Q180</f>
        <v>69.277087183554784</v>
      </c>
      <c r="AC180" s="56">
        <f>VLOOKUP(B180,'Player Data'!$A1:$AE667,17,FALSE)*$Q180*IFERROR((VLOOKUP(P180,Settings!$E$28:$F$33,2,FALSE)+1),1)</f>
        <v>4.3692964493612658</v>
      </c>
      <c r="AD180" s="56">
        <f>VLOOKUP(B180,'Player Data'!$A1:$AE667,18,FALSE)*$Q180</f>
        <v>53.456936874399645</v>
      </c>
      <c r="AE180" s="56">
        <f>VLOOKUP(B180,'Player Data'!$A1:$AE667,19,FALSE)*$Q180*IFERROR((VLOOKUP(P180,Settings!$E$28:$F$33,2,FALSE)+1),1)</f>
        <v>0.9949243546430443</v>
      </c>
      <c r="AF180" s="56">
        <f>VLOOKUP(B180,'Player Data'!$A1:$AE667,20,FALSE)*$Q180</f>
        <v>0</v>
      </c>
      <c r="AG180" s="56">
        <f>VLOOKUP(B180,'Player Data'!$A1:$AE667,21,FALSE)*$Q180</f>
        <v>0</v>
      </c>
      <c r="AH180" s="58">
        <f>VLOOKUP(B180,'Player Data'!$A1:$AE667,22,FALSE)</f>
        <v>0</v>
      </c>
      <c r="AI180" s="54"/>
      <c r="AJ180" s="56"/>
      <c r="AK180" s="56"/>
      <c r="AL180" s="56"/>
      <c r="AM180" s="56"/>
      <c r="AN180" s="56"/>
      <c r="AO180" s="56"/>
      <c r="AP180" s="56"/>
      <c r="AQ180" s="59"/>
      <c r="AR180" s="60"/>
      <c r="AS180" s="54"/>
    </row>
    <row r="181" spans="1:45" ht="21.25" customHeight="1" x14ac:dyDescent="0.15">
      <c r="A181" s="45">
        <f>RANK(K181,K$1:K$665)</f>
        <v>180</v>
      </c>
      <c r="B181" s="9" t="s">
        <v>306</v>
      </c>
      <c r="C181" s="46" t="s">
        <v>127</v>
      </c>
      <c r="D181" s="47" t="str">
        <f>VLOOKUP(B181,'Player Data'!A1:D667,4,FALSE)</f>
        <v>LW</v>
      </c>
      <c r="E181" s="70">
        <f>VLOOKUP(B181,LW!A1:C152,3,FALSE)</f>
        <v>49</v>
      </c>
      <c r="F181" s="55" t="str">
        <f>VLOOKUP(B181,'Player Data'!A1:B667,2,FALSE)</f>
        <v>CHI</v>
      </c>
      <c r="G181" s="10">
        <f>VLOOKUP(B181,'Player Data'!A1:D667,3,FALSE)</f>
        <v>29</v>
      </c>
      <c r="H181" s="50">
        <f>IFERROR(VLOOKUP(B181,ADP!A1:G665,7,FALSE)/1000000,VLOOKUP(B181,ADP!A1:G665,7,FALSE))</f>
        <v>5.5</v>
      </c>
      <c r="I181" s="51">
        <f>IF(Settings!$E$15="POINTS",((R181*Q181)*Settings!$B$12)+(S181*Settings!$B$2)+(T181*Settings!$B$3)+(U181*Settings!$B$4)+(V181*Settings!$B$5)+(X181*Settings!$B$9)+(AA181*Settings!$B$6)+(W181*Settings!$B$8)+(AB181*Settings!$B$7)+(AC181*Settings!$B$14)+(AD181*Settings!$B$15)+(AE181*Settings!$B$16)+(AF181*Settings!$B$17)+(AG181*Settings!$B$18)+(Y181*Settings!$B$10)+(Z181*Settings!$B$11),VLOOKUP(B181,'Standard Deviations'!A1:C666,3,FALSE))</f>
        <v>283.84522248669191</v>
      </c>
      <c r="J181" s="52">
        <f>IF(D181="G",I181/AJ181,I181/Q181)</f>
        <v>3.7409584512249348</v>
      </c>
      <c r="K181" s="51">
        <f>IF(Settings!$E$18="C/LW/RW",VLOOKUP(B181,LW!A1:F152,6,FALSE),VLOOKUP(B181,F!A1:F392,6,FALSE))</f>
        <v>-97.216289815807841</v>
      </c>
      <c r="L181" s="53">
        <f>IFERROR(K181/H181,"N/A")</f>
        <v>-17.675689057419607</v>
      </c>
      <c r="M181" s="83" t="str">
        <f>IF(Settings!$E$9="YAHOO",VLOOKUP(B181,ADP!A1:E665,2,FALSE),IF(Settings!$E$9="ESPN",VLOOKUP(B181,ADP!A1:E665,3,FALSE),IF(Settings!$E$9="FANTRAX",VLOOKUP(B181,ADP!A1:E665,4,FALSE),VLOOKUP(B181,ADP!A1:E665,5,FALSE))))</f>
        <v>—</v>
      </c>
      <c r="N181" s="83" t="str">
        <f>IFERROR(M181-A181,"N/A")</f>
        <v>N/A</v>
      </c>
      <c r="O181" s="54"/>
      <c r="P181" s="55" t="str">
        <f>IF(Settings!$E$27="ON",VLOOKUP(B181,ADP!A1:H665,8,FALSE)," ")</f>
        <v>+</v>
      </c>
      <c r="Q181" s="56">
        <f>IF(Settings!$E$12="YES",VLOOKUP(B181,'Player Data'!A1:E667,5,FALSE),82)</f>
        <v>75.875</v>
      </c>
      <c r="R181" s="75">
        <f>VLOOKUP(B181,'Player Data'!$A1:$AE667,6,FALSE)</f>
        <v>17.986419365025199</v>
      </c>
      <c r="S181" s="56">
        <f>VLOOKUP(B181,'Player Data'!$A1:$AE667,7,FALSE)*$Q181*IFERROR((VLOOKUP(P181,Settings!$E$28:$F$33,2,FALSE)+1),1)</f>
        <v>22.673075994442058</v>
      </c>
      <c r="T181" s="56">
        <f>VLOOKUP(B181,'Player Data'!$A1:$AE667,8,FALSE)*$Q181*IFERROR((VLOOKUP(P181,Settings!$E$28:$F$33,2,FALSE)+1),1)</f>
        <v>29.491237613405364</v>
      </c>
      <c r="U181" s="56">
        <f>SUM(S181:T181)</f>
        <v>52.164313607847419</v>
      </c>
      <c r="V181" s="56">
        <f>VLOOKUP(B181,'Player Data'!$A1:$AE667,10,FALSE)*$Q181*IFERROR(((VLOOKUP(P181,Settings!$E$28:$F$33,2,FALSE)/2)+1),1)</f>
        <v>183.8547771964285</v>
      </c>
      <c r="W181" s="56">
        <f>VLOOKUP(B181,'Player Data'!$A1:$AE667,11,FALSE)*$Q181*IFERROR((VLOOKUP(P181,Settings!$E$28:$F$33,2,FALSE)+1),1)</f>
        <v>7.5261467955076133</v>
      </c>
      <c r="X181" s="57">
        <f>VLOOKUP(B181,'Player Data'!$A1:$AE667,12,FALSE)*$Q181*IFERROR((VLOOKUP(P181,Settings!$E$28:$F$33,2,FALSE)+1),1)</f>
        <v>14.876923387537914</v>
      </c>
      <c r="Y181" s="56">
        <f>VLOOKUP(B181,'Player Data'!$A1:$AE667,13,FALSE)*$Q181</f>
        <v>8.5911104878299144E-3</v>
      </c>
      <c r="Z181" s="56">
        <f>VLOOKUP(B181,'Player Data'!$A1:$AE667,14,FALSE)*$Q181</f>
        <v>1.6297151587623838E-2</v>
      </c>
      <c r="AA181" s="56">
        <f>VLOOKUP(B181,'Player Data'!$A1:$AE667,15,FALSE)*$Q181</f>
        <v>41.063345051619741</v>
      </c>
      <c r="AB181" s="56">
        <f>VLOOKUP(B181,'Player Data'!$A1:$AE667,16,FALSE)*$Q181</f>
        <v>90.684643358856519</v>
      </c>
      <c r="AC181" s="56">
        <f>VLOOKUP(B181,'Player Data'!$A1:$AE667,17,FALSE)*$Q181*IFERROR((VLOOKUP(P181,Settings!$E$28:$F$33,2,FALSE)+1),1)</f>
        <v>1.3095810345623073</v>
      </c>
      <c r="AD181" s="56">
        <f>VLOOKUP(B181,'Player Data'!$A1:$AE667,18,FALSE)*$Q181</f>
        <v>39.352241173004245</v>
      </c>
      <c r="AE181" s="56">
        <f>VLOOKUP(B181,'Player Data'!$A1:$AE667,19,FALSE)*$Q181*IFERROR((VLOOKUP(P181,Settings!$E$28:$F$33,2,FALSE)+1),1)</f>
        <v>2.9301605384066924</v>
      </c>
      <c r="AF181" s="56">
        <f>VLOOKUP(B181,'Player Data'!$A1:$AE667,20,FALSE)*$Q181</f>
        <v>4.6246355705138873</v>
      </c>
      <c r="AG181" s="56">
        <f>VLOOKUP(B181,'Player Data'!$A1:$AE667,21,FALSE)*$Q181</f>
        <v>12.113140787452595</v>
      </c>
      <c r="AH181" s="58">
        <f>VLOOKUP(B181,'Player Data'!$A1:$AE667,22,FALSE)</f>
        <v>0.27629928083683303</v>
      </c>
      <c r="AI181" s="54"/>
      <c r="AJ181" s="64"/>
      <c r="AK181" s="56"/>
      <c r="AL181" s="56"/>
      <c r="AM181" s="56"/>
      <c r="AN181" s="56"/>
      <c r="AO181" s="56"/>
      <c r="AP181" s="56"/>
      <c r="AQ181" s="59"/>
      <c r="AR181" s="60"/>
      <c r="AS181" s="54"/>
    </row>
    <row r="182" spans="1:45" ht="21.25" customHeight="1" x14ac:dyDescent="0.15">
      <c r="A182" s="45">
        <f>RANK(K182,K$1:K$665)</f>
        <v>181</v>
      </c>
      <c r="B182" s="9" t="s">
        <v>307</v>
      </c>
      <c r="C182" s="46" t="s">
        <v>127</v>
      </c>
      <c r="D182" s="47" t="str">
        <f>VLOOKUP(B182,'Player Data'!A1:D667,4,FALSE)</f>
        <v>LW/RW</v>
      </c>
      <c r="E182" s="68">
        <f>VLOOKUP(B182,RW!A1:C136,3,FALSE)</f>
        <v>47</v>
      </c>
      <c r="F182" s="65" t="str">
        <f>VLOOKUP(B182,'Player Data'!A1:B667,2,FALSE)</f>
        <v>CGY</v>
      </c>
      <c r="G182" s="10">
        <f>VLOOKUP(B182,'Player Data'!A1:D667,3,FALSE)</f>
        <v>28</v>
      </c>
      <c r="H182" s="67">
        <f>IFERROR(VLOOKUP(B182,ADP!A1:G665,7,FALSE)/1000000,VLOOKUP(B182,ADP!A1:G665,7,FALSE))</f>
        <v>5.5</v>
      </c>
      <c r="I182" s="51">
        <f>IF(Settings!$E$15="POINTS",((R182*Q182)*Settings!$B$12)+(S182*Settings!$B$2)+(T182*Settings!$B$3)+(U182*Settings!$B$4)+(V182*Settings!$B$5)+(X182*Settings!$B$9)+(AA182*Settings!$B$6)+(W182*Settings!$B$8)+(AB182*Settings!$B$7)+(AC182*Settings!$B$14)+(AD182*Settings!$B$15)+(AE182*Settings!$B$16)+(AF182*Settings!$B$17)+(AG182*Settings!$B$18)+(Y182*Settings!$B$10)+(Z182*Settings!$B$11),VLOOKUP(B182,'Standard Deviations'!A1:C666,3,FALSE))</f>
        <v>271.55675827390883</v>
      </c>
      <c r="J182" s="52">
        <f>IF(D182="G",I182/AJ182,I182/Q182)</f>
        <v>3.4107672091425729</v>
      </c>
      <c r="K182" s="51">
        <f>IF(Settings!$E$18="C/LW/RW",VLOOKUP(B182,RW!A1:F136,6,FALSE),VLOOKUP(B182,F!A1:F392,6,FALSE))</f>
        <v>-97.290964832383565</v>
      </c>
      <c r="L182" s="53">
        <f>IFERROR(K182/H182,"N/A")</f>
        <v>-17.689266333160649</v>
      </c>
      <c r="M182" s="54">
        <f>IF(Settings!$E$9="YAHOO",VLOOKUP(B182,ADP!A1:E665,2,FALSE),IF(Settings!$E$9="ESPN",VLOOKUP(B182,ADP!A1:E665,3,FALSE),IF(Settings!$E$9="FANTRAX",VLOOKUP(B182,ADP!A1:E665,4,FALSE),VLOOKUP(B182,ADP!A1:E665,5,FALSE))))</f>
        <v>110.1</v>
      </c>
      <c r="N182" s="54">
        <f>IFERROR(M182-A182,"N/A")</f>
        <v>-70.900000000000006</v>
      </c>
      <c r="O182" s="54"/>
      <c r="P182" s="55" t="str">
        <f>IF(Settings!$E$27="ON",VLOOKUP(B182,ADP!A1:H665,8,FALSE)," ")</f>
        <v xml:space="preserve"> </v>
      </c>
      <c r="Q182" s="56">
        <f>IF(Settings!$E$12="YES",VLOOKUP(B182,'Player Data'!A1:E667,5,FALSE),82)</f>
        <v>79.617500000000007</v>
      </c>
      <c r="R182" s="54">
        <f>VLOOKUP(B182,'Player Data'!$A1:$AE667,6,FALSE)</f>
        <v>15.546550681169199</v>
      </c>
      <c r="S182" s="56">
        <f>VLOOKUP(B182,'Player Data'!$A1:$AE667,7,FALSE)*$Q182*IFERROR((VLOOKUP(P182,Settings!$E$28:$F$33,2,FALSE)+1),1)</f>
        <v>27.628730272762525</v>
      </c>
      <c r="T182" s="56">
        <f>VLOOKUP(B182,'Player Data'!$A1:$AE667,8,FALSE)*$Q182*IFERROR((VLOOKUP(P182,Settings!$E$28:$F$33,2,FALSE)+1),1)</f>
        <v>29.74554661910441</v>
      </c>
      <c r="U182" s="56">
        <f>SUM(S182:T182)</f>
        <v>57.374276891866934</v>
      </c>
      <c r="V182" s="56">
        <f>VLOOKUP(B182,'Player Data'!$A1:$AE667,10,FALSE)*$Q182*IFERROR(((VLOOKUP(P182,Settings!$E$28:$F$33,2,FALSE)/2)+1),1)</f>
        <v>140.59938739248449</v>
      </c>
      <c r="W182" s="56">
        <f>VLOOKUP(B182,'Player Data'!$A1:$AE667,11,FALSE)*$Q182*IFERROR((VLOOKUP(P182,Settings!$E$28:$F$33,2,FALSE)+1),1)</f>
        <v>8.9034023638093061</v>
      </c>
      <c r="X182" s="57">
        <f>VLOOKUP(B182,'Player Data'!$A1:$AE667,12,FALSE)*$Q182*IFERROR((VLOOKUP(P182,Settings!$E$28:$F$33,2,FALSE)+1),1)</f>
        <v>18.376440057198778</v>
      </c>
      <c r="Y182" s="56">
        <f>VLOOKUP(B182,'Player Data'!$A1:$AE667,13,FALSE)*$Q182</f>
        <v>2.7190592770732949E-4</v>
      </c>
      <c r="Z182" s="56">
        <f>VLOOKUP(B182,'Player Data'!$A1:$AE667,14,FALSE)*$Q182</f>
        <v>4.5939915457677736E-4</v>
      </c>
      <c r="AA182" s="56">
        <f>VLOOKUP(B182,'Player Data'!$A1:$AE667,15,FALSE)*$Q182</f>
        <v>21.514668891424833</v>
      </c>
      <c r="AB182" s="56">
        <f>VLOOKUP(B182,'Player Data'!$A1:$AE667,16,FALSE)*$Q182</f>
        <v>26.154167727584266</v>
      </c>
      <c r="AC182" s="56">
        <f>VLOOKUP(B182,'Player Data'!$A1:$AE667,17,FALSE)*$Q182*IFERROR((VLOOKUP(P182,Settings!$E$28:$F$33,2,FALSE)+1),1)</f>
        <v>0.83545921488874153</v>
      </c>
      <c r="AD182" s="56">
        <f>VLOOKUP(B182,'Player Data'!$A1:$AE667,18,FALSE)*$Q182</f>
        <v>16.513376263433653</v>
      </c>
      <c r="AE182" s="56">
        <f>VLOOKUP(B182,'Player Data'!$A1:$AE667,19,FALSE)*$Q182*IFERROR((VLOOKUP(P182,Settings!$E$28:$F$33,2,FALSE)+1),1)</f>
        <v>4.0140063249369193</v>
      </c>
      <c r="AF182" s="56">
        <f>VLOOKUP(B182,'Player Data'!$A1:$AE667,20,FALSE)*$Q182</f>
        <v>0.55087628405853439</v>
      </c>
      <c r="AG182" s="56">
        <f>VLOOKUP(B182,'Player Data'!$A1:$AE667,21,FALSE)*$Q182</f>
        <v>0.5609126576825284</v>
      </c>
      <c r="AH182" s="58">
        <f>VLOOKUP(B182,'Player Data'!$A1:$AE667,22,FALSE)</f>
        <v>0.49548638538881401</v>
      </c>
      <c r="AI182" s="54"/>
      <c r="AJ182" s="56"/>
      <c r="AK182" s="56"/>
      <c r="AL182" s="56"/>
      <c r="AM182" s="56"/>
      <c r="AN182" s="56"/>
      <c r="AO182" s="56"/>
      <c r="AP182" s="56"/>
      <c r="AQ182" s="59"/>
      <c r="AR182" s="60"/>
      <c r="AS182" s="54"/>
    </row>
    <row r="183" spans="1:45" ht="21.25" customHeight="1" x14ac:dyDescent="0.15">
      <c r="A183" s="45">
        <f>RANK(K183,K$1:K$665)</f>
        <v>182</v>
      </c>
      <c r="B183" s="9" t="s">
        <v>308</v>
      </c>
      <c r="C183" s="46" t="s">
        <v>127</v>
      </c>
      <c r="D183" s="47" t="str">
        <f>VLOOKUP(B183,'Player Data'!A1:D667,4,FALSE)</f>
        <v>D</v>
      </c>
      <c r="E183" s="66">
        <f>VLOOKUP(B183,D!A1:C213,3,FALSE)</f>
        <v>50</v>
      </c>
      <c r="F183" s="72" t="str">
        <f>VLOOKUP(B183,'Player Data'!A1:B667,2,FALSE)</f>
        <v>CAR</v>
      </c>
      <c r="G183" s="10">
        <f>VLOOKUP(B183,'Player Data'!A1:D667,3,FALSE)</f>
        <v>30</v>
      </c>
      <c r="H183" s="50">
        <f>IFERROR(VLOOKUP(B183,ADP!A1:G665,7,FALSE)/1000000,VLOOKUP(B183,ADP!A1:G665,7,FALSE))</f>
        <v>5.3</v>
      </c>
      <c r="I183" s="51">
        <f>IF(Settings!$E$15="POINTS",((R183*Q183)*Settings!$B$12)+(S183*Settings!$B$2)+(T183*Settings!$B$3)+(U183*Settings!$B$4)+(V183*Settings!$B$5)+(X183*Settings!$B$9)+(AA183*Settings!$B$6)+(W183*Settings!$B$8)+(AB183*Settings!$B$7)+(AC183*Settings!$B$14)+(AD183*Settings!$B$15)+(AE183*Settings!$B$16)+(AF183*Settings!$B$17)+(AG183*Settings!$B$18)+(U183*Settings!$B$13)+(Y183*Settings!$B$10)+(Z183*Settings!$B$11),VLOOKUP(B183,'Standard Deviations'!A1:C666,3,FALSE))</f>
        <v>238.83447013887519</v>
      </c>
      <c r="J183" s="52">
        <f>IF(D183="G",I183/AJ183,I183/Q183)</f>
        <v>2.9585267738859145</v>
      </c>
      <c r="K183" s="51">
        <f>VLOOKUP(B183,D!A1:F213,6,FALSE)</f>
        <v>-97.399654906719718</v>
      </c>
      <c r="L183" s="53">
        <f>IFERROR(K183/H183,"N/A")</f>
        <v>-18.377293378626362</v>
      </c>
      <c r="M183" s="54">
        <f>IF(Settings!$E$9="YAHOO",VLOOKUP(B183,ADP!A1:E665,2,FALSE),IF(Settings!$E$9="ESPN",VLOOKUP(B183,ADP!A1:E665,3,FALSE),IF(Settings!$E$9="FANTRAX",VLOOKUP(B183,ADP!A1:E665,4,FALSE),VLOOKUP(B183,ADP!A1:E665,5,FALSE))))</f>
        <v>174.7</v>
      </c>
      <c r="N183" s="54">
        <f>IFERROR(M183-A183,"N/A")</f>
        <v>-7.3000000000000114</v>
      </c>
      <c r="O183" s="54"/>
      <c r="P183" s="55" t="str">
        <f>IF(Settings!$E$27="ON",VLOOKUP(B183,ADP!A1:H665,8,FALSE)," ")</f>
        <v xml:space="preserve"> </v>
      </c>
      <c r="Q183" s="56">
        <f>IF(Settings!$E$12="YES",VLOOKUP(B183,'Player Data'!A1:E667,5,FALSE),82)</f>
        <v>80.727500000000006</v>
      </c>
      <c r="R183" s="54">
        <f>VLOOKUP(B183,'Player Data'!$A1:$AE667,6,FALSE)</f>
        <v>21.61316025208</v>
      </c>
      <c r="S183" s="56">
        <f>VLOOKUP(B183,'Player Data'!$A1:$AE667,7,FALSE)*$Q183*IFERROR((VLOOKUP(P183,Settings!$E$28:$F$33,2,FALSE)+1),1)</f>
        <v>5.9622225805449425</v>
      </c>
      <c r="T183" s="56">
        <f>VLOOKUP(B183,'Player Data'!$A1:$AE667,8,FALSE)*$Q183*IFERROR((VLOOKUP(P183,Settings!$E$28:$F$33,2,FALSE)+1),1)</f>
        <v>27.966987573142287</v>
      </c>
      <c r="U183" s="56">
        <f>SUM(S183:T183)</f>
        <v>33.929210153687229</v>
      </c>
      <c r="V183" s="56">
        <f>VLOOKUP(B183,'Player Data'!$A1:$AE667,10,FALSE)*$Q183*IFERROR(((VLOOKUP(P183,Settings!$E$28:$F$33,2,FALSE)/2)+1),1)</f>
        <v>148.31096765054588</v>
      </c>
      <c r="W183" s="56">
        <f>VLOOKUP(B183,'Player Data'!$A1:$AE667,11,FALSE)*$Q183*IFERROR((VLOOKUP(P183,Settings!$E$28:$F$33,2,FALSE)+1),1)</f>
        <v>0.11619606626604469</v>
      </c>
      <c r="X183" s="56">
        <f>VLOOKUP(B183,'Player Data'!$A1:$AE667,12,FALSE)*$Q183*IFERROR((VLOOKUP(P183,Settings!$E$28:$F$33,2,FALSE)+1),1)</f>
        <v>0.73642438731893034</v>
      </c>
      <c r="Y183" s="56">
        <f>VLOOKUP(B183,'Player Data'!$A1:$AE667,13,FALSE)*$Q183</f>
        <v>0.78561548197525477</v>
      </c>
      <c r="Z183" s="56">
        <f>VLOOKUP(B183,'Player Data'!$A1:$AE667,14,FALSE)*$Q183</f>
        <v>1.3917815441157371</v>
      </c>
      <c r="AA183" s="56">
        <f>VLOOKUP(B183,'Player Data'!$A1:$AE667,15,FALSE)*$Q183</f>
        <v>121.52629984221187</v>
      </c>
      <c r="AB183" s="56">
        <f>VLOOKUP(B183,'Player Data'!$A1:$AE667,16,FALSE)*$Q183</f>
        <v>58.717845546568121</v>
      </c>
      <c r="AC183" s="56">
        <f>VLOOKUP(B183,'Player Data'!$A1:$AE667,17,FALSE)*$Q183*IFERROR((VLOOKUP(P183,Settings!$E$28:$F$33,2,FALSE)+1),1)</f>
        <v>8.2892838601270817</v>
      </c>
      <c r="AD183" s="56">
        <f>VLOOKUP(B183,'Player Data'!$A1:$AE667,18,FALSE)*$Q183</f>
        <v>14.463861245230797</v>
      </c>
      <c r="AE183" s="56">
        <f>VLOOKUP(B183,'Player Data'!$A1:$AE667,19,FALSE)*$Q183*IFERROR((VLOOKUP(P183,Settings!$E$28:$F$33,2,FALSE)+1),1)</f>
        <v>1.0331672347119205</v>
      </c>
      <c r="AF183" s="56">
        <f>VLOOKUP(B183,'Player Data'!$A1:$AE667,20,FALSE)*$Q183</f>
        <v>0</v>
      </c>
      <c r="AG183" s="56">
        <f>VLOOKUP(B183,'Player Data'!$A1:$AE667,21,FALSE)*$Q183</f>
        <v>0</v>
      </c>
      <c r="AH183" s="58">
        <f>VLOOKUP(B183,'Player Data'!$A1:$AE667,22,FALSE)</f>
        <v>0</v>
      </c>
      <c r="AI183" s="54"/>
      <c r="AJ183" s="64"/>
      <c r="AK183" s="56"/>
      <c r="AL183" s="56"/>
      <c r="AM183" s="56"/>
      <c r="AN183" s="56"/>
      <c r="AO183" s="56"/>
      <c r="AP183" s="56"/>
      <c r="AQ183" s="59"/>
      <c r="AR183" s="60"/>
      <c r="AS183" s="54"/>
    </row>
    <row r="184" spans="1:45" ht="21.25" customHeight="1" x14ac:dyDescent="0.15">
      <c r="A184" s="45">
        <f>RANK(K184,K$1:K$665)</f>
        <v>183</v>
      </c>
      <c r="B184" s="9" t="s">
        <v>309</v>
      </c>
      <c r="C184" s="46" t="s">
        <v>127</v>
      </c>
      <c r="D184" s="47" t="str">
        <f>VLOOKUP(B184,'Player Data'!A1:D667,4,FALSE)</f>
        <v>LW/RW</v>
      </c>
      <c r="E184" s="68">
        <f>VLOOKUP(B184,RW!A1:C136,3,FALSE)</f>
        <v>48</v>
      </c>
      <c r="F184" s="77" t="str">
        <f>VLOOKUP(B184,'Player Data'!A1:B667,2,FALSE)</f>
        <v>STL</v>
      </c>
      <c r="G184" s="69">
        <f>VLOOKUP(B184,'Player Data'!A1:D667,3,FALSE)</f>
        <v>22</v>
      </c>
      <c r="H184" s="67">
        <f>IFERROR(VLOOKUP(B184,ADP!A1:G665,7,FALSE)/1000000,VLOOKUP(B184,ADP!A1:G665,7,FALSE))</f>
        <v>0.83583300000000005</v>
      </c>
      <c r="I184" s="51">
        <f>IF(Settings!$E$15="POINTS",((R184*Q184)*Settings!$B$12)+(S184*Settings!$B$2)+(T184*Settings!$B$3)+(U184*Settings!$B$4)+(V184*Settings!$B$5)+(X184*Settings!$B$9)+(AA184*Settings!$B$6)+(W184*Settings!$B$8)+(AB184*Settings!$B$7)+(AC184*Settings!$B$14)+(AD184*Settings!$B$15)+(AE184*Settings!$B$16)+(AF184*Settings!$B$17)+(AG184*Settings!$B$18)+(Y184*Settings!$B$10)+(Z184*Settings!$B$11),VLOOKUP(B184,'Standard Deviations'!A1:C666,3,FALSE))</f>
        <v>270.6727767167863</v>
      </c>
      <c r="J184" s="52">
        <f>IF(D184="G",I184/AJ184,I184/Q184)</f>
        <v>3.6268628797639866</v>
      </c>
      <c r="K184" s="51">
        <f>IF(Settings!$E$18="C/LW/RW",VLOOKUP(B184,RW!A1:F136,6,FALSE),VLOOKUP(B184,F!A1:F392,6,FALSE))</f>
        <v>-98.17494638950609</v>
      </c>
      <c r="L184" s="53">
        <f>IFERROR(K184/H184,"N/A")</f>
        <v>-117.45760982098827</v>
      </c>
      <c r="M184" s="54">
        <f>IF(Settings!$E$9="YAHOO",VLOOKUP(B184,ADP!A1:E665,2,FALSE),IF(Settings!$E$9="ESPN",VLOOKUP(B184,ADP!A1:E665,3,FALSE),IF(Settings!$E$9="FANTRAX",VLOOKUP(B184,ADP!A1:E665,4,FALSE),VLOOKUP(B184,ADP!A1:E665,5,FALSE))))</f>
        <v>170.8</v>
      </c>
      <c r="N184" s="54">
        <f>IFERROR(M184-A184,"N/A")</f>
        <v>-12.199999999999989</v>
      </c>
      <c r="O184" s="54"/>
      <c r="P184" s="55" t="str">
        <f>IF(Settings!$E$27="ON",VLOOKUP(B184,ADP!A1:H665,8,FALSE)," ")</f>
        <v xml:space="preserve"> </v>
      </c>
      <c r="Q184" s="56">
        <f>IF(Settings!$E$12="YES",VLOOKUP(B184,'Player Data'!A1:E667,5,FALSE),82)</f>
        <v>74.63</v>
      </c>
      <c r="R184" s="75">
        <f>VLOOKUP(B184,'Player Data'!$A1:$AE667,6,FALSE)</f>
        <v>17.603631480963902</v>
      </c>
      <c r="S184" s="56">
        <f>VLOOKUP(B184,'Player Data'!$A1:$AE667,7,FALSE)*$Q184*IFERROR((VLOOKUP(P184,Settings!$E$28:$F$33,2,FALSE)+1),1)</f>
        <v>29.468761505768647</v>
      </c>
      <c r="T184" s="56">
        <f>VLOOKUP(B184,'Player Data'!$A1:$AE667,8,FALSE)*$Q184*IFERROR((VLOOKUP(P184,Settings!$E$28:$F$33,2,FALSE)+1),1)</f>
        <v>19.952730320950209</v>
      </c>
      <c r="U184" s="56">
        <f>SUM(S184:T184)</f>
        <v>49.421491826718857</v>
      </c>
      <c r="V184" s="56">
        <f>VLOOKUP(B184,'Player Data'!$A1:$AE667,10,FALSE)*$Q184*IFERROR(((VLOOKUP(P184,Settings!$E$28:$F$33,2,FALSE)/2)+1),1)</f>
        <v>160.51620954530622</v>
      </c>
      <c r="W184" s="56">
        <f>VLOOKUP(B184,'Player Data'!$A1:$AE667,11,FALSE)*$Q184*IFERROR((VLOOKUP(P184,Settings!$E$28:$F$33,2,FALSE)+1),1)</f>
        <v>9.5862311648999707</v>
      </c>
      <c r="X184" s="78">
        <f>VLOOKUP(B184,'Player Data'!$A1:$AE667,12,FALSE)*$Q184*IFERROR((VLOOKUP(P184,Settings!$E$28:$F$33,2,FALSE)+1),1)</f>
        <v>18.81143969006947</v>
      </c>
      <c r="Y184" s="56">
        <f>VLOOKUP(B184,'Player Data'!$A1:$AE667,13,FALSE)*$Q184</f>
        <v>0.11825562162914859</v>
      </c>
      <c r="Z184" s="56">
        <f>VLOOKUP(B184,'Player Data'!$A1:$AE667,14,FALSE)*$Q184</f>
        <v>0.20176077254126687</v>
      </c>
      <c r="AA184" s="56">
        <f>VLOOKUP(B184,'Player Data'!$A1:$AE667,15,FALSE)*$Q184</f>
        <v>46.273992002731717</v>
      </c>
      <c r="AB184" s="56">
        <f>VLOOKUP(B184,'Player Data'!$A1:$AE667,16,FALSE)*$Q184</f>
        <v>136.33072638392485</v>
      </c>
      <c r="AC184" s="56">
        <f>VLOOKUP(B184,'Player Data'!$A1:$AE667,17,FALSE)*$Q184*IFERROR((VLOOKUP(P184,Settings!$E$28:$F$33,2,FALSE)+1),1)</f>
        <v>-5.7682020338888238</v>
      </c>
      <c r="AD184" s="56">
        <f>VLOOKUP(B184,'Player Data'!$A1:$AE667,18,FALSE)*$Q184</f>
        <v>30.900497246588241</v>
      </c>
      <c r="AE184" s="56">
        <f>VLOOKUP(B184,'Player Data'!$A1:$AE667,19,FALSE)*$Q184*IFERROR((VLOOKUP(P184,Settings!$E$28:$F$33,2,FALSE)+1),1)</f>
        <v>3.54786482346731</v>
      </c>
      <c r="AF184" s="56">
        <f>VLOOKUP(B184,'Player Data'!$A1:$AE667,20,FALSE)*$Q184</f>
        <v>12.362347300629017</v>
      </c>
      <c r="AG184" s="56">
        <f>VLOOKUP(B184,'Player Data'!$A1:$AE667,21,FALSE)*$Q184</f>
        <v>20.591448560951648</v>
      </c>
      <c r="AH184" s="58">
        <f>VLOOKUP(B184,'Player Data'!$A1:$AE667,22,FALSE)</f>
        <v>0.37514183047548999</v>
      </c>
      <c r="AI184" s="54"/>
      <c r="AJ184" s="56"/>
      <c r="AK184" s="56"/>
      <c r="AL184" s="56"/>
      <c r="AM184" s="56"/>
      <c r="AN184" s="56"/>
      <c r="AO184" s="56"/>
      <c r="AP184" s="56"/>
      <c r="AQ184" s="59"/>
      <c r="AR184" s="60"/>
      <c r="AS184" s="54"/>
    </row>
    <row r="185" spans="1:45" ht="21.25" customHeight="1" x14ac:dyDescent="0.15">
      <c r="A185" s="45">
        <f>RANK(K185,K$1:K$665)</f>
        <v>184</v>
      </c>
      <c r="B185" s="9" t="s">
        <v>310</v>
      </c>
      <c r="C185" s="46" t="s">
        <v>127</v>
      </c>
      <c r="D185" s="47" t="str">
        <f>VLOOKUP(B185,'Player Data'!A1:D667,4,FALSE)</f>
        <v>D</v>
      </c>
      <c r="E185" s="66">
        <f>VLOOKUP(B185,D!A1:C213,3,FALSE)</f>
        <v>51</v>
      </c>
      <c r="F185" s="65" t="str">
        <f>VLOOKUP(B185,'Player Data'!A1:B667,2,FALSE)</f>
        <v>EDM</v>
      </c>
      <c r="G185" s="63">
        <f>VLOOKUP(B185,'Player Data'!A1:D667,3,FALSE)</f>
        <v>34</v>
      </c>
      <c r="H185" s="50">
        <f>IFERROR(VLOOKUP(B185,ADP!A1:G665,7,FALSE)/1000000,VLOOKUP(B185,ADP!A1:G665,7,FALSE))</f>
        <v>6</v>
      </c>
      <c r="I185" s="51">
        <f>IF(Settings!$E$15="POINTS",((R185*Q185)*Settings!$B$12)+(S185*Settings!$B$2)+(T185*Settings!$B$3)+(U185*Settings!$B$4)+(V185*Settings!$B$5)+(X185*Settings!$B$9)+(AA185*Settings!$B$6)+(W185*Settings!$B$8)+(AB185*Settings!$B$7)+(AC185*Settings!$B$14)+(AD185*Settings!$B$15)+(AE185*Settings!$B$16)+(AF185*Settings!$B$17)+(AG185*Settings!$B$18)+(U185*Settings!$B$13)+(Y185*Settings!$B$10)+(Z185*Settings!$B$11),VLOOKUP(B185,'Standard Deviations'!A1:C666,3,FALSE))</f>
        <v>237.87473643290349</v>
      </c>
      <c r="J185" s="52">
        <f>IF(D185="G",I185/AJ185,I185/Q185)</f>
        <v>2.9605742111814743</v>
      </c>
      <c r="K185" s="51">
        <f>VLOOKUP(B185,D!A1:F213,6,FALSE)</f>
        <v>-98.359388612691419</v>
      </c>
      <c r="L185" s="53">
        <f>IFERROR(K185/H185,"N/A")</f>
        <v>-16.39323143544857</v>
      </c>
      <c r="M185" s="54">
        <f>IF(Settings!$E$9="YAHOO",VLOOKUP(B185,ADP!A1:E665,2,FALSE),IF(Settings!$E$9="ESPN",VLOOKUP(B185,ADP!A1:E665,3,FALSE),IF(Settings!$E$9="FANTRAX",VLOOKUP(B185,ADP!A1:E665,4,FALSE),VLOOKUP(B185,ADP!A1:E665,5,FALSE))))</f>
        <v>107.3</v>
      </c>
      <c r="N185" s="54">
        <f>IFERROR(M185-A185,"N/A")</f>
        <v>-76.7</v>
      </c>
      <c r="O185" s="54"/>
      <c r="P185" s="55" t="str">
        <f>IF(Settings!$E$27="ON",VLOOKUP(B185,ADP!A1:H665,8,FALSE)," ")</f>
        <v xml:space="preserve"> </v>
      </c>
      <c r="Q185" s="56">
        <f>IF(Settings!$E$12="YES",VLOOKUP(B185,'Player Data'!A1:E667,5,FALSE),82)</f>
        <v>80.347499999999997</v>
      </c>
      <c r="R185" s="54">
        <f>VLOOKUP(B185,'Player Data'!$A1:$AE667,6,FALSE)</f>
        <v>21.462720012458</v>
      </c>
      <c r="S185" s="56">
        <f>VLOOKUP(B185,'Player Data'!$A1:$AE667,7,FALSE)*$Q185*IFERROR((VLOOKUP(P185,Settings!$E$28:$F$33,2,FALSE)+1),1)</f>
        <v>8.129958780987744</v>
      </c>
      <c r="T185" s="56">
        <f>VLOOKUP(B185,'Player Data'!$A1:$AE667,8,FALSE)*$Q185*IFERROR((VLOOKUP(P185,Settings!$E$28:$F$33,2,FALSE)+1),1)</f>
        <v>25.481440074967765</v>
      </c>
      <c r="U185" s="56">
        <f>SUM(S185:T185)</f>
        <v>33.611398855955507</v>
      </c>
      <c r="V185" s="56">
        <f>VLOOKUP(B185,'Player Data'!$A1:$AE667,10,FALSE)*$Q185*IFERROR(((VLOOKUP(P185,Settings!$E$28:$F$33,2,FALSE)/2)+1),1)</f>
        <v>157.82082113305947</v>
      </c>
      <c r="W185" s="56">
        <f>VLOOKUP(B185,'Player Data'!$A1:$AE667,11,FALSE)*$Q185*IFERROR((VLOOKUP(P185,Settings!$E$28:$F$33,2,FALSE)+1),1)</f>
        <v>0.65334995796814876</v>
      </c>
      <c r="X185" s="56">
        <f>VLOOKUP(B185,'Player Data'!$A1:$AE667,12,FALSE)*$Q185*IFERROR((VLOOKUP(P185,Settings!$E$28:$F$33,2,FALSE)+1),1)</f>
        <v>2.8622877217421072</v>
      </c>
      <c r="Y185" s="56">
        <f>VLOOKUP(B185,'Player Data'!$A1:$AE667,13,FALSE)*$Q185</f>
        <v>0.43590071623480547</v>
      </c>
      <c r="Z185" s="56">
        <f>VLOOKUP(B185,'Player Data'!$A1:$AE667,14,FALSE)*$Q185</f>
        <v>0.92345399399252848</v>
      </c>
      <c r="AA185" s="56">
        <f>VLOOKUP(B185,'Player Data'!$A1:$AE667,15,FALSE)*$Q185</f>
        <v>108.68877516554518</v>
      </c>
      <c r="AB185" s="56">
        <f>VLOOKUP(B185,'Player Data'!$A1:$AE667,16,FALSE)*$Q185</f>
        <v>123.05990138957657</v>
      </c>
      <c r="AC185" s="56">
        <f>VLOOKUP(B185,'Player Data'!$A1:$AE667,17,FALSE)*$Q185*IFERROR((VLOOKUP(P185,Settings!$E$28:$F$33,2,FALSE)+1),1)</f>
        <v>11.407218005860026</v>
      </c>
      <c r="AD185" s="56">
        <f>VLOOKUP(B185,'Player Data'!$A1:$AE667,18,FALSE)*$Q185</f>
        <v>41.462887719282939</v>
      </c>
      <c r="AE185" s="56">
        <f>VLOOKUP(B185,'Player Data'!$A1:$AE667,19,FALSE)*$Q185*IFERROR((VLOOKUP(P185,Settings!$E$28:$F$33,2,FALSE)+1),1)</f>
        <v>1.312786374712051</v>
      </c>
      <c r="AF185" s="56">
        <f>VLOOKUP(B185,'Player Data'!$A1:$AE667,20,FALSE)*$Q185</f>
        <v>0</v>
      </c>
      <c r="AG185" s="56">
        <f>VLOOKUP(B185,'Player Data'!$A1:$AE667,21,FALSE)*$Q185</f>
        <v>0</v>
      </c>
      <c r="AH185" s="58">
        <f>VLOOKUP(B185,'Player Data'!$A1:$AE667,22,FALSE)</f>
        <v>0</v>
      </c>
      <c r="AI185" s="54"/>
      <c r="AJ185" s="56"/>
      <c r="AK185" s="56"/>
      <c r="AL185" s="56"/>
      <c r="AM185" s="56"/>
      <c r="AN185" s="56"/>
      <c r="AO185" s="56"/>
      <c r="AP185" s="56"/>
      <c r="AQ185" s="59"/>
      <c r="AR185" s="60"/>
      <c r="AS185" s="54"/>
    </row>
    <row r="186" spans="1:45" ht="21.25" customHeight="1" x14ac:dyDescent="0.15">
      <c r="A186" s="45">
        <f>RANK(K186,K$1:K$665)</f>
        <v>185</v>
      </c>
      <c r="B186" s="9" t="s">
        <v>311</v>
      </c>
      <c r="C186" s="46" t="s">
        <v>127</v>
      </c>
      <c r="D186" s="47" t="str">
        <f>VLOOKUP(B186,'Player Data'!A1:D667,4,FALSE)</f>
        <v>D</v>
      </c>
      <c r="E186" s="66">
        <f>VLOOKUP(B186,D!A1:C213,3,FALSE)</f>
        <v>52</v>
      </c>
      <c r="F186" s="65" t="str">
        <f>VLOOKUP(B186,'Player Data'!A1:B667,2,FALSE)</f>
        <v>BUF</v>
      </c>
      <c r="G186" s="69">
        <f>VLOOKUP(B186,'Player Data'!A1:D667,3,FALSE)</f>
        <v>21</v>
      </c>
      <c r="H186" s="50">
        <f>IFERROR(VLOOKUP(B186,ADP!A1:G665,7,FALSE)/1000000,VLOOKUP(B186,ADP!A1:G665,7,FALSE))</f>
        <v>8.35</v>
      </c>
      <c r="I186" s="51">
        <f>IF(Settings!$E$15="POINTS",((R186*Q186)*Settings!$B$12)+(S186*Settings!$B$2)+(T186*Settings!$B$3)+(U186*Settings!$B$4)+(V186*Settings!$B$5)+(X186*Settings!$B$9)+(AA186*Settings!$B$6)+(W186*Settings!$B$8)+(AB186*Settings!$B$7)+(AC186*Settings!$B$14)+(AD186*Settings!$B$15)+(AE186*Settings!$B$16)+(AF186*Settings!$B$17)+(AG186*Settings!$B$18)+(U186*Settings!$B$13)+(Y186*Settings!$B$10)+(Z186*Settings!$B$11),VLOOKUP(B186,'Standard Deviations'!A1:C666,3,FALSE))</f>
        <v>236.02464266603423</v>
      </c>
      <c r="J186" s="52">
        <f>IF(D186="G",I186/AJ186,I186/Q186)</f>
        <v>2.9446947090363271</v>
      </c>
      <c r="K186" s="51">
        <f>VLOOKUP(B186,D!A1:F213,6,FALSE)</f>
        <v>-100.20948237956068</v>
      </c>
      <c r="L186" s="53">
        <f>IFERROR(K186/H186,"N/A")</f>
        <v>-12.001135614318645</v>
      </c>
      <c r="M186" s="54">
        <f>IF(Settings!$E$9="YAHOO",VLOOKUP(B186,ADP!A1:E665,2,FALSE),IF(Settings!$E$9="ESPN",VLOOKUP(B186,ADP!A1:E665,3,FALSE),IF(Settings!$E$9="FANTRAX",VLOOKUP(B186,ADP!A1:E665,4,FALSE),VLOOKUP(B186,ADP!A1:E665,5,FALSE))))</f>
        <v>157</v>
      </c>
      <c r="N186" s="54">
        <f>IFERROR(M186-A186,"N/A")</f>
        <v>-28</v>
      </c>
      <c r="O186" s="54"/>
      <c r="P186" s="55" t="str">
        <f>IF(Settings!$E$27="ON",VLOOKUP(B186,ADP!A1:H665,8,FALSE)," ")</f>
        <v xml:space="preserve"> </v>
      </c>
      <c r="Q186" s="56">
        <f>IF(Settings!$E$12="YES",VLOOKUP(B186,'Player Data'!A1:E667,5,FALSE),82)</f>
        <v>80.152500000000003</v>
      </c>
      <c r="R186" s="54">
        <f>VLOOKUP(B186,'Player Data'!$A1:$AE667,6,FALSE)</f>
        <v>22.6385861874166</v>
      </c>
      <c r="S186" s="56">
        <f>VLOOKUP(B186,'Player Data'!$A1:$AE667,7,FALSE)*$Q186*IFERROR((VLOOKUP(P186,Settings!$E$28:$F$33,2,FALSE)+1),1)</f>
        <v>6.6495320305940089</v>
      </c>
      <c r="T186" s="56">
        <f>VLOOKUP(B186,'Player Data'!$A1:$AE667,8,FALSE)*$Q186*IFERROR((VLOOKUP(P186,Settings!$E$28:$F$33,2,FALSE)+1),1)</f>
        <v>30.261573551484716</v>
      </c>
      <c r="U186" s="56">
        <f>SUM(S186:T186)</f>
        <v>36.911105582078726</v>
      </c>
      <c r="V186" s="56">
        <f>VLOOKUP(B186,'Player Data'!$A1:$AE667,10,FALSE)*$Q186*IFERROR(((VLOOKUP(P186,Settings!$E$28:$F$33,2,FALSE)/2)+1),1)</f>
        <v>120.78427096323088</v>
      </c>
      <c r="W186" s="56">
        <f>VLOOKUP(B186,'Player Data'!$A1:$AE667,11,FALSE)*$Q186*IFERROR((VLOOKUP(P186,Settings!$E$28:$F$33,2,FALSE)+1),1)</f>
        <v>0.2134538615290999</v>
      </c>
      <c r="X186" s="56">
        <f>VLOOKUP(B186,'Player Data'!$A1:$AE667,12,FALSE)*$Q186*IFERROR((VLOOKUP(P186,Settings!$E$28:$F$33,2,FALSE)+1),1)</f>
        <v>6.6618807000228388</v>
      </c>
      <c r="Y186" s="56">
        <f>VLOOKUP(B186,'Player Data'!$A1:$AE667,13,FALSE)*$Q186</f>
        <v>4.0562994730358994E-2</v>
      </c>
      <c r="Z186" s="56">
        <f>VLOOKUP(B186,'Player Data'!$A1:$AE667,14,FALSE)*$Q186</f>
        <v>1.0415499962554302</v>
      </c>
      <c r="AA186" s="56">
        <f>VLOOKUP(B186,'Player Data'!$A1:$AE667,15,FALSE)*$Q186</f>
        <v>114.39151948380868</v>
      </c>
      <c r="AB186" s="56">
        <f>VLOOKUP(B186,'Player Data'!$A1:$AE667,16,FALSE)*$Q186</f>
        <v>55.096360659520769</v>
      </c>
      <c r="AC186" s="56">
        <f>VLOOKUP(B186,'Player Data'!$A1:$AE667,17,FALSE)*$Q186*IFERROR((VLOOKUP(P186,Settings!$E$28:$F$33,2,FALSE)+1),1)</f>
        <v>0.12991994275516</v>
      </c>
      <c r="AD186" s="56">
        <f>VLOOKUP(B186,'Player Data'!$A1:$AE667,18,FALSE)*$Q186</f>
        <v>26.406835747176224</v>
      </c>
      <c r="AE186" s="56">
        <f>VLOOKUP(B186,'Player Data'!$A1:$AE667,19,FALSE)*$Q186*IFERROR((VLOOKUP(P186,Settings!$E$28:$F$33,2,FALSE)+1),1)</f>
        <v>0.94061245173802799</v>
      </c>
      <c r="AF186" s="56">
        <f>VLOOKUP(B186,'Player Data'!$A1:$AE667,20,FALSE)*$Q186</f>
        <v>0</v>
      </c>
      <c r="AG186" s="56">
        <f>VLOOKUP(B186,'Player Data'!$A1:$AE667,21,FALSE)*$Q186</f>
        <v>0</v>
      </c>
      <c r="AH186" s="58">
        <f>VLOOKUP(B186,'Player Data'!$A1:$AE667,22,FALSE)</f>
        <v>0</v>
      </c>
      <c r="AI186" s="54"/>
      <c r="AJ186" s="56"/>
      <c r="AK186" s="56"/>
      <c r="AL186" s="56"/>
      <c r="AM186" s="56"/>
      <c r="AN186" s="56"/>
      <c r="AO186" s="56"/>
      <c r="AP186" s="56"/>
      <c r="AQ186" s="59"/>
      <c r="AR186" s="60"/>
      <c r="AS186" s="54"/>
    </row>
    <row r="187" spans="1:45" ht="21.25" customHeight="1" x14ac:dyDescent="0.15">
      <c r="A187" s="45">
        <f>RANK(K187,K$1:K$665)</f>
        <v>186</v>
      </c>
      <c r="B187" s="9" t="s">
        <v>312</v>
      </c>
      <c r="C187" s="46" t="s">
        <v>127</v>
      </c>
      <c r="D187" s="47" t="str">
        <f>VLOOKUP(B187,'Player Data'!A1:D667,4,FALSE)</f>
        <v>C</v>
      </c>
      <c r="E187" s="48">
        <f>VLOOKUP(B187,'C'!A1:C206,3,FALSE)</f>
        <v>60</v>
      </c>
      <c r="F187" s="62" t="str">
        <f>VLOOKUP(B187,'Player Data'!A1:B667,2,FALSE)</f>
        <v>SEA</v>
      </c>
      <c r="G187" s="69">
        <f>VLOOKUP(B187,'Player Data'!A1:D667,3,FALSE)</f>
        <v>21</v>
      </c>
      <c r="H187" s="50">
        <f>IFERROR(VLOOKUP(B187,ADP!A1:G665,7,FALSE)/1000000,VLOOKUP(B187,ADP!A1:G665,7,FALSE))</f>
        <v>7.1428570000000002</v>
      </c>
      <c r="I187" s="51">
        <f>IF(Settings!$E$15="POINTS",((R187*Q187)*Settings!$B$12)+(S187*Settings!$B$2)+(T187*Settings!$B$3)+(U187*Settings!$B$4)+(V187*Settings!$B$5)+(X187*Settings!$B$9)+(AA187*Settings!$B$6)+(W187*Settings!$B$8)+(AB187*Settings!$B$7)+(AC187*Settings!$B$14)+(AD187*Settings!$B$15)+(AE187*Settings!$B$16)+(AF187*Settings!$B$17)+(AG187*Settings!$B$18)+(Y187*Settings!$B$10)+(Z187*Settings!$B$11),VLOOKUP(B187,'Standard Deviations'!A1:C666,3,FALSE))</f>
        <v>289.05546525413826</v>
      </c>
      <c r="J187" s="52">
        <f>IF(D187="G",I187/AJ187,I187/Q187)</f>
        <v>3.6056439985547541</v>
      </c>
      <c r="K187" s="51">
        <f>IF(Settings!$E$18="C/LW/RW",VLOOKUP(B187,'C'!A1:F206,6,FALSE),VLOOKUP(B187,F!A1:F392,6,FALSE))</f>
        <v>-100.88169252394283</v>
      </c>
      <c r="L187" s="53">
        <f>IFERROR(K187/H187,"N/A")</f>
        <v>-14.12343723582074</v>
      </c>
      <c r="M187" s="83" t="str">
        <f>IF(Settings!$E$9="YAHOO",VLOOKUP(B187,ADP!A1:E665,2,FALSE),IF(Settings!$E$9="ESPN",VLOOKUP(B187,ADP!A1:E665,3,FALSE),IF(Settings!$E$9="FANTRAX",VLOOKUP(B187,ADP!A1:E665,4,FALSE),VLOOKUP(B187,ADP!A1:E665,5,FALSE))))</f>
        <v>—</v>
      </c>
      <c r="N187" s="83" t="str">
        <f>IFERROR(M187-A187,"N/A")</f>
        <v>N/A</v>
      </c>
      <c r="O187" s="54"/>
      <c r="P187" s="55" t="str">
        <f>IF(Settings!$E$27="ON",VLOOKUP(B187,ADP!A1:H665,8,FALSE)," ")</f>
        <v xml:space="preserve"> </v>
      </c>
      <c r="Q187" s="56">
        <f>IF(Settings!$E$12="YES",VLOOKUP(B187,'Player Data'!A1:E667,5,FALSE),82)</f>
        <v>80.167500000000004</v>
      </c>
      <c r="R187" s="54">
        <f>VLOOKUP(B187,'Player Data'!$A1:$AE667,6,FALSE)</f>
        <v>18.579948781942999</v>
      </c>
      <c r="S187" s="56">
        <f>VLOOKUP(B187,'Player Data'!$A1:$AE667,7,FALSE)*$Q187*IFERROR((VLOOKUP(P187,Settings!$E$28:$F$33,2,FALSE)+1),1)</f>
        <v>23.658421118741401</v>
      </c>
      <c r="T187" s="56">
        <f>VLOOKUP(B187,'Player Data'!$A1:$AE667,8,FALSE)*$Q187*IFERROR((VLOOKUP(P187,Settings!$E$28:$F$33,2,FALSE)+1),1)</f>
        <v>33.484489944753605</v>
      </c>
      <c r="U187" s="56">
        <f>SUM(S187:T187)</f>
        <v>57.142911063495006</v>
      </c>
      <c r="V187" s="56">
        <f>VLOOKUP(B187,'Player Data'!$A1:$AE667,10,FALSE)*$Q187*IFERROR(((VLOOKUP(P187,Settings!$E$28:$F$33,2,FALSE)/2)+1),1)</f>
        <v>154.24079965073727</v>
      </c>
      <c r="W187" s="56">
        <f>VLOOKUP(B187,'Player Data'!$A1:$AE667,11,FALSE)*$Q187*IFERROR((VLOOKUP(P187,Settings!$E$28:$F$33,2,FALSE)+1),1)</f>
        <v>6.9373581690005386</v>
      </c>
      <c r="X187" s="78">
        <f>VLOOKUP(B187,'Player Data'!$A1:$AE667,12,FALSE)*$Q187*IFERROR((VLOOKUP(P187,Settings!$E$28:$F$33,2,FALSE)+1),1)</f>
        <v>15.355831944288987</v>
      </c>
      <c r="Y187" s="56">
        <f>VLOOKUP(B187,'Player Data'!$A1:$AE667,13,FALSE)*$Q187</f>
        <v>0.22389264690654676</v>
      </c>
      <c r="Z187" s="56">
        <f>VLOOKUP(B187,'Player Data'!$A1:$AE667,14,FALSE)*$Q187</f>
        <v>0.93122892804169832</v>
      </c>
      <c r="AA187" s="56">
        <f>VLOOKUP(B187,'Player Data'!$A1:$AE667,15,FALSE)*$Q187</f>
        <v>48.438542731907766</v>
      </c>
      <c r="AB187" s="56">
        <f>VLOOKUP(B187,'Player Data'!$A1:$AE667,16,FALSE)*$Q187</f>
        <v>61.918247091233638</v>
      </c>
      <c r="AC187" s="56">
        <f>VLOOKUP(B187,'Player Data'!$A1:$AE667,17,FALSE)*$Q187*IFERROR((VLOOKUP(P187,Settings!$E$28:$F$33,2,FALSE)+1),1)</f>
        <v>9.1149103928367323E-3</v>
      </c>
      <c r="AD187" s="56">
        <f>VLOOKUP(B187,'Player Data'!$A1:$AE667,18,FALSE)*$Q187</f>
        <v>18.787463004061294</v>
      </c>
      <c r="AE187" s="56">
        <f>VLOOKUP(B187,'Player Data'!$A1:$AE667,19,FALSE)*$Q187*IFERROR((VLOOKUP(P187,Settings!$E$28:$F$33,2,FALSE)+1),1)</f>
        <v>3.5924761429042165</v>
      </c>
      <c r="AF187" s="56">
        <f>VLOOKUP(B187,'Player Data'!$A1:$AE667,20,FALSE)*$Q187</f>
        <v>524.0502264148538</v>
      </c>
      <c r="AG187" s="56">
        <f>VLOOKUP(B187,'Player Data'!$A1:$AE667,21,FALSE)*$Q187</f>
        <v>641.08184211851199</v>
      </c>
      <c r="AH187" s="58">
        <f>VLOOKUP(B187,'Player Data'!$A1:$AE667,22,FALSE)</f>
        <v>0.44977753215093702</v>
      </c>
      <c r="AI187" s="54"/>
      <c r="AJ187" s="64"/>
      <c r="AK187" s="56"/>
      <c r="AL187" s="56"/>
      <c r="AM187" s="56"/>
      <c r="AN187" s="56"/>
      <c r="AO187" s="56"/>
      <c r="AP187" s="56"/>
      <c r="AQ187" s="59"/>
      <c r="AR187" s="60"/>
      <c r="AS187" s="54"/>
    </row>
    <row r="188" spans="1:45" ht="21.25" customHeight="1" x14ac:dyDescent="0.15">
      <c r="A188" s="45">
        <f>RANK(K188,K$1:K$665)</f>
        <v>187</v>
      </c>
      <c r="B188" s="9" t="s">
        <v>313</v>
      </c>
      <c r="C188" s="46" t="s">
        <v>127</v>
      </c>
      <c r="D188" s="47" t="str">
        <f>VLOOKUP(B188,'Player Data'!A1:D667,4,FALSE)</f>
        <v>D</v>
      </c>
      <c r="E188" s="66">
        <f>VLOOKUP(B188,D!A1:C213,3,FALSE)</f>
        <v>53</v>
      </c>
      <c r="F188" s="55" t="str">
        <f>VLOOKUP(B188,'Player Data'!A1:B667,2,FALSE)</f>
        <v>WPG</v>
      </c>
      <c r="G188" s="10">
        <f>VLOOKUP(B188,'Player Data'!A1:D667,3,FALSE)</f>
        <v>29</v>
      </c>
      <c r="H188" s="67">
        <f>IFERROR(VLOOKUP(B188,ADP!A1:G665,7,FALSE)/1000000,VLOOKUP(B188,ADP!A1:G665,7,FALSE))</f>
        <v>5.875</v>
      </c>
      <c r="I188" s="51">
        <f>IF(Settings!$E$15="POINTS",((R188*Q188)*Settings!$B$12)+(S188*Settings!$B$2)+(T188*Settings!$B$3)+(U188*Settings!$B$4)+(V188*Settings!$B$5)+(X188*Settings!$B$9)+(AA188*Settings!$B$6)+(W188*Settings!$B$8)+(AB188*Settings!$B$7)+(AC188*Settings!$B$14)+(AD188*Settings!$B$15)+(AE188*Settings!$B$16)+(AF188*Settings!$B$17)+(AG188*Settings!$B$18)+(U188*Settings!$B$13)+(Y188*Settings!$B$10)+(Z188*Settings!$B$11),VLOOKUP(B188,'Standard Deviations'!A1:C666,3,FALSE))</f>
        <v>235.10597233919302</v>
      </c>
      <c r="J188" s="52">
        <f>IF(D188="G",I188/AJ188,I188/Q188)</f>
        <v>2.8836743816900898</v>
      </c>
      <c r="K188" s="51">
        <f>VLOOKUP(B188,D!A1:F213,6,FALSE)</f>
        <v>-101.12815270640189</v>
      </c>
      <c r="L188" s="53">
        <f>IFERROR(K188/H188,"N/A")</f>
        <v>-17.213302588323725</v>
      </c>
      <c r="M188" s="54">
        <f>IF(Settings!$E$9="YAHOO",VLOOKUP(B188,ADP!A1:E665,2,FALSE),IF(Settings!$E$9="ESPN",VLOOKUP(B188,ADP!A1:E665,3,FALSE),IF(Settings!$E$9="FANTRAX",VLOOKUP(B188,ADP!A1:E665,4,FALSE),VLOOKUP(B188,ADP!A1:E665,5,FALSE))))</f>
        <v>168.6</v>
      </c>
      <c r="N188" s="54">
        <f>IFERROR(M188-A188,"N/A")</f>
        <v>-18.400000000000006</v>
      </c>
      <c r="O188" s="54"/>
      <c r="P188" s="55" t="str">
        <f>IF(Settings!$E$27="ON",VLOOKUP(B188,ADP!A1:H665,8,FALSE)," ")</f>
        <v xml:space="preserve"> </v>
      </c>
      <c r="Q188" s="56">
        <f>IF(Settings!$E$12="YES",VLOOKUP(B188,'Player Data'!A1:E667,5,FALSE),82)</f>
        <v>81.53</v>
      </c>
      <c r="R188" s="54">
        <f>VLOOKUP(B188,'Player Data'!$A1:$AE667,6,FALSE)</f>
        <v>20.943641776303501</v>
      </c>
      <c r="S188" s="56">
        <f>VLOOKUP(B188,'Player Data'!$A1:$AE667,7,FALSE)*$Q188*IFERROR((VLOOKUP(P188,Settings!$E$28:$F$33,2,FALSE)+1),1)</f>
        <v>6.0572043058068123</v>
      </c>
      <c r="T188" s="56">
        <f>VLOOKUP(B188,'Player Data'!$A1:$AE667,8,FALSE)*$Q188*IFERROR((VLOOKUP(P188,Settings!$E$28:$F$33,2,FALSE)+1),1)</f>
        <v>26.311975073891066</v>
      </c>
      <c r="U188" s="56">
        <f>SUM(S188:T188)</f>
        <v>32.369179379697876</v>
      </c>
      <c r="V188" s="56">
        <f>VLOOKUP(B188,'Player Data'!$A1:$AE667,10,FALSE)*$Q188*IFERROR(((VLOOKUP(P188,Settings!$E$28:$F$33,2,FALSE)/2)+1),1)</f>
        <v>139.08332370875362</v>
      </c>
      <c r="W188" s="56">
        <f>VLOOKUP(B188,'Player Data'!$A1:$AE667,11,FALSE)*$Q188*IFERROR((VLOOKUP(P188,Settings!$E$28:$F$33,2,FALSE)+1),1)</f>
        <v>0.95583667413233719</v>
      </c>
      <c r="X188" s="56">
        <f>VLOOKUP(B188,'Player Data'!$A1:$AE667,12,FALSE)*$Q188*IFERROR((VLOOKUP(P188,Settings!$E$28:$F$33,2,FALSE)+1),1)</f>
        <v>6.8792336128072717</v>
      </c>
      <c r="Y188" s="56">
        <f>VLOOKUP(B188,'Player Data'!$A1:$AE667,13,FALSE)*$Q188</f>
        <v>3.2604512536264937E-2</v>
      </c>
      <c r="Z188" s="56">
        <f>VLOOKUP(B188,'Player Data'!$A1:$AE667,14,FALSE)*$Q188</f>
        <v>0.40481161804731597</v>
      </c>
      <c r="AA188" s="56">
        <f>VLOOKUP(B188,'Player Data'!$A1:$AE667,15,FALSE)*$Q188</f>
        <v>122.34545422973594</v>
      </c>
      <c r="AB188" s="56">
        <f>VLOOKUP(B188,'Player Data'!$A1:$AE667,16,FALSE)*$Q188</f>
        <v>185.68382964187859</v>
      </c>
      <c r="AC188" s="56">
        <f>VLOOKUP(B188,'Player Data'!$A1:$AE667,17,FALSE)*$Q188*IFERROR((VLOOKUP(P188,Settings!$E$28:$F$33,2,FALSE)+1),1)</f>
        <v>0.79059715120628204</v>
      </c>
      <c r="AD188" s="56">
        <f>VLOOKUP(B188,'Player Data'!$A1:$AE667,18,FALSE)*$Q188</f>
        <v>50.732910741667418</v>
      </c>
      <c r="AE188" s="56">
        <f>VLOOKUP(B188,'Player Data'!$A1:$AE667,19,FALSE)*$Q188*IFERROR((VLOOKUP(P188,Settings!$E$28:$F$33,2,FALSE)+1),1)</f>
        <v>1.0068682220324661</v>
      </c>
      <c r="AF188" s="56">
        <f>VLOOKUP(B188,'Player Data'!$A1:$AE667,20,FALSE)*$Q188</f>
        <v>0</v>
      </c>
      <c r="AG188" s="56">
        <f>VLOOKUP(B188,'Player Data'!$A1:$AE667,21,FALSE)*$Q188</f>
        <v>0</v>
      </c>
      <c r="AH188" s="58">
        <f>VLOOKUP(B188,'Player Data'!$A1:$AE667,22,FALSE)</f>
        <v>0</v>
      </c>
      <c r="AI188" s="54"/>
      <c r="AJ188" s="56"/>
      <c r="AK188" s="56"/>
      <c r="AL188" s="56"/>
      <c r="AM188" s="56"/>
      <c r="AN188" s="56"/>
      <c r="AO188" s="56"/>
      <c r="AP188" s="56"/>
      <c r="AQ188" s="59"/>
      <c r="AR188" s="60"/>
      <c r="AS188" s="54"/>
    </row>
    <row r="189" spans="1:45" ht="21.25" customHeight="1" x14ac:dyDescent="0.15">
      <c r="A189" s="45">
        <f>RANK(K189,K$1:K$665)</f>
        <v>188</v>
      </c>
      <c r="B189" s="9" t="s">
        <v>314</v>
      </c>
      <c r="C189" s="46" t="s">
        <v>127</v>
      </c>
      <c r="D189" s="47" t="str">
        <f>VLOOKUP(B189,'Player Data'!A1:D667,4,FALSE)</f>
        <v>C/RW</v>
      </c>
      <c r="E189" s="68">
        <f>VLOOKUP(B189,RW!A1:C136,3,FALSE)</f>
        <v>49</v>
      </c>
      <c r="F189" s="55" t="str">
        <f>VLOOKUP(B189,'Player Data'!A1:B667,2,FALSE)</f>
        <v>DAL</v>
      </c>
      <c r="G189" s="63">
        <f>VLOOKUP(B189,'Player Data'!A1:D667,3,FALSE)</f>
        <v>32</v>
      </c>
      <c r="H189" s="50">
        <f>IFERROR(VLOOKUP(B189,ADP!A1:G665,7,FALSE)/1000000,VLOOKUP(B189,ADP!A1:G665,7,FALSE))</f>
        <v>9.85</v>
      </c>
      <c r="I189" s="51">
        <f>IF(Settings!$E$15="POINTS",((R189*Q189)*Settings!$B$12)+(S189*Settings!$B$2)+(T189*Settings!$B$3)+(U189*Settings!$B$4)+(V189*Settings!$B$5)+(X189*Settings!$B$9)+(AA189*Settings!$B$6)+(W189*Settings!$B$8)+(AB189*Settings!$B$7)+(AC189*Settings!$B$14)+(AD189*Settings!$B$15)+(AE189*Settings!$B$16)+(AF189*Settings!$B$17)+(AG189*Settings!$B$18)+(Y189*Settings!$B$10)+(Z189*Settings!$B$11),VLOOKUP(B189,'Standard Deviations'!A1:C666,3,FALSE))</f>
        <v>266.61516325373469</v>
      </c>
      <c r="J189" s="52">
        <f>IF(D189="G",I189/AJ189,I189/Q189)</f>
        <v>3.3911875254863224</v>
      </c>
      <c r="K189" s="51">
        <f>IF(Settings!$E$18="C/LW/RW",VLOOKUP(B189,RW!A1:F136,6,FALSE),VLOOKUP(B189,F!A1:F392,6,FALSE))</f>
        <v>-102.2325598525577</v>
      </c>
      <c r="L189" s="53">
        <f>IFERROR(K189/H189,"N/A")</f>
        <v>-10.378940086554081</v>
      </c>
      <c r="M189" s="54">
        <f>IF(Settings!$E$9="YAHOO",VLOOKUP(B189,ADP!A1:E665,2,FALSE),IF(Settings!$E$9="ESPN",VLOOKUP(B189,ADP!A1:E665,3,FALSE),IF(Settings!$E$9="FANTRAX",VLOOKUP(B189,ADP!A1:E665,4,FALSE),VLOOKUP(B189,ADP!A1:E665,5,FALSE))))</f>
        <v>185</v>
      </c>
      <c r="N189" s="54">
        <f>IFERROR(M189-A189,"N/A")</f>
        <v>-3</v>
      </c>
      <c r="O189" s="54"/>
      <c r="P189" s="55" t="str">
        <f>IF(Settings!$E$27="ON",VLOOKUP(B189,ADP!A1:H665,8,FALSE)," ")</f>
        <v xml:space="preserve"> </v>
      </c>
      <c r="Q189" s="56">
        <f>IF(Settings!$E$12="YES",VLOOKUP(B189,'Player Data'!A1:E667,5,FALSE),82)</f>
        <v>78.62</v>
      </c>
      <c r="R189" s="54">
        <f>VLOOKUP(B189,'Player Data'!$A1:$AE667,6,FALSE)</f>
        <v>16.7124370217708</v>
      </c>
      <c r="S189" s="56">
        <f>VLOOKUP(B189,'Player Data'!$A1:$AE667,7,FALSE)*$Q189*IFERROR((VLOOKUP(P189,Settings!$E$28:$F$33,2,FALSE)+1),1)</f>
        <v>22.407025370472198</v>
      </c>
      <c r="T189" s="56">
        <f>VLOOKUP(B189,'Player Data'!$A1:$AE667,8,FALSE)*$Q189*IFERROR((VLOOKUP(P189,Settings!$E$28:$F$33,2,FALSE)+1),1)</f>
        <v>28.068199549346176</v>
      </c>
      <c r="U189" s="56">
        <f>SUM(S189:T189)</f>
        <v>50.475224919818373</v>
      </c>
      <c r="V189" s="56">
        <f>VLOOKUP(B189,'Player Data'!$A1:$AE667,10,FALSE)*$Q189*IFERROR(((VLOOKUP(P189,Settings!$E$28:$F$33,2,FALSE)/2)+1),1)</f>
        <v>181.38493611049984</v>
      </c>
      <c r="W189" s="56">
        <f>VLOOKUP(B189,'Player Data'!$A1:$AE667,11,FALSE)*$Q189*IFERROR((VLOOKUP(P189,Settings!$E$28:$F$33,2,FALSE)+1),1)</f>
        <v>3.9369511761049281</v>
      </c>
      <c r="X189" s="56">
        <f>VLOOKUP(B189,'Player Data'!$A1:$AE667,12,FALSE)*$Q189*IFERROR((VLOOKUP(P189,Settings!$E$28:$F$33,2,FALSE)+1),1)</f>
        <v>9.3046934991728385</v>
      </c>
      <c r="Y189" s="56">
        <f>VLOOKUP(B189,'Player Data'!$A1:$AE667,13,FALSE)*$Q189</f>
        <v>0.40890338501638268</v>
      </c>
      <c r="Z189" s="56">
        <f>VLOOKUP(B189,'Player Data'!$A1:$AE667,14,FALSE)*$Q189</f>
        <v>1.3091274970554825</v>
      </c>
      <c r="AA189" s="56">
        <f>VLOOKUP(B189,'Player Data'!$A1:$AE667,15,FALSE)*$Q189</f>
        <v>27.766398885602662</v>
      </c>
      <c r="AB189" s="56">
        <f>VLOOKUP(B189,'Player Data'!$A1:$AE667,16,FALSE)*$Q189</f>
        <v>76.28135876540523</v>
      </c>
      <c r="AC189" s="56">
        <f>VLOOKUP(B189,'Player Data'!$A1:$AE667,17,FALSE)*$Q189*IFERROR((VLOOKUP(P189,Settings!$E$28:$F$33,2,FALSE)+1),1)</f>
        <v>4.5390446011514491</v>
      </c>
      <c r="AD189" s="56">
        <f>VLOOKUP(B189,'Player Data'!$A1:$AE667,18,FALSE)*$Q189</f>
        <v>29.165539865386449</v>
      </c>
      <c r="AE189" s="56">
        <f>VLOOKUP(B189,'Player Data'!$A1:$AE667,19,FALSE)*$Q189*IFERROR((VLOOKUP(P189,Settings!$E$28:$F$33,2,FALSE)+1),1)</f>
        <v>3.5833026768288647</v>
      </c>
      <c r="AF189" s="56">
        <f>VLOOKUP(B189,'Player Data'!$A1:$AE667,20,FALSE)*$Q189</f>
        <v>416.30094956287707</v>
      </c>
      <c r="AG189" s="56">
        <f>VLOOKUP(B189,'Player Data'!$A1:$AE667,21,FALSE)*$Q189</f>
        <v>331.66631625201381</v>
      </c>
      <c r="AH189" s="58">
        <f>VLOOKUP(B189,'Player Data'!$A1:$AE667,22,FALSE)</f>
        <v>0.55657642866139101</v>
      </c>
      <c r="AI189" s="54"/>
      <c r="AJ189" s="56"/>
      <c r="AK189" s="56"/>
      <c r="AL189" s="56"/>
      <c r="AM189" s="56"/>
      <c r="AN189" s="56"/>
      <c r="AO189" s="56"/>
      <c r="AP189" s="56"/>
      <c r="AQ189" s="59"/>
      <c r="AR189" s="60"/>
      <c r="AS189" s="54"/>
    </row>
    <row r="190" spans="1:45" ht="21.25" customHeight="1" x14ac:dyDescent="0.15">
      <c r="A190" s="45">
        <f>RANK(K190,K$1:K$665)</f>
        <v>189</v>
      </c>
      <c r="B190" s="9" t="s">
        <v>315</v>
      </c>
      <c r="C190" s="46" t="s">
        <v>127</v>
      </c>
      <c r="D190" s="47" t="str">
        <f>VLOOKUP(B190,'Player Data'!A1:D667,4,FALSE)</f>
        <v>D</v>
      </c>
      <c r="E190" s="66">
        <f>VLOOKUP(B190,D!A1:C213,3,FALSE)</f>
        <v>54</v>
      </c>
      <c r="F190" s="72" t="str">
        <f>VLOOKUP(B190,'Player Data'!A1:B667,2,FALSE)</f>
        <v>CAR</v>
      </c>
      <c r="G190" s="63">
        <f>VLOOKUP(B190,'Player Data'!A1:D667,3,FALSE)</f>
        <v>31</v>
      </c>
      <c r="H190" s="50">
        <f>IFERROR(VLOOKUP(B190,ADP!A1:G665,7,FALSE)/1000000,VLOOKUP(B190,ADP!A1:G665,7,FALSE))</f>
        <v>3.2</v>
      </c>
      <c r="I190" s="51">
        <f>IF(Settings!$E$15="POINTS",((R190*Q190)*Settings!$B$12)+(S190*Settings!$B$2)+(T190*Settings!$B$3)+(U190*Settings!$B$4)+(V190*Settings!$B$5)+(X190*Settings!$B$9)+(AA190*Settings!$B$6)+(W190*Settings!$B$8)+(AB190*Settings!$B$7)+(AC190*Settings!$B$14)+(AD190*Settings!$B$15)+(AE190*Settings!$B$16)+(AF190*Settings!$B$17)+(AG190*Settings!$B$18)+(U190*Settings!$B$13)+(Y190*Settings!$B$10)+(Z190*Settings!$B$11),VLOOKUP(B190,'Standard Deviations'!A1:C666,3,FALSE))</f>
        <v>233.32090496232988</v>
      </c>
      <c r="J190" s="52">
        <f>IF(D190="G",I190/AJ190,I190/Q190)</f>
        <v>2.8844221159887486</v>
      </c>
      <c r="K190" s="51">
        <f>VLOOKUP(B190,D!A1:F213,6,FALSE)</f>
        <v>-102.91322008326503</v>
      </c>
      <c r="L190" s="53">
        <f>IFERROR(K190/H190,"N/A")</f>
        <v>-32.160381276020317</v>
      </c>
      <c r="M190" s="54">
        <f>IF(Settings!$E$9="YAHOO",VLOOKUP(B190,ADP!A1:E665,2,FALSE),IF(Settings!$E$9="ESPN",VLOOKUP(B190,ADP!A1:E665,3,FALSE),IF(Settings!$E$9="FANTRAX",VLOOKUP(B190,ADP!A1:E665,4,FALSE),VLOOKUP(B190,ADP!A1:E665,5,FALSE))))</f>
        <v>159.1</v>
      </c>
      <c r="N190" s="54">
        <f>IFERROR(M190-A190,"N/A")</f>
        <v>-29.900000000000006</v>
      </c>
      <c r="O190" s="54"/>
      <c r="P190" s="55" t="str">
        <f>IF(Settings!$E$27="ON",VLOOKUP(B190,ADP!A1:H665,8,FALSE)," ")</f>
        <v xml:space="preserve"> </v>
      </c>
      <c r="Q190" s="56">
        <f>IF(Settings!$E$12="YES",VLOOKUP(B190,'Player Data'!A1:E667,5,FALSE),82)</f>
        <v>80.89</v>
      </c>
      <c r="R190" s="81">
        <f>VLOOKUP(B190,'Player Data'!$A1:$AE667,6,FALSE)</f>
        <v>17.029828132498501</v>
      </c>
      <c r="S190" s="56">
        <f>VLOOKUP(B190,'Player Data'!$A1:$AE667,7,FALSE)*$Q190*IFERROR((VLOOKUP(P190,Settings!$E$28:$F$33,2,FALSE)+1),1)</f>
        <v>8.7994205638406324</v>
      </c>
      <c r="T190" s="56">
        <f>VLOOKUP(B190,'Player Data'!$A1:$AE667,8,FALSE)*$Q190*IFERROR((VLOOKUP(P190,Settings!$E$28:$F$33,2,FALSE)+1),1)</f>
        <v>30.263225352506534</v>
      </c>
      <c r="U190" s="56">
        <f>SUM(S190:T190)</f>
        <v>39.062645916347165</v>
      </c>
      <c r="V190" s="56">
        <f>VLOOKUP(B190,'Player Data'!$A1:$AE667,10,FALSE)*$Q190*IFERROR(((VLOOKUP(P190,Settings!$E$28:$F$33,2,FALSE)/2)+1),1)</f>
        <v>121.34144710612968</v>
      </c>
      <c r="W190" s="56">
        <f>VLOOKUP(B190,'Player Data'!$A1:$AE667,11,FALSE)*$Q190*IFERROR((VLOOKUP(P190,Settings!$E$28:$F$33,2,FALSE)+1),1)</f>
        <v>2.253605032505722</v>
      </c>
      <c r="X190" s="78">
        <f>VLOOKUP(B190,'Player Data'!$A1:$AE667,12,FALSE)*$Q190*IFERROR((VLOOKUP(P190,Settings!$E$28:$F$33,2,FALSE)+1),1)</f>
        <v>16.464816026251224</v>
      </c>
      <c r="Y190" s="56">
        <f>VLOOKUP(B190,'Player Data'!$A1:$AE667,13,FALSE)*$Q190</f>
        <v>0.2192972027253848</v>
      </c>
      <c r="Z190" s="56">
        <f>VLOOKUP(B190,'Player Data'!$A1:$AE667,14,FALSE)*$Q190</f>
        <v>0.26265711533560443</v>
      </c>
      <c r="AA190" s="56">
        <f>VLOOKUP(B190,'Player Data'!$A1:$AE667,15,FALSE)*$Q190</f>
        <v>77.469541037273487</v>
      </c>
      <c r="AB190" s="56">
        <f>VLOOKUP(B190,'Player Data'!$A1:$AE667,16,FALSE)*$Q190</f>
        <v>49.057594833299319</v>
      </c>
      <c r="AC190" s="56">
        <f>VLOOKUP(B190,'Player Data'!$A1:$AE667,17,FALSE)*$Q190*IFERROR((VLOOKUP(P190,Settings!$E$28:$F$33,2,FALSE)+1),1)</f>
        <v>-0.24755216050032119</v>
      </c>
      <c r="AD190" s="56">
        <f>VLOOKUP(B190,'Player Data'!$A1:$AE667,18,FALSE)*$Q190</f>
        <v>20.356568617217853</v>
      </c>
      <c r="AE190" s="56">
        <f>VLOOKUP(B190,'Player Data'!$A1:$AE667,19,FALSE)*$Q190*IFERROR((VLOOKUP(P190,Settings!$E$28:$F$33,2,FALSE)+1),1)</f>
        <v>1.5248127503115696</v>
      </c>
      <c r="AF190" s="56">
        <f>VLOOKUP(B190,'Player Data'!$A1:$AE667,20,FALSE)*$Q190</f>
        <v>0</v>
      </c>
      <c r="AG190" s="56">
        <f>VLOOKUP(B190,'Player Data'!$A1:$AE667,21,FALSE)*$Q190</f>
        <v>0</v>
      </c>
      <c r="AH190" s="58">
        <f>VLOOKUP(B190,'Player Data'!$A1:$AE667,22,FALSE)</f>
        <v>0</v>
      </c>
      <c r="AI190" s="54"/>
      <c r="AJ190" s="64"/>
      <c r="AK190" s="56"/>
      <c r="AL190" s="56"/>
      <c r="AM190" s="56"/>
      <c r="AN190" s="56"/>
      <c r="AO190" s="56"/>
      <c r="AP190" s="56"/>
      <c r="AQ190" s="59"/>
      <c r="AR190" s="60"/>
      <c r="AS190" s="54"/>
    </row>
    <row r="191" spans="1:45" ht="21.25" customHeight="1" x14ac:dyDescent="0.15">
      <c r="A191" s="45">
        <f>RANK(K191,K$1:K$665)</f>
        <v>190</v>
      </c>
      <c r="B191" s="9" t="s">
        <v>316</v>
      </c>
      <c r="C191" s="46" t="s">
        <v>127</v>
      </c>
      <c r="D191" s="47" t="str">
        <f>VLOOKUP(B191,'Player Data'!A1:D667,4,FALSE)</f>
        <v>C</v>
      </c>
      <c r="E191" s="48">
        <f>VLOOKUP(B191,'C'!A1:C206,3,FALSE)</f>
        <v>61</v>
      </c>
      <c r="F191" s="82" t="str">
        <f>VLOOKUP(B191,'Player Data'!A1:B667,2,FALSE)</f>
        <v>ANA</v>
      </c>
      <c r="G191" s="69">
        <f>VLOOKUP(B191,'Player Data'!A1:D667,3,FALSE)</f>
        <v>23</v>
      </c>
      <c r="H191" s="50">
        <f>IFERROR(VLOOKUP(B191,ADP!A1:G665,7,FALSE)/1000000,VLOOKUP(B191,ADP!A1:G665,7,FALSE))</f>
        <v>5.75</v>
      </c>
      <c r="I191" s="51">
        <f>IF(Settings!$E$15="POINTS",((R191*Q191)*Settings!$B$12)+(S191*Settings!$B$2)+(T191*Settings!$B$3)+(U191*Settings!$B$4)+(V191*Settings!$B$5)+(X191*Settings!$B$9)+(AA191*Settings!$B$6)+(W191*Settings!$B$8)+(AB191*Settings!$B$7)+(AC191*Settings!$B$14)+(AD191*Settings!$B$15)+(AE191*Settings!$B$16)+(AF191*Settings!$B$17)+(AG191*Settings!$B$18)+(Y191*Settings!$B$10)+(Z191*Settings!$B$11),VLOOKUP(B191,'Standard Deviations'!A1:C666,3,FALSE))</f>
        <v>286.91246733758169</v>
      </c>
      <c r="J191" s="52">
        <f>IF(D191="G",I191/AJ191,I191/Q191)</f>
        <v>3.9771620091153546</v>
      </c>
      <c r="K191" s="51">
        <f>IF(Settings!$E$18="C/LW/RW",VLOOKUP(B191,'C'!A1:F206,6,FALSE),VLOOKUP(B191,F!A1:F392,6,FALSE))</f>
        <v>-103.0246904404994</v>
      </c>
      <c r="L191" s="53">
        <f>IFERROR(K191/H191,"N/A")</f>
        <v>-17.91733746791294</v>
      </c>
      <c r="M191" s="83" t="str">
        <f>IF(Settings!$E$9="YAHOO",VLOOKUP(B191,ADP!A1:E665,2,FALSE),IF(Settings!$E$9="ESPN",VLOOKUP(B191,ADP!A1:E665,3,FALSE),IF(Settings!$E$9="FANTRAX",VLOOKUP(B191,ADP!A1:E665,4,FALSE),VLOOKUP(B191,ADP!A1:E665,5,FALSE))))</f>
        <v>—</v>
      </c>
      <c r="N191" s="83" t="str">
        <f>IFERROR(M191-A191,"N/A")</f>
        <v>N/A</v>
      </c>
      <c r="O191" s="54"/>
      <c r="P191" s="55" t="str">
        <f>IF(Settings!$E$27="ON",VLOOKUP(B191,ADP!A1:H665,8,FALSE)," ")</f>
        <v>+</v>
      </c>
      <c r="Q191" s="56">
        <f>IF(Settings!$E$12="YES",VLOOKUP(B191,'Player Data'!A1:E667,5,FALSE),82)</f>
        <v>72.14</v>
      </c>
      <c r="R191" s="54">
        <f>VLOOKUP(B191,'Player Data'!$A1:$AE667,6,FALSE)</f>
        <v>17.684279692064099</v>
      </c>
      <c r="S191" s="56">
        <f>VLOOKUP(B191,'Player Data'!$A1:$AE667,7,FALSE)*$Q191*IFERROR((VLOOKUP(P191,Settings!$E$28:$F$33,2,FALSE)+1),1)</f>
        <v>21.543136325382001</v>
      </c>
      <c r="T191" s="56">
        <f>VLOOKUP(B191,'Player Data'!$A1:$AE667,8,FALSE)*$Q191*IFERROR((VLOOKUP(P191,Settings!$E$28:$F$33,2,FALSE)+1),1)</f>
        <v>34.82110240142103</v>
      </c>
      <c r="U191" s="56">
        <f>SUM(S191:T191)</f>
        <v>56.36423872680303</v>
      </c>
      <c r="V191" s="56">
        <f>VLOOKUP(B191,'Player Data'!$A1:$AE667,10,FALSE)*$Q191*IFERROR(((VLOOKUP(P191,Settings!$E$28:$F$33,2,FALSE)/2)+1),1)</f>
        <v>175.12729523234066</v>
      </c>
      <c r="W191" s="56">
        <f>VLOOKUP(B191,'Player Data'!$A1:$AE667,11,FALSE)*$Q191*IFERROR((VLOOKUP(P191,Settings!$E$28:$F$33,2,FALSE)+1),1)</f>
        <v>5.7803999403816677</v>
      </c>
      <c r="X191" s="57">
        <f>VLOOKUP(B191,'Player Data'!$A1:$AE667,12,FALSE)*$Q191*IFERROR((VLOOKUP(P191,Settings!$E$28:$F$33,2,FALSE)+1),1)</f>
        <v>15.31364809143858</v>
      </c>
      <c r="Y191" s="56">
        <f>VLOOKUP(B191,'Player Data'!$A1:$AE667,13,FALSE)*$Q191</f>
        <v>6.6429920830427718E-3</v>
      </c>
      <c r="Z191" s="56">
        <f>VLOOKUP(B191,'Player Data'!$A1:$AE667,14,FALSE)*$Q191</f>
        <v>1.1136861352943879E-2</v>
      </c>
      <c r="AA191" s="56">
        <f>VLOOKUP(B191,'Player Data'!$A1:$AE667,15,FALSE)*$Q191</f>
        <v>29.862637176421412</v>
      </c>
      <c r="AB191" s="56">
        <f>VLOOKUP(B191,'Player Data'!$A1:$AE667,16,FALSE)*$Q191</f>
        <v>45.454985285802891</v>
      </c>
      <c r="AC191" s="56">
        <f>VLOOKUP(B191,'Player Data'!$A1:$AE667,17,FALSE)*$Q191*IFERROR((VLOOKUP(P191,Settings!$E$28:$F$33,2,FALSE)+1),1)</f>
        <v>-6.1749145687032749</v>
      </c>
      <c r="AD191" s="56">
        <f>VLOOKUP(B191,'Player Data'!$A1:$AE667,18,FALSE)*$Q191</f>
        <v>42.63608392855496</v>
      </c>
      <c r="AE191" s="56">
        <f>VLOOKUP(B191,'Player Data'!$A1:$AE667,19,FALSE)*$Q191*IFERROR((VLOOKUP(P191,Settings!$E$28:$F$33,2,FALSE)+1),1)</f>
        <v>2.5110582612437735</v>
      </c>
      <c r="AF191" s="56">
        <f>VLOOKUP(B191,'Player Data'!$A1:$AE667,20,FALSE)*$Q191</f>
        <v>169.41098226172517</v>
      </c>
      <c r="AG191" s="56">
        <f>VLOOKUP(B191,'Player Data'!$A1:$AE667,21,FALSE)*$Q191</f>
        <v>250.97075438537428</v>
      </c>
      <c r="AH191" s="58">
        <f>VLOOKUP(B191,'Player Data'!$A1:$AE667,22,FALSE)</f>
        <v>0.40299320235203601</v>
      </c>
      <c r="AI191" s="54"/>
      <c r="AJ191" s="56"/>
      <c r="AK191" s="56"/>
      <c r="AL191" s="56"/>
      <c r="AM191" s="56"/>
      <c r="AN191" s="56"/>
      <c r="AO191" s="56"/>
      <c r="AP191" s="56"/>
      <c r="AQ191" s="59"/>
      <c r="AR191" s="60"/>
      <c r="AS191" s="54"/>
    </row>
    <row r="192" spans="1:45" ht="21.25" customHeight="1" x14ac:dyDescent="0.15">
      <c r="A192" s="45">
        <f>RANK(K192,K$1:K$665)</f>
        <v>191</v>
      </c>
      <c r="B192" s="9" t="s">
        <v>317</v>
      </c>
      <c r="C192" s="84"/>
      <c r="D192" s="47" t="str">
        <f>VLOOKUP(B192,'Player Data'!A1:D667,4,FALSE)</f>
        <v>G</v>
      </c>
      <c r="E192" s="73">
        <f>VLOOKUP(B192,G!A1:D65,3,FALSE)</f>
        <v>22</v>
      </c>
      <c r="F192" s="65" t="str">
        <f>VLOOKUP(B192,'Player Data'!A1:B667,2,FALSE)</f>
        <v>WSH</v>
      </c>
      <c r="G192" s="10">
        <f>VLOOKUP(B192,'Player Data'!A1:D667,3,FALSE)</f>
        <v>30</v>
      </c>
      <c r="H192" s="67">
        <f>IFERROR(VLOOKUP(B192,ADP!A1:G665,7,FALSE)/1000000,VLOOKUP(B192,ADP!A1:G665,7,FALSE))</f>
        <v>1.1000000000000001</v>
      </c>
      <c r="I192" s="51">
        <f>IF(Settings!$E$15="POINTS",(AJ192*Settings!$B$29)+(AK192*Settings!$B$21)+(AL192*Settings!$B$22)+(AN192*Settings!$B$24)+(AO192*Settings!$B$25)+(AP192*Settings!$B$27)+(AM192*Settings!$B$23),VLOOKUP(B192,'Standard Deviations'!A1:C666,3,FALSE))</f>
        <v>307.55265016494923</v>
      </c>
      <c r="J192" s="52">
        <f>IF(D192="G",I192/AJ192,I192/Q192)</f>
        <v>6.8345033369988721</v>
      </c>
      <c r="K192" s="51">
        <f>VLOOKUP(B192,G!A1:F65,6,FALSE)</f>
        <v>-103.10709260447095</v>
      </c>
      <c r="L192" s="53">
        <f>IFERROR(K192/H192,"N/A")</f>
        <v>-93.733720549519035</v>
      </c>
      <c r="M192" s="54">
        <f>IF(Settings!$E$9="YAHOO",VLOOKUP(B192,ADP!A1:E665,2,FALSE),IF(Settings!$E$9="ESPN",VLOOKUP(B192,ADP!A1:E665,3,FALSE),IF(Settings!$E$9="FANTRAX",VLOOKUP(B192,ADP!A1:E665,4,FALSE),VLOOKUP(B192,ADP!A1:E665,5,FALSE))))</f>
        <v>131</v>
      </c>
      <c r="N192" s="54">
        <f>IFERROR(M192-A192,"N/A")</f>
        <v>-60</v>
      </c>
      <c r="O192" s="54"/>
      <c r="P192" s="55" t="str">
        <f>IF(Settings!$E$27="ON",VLOOKUP(B192,ADP!A1:H665,8,FALSE)," ")</f>
        <v xml:space="preserve"> </v>
      </c>
      <c r="Q192" s="56"/>
      <c r="R192" s="54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8"/>
      <c r="AI192" s="54"/>
      <c r="AJ192" s="64">
        <f>VLOOKUP(B192,'Player Data'!$A1:$AE667,24,FALSE)</f>
        <v>45</v>
      </c>
      <c r="AK192" s="56">
        <f>VLOOKUP(B192,'Player Data'!$A1:$AE667,25,FALSE)*$AJ192*IFERROR((VLOOKUP(P192,Settings!$E$28:$F$33,2,FALSE)+1),1)</f>
        <v>21.866460806684117</v>
      </c>
      <c r="AL192" s="56">
        <f>AJ192-AK192-AM192</f>
        <v>17.508539193315883</v>
      </c>
      <c r="AM192" s="56">
        <f>VLOOKUP(B192,'Player Data'!$A1:$AE667,27,FALSE)*$AJ192</f>
        <v>5.625</v>
      </c>
      <c r="AN192" s="56">
        <f>VLOOKUP(B192,'Player Data'!$A1:$AE667,28,FALSE)*AJ192</f>
        <v>2.4089900691209039</v>
      </c>
      <c r="AO192" s="56">
        <f>VLOOKUP(B192,'Player Data'!$A1:$AE667,29,FALSE)*$AJ192*IFERROR((VLOOKUP(P192,Settings!$E$28:$F$33,2,FALSE)/4)+1,1)</f>
        <v>1245.076618216086</v>
      </c>
      <c r="AP192" s="56">
        <f>VLOOKUP(B192,'Player Data'!$A1:$AE667,31,FALSE)*$AJ192*(IFERROR(1-(VLOOKUP(P192,Settings!$E$28:$F$33,2,FALSE)/4),1))</f>
        <v>127.664677144089</v>
      </c>
      <c r="AQ192" s="59">
        <f>1-(AP192/(AO192+AP192))</f>
        <v>0.90700019182376768</v>
      </c>
      <c r="AR192" s="60">
        <f>AP192/AJ192</f>
        <v>2.8369928254242001</v>
      </c>
      <c r="AS192" s="54"/>
    </row>
    <row r="193" spans="1:45" ht="21.25" customHeight="1" x14ac:dyDescent="0.15">
      <c r="A193" s="45">
        <f>RANK(K193,K$1:K$665)</f>
        <v>192</v>
      </c>
      <c r="B193" s="9" t="s">
        <v>318</v>
      </c>
      <c r="C193" s="46" t="s">
        <v>127</v>
      </c>
      <c r="D193" s="47" t="str">
        <f>VLOOKUP(B193,'Player Data'!A1:D667,4,FALSE)</f>
        <v>C</v>
      </c>
      <c r="E193" s="48">
        <f>VLOOKUP(B193,'C'!A1:C206,3,FALSE)</f>
        <v>62</v>
      </c>
      <c r="F193" s="55" t="str">
        <f>VLOOKUP(B193,'Player Data'!A1:B667,2,FALSE)</f>
        <v>VGK</v>
      </c>
      <c r="G193" s="63">
        <f>VLOOKUP(B193,'Player Data'!A1:D667,3,FALSE)</f>
        <v>31</v>
      </c>
      <c r="H193" s="50">
        <f>IFERROR(VLOOKUP(B193,ADP!A1:G665,7,FALSE)/1000000,VLOOKUP(B193,ADP!A1:G665,7,FALSE))</f>
        <v>5.9</v>
      </c>
      <c r="I193" s="51">
        <f>IF(Settings!$E$15="POINTS",((R193*Q193)*Settings!$B$12)+(S193*Settings!$B$2)+(T193*Settings!$B$3)+(U193*Settings!$B$4)+(V193*Settings!$B$5)+(X193*Settings!$B$9)+(AA193*Settings!$B$6)+(W193*Settings!$B$8)+(AB193*Settings!$B$7)+(AC193*Settings!$B$14)+(AD193*Settings!$B$15)+(AE193*Settings!$B$16)+(AF193*Settings!$B$17)+(AG193*Settings!$B$18)+(Y193*Settings!$B$10)+(Z193*Settings!$B$11),VLOOKUP(B193,'Standard Deviations'!A1:C666,3,FALSE))</f>
        <v>286.81451402447391</v>
      </c>
      <c r="J193" s="52">
        <f>IF(D193="G",I193/AJ193,I193/Q193)</f>
        <v>3.6583483931693097</v>
      </c>
      <c r="K193" s="51">
        <f>IF(Settings!$E$18="C/LW/RW",VLOOKUP(B193,'C'!A1:F206,6,FALSE),VLOOKUP(B193,F!A1:F392,6,FALSE))</f>
        <v>-103.12264375360718</v>
      </c>
      <c r="L193" s="53">
        <f>IFERROR(K193/H193,"N/A")</f>
        <v>-17.478414195526639</v>
      </c>
      <c r="M193" s="54">
        <f>IF(Settings!$E$9="YAHOO",VLOOKUP(B193,ADP!A1:E665,2,FALSE),IF(Settings!$E$9="ESPN",VLOOKUP(B193,ADP!A1:E665,3,FALSE),IF(Settings!$E$9="FANTRAX",VLOOKUP(B193,ADP!A1:E665,4,FALSE),VLOOKUP(B193,ADP!A1:E665,5,FALSE))))</f>
        <v>186</v>
      </c>
      <c r="N193" s="54">
        <f>IFERROR(M193-A193,"N/A")</f>
        <v>-6</v>
      </c>
      <c r="O193" s="54"/>
      <c r="P193" s="55" t="str">
        <f>IF(Settings!$E$27="ON",VLOOKUP(B193,ADP!A1:H665,8,FALSE)," ")</f>
        <v xml:space="preserve"> </v>
      </c>
      <c r="Q193" s="56">
        <f>IF(Settings!$E$12="YES",VLOOKUP(B193,'Player Data'!A1:E667,5,FALSE),82)</f>
        <v>78.400000000000006</v>
      </c>
      <c r="R193" s="54">
        <f>VLOOKUP(B193,'Player Data'!$A1:$AE667,6,FALSE)</f>
        <v>17.826861683761098</v>
      </c>
      <c r="S193" s="56">
        <f>VLOOKUP(B193,'Player Data'!$A1:$AE667,7,FALSE)*$Q193*IFERROR((VLOOKUP(P193,Settings!$E$28:$F$33,2,FALSE)+1),1)</f>
        <v>21.205656757161176</v>
      </c>
      <c r="T193" s="56">
        <f>VLOOKUP(B193,'Player Data'!$A1:$AE667,8,FALSE)*$Q193*IFERROR((VLOOKUP(P193,Settings!$E$28:$F$33,2,FALSE)+1),1)</f>
        <v>31.61158745882598</v>
      </c>
      <c r="U193" s="56">
        <f>SUM(S193:T193)</f>
        <v>52.817244215987159</v>
      </c>
      <c r="V193" s="56">
        <f>VLOOKUP(B193,'Player Data'!$A1:$AE667,10,FALSE)*$Q193*IFERROR(((VLOOKUP(P193,Settings!$E$28:$F$33,2,FALSE)/2)+1),1)</f>
        <v>177.54242358244181</v>
      </c>
      <c r="W193" s="56">
        <f>VLOOKUP(B193,'Player Data'!$A1:$AE667,11,FALSE)*$Q193*IFERROR((VLOOKUP(P193,Settings!$E$28:$F$33,2,FALSE)+1),1)</f>
        <v>4.1975966820494524</v>
      </c>
      <c r="X193" s="56">
        <f>VLOOKUP(B193,'Player Data'!$A1:$AE667,12,FALSE)*$Q193*IFERROR((VLOOKUP(P193,Settings!$E$28:$F$33,2,FALSE)+1),1)</f>
        <v>10.995638502902402</v>
      </c>
      <c r="Y193" s="56">
        <f>VLOOKUP(B193,'Player Data'!$A1:$AE667,13,FALSE)*$Q193</f>
        <v>1.4501475963954897</v>
      </c>
      <c r="Z193" s="56">
        <f>VLOOKUP(B193,'Player Data'!$A1:$AE667,14,FALSE)*$Q193</f>
        <v>3.0840065854268186</v>
      </c>
      <c r="AA193" s="56">
        <f>VLOOKUP(B193,'Player Data'!$A1:$AE667,15,FALSE)*$Q193</f>
        <v>51.023848993924624</v>
      </c>
      <c r="AB193" s="56">
        <f>VLOOKUP(B193,'Player Data'!$A1:$AE667,16,FALSE)*$Q193</f>
        <v>50.771239313519288</v>
      </c>
      <c r="AC193" s="56">
        <f>VLOOKUP(B193,'Player Data'!$A1:$AE667,17,FALSE)*$Q193*IFERROR((VLOOKUP(P193,Settings!$E$28:$F$33,2,FALSE)+1),1)</f>
        <v>3.858654321151592</v>
      </c>
      <c r="AD193" s="56">
        <f>VLOOKUP(B193,'Player Data'!$A1:$AE667,18,FALSE)*$Q193</f>
        <v>16.715357249154692</v>
      </c>
      <c r="AE193" s="56">
        <f>VLOOKUP(B193,'Player Data'!$A1:$AE667,19,FALSE)*$Q193*IFERROR((VLOOKUP(P193,Settings!$E$28:$F$33,2,FALSE)+1),1)</f>
        <v>3.2254077260076248</v>
      </c>
      <c r="AF193" s="56">
        <f>VLOOKUP(B193,'Player Data'!$A1:$AE667,20,FALSE)*$Q193</f>
        <v>607.8956857848782</v>
      </c>
      <c r="AG193" s="56">
        <f>VLOOKUP(B193,'Player Data'!$A1:$AE667,21,FALSE)*$Q193</f>
        <v>499.3669362649116</v>
      </c>
      <c r="AH193" s="58">
        <f>VLOOKUP(B193,'Player Data'!$A1:$AE667,22,FALSE)</f>
        <v>0.54900768226017405</v>
      </c>
      <c r="AI193" s="54"/>
      <c r="AJ193" s="56"/>
      <c r="AK193" s="56"/>
      <c r="AL193" s="56"/>
      <c r="AM193" s="56"/>
      <c r="AN193" s="56"/>
      <c r="AO193" s="56"/>
      <c r="AP193" s="56"/>
      <c r="AQ193" s="59"/>
      <c r="AR193" s="60"/>
      <c r="AS193" s="54"/>
    </row>
    <row r="194" spans="1:45" ht="21.25" customHeight="1" x14ac:dyDescent="0.15">
      <c r="A194" s="45">
        <f>RANK(K194,K$1:K$665)</f>
        <v>193</v>
      </c>
      <c r="B194" s="9" t="s">
        <v>319</v>
      </c>
      <c r="C194" s="46" t="s">
        <v>127</v>
      </c>
      <c r="D194" s="47" t="str">
        <f>VLOOKUP(B194,'Player Data'!A1:D667,4,FALSE)</f>
        <v>C</v>
      </c>
      <c r="E194" s="48">
        <f>VLOOKUP(B194,'C'!A1:C206,3,FALSE)</f>
        <v>63</v>
      </c>
      <c r="F194" s="77" t="str">
        <f>VLOOKUP(B194,'Player Data'!A1:B667,2,FALSE)</f>
        <v>CBJ</v>
      </c>
      <c r="G194" s="69">
        <f>VLOOKUP(B194,'Player Data'!A1:D667,3,FALSE)</f>
        <v>19</v>
      </c>
      <c r="H194" s="50">
        <f>IFERROR(VLOOKUP(B194,ADP!A1:G665,7,FALSE)/1000000,VLOOKUP(B194,ADP!A1:G665,7,FALSE))</f>
        <v>0.95</v>
      </c>
      <c r="I194" s="51">
        <f>IF(Settings!$E$15="POINTS",((R194*Q194)*Settings!$B$12)+(S194*Settings!$B$2)+(T194*Settings!$B$3)+(U194*Settings!$B$4)+(V194*Settings!$B$5)+(X194*Settings!$B$9)+(AA194*Settings!$B$6)+(W194*Settings!$B$8)+(AB194*Settings!$B$7)+(AC194*Settings!$B$14)+(AD194*Settings!$B$15)+(AE194*Settings!$B$16)+(AF194*Settings!$B$17)+(AG194*Settings!$B$18)+(Y194*Settings!$B$10)+(Z194*Settings!$B$11),VLOOKUP(B194,'Standard Deviations'!A1:C666,3,FALSE))</f>
        <v>285.94640307741395</v>
      </c>
      <c r="J194" s="52">
        <f>IF(D194="G",I194/AJ194,I194/Q194)</f>
        <v>3.9875387404464369</v>
      </c>
      <c r="K194" s="51">
        <f>IF(Settings!$E$18="C/LW/RW",VLOOKUP(B194,'C'!A1:F206,6,FALSE),VLOOKUP(B194,F!A1:F392,6,FALSE))</f>
        <v>-103.99075470066714</v>
      </c>
      <c r="L194" s="53">
        <f>IFERROR(K194/H194,"N/A")</f>
        <v>-109.46395231649173</v>
      </c>
      <c r="M194" s="83" t="str">
        <f>IF(Settings!$E$9="YAHOO",VLOOKUP(B194,ADP!A1:E665,2,FALSE),IF(Settings!$E$9="ESPN",VLOOKUP(B194,ADP!A1:E665,3,FALSE),IF(Settings!$E$9="FANTRAX",VLOOKUP(B194,ADP!A1:E665,4,FALSE),VLOOKUP(B194,ADP!A1:E665,5,FALSE))))</f>
        <v>—</v>
      </c>
      <c r="N194" s="83" t="str">
        <f>IFERROR(M194-A194,"N/A")</f>
        <v>N/A</v>
      </c>
      <c r="O194" s="54"/>
      <c r="P194" s="55" t="str">
        <f>IF(Settings!$E$27="ON",VLOOKUP(B194,ADP!A1:H665,8,FALSE)," ")</f>
        <v xml:space="preserve"> </v>
      </c>
      <c r="Q194" s="56">
        <f>IF(Settings!$E$12="YES",VLOOKUP(B194,'Player Data'!A1:E667,5,FALSE),82)</f>
        <v>71.709999999999994</v>
      </c>
      <c r="R194" s="75">
        <f>VLOOKUP(B194,'Player Data'!$A1:$AE667,6,FALSE)</f>
        <v>17.774286797020199</v>
      </c>
      <c r="S194" s="56">
        <f>VLOOKUP(B194,'Player Data'!$A1:$AE667,7,FALSE)*$Q194*IFERROR((VLOOKUP(P194,Settings!$E$28:$F$33,2,FALSE)+1),1)</f>
        <v>22.795238870280276</v>
      </c>
      <c r="T194" s="56">
        <f>VLOOKUP(B194,'Player Data'!$A1:$AE667,8,FALSE)*$Q194*IFERROR((VLOOKUP(P194,Settings!$E$28:$F$33,2,FALSE)+1),1)</f>
        <v>30.216090450640596</v>
      </c>
      <c r="U194" s="56">
        <f>SUM(S194:T194)</f>
        <v>53.011329320920872</v>
      </c>
      <c r="V194" s="56">
        <f>VLOOKUP(B194,'Player Data'!$A1:$AE667,10,FALSE)*$Q194*IFERROR(((VLOOKUP(P194,Settings!$E$28:$F$33,2,FALSE)/2)+1),1)</f>
        <v>190.78481578581381</v>
      </c>
      <c r="W194" s="56">
        <f>VLOOKUP(B194,'Player Data'!$A1:$AE667,11,FALSE)*$Q194*IFERROR((VLOOKUP(P194,Settings!$E$28:$F$33,2,FALSE)+1),1)</f>
        <v>4.4451927561365032</v>
      </c>
      <c r="X194" s="57">
        <f>VLOOKUP(B194,'Player Data'!$A1:$AE667,12,FALSE)*$Q194*IFERROR((VLOOKUP(P194,Settings!$E$28:$F$33,2,FALSE)+1),1)</f>
        <v>12.01145462162216</v>
      </c>
      <c r="Y194" s="56">
        <f>VLOOKUP(B194,'Player Data'!$A1:$AE667,13,FALSE)*$Q194</f>
        <v>1.1778524857105116E-2</v>
      </c>
      <c r="Z194" s="56">
        <f>VLOOKUP(B194,'Player Data'!$A1:$AE667,14,FALSE)*$Q194</f>
        <v>1.9793599779869085E-2</v>
      </c>
      <c r="AA194" s="56">
        <f>VLOOKUP(B194,'Player Data'!$A1:$AE667,15,FALSE)*$Q194</f>
        <v>38.977518000684761</v>
      </c>
      <c r="AB194" s="56">
        <f>VLOOKUP(B194,'Player Data'!$A1:$AE667,16,FALSE)*$Q194</f>
        <v>94.468680085774793</v>
      </c>
      <c r="AC194" s="56">
        <f>VLOOKUP(B194,'Player Data'!$A1:$AE667,17,FALSE)*$Q194*IFERROR((VLOOKUP(P194,Settings!$E$28:$F$33,2,FALSE)+1),1)</f>
        <v>-8.4950106260446052</v>
      </c>
      <c r="AD194" s="56">
        <f>VLOOKUP(B194,'Player Data'!$A1:$AE667,18,FALSE)*$Q194</f>
        <v>29.608226027587747</v>
      </c>
      <c r="AE194" s="56">
        <f>VLOOKUP(B194,'Player Data'!$A1:$AE667,19,FALSE)*$Q194*IFERROR((VLOOKUP(P194,Settings!$E$28:$F$33,2,FALSE)+1),1)</f>
        <v>2.5207966537739108</v>
      </c>
      <c r="AF194" s="56">
        <f>VLOOKUP(B194,'Player Data'!$A1:$AE667,20,FALSE)*$Q194</f>
        <v>283.13275157527744</v>
      </c>
      <c r="AG194" s="56">
        <f>VLOOKUP(B194,'Player Data'!$A1:$AE667,21,FALSE)*$Q194</f>
        <v>365.92010583705439</v>
      </c>
      <c r="AH194" s="58">
        <f>VLOOKUP(B194,'Player Data'!$A1:$AE667,22,FALSE)</f>
        <v>0.43622448979591799</v>
      </c>
      <c r="AI194" s="54"/>
      <c r="AJ194" s="56"/>
      <c r="AK194" s="56"/>
      <c r="AL194" s="56"/>
      <c r="AM194" s="56"/>
      <c r="AN194" s="56"/>
      <c r="AO194" s="56"/>
      <c r="AP194" s="56"/>
      <c r="AQ194" s="59"/>
      <c r="AR194" s="60"/>
      <c r="AS194" s="54"/>
    </row>
    <row r="195" spans="1:45" ht="21.25" customHeight="1" x14ac:dyDescent="0.15">
      <c r="A195" s="45">
        <f>RANK(K195,K$1:K$665)</f>
        <v>194</v>
      </c>
      <c r="B195" s="9" t="s">
        <v>320</v>
      </c>
      <c r="C195" s="46" t="s">
        <v>127</v>
      </c>
      <c r="D195" s="47" t="str">
        <f>VLOOKUP(B195,'Player Data'!A1:D667,4,FALSE)</f>
        <v>D</v>
      </c>
      <c r="E195" s="66">
        <f>VLOOKUP(B195,D!A1:C213,3,FALSE)</f>
        <v>55</v>
      </c>
      <c r="F195" s="62" t="str">
        <f>VLOOKUP(B195,'Player Data'!A1:B667,2,FALSE)</f>
        <v>MTL</v>
      </c>
      <c r="G195" s="69">
        <f>VLOOKUP(B195,'Player Data'!A1:D667,3,FALSE)</f>
        <v>22</v>
      </c>
      <c r="H195" s="50">
        <f>IFERROR(VLOOKUP(B195,ADP!A1:G665,7,FALSE)/1000000,VLOOKUP(B195,ADP!A1:G665,7,FALSE))</f>
        <v>0.86333300000000002</v>
      </c>
      <c r="I195" s="51">
        <f>IF(Settings!$E$15="POINTS",((R195*Q195)*Settings!$B$12)+(S195*Settings!$B$2)+(T195*Settings!$B$3)+(U195*Settings!$B$4)+(V195*Settings!$B$5)+(X195*Settings!$B$9)+(AA195*Settings!$B$6)+(W195*Settings!$B$8)+(AB195*Settings!$B$7)+(AC195*Settings!$B$14)+(AD195*Settings!$B$15)+(AE195*Settings!$B$16)+(AF195*Settings!$B$17)+(AG195*Settings!$B$18)+(U195*Settings!$B$13)+(Y195*Settings!$B$10)+(Z195*Settings!$B$11),VLOOKUP(B195,'Standard Deviations'!A1:C666,3,FALSE))</f>
        <v>231.42777224910495</v>
      </c>
      <c r="J195" s="52">
        <f>IF(D195="G",I195/AJ195,I195/Q195)</f>
        <v>3.184968480978565</v>
      </c>
      <c r="K195" s="51">
        <f>VLOOKUP(B195,D!A1:F213,6,FALSE)</f>
        <v>-104.80635279648996</v>
      </c>
      <c r="L195" s="53">
        <f>IFERROR(K195/H195,"N/A")</f>
        <v>-121.39736671306432</v>
      </c>
      <c r="M195" s="54">
        <f>IF(Settings!$E$9="YAHOO",VLOOKUP(B195,ADP!A1:E665,2,FALSE),IF(Settings!$E$9="ESPN",VLOOKUP(B195,ADP!A1:E665,3,FALSE),IF(Settings!$E$9="FANTRAX",VLOOKUP(B195,ADP!A1:E665,4,FALSE),VLOOKUP(B195,ADP!A1:E665,5,FALSE))))</f>
        <v>184</v>
      </c>
      <c r="N195" s="54">
        <f>IFERROR(M195-A195,"N/A")</f>
        <v>-10</v>
      </c>
      <c r="O195" s="54"/>
      <c r="P195" s="55" t="str">
        <f>IF(Settings!$E$27="ON",VLOOKUP(B195,ADP!A1:H665,8,FALSE)," ")</f>
        <v xml:space="preserve"> </v>
      </c>
      <c r="Q195" s="56">
        <f>IF(Settings!$E$12="YES",VLOOKUP(B195,'Player Data'!A1:E667,5,FALSE),82)</f>
        <v>72.662499999999994</v>
      </c>
      <c r="R195" s="75">
        <f>VLOOKUP(B195,'Player Data'!$A1:$AE667,6,FALSE)</f>
        <v>22.236525189141702</v>
      </c>
      <c r="S195" s="56">
        <f>VLOOKUP(B195,'Player Data'!$A1:$AE667,7,FALSE)*$Q195*IFERROR((VLOOKUP(P195,Settings!$E$28:$F$33,2,FALSE)+1),1)</f>
        <v>7.4921815492515407</v>
      </c>
      <c r="T195" s="56">
        <f>VLOOKUP(B195,'Player Data'!$A1:$AE667,8,FALSE)*$Q195*IFERROR((VLOOKUP(P195,Settings!$E$28:$F$33,2,FALSE)+1),1)</f>
        <v>22.930449396997645</v>
      </c>
      <c r="U195" s="56">
        <f>SUM(S195:T195)</f>
        <v>30.422630946249186</v>
      </c>
      <c r="V195" s="56">
        <f>VLOOKUP(B195,'Player Data'!$A1:$AE667,10,FALSE)*$Q195*IFERROR(((VLOOKUP(P195,Settings!$E$28:$F$33,2,FALSE)/2)+1),1)</f>
        <v>108.38277506160807</v>
      </c>
      <c r="W195" s="56">
        <f>VLOOKUP(B195,'Player Data'!$A1:$AE667,11,FALSE)*$Q195*IFERROR((VLOOKUP(P195,Settings!$E$28:$F$33,2,FALSE)+1),1)</f>
        <v>8.0343687167237068E-2</v>
      </c>
      <c r="X195" s="56">
        <f>VLOOKUP(B195,'Player Data'!$A1:$AE667,12,FALSE)*$Q195*IFERROR((VLOOKUP(P195,Settings!$E$28:$F$33,2,FALSE)+1),1)</f>
        <v>0.51106815343612089</v>
      </c>
      <c r="Y195" s="56">
        <f>VLOOKUP(B195,'Player Data'!$A1:$AE667,13,FALSE)*$Q195</f>
        <v>3.7194860150733672E-2</v>
      </c>
      <c r="Z195" s="56">
        <f>VLOOKUP(B195,'Player Data'!$A1:$AE667,14,FALSE)*$Q195</f>
        <v>0.15834163408334151</v>
      </c>
      <c r="AA195" s="56">
        <f>VLOOKUP(B195,'Player Data'!$A1:$AE667,15,FALSE)*$Q195</f>
        <v>170.59816418406774</v>
      </c>
      <c r="AB195" s="56">
        <f>VLOOKUP(B195,'Player Data'!$A1:$AE667,16,FALSE)*$Q195</f>
        <v>117.275583807085</v>
      </c>
      <c r="AC195" s="56">
        <f>VLOOKUP(B195,'Player Data'!$A1:$AE667,17,FALSE)*$Q195*IFERROR((VLOOKUP(P195,Settings!$E$28:$F$33,2,FALSE)+1),1)</f>
        <v>-5.6103928219026642</v>
      </c>
      <c r="AD195" s="56">
        <f>VLOOKUP(B195,'Player Data'!$A1:$AE667,18,FALSE)*$Q195</f>
        <v>52.416740912250042</v>
      </c>
      <c r="AE195" s="56">
        <f>VLOOKUP(B195,'Player Data'!$A1:$AE667,19,FALSE)*$Q195*IFERROR((VLOOKUP(P195,Settings!$E$28:$F$33,2,FALSE)+1),1)</f>
        <v>0.86835337659408651</v>
      </c>
      <c r="AF195" s="56">
        <f>VLOOKUP(B195,'Player Data'!$A1:$AE667,20,FALSE)*$Q195</f>
        <v>0</v>
      </c>
      <c r="AG195" s="56">
        <f>VLOOKUP(B195,'Player Data'!$A1:$AE667,21,FALSE)*$Q195</f>
        <v>0</v>
      </c>
      <c r="AH195" s="58">
        <f>VLOOKUP(B195,'Player Data'!$A1:$AE667,22,FALSE)</f>
        <v>0</v>
      </c>
      <c r="AI195" s="54"/>
      <c r="AJ195" s="56"/>
      <c r="AK195" s="56"/>
      <c r="AL195" s="56"/>
      <c r="AM195" s="56"/>
      <c r="AN195" s="56"/>
      <c r="AO195" s="56"/>
      <c r="AP195" s="56"/>
      <c r="AQ195" s="59"/>
      <c r="AR195" s="60"/>
      <c r="AS195" s="54"/>
    </row>
    <row r="196" spans="1:45" ht="21.25" customHeight="1" x14ac:dyDescent="0.15">
      <c r="A196" s="45">
        <f>RANK(K196,K$1:K$665)</f>
        <v>195</v>
      </c>
      <c r="B196" s="9" t="s">
        <v>321</v>
      </c>
      <c r="C196" s="46" t="s">
        <v>127</v>
      </c>
      <c r="D196" s="47" t="str">
        <f>VLOOKUP(B196,'Player Data'!A1:D667,4,FALSE)</f>
        <v>D</v>
      </c>
      <c r="E196" s="66">
        <f>VLOOKUP(B196,D!A1:C213,3,FALSE)</f>
        <v>56</v>
      </c>
      <c r="F196" s="77" t="str">
        <f>VLOOKUP(B196,'Player Data'!A1:B667,2,FALSE)</f>
        <v>CBJ</v>
      </c>
      <c r="G196" s="10">
        <f>VLOOKUP(B196,'Player Data'!A1:D667,3,FALSE)</f>
        <v>27</v>
      </c>
      <c r="H196" s="67">
        <f>IFERROR(VLOOKUP(B196,ADP!A1:G665,7,FALSE)/1000000,VLOOKUP(B196,ADP!A1:G665,7,FALSE))</f>
        <v>4.7249999999999996</v>
      </c>
      <c r="I196" s="51">
        <f>IF(Settings!$E$15="POINTS",((R196*Q196)*Settings!$B$12)+(S196*Settings!$B$2)+(T196*Settings!$B$3)+(U196*Settings!$B$4)+(V196*Settings!$B$5)+(X196*Settings!$B$9)+(AA196*Settings!$B$6)+(W196*Settings!$B$8)+(AB196*Settings!$B$7)+(AC196*Settings!$B$14)+(AD196*Settings!$B$15)+(AE196*Settings!$B$16)+(AF196*Settings!$B$17)+(AG196*Settings!$B$18)+(U196*Settings!$B$13)+(Y196*Settings!$B$10)+(Z196*Settings!$B$11),VLOOKUP(B196,'Standard Deviations'!A1:C666,3,FALSE))</f>
        <v>230.88666318649393</v>
      </c>
      <c r="J196" s="52">
        <f>IF(D196="G",I196/AJ196,I196/Q196)</f>
        <v>2.8249928200965853</v>
      </c>
      <c r="K196" s="51">
        <f>VLOOKUP(B196,D!A1:F213,6,FALSE)</f>
        <v>-105.34746185910097</v>
      </c>
      <c r="L196" s="53">
        <f>IFERROR(K196/H196,"N/A")</f>
        <v>-22.295759123619256</v>
      </c>
      <c r="M196" s="83" t="str">
        <f>IF(Settings!$E$9="YAHOO",VLOOKUP(B196,ADP!A1:E665,2,FALSE),IF(Settings!$E$9="ESPN",VLOOKUP(B196,ADP!A1:E665,3,FALSE),IF(Settings!$E$9="FANTRAX",VLOOKUP(B196,ADP!A1:E665,4,FALSE),VLOOKUP(B196,ADP!A1:E665,5,FALSE))))</f>
        <v>—</v>
      </c>
      <c r="N196" s="83" t="str">
        <f>IFERROR(M196-A196,"N/A")</f>
        <v>N/A</v>
      </c>
      <c r="O196" s="54"/>
      <c r="P196" s="55" t="str">
        <f>IF(Settings!$E$27="ON",VLOOKUP(B196,ADP!A1:H665,8,FALSE)," ")</f>
        <v xml:space="preserve"> </v>
      </c>
      <c r="Q196" s="56">
        <f>IF(Settings!$E$12="YES",VLOOKUP(B196,'Player Data'!A1:E667,5,FALSE),82)</f>
        <v>81.73</v>
      </c>
      <c r="R196" s="54">
        <f>VLOOKUP(B196,'Player Data'!$A1:$AE667,6,FALSE)</f>
        <v>22.209307084103799</v>
      </c>
      <c r="S196" s="56">
        <f>VLOOKUP(B196,'Player Data'!$A1:$AE667,7,FALSE)*$Q196*IFERROR((VLOOKUP(P196,Settings!$E$28:$F$33,2,FALSE)+1),1)</f>
        <v>6.0937942693169145</v>
      </c>
      <c r="T196" s="56">
        <f>VLOOKUP(B196,'Player Data'!$A1:$AE667,8,FALSE)*$Q196*IFERROR((VLOOKUP(P196,Settings!$E$28:$F$33,2,FALSE)+1),1)</f>
        <v>23.427016032547613</v>
      </c>
      <c r="U196" s="56">
        <f>SUM(S196:T196)</f>
        <v>29.520810301864529</v>
      </c>
      <c r="V196" s="56">
        <f>VLOOKUP(B196,'Player Data'!$A1:$AE667,10,FALSE)*$Q196*IFERROR(((VLOOKUP(P196,Settings!$E$28:$F$33,2,FALSE)/2)+1),1)</f>
        <v>115.40151366757678</v>
      </c>
      <c r="W196" s="56">
        <f>VLOOKUP(B196,'Player Data'!$A1:$AE667,11,FALSE)*$Q196*IFERROR((VLOOKUP(P196,Settings!$E$28:$F$33,2,FALSE)+1),1)</f>
        <v>0.37298200303617668</v>
      </c>
      <c r="X196" s="56">
        <f>VLOOKUP(B196,'Player Data'!$A1:$AE667,12,FALSE)*$Q196*IFERROR((VLOOKUP(P196,Settings!$E$28:$F$33,2,FALSE)+1),1)</f>
        <v>5.8793722840379523</v>
      </c>
      <c r="Y196" s="56">
        <f>VLOOKUP(B196,'Player Data'!$A1:$AE667,13,FALSE)*$Q196</f>
        <v>2.9715424442167165E-2</v>
      </c>
      <c r="Z196" s="56">
        <f>VLOOKUP(B196,'Player Data'!$A1:$AE667,14,FALSE)*$Q196</f>
        <v>1.0198387320521385</v>
      </c>
      <c r="AA196" s="56">
        <f>VLOOKUP(B196,'Player Data'!$A1:$AE667,15,FALSE)*$Q196</f>
        <v>155.44852886204376</v>
      </c>
      <c r="AB196" s="56">
        <f>VLOOKUP(B196,'Player Data'!$A1:$AE667,16,FALSE)*$Q196</f>
        <v>80.869843685991015</v>
      </c>
      <c r="AC196" s="56">
        <f>VLOOKUP(B196,'Player Data'!$A1:$AE667,17,FALSE)*$Q196*IFERROR((VLOOKUP(P196,Settings!$E$28:$F$33,2,FALSE)+1),1)</f>
        <v>-8.479203222896146</v>
      </c>
      <c r="AD196" s="56">
        <f>VLOOKUP(B196,'Player Data'!$A1:$AE667,18,FALSE)*$Q196</f>
        <v>27.256892806248818</v>
      </c>
      <c r="AE196" s="56">
        <f>VLOOKUP(B196,'Player Data'!$A1:$AE667,19,FALSE)*$Q196*IFERROR((VLOOKUP(P196,Settings!$E$28:$F$33,2,FALSE)+1),1)</f>
        <v>0.67387827301552006</v>
      </c>
      <c r="AF196" s="56">
        <f>VLOOKUP(B196,'Player Data'!$A1:$AE667,20,FALSE)*$Q196</f>
        <v>0</v>
      </c>
      <c r="AG196" s="56">
        <f>VLOOKUP(B196,'Player Data'!$A1:$AE667,21,FALSE)*$Q196</f>
        <v>0</v>
      </c>
      <c r="AH196" s="58">
        <f>VLOOKUP(B196,'Player Data'!$A1:$AE667,22,FALSE)</f>
        <v>0</v>
      </c>
      <c r="AI196" s="54"/>
      <c r="AJ196" s="56"/>
      <c r="AK196" s="56"/>
      <c r="AL196" s="56"/>
      <c r="AM196" s="56"/>
      <c r="AN196" s="56"/>
      <c r="AO196" s="56"/>
      <c r="AP196" s="56"/>
      <c r="AQ196" s="59"/>
      <c r="AR196" s="60"/>
      <c r="AS196" s="54"/>
    </row>
    <row r="197" spans="1:45" ht="21.25" customHeight="1" x14ac:dyDescent="0.15">
      <c r="A197" s="45">
        <f>RANK(K197,K$1:K$665)</f>
        <v>196</v>
      </c>
      <c r="B197" s="9" t="s">
        <v>322</v>
      </c>
      <c r="C197" s="46" t="s">
        <v>127</v>
      </c>
      <c r="D197" s="47" t="str">
        <f>VLOOKUP(B197,'Player Data'!A1:D667,4,FALSE)</f>
        <v>RW</v>
      </c>
      <c r="E197" s="61">
        <f>VLOOKUP(B197,RW!A1:F136,3,FALSE)</f>
        <v>50</v>
      </c>
      <c r="F197" s="71" t="str">
        <f>VLOOKUP(B197,'Player Data'!A1:B667,2,FALSE)</f>
        <v>VAN</v>
      </c>
      <c r="G197" s="10">
        <f>VLOOKUP(B197,'Player Data'!A1:D667,3,FALSE)</f>
        <v>28</v>
      </c>
      <c r="H197" s="50">
        <f>IFERROR(VLOOKUP(B197,ADP!A1:G665,7,FALSE)/1000000,VLOOKUP(B197,ADP!A1:G665,7,FALSE))</f>
        <v>4.95</v>
      </c>
      <c r="I197" s="51">
        <f>IF(Settings!$E$15="POINTS",((R197*Q197)*Settings!$B$12)+(S197*Settings!$B$2)+(T197*Settings!$B$3)+(U197*Settings!$B$4)+(V197*Settings!$B$5)+(X197*Settings!$B$9)+(AA197*Settings!$B$6)+(W197*Settings!$B$8)+(AB197*Settings!$B$7)+(AC197*Settings!$B$14)+(AD197*Settings!$B$15)+(AE197*Settings!$B$16)+(AF197*Settings!$B$17)+(AG197*Settings!$B$18)+(Y197*Settings!$B$10)+(Z197*Settings!$B$11),VLOOKUP(B197,'Standard Deviations'!A1:C666,3,FALSE))</f>
        <v>263.17471593958203</v>
      </c>
      <c r="J197" s="52">
        <f>IF(D197="G",I197/AJ197,I197/Q197)</f>
        <v>3.2334025363464942</v>
      </c>
      <c r="K197" s="51">
        <f>IF(Settings!$E$18="C/LW/RW",VLOOKUP(B197,RW!A1:F136,6,FALSE),VLOOKUP(B197,F!A1:F392,6,FALSE))</f>
        <v>-105.67300716671036</v>
      </c>
      <c r="L197" s="53">
        <f>IFERROR(K197/H197,"N/A")</f>
        <v>-21.348082255901083</v>
      </c>
      <c r="M197" s="83" t="str">
        <f>IF(Settings!$E$9="YAHOO",VLOOKUP(B197,ADP!A1:E665,2,FALSE),IF(Settings!$E$9="ESPN",VLOOKUP(B197,ADP!A1:E665,3,FALSE),IF(Settings!$E$9="FANTRAX",VLOOKUP(B197,ADP!A1:E665,4,FALSE),VLOOKUP(B197,ADP!A1:E665,5,FALSE))))</f>
        <v>—</v>
      </c>
      <c r="N197" s="83" t="str">
        <f>IFERROR(M197-A197,"N/A")</f>
        <v>N/A</v>
      </c>
      <c r="O197" s="54"/>
      <c r="P197" s="55" t="str">
        <f>IF(Settings!$E$27="ON",VLOOKUP(B197,ADP!A1:H665,8,FALSE)," ")</f>
        <v xml:space="preserve"> </v>
      </c>
      <c r="Q197" s="56">
        <f>IF(Settings!$E$12="YES",VLOOKUP(B197,'Player Data'!A1:E667,5,FALSE),82)</f>
        <v>81.392499999999998</v>
      </c>
      <c r="R197" s="54">
        <f>VLOOKUP(B197,'Player Data'!$A1:$AE667,6,FALSE)</f>
        <v>15.367384742492799</v>
      </c>
      <c r="S197" s="56">
        <f>VLOOKUP(B197,'Player Data'!$A1:$AE667,7,FALSE)*$Q197*IFERROR((VLOOKUP(P197,Settings!$E$28:$F$33,2,FALSE)+1),1)</f>
        <v>18.446512970344479</v>
      </c>
      <c r="T197" s="56">
        <f>VLOOKUP(B197,'Player Data'!$A1:$AE667,8,FALSE)*$Q197*IFERROR((VLOOKUP(P197,Settings!$E$28:$F$33,2,FALSE)+1),1)</f>
        <v>28.732890674331955</v>
      </c>
      <c r="U197" s="56">
        <f>SUM(S197:T197)</f>
        <v>47.179403644676434</v>
      </c>
      <c r="V197" s="56">
        <f>VLOOKUP(B197,'Player Data'!$A1:$AE667,10,FALSE)*$Q197*IFERROR(((VLOOKUP(P197,Settings!$E$28:$F$33,2,FALSE)/2)+1),1)</f>
        <v>195.46833161768117</v>
      </c>
      <c r="W197" s="56">
        <f>VLOOKUP(B197,'Player Data'!$A1:$AE667,11,FALSE)*$Q197*IFERROR((VLOOKUP(P197,Settings!$E$28:$F$33,2,FALSE)+1),1)</f>
        <v>1.9513311637038966</v>
      </c>
      <c r="X197" s="56">
        <f>VLOOKUP(B197,'Player Data'!$A1:$AE667,12,FALSE)*$Q197*IFERROR((VLOOKUP(P197,Settings!$E$28:$F$33,2,FALSE)+1),1)</f>
        <v>8.273444625807981</v>
      </c>
      <c r="Y197" s="56">
        <f>VLOOKUP(B197,'Player Data'!$A1:$AE667,13,FALSE)*$Q197</f>
        <v>3.4590934407252682E-3</v>
      </c>
      <c r="Z197" s="56">
        <f>VLOOKUP(B197,'Player Data'!$A1:$AE667,14,FALSE)*$Q197</f>
        <v>5.8895458349312157E-3</v>
      </c>
      <c r="AA197" s="56">
        <f>VLOOKUP(B197,'Player Data'!$A1:$AE667,15,FALSE)*$Q197</f>
        <v>31.246010050138562</v>
      </c>
      <c r="AB197" s="56">
        <f>VLOOKUP(B197,'Player Data'!$A1:$AE667,16,FALSE)*$Q197</f>
        <v>56.206825036199781</v>
      </c>
      <c r="AC197" s="56">
        <f>VLOOKUP(B197,'Player Data'!$A1:$AE667,17,FALSE)*$Q197*IFERROR((VLOOKUP(P197,Settings!$E$28:$F$33,2,FALSE)+1),1)</f>
        <v>7.8728549843892806</v>
      </c>
      <c r="AD197" s="56">
        <f>VLOOKUP(B197,'Player Data'!$A1:$AE667,18,FALSE)*$Q197</f>
        <v>26.366131520892427</v>
      </c>
      <c r="AE197" s="56">
        <f>VLOOKUP(B197,'Player Data'!$A1:$AE667,19,FALSE)*$Q197*IFERROR((VLOOKUP(P197,Settings!$E$28:$F$33,2,FALSE)+1),1)</f>
        <v>3.15018855871556</v>
      </c>
      <c r="AF197" s="56">
        <f>VLOOKUP(B197,'Player Data'!$A1:$AE667,20,FALSE)*$Q197</f>
        <v>3.0754474453474603</v>
      </c>
      <c r="AG197" s="56">
        <f>VLOOKUP(B197,'Player Data'!$A1:$AE667,21,FALSE)*$Q197</f>
        <v>7.8925110082571726</v>
      </c>
      <c r="AH197" s="58">
        <f>VLOOKUP(B197,'Player Data'!$A1:$AE667,22,FALSE)</f>
        <v>0.28040290801217499</v>
      </c>
      <c r="AI197" s="54"/>
      <c r="AJ197" s="56"/>
      <c r="AK197" s="56"/>
      <c r="AL197" s="56"/>
      <c r="AM197" s="56"/>
      <c r="AN197" s="56"/>
      <c r="AO197" s="56"/>
      <c r="AP197" s="56"/>
      <c r="AQ197" s="59"/>
      <c r="AR197" s="60"/>
      <c r="AS197" s="54"/>
    </row>
    <row r="198" spans="1:45" ht="21.25" customHeight="1" x14ac:dyDescent="0.15">
      <c r="A198" s="45">
        <f>RANK(K198,K$1:K$665)</f>
        <v>197</v>
      </c>
      <c r="B198" s="9" t="s">
        <v>323</v>
      </c>
      <c r="C198" s="46" t="s">
        <v>127</v>
      </c>
      <c r="D198" s="47" t="str">
        <f>VLOOKUP(B198,'Player Data'!A1:D667,4,FALSE)</f>
        <v>D</v>
      </c>
      <c r="E198" s="66">
        <f>VLOOKUP(B198,D!A1:C213,3,FALSE)</f>
        <v>57</v>
      </c>
      <c r="F198" s="65" t="str">
        <f>VLOOKUP(B198,'Player Data'!A1:B667,2,FALSE)</f>
        <v>WSH</v>
      </c>
      <c r="G198" s="10">
        <f>VLOOKUP(B198,'Player Data'!A1:D667,3,FALSE)</f>
        <v>29</v>
      </c>
      <c r="H198" s="50">
        <f>IFERROR(VLOOKUP(B198,ADP!A1:G665,7,FALSE)/1000000,VLOOKUP(B198,ADP!A1:G665,7,FALSE))</f>
        <v>5.75</v>
      </c>
      <c r="I198" s="51">
        <f>IF(Settings!$E$15="POINTS",((R198*Q198)*Settings!$B$12)+(S198*Settings!$B$2)+(T198*Settings!$B$3)+(U198*Settings!$B$4)+(V198*Settings!$B$5)+(X198*Settings!$B$9)+(AA198*Settings!$B$6)+(W198*Settings!$B$8)+(AB198*Settings!$B$7)+(AC198*Settings!$B$14)+(AD198*Settings!$B$15)+(AE198*Settings!$B$16)+(AF198*Settings!$B$17)+(AG198*Settings!$B$18)+(U198*Settings!$B$13)+(Y198*Settings!$B$10)+(Z198*Settings!$B$11),VLOOKUP(B198,'Standard Deviations'!A1:C666,3,FALSE))</f>
        <v>229.58961648312209</v>
      </c>
      <c r="J198" s="52">
        <f>IF(D198="G",I198/AJ198,I198/Q198)</f>
        <v>2.8572803146525878</v>
      </c>
      <c r="K198" s="51">
        <f>VLOOKUP(B198,D!A1:F213,6,FALSE)</f>
        <v>-106.64450856247282</v>
      </c>
      <c r="L198" s="53">
        <f>IFERROR(K198/H198,"N/A")</f>
        <v>-18.5468710543431</v>
      </c>
      <c r="M198" s="83" t="str">
        <f>IF(Settings!$E$9="YAHOO",VLOOKUP(B198,ADP!A1:E665,2,FALSE),IF(Settings!$E$9="ESPN",VLOOKUP(B198,ADP!A1:E665,3,FALSE),IF(Settings!$E$9="FANTRAX",VLOOKUP(B198,ADP!A1:E665,4,FALSE),VLOOKUP(B198,ADP!A1:E665,5,FALSE))))</f>
        <v>—</v>
      </c>
      <c r="N198" s="83" t="str">
        <f>IFERROR(M198-A198,"N/A")</f>
        <v>N/A</v>
      </c>
      <c r="O198" s="54"/>
      <c r="P198" s="55" t="str">
        <f>IF(Settings!$E$27="ON",VLOOKUP(B198,ADP!A1:H665,8,FALSE)," ")</f>
        <v xml:space="preserve"> </v>
      </c>
      <c r="Q198" s="56">
        <f>IF(Settings!$E$12="YES",VLOOKUP(B198,'Player Data'!A1:E667,5,FALSE),82)</f>
        <v>80.352500000000006</v>
      </c>
      <c r="R198" s="54">
        <f>VLOOKUP(B198,'Player Data'!$A1:$AE667,6,FALSE)</f>
        <v>20.549948042159201</v>
      </c>
      <c r="S198" s="56">
        <f>VLOOKUP(B198,'Player Data'!$A1:$AE667,7,FALSE)*$Q198*IFERROR((VLOOKUP(P198,Settings!$E$28:$F$33,2,FALSE)+1),1)</f>
        <v>5.6553248297619492</v>
      </c>
      <c r="T198" s="56">
        <f>VLOOKUP(B198,'Player Data'!$A1:$AE667,8,FALSE)*$Q198*IFERROR((VLOOKUP(P198,Settings!$E$28:$F$33,2,FALSE)+1),1)</f>
        <v>18.710039235189448</v>
      </c>
      <c r="U198" s="56">
        <f>SUM(S198:T198)</f>
        <v>24.365364064951397</v>
      </c>
      <c r="V198" s="56">
        <f>VLOOKUP(B198,'Player Data'!$A1:$AE667,10,FALSE)*$Q198*IFERROR(((VLOOKUP(P198,Settings!$E$28:$F$33,2,FALSE)/2)+1),1)</f>
        <v>135.59452816903311</v>
      </c>
      <c r="W198" s="56">
        <f>VLOOKUP(B198,'Player Data'!$A1:$AE667,11,FALSE)*$Q198*IFERROR((VLOOKUP(P198,Settings!$E$28:$F$33,2,FALSE)+1),1)</f>
        <v>1.4445188585921882E-2</v>
      </c>
      <c r="X198" s="56">
        <f>VLOOKUP(B198,'Player Data'!$A1:$AE667,12,FALSE)*$Q198*IFERROR((VLOOKUP(P198,Settings!$E$28:$F$33,2,FALSE)+1),1)</f>
        <v>0.18226794033373628</v>
      </c>
      <c r="Y198" s="56">
        <f>VLOOKUP(B198,'Player Data'!$A1:$AE667,13,FALSE)*$Q198</f>
        <v>0.29050964705349236</v>
      </c>
      <c r="Z198" s="56">
        <f>VLOOKUP(B198,'Player Data'!$A1:$AE667,14,FALSE)*$Q198</f>
        <v>1.4559260872515296</v>
      </c>
      <c r="AA198" s="56">
        <f>VLOOKUP(B198,'Player Data'!$A1:$AE667,15,FALSE)*$Q198</f>
        <v>174.11613235233216</v>
      </c>
      <c r="AB198" s="56">
        <f>VLOOKUP(B198,'Player Data'!$A1:$AE667,16,FALSE)*$Q198</f>
        <v>135.34502847971723</v>
      </c>
      <c r="AC198" s="56">
        <f>VLOOKUP(B198,'Player Data'!$A1:$AE667,17,FALSE)*$Q198*IFERROR((VLOOKUP(P198,Settings!$E$28:$F$33,2,FALSE)+1),1)</f>
        <v>1.4508270595020596</v>
      </c>
      <c r="AD198" s="56">
        <f>VLOOKUP(B198,'Player Data'!$A1:$AE667,18,FALSE)*$Q198</f>
        <v>31.373911135143558</v>
      </c>
      <c r="AE198" s="56">
        <f>VLOOKUP(B198,'Player Data'!$A1:$AE667,19,FALSE)*$Q198*IFERROR((VLOOKUP(P198,Settings!$E$28:$F$33,2,FALSE)+1),1)</f>
        <v>0.80256148303306962</v>
      </c>
      <c r="AF198" s="56">
        <f>VLOOKUP(B198,'Player Data'!$A1:$AE667,20,FALSE)*$Q198</f>
        <v>0</v>
      </c>
      <c r="AG198" s="56">
        <f>VLOOKUP(B198,'Player Data'!$A1:$AE667,21,FALSE)*$Q198</f>
        <v>0</v>
      </c>
      <c r="AH198" s="58">
        <f>VLOOKUP(B198,'Player Data'!$A1:$AE667,22,FALSE)</f>
        <v>0</v>
      </c>
      <c r="AI198" s="54"/>
      <c r="AJ198" s="56"/>
      <c r="AK198" s="56"/>
      <c r="AL198" s="56"/>
      <c r="AM198" s="56"/>
      <c r="AN198" s="56"/>
      <c r="AO198" s="56"/>
      <c r="AP198" s="56"/>
      <c r="AQ198" s="59"/>
      <c r="AR198" s="60"/>
      <c r="AS198" s="54"/>
    </row>
    <row r="199" spans="1:45" ht="21.25" customHeight="1" x14ac:dyDescent="0.15">
      <c r="A199" s="45">
        <f>RANK(K199,K$1:K$665)</f>
        <v>198</v>
      </c>
      <c r="B199" s="9" t="s">
        <v>324</v>
      </c>
      <c r="C199" s="46" t="s">
        <v>127</v>
      </c>
      <c r="D199" s="47" t="str">
        <f>VLOOKUP(B199,'Player Data'!A1:D667,4,FALSE)</f>
        <v>G</v>
      </c>
      <c r="E199" s="73">
        <f>VLOOKUP(B199,G!A1:D65,3,FALSE)</f>
        <v>23</v>
      </c>
      <c r="F199" s="62" t="str">
        <f>VLOOKUP(B199,'Player Data'!A1:B667,2,FALSE)</f>
        <v>SEA</v>
      </c>
      <c r="G199" s="69">
        <f>VLOOKUP(B199,'Player Data'!A1:D667,3,FALSE)</f>
        <v>27</v>
      </c>
      <c r="H199" s="67">
        <f>IFERROR(VLOOKUP(B199,ADP!A1:G665,7,FALSE)/1000000,VLOOKUP(B199,ADP!A1:G665,7,FALSE))</f>
        <v>1.2</v>
      </c>
      <c r="I199" s="51">
        <f>IF(Settings!$E$15="POINTS",(AJ199*Settings!$B$29)+(AK199*Settings!$B$21)+(AL199*Settings!$B$22)+(AN199*Settings!$B$24)+(AO199*Settings!$B$25)+(AP199*Settings!$B$27)+(AM199*Settings!$B$23),VLOOKUP(B199,'Standard Deviations'!A1:C666,3,FALSE))</f>
        <v>304.01498437645108</v>
      </c>
      <c r="J199" s="52">
        <f>IF(D199="G",I199/AJ199,I199/Q199)</f>
        <v>6.755888541698913</v>
      </c>
      <c r="K199" s="51">
        <f>VLOOKUP(B199,G!A1:F65,6,FALSE)</f>
        <v>-106.64475839296909</v>
      </c>
      <c r="L199" s="53">
        <f>IFERROR(K199/H199,"N/A")</f>
        <v>-88.870631994140922</v>
      </c>
      <c r="M199" s="54">
        <f>IF(Settings!$E$9="YAHOO",VLOOKUP(B199,ADP!A1:E665,2,FALSE),IF(Settings!$E$9="ESPN",VLOOKUP(B199,ADP!A1:E665,3,FALSE),IF(Settings!$E$9="FANTRAX",VLOOKUP(B199,ADP!A1:E665,4,FALSE),VLOOKUP(B199,ADP!A1:E665,5,FALSE))))</f>
        <v>174.3</v>
      </c>
      <c r="N199" s="54">
        <f>IFERROR(M199-A199,"N/A")</f>
        <v>-23.699999999999989</v>
      </c>
      <c r="O199" s="54"/>
      <c r="P199" s="55" t="str">
        <f>IF(Settings!$E$27="ON",VLOOKUP(B199,ADP!A1:H665,8,FALSE)," ")</f>
        <v xml:space="preserve"> </v>
      </c>
      <c r="Q199" s="56"/>
      <c r="R199" s="54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8"/>
      <c r="AI199" s="54"/>
      <c r="AJ199" s="64">
        <f>VLOOKUP(B199,'Player Data'!$A1:$AE667,24,FALSE)</f>
        <v>45</v>
      </c>
      <c r="AK199" s="56">
        <f>VLOOKUP(B199,'Player Data'!$A1:$AE667,25,FALSE)*$AJ199*IFERROR((VLOOKUP(P199,Settings!$E$28:$F$33,2,FALSE)+1),1)</f>
        <v>22.836740764124833</v>
      </c>
      <c r="AL199" s="56">
        <f>AJ199-AK199-AM199</f>
        <v>16.538259235875167</v>
      </c>
      <c r="AM199" s="56">
        <f>VLOOKUP(B199,'Player Data'!$A1:$AE667,27,FALSE)*$AJ199</f>
        <v>5.625</v>
      </c>
      <c r="AN199" s="56">
        <f>VLOOKUP(B199,'Player Data'!$A1:$AE667,28,FALSE)*AJ199</f>
        <v>3.0086845944175797</v>
      </c>
      <c r="AO199" s="56">
        <f>VLOOKUP(B199,'Player Data'!$A1:$AE667,29,FALSE)*$AJ199*IFERROR((VLOOKUP(P199,Settings!$E$28:$F$33,2,FALSE)/4)+1,1)</f>
        <v>1185.9912267450031</v>
      </c>
      <c r="AP199" s="56">
        <f>VLOOKUP(B199,'Player Data'!$A1:$AE667,31,FALSE)*$AJ199*(IFERROR(1-(VLOOKUP(P199,Settings!$E$28:$F$33,2,FALSE)/4),1))</f>
        <v>120.1665119609475</v>
      </c>
      <c r="AQ199" s="59">
        <f>1-(AP199/(AO199+AP199))</f>
        <v>0.90799999999999992</v>
      </c>
      <c r="AR199" s="60">
        <f>AP199/AJ199</f>
        <v>2.6703669324654999</v>
      </c>
      <c r="AS199" s="54"/>
    </row>
    <row r="200" spans="1:45" ht="21.25" customHeight="1" x14ac:dyDescent="0.15">
      <c r="A200" s="45">
        <f>RANK(K200,K$1:K$665)</f>
        <v>199</v>
      </c>
      <c r="B200" s="9" t="s">
        <v>325</v>
      </c>
      <c r="C200" s="46" t="s">
        <v>127</v>
      </c>
      <c r="D200" s="47" t="str">
        <f>VLOOKUP(B200,'Player Data'!A1:D667,4,FALSE)</f>
        <v>C/LW</v>
      </c>
      <c r="E200" s="68">
        <f>VLOOKUP(B200,LW!A1:C152,3,FALSE)</f>
        <v>51</v>
      </c>
      <c r="F200" s="77" t="str">
        <f>VLOOKUP(B200,'Player Data'!A1:B667,2,FALSE)</f>
        <v>STL</v>
      </c>
      <c r="G200" s="63">
        <f>VLOOKUP(B200,'Player Data'!A1:D667,3,FALSE)</f>
        <v>33</v>
      </c>
      <c r="H200" s="50">
        <f>IFERROR(VLOOKUP(B200,ADP!A1:G665,7,FALSE)/1000000,VLOOKUP(B200,ADP!A1:G665,7,FALSE))</f>
        <v>6.5</v>
      </c>
      <c r="I200" s="51">
        <f>IF(Settings!$E$15="POINTS",((R200*Q200)*Settings!$B$12)+(S200*Settings!$B$2)+(T200*Settings!$B$3)+(U200*Settings!$B$4)+(V200*Settings!$B$5)+(X200*Settings!$B$9)+(AA200*Settings!$B$6)+(W200*Settings!$B$8)+(AB200*Settings!$B$7)+(AC200*Settings!$B$14)+(AD200*Settings!$B$15)+(AE200*Settings!$B$16)+(AF200*Settings!$B$17)+(AG200*Settings!$B$18)+(Y200*Settings!$B$10)+(Z200*Settings!$B$11),VLOOKUP(B200,'Standard Deviations'!A1:C666,3,FALSE))</f>
        <v>274.06631304918903</v>
      </c>
      <c r="J200" s="52">
        <f>IF(D200="G",I200/AJ200,I200/Q200)</f>
        <v>3.4245447088490444</v>
      </c>
      <c r="K200" s="51">
        <f>IF(Settings!$E$18="C/LW/RW",VLOOKUP(B200,LW!A1:F152,6,FALSE),VLOOKUP(B200,F!A1:F392,6,FALSE))</f>
        <v>-106.99519925331072</v>
      </c>
      <c r="L200" s="53">
        <f>IFERROR(K200/H200,"N/A")</f>
        <v>-16.460799885124725</v>
      </c>
      <c r="M200" s="83" t="str">
        <f>IF(Settings!$E$9="YAHOO",VLOOKUP(B200,ADP!A1:E665,2,FALSE),IF(Settings!$E$9="ESPN",VLOOKUP(B200,ADP!A1:E665,3,FALSE),IF(Settings!$E$9="FANTRAX",VLOOKUP(B200,ADP!A1:E665,4,FALSE),VLOOKUP(B200,ADP!A1:E665,5,FALSE))))</f>
        <v>—</v>
      </c>
      <c r="N200" s="83" t="str">
        <f>IFERROR(M200-A200,"N/A")</f>
        <v>N/A</v>
      </c>
      <c r="O200" s="54"/>
      <c r="P200" s="55" t="str">
        <f>IF(Settings!$E$27="ON",VLOOKUP(B200,ADP!A1:H665,8,FALSE)," ")</f>
        <v xml:space="preserve"> </v>
      </c>
      <c r="Q200" s="56">
        <f>IF(Settings!$E$12="YES",VLOOKUP(B200,'Player Data'!A1:E667,5,FALSE),82)</f>
        <v>80.03</v>
      </c>
      <c r="R200" s="54">
        <f>VLOOKUP(B200,'Player Data'!$A1:$AE667,6,FALSE)</f>
        <v>17.834915728372899</v>
      </c>
      <c r="S200" s="56">
        <f>VLOOKUP(B200,'Player Data'!$A1:$AE667,7,FALSE)*$Q200*IFERROR((VLOOKUP(P200,Settings!$E$28:$F$33,2,FALSE)+1),1)</f>
        <v>19.739937558879323</v>
      </c>
      <c r="T200" s="56">
        <f>VLOOKUP(B200,'Player Data'!$A1:$AE667,8,FALSE)*$Q200*IFERROR((VLOOKUP(P200,Settings!$E$28:$F$33,2,FALSE)+1),1)</f>
        <v>32.499489478902838</v>
      </c>
      <c r="U200" s="56">
        <f>SUM(S200:T200)</f>
        <v>52.239427037782164</v>
      </c>
      <c r="V200" s="56">
        <f>VLOOKUP(B200,'Player Data'!$A1:$AE667,10,FALSE)*$Q200*IFERROR(((VLOOKUP(P200,Settings!$E$28:$F$33,2,FALSE)/2)+1),1)</f>
        <v>159.84351140004571</v>
      </c>
      <c r="W200" s="56">
        <f>VLOOKUP(B200,'Player Data'!$A1:$AE667,11,FALSE)*$Q200*IFERROR((VLOOKUP(P200,Settings!$E$28:$F$33,2,FALSE)+1),1)</f>
        <v>5.3599512339940087</v>
      </c>
      <c r="X200" s="78">
        <f>VLOOKUP(B200,'Player Data'!$A1:$AE667,12,FALSE)*$Q200*IFERROR((VLOOKUP(P200,Settings!$E$28:$F$33,2,FALSE)+1),1)</f>
        <v>14.693822405201674</v>
      </c>
      <c r="Y200" s="56">
        <f>VLOOKUP(B200,'Player Data'!$A1:$AE667,13,FALSE)*$Q200</f>
        <v>0.46363845690654326</v>
      </c>
      <c r="Z200" s="56">
        <f>VLOOKUP(B200,'Player Data'!$A1:$AE667,14,FALSE)*$Q200</f>
        <v>0.53795546767818025</v>
      </c>
      <c r="AA200" s="56">
        <f>VLOOKUP(B200,'Player Data'!$A1:$AE667,15,FALSE)*$Q200</f>
        <v>44.388996725879728</v>
      </c>
      <c r="AB200" s="56">
        <f>VLOOKUP(B200,'Player Data'!$A1:$AE667,16,FALSE)*$Q200</f>
        <v>144.20361372427027</v>
      </c>
      <c r="AC200" s="56">
        <f>VLOOKUP(B200,'Player Data'!$A1:$AE667,17,FALSE)*$Q200*IFERROR((VLOOKUP(P200,Settings!$E$28:$F$33,2,FALSE)+1),1)</f>
        <v>-5.3068595575482158</v>
      </c>
      <c r="AD200" s="56">
        <f>VLOOKUP(B200,'Player Data'!$A1:$AE667,18,FALSE)*$Q200</f>
        <v>44.732478371568227</v>
      </c>
      <c r="AE200" s="56">
        <f>VLOOKUP(B200,'Player Data'!$A1:$AE667,19,FALSE)*$Q200*IFERROR((VLOOKUP(P200,Settings!$E$28:$F$33,2,FALSE)+1),1)</f>
        <v>2.376571885074962</v>
      </c>
      <c r="AF200" s="56">
        <f>VLOOKUP(B200,'Player Data'!$A1:$AE667,20,FALSE)*$Q200</f>
        <v>431.34149949527273</v>
      </c>
      <c r="AG200" s="56">
        <f>VLOOKUP(B200,'Player Data'!$A1:$AE667,21,FALSE)*$Q200</f>
        <v>461.29810797971595</v>
      </c>
      <c r="AH200" s="58">
        <f>VLOOKUP(B200,'Player Data'!$A1:$AE667,22,FALSE)</f>
        <v>0.483220211027168</v>
      </c>
      <c r="AI200" s="54"/>
      <c r="AJ200" s="64"/>
      <c r="AK200" s="56"/>
      <c r="AL200" s="56"/>
      <c r="AM200" s="56"/>
      <c r="AN200" s="56"/>
      <c r="AO200" s="56"/>
      <c r="AP200" s="56"/>
      <c r="AQ200" s="59"/>
      <c r="AR200" s="60"/>
      <c r="AS200" s="54"/>
    </row>
    <row r="201" spans="1:45" ht="21.25" customHeight="1" x14ac:dyDescent="0.15">
      <c r="A201" s="45">
        <f>RANK(K201,K$1:K$665)</f>
        <v>200</v>
      </c>
      <c r="B201" s="9" t="s">
        <v>326</v>
      </c>
      <c r="C201" s="46" t="s">
        <v>127</v>
      </c>
      <c r="D201" s="47" t="str">
        <f>VLOOKUP(B201,'Player Data'!A1:D667,4,FALSE)</f>
        <v>D</v>
      </c>
      <c r="E201" s="66">
        <f>VLOOKUP(B201,D!A1:C213,3,FALSE)</f>
        <v>58</v>
      </c>
      <c r="F201" s="71" t="str">
        <f>VLOOKUP(B201,'Player Data'!A1:B667,2,FALSE)</f>
        <v>NYR</v>
      </c>
      <c r="G201" s="69">
        <f>VLOOKUP(B201,'Player Data'!A1:D667,3,FALSE)</f>
        <v>24</v>
      </c>
      <c r="H201" s="67">
        <f>IFERROR(VLOOKUP(B201,ADP!A1:G665,7,FALSE)/1000000,VLOOKUP(B201,ADP!A1:G665,7,FALSE))</f>
        <v>3.8719999999999999</v>
      </c>
      <c r="I201" s="51">
        <f>IF(Settings!$E$15="POINTS",((R201*Q201)*Settings!$B$12)+(S201*Settings!$B$2)+(T201*Settings!$B$3)+(U201*Settings!$B$4)+(V201*Settings!$B$5)+(X201*Settings!$B$9)+(AA201*Settings!$B$6)+(W201*Settings!$B$8)+(AB201*Settings!$B$7)+(AC201*Settings!$B$14)+(AD201*Settings!$B$15)+(AE201*Settings!$B$16)+(AF201*Settings!$B$17)+(AG201*Settings!$B$18)+(U201*Settings!$B$13)+(Y201*Settings!$B$10)+(Z201*Settings!$B$11),VLOOKUP(B201,'Standard Deviations'!A1:C666,3,FALSE))</f>
        <v>229.17117317210122</v>
      </c>
      <c r="J201" s="52">
        <f>IF(D201="G",I201/AJ201,I201/Q201)</f>
        <v>2.8201344183614978</v>
      </c>
      <c r="K201" s="51">
        <f>VLOOKUP(B201,D!A1:F213,6,FALSE)</f>
        <v>-107.06295187349369</v>
      </c>
      <c r="L201" s="53">
        <f>IFERROR(K201/H201,"N/A")</f>
        <v>-27.650555752451883</v>
      </c>
      <c r="M201" s="83" t="str">
        <f>IF(Settings!$E$9="YAHOO",VLOOKUP(B201,ADP!A1:E665,2,FALSE),IF(Settings!$E$9="ESPN",VLOOKUP(B201,ADP!A1:E665,3,FALSE),IF(Settings!$E$9="FANTRAX",VLOOKUP(B201,ADP!A1:E665,4,FALSE),VLOOKUP(B201,ADP!A1:E665,5,FALSE))))</f>
        <v>—</v>
      </c>
      <c r="N201" s="83" t="str">
        <f>IFERROR(M201-A201,"N/A")</f>
        <v>N/A</v>
      </c>
      <c r="O201" s="54"/>
      <c r="P201" s="55" t="str">
        <f>IF(Settings!$E$27="ON",VLOOKUP(B201,ADP!A1:H665,8,FALSE)," ")</f>
        <v xml:space="preserve"> </v>
      </c>
      <c r="Q201" s="56">
        <f>IF(Settings!$E$12="YES",VLOOKUP(B201,'Player Data'!A1:E667,5,FALSE),82)</f>
        <v>81.262500000000003</v>
      </c>
      <c r="R201" s="54">
        <f>VLOOKUP(B201,'Player Data'!$A1:$AE667,6,FALSE)</f>
        <v>22.380740809745799</v>
      </c>
      <c r="S201" s="56">
        <f>VLOOKUP(B201,'Player Data'!$A1:$AE667,7,FALSE)*$Q201*IFERROR((VLOOKUP(P201,Settings!$E$28:$F$33,2,FALSE)+1),1)</f>
        <v>8.8153541422394603</v>
      </c>
      <c r="T201" s="56">
        <f>VLOOKUP(B201,'Player Data'!$A1:$AE667,8,FALSE)*$Q201*IFERROR((VLOOKUP(P201,Settings!$E$28:$F$33,2,FALSE)+1),1)</f>
        <v>27.069313504861793</v>
      </c>
      <c r="U201" s="56">
        <f>SUM(S201:T201)</f>
        <v>35.884667647101253</v>
      </c>
      <c r="V201" s="56">
        <f>VLOOKUP(B201,'Player Data'!$A1:$AE667,10,FALSE)*$Q201*IFERROR(((VLOOKUP(P201,Settings!$E$28:$F$33,2,FALSE)/2)+1),1)</f>
        <v>114.53382150723394</v>
      </c>
      <c r="W201" s="56">
        <f>VLOOKUP(B201,'Player Data'!$A1:$AE667,11,FALSE)*$Q201*IFERROR((VLOOKUP(P201,Settings!$E$28:$F$33,2,FALSE)+1),1)</f>
        <v>0.6877231457511449</v>
      </c>
      <c r="X201" s="56">
        <f>VLOOKUP(B201,'Player Data'!$A1:$AE667,12,FALSE)*$Q201*IFERROR((VLOOKUP(P201,Settings!$E$28:$F$33,2,FALSE)+1),1)</f>
        <v>3.5398073368726091</v>
      </c>
      <c r="Y201" s="56">
        <f>VLOOKUP(B201,'Player Data'!$A1:$AE667,13,FALSE)*$Q201</f>
        <v>3.335320299620103E-2</v>
      </c>
      <c r="Z201" s="56">
        <f>VLOOKUP(B201,'Player Data'!$A1:$AE667,14,FALSE)*$Q201</f>
        <v>0.86887628466299904</v>
      </c>
      <c r="AA201" s="56">
        <f>VLOOKUP(B201,'Player Data'!$A1:$AE667,15,FALSE)*$Q201</f>
        <v>119.68315171128978</v>
      </c>
      <c r="AB201" s="56">
        <f>VLOOKUP(B201,'Player Data'!$A1:$AE667,16,FALSE)*$Q201</f>
        <v>145.28662969493942</v>
      </c>
      <c r="AC201" s="56">
        <f>VLOOKUP(B201,'Player Data'!$A1:$AE667,17,FALSE)*$Q201*IFERROR((VLOOKUP(P201,Settings!$E$28:$F$33,2,FALSE)+1),1)</f>
        <v>1.838626655776044</v>
      </c>
      <c r="AD201" s="56">
        <f>VLOOKUP(B201,'Player Data'!$A1:$AE667,18,FALSE)*$Q201</f>
        <v>37.996502213167361</v>
      </c>
      <c r="AE201" s="56">
        <f>VLOOKUP(B201,'Player Data'!$A1:$AE667,19,FALSE)*$Q201*IFERROR((VLOOKUP(P201,Settings!$E$28:$F$33,2,FALSE)+1),1)</f>
        <v>1.4409428358946836</v>
      </c>
      <c r="AF201" s="56">
        <f>VLOOKUP(B201,'Player Data'!$A1:$AE667,20,FALSE)*$Q201</f>
        <v>0</v>
      </c>
      <c r="AG201" s="56">
        <f>VLOOKUP(B201,'Player Data'!$A1:$AE667,21,FALSE)*$Q201</f>
        <v>0</v>
      </c>
      <c r="AH201" s="58">
        <f>VLOOKUP(B201,'Player Data'!$A1:$AE667,22,FALSE)</f>
        <v>0</v>
      </c>
      <c r="AI201" s="54"/>
      <c r="AJ201" s="56"/>
      <c r="AK201" s="56"/>
      <c r="AL201" s="56"/>
      <c r="AM201" s="56"/>
      <c r="AN201" s="56"/>
      <c r="AO201" s="56"/>
      <c r="AP201" s="56"/>
      <c r="AQ201" s="59"/>
      <c r="AR201" s="60"/>
      <c r="AS201" s="54"/>
    </row>
    <row r="202" spans="1:45" ht="21.25" customHeight="1" x14ac:dyDescent="0.15">
      <c r="A202" s="45">
        <f>RANK(K202,K$1:K$665)</f>
        <v>201</v>
      </c>
      <c r="B202" s="9" t="s">
        <v>327</v>
      </c>
      <c r="C202" s="46" t="s">
        <v>127</v>
      </c>
      <c r="D202" s="47" t="str">
        <f>VLOOKUP(B202,'Player Data'!A1:D667,4,FALSE)</f>
        <v>LW</v>
      </c>
      <c r="E202" s="70">
        <f>VLOOKUP(B202,LW!A1:C152,3,FALSE)</f>
        <v>52</v>
      </c>
      <c r="F202" s="65" t="str">
        <f>VLOOKUP(B202,'Player Data'!A1:B667,2,FALSE)</f>
        <v>EDM</v>
      </c>
      <c r="G202" s="63">
        <f>VLOOKUP(B202,'Player Data'!A1:D667,3,FALSE)</f>
        <v>32</v>
      </c>
      <c r="H202" s="67">
        <f>IFERROR(VLOOKUP(B202,ADP!A1:G665,7,FALSE)/1000000,VLOOKUP(B202,ADP!A1:G665,7,FALSE))</f>
        <v>3</v>
      </c>
      <c r="I202" s="51">
        <f>IF(Settings!$E$15="POINTS",((R202*Q202)*Settings!$B$12)+(S202*Settings!$B$2)+(T202*Settings!$B$3)+(U202*Settings!$B$4)+(V202*Settings!$B$5)+(X202*Settings!$B$9)+(AA202*Settings!$B$6)+(W202*Settings!$B$8)+(AB202*Settings!$B$7)+(AC202*Settings!$B$14)+(AD202*Settings!$B$15)+(AE202*Settings!$B$16)+(AF202*Settings!$B$17)+(AG202*Settings!$B$18)+(Y202*Settings!$B$10)+(Z202*Settings!$B$11),VLOOKUP(B202,'Standard Deviations'!A1:C666,3,FALSE))</f>
        <v>273.45037561658052</v>
      </c>
      <c r="J202" s="52">
        <f>IF(D202="G",I202/AJ202,I202/Q202)</f>
        <v>3.4182365150983531</v>
      </c>
      <c r="K202" s="51">
        <f>IF(Settings!$E$18="C/LW/RW",VLOOKUP(B202,LW!A1:F152,6,FALSE),VLOOKUP(B202,F!A1:F392,6,FALSE))</f>
        <v>-107.61113668591923</v>
      </c>
      <c r="L202" s="53">
        <f>IFERROR(K202/H202,"N/A")</f>
        <v>-35.870378895306409</v>
      </c>
      <c r="M202" s="54">
        <f>IF(Settings!$E$9="YAHOO",VLOOKUP(B202,ADP!A1:E665,2,FALSE),IF(Settings!$E$9="ESPN",VLOOKUP(B202,ADP!A1:E665,3,FALSE),IF(Settings!$E$9="FANTRAX",VLOOKUP(B202,ADP!A1:E665,4,FALSE),VLOOKUP(B202,ADP!A1:E665,5,FALSE))))</f>
        <v>149.30000000000001</v>
      </c>
      <c r="N202" s="54">
        <f>IFERROR(M202-A202,"N/A")</f>
        <v>-51.699999999999989</v>
      </c>
      <c r="O202" s="54"/>
      <c r="P202" s="55" t="str">
        <f>IF(Settings!$E$27="ON",VLOOKUP(B202,ADP!A1:H665,8,FALSE)," ")</f>
        <v xml:space="preserve"> </v>
      </c>
      <c r="Q202" s="56">
        <f>IF(Settings!$E$12="YES",VLOOKUP(B202,'Player Data'!A1:E667,5,FALSE),82)</f>
        <v>79.997500000000002</v>
      </c>
      <c r="R202" s="81">
        <f>VLOOKUP(B202,'Player Data'!$A1:$AE667,6,FALSE)</f>
        <v>14.583018240460101</v>
      </c>
      <c r="S202" s="56">
        <f>VLOOKUP(B202,'Player Data'!$A1:$AE667,7,FALSE)*$Q202*IFERROR((VLOOKUP(P202,Settings!$E$28:$F$33,2,FALSE)+1),1)</f>
        <v>24.896035669090846</v>
      </c>
      <c r="T202" s="56">
        <f>VLOOKUP(B202,'Player Data'!$A1:$AE667,8,FALSE)*$Q202*IFERROR((VLOOKUP(P202,Settings!$E$28:$F$33,2,FALSE)+1),1)</f>
        <v>28.861285724927527</v>
      </c>
      <c r="U202" s="56">
        <f>SUM(S202:T202)</f>
        <v>53.757321394018376</v>
      </c>
      <c r="V202" s="56">
        <f>VLOOKUP(B202,'Player Data'!$A1:$AE667,10,FALSE)*$Q202*IFERROR(((VLOOKUP(P202,Settings!$E$28:$F$33,2,FALSE)/2)+1),1)</f>
        <v>194.581798828161</v>
      </c>
      <c r="W202" s="56">
        <f>VLOOKUP(B202,'Player Data'!$A1:$AE667,11,FALSE)*$Q202*IFERROR((VLOOKUP(P202,Settings!$E$28:$F$33,2,FALSE)+1),1)</f>
        <v>3.1271228299228708</v>
      </c>
      <c r="X202" s="56">
        <f>VLOOKUP(B202,'Player Data'!$A1:$AE667,12,FALSE)*$Q202*IFERROR((VLOOKUP(P202,Settings!$E$28:$F$33,2,FALSE)+1),1)</f>
        <v>6.2284621046228459</v>
      </c>
      <c r="Y202" s="56">
        <f>VLOOKUP(B202,'Player Data'!$A1:$AE667,13,FALSE)*$Q202</f>
        <v>1.5795562553458129E-2</v>
      </c>
      <c r="Z202" s="56">
        <f>VLOOKUP(B202,'Player Data'!$A1:$AE667,14,FALSE)*$Q202</f>
        <v>2.6757735006852981E-2</v>
      </c>
      <c r="AA202" s="56">
        <f>VLOOKUP(B202,'Player Data'!$A1:$AE667,15,FALSE)*$Q202</f>
        <v>17.264584361630305</v>
      </c>
      <c r="AB202" s="56">
        <f>VLOOKUP(B202,'Player Data'!$A1:$AE667,16,FALSE)*$Q202</f>
        <v>33.392715499468267</v>
      </c>
      <c r="AC202" s="56">
        <f>VLOOKUP(B202,'Player Data'!$A1:$AE667,17,FALSE)*$Q202*IFERROR((VLOOKUP(P202,Settings!$E$28:$F$33,2,FALSE)+1),1)</f>
        <v>0.61219199391361578</v>
      </c>
      <c r="AD202" s="56">
        <f>VLOOKUP(B202,'Player Data'!$A1:$AE667,18,FALSE)*$Q202</f>
        <v>26.135201042773321</v>
      </c>
      <c r="AE202" s="56">
        <f>VLOOKUP(B202,'Player Data'!$A1:$AE667,19,FALSE)*$Q202*IFERROR((VLOOKUP(P202,Settings!$E$28:$F$33,2,FALSE)+1),1)</f>
        <v>4.0200912810479137</v>
      </c>
      <c r="AF202" s="56">
        <f>VLOOKUP(B202,'Player Data'!$A1:$AE667,20,FALSE)*$Q202</f>
        <v>67.426629967665775</v>
      </c>
      <c r="AG202" s="56">
        <f>VLOOKUP(B202,'Player Data'!$A1:$AE667,21,FALSE)*$Q202</f>
        <v>87.340952320834617</v>
      </c>
      <c r="AH202" s="58">
        <f>VLOOKUP(B202,'Player Data'!$A1:$AE667,22,FALSE)</f>
        <v>0.43566378029978398</v>
      </c>
      <c r="AI202" s="54"/>
      <c r="AJ202" s="64"/>
      <c r="AK202" s="56"/>
      <c r="AL202" s="56"/>
      <c r="AM202" s="56"/>
      <c r="AN202" s="56"/>
      <c r="AO202" s="56"/>
      <c r="AP202" s="56"/>
      <c r="AQ202" s="59"/>
      <c r="AR202" s="60"/>
      <c r="AS202" s="64"/>
    </row>
    <row r="203" spans="1:45" ht="21.25" customHeight="1" x14ac:dyDescent="0.15">
      <c r="A203" s="45">
        <f>RANK(K203,K$1:K$665)</f>
        <v>202</v>
      </c>
      <c r="B203" s="9" t="s">
        <v>328</v>
      </c>
      <c r="C203" s="46" t="s">
        <v>127</v>
      </c>
      <c r="D203" s="47" t="str">
        <f>VLOOKUP(B203,'Player Data'!A1:D667,4,FALSE)</f>
        <v>RW</v>
      </c>
      <c r="E203" s="61">
        <f>VLOOKUP(B203,RW!A1:F136,3,FALSE)</f>
        <v>51</v>
      </c>
      <c r="F203" s="72" t="str">
        <f>VLOOKUP(B203,'Player Data'!A1:B667,2,FALSE)</f>
        <v>NYI</v>
      </c>
      <c r="G203" s="63">
        <f>VLOOKUP(B203,'Player Data'!A1:D667,3,FALSE)</f>
        <v>33</v>
      </c>
      <c r="H203" s="67">
        <f>IFERROR(VLOOKUP(B203,ADP!A1:G665,7,FALSE)/1000000,VLOOKUP(B203,ADP!A1:G665,7,FALSE))</f>
        <v>5</v>
      </c>
      <c r="I203" s="51">
        <f>IF(Settings!$E$15="POINTS",((R203*Q203)*Settings!$B$12)+(S203*Settings!$B$2)+(T203*Settings!$B$3)+(U203*Settings!$B$4)+(V203*Settings!$B$5)+(X203*Settings!$B$9)+(AA203*Settings!$B$6)+(W203*Settings!$B$8)+(AB203*Settings!$B$7)+(AC203*Settings!$B$14)+(AD203*Settings!$B$15)+(AE203*Settings!$B$16)+(AF203*Settings!$B$17)+(AG203*Settings!$B$18)+(Y203*Settings!$B$10)+(Z203*Settings!$B$11),VLOOKUP(B203,'Standard Deviations'!A1:C666,3,FALSE))</f>
        <v>259.81665799720372</v>
      </c>
      <c r="J203" s="52">
        <f>IF(D203="G",I203/AJ203,I203/Q203)</f>
        <v>3.3734756126491217</v>
      </c>
      <c r="K203" s="51">
        <f>IF(Settings!$E$18="C/LW/RW",VLOOKUP(B203,RW!A1:F136,6,FALSE),VLOOKUP(B203,F!A1:F392,6,FALSE))</f>
        <v>-109.03106510908867</v>
      </c>
      <c r="L203" s="53">
        <f>IFERROR(K203/H203,"N/A")</f>
        <v>-21.806213021817733</v>
      </c>
      <c r="M203" s="83" t="str">
        <f>IF(Settings!$E$9="YAHOO",VLOOKUP(B203,ADP!A1:E665,2,FALSE),IF(Settings!$E$9="ESPN",VLOOKUP(B203,ADP!A1:E665,3,FALSE),IF(Settings!$E$9="FANTRAX",VLOOKUP(B203,ADP!A1:E665,4,FALSE),VLOOKUP(B203,ADP!A1:E665,5,FALSE))))</f>
        <v>—</v>
      </c>
      <c r="N203" s="83" t="str">
        <f>IFERROR(M203-A203,"N/A")</f>
        <v>N/A</v>
      </c>
      <c r="O203" s="54"/>
      <c r="P203" s="55" t="str">
        <f>IF(Settings!$E$27="ON",VLOOKUP(B203,ADP!A1:H665,8,FALSE)," ")</f>
        <v xml:space="preserve"> </v>
      </c>
      <c r="Q203" s="56">
        <f>IF(Settings!$E$12="YES",VLOOKUP(B203,'Player Data'!A1:E667,5,FALSE),82)</f>
        <v>77.017499999999998</v>
      </c>
      <c r="R203" s="54">
        <f>VLOOKUP(B203,'Player Data'!$A1:$AE667,6,FALSE)</f>
        <v>17.068020721910401</v>
      </c>
      <c r="S203" s="56">
        <f>VLOOKUP(B203,'Player Data'!$A1:$AE667,7,FALSE)*$Q203*IFERROR((VLOOKUP(P203,Settings!$E$28:$F$33,2,FALSE)+1),1)</f>
        <v>22.430305734927924</v>
      </c>
      <c r="T203" s="56">
        <f>VLOOKUP(B203,'Player Data'!$A1:$AE667,8,FALSE)*$Q203*IFERROR((VLOOKUP(P203,Settings!$E$28:$F$33,2,FALSE)+1),1)</f>
        <v>21.867471460838672</v>
      </c>
      <c r="U203" s="56">
        <f>SUM(S203:T203)</f>
        <v>44.297777195766599</v>
      </c>
      <c r="V203" s="56">
        <f>VLOOKUP(B203,'Player Data'!$A1:$AE667,10,FALSE)*$Q203*IFERROR(((VLOOKUP(P203,Settings!$E$28:$F$33,2,FALSE)/2)+1),1)</f>
        <v>191.49400420588037</v>
      </c>
      <c r="W203" s="56">
        <f>VLOOKUP(B203,'Player Data'!$A1:$AE667,11,FALSE)*$Q203*IFERROR((VLOOKUP(P203,Settings!$E$28:$F$33,2,FALSE)+1),1)</f>
        <v>6.1699789950864457</v>
      </c>
      <c r="X203" s="78">
        <f>VLOOKUP(B203,'Player Data'!$A1:$AE667,12,FALSE)*$Q203*IFERROR((VLOOKUP(P203,Settings!$E$28:$F$33,2,FALSE)+1),1)</f>
        <v>12.813527607331849</v>
      </c>
      <c r="Y203" s="56">
        <f>VLOOKUP(B203,'Player Data'!$A1:$AE667,13,FALSE)*$Q203</f>
        <v>0.11736816379518868</v>
      </c>
      <c r="Z203" s="56">
        <f>VLOOKUP(B203,'Player Data'!$A1:$AE667,14,FALSE)*$Q203</f>
        <v>0.19806490153759343</v>
      </c>
      <c r="AA203" s="56">
        <f>VLOOKUP(B203,'Player Data'!$A1:$AE667,15,FALSE)*$Q203</f>
        <v>36.329463596188681</v>
      </c>
      <c r="AB203" s="56">
        <f>VLOOKUP(B203,'Player Data'!$A1:$AE667,16,FALSE)*$Q203</f>
        <v>85.334012830593224</v>
      </c>
      <c r="AC203" s="56">
        <f>VLOOKUP(B203,'Player Data'!$A1:$AE667,17,FALSE)*$Q203*IFERROR((VLOOKUP(P203,Settings!$E$28:$F$33,2,FALSE)+1),1)</f>
        <v>3.5034694921003426</v>
      </c>
      <c r="AD203" s="56">
        <f>VLOOKUP(B203,'Player Data'!$A1:$AE667,18,FALSE)*$Q203</f>
        <v>35.102949884952402</v>
      </c>
      <c r="AE203" s="56">
        <f>VLOOKUP(B203,'Player Data'!$A1:$AE667,19,FALSE)*$Q203*IFERROR((VLOOKUP(P203,Settings!$E$28:$F$33,2,FALSE)+1),1)</f>
        <v>3.525123034029682</v>
      </c>
      <c r="AF203" s="56">
        <f>VLOOKUP(B203,'Player Data'!$A1:$AE667,20,FALSE)*$Q203</f>
        <v>12.827065062116498</v>
      </c>
      <c r="AG203" s="56">
        <f>VLOOKUP(B203,'Player Data'!$A1:$AE667,21,FALSE)*$Q203</f>
        <v>22.752587830791452</v>
      </c>
      <c r="AH203" s="58">
        <f>VLOOKUP(B203,'Player Data'!$A1:$AE667,22,FALSE)</f>
        <v>0.360516869029752</v>
      </c>
      <c r="AI203" s="54"/>
      <c r="AJ203" s="64"/>
      <c r="AK203" s="56"/>
      <c r="AL203" s="56"/>
      <c r="AM203" s="56"/>
      <c r="AN203" s="56"/>
      <c r="AO203" s="56"/>
      <c r="AP203" s="56"/>
      <c r="AQ203" s="59"/>
      <c r="AR203" s="60"/>
      <c r="AS203" s="64"/>
    </row>
    <row r="204" spans="1:45" ht="21.25" customHeight="1" x14ac:dyDescent="0.15">
      <c r="A204" s="45">
        <f>RANK(K204,K$1:K$665)</f>
        <v>203</v>
      </c>
      <c r="B204" s="9" t="s">
        <v>329</v>
      </c>
      <c r="C204" s="46" t="s">
        <v>127</v>
      </c>
      <c r="D204" s="47" t="str">
        <f>VLOOKUP(B204,'Player Data'!A1:D667,4,FALSE)</f>
        <v>C/RW</v>
      </c>
      <c r="E204" s="68">
        <f>VLOOKUP(B204,RW!A1:C136,3,FALSE)</f>
        <v>52</v>
      </c>
      <c r="F204" s="55" t="str">
        <f>VLOOKUP(B204,'Player Data'!A1:B667,2,FALSE)</f>
        <v>WPG</v>
      </c>
      <c r="G204" s="10">
        <f>VLOOKUP(B204,'Player Data'!A1:D667,3,FALSE)</f>
        <v>25</v>
      </c>
      <c r="H204" s="67">
        <f>IFERROR(VLOOKUP(B204,ADP!A1:G665,7,FALSE)/1000000,VLOOKUP(B204,ADP!A1:G665,7,FALSE))</f>
        <v>3.4375</v>
      </c>
      <c r="I204" s="51">
        <f>IF(Settings!$E$15="POINTS",((R204*Q204)*Settings!$B$12)+(S204*Settings!$B$2)+(T204*Settings!$B$3)+(U204*Settings!$B$4)+(V204*Settings!$B$5)+(X204*Settings!$B$9)+(AA204*Settings!$B$6)+(W204*Settings!$B$8)+(AB204*Settings!$B$7)+(AC204*Settings!$B$14)+(AD204*Settings!$B$15)+(AE204*Settings!$B$16)+(AF204*Settings!$B$17)+(AG204*Settings!$B$18)+(Y204*Settings!$B$10)+(Z204*Settings!$B$11),VLOOKUP(B204,'Standard Deviations'!A1:C666,3,FALSE))</f>
        <v>259.62903323515349</v>
      </c>
      <c r="J204" s="52">
        <f>IF(D204="G",I204/AJ204,I204/Q204)</f>
        <v>3.8460711537686616</v>
      </c>
      <c r="K204" s="51">
        <f>IF(Settings!$E$18="C/LW/RW",VLOOKUP(B204,RW!A1:F136,6,FALSE),VLOOKUP(B204,F!A1:F392,6,FALSE))</f>
        <v>-109.21868987113891</v>
      </c>
      <c r="L204" s="53">
        <f>IFERROR(K204/H204,"N/A")</f>
        <v>-31.772709780694953</v>
      </c>
      <c r="M204" s="54">
        <f>IF(Settings!$E$9="YAHOO",VLOOKUP(B204,ADP!A1:E665,2,FALSE),IF(Settings!$E$9="ESPN",VLOOKUP(B204,ADP!A1:E665,3,FALSE),IF(Settings!$E$9="FANTRAX",VLOOKUP(B204,ADP!A1:E665,4,FALSE),VLOOKUP(B204,ADP!A1:E665,5,FALSE))))</f>
        <v>171.2</v>
      </c>
      <c r="N204" s="54">
        <f>IFERROR(M204-A204,"N/A")</f>
        <v>-31.800000000000011</v>
      </c>
      <c r="O204" s="54"/>
      <c r="P204" s="55" t="str">
        <f>IF(Settings!$E$27="ON",VLOOKUP(B204,ADP!A1:H665,8,FALSE)," ")</f>
        <v xml:space="preserve"> </v>
      </c>
      <c r="Q204" s="56">
        <f>IF(Settings!$E$12="YES",VLOOKUP(B204,'Player Data'!A1:E667,5,FALSE),82)</f>
        <v>67.504999999999995</v>
      </c>
      <c r="R204" s="54">
        <f>VLOOKUP(B204,'Player Data'!$A1:$AE667,6,FALSE)</f>
        <v>16.736697494192899</v>
      </c>
      <c r="S204" s="56">
        <f>VLOOKUP(B204,'Player Data'!$A1:$AE667,7,FALSE)*$Q204*IFERROR((VLOOKUP(P204,Settings!$E$28:$F$33,2,FALSE)+1),1)</f>
        <v>27.296249990362963</v>
      </c>
      <c r="T204" s="56">
        <f>VLOOKUP(B204,'Player Data'!$A1:$AE667,8,FALSE)*$Q204*IFERROR((VLOOKUP(P204,Settings!$E$28:$F$33,2,FALSE)+1),1)</f>
        <v>22.156919888961376</v>
      </c>
      <c r="U204" s="56">
        <f>SUM(S204:T204)</f>
        <v>49.453169879324335</v>
      </c>
      <c r="V204" s="56">
        <f>VLOOKUP(B204,'Player Data'!$A1:$AE667,10,FALSE)*$Q204*IFERROR(((VLOOKUP(P204,Settings!$E$28:$F$33,2,FALSE)/2)+1),1)</f>
        <v>156.39522927248484</v>
      </c>
      <c r="W204" s="56">
        <f>VLOOKUP(B204,'Player Data'!$A1:$AE667,11,FALSE)*$Q204*IFERROR((VLOOKUP(P204,Settings!$E$28:$F$33,2,FALSE)+1),1)</f>
        <v>9.0008516879127658</v>
      </c>
      <c r="X204" s="57">
        <f>VLOOKUP(B204,'Player Data'!$A1:$AE667,12,FALSE)*$Q204*IFERROR((VLOOKUP(P204,Settings!$E$28:$F$33,2,FALSE)+1),1)</f>
        <v>15.677220622732161</v>
      </c>
      <c r="Y204" s="56">
        <f>VLOOKUP(B204,'Player Data'!$A1:$AE667,13,FALSE)*$Q204</f>
        <v>1.8812596528823961E-3</v>
      </c>
      <c r="Z204" s="56">
        <f>VLOOKUP(B204,'Player Data'!$A1:$AE667,14,FALSE)*$Q204</f>
        <v>3.1823149399173327E-3</v>
      </c>
      <c r="AA204" s="56">
        <f>VLOOKUP(B204,'Player Data'!$A1:$AE667,15,FALSE)*$Q204</f>
        <v>34.783012046531894</v>
      </c>
      <c r="AB204" s="56">
        <f>VLOOKUP(B204,'Player Data'!$A1:$AE667,16,FALSE)*$Q204</f>
        <v>35.371783143150459</v>
      </c>
      <c r="AC204" s="56">
        <f>VLOOKUP(B204,'Player Data'!$A1:$AE667,17,FALSE)*$Q204*IFERROR((VLOOKUP(P204,Settings!$E$28:$F$33,2,FALSE)+1),1)</f>
        <v>2.6609862184201765</v>
      </c>
      <c r="AD204" s="56">
        <f>VLOOKUP(B204,'Player Data'!$A1:$AE667,18,FALSE)*$Q204</f>
        <v>23.606209118332952</v>
      </c>
      <c r="AE204" s="56">
        <f>VLOOKUP(B204,'Player Data'!$A1:$AE667,19,FALSE)*$Q204*IFERROR((VLOOKUP(P204,Settings!$E$28:$F$33,2,FALSE)+1),1)</f>
        <v>4.5373616784896722</v>
      </c>
      <c r="AF204" s="56">
        <f>VLOOKUP(B204,'Player Data'!$A1:$AE667,20,FALSE)*$Q204</f>
        <v>53.325513428431201</v>
      </c>
      <c r="AG204" s="56">
        <f>VLOOKUP(B204,'Player Data'!$A1:$AE667,21,FALSE)*$Q204</f>
        <v>61.899387730252379</v>
      </c>
      <c r="AH204" s="58">
        <f>VLOOKUP(B204,'Player Data'!$A1:$AE667,22,FALSE)</f>
        <v>0.46279504596834697</v>
      </c>
      <c r="AI204" s="54"/>
      <c r="AJ204" s="56"/>
      <c r="AK204" s="56"/>
      <c r="AL204" s="56"/>
      <c r="AM204" s="56"/>
      <c r="AN204" s="56"/>
      <c r="AO204" s="56"/>
      <c r="AP204" s="56"/>
      <c r="AQ204" s="59"/>
      <c r="AR204" s="60"/>
      <c r="AS204" s="54"/>
    </row>
    <row r="205" spans="1:45" ht="21.25" customHeight="1" x14ac:dyDescent="0.15">
      <c r="A205" s="45">
        <f>RANK(K205,K$1:K$665)</f>
        <v>204</v>
      </c>
      <c r="B205" s="9" t="s">
        <v>330</v>
      </c>
      <c r="C205" s="46" t="s">
        <v>127</v>
      </c>
      <c r="D205" s="47" t="str">
        <f>VLOOKUP(B205,'Player Data'!A1:D667,4,FALSE)</f>
        <v>RW</v>
      </c>
      <c r="E205" s="61">
        <f>VLOOKUP(B205,RW!A1:F136,3,FALSE)</f>
        <v>53</v>
      </c>
      <c r="F205" s="80" t="str">
        <f>VLOOKUP(B205,'Player Data'!A1:B667,2,FALSE)</f>
        <v>PHI</v>
      </c>
      <c r="G205" s="69">
        <f>VLOOKUP(B205,'Player Data'!A1:D667,3,FALSE)</f>
        <v>19</v>
      </c>
      <c r="H205" s="50">
        <f>IFERROR(VLOOKUP(B205,ADP!A1:G665,7,FALSE)/1000000,VLOOKUP(B205,ADP!A1:G665,7,FALSE))</f>
        <v>0.95</v>
      </c>
      <c r="I205" s="51">
        <f>IF(Settings!$E$15="POINTS",((R205*Q205)*Settings!$B$12)+(S205*Settings!$B$2)+(T205*Settings!$B$3)+(U205*Settings!$B$4)+(V205*Settings!$B$5)+(X205*Settings!$B$9)+(AA205*Settings!$B$6)+(W205*Settings!$B$8)+(AB205*Settings!$B$7)+(AC205*Settings!$B$14)+(AD205*Settings!$B$15)+(AE205*Settings!$B$16)+(AF205*Settings!$B$17)+(AG205*Settings!$B$18)+(Y205*Settings!$B$10)+(Z205*Settings!$B$11),VLOOKUP(B205,'Standard Deviations'!A1:C666,3,FALSE))</f>
        <v>259.58408010013619</v>
      </c>
      <c r="J205" s="52">
        <f>IF(D205="G",I205/AJ205,I205/Q205)</f>
        <v>3.4155800013175814</v>
      </c>
      <c r="K205" s="51">
        <f>IF(Settings!$E$18="C/LW/RW",VLOOKUP(B205,RW!A1:F136,6,FALSE),VLOOKUP(B205,F!A1:F392,6,FALSE))</f>
        <v>-109.2636430061562</v>
      </c>
      <c r="L205" s="53">
        <f>IFERROR(K205/H205,"N/A")</f>
        <v>-115.01436105911179</v>
      </c>
      <c r="M205" s="54">
        <f>IF(Settings!$E$9="YAHOO",VLOOKUP(B205,ADP!A1:E665,2,FALSE),IF(Settings!$E$9="ESPN",VLOOKUP(B205,ADP!A1:E665,3,FALSE),IF(Settings!$E$9="FANTRAX",VLOOKUP(B205,ADP!A1:E665,4,FALSE),VLOOKUP(B205,ADP!A1:E665,5,FALSE))))</f>
        <v>164.4</v>
      </c>
      <c r="N205" s="54">
        <f>IFERROR(M205-A205,"N/A")</f>
        <v>-39.599999999999994</v>
      </c>
      <c r="O205" s="54"/>
      <c r="P205" s="55" t="str">
        <f>IF(Settings!$E$27="ON",VLOOKUP(B205,ADP!A1:H665,8,FALSE)," ")</f>
        <v xml:space="preserve"> </v>
      </c>
      <c r="Q205" s="56">
        <f>IF(Settings!$E$12="YES",VLOOKUP(B205,'Player Data'!A1:E667,5,FALSE),82)</f>
        <v>76</v>
      </c>
      <c r="R205" s="54">
        <f>VLOOKUP(B205,'Player Data'!$A1:$AE667,6,FALSE)</f>
        <v>16</v>
      </c>
      <c r="S205" s="56">
        <f>VLOOKUP(B205,'Player Data'!$A1:$AE667,7,FALSE)*$Q205*IFERROR((VLOOKUP(P205,Settings!$E$28:$F$33,2,FALSE)+1),1)</f>
        <v>21.570116226126551</v>
      </c>
      <c r="T205" s="56">
        <f>VLOOKUP(B205,'Player Data'!$A1:$AE667,8,FALSE)*$Q205*IFERROR((VLOOKUP(P205,Settings!$E$28:$F$33,2,FALSE)+1),1)</f>
        <v>28.338539338567021</v>
      </c>
      <c r="U205" s="56">
        <f>SUM(S205:T205)</f>
        <v>49.908655564693575</v>
      </c>
      <c r="V205" s="56">
        <f>VLOOKUP(B205,'Player Data'!$A1:$AE667,10,FALSE)*$Q205*IFERROR(((VLOOKUP(P205,Settings!$E$28:$F$33,2,FALSE)/2)+1),1)</f>
        <v>159.76979016523399</v>
      </c>
      <c r="W205" s="56">
        <f>VLOOKUP(B205,'Player Data'!$A1:$AE667,11,FALSE)*$Q205*IFERROR((VLOOKUP(P205,Settings!$E$28:$F$33,2,FALSE)+1),1)</f>
        <v>5.8240698317216966</v>
      </c>
      <c r="X205" s="78">
        <f>VLOOKUP(B205,'Player Data'!$A1:$AE667,12,FALSE)*$Q205*IFERROR((VLOOKUP(P205,Settings!$E$28:$F$33,2,FALSE)+1),1)</f>
        <v>13.475657347828708</v>
      </c>
      <c r="Y205" s="56">
        <f>VLOOKUP(B205,'Player Data'!$A1:$AE667,13,FALSE)*$Q205</f>
        <v>0</v>
      </c>
      <c r="Z205" s="56">
        <f>VLOOKUP(B205,'Player Data'!$A1:$AE667,14,FALSE)*$Q205</f>
        <v>0</v>
      </c>
      <c r="AA205" s="56">
        <f>VLOOKUP(B205,'Player Data'!$A1:$AE667,15,FALSE)*$Q205</f>
        <v>32.995121951219545</v>
      </c>
      <c r="AB205" s="56">
        <f>VLOOKUP(B205,'Player Data'!$A1:$AE667,16,FALSE)*$Q205</f>
        <v>89.915022648311762</v>
      </c>
      <c r="AC205" s="56">
        <f>VLOOKUP(B205,'Player Data'!$A1:$AE667,17,FALSE)*$Q205*IFERROR((VLOOKUP(P205,Settings!$E$28:$F$33,2,FALSE)+1),1)</f>
        <v>-2.3419587941019855</v>
      </c>
      <c r="AD205" s="56">
        <f>VLOOKUP(B205,'Player Data'!$A1:$AE667,18,FALSE)*$Q205</f>
        <v>30.709084277146307</v>
      </c>
      <c r="AE205" s="56">
        <f>VLOOKUP(B205,'Player Data'!$A1:$AE667,19,FALSE)*$Q205*IFERROR((VLOOKUP(P205,Settings!$E$28:$F$33,2,FALSE)+1),1)</f>
        <v>3.1265781444310523</v>
      </c>
      <c r="AF205" s="56">
        <f>VLOOKUP(B205,'Player Data'!$A1:$AE667,20,FALSE)*$Q205</f>
        <v>0</v>
      </c>
      <c r="AG205" s="56">
        <f>VLOOKUP(B205,'Player Data'!$A1:$AE667,21,FALSE)*$Q205</f>
        <v>0</v>
      </c>
      <c r="AH205" s="58">
        <f>VLOOKUP(B205,'Player Data'!$A1:$AE667,22,FALSE)</f>
        <v>0</v>
      </c>
      <c r="AI205" s="54"/>
      <c r="AJ205" s="64"/>
      <c r="AK205" s="56"/>
      <c r="AL205" s="56"/>
      <c r="AM205" s="56"/>
      <c r="AN205" s="56"/>
      <c r="AO205" s="56"/>
      <c r="AP205" s="56"/>
      <c r="AQ205" s="59"/>
      <c r="AR205" s="60"/>
      <c r="AS205" s="54"/>
    </row>
    <row r="206" spans="1:45" ht="21.25" customHeight="1" x14ac:dyDescent="0.15">
      <c r="A206" s="45">
        <f>RANK(K206,K$1:K$665)</f>
        <v>205</v>
      </c>
      <c r="B206" s="9" t="s">
        <v>331</v>
      </c>
      <c r="C206" s="46" t="s">
        <v>127</v>
      </c>
      <c r="D206" s="47" t="str">
        <f>VLOOKUP(B206,'Player Data'!A1:D667,4,FALSE)</f>
        <v>RW</v>
      </c>
      <c r="E206" s="61">
        <f>VLOOKUP(B206,RW!A1:F136,3,FALSE)</f>
        <v>54</v>
      </c>
      <c r="F206" s="65" t="str">
        <f>VLOOKUP(B206,'Player Data'!A1:B667,2,FALSE)</f>
        <v>WSH</v>
      </c>
      <c r="G206" s="63">
        <f>VLOOKUP(B206,'Player Data'!A1:D667,3,FALSE)</f>
        <v>30</v>
      </c>
      <c r="H206" s="50">
        <f>IFERROR(VLOOKUP(B206,ADP!A1:G665,7,FALSE)/1000000,VLOOKUP(B206,ADP!A1:G665,7,FALSE))</f>
        <v>6.5</v>
      </c>
      <c r="I206" s="51">
        <f>IF(Settings!$E$15="POINTS",((R206*Q206)*Settings!$B$12)+(S206*Settings!$B$2)+(T206*Settings!$B$3)+(U206*Settings!$B$4)+(V206*Settings!$B$5)+(X206*Settings!$B$9)+(AA206*Settings!$B$6)+(W206*Settings!$B$8)+(AB206*Settings!$B$7)+(AC206*Settings!$B$14)+(AD206*Settings!$B$15)+(AE206*Settings!$B$16)+(AF206*Settings!$B$17)+(AG206*Settings!$B$18)+(Y206*Settings!$B$10)+(Z206*Settings!$B$11),VLOOKUP(B206,'Standard Deviations'!A1:C666,3,FALSE))</f>
        <v>259.03871305727262</v>
      </c>
      <c r="J206" s="52">
        <f>IF(D206="G",I206/AJ206,I206/Q206)</f>
        <v>3.5256553548235412</v>
      </c>
      <c r="K206" s="51">
        <f>IF(Settings!$E$18="C/LW/RW",VLOOKUP(B206,RW!A1:F136,6,FALSE),VLOOKUP(B206,F!A1:F392,6,FALSE))</f>
        <v>-109.80901004901978</v>
      </c>
      <c r="L206" s="53">
        <f>IFERROR(K206/H206,"N/A")</f>
        <v>-16.89369385369535</v>
      </c>
      <c r="M206" s="54">
        <f>IF(Settings!$E$9="YAHOO",VLOOKUP(B206,ADP!A1:E665,2,FALSE),IF(Settings!$E$9="ESPN",VLOOKUP(B206,ADP!A1:E665,3,FALSE),IF(Settings!$E$9="FANTRAX",VLOOKUP(B206,ADP!A1:E665,4,FALSE),VLOOKUP(B206,ADP!A1:E665,5,FALSE))))</f>
        <v>181.5</v>
      </c>
      <c r="N206" s="54">
        <f>IFERROR(M206-A206,"N/A")</f>
        <v>-23.5</v>
      </c>
      <c r="O206" s="54"/>
      <c r="P206" s="55" t="str">
        <f>IF(Settings!$E$27="ON",VLOOKUP(B206,ADP!A1:H665,8,FALSE)," ")</f>
        <v xml:space="preserve"> </v>
      </c>
      <c r="Q206" s="56">
        <f>IF(Settings!$E$12="YES",VLOOKUP(B206,'Player Data'!A1:E667,5,FALSE),82)</f>
        <v>73.472499999999997</v>
      </c>
      <c r="R206" s="54">
        <f>VLOOKUP(B206,'Player Data'!$A1:$AE667,6,FALSE)</f>
        <v>18.394384338897801</v>
      </c>
      <c r="S206" s="56">
        <f>VLOOKUP(B206,'Player Data'!$A1:$AE667,7,FALSE)*$Q206*IFERROR((VLOOKUP(P206,Settings!$E$28:$F$33,2,FALSE)+1),1)</f>
        <v>21.276573060708241</v>
      </c>
      <c r="T206" s="56">
        <f>VLOOKUP(B206,'Player Data'!$A1:$AE667,8,FALSE)*$Q206*IFERROR((VLOOKUP(P206,Settings!$E$28:$F$33,2,FALSE)+1),1)</f>
        <v>21.855554089231106</v>
      </c>
      <c r="U206" s="56">
        <f>SUM(S206:T206)</f>
        <v>43.13212714993935</v>
      </c>
      <c r="V206" s="56">
        <f>VLOOKUP(B206,'Player Data'!$A1:$AE667,10,FALSE)*$Q206*IFERROR(((VLOOKUP(P206,Settings!$E$28:$F$33,2,FALSE)/2)+1),1)</f>
        <v>166.07676272543014</v>
      </c>
      <c r="W206" s="56">
        <f>VLOOKUP(B206,'Player Data'!$A1:$AE667,11,FALSE)*$Q206*IFERROR((VLOOKUP(P206,Settings!$E$28:$F$33,2,FALSE)+1),1)</f>
        <v>5.3743484078734749</v>
      </c>
      <c r="X206" s="78">
        <f>VLOOKUP(B206,'Player Data'!$A1:$AE667,12,FALSE)*$Q206*IFERROR((VLOOKUP(P206,Settings!$E$28:$F$33,2,FALSE)+1),1)</f>
        <v>11.032652721497566</v>
      </c>
      <c r="Y206" s="56">
        <f>VLOOKUP(B206,'Player Data'!$A1:$AE667,13,FALSE)*$Q206</f>
        <v>1.615332749097744</v>
      </c>
      <c r="Z206" s="56">
        <f>VLOOKUP(B206,'Player Data'!$A1:$AE667,14,FALSE)*$Q206</f>
        <v>1.9482748372189682</v>
      </c>
      <c r="AA206" s="56">
        <f>VLOOKUP(B206,'Player Data'!$A1:$AE667,15,FALSE)*$Q206</f>
        <v>67.246045372046069</v>
      </c>
      <c r="AB206" s="56">
        <f>VLOOKUP(B206,'Player Data'!$A1:$AE667,16,FALSE)*$Q206</f>
        <v>206.31850115282944</v>
      </c>
      <c r="AC206" s="56">
        <f>VLOOKUP(B206,'Player Data'!$A1:$AE667,17,FALSE)*$Q206*IFERROR((VLOOKUP(P206,Settings!$E$28:$F$33,2,FALSE)+1),1)</f>
        <v>-2.5906641315969328</v>
      </c>
      <c r="AD206" s="56">
        <f>VLOOKUP(B206,'Player Data'!$A1:$AE667,18,FALSE)*$Q206</f>
        <v>85.795231239331542</v>
      </c>
      <c r="AE206" s="56">
        <f>VLOOKUP(B206,'Player Data'!$A1:$AE667,19,FALSE)*$Q206*IFERROR((VLOOKUP(P206,Settings!$E$28:$F$33,2,FALSE)+1),1)</f>
        <v>3.0194124198843326</v>
      </c>
      <c r="AF206" s="56">
        <f>VLOOKUP(B206,'Player Data'!$A1:$AE667,20,FALSE)*$Q206</f>
        <v>21.486634959639122</v>
      </c>
      <c r="AG206" s="56">
        <f>VLOOKUP(B206,'Player Data'!$A1:$AE667,21,FALSE)*$Q206</f>
        <v>35.26016995734453</v>
      </c>
      <c r="AH206" s="58">
        <f>VLOOKUP(B206,'Player Data'!$A1:$AE667,22,FALSE)</f>
        <v>0.37864043607516701</v>
      </c>
      <c r="AI206" s="54"/>
      <c r="AJ206" s="56"/>
      <c r="AK206" s="56"/>
      <c r="AL206" s="56"/>
      <c r="AM206" s="56"/>
      <c r="AN206" s="56"/>
      <c r="AO206" s="56"/>
      <c r="AP206" s="56"/>
      <c r="AQ206" s="59"/>
      <c r="AR206" s="60"/>
      <c r="AS206" s="54"/>
    </row>
    <row r="207" spans="1:45" ht="21.25" customHeight="1" x14ac:dyDescent="0.15">
      <c r="A207" s="45">
        <f>RANK(K207,K$1:K$665)</f>
        <v>206</v>
      </c>
      <c r="B207" s="9" t="s">
        <v>332</v>
      </c>
      <c r="C207" s="46" t="s">
        <v>127</v>
      </c>
      <c r="D207" s="47" t="str">
        <f>VLOOKUP(B207,'Player Data'!A1:D667,4,FALSE)</f>
        <v>LW</v>
      </c>
      <c r="E207" s="70">
        <f>VLOOKUP(B207,LW!A1:C152,3,FALSE)</f>
        <v>54</v>
      </c>
      <c r="F207" s="55" t="str">
        <f>VLOOKUP(B207,'Player Data'!A1:B667,2,FALSE)</f>
        <v>COL</v>
      </c>
      <c r="G207" s="10">
        <f>VLOOKUP(B207,'Player Data'!A1:D667,3,FALSE)</f>
        <v>29</v>
      </c>
      <c r="H207" s="50">
        <f>IFERROR(VLOOKUP(B207,ADP!A1:G665,7,FALSE)/1000000,VLOOKUP(B207,ADP!A1:G665,7,FALSE))</f>
        <v>4.5</v>
      </c>
      <c r="I207" s="51">
        <f>IF(Settings!$E$15="POINTS",((R207*Q207)*Settings!$B$12)+(S207*Settings!$B$2)+(T207*Settings!$B$3)+(U207*Settings!$B$4)+(V207*Settings!$B$5)+(X207*Settings!$B$9)+(AA207*Settings!$B$6)+(W207*Settings!$B$8)+(AB207*Settings!$B$7)+(AC207*Settings!$B$14)+(AD207*Settings!$B$15)+(AE207*Settings!$B$16)+(AF207*Settings!$B$17)+(AG207*Settings!$B$18)+(Y207*Settings!$B$10)+(Z207*Settings!$B$11),VLOOKUP(B207,'Standard Deviations'!A1:C666,3,FALSE))</f>
        <v>271.105013269023</v>
      </c>
      <c r="J207" s="52">
        <f>IF(D207="G",I207/AJ207,I207/Q207)</f>
        <v>3.7555672833804055</v>
      </c>
      <c r="K207" s="51">
        <f>IF(Settings!$E$18="C/LW/RW",VLOOKUP(B207,LW!A1:F152,6,FALSE),VLOOKUP(B207,F!A1:F392,6,FALSE))</f>
        <v>-109.95649903347675</v>
      </c>
      <c r="L207" s="53">
        <f>IFERROR(K207/H207,"N/A")</f>
        <v>-24.434777562994832</v>
      </c>
      <c r="M207" s="54">
        <f>IF(Settings!$E$9="YAHOO",VLOOKUP(B207,ADP!A1:E665,2,FALSE),IF(Settings!$E$9="ESPN",VLOOKUP(B207,ADP!A1:E665,3,FALSE),IF(Settings!$E$9="FANTRAX",VLOOKUP(B207,ADP!A1:E665,4,FALSE),VLOOKUP(B207,ADP!A1:E665,5,FALSE))))</f>
        <v>168.6</v>
      </c>
      <c r="N207" s="54">
        <f>IFERROR(M207-A207,"N/A")</f>
        <v>-37.400000000000006</v>
      </c>
      <c r="O207" s="54"/>
      <c r="P207" s="55" t="str">
        <f>IF(Settings!$E$27="ON",VLOOKUP(B207,ADP!A1:H665,8,FALSE)," ")</f>
        <v>+</v>
      </c>
      <c r="Q207" s="56">
        <f>IF(Settings!$E$12="YES",VLOOKUP(B207,'Player Data'!A1:E667,5,FALSE),82)</f>
        <v>72.1875</v>
      </c>
      <c r="R207" s="54">
        <f>VLOOKUP(B207,'Player Data'!$A1:$AE667,6,FALSE)</f>
        <v>18.166850177896801</v>
      </c>
      <c r="S207" s="56">
        <f>VLOOKUP(B207,'Player Data'!$A1:$AE667,7,FALSE)*$Q207*IFERROR((VLOOKUP(P207,Settings!$E$28:$F$33,2,FALSE)+1),1)</f>
        <v>22.566205956568048</v>
      </c>
      <c r="T207" s="56">
        <f>VLOOKUP(B207,'Player Data'!$A1:$AE667,8,FALSE)*$Q207*IFERROR((VLOOKUP(P207,Settings!$E$28:$F$33,2,FALSE)+1),1)</f>
        <v>28.607035896632492</v>
      </c>
      <c r="U207" s="56">
        <f>SUM(S207:T207)</f>
        <v>51.173241853200537</v>
      </c>
      <c r="V207" s="56">
        <f>VLOOKUP(B207,'Player Data'!$A1:$AE667,10,FALSE)*$Q207*IFERROR(((VLOOKUP(P207,Settings!$E$28:$F$33,2,FALSE)/2)+1),1)</f>
        <v>167.65696254635873</v>
      </c>
      <c r="W207" s="56">
        <f>VLOOKUP(B207,'Player Data'!$A1:$AE667,11,FALSE)*$Q207*IFERROR((VLOOKUP(P207,Settings!$E$28:$F$33,2,FALSE)+1),1)</f>
        <v>7.1063748504857234</v>
      </c>
      <c r="X207" s="78">
        <f>VLOOKUP(B207,'Player Data'!$A1:$AE667,12,FALSE)*$Q207*IFERROR((VLOOKUP(P207,Settings!$E$28:$F$33,2,FALSE)+1),1)</f>
        <v>14.759747448933055</v>
      </c>
      <c r="Y207" s="56">
        <f>VLOOKUP(B207,'Player Data'!$A1:$AE667,13,FALSE)*$Q207</f>
        <v>0.70076860648838801</v>
      </c>
      <c r="Z207" s="56">
        <f>VLOOKUP(B207,'Player Data'!$A1:$AE667,14,FALSE)*$Q207</f>
        <v>0.78352441730749012</v>
      </c>
      <c r="AA207" s="56">
        <f>VLOOKUP(B207,'Player Data'!$A1:$AE667,15,FALSE)*$Q207</f>
        <v>36.427069140002956</v>
      </c>
      <c r="AB207" s="56">
        <f>VLOOKUP(B207,'Player Data'!$A1:$AE667,16,FALSE)*$Q207</f>
        <v>83.426105966440986</v>
      </c>
      <c r="AC207" s="56">
        <f>VLOOKUP(B207,'Player Data'!$A1:$AE667,17,FALSE)*$Q207*IFERROR((VLOOKUP(P207,Settings!$E$28:$F$33,2,FALSE)+1),1)</f>
        <v>4.8096270730646493</v>
      </c>
      <c r="AD207" s="56">
        <f>VLOOKUP(B207,'Player Data'!$A1:$AE667,18,FALSE)*$Q207</f>
        <v>29.017942796528718</v>
      </c>
      <c r="AE207" s="56">
        <f>VLOOKUP(B207,'Player Data'!$A1:$AE667,19,FALSE)*$Q207*IFERROR((VLOOKUP(P207,Settings!$E$28:$F$33,2,FALSE)+1),1)</f>
        <v>3.3716316045624883</v>
      </c>
      <c r="AF207" s="56">
        <f>VLOOKUP(B207,'Player Data'!$A1:$AE667,20,FALSE)*$Q207</f>
        <v>9.9862932745383013</v>
      </c>
      <c r="AG207" s="56">
        <f>VLOOKUP(B207,'Player Data'!$A1:$AE667,21,FALSE)*$Q207</f>
        <v>33.085612816328215</v>
      </c>
      <c r="AH207" s="58">
        <f>VLOOKUP(B207,'Player Data'!$A1:$AE667,22,FALSE)</f>
        <v>0.23185166807967</v>
      </c>
      <c r="AI207" s="54"/>
      <c r="AJ207" s="56"/>
      <c r="AK207" s="56"/>
      <c r="AL207" s="56"/>
      <c r="AM207" s="56"/>
      <c r="AN207" s="56"/>
      <c r="AO207" s="56"/>
      <c r="AP207" s="56"/>
      <c r="AQ207" s="59"/>
      <c r="AR207" s="60"/>
      <c r="AS207" s="54"/>
    </row>
    <row r="208" spans="1:45" ht="21.25" customHeight="1" x14ac:dyDescent="0.15">
      <c r="A208" s="45">
        <f>RANK(K208,K$1:K$665)</f>
        <v>207</v>
      </c>
      <c r="B208" s="9" t="s">
        <v>333</v>
      </c>
      <c r="C208" s="46" t="s">
        <v>127</v>
      </c>
      <c r="D208" s="47" t="str">
        <f>VLOOKUP(B208,'Player Data'!A1:D667,4,FALSE)</f>
        <v>C</v>
      </c>
      <c r="E208" s="48">
        <f>VLOOKUP(B208,'C'!A1:C206,3,FALSE)</f>
        <v>65</v>
      </c>
      <c r="F208" s="77" t="str">
        <f>VLOOKUP(B208,'Player Data'!A1:B667,2,FALSE)</f>
        <v>S.J</v>
      </c>
      <c r="G208" s="69">
        <f>VLOOKUP(B208,'Player Data'!A1:D667,3,FALSE)</f>
        <v>21</v>
      </c>
      <c r="H208" s="50">
        <f>IFERROR(VLOOKUP(B208,ADP!A1:G665,7,FALSE)/1000000,VLOOKUP(B208,ADP!A1:G665,7,FALSE))</f>
        <v>0.86333300000000002</v>
      </c>
      <c r="I208" s="51">
        <f>IF(Settings!$E$15="POINTS",((R208*Q208)*Settings!$B$12)+(S208*Settings!$B$2)+(T208*Settings!$B$3)+(U208*Settings!$B$4)+(V208*Settings!$B$5)+(X208*Settings!$B$9)+(AA208*Settings!$B$6)+(W208*Settings!$B$8)+(AB208*Settings!$B$7)+(AC208*Settings!$B$14)+(AD208*Settings!$B$15)+(AE208*Settings!$B$16)+(AF208*Settings!$B$17)+(AG208*Settings!$B$18)+(Y208*Settings!$B$10)+(Z208*Settings!$B$11),VLOOKUP(B208,'Standard Deviations'!A1:C666,3,FALSE))</f>
        <v>279.37967819043098</v>
      </c>
      <c r="J208" s="52">
        <f>IF(D208="G",I208/AJ208,I208/Q208)</f>
        <v>3.4988062390786601</v>
      </c>
      <c r="K208" s="51">
        <f>IF(Settings!$E$18="C/LW/RW",VLOOKUP(B208,'C'!A1:F206,6,FALSE),VLOOKUP(B208,F!A1:F392,6,FALSE))</f>
        <v>-110.55747958765011</v>
      </c>
      <c r="L208" s="53">
        <f>IFERROR(K208/H208,"N/A")</f>
        <v>-128.05890610882489</v>
      </c>
      <c r="M208" s="83" t="str">
        <f>IF(Settings!$E$9="YAHOO",VLOOKUP(B208,ADP!A1:E665,2,FALSE),IF(Settings!$E$9="ESPN",VLOOKUP(B208,ADP!A1:E665,3,FALSE),IF(Settings!$E$9="FANTRAX",VLOOKUP(B208,ADP!A1:E665,4,FALSE),VLOOKUP(B208,ADP!A1:E665,5,FALSE))))</f>
        <v>—</v>
      </c>
      <c r="N208" s="83" t="str">
        <f>IFERROR(M208-A208,"N/A")</f>
        <v>N/A</v>
      </c>
      <c r="O208" s="54"/>
      <c r="P208" s="55" t="str">
        <f>IF(Settings!$E$27="ON",VLOOKUP(B208,ADP!A1:H665,8,FALSE)," ")</f>
        <v xml:space="preserve"> </v>
      </c>
      <c r="Q208" s="56">
        <f>IF(Settings!$E$12="YES",VLOOKUP(B208,'Player Data'!A1:E667,5,FALSE),82)</f>
        <v>79.849999999999994</v>
      </c>
      <c r="R208" s="54">
        <f>VLOOKUP(B208,'Player Data'!$A1:$AE667,6,FALSE)</f>
        <v>17.812313981679701</v>
      </c>
      <c r="S208" s="56">
        <f>VLOOKUP(B208,'Player Data'!$A1:$AE667,7,FALSE)*$Q208*IFERROR((VLOOKUP(P208,Settings!$E$28:$F$33,2,FALSE)+1),1)</f>
        <v>20.407190556514323</v>
      </c>
      <c r="T208" s="56">
        <f>VLOOKUP(B208,'Player Data'!$A1:$AE667,8,FALSE)*$Q208*IFERROR((VLOOKUP(P208,Settings!$E$28:$F$33,2,FALSE)+1),1)</f>
        <v>32.523005079066927</v>
      </c>
      <c r="U208" s="56">
        <f>SUM(S208:T208)</f>
        <v>52.930195635581249</v>
      </c>
      <c r="V208" s="56">
        <f>VLOOKUP(B208,'Player Data'!$A1:$AE667,10,FALSE)*$Q208*IFERROR(((VLOOKUP(P208,Settings!$E$28:$F$33,2,FALSE)/2)+1),1)</f>
        <v>135.90590552188752</v>
      </c>
      <c r="W208" s="56">
        <f>VLOOKUP(B208,'Player Data'!$A1:$AE667,11,FALSE)*$Q208*IFERROR((VLOOKUP(P208,Settings!$E$28:$F$33,2,FALSE)+1),1)</f>
        <v>9.1422056088823833</v>
      </c>
      <c r="X208" s="57">
        <f>VLOOKUP(B208,'Player Data'!$A1:$AE667,12,FALSE)*$Q208*IFERROR((VLOOKUP(P208,Settings!$E$28:$F$33,2,FALSE)+1),1)</f>
        <v>20.753890905390012</v>
      </c>
      <c r="Y208" s="56">
        <f>VLOOKUP(B208,'Player Data'!$A1:$AE667,13,FALSE)*$Q208</f>
        <v>5.2017119633129896E-2</v>
      </c>
      <c r="Z208" s="56">
        <f>VLOOKUP(B208,'Player Data'!$A1:$AE667,14,FALSE)*$Q208</f>
        <v>0.31181272868014276</v>
      </c>
      <c r="AA208" s="56">
        <f>VLOOKUP(B208,'Player Data'!$A1:$AE667,15,FALSE)*$Q208</f>
        <v>63.140869777346708</v>
      </c>
      <c r="AB208" s="56">
        <f>VLOOKUP(B208,'Player Data'!$A1:$AE667,16,FALSE)*$Q208</f>
        <v>41.925606094453492</v>
      </c>
      <c r="AC208" s="56">
        <f>VLOOKUP(B208,'Player Data'!$A1:$AE667,17,FALSE)*$Q208*IFERROR((VLOOKUP(P208,Settings!$E$28:$F$33,2,FALSE)+1),1)</f>
        <v>-11.080754492199281</v>
      </c>
      <c r="AD208" s="56">
        <f>VLOOKUP(B208,'Player Data'!$A1:$AE667,18,FALSE)*$Q208</f>
        <v>33.366348535583349</v>
      </c>
      <c r="AE208" s="56">
        <f>VLOOKUP(B208,'Player Data'!$A1:$AE667,19,FALSE)*$Q208*IFERROR((VLOOKUP(P208,Settings!$E$28:$F$33,2,FALSE)+1),1)</f>
        <v>2.1796945725710506</v>
      </c>
      <c r="AF208" s="56">
        <f>VLOOKUP(B208,'Player Data'!$A1:$AE667,20,FALSE)*$Q208</f>
        <v>67.72886321993029</v>
      </c>
      <c r="AG208" s="56">
        <f>VLOOKUP(B208,'Player Data'!$A1:$AE667,21,FALSE)*$Q208</f>
        <v>145.67253689405391</v>
      </c>
      <c r="AH208" s="58">
        <f>VLOOKUP(B208,'Player Data'!$A1:$AE667,22,FALSE)</f>
        <v>0.317377782825015</v>
      </c>
      <c r="AI208" s="54"/>
      <c r="AJ208" s="56"/>
      <c r="AK208" s="56"/>
      <c r="AL208" s="56"/>
      <c r="AM208" s="56"/>
      <c r="AN208" s="56"/>
      <c r="AO208" s="56"/>
      <c r="AP208" s="56"/>
      <c r="AQ208" s="59"/>
      <c r="AR208" s="60"/>
      <c r="AS208" s="54"/>
    </row>
    <row r="209" spans="1:45" ht="21.25" customHeight="1" x14ac:dyDescent="0.15">
      <c r="A209" s="45">
        <f>RANK(K209,K$1:K$665)</f>
        <v>208</v>
      </c>
      <c r="B209" s="9" t="s">
        <v>334</v>
      </c>
      <c r="C209" s="46" t="s">
        <v>127</v>
      </c>
      <c r="D209" s="47" t="str">
        <f>VLOOKUP(B209,'Player Data'!A1:D667,4,FALSE)</f>
        <v>D</v>
      </c>
      <c r="E209" s="66">
        <f>VLOOKUP(B209,D!A1:C213,3,FALSE)</f>
        <v>59</v>
      </c>
      <c r="F209" s="82" t="str">
        <f>VLOOKUP(B209,'Player Data'!A1:B667,2,FALSE)</f>
        <v>ANA</v>
      </c>
      <c r="G209" s="69">
        <f>VLOOKUP(B209,'Player Data'!A1:D667,3,FALSE)</f>
        <v>20</v>
      </c>
      <c r="H209" s="50">
        <f>IFERROR(VLOOKUP(B209,ADP!A1:G665,7,FALSE)/1000000,VLOOKUP(B209,ADP!A1:G665,7,FALSE))</f>
        <v>0.91833299999999995</v>
      </c>
      <c r="I209" s="51">
        <f>IF(Settings!$E$15="POINTS",((R209*Q209)*Settings!$B$12)+(S209*Settings!$B$2)+(T209*Settings!$B$3)+(U209*Settings!$B$4)+(V209*Settings!$B$5)+(X209*Settings!$B$9)+(AA209*Settings!$B$6)+(W209*Settings!$B$8)+(AB209*Settings!$B$7)+(AC209*Settings!$B$14)+(AD209*Settings!$B$15)+(AE209*Settings!$B$16)+(AF209*Settings!$B$17)+(AG209*Settings!$B$18)+(U209*Settings!$B$13)+(Y209*Settings!$B$10)+(Z209*Settings!$B$11),VLOOKUP(B209,'Standard Deviations'!A1:C666,3,FALSE))</f>
        <v>225.50460880455981</v>
      </c>
      <c r="J209" s="52">
        <f>IF(D209="G",I209/AJ209,I209/Q209)</f>
        <v>3.041400078286598</v>
      </c>
      <c r="K209" s="51">
        <f>VLOOKUP(B209,D!A1:F213,6,FALSE)</f>
        <v>-110.7295162410351</v>
      </c>
      <c r="L209" s="53">
        <f>IFERROR(K209/H209,"N/A")</f>
        <v>-120.57664947359521</v>
      </c>
      <c r="M209" s="54">
        <f>IF(Settings!$E$9="YAHOO",VLOOKUP(B209,ADP!A1:E665,2,FALSE),IF(Settings!$E$9="ESPN",VLOOKUP(B209,ADP!A1:E665,3,FALSE),IF(Settings!$E$9="FANTRAX",VLOOKUP(B209,ADP!A1:E665,4,FALSE),VLOOKUP(B209,ADP!A1:E665,5,FALSE))))</f>
        <v>185.3</v>
      </c>
      <c r="N209" s="54">
        <f>IFERROR(M209-A209,"N/A")</f>
        <v>-22.699999999999989</v>
      </c>
      <c r="O209" s="54"/>
      <c r="P209" s="55" t="str">
        <f>IF(Settings!$E$27="ON",VLOOKUP(B209,ADP!A1:H665,8,FALSE)," ")</f>
        <v xml:space="preserve"> </v>
      </c>
      <c r="Q209" s="56">
        <f>IF(Settings!$E$12="YES",VLOOKUP(B209,'Player Data'!A1:E667,5,FALSE),82)</f>
        <v>74.144999999999996</v>
      </c>
      <c r="R209" s="75">
        <f>VLOOKUP(B209,'Player Data'!$A1:$AE667,6,FALSE)</f>
        <v>20.0660360824665</v>
      </c>
      <c r="S209" s="56">
        <f>VLOOKUP(B209,'Player Data'!$A1:$AE667,7,FALSE)*$Q209*IFERROR((VLOOKUP(P209,Settings!$E$28:$F$33,2,FALSE)+1),1)</f>
        <v>5.6075602475798778</v>
      </c>
      <c r="T209" s="56">
        <f>VLOOKUP(B209,'Player Data'!$A1:$AE667,8,FALSE)*$Q209*IFERROR((VLOOKUP(P209,Settings!$E$28:$F$33,2,FALSE)+1),1)</f>
        <v>31.387546817199251</v>
      </c>
      <c r="U209" s="56">
        <f>SUM(S209:T209)</f>
        <v>36.995107064779127</v>
      </c>
      <c r="V209" s="56">
        <f>VLOOKUP(B209,'Player Data'!$A1:$AE667,10,FALSE)*$Q209*IFERROR(((VLOOKUP(P209,Settings!$E$28:$F$33,2,FALSE)/2)+1),1)</f>
        <v>112.16296212082503</v>
      </c>
      <c r="W209" s="56">
        <f>VLOOKUP(B209,'Player Data'!$A1:$AE667,11,FALSE)*$Q209*IFERROR((VLOOKUP(P209,Settings!$E$28:$F$33,2,FALSE)+1),1)</f>
        <v>0.56394125434465348</v>
      </c>
      <c r="X209" s="78">
        <f>VLOOKUP(B209,'Player Data'!$A1:$AE667,12,FALSE)*$Q209*IFERROR((VLOOKUP(P209,Settings!$E$28:$F$33,2,FALSE)+1),1)</f>
        <v>12.109815900476507</v>
      </c>
      <c r="Y209" s="56">
        <f>VLOOKUP(B209,'Player Data'!$A1:$AE667,13,FALSE)*$Q209</f>
        <v>2.7241988615271873E-2</v>
      </c>
      <c r="Z209" s="56">
        <f>VLOOKUP(B209,'Player Data'!$A1:$AE667,14,FALSE)*$Q209</f>
        <v>0.62402879012636192</v>
      </c>
      <c r="AA209" s="56">
        <f>VLOOKUP(B209,'Player Data'!$A1:$AE667,15,FALSE)*$Q209</f>
        <v>91.407923718414011</v>
      </c>
      <c r="AB209" s="56">
        <f>VLOOKUP(B209,'Player Data'!$A1:$AE667,16,FALSE)*$Q209</f>
        <v>105.73004304286067</v>
      </c>
      <c r="AC209" s="56">
        <f>VLOOKUP(B209,'Player Data'!$A1:$AE667,17,FALSE)*$Q209*IFERROR((VLOOKUP(P209,Settings!$E$28:$F$33,2,FALSE)+1),1)</f>
        <v>-7.8230460742314447</v>
      </c>
      <c r="AD209" s="56">
        <f>VLOOKUP(B209,'Player Data'!$A1:$AE667,18,FALSE)*$Q209</f>
        <v>32.775438689976596</v>
      </c>
      <c r="AE209" s="56">
        <f>VLOOKUP(B209,'Player Data'!$A1:$AE667,19,FALSE)*$Q209*IFERROR((VLOOKUP(P209,Settings!$E$28:$F$33,2,FALSE)+1),1)</f>
        <v>0.65361469529938265</v>
      </c>
      <c r="AF209" s="56">
        <f>VLOOKUP(B209,'Player Data'!$A1:$AE667,20,FALSE)*$Q209</f>
        <v>0</v>
      </c>
      <c r="AG209" s="56">
        <f>VLOOKUP(B209,'Player Data'!$A1:$AE667,21,FALSE)*$Q209</f>
        <v>0</v>
      </c>
      <c r="AH209" s="58">
        <f>VLOOKUP(B209,'Player Data'!$A1:$AE667,22,FALSE)</f>
        <v>0</v>
      </c>
      <c r="AI209" s="54"/>
      <c r="AJ209" s="64"/>
      <c r="AK209" s="56"/>
      <c r="AL209" s="56"/>
      <c r="AM209" s="56"/>
      <c r="AN209" s="56"/>
      <c r="AO209" s="56"/>
      <c r="AP209" s="56"/>
      <c r="AQ209" s="59"/>
      <c r="AR209" s="60"/>
      <c r="AS209" s="54"/>
    </row>
    <row r="210" spans="1:45" ht="21.25" customHeight="1" x14ac:dyDescent="0.15">
      <c r="A210" s="45">
        <f>RANK(K210,K$1:K$665)</f>
        <v>209</v>
      </c>
      <c r="B210" s="9" t="s">
        <v>335</v>
      </c>
      <c r="C210" s="46" t="s">
        <v>127</v>
      </c>
      <c r="D210" s="47" t="str">
        <f>VLOOKUP(B210,'Player Data'!A1:D667,4,FALSE)</f>
        <v>C</v>
      </c>
      <c r="E210" s="48">
        <f>VLOOKUP(B210,'C'!A1:C206,3,FALSE)</f>
        <v>66</v>
      </c>
      <c r="F210" s="62" t="str">
        <f>VLOOKUP(B210,'Player Data'!A1:B667,2,FALSE)</f>
        <v>BOS</v>
      </c>
      <c r="G210" s="10">
        <f>VLOOKUP(B210,'Player Data'!A1:D667,3,FALSE)</f>
        <v>27</v>
      </c>
      <c r="H210" s="50">
        <f>IFERROR(VLOOKUP(B210,ADP!A1:G665,7,FALSE)/1000000,VLOOKUP(B210,ADP!A1:G665,7,FALSE))</f>
        <v>4.75</v>
      </c>
      <c r="I210" s="51">
        <f>IF(Settings!$E$15="POINTS",((R210*Q210)*Settings!$B$12)+(S210*Settings!$B$2)+(T210*Settings!$B$3)+(U210*Settings!$B$4)+(V210*Settings!$B$5)+(X210*Settings!$B$9)+(AA210*Settings!$B$6)+(W210*Settings!$B$8)+(AB210*Settings!$B$7)+(AC210*Settings!$B$14)+(AD210*Settings!$B$15)+(AE210*Settings!$B$16)+(AF210*Settings!$B$17)+(AG210*Settings!$B$18)+(Y210*Settings!$B$10)+(Z210*Settings!$B$11),VLOOKUP(B210,'Standard Deviations'!A1:C666,3,FALSE))</f>
        <v>278.81350096261497</v>
      </c>
      <c r="J210" s="52">
        <f>IF(D210="G",I210/AJ210,I210/Q210)</f>
        <v>3.4799488387745252</v>
      </c>
      <c r="K210" s="51">
        <f>IF(Settings!$E$18="C/LW/RW",VLOOKUP(B210,'C'!A1:F206,6,FALSE),VLOOKUP(B210,F!A1:F392,6,FALSE))</f>
        <v>-111.12365681546612</v>
      </c>
      <c r="L210" s="53">
        <f>IFERROR(K210/H210,"N/A")</f>
        <v>-23.394454066413921</v>
      </c>
      <c r="M210" s="83" t="str">
        <f>IF(Settings!$E$9="YAHOO",VLOOKUP(B210,ADP!A1:E665,2,FALSE),IF(Settings!$E$9="ESPN",VLOOKUP(B210,ADP!A1:E665,3,FALSE),IF(Settings!$E$9="FANTRAX",VLOOKUP(B210,ADP!A1:E665,4,FALSE),VLOOKUP(B210,ADP!A1:E665,5,FALSE))))</f>
        <v>—</v>
      </c>
      <c r="N210" s="83" t="str">
        <f>IFERROR(M210-A210,"N/A")</f>
        <v>N/A</v>
      </c>
      <c r="O210" s="54"/>
      <c r="P210" s="55" t="str">
        <f>IF(Settings!$E$27="ON",VLOOKUP(B210,ADP!A1:H665,8,FALSE)," ")</f>
        <v>-</v>
      </c>
      <c r="Q210" s="56">
        <f>IF(Settings!$E$12="YES",VLOOKUP(B210,'Player Data'!A1:E667,5,FALSE),82)</f>
        <v>80.12</v>
      </c>
      <c r="R210" s="54">
        <f>VLOOKUP(B210,'Player Data'!$A1:$AE667,6,FALSE)</f>
        <v>18.1736110587842</v>
      </c>
      <c r="S210" s="56">
        <f>VLOOKUP(B210,'Player Data'!$A1:$AE667,7,FALSE)*$Q210*IFERROR((VLOOKUP(P210,Settings!$E$28:$F$33,2,FALSE)+1),1)</f>
        <v>20.995613628228362</v>
      </c>
      <c r="T210" s="56">
        <f>VLOOKUP(B210,'Player Data'!$A1:$AE667,8,FALSE)*$Q210*IFERROR((VLOOKUP(P210,Settings!$E$28:$F$33,2,FALSE)+1),1)</f>
        <v>35.271404200236816</v>
      </c>
      <c r="U210" s="56">
        <f>SUM(S210:T210)</f>
        <v>56.267017828465178</v>
      </c>
      <c r="V210" s="56">
        <f>VLOOKUP(B210,'Player Data'!$A1:$AE667,10,FALSE)*$Q210*IFERROR(((VLOOKUP(P210,Settings!$E$28:$F$33,2,FALSE)/2)+1),1)</f>
        <v>157.67944911403848</v>
      </c>
      <c r="W210" s="56">
        <f>VLOOKUP(B210,'Player Data'!$A1:$AE667,11,FALSE)*$Q210*IFERROR((VLOOKUP(P210,Settings!$E$28:$F$33,2,FALSE)+1),1)</f>
        <v>5.8830413090033984</v>
      </c>
      <c r="X210" s="57">
        <f>VLOOKUP(B210,'Player Data'!$A1:$AE667,12,FALSE)*$Q210*IFERROR((VLOOKUP(P210,Settings!$E$28:$F$33,2,FALSE)+1),1)</f>
        <v>14.471400351569111</v>
      </c>
      <c r="Y210" s="56">
        <f>VLOOKUP(B210,'Player Data'!$A1:$AE667,13,FALSE)*$Q210</f>
        <v>0.12177114751873587</v>
      </c>
      <c r="Z210" s="56">
        <f>VLOOKUP(B210,'Player Data'!$A1:$AE667,14,FALSE)*$Q210</f>
        <v>0.51227502672847969</v>
      </c>
      <c r="AA210" s="56">
        <f>VLOOKUP(B210,'Player Data'!$A1:$AE667,15,FALSE)*$Q210</f>
        <v>32.378095083805214</v>
      </c>
      <c r="AB210" s="56">
        <f>VLOOKUP(B210,'Player Data'!$A1:$AE667,16,FALSE)*$Q210</f>
        <v>99.645336871455342</v>
      </c>
      <c r="AC210" s="56">
        <f>VLOOKUP(B210,'Player Data'!$A1:$AE667,17,FALSE)*$Q210*IFERROR((VLOOKUP(P210,Settings!$E$28:$F$33,2,FALSE)+1),1)</f>
        <v>3.1099476238907902</v>
      </c>
      <c r="AD210" s="56">
        <f>VLOOKUP(B210,'Player Data'!$A1:$AE667,18,FALSE)*$Q210</f>
        <v>23.812364772463841</v>
      </c>
      <c r="AE210" s="56">
        <f>VLOOKUP(B210,'Player Data'!$A1:$AE667,19,FALSE)*$Q210*IFERROR((VLOOKUP(P210,Settings!$E$28:$F$33,2,FALSE)+1),1)</f>
        <v>3.2701448836051505</v>
      </c>
      <c r="AF210" s="56">
        <f>VLOOKUP(B210,'Player Data'!$A1:$AE667,20,FALSE)*$Q210</f>
        <v>460.82195359228314</v>
      </c>
      <c r="AG210" s="56">
        <f>VLOOKUP(B210,'Player Data'!$A1:$AE667,21,FALSE)*$Q210</f>
        <v>451.29533222702275</v>
      </c>
      <c r="AH210" s="58">
        <f>VLOOKUP(B210,'Player Data'!$A1:$AE667,22,FALSE)</f>
        <v>0.50522225678285604</v>
      </c>
      <c r="AI210" s="54"/>
      <c r="AJ210" s="64"/>
      <c r="AK210" s="56"/>
      <c r="AL210" s="56"/>
      <c r="AM210" s="56"/>
      <c r="AN210" s="56"/>
      <c r="AO210" s="56"/>
      <c r="AP210" s="56"/>
      <c r="AQ210" s="59"/>
      <c r="AR210" s="60"/>
      <c r="AS210" s="54"/>
    </row>
    <row r="211" spans="1:45" ht="21.25" customHeight="1" x14ac:dyDescent="0.15">
      <c r="A211" s="45">
        <f>RANK(K211,K$1:K$665)</f>
        <v>210</v>
      </c>
      <c r="B211" s="9" t="s">
        <v>336</v>
      </c>
      <c r="C211" s="46" t="s">
        <v>127</v>
      </c>
      <c r="D211" s="47" t="str">
        <f>VLOOKUP(B211,'Player Data'!A1:D667,4,FALSE)</f>
        <v>C/RW</v>
      </c>
      <c r="E211" s="68">
        <f>VLOOKUP(B211,RW!A1:C136,3,FALSE)</f>
        <v>55</v>
      </c>
      <c r="F211" s="65" t="str">
        <f>VLOOKUP(B211,'Player Data'!A1:B667,2,FALSE)</f>
        <v>CGY</v>
      </c>
      <c r="G211" s="63">
        <f>VLOOKUP(B211,'Player Data'!A1:D667,3,FALSE)</f>
        <v>32</v>
      </c>
      <c r="H211" s="50">
        <f>IFERROR(VLOOKUP(B211,ADP!A1:G665,7,FALSE)/1000000,VLOOKUP(B211,ADP!A1:G665,7,FALSE))</f>
        <v>4.9000000000000004</v>
      </c>
      <c r="I211" s="51">
        <f>IF(Settings!$E$15="POINTS",((R211*Q211)*Settings!$B$12)+(S211*Settings!$B$2)+(T211*Settings!$B$3)+(U211*Settings!$B$4)+(V211*Settings!$B$5)+(X211*Settings!$B$9)+(AA211*Settings!$B$6)+(W211*Settings!$B$8)+(AB211*Settings!$B$7)+(AC211*Settings!$B$14)+(AD211*Settings!$B$15)+(AE211*Settings!$B$16)+(AF211*Settings!$B$17)+(AG211*Settings!$B$18)+(Y211*Settings!$B$10)+(Z211*Settings!$B$11),VLOOKUP(B211,'Standard Deviations'!A1:C666,3,FALSE))</f>
        <v>257.56503284482852</v>
      </c>
      <c r="J211" s="52">
        <f>IF(D211="G",I211/AJ211,I211/Q211)</f>
        <v>3.1712020788577755</v>
      </c>
      <c r="K211" s="51">
        <f>IF(Settings!$E$18="C/LW/RW",VLOOKUP(B211,RW!A1:F136,6,FALSE),VLOOKUP(B211,F!A1:F392,6,FALSE))</f>
        <v>-111.28269026146387</v>
      </c>
      <c r="L211" s="53">
        <f>IFERROR(K211/H211,"N/A")</f>
        <v>-22.710753114584463</v>
      </c>
      <c r="M211" s="54">
        <f>IF(Settings!$E$9="YAHOO",VLOOKUP(B211,ADP!A1:E665,2,FALSE),IF(Settings!$E$9="ESPN",VLOOKUP(B211,ADP!A1:E665,3,FALSE),IF(Settings!$E$9="FANTRAX",VLOOKUP(B211,ADP!A1:E665,4,FALSE),VLOOKUP(B211,ADP!A1:E665,5,FALSE))))</f>
        <v>148</v>
      </c>
      <c r="N211" s="54">
        <f>IFERROR(M211-A211,"N/A")</f>
        <v>-62</v>
      </c>
      <c r="O211" s="54"/>
      <c r="P211" s="55" t="str">
        <f>IF(Settings!$E$27="ON",VLOOKUP(B211,ADP!A1:H665,8,FALSE)," ")</f>
        <v xml:space="preserve"> </v>
      </c>
      <c r="Q211" s="56">
        <f>IF(Settings!$E$12="YES",VLOOKUP(B211,'Player Data'!A1:E667,5,FALSE),82)</f>
        <v>81.22</v>
      </c>
      <c r="R211" s="54">
        <f>VLOOKUP(B211,'Player Data'!$A1:$AE667,6,FALSE)</f>
        <v>16.6141993959899</v>
      </c>
      <c r="S211" s="56">
        <f>VLOOKUP(B211,'Player Data'!$A1:$AE667,7,FALSE)*$Q211*IFERROR((VLOOKUP(P211,Settings!$E$28:$F$33,2,FALSE)+1),1)</f>
        <v>21.586712903638269</v>
      </c>
      <c r="T211" s="56">
        <f>VLOOKUP(B211,'Player Data'!$A1:$AE667,8,FALSE)*$Q211*IFERROR((VLOOKUP(P211,Settings!$E$28:$F$33,2,FALSE)+1),1)</f>
        <v>20.913182834398178</v>
      </c>
      <c r="U211" s="56">
        <f>SUM(S211:T211)</f>
        <v>42.499895738036443</v>
      </c>
      <c r="V211" s="56">
        <f>VLOOKUP(B211,'Player Data'!$A1:$AE667,10,FALSE)*$Q211*IFERROR(((VLOOKUP(P211,Settings!$E$28:$F$33,2,FALSE)/2)+1),1)</f>
        <v>196.94939412072063</v>
      </c>
      <c r="W211" s="56">
        <f>VLOOKUP(B211,'Player Data'!$A1:$AE667,11,FALSE)*$Q211*IFERROR((VLOOKUP(P211,Settings!$E$28:$F$33,2,FALSE)+1),1)</f>
        <v>1.8061824473899926</v>
      </c>
      <c r="X211" s="56">
        <f>VLOOKUP(B211,'Player Data'!$A1:$AE667,12,FALSE)*$Q211*IFERROR((VLOOKUP(P211,Settings!$E$28:$F$33,2,FALSE)+1),1)</f>
        <v>2.5076058310785498</v>
      </c>
      <c r="Y211" s="56">
        <f>VLOOKUP(B211,'Player Data'!$A1:$AE667,13,FALSE)*$Q211</f>
        <v>2.0263049671906126</v>
      </c>
      <c r="Z211" s="56">
        <f>VLOOKUP(B211,'Player Data'!$A1:$AE667,14,FALSE)*$Q211</f>
        <v>3.1440065773996948</v>
      </c>
      <c r="AA211" s="56">
        <f>VLOOKUP(B211,'Player Data'!$A1:$AE667,15,FALSE)*$Q211</f>
        <v>51.878072323761195</v>
      </c>
      <c r="AB211" s="56">
        <f>VLOOKUP(B211,'Player Data'!$A1:$AE667,16,FALSE)*$Q211</f>
        <v>120.45162538549179</v>
      </c>
      <c r="AC211" s="56">
        <f>VLOOKUP(B211,'Player Data'!$A1:$AE667,17,FALSE)*$Q211*IFERROR((VLOOKUP(P211,Settings!$E$28:$F$33,2,FALSE)+1),1)</f>
        <v>-1.3929059462556868</v>
      </c>
      <c r="AD211" s="56">
        <f>VLOOKUP(B211,'Player Data'!$A1:$AE667,18,FALSE)*$Q211</f>
        <v>58.994598018311812</v>
      </c>
      <c r="AE211" s="56">
        <f>VLOOKUP(B211,'Player Data'!$A1:$AE667,19,FALSE)*$Q211*IFERROR((VLOOKUP(P211,Settings!$E$28:$F$33,2,FALSE)+1),1)</f>
        <v>3.1361992127167571</v>
      </c>
      <c r="AF211" s="56">
        <f>VLOOKUP(B211,'Player Data'!$A1:$AE667,20,FALSE)*$Q211</f>
        <v>22.68761687741021</v>
      </c>
      <c r="AG211" s="56">
        <f>VLOOKUP(B211,'Player Data'!$A1:$AE667,21,FALSE)*$Q211</f>
        <v>37.116542468831504</v>
      </c>
      <c r="AH211" s="58">
        <f>VLOOKUP(B211,'Player Data'!$A1:$AE667,22,FALSE)</f>
        <v>0.37936520010352698</v>
      </c>
      <c r="AI211" s="54"/>
      <c r="AJ211" s="56"/>
      <c r="AK211" s="56"/>
      <c r="AL211" s="56"/>
      <c r="AM211" s="56"/>
      <c r="AN211" s="56"/>
      <c r="AO211" s="56"/>
      <c r="AP211" s="56"/>
      <c r="AQ211" s="59"/>
      <c r="AR211" s="60"/>
      <c r="AS211" s="54"/>
    </row>
    <row r="212" spans="1:45" ht="21.25" customHeight="1" x14ac:dyDescent="0.15">
      <c r="A212" s="45">
        <f>RANK(K212,K$1:K$665)</f>
        <v>211</v>
      </c>
      <c r="B212" s="9" t="s">
        <v>337</v>
      </c>
      <c r="C212" s="46" t="s">
        <v>127</v>
      </c>
      <c r="D212" s="47" t="str">
        <f>VLOOKUP(B212,'Player Data'!A1:D667,4,FALSE)</f>
        <v>RW</v>
      </c>
      <c r="E212" s="61">
        <f>VLOOKUP(B212,RW!A1:F136,3,FALSE)</f>
        <v>56</v>
      </c>
      <c r="F212" s="62" t="str">
        <f>VLOOKUP(B212,'Player Data'!A1:B667,2,FALSE)</f>
        <v>SEA</v>
      </c>
      <c r="G212" s="10">
        <f>VLOOKUP(B212,'Player Data'!A1:D667,3,FALSE)</f>
        <v>29</v>
      </c>
      <c r="H212" s="50">
        <f>IFERROR(VLOOKUP(B212,ADP!A1:G665,7,FALSE)/1000000,VLOOKUP(B212,ADP!A1:G665,7,FALSE))</f>
        <v>5.4</v>
      </c>
      <c r="I212" s="51">
        <f>IF(Settings!$E$15="POINTS",((R212*Q212)*Settings!$B$12)+(S212*Settings!$B$2)+(T212*Settings!$B$3)+(U212*Settings!$B$4)+(V212*Settings!$B$5)+(X212*Settings!$B$9)+(AA212*Settings!$B$6)+(W212*Settings!$B$8)+(AB212*Settings!$B$7)+(AC212*Settings!$B$14)+(AD212*Settings!$B$15)+(AE212*Settings!$B$16)+(AF212*Settings!$B$17)+(AG212*Settings!$B$18)+(Y212*Settings!$B$10)+(Z212*Settings!$B$11),VLOOKUP(B212,'Standard Deviations'!A1:C666,3,FALSE))</f>
        <v>257.31362298924017</v>
      </c>
      <c r="J212" s="52">
        <f>IF(D212="G",I212/AJ212,I212/Q212)</f>
        <v>3.1497826971783236</v>
      </c>
      <c r="K212" s="51">
        <f>IF(Settings!$E$18="C/LW/RW",VLOOKUP(B212,RW!A1:F136,6,FALSE),VLOOKUP(B212,F!A1:F392,6,FALSE))</f>
        <v>-111.53410011705222</v>
      </c>
      <c r="L212" s="53">
        <f>IFERROR(K212/H212,"N/A")</f>
        <v>-20.654462984639299</v>
      </c>
      <c r="M212" s="54">
        <f>IF(Settings!$E$9="YAHOO",VLOOKUP(B212,ADP!A1:E665,2,FALSE),IF(Settings!$E$9="ESPN",VLOOKUP(B212,ADP!A1:E665,3,FALSE),IF(Settings!$E$9="FANTRAX",VLOOKUP(B212,ADP!A1:E665,4,FALSE),VLOOKUP(B212,ADP!A1:E665,5,FALSE))))</f>
        <v>168</v>
      </c>
      <c r="N212" s="54">
        <f>IFERROR(M212-A212,"N/A")</f>
        <v>-43</v>
      </c>
      <c r="O212" s="54"/>
      <c r="P212" s="55" t="str">
        <f>IF(Settings!$E$27="ON",VLOOKUP(B212,ADP!A1:H665,8,FALSE)," ")</f>
        <v xml:space="preserve"> </v>
      </c>
      <c r="Q212" s="56">
        <f>IF(Settings!$E$12="YES",VLOOKUP(B212,'Player Data'!A1:E667,5,FALSE),82)</f>
        <v>81.692499999999995</v>
      </c>
      <c r="R212" s="54">
        <f>VLOOKUP(B212,'Player Data'!$A1:$AE667,6,FALSE)</f>
        <v>15.371398630415401</v>
      </c>
      <c r="S212" s="56">
        <f>VLOOKUP(B212,'Player Data'!$A1:$AE667,7,FALSE)*$Q212*IFERROR((VLOOKUP(P212,Settings!$E$28:$F$33,2,FALSE)+1),1)</f>
        <v>18.3213738799354</v>
      </c>
      <c r="T212" s="56">
        <f>VLOOKUP(B212,'Player Data'!$A1:$AE667,8,FALSE)*$Q212*IFERROR((VLOOKUP(P212,Settings!$E$28:$F$33,2,FALSE)+1),1)</f>
        <v>28.182111773564422</v>
      </c>
      <c r="U212" s="56">
        <f>SUM(S212:T212)</f>
        <v>46.503485653499823</v>
      </c>
      <c r="V212" s="56">
        <f>VLOOKUP(B212,'Player Data'!$A1:$AE667,10,FALSE)*$Q212*IFERROR(((VLOOKUP(P212,Settings!$E$28:$F$33,2,FALSE)/2)+1),1)</f>
        <v>176.56408863061873</v>
      </c>
      <c r="W212" s="56">
        <f>VLOOKUP(B212,'Player Data'!$A1:$AE667,11,FALSE)*$Q212*IFERROR((VLOOKUP(P212,Settings!$E$28:$F$33,2,FALSE)+1),1)</f>
        <v>4.9904535678042352</v>
      </c>
      <c r="X212" s="56">
        <f>VLOOKUP(B212,'Player Data'!$A1:$AE667,12,FALSE)*$Q212*IFERROR((VLOOKUP(P212,Settings!$E$28:$F$33,2,FALSE)+1),1)</f>
        <v>13.669179433362403</v>
      </c>
      <c r="Y212" s="56">
        <f>VLOOKUP(B212,'Player Data'!$A1:$AE667,13,FALSE)*$Q212</f>
        <v>1.4878753138124652E-3</v>
      </c>
      <c r="Z212" s="56">
        <f>VLOOKUP(B212,'Player Data'!$A1:$AE667,14,FALSE)*$Q212</f>
        <v>2.5397804124892053E-3</v>
      </c>
      <c r="AA212" s="56">
        <f>VLOOKUP(B212,'Player Data'!$A1:$AE667,15,FALSE)*$Q212</f>
        <v>31.698804999312905</v>
      </c>
      <c r="AB212" s="56">
        <f>VLOOKUP(B212,'Player Data'!$A1:$AE667,16,FALSE)*$Q212</f>
        <v>68.179290159361102</v>
      </c>
      <c r="AC212" s="56">
        <f>VLOOKUP(B212,'Player Data'!$A1:$AE667,17,FALSE)*$Q212*IFERROR((VLOOKUP(P212,Settings!$E$28:$F$33,2,FALSE)+1),1)</f>
        <v>-1.0930647930406787</v>
      </c>
      <c r="AD212" s="56">
        <f>VLOOKUP(B212,'Player Data'!$A1:$AE667,18,FALSE)*$Q212</f>
        <v>17.02635262650087</v>
      </c>
      <c r="AE212" s="56">
        <f>VLOOKUP(B212,'Player Data'!$A1:$AE667,19,FALSE)*$Q212*IFERROR((VLOOKUP(P212,Settings!$E$28:$F$33,2,FALSE)+1),1)</f>
        <v>2.7820579504672307</v>
      </c>
      <c r="AF212" s="56">
        <f>VLOOKUP(B212,'Player Data'!$A1:$AE667,20,FALSE)*$Q212</f>
        <v>10.350042507699293</v>
      </c>
      <c r="AG212" s="56">
        <f>VLOOKUP(B212,'Player Data'!$A1:$AE667,21,FALSE)*$Q212</f>
        <v>19.578387356201986</v>
      </c>
      <c r="AH212" s="58">
        <f>VLOOKUP(B212,'Player Data'!$A1:$AE667,22,FALSE)</f>
        <v>0.34582644511475802</v>
      </c>
      <c r="AI212" s="54"/>
      <c r="AJ212" s="64"/>
      <c r="AK212" s="56"/>
      <c r="AL212" s="56"/>
      <c r="AM212" s="56"/>
      <c r="AN212" s="56"/>
      <c r="AO212" s="56"/>
      <c r="AP212" s="56"/>
      <c r="AQ212" s="59"/>
      <c r="AR212" s="60"/>
      <c r="AS212" s="54"/>
    </row>
    <row r="213" spans="1:45" ht="21.25" customHeight="1" x14ac:dyDescent="0.15">
      <c r="A213" s="45">
        <f>RANK(K213,K$1:K$665)</f>
        <v>212</v>
      </c>
      <c r="B213" s="9" t="s">
        <v>338</v>
      </c>
      <c r="C213" s="46" t="s">
        <v>127</v>
      </c>
      <c r="D213" s="47" t="str">
        <f>VLOOKUP(B213,'Player Data'!A1:D667,4,FALSE)</f>
        <v>RW</v>
      </c>
      <c r="E213" s="61">
        <f>VLOOKUP(B213,RW!A1:F136,3,FALSE)</f>
        <v>57</v>
      </c>
      <c r="F213" s="62" t="str">
        <f>VLOOKUP(B213,'Player Data'!A1:B667,2,FALSE)</f>
        <v>SEA</v>
      </c>
      <c r="G213" s="63">
        <f>VLOOKUP(B213,'Player Data'!A1:D667,3,FALSE)</f>
        <v>34</v>
      </c>
      <c r="H213" s="50">
        <f>IFERROR(VLOOKUP(B213,ADP!A1:G665,7,FALSE)/1000000,VLOOKUP(B213,ADP!A1:G665,7,FALSE))</f>
        <v>4.75</v>
      </c>
      <c r="I213" s="51">
        <f>IF(Settings!$E$15="POINTS",((R213*Q213)*Settings!$B$12)+(S213*Settings!$B$2)+(T213*Settings!$B$3)+(U213*Settings!$B$4)+(V213*Settings!$B$5)+(X213*Settings!$B$9)+(AA213*Settings!$B$6)+(W213*Settings!$B$8)+(AB213*Settings!$B$7)+(AC213*Settings!$B$14)+(AD213*Settings!$B$15)+(AE213*Settings!$B$16)+(AF213*Settings!$B$17)+(AG213*Settings!$B$18)+(Y213*Settings!$B$10)+(Z213*Settings!$B$11),VLOOKUP(B213,'Standard Deviations'!A1:C666,3,FALSE))</f>
        <v>257.24626844948506</v>
      </c>
      <c r="J213" s="52">
        <f>IF(D213="G",I213/AJ213,I213/Q213)</f>
        <v>3.1750958831089244</v>
      </c>
      <c r="K213" s="51">
        <f>IF(Settings!$E$18="C/LW/RW",VLOOKUP(B213,RW!A1:F136,6,FALSE),VLOOKUP(B213,F!A1:F392,6,FALSE))</f>
        <v>-111.60145465680733</v>
      </c>
      <c r="L213" s="53">
        <f>IFERROR(K213/H213,"N/A")</f>
        <v>-23.495043085643648</v>
      </c>
      <c r="M213" s="83" t="str">
        <f>IF(Settings!$E$9="YAHOO",VLOOKUP(B213,ADP!A1:E665,2,FALSE),IF(Settings!$E$9="ESPN",VLOOKUP(B213,ADP!A1:E665,3,FALSE),IF(Settings!$E$9="FANTRAX",VLOOKUP(B213,ADP!A1:E665,4,FALSE),VLOOKUP(B213,ADP!A1:E665,5,FALSE))))</f>
        <v>—</v>
      </c>
      <c r="N213" s="83" t="str">
        <f>IFERROR(M213-A213,"N/A")</f>
        <v>N/A</v>
      </c>
      <c r="O213" s="54"/>
      <c r="P213" s="55" t="str">
        <f>IF(Settings!$E$27="ON",VLOOKUP(B213,ADP!A1:H665,8,FALSE)," ")</f>
        <v xml:space="preserve"> </v>
      </c>
      <c r="Q213" s="56">
        <f>IF(Settings!$E$12="YES",VLOOKUP(B213,'Player Data'!A1:E667,5,FALSE),82)</f>
        <v>81.02</v>
      </c>
      <c r="R213" s="54">
        <f>VLOOKUP(B213,'Player Data'!$A1:$AE667,6,FALSE)</f>
        <v>17.230364625966899</v>
      </c>
      <c r="S213" s="56">
        <f>VLOOKUP(B213,'Player Data'!$A1:$AE667,7,FALSE)*$Q213*IFERROR((VLOOKUP(P213,Settings!$E$28:$F$33,2,FALSE)+1),1)</f>
        <v>17.797505056495936</v>
      </c>
      <c r="T213" s="56">
        <f>VLOOKUP(B213,'Player Data'!$A1:$AE667,8,FALSE)*$Q213*IFERROR((VLOOKUP(P213,Settings!$E$28:$F$33,2,FALSE)+1),1)</f>
        <v>31.34954401854257</v>
      </c>
      <c r="U213" s="56">
        <f>SUM(S213:T213)</f>
        <v>49.14704907503851</v>
      </c>
      <c r="V213" s="56">
        <f>VLOOKUP(B213,'Player Data'!$A1:$AE667,10,FALSE)*$Q213*IFERROR(((VLOOKUP(P213,Settings!$E$28:$F$33,2,FALSE)/2)+1),1)</f>
        <v>171.87612620687227</v>
      </c>
      <c r="W213" s="56">
        <f>VLOOKUP(B213,'Player Data'!$A1:$AE667,11,FALSE)*$Q213*IFERROR((VLOOKUP(P213,Settings!$E$28:$F$33,2,FALSE)+1),1)</f>
        <v>4.0940065986584511</v>
      </c>
      <c r="X213" s="78">
        <f>VLOOKUP(B213,'Player Data'!$A1:$AE667,12,FALSE)*$Q213*IFERROR((VLOOKUP(P213,Settings!$E$28:$F$33,2,FALSE)+1),1)</f>
        <v>10.373914246787809</v>
      </c>
      <c r="Y213" s="56">
        <f>VLOOKUP(B213,'Player Data'!$A1:$AE667,13,FALSE)*$Q213</f>
        <v>9.415925663900801E-3</v>
      </c>
      <c r="Z213" s="56">
        <f>VLOOKUP(B213,'Player Data'!$A1:$AE667,14,FALSE)*$Q213</f>
        <v>1.6387032504744395E-2</v>
      </c>
      <c r="AA213" s="56">
        <f>VLOOKUP(B213,'Player Data'!$A1:$AE667,15,FALSE)*$Q213</f>
        <v>26.953513683281656</v>
      </c>
      <c r="AB213" s="56">
        <f>VLOOKUP(B213,'Player Data'!$A1:$AE667,16,FALSE)*$Q213</f>
        <v>39.469234808406611</v>
      </c>
      <c r="AC213" s="56">
        <f>VLOOKUP(B213,'Player Data'!$A1:$AE667,17,FALSE)*$Q213*IFERROR((VLOOKUP(P213,Settings!$E$28:$F$33,2,FALSE)+1),1)</f>
        <v>1.3572365277803136</v>
      </c>
      <c r="AD213" s="56">
        <f>VLOOKUP(B213,'Player Data'!$A1:$AE667,18,FALSE)*$Q213</f>
        <v>24.966879426596297</v>
      </c>
      <c r="AE213" s="56">
        <f>VLOOKUP(B213,'Player Data'!$A1:$AE667,19,FALSE)*$Q213*IFERROR((VLOOKUP(P213,Settings!$E$28:$F$33,2,FALSE)+1),1)</f>
        <v>2.7025096897962491</v>
      </c>
      <c r="AF213" s="56">
        <f>VLOOKUP(B213,'Player Data'!$A1:$AE667,20,FALSE)*$Q213</f>
        <v>26.783815821432796</v>
      </c>
      <c r="AG213" s="56">
        <f>VLOOKUP(B213,'Player Data'!$A1:$AE667,21,FALSE)*$Q213</f>
        <v>40.312574531996695</v>
      </c>
      <c r="AH213" s="58">
        <f>VLOOKUP(B213,'Player Data'!$A1:$AE667,22,FALSE)</f>
        <v>0.39918415402601198</v>
      </c>
      <c r="AI213" s="54"/>
      <c r="AJ213" s="56"/>
      <c r="AK213" s="56"/>
      <c r="AL213" s="56"/>
      <c r="AM213" s="56"/>
      <c r="AN213" s="56"/>
      <c r="AO213" s="56"/>
      <c r="AP213" s="56"/>
      <c r="AQ213" s="59"/>
      <c r="AR213" s="60"/>
      <c r="AS213" s="54"/>
    </row>
    <row r="214" spans="1:45" ht="21.25" customHeight="1" x14ac:dyDescent="0.15">
      <c r="A214" s="45">
        <f>RANK(K214,K$1:K$665)</f>
        <v>213</v>
      </c>
      <c r="B214" s="9" t="s">
        <v>339</v>
      </c>
      <c r="C214" s="46" t="s">
        <v>127</v>
      </c>
      <c r="D214" s="47" t="str">
        <f>VLOOKUP(B214,'Player Data'!A1:D667,4,FALSE)</f>
        <v>D</v>
      </c>
      <c r="E214" s="66">
        <f>VLOOKUP(B214,D!A1:C213,3,FALSE)</f>
        <v>60</v>
      </c>
      <c r="F214" s="80" t="str">
        <f>VLOOKUP(B214,'Player Data'!A1:B667,2,FALSE)</f>
        <v>PHI</v>
      </c>
      <c r="G214" s="69">
        <f>VLOOKUP(B214,'Player Data'!A1:D667,3,FALSE)</f>
        <v>23</v>
      </c>
      <c r="H214" s="67">
        <f>IFERROR(VLOOKUP(B214,ADP!A1:G665,7,FALSE)/1000000,VLOOKUP(B214,ADP!A1:G665,7,FALSE))</f>
        <v>1.6</v>
      </c>
      <c r="I214" s="51">
        <f>IF(Settings!$E$15="POINTS",((R214*Q214)*Settings!$B$12)+(S214*Settings!$B$2)+(T214*Settings!$B$3)+(U214*Settings!$B$4)+(V214*Settings!$B$5)+(X214*Settings!$B$9)+(AA214*Settings!$B$6)+(W214*Settings!$B$8)+(AB214*Settings!$B$7)+(AC214*Settings!$B$14)+(AD214*Settings!$B$15)+(AE214*Settings!$B$16)+(AF214*Settings!$B$17)+(AG214*Settings!$B$18)+(U214*Settings!$B$13)+(Y214*Settings!$B$10)+(Z214*Settings!$B$11),VLOOKUP(B214,'Standard Deviations'!A1:C666,3,FALSE))</f>
        <v>224.15346724109918</v>
      </c>
      <c r="J214" s="52">
        <f>IF(D214="G",I214/AJ214,I214/Q214)</f>
        <v>3.0714369312290923</v>
      </c>
      <c r="K214" s="51">
        <f>VLOOKUP(B214,D!A1:F213,6,FALSE)</f>
        <v>-112.08065780449573</v>
      </c>
      <c r="L214" s="53">
        <f>IFERROR(K214/H214,"N/A")</f>
        <v>-70.050411127809824</v>
      </c>
      <c r="M214" s="83" t="str">
        <f>IF(Settings!$E$9="YAHOO",VLOOKUP(B214,ADP!A1:E665,2,FALSE),IF(Settings!$E$9="ESPN",VLOOKUP(B214,ADP!A1:E665,3,FALSE),IF(Settings!$E$9="FANTRAX",VLOOKUP(B214,ADP!A1:E665,4,FALSE),VLOOKUP(B214,ADP!A1:E665,5,FALSE))))</f>
        <v>—</v>
      </c>
      <c r="N214" s="83" t="str">
        <f>IFERROR(M214-A214,"N/A")</f>
        <v>N/A</v>
      </c>
      <c r="O214" s="54"/>
      <c r="P214" s="55" t="str">
        <f>IF(Settings!$E$27="ON",VLOOKUP(B214,ADP!A1:H665,8,FALSE)," ")</f>
        <v xml:space="preserve"> </v>
      </c>
      <c r="Q214" s="56">
        <f>IF(Settings!$E$12="YES",VLOOKUP(B214,'Player Data'!A1:E667,5,FALSE),82)</f>
        <v>72.98</v>
      </c>
      <c r="R214" s="54">
        <f>VLOOKUP(B214,'Player Data'!$A1:$AE667,6,FALSE)</f>
        <v>22.623683920650201</v>
      </c>
      <c r="S214" s="56">
        <f>VLOOKUP(B214,'Player Data'!$A1:$AE667,7,FALSE)*$Q214*IFERROR((VLOOKUP(P214,Settings!$E$28:$F$33,2,FALSE)+1),1)</f>
        <v>7.3168859728875857</v>
      </c>
      <c r="T214" s="56">
        <f>VLOOKUP(B214,'Player Data'!$A1:$AE667,8,FALSE)*$Q214*IFERROR((VLOOKUP(P214,Settings!$E$28:$F$33,2,FALSE)+1),1)</f>
        <v>22.38741863477285</v>
      </c>
      <c r="U214" s="56">
        <f>SUM(S214:T214)</f>
        <v>29.704304607660436</v>
      </c>
      <c r="V214" s="56">
        <f>VLOOKUP(B214,'Player Data'!$A1:$AE667,10,FALSE)*$Q214*IFERROR(((VLOOKUP(P214,Settings!$E$28:$F$33,2,FALSE)/2)+1),1)</f>
        <v>108.99977313124855</v>
      </c>
      <c r="W214" s="56">
        <f>VLOOKUP(B214,'Player Data'!$A1:$AE667,11,FALSE)*$Q214*IFERROR((VLOOKUP(P214,Settings!$E$28:$F$33,2,FALSE)+1),1)</f>
        <v>0.48033033922407159</v>
      </c>
      <c r="X214" s="56">
        <f>VLOOKUP(B214,'Player Data'!$A1:$AE667,12,FALSE)*$Q214*IFERROR((VLOOKUP(P214,Settings!$E$28:$F$33,2,FALSE)+1),1)</f>
        <v>6.5993422658277696</v>
      </c>
      <c r="Y214" s="56">
        <f>VLOOKUP(B214,'Player Data'!$A1:$AE667,13,FALSE)*$Q214</f>
        <v>3.9870918425118383E-2</v>
      </c>
      <c r="Z214" s="56">
        <f>VLOOKUP(B214,'Player Data'!$A1:$AE667,14,FALSE)*$Q214</f>
        <v>1.8325072822378872</v>
      </c>
      <c r="AA214" s="56">
        <f>VLOOKUP(B214,'Player Data'!$A1:$AE667,15,FALSE)*$Q214</f>
        <v>144.21763460885589</v>
      </c>
      <c r="AB214" s="56">
        <f>VLOOKUP(B214,'Player Data'!$A1:$AE667,16,FALSE)*$Q214</f>
        <v>75.692787362947101</v>
      </c>
      <c r="AC214" s="56">
        <f>VLOOKUP(B214,'Player Data'!$A1:$AE667,17,FALSE)*$Q214*IFERROR((VLOOKUP(P214,Settings!$E$28:$F$33,2,FALSE)+1),1)</f>
        <v>-3.2990966624432816</v>
      </c>
      <c r="AD214" s="56">
        <f>VLOOKUP(B214,'Player Data'!$A1:$AE667,18,FALSE)*$Q214</f>
        <v>35.283444237323565</v>
      </c>
      <c r="AE214" s="56">
        <f>VLOOKUP(B214,'Player Data'!$A1:$AE667,19,FALSE)*$Q214*IFERROR((VLOOKUP(P214,Settings!$E$28:$F$33,2,FALSE)+1),1)</f>
        <v>1.060579160923353</v>
      </c>
      <c r="AF214" s="56">
        <f>VLOOKUP(B214,'Player Data'!$A1:$AE667,20,FALSE)*$Q214</f>
        <v>0</v>
      </c>
      <c r="AG214" s="56">
        <f>VLOOKUP(B214,'Player Data'!$A1:$AE667,21,FALSE)*$Q214</f>
        <v>0</v>
      </c>
      <c r="AH214" s="58">
        <f>VLOOKUP(B214,'Player Data'!$A1:$AE667,22,FALSE)</f>
        <v>0</v>
      </c>
      <c r="AI214" s="54"/>
      <c r="AJ214" s="56"/>
      <c r="AK214" s="56"/>
      <c r="AL214" s="56"/>
      <c r="AM214" s="56"/>
      <c r="AN214" s="56"/>
      <c r="AO214" s="56"/>
      <c r="AP214" s="56"/>
      <c r="AQ214" s="59"/>
      <c r="AR214" s="60"/>
      <c r="AS214" s="54"/>
    </row>
    <row r="215" spans="1:45" ht="21.25" customHeight="1" x14ac:dyDescent="0.15">
      <c r="A215" s="45">
        <f>RANK(K215,K$1:K$665)</f>
        <v>214</v>
      </c>
      <c r="B215" s="9" t="s">
        <v>340</v>
      </c>
      <c r="C215" s="46" t="s">
        <v>127</v>
      </c>
      <c r="D215" s="47" t="str">
        <f>VLOOKUP(B215,'Player Data'!A1:D667,4,FALSE)</f>
        <v>D</v>
      </c>
      <c r="E215" s="66">
        <f>VLOOKUP(B215,D!A1:C213,3,FALSE)</f>
        <v>61</v>
      </c>
      <c r="F215" s="55" t="str">
        <f>VLOOKUP(B215,'Player Data'!A1:B667,2,FALSE)</f>
        <v>DAL</v>
      </c>
      <c r="G215" s="10">
        <f>VLOOKUP(B215,'Player Data'!A1:D667,3,FALSE)</f>
        <v>30</v>
      </c>
      <c r="H215" s="67">
        <f>IFERROR(VLOOKUP(B215,ADP!A1:G665,7,FALSE)/1000000,VLOOKUP(B215,ADP!A1:G665,7,FALSE))</f>
        <v>5.8</v>
      </c>
      <c r="I215" s="51">
        <f>IF(Settings!$E$15="POINTS",((R215*Q215)*Settings!$B$12)+(S215*Settings!$B$2)+(T215*Settings!$B$3)+(U215*Settings!$B$4)+(V215*Settings!$B$5)+(X215*Settings!$B$9)+(AA215*Settings!$B$6)+(W215*Settings!$B$8)+(AB215*Settings!$B$7)+(AC215*Settings!$B$14)+(AD215*Settings!$B$15)+(AE215*Settings!$B$16)+(AF215*Settings!$B$17)+(AG215*Settings!$B$18)+(U215*Settings!$B$13)+(Y215*Settings!$B$10)+(Z215*Settings!$B$11),VLOOKUP(B215,'Standard Deviations'!A1:C666,3,FALSE))</f>
        <v>223.64287816506956</v>
      </c>
      <c r="J215" s="52">
        <f>IF(D215="G",I215/AJ215,I215/Q215)</f>
        <v>2.7464433030218536</v>
      </c>
      <c r="K215" s="51">
        <f>VLOOKUP(B215,D!A1:F213,6,FALSE)</f>
        <v>-112.59124688052535</v>
      </c>
      <c r="L215" s="53">
        <f>IFERROR(K215/H215,"N/A")</f>
        <v>-19.412283944918165</v>
      </c>
      <c r="M215" s="83" t="str">
        <f>IF(Settings!$E$9="YAHOO",VLOOKUP(B215,ADP!A1:E665,2,FALSE),IF(Settings!$E$9="ESPN",VLOOKUP(B215,ADP!A1:E665,3,FALSE),IF(Settings!$E$9="FANTRAX",VLOOKUP(B215,ADP!A1:E665,4,FALSE),VLOOKUP(B215,ADP!A1:E665,5,FALSE))))</f>
        <v>—</v>
      </c>
      <c r="N215" s="83" t="str">
        <f>IFERROR(M215-A215,"N/A")</f>
        <v>N/A</v>
      </c>
      <c r="O215" s="54"/>
      <c r="P215" s="55" t="str">
        <f>IF(Settings!$E$27="ON",VLOOKUP(B215,ADP!A1:H665,8,FALSE)," ")</f>
        <v xml:space="preserve"> </v>
      </c>
      <c r="Q215" s="56">
        <f>IF(Settings!$E$12="YES",VLOOKUP(B215,'Player Data'!A1:E667,5,FALSE),82)</f>
        <v>81.430000000000007</v>
      </c>
      <c r="R215" s="75">
        <f>VLOOKUP(B215,'Player Data'!$A1:$AE667,6,FALSE)</f>
        <v>21.511232863109999</v>
      </c>
      <c r="S215" s="56">
        <f>VLOOKUP(B215,'Player Data'!$A1:$AE667,7,FALSE)*$Q215*IFERROR((VLOOKUP(P215,Settings!$E$28:$F$33,2,FALSE)+1),1)</f>
        <v>6.0484417150200009</v>
      </c>
      <c r="T215" s="56">
        <f>VLOOKUP(B215,'Player Data'!$A1:$AE667,8,FALSE)*$Q215*IFERROR((VLOOKUP(P215,Settings!$E$28:$F$33,2,FALSE)+1),1)</f>
        <v>20.425907189189694</v>
      </c>
      <c r="U215" s="56">
        <f>SUM(S215:T215)</f>
        <v>26.474348904209695</v>
      </c>
      <c r="V215" s="56">
        <f>VLOOKUP(B215,'Player Data'!$A1:$AE667,10,FALSE)*$Q215*IFERROR(((VLOOKUP(P215,Settings!$E$28:$F$33,2,FALSE)/2)+1),1)</f>
        <v>120.69425406642726</v>
      </c>
      <c r="W215" s="56">
        <f>VLOOKUP(B215,'Player Data'!$A1:$AE667,11,FALSE)*$Q215*IFERROR((VLOOKUP(P215,Settings!$E$28:$F$33,2,FALSE)+1),1)</f>
        <v>3.6574510284444091E-2</v>
      </c>
      <c r="X215" s="56">
        <f>VLOOKUP(B215,'Player Data'!$A1:$AE667,12,FALSE)*$Q215*IFERROR((VLOOKUP(P215,Settings!$E$28:$F$33,2,FALSE)+1),1)</f>
        <v>0.40830271673204699</v>
      </c>
      <c r="Y215" s="56">
        <f>VLOOKUP(B215,'Player Data'!$A1:$AE667,13,FALSE)*$Q215</f>
        <v>0.20769222715084484</v>
      </c>
      <c r="Z215" s="56">
        <f>VLOOKUP(B215,'Player Data'!$A1:$AE667,14,FALSE)*$Q215</f>
        <v>1.7979056446270634</v>
      </c>
      <c r="AA215" s="56">
        <f>VLOOKUP(B215,'Player Data'!$A1:$AE667,15,FALSE)*$Q215</f>
        <v>163.33299211573546</v>
      </c>
      <c r="AB215" s="56">
        <f>VLOOKUP(B215,'Player Data'!$A1:$AE667,16,FALSE)*$Q215</f>
        <v>89.466461512172643</v>
      </c>
      <c r="AC215" s="56">
        <f>VLOOKUP(B215,'Player Data'!$A1:$AE667,17,FALSE)*$Q215*IFERROR((VLOOKUP(P215,Settings!$E$28:$F$33,2,FALSE)+1),1)</f>
        <v>5.302970266617975</v>
      </c>
      <c r="AD215" s="56">
        <f>VLOOKUP(B215,'Player Data'!$A1:$AE667,18,FALSE)*$Q215</f>
        <v>17.482672672613287</v>
      </c>
      <c r="AE215" s="56">
        <f>VLOOKUP(B215,'Player Data'!$A1:$AE667,19,FALSE)*$Q215*IFERROR((VLOOKUP(P215,Settings!$E$28:$F$33,2,FALSE)+1),1)</f>
        <v>0.96725901942502557</v>
      </c>
      <c r="AF215" s="56">
        <f>VLOOKUP(B215,'Player Data'!$A1:$AE667,20,FALSE)*$Q215</f>
        <v>0</v>
      </c>
      <c r="AG215" s="56">
        <f>VLOOKUP(B215,'Player Data'!$A1:$AE667,21,FALSE)*$Q215</f>
        <v>0.15281175449451198</v>
      </c>
      <c r="AH215" s="58">
        <f>VLOOKUP(B215,'Player Data'!$A1:$AE667,22,FALSE)</f>
        <v>0</v>
      </c>
      <c r="AI215" s="54"/>
      <c r="AJ215" s="56"/>
      <c r="AK215" s="56"/>
      <c r="AL215" s="56"/>
      <c r="AM215" s="56"/>
      <c r="AN215" s="56"/>
      <c r="AO215" s="56"/>
      <c r="AP215" s="56"/>
      <c r="AQ215" s="59"/>
      <c r="AR215" s="60"/>
      <c r="AS215" s="54"/>
    </row>
    <row r="216" spans="1:45" ht="21.25" customHeight="1" x14ac:dyDescent="0.15">
      <c r="A216" s="45">
        <f>RANK(K216,K$1:K$665)</f>
        <v>215</v>
      </c>
      <c r="B216" s="9" t="s">
        <v>341</v>
      </c>
      <c r="C216" s="46" t="s">
        <v>127</v>
      </c>
      <c r="D216" s="47" t="str">
        <f>VLOOKUP(B216,'Player Data'!A1:D667,4,FALSE)</f>
        <v>D</v>
      </c>
      <c r="E216" s="66">
        <f>VLOOKUP(B216,D!A1:C213,3,FALSE)</f>
        <v>62</v>
      </c>
      <c r="F216" s="72" t="str">
        <f>VLOOKUP(B216,'Player Data'!A1:B667,2,FALSE)</f>
        <v>MIN</v>
      </c>
      <c r="G216" s="63">
        <f>VLOOKUP(B216,'Player Data'!A1:D667,3,FALSE)</f>
        <v>31</v>
      </c>
      <c r="H216" s="50">
        <f>IFERROR(VLOOKUP(B216,ADP!A1:G665,7,FALSE)/1000000,VLOOKUP(B216,ADP!A1:G665,7,FALSE))</f>
        <v>6</v>
      </c>
      <c r="I216" s="51">
        <f>IF(Settings!$E$15="POINTS",((R216*Q216)*Settings!$B$12)+(S216*Settings!$B$2)+(T216*Settings!$B$3)+(U216*Settings!$B$4)+(V216*Settings!$B$5)+(X216*Settings!$B$9)+(AA216*Settings!$B$6)+(W216*Settings!$B$8)+(AB216*Settings!$B$7)+(AC216*Settings!$B$14)+(AD216*Settings!$B$15)+(AE216*Settings!$B$16)+(AF216*Settings!$B$17)+(AG216*Settings!$B$18)+(U216*Settings!$B$13)+(Y216*Settings!$B$10)+(Z216*Settings!$B$11),VLOOKUP(B216,'Standard Deviations'!A1:C666,3,FALSE))</f>
        <v>220.63349403032484</v>
      </c>
      <c r="J216" s="52">
        <f>IF(D216="G",I216/AJ216,I216/Q216)</f>
        <v>2.9593386631389555</v>
      </c>
      <c r="K216" s="51">
        <f>VLOOKUP(B216,D!A1:F213,6,FALSE)</f>
        <v>-115.60063101527007</v>
      </c>
      <c r="L216" s="53">
        <f>IFERROR(K216/H216,"N/A")</f>
        <v>-19.266771835878345</v>
      </c>
      <c r="M216" s="83" t="str">
        <f>IF(Settings!$E$9="YAHOO",VLOOKUP(B216,ADP!A1:E665,2,FALSE),IF(Settings!$E$9="ESPN",VLOOKUP(B216,ADP!A1:E665,3,FALSE),IF(Settings!$E$9="FANTRAX",VLOOKUP(B216,ADP!A1:E665,4,FALSE),VLOOKUP(B216,ADP!A1:E665,5,FALSE))))</f>
        <v>—</v>
      </c>
      <c r="N216" s="83" t="str">
        <f>IFERROR(M216-A216,"N/A")</f>
        <v>N/A</v>
      </c>
      <c r="O216" s="54"/>
      <c r="P216" s="55" t="str">
        <f>IF(Settings!$E$27="ON",VLOOKUP(B216,ADP!A1:H665,8,FALSE)," ")</f>
        <v xml:space="preserve"> </v>
      </c>
      <c r="Q216" s="56">
        <f>IF(Settings!$E$12="YES",VLOOKUP(B216,'Player Data'!A1:E667,5,FALSE),82)</f>
        <v>74.555000000000007</v>
      </c>
      <c r="R216" s="54">
        <f>VLOOKUP(B216,'Player Data'!$A1:$AE667,6,FALSE)</f>
        <v>22.5354675386987</v>
      </c>
      <c r="S216" s="56">
        <f>VLOOKUP(B216,'Player Data'!$A1:$AE667,7,FALSE)*$Q216*IFERROR((VLOOKUP(P216,Settings!$E$28:$F$33,2,FALSE)+1),1)</f>
        <v>5.8069285597173312</v>
      </c>
      <c r="T216" s="56">
        <f>VLOOKUP(B216,'Player Data'!$A1:$AE667,8,FALSE)*$Q216*IFERROR((VLOOKUP(P216,Settings!$E$28:$F$33,2,FALSE)+1),1)</f>
        <v>20.381660682313278</v>
      </c>
      <c r="U216" s="56">
        <f>SUM(S216:T216)</f>
        <v>26.188589242030609</v>
      </c>
      <c r="V216" s="56">
        <f>VLOOKUP(B216,'Player Data'!$A1:$AE667,10,FALSE)*$Q216*IFERROR(((VLOOKUP(P216,Settings!$E$28:$F$33,2,FALSE)/2)+1),1)</f>
        <v>127.10545841759382</v>
      </c>
      <c r="W216" s="56">
        <f>VLOOKUP(B216,'Player Data'!$A1:$AE667,11,FALSE)*$Q216*IFERROR((VLOOKUP(P216,Settings!$E$28:$F$33,2,FALSE)+1),1)</f>
        <v>0.13829982488467002</v>
      </c>
      <c r="X216" s="56">
        <f>VLOOKUP(B216,'Player Data'!$A1:$AE667,12,FALSE)*$Q216*IFERROR((VLOOKUP(P216,Settings!$E$28:$F$33,2,FALSE)+1),1)</f>
        <v>1.1288583220153787</v>
      </c>
      <c r="Y216" s="56">
        <f>VLOOKUP(B216,'Player Data'!$A1:$AE667,13,FALSE)*$Q216</f>
        <v>2.465550031743341E-2</v>
      </c>
      <c r="Z216" s="56">
        <f>VLOOKUP(B216,'Player Data'!$A1:$AE667,14,FALSE)*$Q216</f>
        <v>0.71645188324632991</v>
      </c>
      <c r="AA216" s="56">
        <f>VLOOKUP(B216,'Player Data'!$A1:$AE667,15,FALSE)*$Q216</f>
        <v>153.33937378034884</v>
      </c>
      <c r="AB216" s="56">
        <f>VLOOKUP(B216,'Player Data'!$A1:$AE667,16,FALSE)*$Q216</f>
        <v>45.068834086206245</v>
      </c>
      <c r="AC216" s="56">
        <f>VLOOKUP(B216,'Player Data'!$A1:$AE667,17,FALSE)*$Q216*IFERROR((VLOOKUP(P216,Settings!$E$28:$F$33,2,FALSE)+1),1)</f>
        <v>2.2459905763463861</v>
      </c>
      <c r="AD216" s="56">
        <f>VLOOKUP(B216,'Player Data'!$A1:$AE667,18,FALSE)*$Q216</f>
        <v>26.987462847228475</v>
      </c>
      <c r="AE216" s="56">
        <f>VLOOKUP(B216,'Player Data'!$A1:$AE667,19,FALSE)*$Q216*IFERROR((VLOOKUP(P216,Settings!$E$28:$F$33,2,FALSE)+1),1)</f>
        <v>0.95860269746129212</v>
      </c>
      <c r="AF216" s="56">
        <f>VLOOKUP(B216,'Player Data'!$A1:$AE667,20,FALSE)*$Q216</f>
        <v>0</v>
      </c>
      <c r="AG216" s="56">
        <f>VLOOKUP(B216,'Player Data'!$A1:$AE667,21,FALSE)*$Q216</f>
        <v>0</v>
      </c>
      <c r="AH216" s="58">
        <f>VLOOKUP(B216,'Player Data'!$A1:$AE667,22,FALSE)</f>
        <v>0</v>
      </c>
      <c r="AI216" s="54"/>
      <c r="AJ216" s="56"/>
      <c r="AK216" s="56"/>
      <c r="AL216" s="56"/>
      <c r="AM216" s="56"/>
      <c r="AN216" s="56"/>
      <c r="AO216" s="56"/>
      <c r="AP216" s="56"/>
      <c r="AQ216" s="59"/>
      <c r="AR216" s="60"/>
      <c r="AS216" s="54"/>
    </row>
    <row r="217" spans="1:45" ht="21.25" customHeight="1" x14ac:dyDescent="0.15">
      <c r="A217" s="45">
        <f>RANK(K217,K$1:K$665)</f>
        <v>216</v>
      </c>
      <c r="B217" s="9" t="s">
        <v>342</v>
      </c>
      <c r="C217" s="46" t="s">
        <v>127</v>
      </c>
      <c r="D217" s="47" t="str">
        <f>VLOOKUP(B217,'Player Data'!A1:D667,4,FALSE)</f>
        <v>LW/RW</v>
      </c>
      <c r="E217" s="68">
        <f>VLOOKUP(B217,RW!A1:C136,3,FALSE)</f>
        <v>58</v>
      </c>
      <c r="F217" s="65" t="str">
        <f>VLOOKUP(B217,'Player Data'!A1:B667,2,FALSE)</f>
        <v>DET</v>
      </c>
      <c r="G217" s="63">
        <f>VLOOKUP(B217,'Player Data'!A1:D667,3,FALSE)</f>
        <v>32</v>
      </c>
      <c r="H217" s="50">
        <f>IFERROR(VLOOKUP(B217,ADP!A1:G665,7,FALSE)/1000000,VLOOKUP(B217,ADP!A1:G665,7,FALSE))</f>
        <v>4.75</v>
      </c>
      <c r="I217" s="51">
        <f>IF(Settings!$E$15="POINTS",((R217*Q217)*Settings!$B$12)+(S217*Settings!$B$2)+(T217*Settings!$B$3)+(U217*Settings!$B$4)+(V217*Settings!$B$5)+(X217*Settings!$B$9)+(AA217*Settings!$B$6)+(W217*Settings!$B$8)+(AB217*Settings!$B$7)+(AC217*Settings!$B$14)+(AD217*Settings!$B$15)+(AE217*Settings!$B$16)+(AF217*Settings!$B$17)+(AG217*Settings!$B$18)+(Y217*Settings!$B$10)+(Z217*Settings!$B$11),VLOOKUP(B217,'Standard Deviations'!A1:C666,3,FALSE))</f>
        <v>252.2596411316369</v>
      </c>
      <c r="J217" s="52">
        <f>IF(D217="G",I217/AJ217,I217/Q217)</f>
        <v>3.2144199436989824</v>
      </c>
      <c r="K217" s="51">
        <f>IF(Settings!$E$18="C/LW/RW",VLOOKUP(B217,RW!A1:F136,6,FALSE),VLOOKUP(B217,F!A1:F392,6,FALSE))</f>
        <v>-116.58808197465549</v>
      </c>
      <c r="L217" s="53">
        <f>IFERROR(K217/H217,"N/A")</f>
        <v>-24.544859363085369</v>
      </c>
      <c r="M217" s="54">
        <f>IF(Settings!$E$9="YAHOO",VLOOKUP(B217,ADP!A1:E665,2,FALSE),IF(Settings!$E$9="ESPN",VLOOKUP(B217,ADP!A1:E665,3,FALSE),IF(Settings!$E$9="FANTRAX",VLOOKUP(B217,ADP!A1:E665,4,FALSE),VLOOKUP(B217,ADP!A1:E665,5,FALSE))))</f>
        <v>175.3</v>
      </c>
      <c r="N217" s="54">
        <f>IFERROR(M217-A217,"N/A")</f>
        <v>-40.699999999999989</v>
      </c>
      <c r="O217" s="54"/>
      <c r="P217" s="55" t="str">
        <f>IF(Settings!$E$27="ON",VLOOKUP(B217,ADP!A1:H665,8,FALSE)," ")</f>
        <v xml:space="preserve"> </v>
      </c>
      <c r="Q217" s="56">
        <f>IF(Settings!$E$12="YES",VLOOKUP(B217,'Player Data'!A1:E667,5,FALSE),82)</f>
        <v>78.477500000000006</v>
      </c>
      <c r="R217" s="54">
        <f>VLOOKUP(B217,'Player Data'!$A1:$AE667,6,FALSE)</f>
        <v>14.8372563780273</v>
      </c>
      <c r="S217" s="56">
        <f>VLOOKUP(B217,'Player Data'!$A1:$AE667,7,FALSE)*$Q217*IFERROR((VLOOKUP(P217,Settings!$E$28:$F$33,2,FALSE)+1),1)</f>
        <v>18.872714838810058</v>
      </c>
      <c r="T217" s="56">
        <f>VLOOKUP(B217,'Player Data'!$A1:$AE667,8,FALSE)*$Q217*IFERROR((VLOOKUP(P217,Settings!$E$28:$F$33,2,FALSE)+1),1)</f>
        <v>29.025134310624207</v>
      </c>
      <c r="U217" s="56">
        <f>SUM(S217:T217)</f>
        <v>47.897849149434265</v>
      </c>
      <c r="V217" s="56">
        <f>VLOOKUP(B217,'Player Data'!$A1:$AE667,10,FALSE)*$Q217*IFERROR(((VLOOKUP(P217,Settings!$E$28:$F$33,2,FALSE)/2)+1),1)</f>
        <v>159.49966798613775</v>
      </c>
      <c r="W217" s="56">
        <f>VLOOKUP(B217,'Player Data'!$A1:$AE667,11,FALSE)*$Q217*IFERROR((VLOOKUP(P217,Settings!$E$28:$F$33,2,FALSE)+1),1)</f>
        <v>2.7591282751339978</v>
      </c>
      <c r="X217" s="56">
        <f>VLOOKUP(B217,'Player Data'!$A1:$AE667,12,FALSE)*$Q217*IFERROR((VLOOKUP(P217,Settings!$E$28:$F$33,2,FALSE)+1),1)</f>
        <v>9.8797581710529627</v>
      </c>
      <c r="Y217" s="56">
        <f>VLOOKUP(B217,'Player Data'!$A1:$AE667,13,FALSE)*$Q217</f>
        <v>3.479680846551782E-3</v>
      </c>
      <c r="Z217" s="56">
        <f>VLOOKUP(B217,'Player Data'!$A1:$AE667,14,FALSE)*$Q217</f>
        <v>5.9694733764573326E-3</v>
      </c>
      <c r="AA217" s="56">
        <f>VLOOKUP(B217,'Player Data'!$A1:$AE667,15,FALSE)*$Q217</f>
        <v>37.861064091671544</v>
      </c>
      <c r="AB217" s="56">
        <f>VLOOKUP(B217,'Player Data'!$A1:$AE667,16,FALSE)*$Q217</f>
        <v>82.347909803984635</v>
      </c>
      <c r="AC217" s="56">
        <f>VLOOKUP(B217,'Player Data'!$A1:$AE667,17,FALSE)*$Q217*IFERROR((VLOOKUP(P217,Settings!$E$28:$F$33,2,FALSE)+1),1)</f>
        <v>0.37871086022625894</v>
      </c>
      <c r="AD217" s="56">
        <f>VLOOKUP(B217,'Player Data'!$A1:$AE667,18,FALSE)*$Q217</f>
        <v>17.099065767517118</v>
      </c>
      <c r="AE217" s="56">
        <f>VLOOKUP(B217,'Player Data'!$A1:$AE667,19,FALSE)*$Q217*IFERROR((VLOOKUP(P217,Settings!$E$28:$F$33,2,FALSE)+1),1)</f>
        <v>2.5920289541216475</v>
      </c>
      <c r="AF217" s="56">
        <f>VLOOKUP(B217,'Player Data'!$A1:$AE667,20,FALSE)*$Q217</f>
        <v>2.1855280120250953</v>
      </c>
      <c r="AG217" s="56">
        <f>VLOOKUP(B217,'Player Data'!$A1:$AE667,21,FALSE)*$Q217</f>
        <v>4.4592925156242842</v>
      </c>
      <c r="AH217" s="58">
        <f>VLOOKUP(B217,'Player Data'!$A1:$AE667,22,FALSE)</f>
        <v>0.32890700402381401</v>
      </c>
      <c r="AI217" s="54"/>
      <c r="AJ217" s="56"/>
      <c r="AK217" s="56"/>
      <c r="AL217" s="56"/>
      <c r="AM217" s="56"/>
      <c r="AN217" s="56"/>
      <c r="AO217" s="56"/>
      <c r="AP217" s="56"/>
      <c r="AQ217" s="59"/>
      <c r="AR217" s="60"/>
      <c r="AS217" s="54"/>
    </row>
    <row r="218" spans="1:45" ht="21.25" customHeight="1" x14ac:dyDescent="0.15">
      <c r="A218" s="45">
        <f>RANK(K218,K$1:K$665)</f>
        <v>217</v>
      </c>
      <c r="B218" s="9" t="s">
        <v>343</v>
      </c>
      <c r="C218" s="46" t="s">
        <v>127</v>
      </c>
      <c r="D218" s="47" t="str">
        <f>VLOOKUP(B218,'Player Data'!A1:D667,4,FALSE)</f>
        <v>D</v>
      </c>
      <c r="E218" s="66">
        <f>VLOOKUP(B218,D!A1:C213,3,FALSE)</f>
        <v>63</v>
      </c>
      <c r="F218" s="72" t="str">
        <f>VLOOKUP(B218,'Player Data'!A1:B667,2,FALSE)</f>
        <v>MIN</v>
      </c>
      <c r="G218" s="63">
        <f>VLOOKUP(B218,'Player Data'!A1:D667,3,FALSE)</f>
        <v>34</v>
      </c>
      <c r="H218" s="50">
        <f>IFERROR(VLOOKUP(B218,ADP!A1:G665,7,FALSE)/1000000,VLOOKUP(B218,ADP!A1:G665,7,FALSE))</f>
        <v>7.5750000000000002</v>
      </c>
      <c r="I218" s="51">
        <f>IF(Settings!$E$15="POINTS",((R218*Q218)*Settings!$B$12)+(S218*Settings!$B$2)+(T218*Settings!$B$3)+(U218*Settings!$B$4)+(V218*Settings!$B$5)+(X218*Settings!$B$9)+(AA218*Settings!$B$6)+(W218*Settings!$B$8)+(AB218*Settings!$B$7)+(AC218*Settings!$B$14)+(AD218*Settings!$B$15)+(AE218*Settings!$B$16)+(AF218*Settings!$B$17)+(AG218*Settings!$B$18)+(U218*Settings!$B$13)+(Y218*Settings!$B$10)+(Z218*Settings!$B$11),VLOOKUP(B218,'Standard Deviations'!A1:C666,3,FALSE))</f>
        <v>218.88210912905944</v>
      </c>
      <c r="J218" s="52">
        <f>IF(D218="G",I218/AJ218,I218/Q218)</f>
        <v>3.209297447000615</v>
      </c>
      <c r="K218" s="51">
        <f>VLOOKUP(B218,D!A1:F213,6,FALSE)</f>
        <v>-117.35201591653546</v>
      </c>
      <c r="L218" s="53">
        <f>IFERROR(K218/H218,"N/A")</f>
        <v>-15.492015302512932</v>
      </c>
      <c r="M218" s="83" t="str">
        <f>IF(Settings!$E$9="YAHOO",VLOOKUP(B218,ADP!A1:E665,2,FALSE),IF(Settings!$E$9="ESPN",VLOOKUP(B218,ADP!A1:E665,3,FALSE),IF(Settings!$E$9="FANTRAX",VLOOKUP(B218,ADP!A1:E665,4,FALSE),VLOOKUP(B218,ADP!A1:E665,5,FALSE))))</f>
        <v>—</v>
      </c>
      <c r="N218" s="83" t="str">
        <f>IFERROR(M218-A218,"N/A")</f>
        <v>N/A</v>
      </c>
      <c r="O218" s="54"/>
      <c r="P218" s="55" t="str">
        <f>IF(Settings!$E$27="ON",VLOOKUP(B218,ADP!A1:H665,8,FALSE)," ")</f>
        <v xml:space="preserve"> </v>
      </c>
      <c r="Q218" s="56">
        <f>IF(Settings!$E$12="YES",VLOOKUP(B218,'Player Data'!A1:E667,5,FALSE),82)</f>
        <v>68.202500000000001</v>
      </c>
      <c r="R218" s="81">
        <f>VLOOKUP(B218,'Player Data'!$A1:$AE667,6,FALSE)</f>
        <v>21.845176869972398</v>
      </c>
      <c r="S218" s="56">
        <f>VLOOKUP(B218,'Player Data'!$A1:$AE667,7,FALSE)*$Q218*IFERROR((VLOOKUP(P218,Settings!$E$28:$F$33,2,FALSE)+1),1)</f>
        <v>7.3518434595082418</v>
      </c>
      <c r="T218" s="56">
        <f>VLOOKUP(B218,'Player Data'!$A1:$AE667,8,FALSE)*$Q218*IFERROR((VLOOKUP(P218,Settings!$E$28:$F$33,2,FALSE)+1),1)</f>
        <v>22.60869127004683</v>
      </c>
      <c r="U218" s="56">
        <f>SUM(S218:T218)</f>
        <v>29.960534729555071</v>
      </c>
      <c r="V218" s="56">
        <f>VLOOKUP(B218,'Player Data'!$A1:$AE667,10,FALSE)*$Q218*IFERROR(((VLOOKUP(P218,Settings!$E$28:$F$33,2,FALSE)/2)+1),1)</f>
        <v>114.61809420809037</v>
      </c>
      <c r="W218" s="56">
        <f>VLOOKUP(B218,'Player Data'!$A1:$AE667,11,FALSE)*$Q218*IFERROR((VLOOKUP(P218,Settings!$E$28:$F$33,2,FALSE)+1),1)</f>
        <v>0.53655006672644745</v>
      </c>
      <c r="X218" s="56">
        <f>VLOOKUP(B218,'Player Data'!$A1:$AE667,12,FALSE)*$Q218*IFERROR((VLOOKUP(P218,Settings!$E$28:$F$33,2,FALSE)+1),1)</f>
        <v>7.7084443148048978</v>
      </c>
      <c r="Y218" s="56">
        <f>VLOOKUP(B218,'Player Data'!$A1:$AE667,13,FALSE)*$Q218</f>
        <v>2.994508187167922E-2</v>
      </c>
      <c r="Z218" s="56">
        <f>VLOOKUP(B218,'Player Data'!$A1:$AE667,14,FALSE)*$Q218</f>
        <v>0.41356287604393149</v>
      </c>
      <c r="AA218" s="56">
        <f>VLOOKUP(B218,'Player Data'!$A1:$AE667,15,FALSE)*$Q218</f>
        <v>127.13890129100051</v>
      </c>
      <c r="AB218" s="56">
        <f>VLOOKUP(B218,'Player Data'!$A1:$AE667,16,FALSE)*$Q218</f>
        <v>68.982543468072592</v>
      </c>
      <c r="AC218" s="56">
        <f>VLOOKUP(B218,'Player Data'!$A1:$AE667,17,FALSE)*$Q218*IFERROR((VLOOKUP(P218,Settings!$E$28:$F$33,2,FALSE)+1),1)</f>
        <v>2.3367970286147544</v>
      </c>
      <c r="AD218" s="56">
        <f>VLOOKUP(B218,'Player Data'!$A1:$AE667,18,FALSE)*$Q218</f>
        <v>16.845266479514716</v>
      </c>
      <c r="AE218" s="56">
        <f>VLOOKUP(B218,'Player Data'!$A1:$AE667,19,FALSE)*$Q218*IFERROR((VLOOKUP(P218,Settings!$E$28:$F$33,2,FALSE)+1),1)</f>
        <v>1.2136359004803747</v>
      </c>
      <c r="AF218" s="56">
        <f>VLOOKUP(B218,'Player Data'!$A1:$AE667,20,FALSE)*$Q218</f>
        <v>0</v>
      </c>
      <c r="AG218" s="56">
        <f>VLOOKUP(B218,'Player Data'!$A1:$AE667,21,FALSE)*$Q218</f>
        <v>0</v>
      </c>
      <c r="AH218" s="58">
        <f>VLOOKUP(B218,'Player Data'!$A1:$AE667,22,FALSE)</f>
        <v>0</v>
      </c>
      <c r="AI218" s="54"/>
      <c r="AJ218" s="64"/>
      <c r="AK218" s="56"/>
      <c r="AL218" s="56"/>
      <c r="AM218" s="56"/>
      <c r="AN218" s="56"/>
      <c r="AO218" s="56"/>
      <c r="AP218" s="56"/>
      <c r="AQ218" s="59"/>
      <c r="AR218" s="60"/>
      <c r="AS218" s="54"/>
    </row>
    <row r="219" spans="1:45" ht="21.25" customHeight="1" x14ac:dyDescent="0.15">
      <c r="A219" s="45">
        <f>RANK(K219,K$1:K$665)</f>
        <v>218</v>
      </c>
      <c r="B219" s="9" t="s">
        <v>344</v>
      </c>
      <c r="C219" s="46" t="s">
        <v>127</v>
      </c>
      <c r="D219" s="47" t="str">
        <f>VLOOKUP(B219,'Player Data'!A1:D667,4,FALSE)</f>
        <v>D</v>
      </c>
      <c r="E219" s="66">
        <f>VLOOKUP(B219,D!A1:C213,3,FALSE)</f>
        <v>64</v>
      </c>
      <c r="F219" s="82" t="str">
        <f>VLOOKUP(B219,'Player Data'!A1:B667,2,FALSE)</f>
        <v>ANA</v>
      </c>
      <c r="G219" s="63">
        <f>VLOOKUP(B219,'Player Data'!A1:D667,3,FALSE)</f>
        <v>32</v>
      </c>
      <c r="H219" s="50">
        <f>IFERROR(VLOOKUP(B219,ADP!A1:G665,7,FALSE)/1000000,VLOOKUP(B219,ADP!A1:G665,7,FALSE))</f>
        <v>6.5</v>
      </c>
      <c r="I219" s="51">
        <f>IF(Settings!$E$15="POINTS",((R219*Q219)*Settings!$B$12)+(S219*Settings!$B$2)+(T219*Settings!$B$3)+(U219*Settings!$B$4)+(V219*Settings!$B$5)+(X219*Settings!$B$9)+(AA219*Settings!$B$6)+(W219*Settings!$B$8)+(AB219*Settings!$B$7)+(AC219*Settings!$B$14)+(AD219*Settings!$B$15)+(AE219*Settings!$B$16)+(AF219*Settings!$B$17)+(AG219*Settings!$B$18)+(U219*Settings!$B$13)+(Y219*Settings!$B$10)+(Z219*Settings!$B$11),VLOOKUP(B219,'Standard Deviations'!A1:C666,3,FALSE))</f>
        <v>217.68186399077999</v>
      </c>
      <c r="J219" s="52">
        <f>IF(D219="G",I219/AJ219,I219/Q219)</f>
        <v>2.6790789697643764</v>
      </c>
      <c r="K219" s="51">
        <f>VLOOKUP(B219,D!A1:F213,6,FALSE)</f>
        <v>-118.55226105481492</v>
      </c>
      <c r="L219" s="53">
        <f>IFERROR(K219/H219,"N/A")</f>
        <v>-18.238809393048449</v>
      </c>
      <c r="M219" s="83" t="str">
        <f>IF(Settings!$E$9="YAHOO",VLOOKUP(B219,ADP!A1:E665,2,FALSE),IF(Settings!$E$9="ESPN",VLOOKUP(B219,ADP!A1:E665,3,FALSE),IF(Settings!$E$9="FANTRAX",VLOOKUP(B219,ADP!A1:E665,4,FALSE),VLOOKUP(B219,ADP!A1:E665,5,FALSE))))</f>
        <v>—</v>
      </c>
      <c r="N219" s="83" t="str">
        <f>IFERROR(M219-A219,"N/A")</f>
        <v>N/A</v>
      </c>
      <c r="O219" s="54"/>
      <c r="P219" s="55" t="str">
        <f>IF(Settings!$E$27="ON",VLOOKUP(B219,ADP!A1:H665,8,FALSE)," ")</f>
        <v xml:space="preserve"> </v>
      </c>
      <c r="Q219" s="56">
        <f>IF(Settings!$E$12="YES",VLOOKUP(B219,'Player Data'!A1:E667,5,FALSE),82)</f>
        <v>81.252499999999998</v>
      </c>
      <c r="R219" s="81">
        <f>VLOOKUP(B219,'Player Data'!$A1:$AE667,6,FALSE)</f>
        <v>21.9859543660843</v>
      </c>
      <c r="S219" s="56">
        <f>VLOOKUP(B219,'Player Data'!$A1:$AE667,7,FALSE)*$Q219*IFERROR((VLOOKUP(P219,Settings!$E$28:$F$33,2,FALSE)+1),1)</f>
        <v>5.6151596522042944</v>
      </c>
      <c r="T219" s="56">
        <f>VLOOKUP(B219,'Player Data'!$A1:$AE667,8,FALSE)*$Q219*IFERROR((VLOOKUP(P219,Settings!$E$28:$F$33,2,FALSE)+1),1)</f>
        <v>27.935040245742428</v>
      </c>
      <c r="U219" s="56">
        <f>SUM(S219:T219)</f>
        <v>33.550199897946726</v>
      </c>
      <c r="V219" s="56">
        <f>VLOOKUP(B219,'Player Data'!$A1:$AE667,10,FALSE)*$Q219*IFERROR(((VLOOKUP(P219,Settings!$E$28:$F$33,2,FALSE)/2)+1),1)</f>
        <v>100.07333886256023</v>
      </c>
      <c r="W219" s="56">
        <f>VLOOKUP(B219,'Player Data'!$A1:$AE667,11,FALSE)*$Q219*IFERROR((VLOOKUP(P219,Settings!$E$28:$F$33,2,FALSE)+1),1)</f>
        <v>1.8707278094400264</v>
      </c>
      <c r="X219" s="56">
        <f>VLOOKUP(B219,'Player Data'!$A1:$AE667,12,FALSE)*$Q219*IFERROR((VLOOKUP(P219,Settings!$E$28:$F$33,2,FALSE)+1),1)</f>
        <v>9.5953397300889165</v>
      </c>
      <c r="Y219" s="56">
        <f>VLOOKUP(B219,'Player Data'!$A1:$AE667,13,FALSE)*$Q219</f>
        <v>2.3753241097045418E-2</v>
      </c>
      <c r="Z219" s="56">
        <f>VLOOKUP(B219,'Player Data'!$A1:$AE667,14,FALSE)*$Q219</f>
        <v>0.51098446702726175</v>
      </c>
      <c r="AA219" s="56">
        <f>VLOOKUP(B219,'Player Data'!$A1:$AE667,15,FALSE)*$Q219</f>
        <v>113.77654133708704</v>
      </c>
      <c r="AB219" s="56">
        <f>VLOOKUP(B219,'Player Data'!$A1:$AE667,16,FALSE)*$Q219</f>
        <v>46.85093762038116</v>
      </c>
      <c r="AC219" s="56">
        <f>VLOOKUP(B219,'Player Data'!$A1:$AE667,17,FALSE)*$Q219*IFERROR((VLOOKUP(P219,Settings!$E$28:$F$33,2,FALSE)+1),1)</f>
        <v>-9.9476783967988354</v>
      </c>
      <c r="AD219" s="56">
        <f>VLOOKUP(B219,'Player Data'!$A1:$AE667,18,FALSE)*$Q219</f>
        <v>22.391355951391386</v>
      </c>
      <c r="AE219" s="56">
        <f>VLOOKUP(B219,'Player Data'!$A1:$AE667,19,FALSE)*$Q219*IFERROR((VLOOKUP(P219,Settings!$E$28:$F$33,2,FALSE)+1),1)</f>
        <v>0.65450047847758142</v>
      </c>
      <c r="AF219" s="56">
        <f>VLOOKUP(B219,'Player Data'!$A1:$AE667,20,FALSE)*$Q219</f>
        <v>0</v>
      </c>
      <c r="AG219" s="56">
        <f>VLOOKUP(B219,'Player Data'!$A1:$AE667,21,FALSE)*$Q219</f>
        <v>0</v>
      </c>
      <c r="AH219" s="58">
        <f>VLOOKUP(B219,'Player Data'!$A1:$AE667,22,FALSE)</f>
        <v>0</v>
      </c>
      <c r="AI219" s="54"/>
      <c r="AJ219" s="56"/>
      <c r="AK219" s="56"/>
      <c r="AL219" s="56"/>
      <c r="AM219" s="56"/>
      <c r="AN219" s="56"/>
      <c r="AO219" s="56"/>
      <c r="AP219" s="56"/>
      <c r="AQ219" s="59"/>
      <c r="AR219" s="60"/>
      <c r="AS219" s="54"/>
    </row>
    <row r="220" spans="1:45" ht="21.25" customHeight="1" x14ac:dyDescent="0.15">
      <c r="A220" s="45">
        <f>RANK(K220,K$1:K$665)</f>
        <v>219</v>
      </c>
      <c r="B220" s="9" t="s">
        <v>345</v>
      </c>
      <c r="C220" s="46" t="s">
        <v>127</v>
      </c>
      <c r="D220" s="47" t="str">
        <f>VLOOKUP(B220,'Player Data'!A1:D667,4,FALSE)</f>
        <v>G</v>
      </c>
      <c r="E220" s="73">
        <f>VLOOKUP(B220,G!A1:D65,3,FALSE)</f>
        <v>24</v>
      </c>
      <c r="F220" s="65" t="str">
        <f>VLOOKUP(B220,'Player Data'!A1:B667,2,FALSE)</f>
        <v>BUF</v>
      </c>
      <c r="G220" s="69">
        <f>VLOOKUP(B220,'Player Data'!A1:D667,3,FALSE)</f>
        <v>25</v>
      </c>
      <c r="H220" s="50">
        <f>IFERROR(VLOOKUP(B220,ADP!A1:G665,7,FALSE)/1000000,VLOOKUP(B220,ADP!A1:G665,7,FALSE))</f>
        <v>4.75</v>
      </c>
      <c r="I220" s="51">
        <f>IF(Settings!$E$15="POINTS",(AJ220*Settings!$B$29)+(AK220*Settings!$B$21)+(AL220*Settings!$B$22)+(AN220*Settings!$B$24)+(AO220*Settings!$B$25)+(AP220*Settings!$B$27)+(AM220*Settings!$B$23),VLOOKUP(B220,'Standard Deviations'!A1:C666,3,FALSE))</f>
        <v>291.81682335679108</v>
      </c>
      <c r="J220" s="52">
        <f>IF(D220="G",I220/AJ220,I220/Q220)</f>
        <v>6.3438439860171973</v>
      </c>
      <c r="K220" s="51">
        <f>VLOOKUP(B220,G!A1:F65,6,FALSE)</f>
        <v>-118.8429194126291</v>
      </c>
      <c r="L220" s="53">
        <f>IFERROR(K220/H220,"N/A")</f>
        <v>-25.019561981606127</v>
      </c>
      <c r="M220" s="54">
        <f>IF(Settings!$E$9="YAHOO",VLOOKUP(B220,ADP!A1:E665,2,FALSE),IF(Settings!$E$9="ESPN",VLOOKUP(B220,ADP!A1:E665,3,FALSE),IF(Settings!$E$9="FANTRAX",VLOOKUP(B220,ADP!A1:E665,4,FALSE),VLOOKUP(B220,ADP!A1:E665,5,FALSE))))</f>
        <v>86.6</v>
      </c>
      <c r="N220" s="54">
        <f>IFERROR(M220-A220,"N/A")</f>
        <v>-132.4</v>
      </c>
      <c r="O220" s="54"/>
      <c r="P220" s="55" t="str">
        <f>IF(Settings!$E$27="ON",VLOOKUP(B220,ADP!A1:H665,8,FALSE)," ")</f>
        <v>-</v>
      </c>
      <c r="Q220" s="56"/>
      <c r="R220" s="54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8"/>
      <c r="AI220" s="54"/>
      <c r="AJ220" s="64">
        <f>VLOOKUP(B220,'Player Data'!$A1:$AE667,24,FALSE)</f>
        <v>46</v>
      </c>
      <c r="AK220" s="56">
        <f>VLOOKUP(B220,'Player Data'!$A1:$AE667,25,FALSE)*$AJ220*IFERROR((VLOOKUP(P220,Settings!$E$28:$F$33,2,FALSE)+1),1)</f>
        <v>22.131064867578843</v>
      </c>
      <c r="AL220" s="56">
        <f>AJ220-AK220-AM220</f>
        <v>18.118935132421157</v>
      </c>
      <c r="AM220" s="56">
        <f>VLOOKUP(B220,'Player Data'!$A1:$AE667,27,FALSE)*$AJ220</f>
        <v>5.75</v>
      </c>
      <c r="AN220" s="56">
        <f>VLOOKUP(B220,'Player Data'!$A1:$AE667,28,FALSE)*AJ220</f>
        <v>2.1929342745162121</v>
      </c>
      <c r="AO220" s="56">
        <f>VLOOKUP(B220,'Player Data'!$A1:$AE667,29,FALSE)*$AJ220*IFERROR((VLOOKUP(P220,Settings!$E$28:$F$33,2,FALSE)/4)+1,1)</f>
        <v>1262.6592420176753</v>
      </c>
      <c r="AP220" s="56">
        <f>VLOOKUP(B220,'Player Data'!$A1:$AE667,31,FALSE)*$AJ220*(IFERROR(1-(VLOOKUP(P220,Settings!$E$28:$F$33,2,FALSE)/4),1))</f>
        <v>136.03297550976646</v>
      </c>
      <c r="AQ220" s="59">
        <f>1-(AP220/(AO220+AP220))</f>
        <v>0.90274273796257998</v>
      </c>
      <c r="AR220" s="60">
        <f>AP220/AJ220</f>
        <v>2.9572385980384013</v>
      </c>
      <c r="AS220" s="54"/>
    </row>
    <row r="221" spans="1:45" ht="21.25" customHeight="1" x14ac:dyDescent="0.15">
      <c r="A221" s="45">
        <f>RANK(K221,K$1:K$665)</f>
        <v>220</v>
      </c>
      <c r="B221" s="9" t="s">
        <v>346</v>
      </c>
      <c r="C221" s="46" t="s">
        <v>127</v>
      </c>
      <c r="D221" s="47" t="str">
        <f>VLOOKUP(B221,'Player Data'!A1:D667,4,FALSE)</f>
        <v>C</v>
      </c>
      <c r="E221" s="48">
        <f>VLOOKUP(B221,'C'!A1:C206,3,FALSE)</f>
        <v>68</v>
      </c>
      <c r="F221" s="82" t="str">
        <f>VLOOKUP(B221,'Player Data'!A1:B667,2,FALSE)</f>
        <v>ANA</v>
      </c>
      <c r="G221" s="69">
        <f>VLOOKUP(B221,'Player Data'!A1:D667,3,FALSE)</f>
        <v>19</v>
      </c>
      <c r="H221" s="50">
        <f>IFERROR(VLOOKUP(B221,ADP!A1:G665,7,FALSE)/1000000,VLOOKUP(B221,ADP!A1:G665,7,FALSE))</f>
        <v>0.95</v>
      </c>
      <c r="I221" s="51">
        <f>IF(Settings!$E$15="POINTS",((R221*Q221)*Settings!$B$12)+(S221*Settings!$B$2)+(T221*Settings!$B$3)+(U221*Settings!$B$4)+(V221*Settings!$B$5)+(X221*Settings!$B$9)+(AA221*Settings!$B$6)+(W221*Settings!$B$8)+(AB221*Settings!$B$7)+(AC221*Settings!$B$14)+(AD221*Settings!$B$15)+(AE221*Settings!$B$16)+(AF221*Settings!$B$17)+(AG221*Settings!$B$18)+(Y221*Settings!$B$10)+(Z221*Settings!$B$11),VLOOKUP(B221,'Standard Deviations'!A1:C666,3,FALSE))</f>
        <v>270.47008774980981</v>
      </c>
      <c r="J221" s="52">
        <f>IF(D221="G",I221/AJ221,I221/Q221)</f>
        <v>3.8188505153520622</v>
      </c>
      <c r="K221" s="51">
        <f>IF(Settings!$E$18="C/LW/RW",VLOOKUP(B221,'C'!A1:F206,6,FALSE),VLOOKUP(B221,F!A1:F392,6,FALSE))</f>
        <v>-119.46707002827128</v>
      </c>
      <c r="L221" s="53">
        <f>IFERROR(K221/H221,"N/A")</f>
        <v>-125.75481055607504</v>
      </c>
      <c r="M221" s="83" t="str">
        <f>IF(Settings!$E$9="YAHOO",VLOOKUP(B221,ADP!A1:E665,2,FALSE),IF(Settings!$E$9="ESPN",VLOOKUP(B221,ADP!A1:E665,3,FALSE),IF(Settings!$E$9="FANTRAX",VLOOKUP(B221,ADP!A1:E665,4,FALSE),VLOOKUP(B221,ADP!A1:E665,5,FALSE))))</f>
        <v>—</v>
      </c>
      <c r="N221" s="83" t="str">
        <f>IFERROR(M221-A221,"N/A")</f>
        <v>N/A</v>
      </c>
      <c r="O221" s="54"/>
      <c r="P221" s="55" t="str">
        <f>IF(Settings!$E$27="ON",VLOOKUP(B221,ADP!A1:H665,8,FALSE)," ")</f>
        <v xml:space="preserve"> </v>
      </c>
      <c r="Q221" s="56">
        <f>IF(Settings!$E$12="YES",VLOOKUP(B221,'Player Data'!A1:E667,5,FALSE),82)</f>
        <v>70.825000000000003</v>
      </c>
      <c r="R221" s="54">
        <f>VLOOKUP(B221,'Player Data'!$A1:$AE667,6,FALSE)</f>
        <v>19.0729387377393</v>
      </c>
      <c r="S221" s="56">
        <f>VLOOKUP(B221,'Player Data'!$A1:$AE667,7,FALSE)*$Q221*IFERROR((VLOOKUP(P221,Settings!$E$28:$F$33,2,FALSE)+1),1)</f>
        <v>21.400081656000463</v>
      </c>
      <c r="T221" s="56">
        <f>VLOOKUP(B221,'Player Data'!$A1:$AE667,8,FALSE)*$Q221*IFERROR((VLOOKUP(P221,Settings!$E$28:$F$33,2,FALSE)+1),1)</f>
        <v>30.750588994453924</v>
      </c>
      <c r="U221" s="56">
        <f>SUM(S221:T221)</f>
        <v>52.150670650454387</v>
      </c>
      <c r="V221" s="56">
        <f>VLOOKUP(B221,'Player Data'!$A1:$AE667,10,FALSE)*$Q221*IFERROR(((VLOOKUP(P221,Settings!$E$28:$F$33,2,FALSE)/2)+1),1)</f>
        <v>161.61700861266488</v>
      </c>
      <c r="W221" s="56">
        <f>VLOOKUP(B221,'Player Data'!$A1:$AE667,11,FALSE)*$Q221*IFERROR((VLOOKUP(P221,Settings!$E$28:$F$33,2,FALSE)+1),1)</f>
        <v>5.4114842996154469</v>
      </c>
      <c r="X221" s="57">
        <f>VLOOKUP(B221,'Player Data'!$A1:$AE667,12,FALSE)*$Q221*IFERROR((VLOOKUP(P221,Settings!$E$28:$F$33,2,FALSE)+1),1)</f>
        <v>16.245111282394145</v>
      </c>
      <c r="Y221" s="56">
        <f>VLOOKUP(B221,'Player Data'!$A1:$AE667,13,FALSE)*$Q221</f>
        <v>0.1125116802648537</v>
      </c>
      <c r="Z221" s="56">
        <f>VLOOKUP(B221,'Player Data'!$A1:$AE667,14,FALSE)*$Q221</f>
        <v>0.18841960902194965</v>
      </c>
      <c r="AA221" s="56">
        <f>VLOOKUP(B221,'Player Data'!$A1:$AE667,15,FALSE)*$Q221</f>
        <v>33.552081201396298</v>
      </c>
      <c r="AB221" s="56">
        <f>VLOOKUP(B221,'Player Data'!$A1:$AE667,16,FALSE)*$Q221</f>
        <v>41.341101482857063</v>
      </c>
      <c r="AC221" s="56">
        <f>VLOOKUP(B221,'Player Data'!$A1:$AE667,17,FALSE)*$Q221*IFERROR((VLOOKUP(P221,Settings!$E$28:$F$33,2,FALSE)+1),1)</f>
        <v>-5.0758833722164445</v>
      </c>
      <c r="AD221" s="56">
        <f>VLOOKUP(B221,'Player Data'!$A1:$AE667,18,FALSE)*$Q221</f>
        <v>27.510788291606008</v>
      </c>
      <c r="AE221" s="56">
        <f>VLOOKUP(B221,'Player Data'!$A1:$AE667,19,FALSE)*$Q221*IFERROR((VLOOKUP(P221,Settings!$E$28:$F$33,2,FALSE)+1),1)</f>
        <v>2.494383873451091</v>
      </c>
      <c r="AF221" s="56">
        <f>VLOOKUP(B221,'Player Data'!$A1:$AE667,20,FALSE)*$Q221</f>
        <v>264.46654965721103</v>
      </c>
      <c r="AG221" s="56">
        <f>VLOOKUP(B221,'Player Data'!$A1:$AE667,21,FALSE)*$Q221</f>
        <v>496.38337012584196</v>
      </c>
      <c r="AH221" s="58">
        <f>VLOOKUP(B221,'Player Data'!$A1:$AE667,22,FALSE)</f>
        <v>0.34759358288770098</v>
      </c>
      <c r="AI221" s="54"/>
      <c r="AJ221" s="56"/>
      <c r="AK221" s="56"/>
      <c r="AL221" s="56"/>
      <c r="AM221" s="56"/>
      <c r="AN221" s="56"/>
      <c r="AO221" s="56"/>
      <c r="AP221" s="56"/>
      <c r="AQ221" s="59"/>
      <c r="AR221" s="60"/>
      <c r="AS221" s="54"/>
    </row>
    <row r="222" spans="1:45" ht="21.25" customHeight="1" x14ac:dyDescent="0.15">
      <c r="A222" s="45">
        <f>RANK(K222,K$1:K$665)</f>
        <v>221</v>
      </c>
      <c r="B222" s="9" t="s">
        <v>347</v>
      </c>
      <c r="C222" s="46" t="s">
        <v>127</v>
      </c>
      <c r="D222" s="47" t="str">
        <f>VLOOKUP(B222,'Player Data'!A1:D667,4,FALSE)</f>
        <v>G</v>
      </c>
      <c r="E222" s="73">
        <f>VLOOKUP(B222,G!A1:D65,3,FALSE)</f>
        <v>25</v>
      </c>
      <c r="F222" s="65" t="str">
        <f>VLOOKUP(B222,'Player Data'!A1:B667,2,FALSE)</f>
        <v>CAR</v>
      </c>
      <c r="G222" s="63">
        <f>VLOOKUP(B222,'Player Data'!A1:D667,3,FALSE)</f>
        <v>34</v>
      </c>
      <c r="H222" s="67">
        <f>IFERROR(VLOOKUP(B222,ADP!A1:G665,7,FALSE)/1000000,VLOOKUP(B222,ADP!A1:G665,7,FALSE))</f>
        <v>3.4</v>
      </c>
      <c r="I222" s="51">
        <f>IF(Settings!$E$15="POINTS",(AJ222*Settings!$B$29)+(AK222*Settings!$B$21)+(AL222*Settings!$B$22)+(AN222*Settings!$B$24)+(AO222*Settings!$B$25)+(AP222*Settings!$B$27)+(AM222*Settings!$B$23),VLOOKUP(B222,'Standard Deviations'!A1:C666,3,FALSE))</f>
        <v>290.34842446118802</v>
      </c>
      <c r="J222" s="52">
        <f>IF(D222="G",I222/AJ222,I222/Q222)</f>
        <v>7.0816688892972683</v>
      </c>
      <c r="K222" s="51">
        <f>VLOOKUP(B222,G!A1:F65,6,FALSE)</f>
        <v>-120.31131830823216</v>
      </c>
      <c r="L222" s="53">
        <f>IFERROR(K222/H222,"N/A")</f>
        <v>-35.3856818553624</v>
      </c>
      <c r="M222" s="54">
        <f>IF(Settings!$E$9="YAHOO",VLOOKUP(B222,ADP!A1:E665,2,FALSE),IF(Settings!$E$9="ESPN",VLOOKUP(B222,ADP!A1:E665,3,FALSE),IF(Settings!$E$9="FANTRAX",VLOOKUP(B222,ADP!A1:E665,4,FALSE),VLOOKUP(B222,ADP!A1:E665,5,FALSE))))</f>
        <v>76</v>
      </c>
      <c r="N222" s="54">
        <f>IFERROR(M222-A222,"N/A")</f>
        <v>-145</v>
      </c>
      <c r="O222" s="54"/>
      <c r="P222" s="55" t="str">
        <f>IF(Settings!$E$27="ON",VLOOKUP(B222,ADP!A1:H665,8,FALSE)," ")</f>
        <v xml:space="preserve"> </v>
      </c>
      <c r="Q222" s="56"/>
      <c r="R222" s="54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8"/>
      <c r="AI222" s="54"/>
      <c r="AJ222" s="64">
        <f>VLOOKUP(B222,'Player Data'!$A1:$AE667,24,FALSE)</f>
        <v>41</v>
      </c>
      <c r="AK222" s="56">
        <f>VLOOKUP(B222,'Player Data'!$A1:$AE667,25,FALSE)*$AJ222*IFERROR((VLOOKUP(P222,Settings!$E$28:$F$33,2,FALSE)+1),1)</f>
        <v>25.062910729785813</v>
      </c>
      <c r="AL222" s="56">
        <f>AJ222-AK222-AM222</f>
        <v>10.812089270214187</v>
      </c>
      <c r="AM222" s="56">
        <f>VLOOKUP(B222,'Player Data'!$A1:$AE667,27,FALSE)*$AJ222</f>
        <v>5.125</v>
      </c>
      <c r="AN222" s="56">
        <f>VLOOKUP(B222,'Player Data'!$A1:$AE667,28,FALSE)*AJ222</f>
        <v>3.0064218910738596</v>
      </c>
      <c r="AO222" s="56">
        <f>VLOOKUP(B222,'Player Data'!$A1:$AE667,29,FALSE)*$AJ222*IFERROR((VLOOKUP(P222,Settings!$E$28:$F$33,2,FALSE)/4)+1,1)</f>
        <v>1066.7873131525421</v>
      </c>
      <c r="AP222" s="56">
        <f>VLOOKUP(B222,'Player Data'!$A1:$AE667,31,FALSE)*$AJ222*(IFERROR(1-(VLOOKUP(P222,Settings!$E$28:$F$33,2,FALSE)/4),1))</f>
        <v>107.0801287318381</v>
      </c>
      <c r="AQ222" s="59">
        <f>1-(AP222/(AO222+AP222))</f>
        <v>0.90878005053113575</v>
      </c>
      <c r="AR222" s="60">
        <f>AP222/AJ222</f>
        <v>2.6117104568740999</v>
      </c>
      <c r="AS222" s="54"/>
    </row>
    <row r="223" spans="1:45" ht="21.25" customHeight="1" x14ac:dyDescent="0.15">
      <c r="A223" s="45">
        <f>RANK(K223,K$1:K$665)</f>
        <v>222</v>
      </c>
      <c r="B223" s="9" t="s">
        <v>348</v>
      </c>
      <c r="C223" s="46" t="s">
        <v>127</v>
      </c>
      <c r="D223" s="47" t="str">
        <f>VLOOKUP(B223,'Player Data'!A1:D667,4,FALSE)</f>
        <v>D</v>
      </c>
      <c r="E223" s="66">
        <f>VLOOKUP(B223,D!A1:C213,3,FALSE)</f>
        <v>65</v>
      </c>
      <c r="F223" s="62" t="str">
        <f>VLOOKUP(B223,'Player Data'!A1:B667,2,FALSE)</f>
        <v>MTL</v>
      </c>
      <c r="G223" s="69">
        <f>VLOOKUP(B223,'Player Data'!A1:D667,3,FALSE)</f>
        <v>19</v>
      </c>
      <c r="H223" s="50">
        <f>IFERROR(VLOOKUP(B223,ADP!A1:G665,7,FALSE)/1000000,VLOOKUP(B223,ADP!A1:G665,7,FALSE))</f>
        <v>0.95</v>
      </c>
      <c r="I223" s="51">
        <f>IF(Settings!$E$15="POINTS",((R223*Q223)*Settings!$B$12)+(S223*Settings!$B$2)+(T223*Settings!$B$3)+(U223*Settings!$B$4)+(V223*Settings!$B$5)+(X223*Settings!$B$9)+(AA223*Settings!$B$6)+(W223*Settings!$B$8)+(AB223*Settings!$B$7)+(AC223*Settings!$B$14)+(AD223*Settings!$B$15)+(AE223*Settings!$B$16)+(AF223*Settings!$B$17)+(AG223*Settings!$B$18)+(U223*Settings!$B$13)+(Y223*Settings!$B$10)+(Z223*Settings!$B$11),VLOOKUP(B223,'Standard Deviations'!A1:C666,3,FALSE))</f>
        <v>215.75085642384573</v>
      </c>
      <c r="J223" s="52">
        <f>IF(D223="G",I223/AJ223,I223/Q223)</f>
        <v>2.9965396725534128</v>
      </c>
      <c r="K223" s="51">
        <f>VLOOKUP(B223,D!A1:F213,6,FALSE)</f>
        <v>-120.48326862174918</v>
      </c>
      <c r="L223" s="53">
        <f>IFERROR(K223/H223,"N/A")</f>
        <v>-126.82449328605178</v>
      </c>
      <c r="M223" s="54">
        <f>IF(Settings!$E$9="YAHOO",VLOOKUP(B223,ADP!A1:E665,2,FALSE),IF(Settings!$E$9="ESPN",VLOOKUP(B223,ADP!A1:E665,3,FALSE),IF(Settings!$E$9="FANTRAX",VLOOKUP(B223,ADP!A1:E665,4,FALSE),VLOOKUP(B223,ADP!A1:E665,5,FALSE))))</f>
        <v>0</v>
      </c>
      <c r="N223" s="54">
        <f>IFERROR(M223-A223,"N/A")</f>
        <v>-222</v>
      </c>
      <c r="O223" s="54"/>
      <c r="P223" s="85">
        <f>IF(Settings!$E$27="ON",VLOOKUP(B223,ADP!A1:H665,8,FALSE)," ")</f>
        <v>0</v>
      </c>
      <c r="Q223" s="56">
        <f>IF(Settings!$E$12="YES",VLOOKUP(B223,'Player Data'!A1:E667,5,FALSE),82)</f>
        <v>72</v>
      </c>
      <c r="R223" s="54">
        <f>VLOOKUP(B223,'Player Data'!$A1:$AE667,6,FALSE)</f>
        <v>18</v>
      </c>
      <c r="S223" s="56">
        <f>VLOOKUP(B223,'Player Data'!$A1:$AE667,7,FALSE)*$Q223*IFERROR((VLOOKUP(P223,Settings!$E$28:$F$33,2,FALSE)+1),1)</f>
        <v>8.0907718575373924</v>
      </c>
      <c r="T223" s="56">
        <f>VLOOKUP(B223,'Player Data'!$A1:$AE667,8,FALSE)*$Q223*IFERROR((VLOOKUP(P223,Settings!$E$28:$F$33,2,FALSE)+1),1)</f>
        <v>24.300441410083558</v>
      </c>
      <c r="U223" s="56">
        <f>SUM(S223:T223)</f>
        <v>32.391213267620948</v>
      </c>
      <c r="V223" s="56">
        <f>VLOOKUP(B223,'Player Data'!$A1:$AE667,10,FALSE)*$Q223*IFERROR(((VLOOKUP(P223,Settings!$E$28:$F$33,2,FALSE)/2)+1),1)</f>
        <v>137.30975531079554</v>
      </c>
      <c r="W223" s="56">
        <f>VLOOKUP(B223,'Player Data'!$A1:$AE667,11,FALSE)*$Q223*IFERROR((VLOOKUP(P223,Settings!$E$28:$F$33,2,FALSE)+1),1)</f>
        <v>1.701057620182824</v>
      </c>
      <c r="X223" s="56">
        <f>VLOOKUP(B223,'Player Data'!$A1:$AE667,12,FALSE)*$Q223*IFERROR((VLOOKUP(P223,Settings!$E$28:$F$33,2,FALSE)+1),1)</f>
        <v>6.8101438436337594</v>
      </c>
      <c r="Y223" s="56">
        <f>VLOOKUP(B223,'Player Data'!$A1:$AE667,13,FALSE)*$Q223</f>
        <v>0</v>
      </c>
      <c r="Z223" s="56">
        <f>VLOOKUP(B223,'Player Data'!$A1:$AE667,14,FALSE)*$Q223</f>
        <v>0</v>
      </c>
      <c r="AA223" s="56">
        <f>VLOOKUP(B223,'Player Data'!$A1:$AE667,15,FALSE)*$Q223</f>
        <v>86.224390243902718</v>
      </c>
      <c r="AB223" s="56">
        <f>VLOOKUP(B223,'Player Data'!$A1:$AE667,16,FALSE)*$Q223</f>
        <v>88.742634146341203</v>
      </c>
      <c r="AC223" s="56">
        <f>VLOOKUP(B223,'Player Data'!$A1:$AE667,17,FALSE)*$Q223*IFERROR((VLOOKUP(P223,Settings!$E$28:$F$33,2,FALSE)+1),1)</f>
        <v>-4.0813823346279046</v>
      </c>
      <c r="AD223" s="56">
        <f>VLOOKUP(B223,'Player Data'!$A1:$AE667,18,FALSE)*$Q223</f>
        <v>29.52</v>
      </c>
      <c r="AE223" s="56">
        <f>VLOOKUP(B223,'Player Data'!$A1:$AE667,19,FALSE)*$Q223*IFERROR((VLOOKUP(P223,Settings!$E$28:$F$33,2,FALSE)+1),1)</f>
        <v>0.93773075512924087</v>
      </c>
      <c r="AF223" s="56">
        <f>VLOOKUP(B223,'Player Data'!$A1:$AE667,20,FALSE)*$Q223</f>
        <v>0</v>
      </c>
      <c r="AG223" s="56">
        <f>VLOOKUP(B223,'Player Data'!$A1:$AE667,21,FALSE)*$Q223</f>
        <v>0</v>
      </c>
      <c r="AH223" s="58">
        <f>VLOOKUP(B223,'Player Data'!$A1:$AE667,22,FALSE)</f>
        <v>0</v>
      </c>
      <c r="AI223" s="54"/>
      <c r="AJ223" s="56"/>
      <c r="AK223" s="56"/>
      <c r="AL223" s="56"/>
      <c r="AM223" s="56"/>
      <c r="AN223" s="56"/>
      <c r="AO223" s="56"/>
      <c r="AP223" s="56"/>
      <c r="AQ223" s="59"/>
      <c r="AR223" s="60"/>
      <c r="AS223" s="54"/>
    </row>
    <row r="224" spans="1:45" ht="21.25" customHeight="1" x14ac:dyDescent="0.15">
      <c r="A224" s="45">
        <f>RANK(K224,K$1:K$665)</f>
        <v>223</v>
      </c>
      <c r="B224" s="9" t="s">
        <v>349</v>
      </c>
      <c r="C224" s="46" t="s">
        <v>127</v>
      </c>
      <c r="D224" s="47" t="str">
        <f>VLOOKUP(B224,'Player Data'!A1:D667,4,FALSE)</f>
        <v>LW</v>
      </c>
      <c r="E224" s="70">
        <f>VLOOKUP(B224,LW!A1:C152,3,FALSE)</f>
        <v>56</v>
      </c>
      <c r="F224" s="55" t="str">
        <f>VLOOKUP(B224,'Player Data'!A1:B667,2,FALSE)</f>
        <v>UTA</v>
      </c>
      <c r="G224" s="69">
        <f>VLOOKUP(B224,'Player Data'!A1:D667,3,FALSE)</f>
        <v>23</v>
      </c>
      <c r="H224" s="50">
        <f>IFERROR(VLOOKUP(B224,ADP!A1:G665,7,FALSE)/1000000,VLOOKUP(B224,ADP!A1:G665,7,FALSE))</f>
        <v>3.4249999999999998</v>
      </c>
      <c r="I224" s="51">
        <f>IF(Settings!$E$15="POINTS",((R224*Q224)*Settings!$B$12)+(S224*Settings!$B$2)+(T224*Settings!$B$3)+(U224*Settings!$B$4)+(V224*Settings!$B$5)+(X224*Settings!$B$9)+(AA224*Settings!$B$6)+(W224*Settings!$B$8)+(AB224*Settings!$B$7)+(AC224*Settings!$B$14)+(AD224*Settings!$B$15)+(AE224*Settings!$B$16)+(AF224*Settings!$B$17)+(AG224*Settings!$B$18)+(Y224*Settings!$B$10)+(Z224*Settings!$B$11),VLOOKUP(B224,'Standard Deviations'!A1:C666,3,FALSE))</f>
        <v>260.17304856515977</v>
      </c>
      <c r="J224" s="52">
        <f>IF(D224="G",I224/AJ224,I224/Q224)</f>
        <v>3.3460619711293136</v>
      </c>
      <c r="K224" s="51">
        <f>IF(Settings!$E$18="C/LW/RW",VLOOKUP(B224,LW!A1:F152,6,FALSE),VLOOKUP(B224,F!A1:F392,6,FALSE))</f>
        <v>-120.88846373733998</v>
      </c>
      <c r="L224" s="53">
        <f>IFERROR(K224/H224,"N/A")</f>
        <v>-35.295901821121163</v>
      </c>
      <c r="M224" s="83" t="str">
        <f>IF(Settings!$E$9="YAHOO",VLOOKUP(B224,ADP!A1:E665,2,FALSE),IF(Settings!$E$9="ESPN",VLOOKUP(B224,ADP!A1:E665,3,FALSE),IF(Settings!$E$9="FANTRAX",VLOOKUP(B224,ADP!A1:E665,4,FALSE),VLOOKUP(B224,ADP!A1:E665,5,FALSE))))</f>
        <v>—</v>
      </c>
      <c r="N224" s="83" t="str">
        <f>IFERROR(M224-A224,"N/A")</f>
        <v>N/A</v>
      </c>
      <c r="O224" s="54"/>
      <c r="P224" s="55" t="str">
        <f>IF(Settings!$E$27="ON",VLOOKUP(B224,ADP!A1:H665,8,FALSE)," ")</f>
        <v xml:space="preserve"> </v>
      </c>
      <c r="Q224" s="56">
        <f>IF(Settings!$E$12="YES",VLOOKUP(B224,'Player Data'!A1:E667,5,FALSE),82)</f>
        <v>77.754999999999995</v>
      </c>
      <c r="R224" s="54">
        <f>VLOOKUP(B224,'Player Data'!$A1:$AE667,6,FALSE)</f>
        <v>16.035816101095801</v>
      </c>
      <c r="S224" s="56">
        <f>VLOOKUP(B224,'Player Data'!$A1:$AE667,7,FALSE)*$Q224*IFERROR((VLOOKUP(P224,Settings!$E$28:$F$33,2,FALSE)+1),1)</f>
        <v>16.730696653631426</v>
      </c>
      <c r="T224" s="56">
        <f>VLOOKUP(B224,'Player Data'!$A1:$AE667,8,FALSE)*$Q224*IFERROR((VLOOKUP(P224,Settings!$E$28:$F$33,2,FALSE)+1),1)</f>
        <v>39.860309873900846</v>
      </c>
      <c r="U224" s="56">
        <f>SUM(S224:T224)</f>
        <v>56.591006527532272</v>
      </c>
      <c r="V224" s="56">
        <f>VLOOKUP(B224,'Player Data'!$A1:$AE667,10,FALSE)*$Q224*IFERROR(((VLOOKUP(P224,Settings!$E$28:$F$33,2,FALSE)/2)+1),1)</f>
        <v>131.04544842539249</v>
      </c>
      <c r="W224" s="56">
        <f>VLOOKUP(B224,'Player Data'!$A1:$AE667,11,FALSE)*$Q224*IFERROR((VLOOKUP(P224,Settings!$E$28:$F$33,2,FALSE)+1),1)</f>
        <v>2.3682345262595801</v>
      </c>
      <c r="X224" s="56">
        <f>VLOOKUP(B224,'Player Data'!$A1:$AE667,12,FALSE)*$Q224*IFERROR((VLOOKUP(P224,Settings!$E$28:$F$33,2,FALSE)+1),1)</f>
        <v>13.576257504570753</v>
      </c>
      <c r="Y224" s="56">
        <f>VLOOKUP(B224,'Player Data'!$A1:$AE667,13,FALSE)*$Q224</f>
        <v>2.112627840941424E-2</v>
      </c>
      <c r="Z224" s="56">
        <f>VLOOKUP(B224,'Player Data'!$A1:$AE667,14,FALSE)*$Q224</f>
        <v>0.12605598595207818</v>
      </c>
      <c r="AA224" s="56">
        <f>VLOOKUP(B224,'Player Data'!$A1:$AE667,15,FALSE)*$Q224</f>
        <v>22.349982558687806</v>
      </c>
      <c r="AB224" s="56">
        <f>VLOOKUP(B224,'Player Data'!$A1:$AE667,16,FALSE)*$Q224</f>
        <v>32.762156147025699</v>
      </c>
      <c r="AC224" s="56">
        <f>VLOOKUP(B224,'Player Data'!$A1:$AE667,17,FALSE)*$Q224*IFERROR((VLOOKUP(P224,Settings!$E$28:$F$33,2,FALSE)+1),1)</f>
        <v>1.6791052102460842</v>
      </c>
      <c r="AD224" s="56">
        <f>VLOOKUP(B224,'Player Data'!$A1:$AE667,18,FALSE)*$Q224</f>
        <v>17.28393605703593</v>
      </c>
      <c r="AE224" s="56">
        <f>VLOOKUP(B224,'Player Data'!$A1:$AE667,19,FALSE)*$Q224*IFERROR((VLOOKUP(P224,Settings!$E$28:$F$33,2,FALSE)+1),1)</f>
        <v>2.44819268316196</v>
      </c>
      <c r="AF224" s="56">
        <f>VLOOKUP(B224,'Player Data'!$A1:$AE667,20,FALSE)*$Q224</f>
        <v>4.0697488907212467</v>
      </c>
      <c r="AG224" s="56">
        <f>VLOOKUP(B224,'Player Data'!$A1:$AE667,21,FALSE)*$Q224</f>
        <v>9.7990979057506724</v>
      </c>
      <c r="AH224" s="58">
        <f>VLOOKUP(B224,'Player Data'!$A1:$AE667,22,FALSE)</f>
        <v>0.29344537079727101</v>
      </c>
      <c r="AI224" s="54"/>
      <c r="AJ224" s="56"/>
      <c r="AK224" s="56"/>
      <c r="AL224" s="56"/>
      <c r="AM224" s="56"/>
      <c r="AN224" s="56"/>
      <c r="AO224" s="56"/>
      <c r="AP224" s="56"/>
      <c r="AQ224" s="59"/>
      <c r="AR224" s="60"/>
      <c r="AS224" s="54"/>
    </row>
    <row r="225" spans="1:45" ht="21.25" customHeight="1" x14ac:dyDescent="0.15">
      <c r="A225" s="45">
        <f>RANK(K225,K$1:K$665)</f>
        <v>224</v>
      </c>
      <c r="B225" s="9" t="s">
        <v>350</v>
      </c>
      <c r="C225" s="46" t="s">
        <v>127</v>
      </c>
      <c r="D225" s="47" t="str">
        <f>VLOOKUP(B225,'Player Data'!A1:D667,4,FALSE)</f>
        <v>G</v>
      </c>
      <c r="E225" s="73">
        <f>VLOOKUP(B225,G!A1:D65,3,FALSE)</f>
        <v>26</v>
      </c>
      <c r="F225" s="77" t="str">
        <f>VLOOKUP(B225,'Player Data'!A1:B667,2,FALSE)</f>
        <v>S.J</v>
      </c>
      <c r="G225" s="69">
        <f>VLOOKUP(B225,'Player Data'!A1:D667,3,FALSE)</f>
        <v>22</v>
      </c>
      <c r="H225" s="50">
        <f>IFERROR(VLOOKUP(B225,ADP!A1:G665,7,FALSE)/1000000,VLOOKUP(B225,ADP!A1:G665,7,FALSE))</f>
        <v>0.92500000000000004</v>
      </c>
      <c r="I225" s="51">
        <f>IF(Settings!$E$15="POINTS",(AJ225*Settings!$B$29)+(AK225*Settings!$B$21)+(AL225*Settings!$B$22)+(AN225*Settings!$B$24)+(AO225*Settings!$B$25)+(AP225*Settings!$B$27)+(AM225*Settings!$B$23),VLOOKUP(B225,'Standard Deviations'!A1:C666,3,FALSE))</f>
        <v>289.35458137482397</v>
      </c>
      <c r="J225" s="52">
        <f>IF(D225="G",I225/AJ225,I225/Q225)</f>
        <v>6.4301018083294217</v>
      </c>
      <c r="K225" s="51">
        <f>VLOOKUP(B225,G!A1:F65,6,FALSE)</f>
        <v>-121.30516139459621</v>
      </c>
      <c r="L225" s="53">
        <f>IFERROR(K225/H225,"N/A")</f>
        <v>-131.14071502118509</v>
      </c>
      <c r="M225" s="54">
        <f>IF(Settings!$E$9="YAHOO",VLOOKUP(B225,ADP!A1:E665,2,FALSE),IF(Settings!$E$9="ESPN",VLOOKUP(B225,ADP!A1:E665,3,FALSE),IF(Settings!$E$9="FANTRAX",VLOOKUP(B225,ADP!A1:E665,4,FALSE),VLOOKUP(B225,ADP!A1:E665,5,FALSE))))</f>
        <v>0</v>
      </c>
      <c r="N225" s="54">
        <f>IFERROR(M225-A225,"N/A")</f>
        <v>-224</v>
      </c>
      <c r="O225" s="54"/>
      <c r="P225" s="85">
        <f>IF(Settings!$E$27="ON",VLOOKUP(B225,ADP!A1:H665,8,FALSE)," ")</f>
        <v>0</v>
      </c>
      <c r="Q225" s="56"/>
      <c r="R225" s="54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8"/>
      <c r="AI225" s="54"/>
      <c r="AJ225" s="64">
        <f>VLOOKUP(B225,'Player Data'!$A1:$AE667,24,FALSE)</f>
        <v>45</v>
      </c>
      <c r="AK225" s="56">
        <f>VLOOKUP(B225,'Player Data'!$A1:$AE667,25,FALSE)*$AJ225*IFERROR((VLOOKUP(P225,Settings!$E$28:$F$33,2,FALSE)+1),1)</f>
        <v>15.777997253422109</v>
      </c>
      <c r="AL225" s="56">
        <f>AJ225-AK225-AM225</f>
        <v>23.597002746577893</v>
      </c>
      <c r="AM225" s="56">
        <f>VLOOKUP(B225,'Player Data'!$A1:$AE667,27,FALSE)*$AJ225</f>
        <v>5.625</v>
      </c>
      <c r="AN225" s="56">
        <f>VLOOKUP(B225,'Player Data'!$A1:$AE667,28,FALSE)*AJ225</f>
        <v>1.064178447491025</v>
      </c>
      <c r="AO225" s="56">
        <f>VLOOKUP(B225,'Player Data'!$A1:$AE667,29,FALSE)*$AJ225*IFERROR((VLOOKUP(P225,Settings!$E$28:$F$33,2,FALSE)/4)+1,1)</f>
        <v>1328.198754238002</v>
      </c>
      <c r="AP225" s="56">
        <f>VLOOKUP(B225,'Player Data'!$A1:$AE667,31,FALSE)*$AJ225*(IFERROR(1-(VLOOKUP(P225,Settings!$E$28:$F$33,2,FALSE)/4),1))</f>
        <v>141.0476553173115</v>
      </c>
      <c r="AQ225" s="59">
        <f>1-(AP225/(AO225+AP225))</f>
        <v>0.90399999999999903</v>
      </c>
      <c r="AR225" s="60">
        <f>AP225/AJ225</f>
        <v>3.1343923403847</v>
      </c>
      <c r="AS225" s="64"/>
    </row>
    <row r="226" spans="1:45" ht="21.25" customHeight="1" x14ac:dyDescent="0.15">
      <c r="A226" s="45">
        <f>RANK(K226,K$1:K$665)</f>
        <v>225</v>
      </c>
      <c r="B226" s="9" t="s">
        <v>351</v>
      </c>
      <c r="C226" s="46" t="s">
        <v>127</v>
      </c>
      <c r="D226" s="47" t="str">
        <f>VLOOKUP(B226,'Player Data'!A1:D667,4,FALSE)</f>
        <v>D</v>
      </c>
      <c r="E226" s="66">
        <f>VLOOKUP(B226,D!A1:C213,3,FALSE)</f>
        <v>66</v>
      </c>
      <c r="F226" s="74" t="str">
        <f>VLOOKUP(B226,'Player Data'!A1:B667,2,FALSE)</f>
        <v>PIT</v>
      </c>
      <c r="G226" s="10">
        <f>VLOOKUP(B226,'Player Data'!A1:D667,3,FALSE)</f>
        <v>28</v>
      </c>
      <c r="H226" s="67">
        <f>IFERROR(VLOOKUP(B226,ADP!A1:G665,7,FALSE)/1000000,VLOOKUP(B226,ADP!A1:G665,7,FALSE))</f>
        <v>4.0250000000000004</v>
      </c>
      <c r="I226" s="51">
        <f>IF(Settings!$E$15="POINTS",((R226*Q226)*Settings!$B$12)+(S226*Settings!$B$2)+(T226*Settings!$B$3)+(U226*Settings!$B$4)+(V226*Settings!$B$5)+(X226*Settings!$B$9)+(AA226*Settings!$B$6)+(W226*Settings!$B$8)+(AB226*Settings!$B$7)+(AC226*Settings!$B$14)+(AD226*Settings!$B$15)+(AE226*Settings!$B$16)+(AF226*Settings!$B$17)+(AG226*Settings!$B$18)+(U226*Settings!$B$13)+(Y226*Settings!$B$10)+(Z226*Settings!$B$11),VLOOKUP(B226,'Standard Deviations'!A1:C666,3,FALSE))</f>
        <v>214.12143558342504</v>
      </c>
      <c r="J226" s="52">
        <f>IF(D226="G",I226/AJ226,I226/Q226)</f>
        <v>2.7068002728452694</v>
      </c>
      <c r="K226" s="51">
        <f>VLOOKUP(B226,D!A1:F213,6,FALSE)</f>
        <v>-122.11268946216987</v>
      </c>
      <c r="L226" s="53">
        <f>IFERROR(K226/H226,"N/A")</f>
        <v>-30.338556388116736</v>
      </c>
      <c r="M226" s="83" t="str">
        <f>IF(Settings!$E$9="YAHOO",VLOOKUP(B226,ADP!A1:E665,2,FALSE),IF(Settings!$E$9="ESPN",VLOOKUP(B226,ADP!A1:E665,3,FALSE),IF(Settings!$E$9="FANTRAX",VLOOKUP(B226,ADP!A1:E665,4,FALSE),VLOOKUP(B226,ADP!A1:E665,5,FALSE))))</f>
        <v>—</v>
      </c>
      <c r="N226" s="83" t="str">
        <f>IFERROR(M226-A226,"N/A")</f>
        <v>N/A</v>
      </c>
      <c r="O226" s="54"/>
      <c r="P226" s="55" t="str">
        <f>IF(Settings!$E$27="ON",VLOOKUP(B226,ADP!A1:H665,8,FALSE)," ")</f>
        <v xml:space="preserve"> </v>
      </c>
      <c r="Q226" s="56">
        <f>IF(Settings!$E$12="YES",VLOOKUP(B226,'Player Data'!A1:E667,5,FALSE),82)</f>
        <v>79.105000000000004</v>
      </c>
      <c r="R226" s="54">
        <f>VLOOKUP(B226,'Player Data'!$A1:$AE667,6,FALSE)</f>
        <v>21.893020517922</v>
      </c>
      <c r="S226" s="56">
        <f>VLOOKUP(B226,'Player Data'!$A1:$AE667,7,FALSE)*$Q226*IFERROR((VLOOKUP(P226,Settings!$E$28:$F$33,2,FALSE)+1),1)</f>
        <v>3.3290306419629228</v>
      </c>
      <c r="T226" s="56">
        <f>VLOOKUP(B226,'Player Data'!$A1:$AE667,8,FALSE)*$Q226*IFERROR((VLOOKUP(P226,Settings!$E$28:$F$33,2,FALSE)+1),1)</f>
        <v>25.117262298597023</v>
      </c>
      <c r="U226" s="56">
        <f>SUM(S226:T226)</f>
        <v>28.446292940559946</v>
      </c>
      <c r="V226" s="56">
        <f>VLOOKUP(B226,'Player Data'!$A1:$AE667,10,FALSE)*$Q226*IFERROR(((VLOOKUP(P226,Settings!$E$28:$F$33,2,FALSE)/2)+1),1)</f>
        <v>106.71714605678919</v>
      </c>
      <c r="W226" s="56">
        <f>VLOOKUP(B226,'Player Data'!$A1:$AE667,11,FALSE)*$Q226*IFERROR((VLOOKUP(P226,Settings!$E$28:$F$33,2,FALSE)+1),1)</f>
        <v>7.8510657706087464E-2</v>
      </c>
      <c r="X226" s="56">
        <f>VLOOKUP(B226,'Player Data'!$A1:$AE667,12,FALSE)*$Q226*IFERROR((VLOOKUP(P226,Settings!$E$28:$F$33,2,FALSE)+1),1)</f>
        <v>0.51434428394400356</v>
      </c>
      <c r="Y226" s="56">
        <f>VLOOKUP(B226,'Player Data'!$A1:$AE667,13,FALSE)*$Q226</f>
        <v>3.7641706154006617E-2</v>
      </c>
      <c r="Z226" s="56">
        <f>VLOOKUP(B226,'Player Data'!$A1:$AE667,14,FALSE)*$Q226</f>
        <v>0.16503639712308185</v>
      </c>
      <c r="AA226" s="56">
        <f>VLOOKUP(B226,'Player Data'!$A1:$AE667,15,FALSE)*$Q226</f>
        <v>149.48920610456705</v>
      </c>
      <c r="AB226" s="56">
        <f>VLOOKUP(B226,'Player Data'!$A1:$AE667,16,FALSE)*$Q226</f>
        <v>118.74935704703341</v>
      </c>
      <c r="AC226" s="56">
        <f>VLOOKUP(B226,'Player Data'!$A1:$AE667,17,FALSE)*$Q226*IFERROR((VLOOKUP(P226,Settings!$E$28:$F$33,2,FALSE)+1),1)</f>
        <v>2.1528180276033568</v>
      </c>
      <c r="AD226" s="56">
        <f>VLOOKUP(B226,'Player Data'!$A1:$AE667,18,FALSE)*$Q226</f>
        <v>48.056177684073134</v>
      </c>
      <c r="AE226" s="56">
        <f>VLOOKUP(B226,'Player Data'!$A1:$AE667,19,FALSE)*$Q226*IFERROR((VLOOKUP(P226,Settings!$E$28:$F$33,2,FALSE)+1),1)</f>
        <v>0.49350516390995774</v>
      </c>
      <c r="AF226" s="56">
        <f>VLOOKUP(B226,'Player Data'!$A1:$AE667,20,FALSE)*$Q226</f>
        <v>0</v>
      </c>
      <c r="AG226" s="56">
        <f>VLOOKUP(B226,'Player Data'!$A1:$AE667,21,FALSE)*$Q226</f>
        <v>0</v>
      </c>
      <c r="AH226" s="58">
        <f>VLOOKUP(B226,'Player Data'!$A1:$AE667,22,FALSE)</f>
        <v>0</v>
      </c>
      <c r="AI226" s="54"/>
      <c r="AJ226" s="56"/>
      <c r="AK226" s="56"/>
      <c r="AL226" s="56"/>
      <c r="AM226" s="56"/>
      <c r="AN226" s="56"/>
      <c r="AO226" s="56"/>
      <c r="AP226" s="56"/>
      <c r="AQ226" s="59"/>
      <c r="AR226" s="60"/>
      <c r="AS226" s="54"/>
    </row>
    <row r="227" spans="1:45" ht="21.25" customHeight="1" x14ac:dyDescent="0.15">
      <c r="A227" s="45">
        <f>RANK(K227,K$1:K$665)</f>
        <v>226</v>
      </c>
      <c r="B227" s="9" t="s">
        <v>352</v>
      </c>
      <c r="C227" s="46" t="s">
        <v>127</v>
      </c>
      <c r="D227" s="47" t="str">
        <f>VLOOKUP(B227,'Player Data'!A1:D667,4,FALSE)</f>
        <v>D</v>
      </c>
      <c r="E227" s="66">
        <f>VLOOKUP(B227,D!A1:C213,3,FALSE)</f>
        <v>67</v>
      </c>
      <c r="F227" s="72" t="str">
        <f>VLOOKUP(B227,'Player Data'!A1:B667,2,FALSE)</f>
        <v>NYI</v>
      </c>
      <c r="G227" s="10">
        <f>VLOOKUP(B227,'Player Data'!A1:D667,3,FALSE)</f>
        <v>29</v>
      </c>
      <c r="H227" s="50">
        <f>IFERROR(VLOOKUP(B227,ADP!A1:G665,7,FALSE)/1000000,VLOOKUP(B227,ADP!A1:G665,7,FALSE))</f>
        <v>6.15</v>
      </c>
      <c r="I227" s="51">
        <f>IF(Settings!$E$15="POINTS",((R227*Q227)*Settings!$B$12)+(S227*Settings!$B$2)+(T227*Settings!$B$3)+(U227*Settings!$B$4)+(V227*Settings!$B$5)+(X227*Settings!$B$9)+(AA227*Settings!$B$6)+(W227*Settings!$B$8)+(AB227*Settings!$B$7)+(AC227*Settings!$B$14)+(AD227*Settings!$B$15)+(AE227*Settings!$B$16)+(AF227*Settings!$B$17)+(AG227*Settings!$B$18)+(U227*Settings!$B$13)+(Y227*Settings!$B$10)+(Z227*Settings!$B$11),VLOOKUP(B227,'Standard Deviations'!A1:C666,3,FALSE))</f>
        <v>214.09403455488984</v>
      </c>
      <c r="J227" s="52">
        <f>IF(D227="G",I227/AJ227,I227/Q227)</f>
        <v>2.8481313629757863</v>
      </c>
      <c r="K227" s="51">
        <f>VLOOKUP(B227,D!A1:F213,6,FALSE)</f>
        <v>-122.14009049070506</v>
      </c>
      <c r="L227" s="53">
        <f>IFERROR(K227/H227,"N/A")</f>
        <v>-19.860177315561799</v>
      </c>
      <c r="M227" s="83" t="str">
        <f>IF(Settings!$E$9="YAHOO",VLOOKUP(B227,ADP!A1:E665,2,FALSE),IF(Settings!$E$9="ESPN",VLOOKUP(B227,ADP!A1:E665,3,FALSE),IF(Settings!$E$9="FANTRAX",VLOOKUP(B227,ADP!A1:E665,4,FALSE),VLOOKUP(B227,ADP!A1:E665,5,FALSE))))</f>
        <v>—</v>
      </c>
      <c r="N227" s="83" t="str">
        <f>IFERROR(M227-A227,"N/A")</f>
        <v>N/A</v>
      </c>
      <c r="O227" s="54"/>
      <c r="P227" s="55" t="str">
        <f>IF(Settings!$E$27="ON",VLOOKUP(B227,ADP!A1:H665,8,FALSE)," ")</f>
        <v xml:space="preserve"> </v>
      </c>
      <c r="Q227" s="56">
        <f>IF(Settings!$E$12="YES",VLOOKUP(B227,'Player Data'!A1:E667,5,FALSE),82)</f>
        <v>75.17</v>
      </c>
      <c r="R227" s="54">
        <f>VLOOKUP(B227,'Player Data'!$A1:$AE667,6,FALSE)</f>
        <v>21.632098789902798</v>
      </c>
      <c r="S227" s="56">
        <f>VLOOKUP(B227,'Player Data'!$A1:$AE667,7,FALSE)*$Q227*IFERROR((VLOOKUP(P227,Settings!$E$28:$F$33,2,FALSE)+1),1)</f>
        <v>5.1610330150878987</v>
      </c>
      <c r="T227" s="56">
        <f>VLOOKUP(B227,'Player Data'!$A1:$AE667,8,FALSE)*$Q227*IFERROR((VLOOKUP(P227,Settings!$E$28:$F$33,2,FALSE)+1),1)</f>
        <v>18.525710633826172</v>
      </c>
      <c r="U227" s="56">
        <f>SUM(S227:T227)</f>
        <v>23.686743648914071</v>
      </c>
      <c r="V227" s="56">
        <f>VLOOKUP(B227,'Player Data'!$A1:$AE667,10,FALSE)*$Q227*IFERROR(((VLOOKUP(P227,Settings!$E$28:$F$33,2,FALSE)/2)+1),1)</f>
        <v>115.35654180133746</v>
      </c>
      <c r="W227" s="56">
        <f>VLOOKUP(B227,'Player Data'!$A1:$AE667,11,FALSE)*$Q227*IFERROR((VLOOKUP(P227,Settings!$E$28:$F$33,2,FALSE)+1),1)</f>
        <v>1.3116849029645421</v>
      </c>
      <c r="X227" s="56">
        <f>VLOOKUP(B227,'Player Data'!$A1:$AE667,12,FALSE)*$Q227*IFERROR((VLOOKUP(P227,Settings!$E$28:$F$33,2,FALSE)+1),1)</f>
        <v>4.8831345152623147</v>
      </c>
      <c r="Y227" s="56">
        <f>VLOOKUP(B227,'Player Data'!$A1:$AE667,13,FALSE)*$Q227</f>
        <v>3.5956549262850683E-2</v>
      </c>
      <c r="Z227" s="56">
        <f>VLOOKUP(B227,'Player Data'!$A1:$AE667,14,FALSE)*$Q227</f>
        <v>0.36244163676402946</v>
      </c>
      <c r="AA227" s="56">
        <f>VLOOKUP(B227,'Player Data'!$A1:$AE667,15,FALSE)*$Q227</f>
        <v>160.21991311090511</v>
      </c>
      <c r="AB227" s="56">
        <f>VLOOKUP(B227,'Player Data'!$A1:$AE667,16,FALSE)*$Q227</f>
        <v>117.81532344787537</v>
      </c>
      <c r="AC227" s="56">
        <f>VLOOKUP(B227,'Player Data'!$A1:$AE667,17,FALSE)*$Q227*IFERROR((VLOOKUP(P227,Settings!$E$28:$F$33,2,FALSE)+1),1)</f>
        <v>2.1262168671114385</v>
      </c>
      <c r="AD227" s="56">
        <f>VLOOKUP(B227,'Player Data'!$A1:$AE667,18,FALSE)*$Q227</f>
        <v>17.443217225109269</v>
      </c>
      <c r="AE227" s="56">
        <f>VLOOKUP(B227,'Player Data'!$A1:$AE667,19,FALSE)*$Q227*IFERROR((VLOOKUP(P227,Settings!$E$28:$F$33,2,FALSE)+1),1)</f>
        <v>0.81110246894868854</v>
      </c>
      <c r="AF227" s="56">
        <f>VLOOKUP(B227,'Player Data'!$A1:$AE667,20,FALSE)*$Q227</f>
        <v>0</v>
      </c>
      <c r="AG227" s="56">
        <f>VLOOKUP(B227,'Player Data'!$A1:$AE667,21,FALSE)*$Q227</f>
        <v>0</v>
      </c>
      <c r="AH227" s="58">
        <f>VLOOKUP(B227,'Player Data'!$A1:$AE667,22,FALSE)</f>
        <v>0</v>
      </c>
      <c r="AI227" s="54"/>
      <c r="AJ227" s="56"/>
      <c r="AK227" s="56"/>
      <c r="AL227" s="56"/>
      <c r="AM227" s="56"/>
      <c r="AN227" s="56"/>
      <c r="AO227" s="56"/>
      <c r="AP227" s="56"/>
      <c r="AQ227" s="59"/>
      <c r="AR227" s="60"/>
      <c r="AS227" s="64"/>
    </row>
    <row r="228" spans="1:45" ht="21.25" customHeight="1" x14ac:dyDescent="0.15">
      <c r="A228" s="45">
        <f>RANK(K228,K$1:K$665)</f>
        <v>227</v>
      </c>
      <c r="B228" s="9" t="s">
        <v>353</v>
      </c>
      <c r="C228" s="46" t="s">
        <v>127</v>
      </c>
      <c r="D228" s="47" t="str">
        <f>VLOOKUP(B228,'Player Data'!A1:D667,4,FALSE)</f>
        <v>G</v>
      </c>
      <c r="E228" s="73">
        <f>VLOOKUP(B228,G!A1:D65,3,FALSE)</f>
        <v>27</v>
      </c>
      <c r="F228" s="62" t="str">
        <f>VLOOKUP(B228,'Player Data'!A1:B667,2,FALSE)</f>
        <v>CBJ</v>
      </c>
      <c r="G228" s="10">
        <f>VLOOKUP(B228,'Player Data'!A1:D667,3,FALSE)</f>
        <v>30</v>
      </c>
      <c r="H228" s="50">
        <f>IFERROR(VLOOKUP(B228,ADP!A1:G665,7,FALSE)/1000000,VLOOKUP(B228,ADP!A1:G665,7,FALSE))</f>
        <v>5.4</v>
      </c>
      <c r="I228" s="51">
        <f>IF(Settings!$E$15="POINTS",(AJ228*Settings!$B$29)+(AK228*Settings!$B$21)+(AL228*Settings!$B$22)+(AN228*Settings!$B$24)+(AO228*Settings!$B$25)+(AP228*Settings!$B$27)+(AM228*Settings!$B$23),VLOOKUP(B228,'Standard Deviations'!A1:C666,3,FALSE))</f>
        <v>288.27038900851528</v>
      </c>
      <c r="J228" s="52">
        <f>IF(D228="G",I228/AJ228,I228/Q228)</f>
        <v>6.0056331043440681</v>
      </c>
      <c r="K228" s="51">
        <f>VLOOKUP(B228,G!A1:F65,6,FALSE)</f>
        <v>-122.3893537609049</v>
      </c>
      <c r="L228" s="53">
        <f>IFERROR(K228/H228,"N/A")</f>
        <v>-22.664695140908314</v>
      </c>
      <c r="M228" s="54">
        <f>IF(Settings!$E$9="YAHOO",VLOOKUP(B228,ADP!A1:E665,2,FALSE),IF(Settings!$E$9="ESPN",VLOOKUP(B228,ADP!A1:E665,3,FALSE),IF(Settings!$E$9="FANTRAX",VLOOKUP(B228,ADP!A1:E665,4,FALSE),VLOOKUP(B228,ADP!A1:E665,5,FALSE))))</f>
        <v>184</v>
      </c>
      <c r="N228" s="54">
        <f>IFERROR(M228-A228,"N/A")</f>
        <v>-43</v>
      </c>
      <c r="O228" s="54"/>
      <c r="P228" s="55" t="str">
        <f>IF(Settings!$E$27="ON",VLOOKUP(B228,ADP!A1:H665,8,FALSE)," ")</f>
        <v xml:space="preserve"> </v>
      </c>
      <c r="Q228" s="56"/>
      <c r="R228" s="54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8"/>
      <c r="AI228" s="54"/>
      <c r="AJ228" s="64">
        <f>VLOOKUP(B228,'Player Data'!$A1:$AE667,24,FALSE)</f>
        <v>48</v>
      </c>
      <c r="AK228" s="56">
        <f>VLOOKUP(B228,'Player Data'!$A1:$AE667,25,FALSE)*$AJ228*IFERROR((VLOOKUP(P228,Settings!$E$28:$F$33,2,FALSE)+1),1)</f>
        <v>18.282101880724895</v>
      </c>
      <c r="AL228" s="56">
        <f>AJ228-AK228-AM228</f>
        <v>23.717898119275105</v>
      </c>
      <c r="AM228" s="56">
        <f>VLOOKUP(B228,'Player Data'!$A1:$AE667,27,FALSE)*$AJ228</f>
        <v>6</v>
      </c>
      <c r="AN228" s="56">
        <f>VLOOKUP(B228,'Player Data'!$A1:$AE667,28,FALSE)*AJ228</f>
        <v>1.1065204852927151</v>
      </c>
      <c r="AO228" s="56">
        <f>VLOOKUP(B228,'Player Data'!$A1:$AE667,29,FALSE)*$AJ228*IFERROR((VLOOKUP(P228,Settings!$E$28:$F$33,2,FALSE)/4)+1,1)</f>
        <v>1396.2294544124063</v>
      </c>
      <c r="AP228" s="56">
        <f>VLOOKUP(B228,'Player Data'!$A1:$AE667,31,FALSE)*$AJ228*(IFERROR(1-(VLOOKUP(P228,Settings!$E$28:$F$33,2,FALSE)/4),1))</f>
        <v>155.2657214417184</v>
      </c>
      <c r="AQ228" s="59">
        <f>1-(AP228/(AO228+AP228))</f>
        <v>0.8999251020189335</v>
      </c>
      <c r="AR228" s="60">
        <f>AP228/AJ228</f>
        <v>3.2347025300358001</v>
      </c>
      <c r="AS228" s="54"/>
    </row>
    <row r="229" spans="1:45" ht="21.25" customHeight="1" x14ac:dyDescent="0.15">
      <c r="A229" s="45">
        <f>RANK(K229,K$1:K$665)</f>
        <v>228</v>
      </c>
      <c r="B229" s="9" t="s">
        <v>354</v>
      </c>
      <c r="C229" s="46" t="s">
        <v>127</v>
      </c>
      <c r="D229" s="47" t="str">
        <f>VLOOKUP(B229,'Player Data'!A1:D667,4,FALSE)</f>
        <v>C</v>
      </c>
      <c r="E229" s="48">
        <f>VLOOKUP(B229,'C'!A1:C206,3,FALSE)</f>
        <v>69</v>
      </c>
      <c r="F229" s="65" t="str">
        <f>VLOOKUP(B229,'Player Data'!A1:B667,2,FALSE)</f>
        <v>FLA</v>
      </c>
      <c r="G229" s="10">
        <f>VLOOKUP(B229,'Player Data'!A1:D667,3,FALSE)</f>
        <v>28</v>
      </c>
      <c r="H229" s="67">
        <f>IFERROR(VLOOKUP(B229,ADP!A1:G665,7,FALSE)/1000000,VLOOKUP(B229,ADP!A1:G665,7,FALSE))</f>
        <v>4.4000000000000004</v>
      </c>
      <c r="I229" s="51">
        <f>IF(Settings!$E$15="POINTS",((R229*Q229)*Settings!$B$12)+(S229*Settings!$B$2)+(T229*Settings!$B$3)+(U229*Settings!$B$4)+(V229*Settings!$B$5)+(X229*Settings!$B$9)+(AA229*Settings!$B$6)+(W229*Settings!$B$8)+(AB229*Settings!$B$7)+(AC229*Settings!$B$14)+(AD229*Settings!$B$15)+(AE229*Settings!$B$16)+(AF229*Settings!$B$17)+(AG229*Settings!$B$18)+(Y229*Settings!$B$10)+(Z229*Settings!$B$11),VLOOKUP(B229,'Standard Deviations'!A1:C666,3,FALSE))</f>
        <v>267.12345621811761</v>
      </c>
      <c r="J229" s="52">
        <f>IF(D229="G",I229/AJ229,I229/Q229)</f>
        <v>3.5143199081452123</v>
      </c>
      <c r="K229" s="51">
        <f>IF(Settings!$E$18="C/LW/RW",VLOOKUP(B229,'C'!A1:F206,6,FALSE),VLOOKUP(B229,F!A1:F392,6,FALSE))</f>
        <v>-122.81370155996348</v>
      </c>
      <c r="L229" s="53">
        <f>IFERROR(K229/H229,"N/A")</f>
        <v>-27.912204899991696</v>
      </c>
      <c r="M229" s="83" t="str">
        <f>IF(Settings!$E$9="YAHOO",VLOOKUP(B229,ADP!A1:E665,2,FALSE),IF(Settings!$E$9="ESPN",VLOOKUP(B229,ADP!A1:E665,3,FALSE),IF(Settings!$E$9="FANTRAX",VLOOKUP(B229,ADP!A1:E665,4,FALSE),VLOOKUP(B229,ADP!A1:E665,5,FALSE))))</f>
        <v>—</v>
      </c>
      <c r="N229" s="83" t="str">
        <f>IFERROR(M229-A229,"N/A")</f>
        <v>N/A</v>
      </c>
      <c r="O229" s="54"/>
      <c r="P229" s="55" t="str">
        <f>IF(Settings!$E$27="ON",VLOOKUP(B229,ADP!A1:H665,8,FALSE)," ")</f>
        <v xml:space="preserve"> </v>
      </c>
      <c r="Q229" s="56">
        <f>IF(Settings!$E$12="YES",VLOOKUP(B229,'Player Data'!A1:E667,5,FALSE),82)</f>
        <v>76.010000000000005</v>
      </c>
      <c r="R229" s="54">
        <f>VLOOKUP(B229,'Player Data'!$A1:$AE667,6,FALSE)</f>
        <v>16.713347613762501</v>
      </c>
      <c r="S229" s="56">
        <f>VLOOKUP(B229,'Player Data'!$A1:$AE667,7,FALSE)*$Q229*IFERROR((VLOOKUP(P229,Settings!$E$28:$F$33,2,FALSE)+1),1)</f>
        <v>21.197947085644728</v>
      </c>
      <c r="T229" s="56">
        <f>VLOOKUP(B229,'Player Data'!$A1:$AE667,8,FALSE)*$Q229*IFERROR((VLOOKUP(P229,Settings!$E$28:$F$33,2,FALSE)+1),1)</f>
        <v>24.161050768321768</v>
      </c>
      <c r="U229" s="56">
        <f>SUM(S229:T229)</f>
        <v>45.3589978539665</v>
      </c>
      <c r="V229" s="56">
        <f>VLOOKUP(B229,'Player Data'!$A1:$AE667,10,FALSE)*$Q229*IFERROR(((VLOOKUP(P229,Settings!$E$28:$F$33,2,FALSE)/2)+1),1)</f>
        <v>197.48414331606298</v>
      </c>
      <c r="W229" s="56">
        <f>VLOOKUP(B229,'Player Data'!$A1:$AE667,11,FALSE)*$Q229*IFERROR((VLOOKUP(P229,Settings!$E$28:$F$33,2,FALSE)+1),1)</f>
        <v>4.2075625789427598</v>
      </c>
      <c r="X229" s="56">
        <f>VLOOKUP(B229,'Player Data'!$A1:$AE667,12,FALSE)*$Q229*IFERROR((VLOOKUP(P229,Settings!$E$28:$F$33,2,FALSE)+1),1)</f>
        <v>9.7093680287311876</v>
      </c>
      <c r="Y229" s="56">
        <f>VLOOKUP(B229,'Player Data'!$A1:$AE667,13,FALSE)*$Q229</f>
        <v>0.10358427539238839</v>
      </c>
      <c r="Z229" s="56">
        <f>VLOOKUP(B229,'Player Data'!$A1:$AE667,14,FALSE)*$Q229</f>
        <v>0.33306423680916059</v>
      </c>
      <c r="AA229" s="56">
        <f>VLOOKUP(B229,'Player Data'!$A1:$AE667,15,FALSE)*$Q229</f>
        <v>44.523917465292591</v>
      </c>
      <c r="AB229" s="56">
        <f>VLOOKUP(B229,'Player Data'!$A1:$AE667,16,FALSE)*$Q229</f>
        <v>165.67395804402548</v>
      </c>
      <c r="AC229" s="56">
        <f>VLOOKUP(B229,'Player Data'!$A1:$AE667,17,FALSE)*$Q229*IFERROR((VLOOKUP(P229,Settings!$E$28:$F$33,2,FALSE)+1),1)</f>
        <v>6.867510190333844</v>
      </c>
      <c r="AD229" s="56">
        <f>VLOOKUP(B229,'Player Data'!$A1:$AE667,18,FALSE)*$Q229</f>
        <v>65.235454451031316</v>
      </c>
      <c r="AE229" s="56">
        <f>VLOOKUP(B229,'Player Data'!$A1:$AE667,19,FALSE)*$Q229*IFERROR((VLOOKUP(P229,Settings!$E$28:$F$33,2,FALSE)+1),1)</f>
        <v>3.6113189495978073</v>
      </c>
      <c r="AF229" s="56">
        <f>VLOOKUP(B229,'Player Data'!$A1:$AE667,20,FALSE)*$Q229</f>
        <v>444.71164363908719</v>
      </c>
      <c r="AG229" s="56">
        <f>VLOOKUP(B229,'Player Data'!$A1:$AE667,21,FALSE)*$Q229</f>
        <v>515.95006297422401</v>
      </c>
      <c r="AH229" s="58">
        <f>VLOOKUP(B229,'Player Data'!$A1:$AE667,22,FALSE)</f>
        <v>0.46292221348851398</v>
      </c>
      <c r="AI229" s="54"/>
      <c r="AJ229" s="56"/>
      <c r="AK229" s="56"/>
      <c r="AL229" s="56"/>
      <c r="AM229" s="56"/>
      <c r="AN229" s="56"/>
      <c r="AO229" s="56"/>
      <c r="AP229" s="56"/>
      <c r="AQ229" s="59"/>
      <c r="AR229" s="60"/>
      <c r="AS229" s="54"/>
    </row>
    <row r="230" spans="1:45" ht="21.25" customHeight="1" x14ac:dyDescent="0.15">
      <c r="A230" s="45">
        <f>RANK(K230,K$1:K$665)</f>
        <v>229</v>
      </c>
      <c r="B230" s="9" t="s">
        <v>355</v>
      </c>
      <c r="C230" s="46" t="s">
        <v>127</v>
      </c>
      <c r="D230" s="47" t="str">
        <f>VLOOKUP(B230,'Player Data'!A1:D667,4,FALSE)</f>
        <v>C/RW</v>
      </c>
      <c r="E230" s="68">
        <f>VLOOKUP(B230,RW!A1:C136,3,FALSE)</f>
        <v>59</v>
      </c>
      <c r="F230" s="72" t="str">
        <f>VLOOKUP(B230,'Player Data'!A1:B667,2,FALSE)</f>
        <v>MIN</v>
      </c>
      <c r="G230" s="10">
        <f>VLOOKUP(B230,'Player Data'!A1:D667,3,FALSE)</f>
        <v>29</v>
      </c>
      <c r="H230" s="50">
        <f>IFERROR(VLOOKUP(B230,ADP!A1:G665,7,FALSE)/1000000,VLOOKUP(B230,ADP!A1:G665,7,FALSE))</f>
        <v>4</v>
      </c>
      <c r="I230" s="51">
        <f>IF(Settings!$E$15="POINTS",((R230*Q230)*Settings!$B$12)+(S230*Settings!$B$2)+(T230*Settings!$B$3)+(U230*Settings!$B$4)+(V230*Settings!$B$5)+(X230*Settings!$B$9)+(AA230*Settings!$B$6)+(W230*Settings!$B$8)+(AB230*Settings!$B$7)+(AC230*Settings!$B$14)+(AD230*Settings!$B$15)+(AE230*Settings!$B$16)+(AF230*Settings!$B$17)+(AG230*Settings!$B$18)+(Y230*Settings!$B$10)+(Z230*Settings!$B$11),VLOOKUP(B230,'Standard Deviations'!A1:C666,3,FALSE))</f>
        <v>244.71474061035767</v>
      </c>
      <c r="J230" s="52">
        <f>IF(D230="G",I230/AJ230,I230/Q230)</f>
        <v>3.1597500320908698</v>
      </c>
      <c r="K230" s="51">
        <f>IF(Settings!$E$18="C/LW/RW",VLOOKUP(B230,RW!A1:F136,6,FALSE),VLOOKUP(B230,F!A1:F392,6,FALSE))</f>
        <v>-124.13298249593473</v>
      </c>
      <c r="L230" s="53">
        <f>IFERROR(K230/H230,"N/A")</f>
        <v>-31.033245623983682</v>
      </c>
      <c r="M230" s="83" t="str">
        <f>IF(Settings!$E$9="YAHOO",VLOOKUP(B230,ADP!A1:E665,2,FALSE),IF(Settings!$E$9="ESPN",VLOOKUP(B230,ADP!A1:E665,3,FALSE),IF(Settings!$E$9="FANTRAX",VLOOKUP(B230,ADP!A1:E665,4,FALSE),VLOOKUP(B230,ADP!A1:E665,5,FALSE))))</f>
        <v>—</v>
      </c>
      <c r="N230" s="83" t="str">
        <f>IFERROR(M230-A230,"N/A")</f>
        <v>N/A</v>
      </c>
      <c r="O230" s="54"/>
      <c r="P230" s="55" t="str">
        <f>IF(Settings!$E$27="ON",VLOOKUP(B230,ADP!A1:H665,8,FALSE)," ")</f>
        <v xml:space="preserve"> </v>
      </c>
      <c r="Q230" s="56">
        <f>IF(Settings!$E$12="YES",VLOOKUP(B230,'Player Data'!A1:E667,5,FALSE),82)</f>
        <v>77.447500000000005</v>
      </c>
      <c r="R230" s="81">
        <f>VLOOKUP(B230,'Player Data'!$A1:$AE667,6,FALSE)</f>
        <v>15.516700292514001</v>
      </c>
      <c r="S230" s="56">
        <f>VLOOKUP(B230,'Player Data'!$A1:$AE667,7,FALSE)*$Q230*IFERROR((VLOOKUP(P230,Settings!$E$28:$F$33,2,FALSE)+1),1)</f>
        <v>18.765799400105632</v>
      </c>
      <c r="T230" s="56">
        <f>VLOOKUP(B230,'Player Data'!$A1:$AE667,8,FALSE)*$Q230*IFERROR((VLOOKUP(P230,Settings!$E$28:$F$33,2,FALSE)+1),1)</f>
        <v>22.3098824266763</v>
      </c>
      <c r="U230" s="56">
        <f>SUM(S230:T230)</f>
        <v>41.075681826781931</v>
      </c>
      <c r="V230" s="56">
        <f>VLOOKUP(B230,'Player Data'!$A1:$AE667,10,FALSE)*$Q230*IFERROR(((VLOOKUP(P230,Settings!$E$28:$F$33,2,FALSE)/2)+1),1)</f>
        <v>170.81084993993107</v>
      </c>
      <c r="W230" s="56">
        <f>VLOOKUP(B230,'Player Data'!$A1:$AE667,11,FALSE)*$Q230*IFERROR((VLOOKUP(P230,Settings!$E$28:$F$33,2,FALSE)+1),1)</f>
        <v>2.4688970559825787</v>
      </c>
      <c r="X230" s="56">
        <f>VLOOKUP(B230,'Player Data'!$A1:$AE667,12,FALSE)*$Q230*IFERROR((VLOOKUP(P230,Settings!$E$28:$F$33,2,FALSE)+1),1)</f>
        <v>5.8927289761545154</v>
      </c>
      <c r="Y230" s="56">
        <f>VLOOKUP(B230,'Player Data'!$A1:$AE667,13,FALSE)*$Q230</f>
        <v>0.55188631589830928</v>
      </c>
      <c r="Z230" s="56">
        <f>VLOOKUP(B230,'Player Data'!$A1:$AE667,14,FALSE)*$Q230</f>
        <v>0.85503873746765491</v>
      </c>
      <c r="AA230" s="56">
        <f>VLOOKUP(B230,'Player Data'!$A1:$AE667,15,FALSE)*$Q230</f>
        <v>58.669004892848335</v>
      </c>
      <c r="AB230" s="56">
        <f>VLOOKUP(B230,'Player Data'!$A1:$AE667,16,FALSE)*$Q230</f>
        <v>73.913714793693288</v>
      </c>
      <c r="AC230" s="56">
        <f>VLOOKUP(B230,'Player Data'!$A1:$AE667,17,FALSE)*$Q230*IFERROR((VLOOKUP(P230,Settings!$E$28:$F$33,2,FALSE)+1),1)</f>
        <v>1.3181517109013303</v>
      </c>
      <c r="AD230" s="56">
        <f>VLOOKUP(B230,'Player Data'!$A1:$AE667,18,FALSE)*$Q230</f>
        <v>59.091109921650549</v>
      </c>
      <c r="AE230" s="56">
        <f>VLOOKUP(B230,'Player Data'!$A1:$AE667,19,FALSE)*$Q230*IFERROR((VLOOKUP(P230,Settings!$E$28:$F$33,2,FALSE)+1),1)</f>
        <v>3.0978417833048808</v>
      </c>
      <c r="AF230" s="56">
        <f>VLOOKUP(B230,'Player Data'!$A1:$AE667,20,FALSE)*$Q230</f>
        <v>359.1833966136906</v>
      </c>
      <c r="AG230" s="56">
        <f>VLOOKUP(B230,'Player Data'!$A1:$AE667,21,FALSE)*$Q230</f>
        <v>435.39159760066741</v>
      </c>
      <c r="AH230" s="58">
        <f>VLOOKUP(B230,'Player Data'!$A1:$AE667,22,FALSE)</f>
        <v>0.45204467700224499</v>
      </c>
      <c r="AI230" s="54"/>
      <c r="AJ230" s="64"/>
      <c r="AK230" s="56"/>
      <c r="AL230" s="56"/>
      <c r="AM230" s="56"/>
      <c r="AN230" s="56"/>
      <c r="AO230" s="56"/>
      <c r="AP230" s="56"/>
      <c r="AQ230" s="59"/>
      <c r="AR230" s="60"/>
      <c r="AS230" s="54"/>
    </row>
    <row r="231" spans="1:45" ht="21.25" customHeight="1" x14ac:dyDescent="0.15">
      <c r="A231" s="45">
        <f>RANK(K231,K$1:K$665)</f>
        <v>230</v>
      </c>
      <c r="B231" s="9" t="s">
        <v>356</v>
      </c>
      <c r="C231" s="46" t="s">
        <v>127</v>
      </c>
      <c r="D231" s="47" t="str">
        <f>VLOOKUP(B231,'Player Data'!A1:D667,4,FALSE)</f>
        <v>D</v>
      </c>
      <c r="E231" s="66">
        <f>VLOOKUP(B231,D!A1:C213,3,FALSE)</f>
        <v>68</v>
      </c>
      <c r="F231" s="77" t="str">
        <f>VLOOKUP(B231,'Player Data'!A1:B667,2,FALSE)</f>
        <v>CBJ</v>
      </c>
      <c r="G231" s="10">
        <f>VLOOKUP(B231,'Player Data'!A1:D667,3,FALSE)</f>
        <v>30</v>
      </c>
      <c r="H231" s="50">
        <f>IFERROR(VLOOKUP(B231,ADP!A1:G665,7,FALSE)/1000000,VLOOKUP(B231,ADP!A1:G665,7,FALSE))</f>
        <v>6.25</v>
      </c>
      <c r="I231" s="51">
        <f>IF(Settings!$E$15="POINTS",((R231*Q231)*Settings!$B$12)+(S231*Settings!$B$2)+(T231*Settings!$B$3)+(U231*Settings!$B$4)+(V231*Settings!$B$5)+(X231*Settings!$B$9)+(AA231*Settings!$B$6)+(W231*Settings!$B$8)+(AB231*Settings!$B$7)+(AC231*Settings!$B$14)+(AD231*Settings!$B$15)+(AE231*Settings!$B$16)+(AF231*Settings!$B$17)+(AG231*Settings!$B$18)+(U231*Settings!$B$13)+(Y231*Settings!$B$10)+(Z231*Settings!$B$11),VLOOKUP(B231,'Standard Deviations'!A1:C666,3,FALSE))</f>
        <v>211.75731156785469</v>
      </c>
      <c r="J231" s="52">
        <f>IF(D231="G",I231/AJ231,I231/Q231)</f>
        <v>2.6794547838523939</v>
      </c>
      <c r="K231" s="51">
        <f>VLOOKUP(B231,D!A1:F213,6,FALSE)</f>
        <v>-124.47681347774022</v>
      </c>
      <c r="L231" s="53">
        <f>IFERROR(K231/H231,"N/A")</f>
        <v>-19.916290156438436</v>
      </c>
      <c r="M231" s="83" t="str">
        <f>IF(Settings!$E$9="YAHOO",VLOOKUP(B231,ADP!A1:E665,2,FALSE),IF(Settings!$E$9="ESPN",VLOOKUP(B231,ADP!A1:E665,3,FALSE),IF(Settings!$E$9="FANTRAX",VLOOKUP(B231,ADP!A1:E665,4,FALSE),VLOOKUP(B231,ADP!A1:E665,5,FALSE))))</f>
        <v>—</v>
      </c>
      <c r="N231" s="83" t="str">
        <f>IFERROR(M231-A231,"N/A")</f>
        <v>N/A</v>
      </c>
      <c r="O231" s="54"/>
      <c r="P231" s="55" t="str">
        <f>IF(Settings!$E$27="ON",VLOOKUP(B231,ADP!A1:H665,8,FALSE)," ")</f>
        <v xml:space="preserve"> </v>
      </c>
      <c r="Q231" s="56">
        <f>IF(Settings!$E$12="YES",VLOOKUP(B231,'Player Data'!A1:E667,5,FALSE),82)</f>
        <v>79.03</v>
      </c>
      <c r="R231" s="54">
        <f>VLOOKUP(B231,'Player Data'!$A1:$AE667,6,FALSE)</f>
        <v>20.942894200668501</v>
      </c>
      <c r="S231" s="56">
        <f>VLOOKUP(B231,'Player Data'!$A1:$AE667,7,FALSE)*$Q231*IFERROR((VLOOKUP(P231,Settings!$E$28:$F$33,2,FALSE)+1),1)</f>
        <v>8.0842588950300573</v>
      </c>
      <c r="T231" s="56">
        <f>VLOOKUP(B231,'Player Data'!$A1:$AE667,8,FALSE)*$Q231*IFERROR((VLOOKUP(P231,Settings!$E$28:$F$33,2,FALSE)+1),1)</f>
        <v>24.812662303103828</v>
      </c>
      <c r="U231" s="56">
        <f>SUM(S231:T231)</f>
        <v>32.896921198133882</v>
      </c>
      <c r="V231" s="56">
        <f>VLOOKUP(B231,'Player Data'!$A1:$AE667,10,FALSE)*$Q231*IFERROR(((VLOOKUP(P231,Settings!$E$28:$F$33,2,FALSE)/2)+1),1)</f>
        <v>110.01674240736989</v>
      </c>
      <c r="W231" s="56">
        <f>VLOOKUP(B231,'Player Data'!$A1:$AE667,11,FALSE)*$Q231*IFERROR((VLOOKUP(P231,Settings!$E$28:$F$33,2,FALSE)+1),1)</f>
        <v>0.89176216506145278</v>
      </c>
      <c r="X231" s="56">
        <f>VLOOKUP(B231,'Player Data'!$A1:$AE667,12,FALSE)*$Q231*IFERROR((VLOOKUP(P231,Settings!$E$28:$F$33,2,FALSE)+1),1)</f>
        <v>4.069285255920625</v>
      </c>
      <c r="Y231" s="56">
        <f>VLOOKUP(B231,'Player Data'!$A1:$AE667,13,FALSE)*$Q231</f>
        <v>0.21567021356630281</v>
      </c>
      <c r="Z231" s="56">
        <f>VLOOKUP(B231,'Player Data'!$A1:$AE667,14,FALSE)*$Q231</f>
        <v>0.76590157386640767</v>
      </c>
      <c r="AA231" s="56">
        <f>VLOOKUP(B231,'Player Data'!$A1:$AE667,15,FALSE)*$Q231</f>
        <v>106.44597987996204</v>
      </c>
      <c r="AB231" s="56">
        <f>VLOOKUP(B231,'Player Data'!$A1:$AE667,16,FALSE)*$Q231</f>
        <v>61.217004549934146</v>
      </c>
      <c r="AC231" s="56">
        <f>VLOOKUP(B231,'Player Data'!$A1:$AE667,17,FALSE)*$Q231*IFERROR((VLOOKUP(P231,Settings!$E$28:$F$33,2,FALSE)+1),1)</f>
        <v>-7.174734238709302</v>
      </c>
      <c r="AD231" s="56">
        <f>VLOOKUP(B231,'Player Data'!$A1:$AE667,18,FALSE)*$Q231</f>
        <v>47.647803174555101</v>
      </c>
      <c r="AE231" s="56">
        <f>VLOOKUP(B231,'Player Data'!$A1:$AE667,19,FALSE)*$Q231*IFERROR((VLOOKUP(P231,Settings!$E$28:$F$33,2,FALSE)+1),1)</f>
        <v>0.89399250811988695</v>
      </c>
      <c r="AF231" s="56">
        <f>VLOOKUP(B231,'Player Data'!$A1:$AE667,20,FALSE)*$Q231</f>
        <v>0</v>
      </c>
      <c r="AG231" s="56">
        <f>VLOOKUP(B231,'Player Data'!$A1:$AE667,21,FALSE)*$Q231</f>
        <v>0</v>
      </c>
      <c r="AH231" s="58">
        <f>VLOOKUP(B231,'Player Data'!$A1:$AE667,22,FALSE)</f>
        <v>0</v>
      </c>
      <c r="AI231" s="54"/>
      <c r="AJ231" s="64"/>
      <c r="AK231" s="56"/>
      <c r="AL231" s="56"/>
      <c r="AM231" s="56"/>
      <c r="AN231" s="56"/>
      <c r="AO231" s="56"/>
      <c r="AP231" s="56"/>
      <c r="AQ231" s="59"/>
      <c r="AR231" s="60"/>
      <c r="AS231" s="64"/>
    </row>
    <row r="232" spans="1:45" ht="21.25" customHeight="1" x14ac:dyDescent="0.15">
      <c r="A232" s="45">
        <f>RANK(K232,K$1:K$665)</f>
        <v>231</v>
      </c>
      <c r="B232" s="9" t="s">
        <v>357</v>
      </c>
      <c r="C232" s="46" t="s">
        <v>127</v>
      </c>
      <c r="D232" s="47" t="str">
        <f>VLOOKUP(B232,'Player Data'!A1:D667,4,FALSE)</f>
        <v>D</v>
      </c>
      <c r="E232" s="66">
        <f>VLOOKUP(B232,D!A1:C213,3,FALSE)</f>
        <v>69</v>
      </c>
      <c r="F232" s="72" t="str">
        <f>VLOOKUP(B232,'Player Data'!A1:B667,2,FALSE)</f>
        <v>L.A</v>
      </c>
      <c r="G232" s="69">
        <f>VLOOKUP(B232,'Player Data'!A1:D667,3,FALSE)</f>
        <v>21</v>
      </c>
      <c r="H232" s="50">
        <f>IFERROR(VLOOKUP(B232,ADP!A1:G665,7,FALSE)/1000000,VLOOKUP(B232,ADP!A1:G665,7,FALSE))</f>
        <v>0.86299999999999999</v>
      </c>
      <c r="I232" s="51">
        <f>IF(Settings!$E$15="POINTS",((R232*Q232)*Settings!$B$12)+(S232*Settings!$B$2)+(T232*Settings!$B$3)+(U232*Settings!$B$4)+(V232*Settings!$B$5)+(X232*Settings!$B$9)+(AA232*Settings!$B$6)+(W232*Settings!$B$8)+(AB232*Settings!$B$7)+(AC232*Settings!$B$14)+(AD232*Settings!$B$15)+(AE232*Settings!$B$16)+(AF232*Settings!$B$17)+(AG232*Settings!$B$18)+(U232*Settings!$B$13)+(Y232*Settings!$B$10)+(Z232*Settings!$B$11),VLOOKUP(B232,'Standard Deviations'!A1:C666,3,FALSE))</f>
        <v>211.60104902633512</v>
      </c>
      <c r="J232" s="52">
        <f>IF(D232="G",I232/AJ232,I232/Q232)</f>
        <v>3.0567143232406666</v>
      </c>
      <c r="K232" s="51">
        <f>VLOOKUP(B232,D!A1:F213,6,FALSE)</f>
        <v>-124.63307601925979</v>
      </c>
      <c r="L232" s="53">
        <f>IFERROR(K232/H232,"N/A")</f>
        <v>-144.41839631432188</v>
      </c>
      <c r="M232" s="83" t="str">
        <f>IF(Settings!$E$9="YAHOO",VLOOKUP(B232,ADP!A1:E665,2,FALSE),IF(Settings!$E$9="ESPN",VLOOKUP(B232,ADP!A1:E665,3,FALSE),IF(Settings!$E$9="FANTRAX",VLOOKUP(B232,ADP!A1:E665,4,FALSE),VLOOKUP(B232,ADP!A1:E665,5,FALSE))))</f>
        <v>—</v>
      </c>
      <c r="N232" s="83" t="str">
        <f>IFERROR(M232-A232,"N/A")</f>
        <v>N/A</v>
      </c>
      <c r="O232" s="54"/>
      <c r="P232" s="55" t="str">
        <f>IF(Settings!$E$27="ON",VLOOKUP(B232,ADP!A1:H665,8,FALSE)," ")</f>
        <v xml:space="preserve"> </v>
      </c>
      <c r="Q232" s="56">
        <f>IF(Settings!$E$12="YES",VLOOKUP(B232,'Player Data'!A1:E667,5,FALSE),82)</f>
        <v>69.224999999999994</v>
      </c>
      <c r="R232" s="75">
        <f>VLOOKUP(B232,'Player Data'!$A1:$AE667,6,FALSE)</f>
        <v>18.7807766049694</v>
      </c>
      <c r="S232" s="56">
        <f>VLOOKUP(B232,'Player Data'!$A1:$AE667,7,FALSE)*$Q232*IFERROR((VLOOKUP(P232,Settings!$E$28:$F$33,2,FALSE)+1),1)</f>
        <v>6.1051999208664629</v>
      </c>
      <c r="T232" s="56">
        <f>VLOOKUP(B232,'Player Data'!$A1:$AE667,8,FALSE)*$Q232*IFERROR((VLOOKUP(P232,Settings!$E$28:$F$33,2,FALSE)+1),1)</f>
        <v>21.543998230945625</v>
      </c>
      <c r="U232" s="56">
        <f>SUM(S232:T232)</f>
        <v>27.649198151812087</v>
      </c>
      <c r="V232" s="56">
        <f>VLOOKUP(B232,'Player Data'!$A1:$AE667,10,FALSE)*$Q232*IFERROR(((VLOOKUP(P232,Settings!$E$28:$F$33,2,FALSE)/2)+1),1)</f>
        <v>126.86301781268871</v>
      </c>
      <c r="W232" s="56">
        <f>VLOOKUP(B232,'Player Data'!$A1:$AE667,11,FALSE)*$Q232*IFERROR((VLOOKUP(P232,Settings!$E$28:$F$33,2,FALSE)+1),1)</f>
        <v>0.74664902255147969</v>
      </c>
      <c r="X232" s="56">
        <f>VLOOKUP(B232,'Player Data'!$A1:$AE667,12,FALSE)*$Q232*IFERROR((VLOOKUP(P232,Settings!$E$28:$F$33,2,FALSE)+1),1)</f>
        <v>11.039667809034476</v>
      </c>
      <c r="Y232" s="56">
        <f>VLOOKUP(B232,'Player Data'!$A1:$AE667,13,FALSE)*$Q232</f>
        <v>2.7791547152501504E-2</v>
      </c>
      <c r="Z232" s="56">
        <f>VLOOKUP(B232,'Player Data'!$A1:$AE667,14,FALSE)*$Q232</f>
        <v>0.13591645883897674</v>
      </c>
      <c r="AA232" s="56">
        <f>VLOOKUP(B232,'Player Data'!$A1:$AE667,15,FALSE)*$Q232</f>
        <v>108.09272279336207</v>
      </c>
      <c r="AB232" s="56">
        <f>VLOOKUP(B232,'Player Data'!$A1:$AE667,16,FALSE)*$Q232</f>
        <v>81.688711896239056</v>
      </c>
      <c r="AC232" s="56">
        <f>VLOOKUP(B232,'Player Data'!$A1:$AE667,17,FALSE)*$Q232*IFERROR((VLOOKUP(P232,Settings!$E$28:$F$33,2,FALSE)+1),1)</f>
        <v>0.69011498796450144</v>
      </c>
      <c r="AD232" s="56">
        <f>VLOOKUP(B232,'Player Data'!$A1:$AE667,18,FALSE)*$Q232</f>
        <v>39.814944440502828</v>
      </c>
      <c r="AE232" s="56">
        <f>VLOOKUP(B232,'Player Data'!$A1:$AE667,19,FALSE)*$Q232*IFERROR((VLOOKUP(P232,Settings!$E$28:$F$33,2,FALSE)+1),1)</f>
        <v>1.0880178757761627</v>
      </c>
      <c r="AF232" s="56">
        <f>VLOOKUP(B232,'Player Data'!$A1:$AE667,20,FALSE)*$Q232</f>
        <v>0</v>
      </c>
      <c r="AG232" s="56">
        <f>VLOOKUP(B232,'Player Data'!$A1:$AE667,21,FALSE)*$Q232</f>
        <v>0</v>
      </c>
      <c r="AH232" s="58">
        <f>VLOOKUP(B232,'Player Data'!$A1:$AE667,22,FALSE)</f>
        <v>0</v>
      </c>
      <c r="AI232" s="54"/>
      <c r="AJ232" s="56"/>
      <c r="AK232" s="56"/>
      <c r="AL232" s="56"/>
      <c r="AM232" s="56"/>
      <c r="AN232" s="56"/>
      <c r="AO232" s="56"/>
      <c r="AP232" s="56"/>
      <c r="AQ232" s="59"/>
      <c r="AR232" s="60"/>
      <c r="AS232" s="54"/>
    </row>
    <row r="233" spans="1:45" ht="21.25" customHeight="1" x14ac:dyDescent="0.15">
      <c r="A233" s="45">
        <f>RANK(K233,K$1:K$665)</f>
        <v>232</v>
      </c>
      <c r="B233" s="9" t="s">
        <v>358</v>
      </c>
      <c r="C233" s="46" t="s">
        <v>127</v>
      </c>
      <c r="D233" s="47" t="str">
        <f>VLOOKUP(B233,'Player Data'!A1:D667,4,FALSE)</f>
        <v>C</v>
      </c>
      <c r="E233" s="48">
        <f>VLOOKUP(B233,'C'!A1:C206,3,FALSE)</f>
        <v>71</v>
      </c>
      <c r="F233" s="55" t="str">
        <f>VLOOKUP(B233,'Player Data'!A1:B667,2,FALSE)</f>
        <v>N.J</v>
      </c>
      <c r="G233" s="69">
        <f>VLOOKUP(B233,'Player Data'!A1:D667,3,FALSE)</f>
        <v>22</v>
      </c>
      <c r="H233" s="65" t="str">
        <f>IFERROR(VLOOKUP(B233,ADP!A1:G665,7,FALSE)/1000000,VLOOKUP(B233,ADP!A1:G665,7,FALSE))</f>
        <v>RFA</v>
      </c>
      <c r="I233" s="51">
        <f>IF(Settings!$E$15="POINTS",((R233*Q233)*Settings!$B$12)+(S233*Settings!$B$2)+(T233*Settings!$B$3)+(U233*Settings!$B$4)+(V233*Settings!$B$5)+(X233*Settings!$B$9)+(AA233*Settings!$B$6)+(W233*Settings!$B$8)+(AB233*Settings!$B$7)+(AC233*Settings!$B$14)+(AD233*Settings!$B$15)+(AE233*Settings!$B$16)+(AF233*Settings!$B$17)+(AG233*Settings!$B$18)+(Y233*Settings!$B$10)+(Z233*Settings!$B$11),VLOOKUP(B233,'Standard Deviations'!A1:C666,3,FALSE))</f>
        <v>265.26452766369027</v>
      </c>
      <c r="J233" s="52">
        <f>IF(D233="G",I233/AJ233,I233/Q233)</f>
        <v>3.2337501848554222</v>
      </c>
      <c r="K233" s="51">
        <f>IF(Settings!$E$18="C/LW/RW",VLOOKUP(B233,'C'!A1:F206,6,FALSE),VLOOKUP(B233,F!A1:F392,6,FALSE))</f>
        <v>-124.67263011439081</v>
      </c>
      <c r="L233" s="76" t="str">
        <f>IFERROR(K233/H233,"N/A")</f>
        <v>N/A</v>
      </c>
      <c r="M233" s="54">
        <f>IF(Settings!$E$9="YAHOO",VLOOKUP(B233,ADP!A1:E665,2,FALSE),IF(Settings!$E$9="ESPN",VLOOKUP(B233,ADP!A1:E665,3,FALSE),IF(Settings!$E$9="FANTRAX",VLOOKUP(B233,ADP!A1:E665,4,FALSE),VLOOKUP(B233,ADP!A1:E665,5,FALSE))))</f>
        <v>176.3</v>
      </c>
      <c r="N233" s="54">
        <f>IFERROR(M233-A233,"N/A")</f>
        <v>-55.699999999999989</v>
      </c>
      <c r="O233" s="54"/>
      <c r="P233" s="55" t="str">
        <f>IF(Settings!$E$27="ON",VLOOKUP(B233,ADP!A1:H665,8,FALSE)," ")</f>
        <v>+</v>
      </c>
      <c r="Q233" s="56">
        <f>IF(Settings!$E$12="YES",VLOOKUP(B233,'Player Data'!A1:E667,5,FALSE),82)</f>
        <v>82.03</v>
      </c>
      <c r="R233" s="54">
        <f>VLOOKUP(B233,'Player Data'!$A1:$AE667,6,FALSE)</f>
        <v>17.4988918971526</v>
      </c>
      <c r="S233" s="56">
        <f>VLOOKUP(B233,'Player Data'!$A1:$AE667,7,FALSE)*$Q233*IFERROR((VLOOKUP(P233,Settings!$E$28:$F$33,2,FALSE)+1),1)</f>
        <v>25.968265968363671</v>
      </c>
      <c r="T233" s="56">
        <f>VLOOKUP(B233,'Player Data'!$A1:$AE667,8,FALSE)*$Q233*IFERROR((VLOOKUP(P233,Settings!$E$28:$F$33,2,FALSE)+1),1)</f>
        <v>25.47947284641463</v>
      </c>
      <c r="U233" s="56">
        <f>SUM(S233:T233)</f>
        <v>51.447738814778305</v>
      </c>
      <c r="V233" s="56">
        <f>VLOOKUP(B233,'Player Data'!$A1:$AE667,10,FALSE)*$Q233*IFERROR(((VLOOKUP(P233,Settings!$E$28:$F$33,2,FALSE)/2)+1),1)</f>
        <v>152.76745878001412</v>
      </c>
      <c r="W233" s="56">
        <f>VLOOKUP(B233,'Player Data'!$A1:$AE667,11,FALSE)*$Q233*IFERROR((VLOOKUP(P233,Settings!$E$28:$F$33,2,FALSE)+1),1)</f>
        <v>3.6862961444833733</v>
      </c>
      <c r="X233" s="56">
        <f>VLOOKUP(B233,'Player Data'!$A1:$AE667,12,FALSE)*$Q233*IFERROR((VLOOKUP(P233,Settings!$E$28:$F$33,2,FALSE)+1),1)</f>
        <v>8.2400706654244544</v>
      </c>
      <c r="Y233" s="56">
        <f>VLOOKUP(B233,'Player Data'!$A1:$AE667,13,FALSE)*$Q233</f>
        <v>0.84122493357674455</v>
      </c>
      <c r="Z233" s="56">
        <f>VLOOKUP(B233,'Player Data'!$A1:$AE667,14,FALSE)*$Q233</f>
        <v>1.4217005521256989</v>
      </c>
      <c r="AA233" s="56">
        <f>VLOOKUP(B233,'Player Data'!$A1:$AE667,15,FALSE)*$Q233</f>
        <v>49.75162122359631</v>
      </c>
      <c r="AB233" s="56">
        <f>VLOOKUP(B233,'Player Data'!$A1:$AE667,16,FALSE)*$Q233</f>
        <v>36.056150454643287</v>
      </c>
      <c r="AC233" s="56">
        <f>VLOOKUP(B233,'Player Data'!$A1:$AE667,17,FALSE)*$Q233*IFERROR((VLOOKUP(P233,Settings!$E$28:$F$33,2,FALSE)+1),1)</f>
        <v>1.7626949925109847</v>
      </c>
      <c r="AD233" s="56">
        <f>VLOOKUP(B233,'Player Data'!$A1:$AE667,18,FALSE)*$Q233</f>
        <v>23.613090785565014</v>
      </c>
      <c r="AE233" s="56">
        <f>VLOOKUP(B233,'Player Data'!$A1:$AE667,19,FALSE)*$Q233*IFERROR((VLOOKUP(P233,Settings!$E$28:$F$33,2,FALSE)+1),1)</f>
        <v>3.9179964339111284</v>
      </c>
      <c r="AF233" s="56">
        <f>VLOOKUP(B233,'Player Data'!$A1:$AE667,20,FALSE)*$Q233</f>
        <v>128.01116580581004</v>
      </c>
      <c r="AG233" s="56">
        <f>VLOOKUP(B233,'Player Data'!$A1:$AE667,21,FALSE)*$Q233</f>
        <v>178.23491120595864</v>
      </c>
      <c r="AH233" s="58">
        <f>VLOOKUP(B233,'Player Data'!$A1:$AE667,22,FALSE)</f>
        <v>0.41800099793895701</v>
      </c>
      <c r="AI233" s="54"/>
      <c r="AJ233" s="56"/>
      <c r="AK233" s="56"/>
      <c r="AL233" s="56"/>
      <c r="AM233" s="56"/>
      <c r="AN233" s="56"/>
      <c r="AO233" s="56"/>
      <c r="AP233" s="56"/>
      <c r="AQ233" s="59"/>
      <c r="AR233" s="60"/>
      <c r="AS233" s="54"/>
    </row>
    <row r="234" spans="1:45" ht="21.25" customHeight="1" x14ac:dyDescent="0.15">
      <c r="A234" s="45">
        <f>RANK(K234,K$1:K$665)</f>
        <v>233</v>
      </c>
      <c r="B234" s="9" t="s">
        <v>359</v>
      </c>
      <c r="C234" s="46" t="s">
        <v>127</v>
      </c>
      <c r="D234" s="47" t="str">
        <f>VLOOKUP(B234,'Player Data'!A1:D667,4,FALSE)</f>
        <v>G</v>
      </c>
      <c r="E234" s="73">
        <f>VLOOKUP(B234,G!A1:D65,3,FALSE)</f>
        <v>28</v>
      </c>
      <c r="F234" s="74" t="str">
        <f>VLOOKUP(B234,'Player Data'!A1:B667,2,FALSE)</f>
        <v>DET</v>
      </c>
      <c r="G234" s="63">
        <f>VLOOKUP(B234,'Player Data'!A1:D667,3,FALSE)</f>
        <v>37</v>
      </c>
      <c r="H234" s="50">
        <f>IFERROR(VLOOKUP(B234,ADP!A1:G665,7,FALSE)/1000000,VLOOKUP(B234,ADP!A1:G665,7,FALSE))</f>
        <v>2.5</v>
      </c>
      <c r="I234" s="51">
        <f>IF(Settings!$E$15="POINTS",(AJ234*Settings!$B$29)+(AK234*Settings!$B$21)+(AL234*Settings!$B$22)+(AN234*Settings!$B$24)+(AO234*Settings!$B$25)+(AP234*Settings!$B$27)+(AM234*Settings!$B$23),VLOOKUP(B234,'Standard Deviations'!A1:C666,3,FALSE))</f>
        <v>285.60226385770829</v>
      </c>
      <c r="J234" s="52">
        <f>IF(D234="G",I234/AJ234,I234/Q234)</f>
        <v>6.4909605422206429</v>
      </c>
      <c r="K234" s="51">
        <f>VLOOKUP(B234,G!A1:F65,6,FALSE)</f>
        <v>-125.05747891171188</v>
      </c>
      <c r="L234" s="53">
        <f>IFERROR(K234/H234,"N/A")</f>
        <v>-50.022991564684752</v>
      </c>
      <c r="M234" s="54">
        <f>IF(Settings!$E$9="YAHOO",VLOOKUP(B234,ADP!A1:E665,2,FALSE),IF(Settings!$E$9="ESPN",VLOOKUP(B234,ADP!A1:E665,3,FALSE),IF(Settings!$E$9="FANTRAX",VLOOKUP(B234,ADP!A1:E665,4,FALSE),VLOOKUP(B234,ADP!A1:E665,5,FALSE))))</f>
        <v>171.7</v>
      </c>
      <c r="N234" s="54">
        <f>IFERROR(M234-A234,"N/A")</f>
        <v>-61.300000000000011</v>
      </c>
      <c r="O234" s="54"/>
      <c r="P234" s="55" t="str">
        <f>IF(Settings!$E$27="ON",VLOOKUP(B234,ADP!A1:H665,8,FALSE)," ")</f>
        <v>-</v>
      </c>
      <c r="Q234" s="56"/>
      <c r="R234" s="54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8"/>
      <c r="AI234" s="54"/>
      <c r="AJ234" s="64">
        <f>VLOOKUP(B234,'Player Data'!$A1:$AE667,24,FALSE)</f>
        <v>44</v>
      </c>
      <c r="AK234" s="56">
        <f>VLOOKUP(B234,'Player Data'!$A1:$AE667,25,FALSE)*$AJ234*IFERROR((VLOOKUP(P234,Settings!$E$28:$F$33,2,FALSE)+1),1)</f>
        <v>19.063434705464658</v>
      </c>
      <c r="AL234" s="56">
        <f>AJ234-AK234-AM234</f>
        <v>19.436565294535342</v>
      </c>
      <c r="AM234" s="56">
        <f>VLOOKUP(B234,'Player Data'!$A1:$AE667,27,FALSE)*$AJ234</f>
        <v>5.5</v>
      </c>
      <c r="AN234" s="56">
        <f>VLOOKUP(B234,'Player Data'!$A1:$AE667,28,FALSE)*AJ234</f>
        <v>2.1627089660395606</v>
      </c>
      <c r="AO234" s="56">
        <f>VLOOKUP(B234,'Player Data'!$A1:$AE667,29,FALSE)*$AJ234*IFERROR((VLOOKUP(P234,Settings!$E$28:$F$33,2,FALSE)/4)+1,1)</f>
        <v>1225.5859055604626</v>
      </c>
      <c r="AP234" s="56">
        <f>VLOOKUP(B234,'Player Data'!$A1:$AE667,31,FALSE)*$AJ234*(IFERROR(1-(VLOOKUP(P234,Settings!$E$28:$F$33,2,FALSE)/4),1))</f>
        <v>128.84790066831886</v>
      </c>
      <c r="AQ234" s="59">
        <f>1-(AP234/(AO234+AP234))</f>
        <v>0.90486954764731053</v>
      </c>
      <c r="AR234" s="60">
        <f>AP234/AJ234</f>
        <v>2.9283613788254286</v>
      </c>
      <c r="AS234" s="54"/>
    </row>
    <row r="235" spans="1:45" ht="21.25" customHeight="1" x14ac:dyDescent="0.15">
      <c r="A235" s="45">
        <f>RANK(K235,K$1:K$665)</f>
        <v>234</v>
      </c>
      <c r="B235" s="9" t="s">
        <v>360</v>
      </c>
      <c r="C235" s="46" t="s">
        <v>127</v>
      </c>
      <c r="D235" s="47" t="str">
        <f>VLOOKUP(B235,'Player Data'!A1:D667,4,FALSE)</f>
        <v>RW</v>
      </c>
      <c r="E235" s="61">
        <f>VLOOKUP(B235,RW!A1:F136,3,FALSE)</f>
        <v>60</v>
      </c>
      <c r="F235" s="65" t="str">
        <f>VLOOKUP(B235,'Player Data'!A1:B667,2,FALSE)</f>
        <v>BUF</v>
      </c>
      <c r="G235" s="69">
        <f>VLOOKUP(B235,'Player Data'!A1:D667,3,FALSE)</f>
        <v>22</v>
      </c>
      <c r="H235" s="67">
        <f>IFERROR(VLOOKUP(B235,ADP!A1:G665,7,FALSE)/1000000,VLOOKUP(B235,ADP!A1:G665,7,FALSE))</f>
        <v>0.86333300000000002</v>
      </c>
      <c r="I235" s="51">
        <f>IF(Settings!$E$15="POINTS",((R235*Q235)*Settings!$B$12)+(S235*Settings!$B$2)+(T235*Settings!$B$3)+(U235*Settings!$B$4)+(V235*Settings!$B$5)+(X235*Settings!$B$9)+(AA235*Settings!$B$6)+(W235*Settings!$B$8)+(AB235*Settings!$B$7)+(AC235*Settings!$B$14)+(AD235*Settings!$B$15)+(AE235*Settings!$B$16)+(AF235*Settings!$B$17)+(AG235*Settings!$B$18)+(Y235*Settings!$B$10)+(Z235*Settings!$B$11),VLOOKUP(B235,'Standard Deviations'!A1:C666,3,FALSE))</f>
        <v>243.45736444337584</v>
      </c>
      <c r="J235" s="52">
        <f>IF(D235="G",I235/AJ235,I235/Q235)</f>
        <v>3.5694943837457056</v>
      </c>
      <c r="K235" s="51">
        <f>IF(Settings!$E$18="C/LW/RW",VLOOKUP(B235,RW!A1:F136,6,FALSE),VLOOKUP(B235,F!A1:F392,6,FALSE))</f>
        <v>-125.39035866291655</v>
      </c>
      <c r="L235" s="53">
        <f>IFERROR(K235/H235,"N/A")</f>
        <v>-145.23985375621754</v>
      </c>
      <c r="M235" s="54">
        <f>IF(Settings!$E$9="YAHOO",VLOOKUP(B235,ADP!A1:E665,2,FALSE),IF(Settings!$E$9="ESPN",VLOOKUP(B235,ADP!A1:E665,3,FALSE),IF(Settings!$E$9="FANTRAX",VLOOKUP(B235,ADP!A1:E665,4,FALSE),VLOOKUP(B235,ADP!A1:E665,5,FALSE))))</f>
        <v>190</v>
      </c>
      <c r="N235" s="54">
        <f>IFERROR(M235-A235,"N/A")</f>
        <v>-44</v>
      </c>
      <c r="O235" s="54"/>
      <c r="P235" s="55" t="str">
        <f>IF(Settings!$E$27="ON",VLOOKUP(B235,ADP!A1:H665,8,FALSE)," ")</f>
        <v xml:space="preserve"> </v>
      </c>
      <c r="Q235" s="56">
        <f>IF(Settings!$E$12="YES",VLOOKUP(B235,'Player Data'!A1:E667,5,FALSE),82)</f>
        <v>68.204999999999998</v>
      </c>
      <c r="R235" s="75">
        <f>VLOOKUP(B235,'Player Data'!$A1:$AE667,6,FALSE)</f>
        <v>16.967431027533198</v>
      </c>
      <c r="S235" s="56">
        <f>VLOOKUP(B235,'Player Data'!$A1:$AE667,7,FALSE)*$Q235*IFERROR((VLOOKUP(P235,Settings!$E$28:$F$33,2,FALSE)+1),1)</f>
        <v>20.443772075431323</v>
      </c>
      <c r="T235" s="56">
        <f>VLOOKUP(B235,'Player Data'!$A1:$AE667,8,FALSE)*$Q235*IFERROR((VLOOKUP(P235,Settings!$E$28:$F$33,2,FALSE)+1),1)</f>
        <v>27.915626256124874</v>
      </c>
      <c r="U235" s="56">
        <f>SUM(S235:T235)</f>
        <v>48.359398331556193</v>
      </c>
      <c r="V235" s="56">
        <f>VLOOKUP(B235,'Player Data'!$A1:$AE667,10,FALSE)*$Q235*IFERROR(((VLOOKUP(P235,Settings!$E$28:$F$33,2,FALSE)/2)+1),1)</f>
        <v>149.38144518421095</v>
      </c>
      <c r="W235" s="56">
        <f>VLOOKUP(B235,'Player Data'!$A1:$AE667,11,FALSE)*$Q235*IFERROR((VLOOKUP(P235,Settings!$E$28:$F$33,2,FALSE)+1),1)</f>
        <v>2.9621450686879638</v>
      </c>
      <c r="X235" s="56">
        <f>VLOOKUP(B235,'Player Data'!$A1:$AE667,12,FALSE)*$Q235*IFERROR((VLOOKUP(P235,Settings!$E$28:$F$33,2,FALSE)+1),1)</f>
        <v>8.6635423155539666</v>
      </c>
      <c r="Y235" s="56">
        <f>VLOOKUP(B235,'Player Data'!$A1:$AE667,13,FALSE)*$Q235</f>
        <v>0.14221234759399581</v>
      </c>
      <c r="Z235" s="56">
        <f>VLOOKUP(B235,'Player Data'!$A1:$AE667,14,FALSE)*$Q235</f>
        <v>0.59281871081546833</v>
      </c>
      <c r="AA235" s="56">
        <f>VLOOKUP(B235,'Player Data'!$A1:$AE667,15,FALSE)*$Q235</f>
        <v>28.864171660464656</v>
      </c>
      <c r="AB235" s="56">
        <f>VLOOKUP(B235,'Player Data'!$A1:$AE667,16,FALSE)*$Q235</f>
        <v>64.741022812409611</v>
      </c>
      <c r="AC235" s="56">
        <f>VLOOKUP(B235,'Player Data'!$A1:$AE667,17,FALSE)*$Q235*IFERROR((VLOOKUP(P235,Settings!$E$28:$F$33,2,FALSE)+1),1)</f>
        <v>9.040809576340407E-2</v>
      </c>
      <c r="AD235" s="56">
        <f>VLOOKUP(B235,'Player Data'!$A1:$AE667,18,FALSE)*$Q235</f>
        <v>22.655976819940097</v>
      </c>
      <c r="AE235" s="56">
        <f>VLOOKUP(B235,'Player Data'!$A1:$AE667,19,FALSE)*$Q235*IFERROR((VLOOKUP(P235,Settings!$E$28:$F$33,2,FALSE)+1),1)</f>
        <v>2.8918826898149517</v>
      </c>
      <c r="AF235" s="56">
        <f>VLOOKUP(B235,'Player Data'!$A1:$AE667,20,FALSE)*$Q235</f>
        <v>9.3588861597846655</v>
      </c>
      <c r="AG235" s="56">
        <f>VLOOKUP(B235,'Player Data'!$A1:$AE667,21,FALSE)*$Q235</f>
        <v>19.10052104719508</v>
      </c>
      <c r="AH235" s="58">
        <f>VLOOKUP(B235,'Player Data'!$A1:$AE667,22,FALSE)</f>
        <v>0.32885035488333703</v>
      </c>
      <c r="AI235" s="54"/>
      <c r="AJ235" s="56"/>
      <c r="AK235" s="56"/>
      <c r="AL235" s="56"/>
      <c r="AM235" s="56"/>
      <c r="AN235" s="56"/>
      <c r="AO235" s="56"/>
      <c r="AP235" s="56"/>
      <c r="AQ235" s="59"/>
      <c r="AR235" s="60"/>
      <c r="AS235" s="54"/>
    </row>
    <row r="236" spans="1:45" ht="21.25" customHeight="1" x14ac:dyDescent="0.15">
      <c r="A236" s="45">
        <f>RANK(K236,K$1:K$665)</f>
        <v>235</v>
      </c>
      <c r="B236" s="9" t="s">
        <v>361</v>
      </c>
      <c r="C236" s="46" t="s">
        <v>127</v>
      </c>
      <c r="D236" s="47" t="str">
        <f>VLOOKUP(B236,'Player Data'!A1:D667,4,FALSE)</f>
        <v>C/RW</v>
      </c>
      <c r="E236" s="68">
        <f>VLOOKUP(B236,RW!A1:C136,3,FALSE)</f>
        <v>61</v>
      </c>
      <c r="F236" s="65" t="str">
        <f>VLOOKUP(B236,'Player Data'!A1:B667,2,FALSE)</f>
        <v>FLA</v>
      </c>
      <c r="G236" s="69">
        <f>VLOOKUP(B236,'Player Data'!A1:D667,3,FALSE)</f>
        <v>22</v>
      </c>
      <c r="H236" s="50">
        <f>IFERROR(VLOOKUP(B236,ADP!A1:G665,7,FALSE)/1000000,VLOOKUP(B236,ADP!A1:G665,7,FALSE))</f>
        <v>5</v>
      </c>
      <c r="I236" s="51">
        <f>IF(Settings!$E$15="POINTS",((R236*Q236)*Settings!$B$12)+(S236*Settings!$B$2)+(T236*Settings!$B$3)+(U236*Settings!$B$4)+(V236*Settings!$B$5)+(X236*Settings!$B$9)+(AA236*Settings!$B$6)+(W236*Settings!$B$8)+(AB236*Settings!$B$7)+(AC236*Settings!$B$14)+(AD236*Settings!$B$15)+(AE236*Settings!$B$16)+(AF236*Settings!$B$17)+(AG236*Settings!$B$18)+(Y236*Settings!$B$10)+(Z236*Settings!$B$11),VLOOKUP(B236,'Standard Deviations'!A1:C666,3,FALSE))</f>
        <v>242.12242999929035</v>
      </c>
      <c r="J236" s="52">
        <f>IF(D236="G",I236/AJ236,I236/Q236)</f>
        <v>3.088985806771797</v>
      </c>
      <c r="K236" s="51">
        <f>IF(Settings!$E$18="C/LW/RW",VLOOKUP(B236,RW!A1:F136,6,FALSE),VLOOKUP(B236,F!A1:F392,6,FALSE))</f>
        <v>-126.72529310700205</v>
      </c>
      <c r="L236" s="53">
        <f>IFERROR(K236/H236,"N/A")</f>
        <v>-25.345058621400408</v>
      </c>
      <c r="M236" s="83" t="str">
        <f>IF(Settings!$E$9="YAHOO",VLOOKUP(B236,ADP!A1:E665,2,FALSE),IF(Settings!$E$9="ESPN",VLOOKUP(B236,ADP!A1:E665,3,FALSE),IF(Settings!$E$9="FANTRAX",VLOOKUP(B236,ADP!A1:E665,4,FALSE),VLOOKUP(B236,ADP!A1:E665,5,FALSE))))</f>
        <v>—</v>
      </c>
      <c r="N236" s="83" t="str">
        <f>IFERROR(M236-A236,"N/A")</f>
        <v>N/A</v>
      </c>
      <c r="O236" s="54"/>
      <c r="P236" s="55" t="str">
        <f>IF(Settings!$E$27="ON",VLOOKUP(B236,ADP!A1:H665,8,FALSE)," ")</f>
        <v xml:space="preserve"> </v>
      </c>
      <c r="Q236" s="56">
        <f>IF(Settings!$E$12="YES",VLOOKUP(B236,'Player Data'!A1:E667,5,FALSE),82)</f>
        <v>78.382499999999993</v>
      </c>
      <c r="R236" s="54">
        <f>VLOOKUP(B236,'Player Data'!$A1:$AE667,6,FALSE)</f>
        <v>16.213510010821899</v>
      </c>
      <c r="S236" s="56">
        <f>VLOOKUP(B236,'Player Data'!$A1:$AE667,7,FALSE)*$Q236*IFERROR((VLOOKUP(P236,Settings!$E$28:$F$33,2,FALSE)+1),1)</f>
        <v>16.164463064530377</v>
      </c>
      <c r="T236" s="56">
        <f>VLOOKUP(B236,'Player Data'!$A1:$AE667,8,FALSE)*$Q236*IFERROR((VLOOKUP(P236,Settings!$E$28:$F$33,2,FALSE)+1),1)</f>
        <v>26.253896553835062</v>
      </c>
      <c r="U236" s="56">
        <f>SUM(S236:T236)</f>
        <v>42.418359618365443</v>
      </c>
      <c r="V236" s="56">
        <f>VLOOKUP(B236,'Player Data'!$A1:$AE667,10,FALSE)*$Q236*IFERROR(((VLOOKUP(P236,Settings!$E$28:$F$33,2,FALSE)/2)+1),1)</f>
        <v>172.74493903756684</v>
      </c>
      <c r="W236" s="56">
        <f>VLOOKUP(B236,'Player Data'!$A1:$AE667,11,FALSE)*$Q236*IFERROR((VLOOKUP(P236,Settings!$E$28:$F$33,2,FALSE)+1),1)</f>
        <v>1.5969588376919561</v>
      </c>
      <c r="X236" s="56">
        <f>VLOOKUP(B236,'Player Data'!$A1:$AE667,12,FALSE)*$Q236*IFERROR((VLOOKUP(P236,Settings!$E$28:$F$33,2,FALSE)+1),1)</f>
        <v>7.2806241043941196</v>
      </c>
      <c r="Y236" s="56">
        <f>VLOOKUP(B236,'Player Data'!$A1:$AE667,13,FALSE)*$Q236</f>
        <v>0.56993781614219241</v>
      </c>
      <c r="Z236" s="56">
        <f>VLOOKUP(B236,'Player Data'!$A1:$AE667,14,FALSE)*$Q236</f>
        <v>1.2946939518849532</v>
      </c>
      <c r="AA236" s="56">
        <f>VLOOKUP(B236,'Player Data'!$A1:$AE667,15,FALSE)*$Q236</f>
        <v>39.839127138263052</v>
      </c>
      <c r="AB236" s="56">
        <f>VLOOKUP(B236,'Player Data'!$A1:$AE667,16,FALSE)*$Q236</f>
        <v>54.80841677616138</v>
      </c>
      <c r="AC236" s="56">
        <f>VLOOKUP(B236,'Player Data'!$A1:$AE667,17,FALSE)*$Q236*IFERROR((VLOOKUP(P236,Settings!$E$28:$F$33,2,FALSE)+1),1)</f>
        <v>5.0357498486422321</v>
      </c>
      <c r="AD236" s="56">
        <f>VLOOKUP(B236,'Player Data'!$A1:$AE667,18,FALSE)*$Q236</f>
        <v>36.44265398067386</v>
      </c>
      <c r="AE236" s="56">
        <f>VLOOKUP(B236,'Player Data'!$A1:$AE667,19,FALSE)*$Q236*IFERROR((VLOOKUP(P236,Settings!$E$28:$F$33,2,FALSE)+1),1)</f>
        <v>2.7538059010697378</v>
      </c>
      <c r="AF236" s="56">
        <f>VLOOKUP(B236,'Player Data'!$A1:$AE667,20,FALSE)*$Q236</f>
        <v>439.19271293281025</v>
      </c>
      <c r="AG236" s="56">
        <f>VLOOKUP(B236,'Player Data'!$A1:$AE667,21,FALSE)*$Q236</f>
        <v>444.09085632420096</v>
      </c>
      <c r="AH236" s="58">
        <f>VLOOKUP(B236,'Player Data'!$A1:$AE667,22,FALSE)</f>
        <v>0.49722730980068502</v>
      </c>
      <c r="AI236" s="54"/>
      <c r="AJ236" s="56"/>
      <c r="AK236" s="56"/>
      <c r="AL236" s="56"/>
      <c r="AM236" s="56"/>
      <c r="AN236" s="56"/>
      <c r="AO236" s="56"/>
      <c r="AP236" s="56"/>
      <c r="AQ236" s="59"/>
      <c r="AR236" s="60"/>
      <c r="AS236" s="54"/>
    </row>
    <row r="237" spans="1:45" ht="21.25" customHeight="1" x14ac:dyDescent="0.15">
      <c r="A237" s="45">
        <f>RANK(K237,K$1:K$665)</f>
        <v>236</v>
      </c>
      <c r="B237" s="9" t="s">
        <v>362</v>
      </c>
      <c r="C237" s="46" t="s">
        <v>127</v>
      </c>
      <c r="D237" s="47" t="str">
        <f>VLOOKUP(B237,'Player Data'!A1:D667,4,FALSE)</f>
        <v>RW</v>
      </c>
      <c r="E237" s="61">
        <f>VLOOKUP(B237,RW!A1:F136,3,FALSE)</f>
        <v>62</v>
      </c>
      <c r="F237" s="77" t="str">
        <f>VLOOKUP(B237,'Player Data'!A1:B667,2,FALSE)</f>
        <v>CBJ</v>
      </c>
      <c r="G237" s="10">
        <f>VLOOKUP(B237,'Player Data'!A1:D667,3,FALSE)</f>
        <v>24</v>
      </c>
      <c r="H237" s="50">
        <f>IFERROR(VLOOKUP(B237,ADP!A1:G665,7,FALSE)/1000000,VLOOKUP(B237,ADP!A1:G665,7,FALSE))</f>
        <v>3.85</v>
      </c>
      <c r="I237" s="51">
        <f>IF(Settings!$E$15="POINTS",((R237*Q237)*Settings!$B$12)+(S237*Settings!$B$2)+(T237*Settings!$B$3)+(U237*Settings!$B$4)+(V237*Settings!$B$5)+(X237*Settings!$B$9)+(AA237*Settings!$B$6)+(W237*Settings!$B$8)+(AB237*Settings!$B$7)+(AC237*Settings!$B$14)+(AD237*Settings!$B$15)+(AE237*Settings!$B$16)+(AF237*Settings!$B$17)+(AG237*Settings!$B$18)+(Y237*Settings!$B$10)+(Z237*Settings!$B$11),VLOOKUP(B237,'Standard Deviations'!A1:C666,3,FALSE))</f>
        <v>241.94554558805197</v>
      </c>
      <c r="J237" s="52">
        <f>IF(D237="G",I237/AJ237,I237/Q237)</f>
        <v>3.1894742851801334</v>
      </c>
      <c r="K237" s="51">
        <f>IF(Settings!$E$18="C/LW/RW",VLOOKUP(B237,RW!A1:F136,6,FALSE),VLOOKUP(B237,F!A1:F392,6,FALSE))</f>
        <v>-126.90217751824042</v>
      </c>
      <c r="L237" s="53">
        <f>IFERROR(K237/H237,"N/A")</f>
        <v>-32.96160455019232</v>
      </c>
      <c r="M237" s="83" t="str">
        <f>IF(Settings!$E$9="YAHOO",VLOOKUP(B237,ADP!A1:E665,2,FALSE),IF(Settings!$E$9="ESPN",VLOOKUP(B237,ADP!A1:E665,3,FALSE),IF(Settings!$E$9="FANTRAX",VLOOKUP(B237,ADP!A1:E665,4,FALSE),VLOOKUP(B237,ADP!A1:E665,5,FALSE))))</f>
        <v>—</v>
      </c>
      <c r="N237" s="83" t="str">
        <f>IFERROR(M237-A237,"N/A")</f>
        <v>N/A</v>
      </c>
      <c r="O237" s="54"/>
      <c r="P237" s="55" t="str">
        <f>IF(Settings!$E$27="ON",VLOOKUP(B237,ADP!A1:H665,8,FALSE)," ")</f>
        <v xml:space="preserve"> </v>
      </c>
      <c r="Q237" s="56">
        <f>IF(Settings!$E$12="YES",VLOOKUP(B237,'Player Data'!A1:E667,5,FALSE),82)</f>
        <v>75.857500000000002</v>
      </c>
      <c r="R237" s="54">
        <f>VLOOKUP(B237,'Player Data'!$A1:$AE667,6,FALSE)</f>
        <v>16.0057062782688</v>
      </c>
      <c r="S237" s="56">
        <f>VLOOKUP(B237,'Player Data'!$A1:$AE667,7,FALSE)*$Q237*IFERROR((VLOOKUP(P237,Settings!$E$28:$F$33,2,FALSE)+1),1)</f>
        <v>23.783417393908323</v>
      </c>
      <c r="T237" s="56">
        <f>VLOOKUP(B237,'Player Data'!$A1:$AE667,8,FALSE)*$Q237*IFERROR((VLOOKUP(P237,Settings!$E$28:$F$33,2,FALSE)+1),1)</f>
        <v>17.586093530154198</v>
      </c>
      <c r="U237" s="56">
        <f>SUM(S237:T237)</f>
        <v>41.369510924062524</v>
      </c>
      <c r="V237" s="56">
        <f>VLOOKUP(B237,'Player Data'!$A1:$AE667,10,FALSE)*$Q237*IFERROR(((VLOOKUP(P237,Settings!$E$28:$F$33,2,FALSE)/2)+1),1)</f>
        <v>173.98089276003222</v>
      </c>
      <c r="W237" s="56">
        <f>VLOOKUP(B237,'Player Data'!$A1:$AE667,11,FALSE)*$Q237*IFERROR((VLOOKUP(P237,Settings!$E$28:$F$33,2,FALSE)+1),1)</f>
        <v>7.0356517623546218</v>
      </c>
      <c r="X237" s="56">
        <f>VLOOKUP(B237,'Player Data'!$A1:$AE667,12,FALSE)*$Q237*IFERROR((VLOOKUP(P237,Settings!$E$28:$F$33,2,FALSE)+1),1)</f>
        <v>10.496164900249152</v>
      </c>
      <c r="Y237" s="56">
        <f>VLOOKUP(B237,'Player Data'!$A1:$AE667,13,FALSE)*$Q237</f>
        <v>3.9558843203575098E-2</v>
      </c>
      <c r="Z237" s="56">
        <f>VLOOKUP(B237,'Player Data'!$A1:$AE667,14,FALSE)*$Q237</f>
        <v>6.725522921644414E-2</v>
      </c>
      <c r="AA237" s="56">
        <f>VLOOKUP(B237,'Player Data'!$A1:$AE667,15,FALSE)*$Q237</f>
        <v>40.566292612765459</v>
      </c>
      <c r="AB237" s="56">
        <f>VLOOKUP(B237,'Player Data'!$A1:$AE667,16,FALSE)*$Q237</f>
        <v>51.417263918718966</v>
      </c>
      <c r="AC237" s="56">
        <f>VLOOKUP(B237,'Player Data'!$A1:$AE667,17,FALSE)*$Q237*IFERROR((VLOOKUP(P237,Settings!$E$28:$F$33,2,FALSE)+1),1)</f>
        <v>-6.3166941941634329</v>
      </c>
      <c r="AD237" s="56">
        <f>VLOOKUP(B237,'Player Data'!$A1:$AE667,18,FALSE)*$Q237</f>
        <v>19.888841682712719</v>
      </c>
      <c r="AE237" s="56">
        <f>VLOOKUP(B237,'Player Data'!$A1:$AE667,19,FALSE)*$Q237*IFERROR((VLOOKUP(P237,Settings!$E$28:$F$33,2,FALSE)+1),1)</f>
        <v>2.6300737326353474</v>
      </c>
      <c r="AF237" s="56">
        <f>VLOOKUP(B237,'Player Data'!$A1:$AE667,20,FALSE)*$Q237</f>
        <v>28.300285948697876</v>
      </c>
      <c r="AG237" s="56">
        <f>VLOOKUP(B237,'Player Data'!$A1:$AE667,21,FALSE)*$Q237</f>
        <v>39.350493581426747</v>
      </c>
      <c r="AH237" s="58">
        <f>VLOOKUP(B237,'Player Data'!$A1:$AE667,22,FALSE)</f>
        <v>0.418329044325289</v>
      </c>
      <c r="AI237" s="54"/>
      <c r="AJ237" s="64"/>
      <c r="AK237" s="56"/>
      <c r="AL237" s="56"/>
      <c r="AM237" s="56"/>
      <c r="AN237" s="56"/>
      <c r="AO237" s="56"/>
      <c r="AP237" s="56"/>
      <c r="AQ237" s="59"/>
      <c r="AR237" s="60"/>
      <c r="AS237" s="54"/>
    </row>
    <row r="238" spans="1:45" ht="21.25" customHeight="1" x14ac:dyDescent="0.15">
      <c r="A238" s="45">
        <f>RANK(K238,K$1:K$665)</f>
        <v>237</v>
      </c>
      <c r="B238" s="9" t="s">
        <v>363</v>
      </c>
      <c r="C238" s="46" t="s">
        <v>127</v>
      </c>
      <c r="D238" s="47" t="str">
        <f>VLOOKUP(B238,'Player Data'!A1:D667,4,FALSE)</f>
        <v>G</v>
      </c>
      <c r="E238" s="73">
        <f>VLOOKUP(B238,G!A1:D65,3,FALSE)</f>
        <v>29</v>
      </c>
      <c r="F238" s="65" t="str">
        <f>VLOOKUP(B238,'Player Data'!A1:B667,2,FALSE)</f>
        <v>CAR</v>
      </c>
      <c r="G238" s="69">
        <f>VLOOKUP(B238,'Player Data'!A1:D667,3,FALSE)</f>
        <v>25</v>
      </c>
      <c r="H238" s="50">
        <f>IFERROR(VLOOKUP(B238,ADP!A1:G665,7,FALSE)/1000000,VLOOKUP(B238,ADP!A1:G665,7,FALSE))</f>
        <v>2</v>
      </c>
      <c r="I238" s="51">
        <f>IF(Settings!$E$15="POINTS",(AJ238*Settings!$B$29)+(AK238*Settings!$B$21)+(AL238*Settings!$B$22)+(AN238*Settings!$B$24)+(AO238*Settings!$B$25)+(AP238*Settings!$B$27)+(AM238*Settings!$B$23),VLOOKUP(B238,'Standard Deviations'!A1:C666,3,FALSE))</f>
        <v>283.70654506963348</v>
      </c>
      <c r="J238" s="52">
        <f>IF(D238="G",I238/AJ238,I238/Q238)</f>
        <v>6.9196718309666698</v>
      </c>
      <c r="K238" s="51">
        <f>VLOOKUP(B238,G!A1:F65,6,FALSE)</f>
        <v>-126.9531976997867</v>
      </c>
      <c r="L238" s="53">
        <f>IFERROR(K238/H238,"N/A")</f>
        <v>-63.47659884989335</v>
      </c>
      <c r="M238" s="54">
        <f>IF(Settings!$E$9="YAHOO",VLOOKUP(B238,ADP!A1:E665,2,FALSE),IF(Settings!$E$9="ESPN",VLOOKUP(B238,ADP!A1:E665,3,FALSE),IF(Settings!$E$9="FANTRAX",VLOOKUP(B238,ADP!A1:E665,4,FALSE),VLOOKUP(B238,ADP!A1:E665,5,FALSE))))</f>
        <v>83.1</v>
      </c>
      <c r="N238" s="54">
        <f>IFERROR(M238-A238,"N/A")</f>
        <v>-153.9</v>
      </c>
      <c r="O238" s="54"/>
      <c r="P238" s="55" t="str">
        <f>IF(Settings!$E$27="ON",VLOOKUP(B238,ADP!A1:H665,8,FALSE)," ")</f>
        <v xml:space="preserve"> </v>
      </c>
      <c r="Q238" s="56"/>
      <c r="R238" s="54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8"/>
      <c r="AI238" s="54"/>
      <c r="AJ238" s="64">
        <f>VLOOKUP(B238,'Player Data'!$A1:$AE667,24,FALSE)</f>
        <v>41</v>
      </c>
      <c r="AK238" s="56">
        <f>VLOOKUP(B238,'Player Data'!$A1:$AE667,25,FALSE)*$AJ238*IFERROR((VLOOKUP(P238,Settings!$E$28:$F$33,2,FALSE)+1),1)</f>
        <v>25.13753286628388</v>
      </c>
      <c r="AL238" s="56">
        <f>AJ238-AK238-AM238</f>
        <v>10.73746713371612</v>
      </c>
      <c r="AM238" s="56">
        <f>VLOOKUP(B238,'Player Data'!$A1:$AE667,27,FALSE)*$AJ238</f>
        <v>5.125</v>
      </c>
      <c r="AN238" s="56">
        <f>VLOOKUP(B238,'Player Data'!$A1:$AE667,28,FALSE)*AJ238</f>
        <v>2.861237670346497</v>
      </c>
      <c r="AO238" s="56">
        <f>VLOOKUP(B238,'Player Data'!$A1:$AE667,29,FALSE)*$AJ238*IFERROR((VLOOKUP(P238,Settings!$E$28:$F$33,2,FALSE)/4)+1,1)</f>
        <v>1064.8671527010217</v>
      </c>
      <c r="AP238" s="56">
        <f>VLOOKUP(B238,'Player Data'!$A1:$AE667,31,FALSE)*$AJ238*(IFERROR(1-(VLOOKUP(P238,Settings!$E$28:$F$33,2,FALSE)/4),1))</f>
        <v>109.0002891833585</v>
      </c>
      <c r="AQ238" s="59">
        <f>1-(AP238/(AO238+AP238))</f>
        <v>0.90714429475240999</v>
      </c>
      <c r="AR238" s="60">
        <f>AP238/AJ238</f>
        <v>2.6585436386185002</v>
      </c>
      <c r="AS238" s="64"/>
    </row>
    <row r="239" spans="1:45" ht="21.25" customHeight="1" x14ac:dyDescent="0.15">
      <c r="A239" s="45">
        <f>RANK(K239,K$1:K$665)</f>
        <v>238</v>
      </c>
      <c r="B239" s="9" t="s">
        <v>364</v>
      </c>
      <c r="C239" s="46" t="s">
        <v>127</v>
      </c>
      <c r="D239" s="47" t="str">
        <f>VLOOKUP(B239,'Player Data'!A1:D667,4,FALSE)</f>
        <v>C/RW</v>
      </c>
      <c r="E239" s="68">
        <f>VLOOKUP(B239,RW!A1:C136,3,FALSE)</f>
        <v>63</v>
      </c>
      <c r="F239" s="74" t="str">
        <f>VLOOKUP(B239,'Player Data'!A1:B667,2,FALSE)</f>
        <v>PIT</v>
      </c>
      <c r="G239" s="63">
        <f>VLOOKUP(B239,'Player Data'!A1:D667,3,FALSE)</f>
        <v>31</v>
      </c>
      <c r="H239" s="50">
        <f>IFERROR(VLOOKUP(B239,ADP!A1:G665,7,FALSE)/1000000,VLOOKUP(B239,ADP!A1:G665,7,FALSE))</f>
        <v>5</v>
      </c>
      <c r="I239" s="51">
        <f>IF(Settings!$E$15="POINTS",((R239*Q239)*Settings!$B$12)+(S239*Settings!$B$2)+(T239*Settings!$B$3)+(U239*Settings!$B$4)+(V239*Settings!$B$5)+(X239*Settings!$B$9)+(AA239*Settings!$B$6)+(W239*Settings!$B$8)+(AB239*Settings!$B$7)+(AC239*Settings!$B$14)+(AD239*Settings!$B$15)+(AE239*Settings!$B$16)+(AF239*Settings!$B$17)+(AG239*Settings!$B$18)+(Y239*Settings!$B$10)+(Z239*Settings!$B$11),VLOOKUP(B239,'Standard Deviations'!A1:C666,3,FALSE))</f>
        <v>241.78304192646573</v>
      </c>
      <c r="J239" s="52">
        <f>IF(D239="G",I239/AJ239,I239/Q239)</f>
        <v>3.0722114603108732</v>
      </c>
      <c r="K239" s="51">
        <f>IF(Settings!$E$18="C/LW/RW",VLOOKUP(B239,RW!A1:F136,6,FALSE),VLOOKUP(B239,F!A1:F392,6,FALSE))</f>
        <v>-127.06468117982666</v>
      </c>
      <c r="L239" s="53">
        <f>IFERROR(K239/H239,"N/A")</f>
        <v>-25.412936235965333</v>
      </c>
      <c r="M239" s="83" t="str">
        <f>IF(Settings!$E$9="YAHOO",VLOOKUP(B239,ADP!A1:E665,2,FALSE),IF(Settings!$E$9="ESPN",VLOOKUP(B239,ADP!A1:E665,3,FALSE),IF(Settings!$E$9="FANTRAX",VLOOKUP(B239,ADP!A1:E665,4,FALSE),VLOOKUP(B239,ADP!A1:E665,5,FALSE))))</f>
        <v>—</v>
      </c>
      <c r="N239" s="83" t="str">
        <f>IFERROR(M239-A239,"N/A")</f>
        <v>N/A</v>
      </c>
      <c r="O239" s="54"/>
      <c r="P239" s="55" t="str">
        <f>IF(Settings!$E$27="ON",VLOOKUP(B239,ADP!A1:H665,8,FALSE)," ")</f>
        <v xml:space="preserve"> </v>
      </c>
      <c r="Q239" s="56">
        <f>IF(Settings!$E$12="YES",VLOOKUP(B239,'Player Data'!A1:E667,5,FALSE),82)</f>
        <v>78.7</v>
      </c>
      <c r="R239" s="54">
        <f>VLOOKUP(B239,'Player Data'!$A1:$AE667,6,FALSE)</f>
        <v>15.8701999139815</v>
      </c>
      <c r="S239" s="56">
        <f>VLOOKUP(B239,'Player Data'!$A1:$AE667,7,FALSE)*$Q239*IFERROR((VLOOKUP(P239,Settings!$E$28:$F$33,2,FALSE)+1),1)</f>
        <v>17.467241670711882</v>
      </c>
      <c r="T239" s="56">
        <f>VLOOKUP(B239,'Player Data'!$A1:$AE667,8,FALSE)*$Q239*IFERROR((VLOOKUP(P239,Settings!$E$28:$F$33,2,FALSE)+1),1)</f>
        <v>23.092146421344172</v>
      </c>
      <c r="U239" s="56">
        <f>SUM(S239:T239)</f>
        <v>40.559388092056054</v>
      </c>
      <c r="V239" s="56">
        <f>VLOOKUP(B239,'Player Data'!$A1:$AE667,10,FALSE)*$Q239*IFERROR(((VLOOKUP(P239,Settings!$E$28:$F$33,2,FALSE)/2)+1),1)</f>
        <v>178.68478525257169</v>
      </c>
      <c r="W239" s="56">
        <f>VLOOKUP(B239,'Player Data'!$A1:$AE667,11,FALSE)*$Q239*IFERROR((VLOOKUP(P239,Settings!$E$28:$F$33,2,FALSE)+1),1)</f>
        <v>4.7867502435515465</v>
      </c>
      <c r="X239" s="56">
        <f>VLOOKUP(B239,'Player Data'!$A1:$AE667,12,FALSE)*$Q239*IFERROR((VLOOKUP(P239,Settings!$E$28:$F$33,2,FALSE)+1),1)</f>
        <v>9.1020897120088673</v>
      </c>
      <c r="Y239" s="56">
        <f>VLOOKUP(B239,'Player Data'!$A1:$AE667,13,FALSE)*$Q239</f>
        <v>1.0470575870740364E-3</v>
      </c>
      <c r="Z239" s="56">
        <f>VLOOKUP(B239,'Player Data'!$A1:$AE667,14,FALSE)*$Q239</f>
        <v>1.7889509965678067E-3</v>
      </c>
      <c r="AA239" s="56">
        <f>VLOOKUP(B239,'Player Data'!$A1:$AE667,15,FALSE)*$Q239</f>
        <v>43.317212722012513</v>
      </c>
      <c r="AB239" s="56">
        <f>VLOOKUP(B239,'Player Data'!$A1:$AE667,16,FALSE)*$Q239</f>
        <v>112.22188710557175</v>
      </c>
      <c r="AC239" s="56">
        <f>VLOOKUP(B239,'Player Data'!$A1:$AE667,17,FALSE)*$Q239*IFERROR((VLOOKUP(P239,Settings!$E$28:$F$33,2,FALSE)+1),1)</f>
        <v>1.7840874954584165</v>
      </c>
      <c r="AD239" s="56">
        <f>VLOOKUP(B239,'Player Data'!$A1:$AE667,18,FALSE)*$Q239</f>
        <v>19.91619623871134</v>
      </c>
      <c r="AE239" s="56">
        <f>VLOOKUP(B239,'Player Data'!$A1:$AE667,19,FALSE)*$Q239*IFERROR((VLOOKUP(P239,Settings!$E$28:$F$33,2,FALSE)+1),1)</f>
        <v>2.5893945988663898</v>
      </c>
      <c r="AF239" s="56">
        <f>VLOOKUP(B239,'Player Data'!$A1:$AE667,20,FALSE)*$Q239</f>
        <v>9.2649361846949354</v>
      </c>
      <c r="AG239" s="56">
        <f>VLOOKUP(B239,'Player Data'!$A1:$AE667,21,FALSE)*$Q239</f>
        <v>15.032084023361302</v>
      </c>
      <c r="AH239" s="58">
        <f>VLOOKUP(B239,'Player Data'!$A1:$AE667,22,FALSE)</f>
        <v>0.38131985343712699</v>
      </c>
      <c r="AI239" s="54"/>
      <c r="AJ239" s="64"/>
      <c r="AK239" s="56"/>
      <c r="AL239" s="56"/>
      <c r="AM239" s="56"/>
      <c r="AN239" s="56"/>
      <c r="AO239" s="56"/>
      <c r="AP239" s="56"/>
      <c r="AQ239" s="59"/>
      <c r="AR239" s="60"/>
      <c r="AS239" s="54"/>
    </row>
    <row r="240" spans="1:45" ht="21.25" customHeight="1" x14ac:dyDescent="0.15">
      <c r="A240" s="45">
        <f>RANK(K240,K$1:K$665)</f>
        <v>239</v>
      </c>
      <c r="B240" s="9" t="s">
        <v>365</v>
      </c>
      <c r="C240" s="46" t="s">
        <v>127</v>
      </c>
      <c r="D240" s="47" t="str">
        <f>VLOOKUP(B240,'Player Data'!A1:D667,4,FALSE)</f>
        <v>C</v>
      </c>
      <c r="E240" s="48">
        <f>VLOOKUP(B240,'C'!A1:C206,3,FALSE)</f>
        <v>72</v>
      </c>
      <c r="F240" s="72" t="str">
        <f>VLOOKUP(B240,'Player Data'!A1:B667,2,FALSE)</f>
        <v>L.A</v>
      </c>
      <c r="G240" s="63">
        <f>VLOOKUP(B240,'Player Data'!A1:D667,3,FALSE)</f>
        <v>31</v>
      </c>
      <c r="H240" s="50">
        <f>IFERROR(VLOOKUP(B240,ADP!A1:G665,7,FALSE)/1000000,VLOOKUP(B240,ADP!A1:G665,7,FALSE))</f>
        <v>5.5</v>
      </c>
      <c r="I240" s="51">
        <f>IF(Settings!$E$15="POINTS",((R240*Q240)*Settings!$B$12)+(S240*Settings!$B$2)+(T240*Settings!$B$3)+(U240*Settings!$B$4)+(V240*Settings!$B$5)+(X240*Settings!$B$9)+(AA240*Settings!$B$6)+(W240*Settings!$B$8)+(AB240*Settings!$B$7)+(AC240*Settings!$B$14)+(AD240*Settings!$B$15)+(AE240*Settings!$B$16)+(AF240*Settings!$B$17)+(AG240*Settings!$B$18)+(Y240*Settings!$B$10)+(Z240*Settings!$B$11),VLOOKUP(B240,'Standard Deviations'!A1:C666,3,FALSE))</f>
        <v>262.78540995284976</v>
      </c>
      <c r="J240" s="52">
        <f>IF(D240="G",I240/AJ240,I240/Q240)</f>
        <v>3.2434634652289529</v>
      </c>
      <c r="K240" s="51">
        <f>IF(Settings!$E$18="C/LW/RW",VLOOKUP(B240,'C'!A1:F206,6,FALSE),VLOOKUP(B240,F!A1:F392,6,FALSE))</f>
        <v>-127.15174782523133</v>
      </c>
      <c r="L240" s="53">
        <f>IFERROR(K240/H240,"N/A")</f>
        <v>-23.118499604587512</v>
      </c>
      <c r="M240" s="54">
        <f>IF(Settings!$E$9="YAHOO",VLOOKUP(B240,ADP!A1:E665,2,FALSE),IF(Settings!$E$9="ESPN",VLOOKUP(B240,ADP!A1:E665,3,FALSE),IF(Settings!$E$9="FANTRAX",VLOOKUP(B240,ADP!A1:E665,4,FALSE),VLOOKUP(B240,ADP!A1:E665,5,FALSE))))</f>
        <v>153</v>
      </c>
      <c r="N240" s="54">
        <f>IFERROR(M240-A240,"N/A")</f>
        <v>-86</v>
      </c>
      <c r="O240" s="54"/>
      <c r="P240" s="55" t="str">
        <f>IF(Settings!$E$27="ON",VLOOKUP(B240,ADP!A1:H665,8,FALSE)," ")</f>
        <v xml:space="preserve"> </v>
      </c>
      <c r="Q240" s="56">
        <f>IF(Settings!$E$12="YES",VLOOKUP(B240,'Player Data'!A1:E667,5,FALSE),82)</f>
        <v>81.02</v>
      </c>
      <c r="R240" s="54">
        <f>VLOOKUP(B240,'Player Data'!$A1:$AE667,6,FALSE)</f>
        <v>17.890633815674899</v>
      </c>
      <c r="S240" s="56">
        <f>VLOOKUP(B240,'Player Data'!$A1:$AE667,7,FALSE)*$Q240*IFERROR((VLOOKUP(P240,Settings!$E$28:$F$33,2,FALSE)+1),1)</f>
        <v>17.787765529349116</v>
      </c>
      <c r="T240" s="56">
        <f>VLOOKUP(B240,'Player Data'!$A1:$AE667,8,FALSE)*$Q240*IFERROR((VLOOKUP(P240,Settings!$E$28:$F$33,2,FALSE)+1),1)</f>
        <v>28.411002989971852</v>
      </c>
      <c r="U240" s="56">
        <f>SUM(S240:T240)</f>
        <v>46.198768519320964</v>
      </c>
      <c r="V240" s="56">
        <f>VLOOKUP(B240,'Player Data'!$A1:$AE667,10,FALSE)*$Q240*IFERROR(((VLOOKUP(P240,Settings!$E$28:$F$33,2,FALSE)/2)+1),1)</f>
        <v>164.45759076291847</v>
      </c>
      <c r="W240" s="56">
        <f>VLOOKUP(B240,'Player Data'!$A1:$AE667,11,FALSE)*$Q240*IFERROR((VLOOKUP(P240,Settings!$E$28:$F$33,2,FALSE)+1),1)</f>
        <v>2.3088809639050361</v>
      </c>
      <c r="X240" s="56">
        <f>VLOOKUP(B240,'Player Data'!$A1:$AE667,12,FALSE)*$Q240*IFERROR((VLOOKUP(P240,Settings!$E$28:$F$33,2,FALSE)+1),1)</f>
        <v>8.4488438976159497</v>
      </c>
      <c r="Y240" s="56">
        <f>VLOOKUP(B240,'Player Data'!$A1:$AE667,13,FALSE)*$Q240</f>
        <v>0.12941625980458402</v>
      </c>
      <c r="Z240" s="56">
        <f>VLOOKUP(B240,'Player Data'!$A1:$AE667,14,FALSE)*$Q240</f>
        <v>1.769476208137549</v>
      </c>
      <c r="AA240" s="56">
        <f>VLOOKUP(B240,'Player Data'!$A1:$AE667,15,FALSE)*$Q240</f>
        <v>63.483977815348133</v>
      </c>
      <c r="AB240" s="56">
        <f>VLOOKUP(B240,'Player Data'!$A1:$AE667,16,FALSE)*$Q240</f>
        <v>81.302158677461378</v>
      </c>
      <c r="AC240" s="56">
        <f>VLOOKUP(B240,'Player Data'!$A1:$AE667,17,FALSE)*$Q240*IFERROR((VLOOKUP(P240,Settings!$E$28:$F$33,2,FALSE)+1),1)</f>
        <v>3.8441399143474948</v>
      </c>
      <c r="AD240" s="56">
        <f>VLOOKUP(B240,'Player Data'!$A1:$AE667,18,FALSE)*$Q240</f>
        <v>35.803618586089996</v>
      </c>
      <c r="AE240" s="56">
        <f>VLOOKUP(B240,'Player Data'!$A1:$AE667,19,FALSE)*$Q240*IFERROR((VLOOKUP(P240,Settings!$E$28:$F$33,2,FALSE)+1),1)</f>
        <v>3.1699874069480338</v>
      </c>
      <c r="AF240" s="56">
        <f>VLOOKUP(B240,'Player Data'!$A1:$AE667,20,FALSE)*$Q240</f>
        <v>643.26170568542045</v>
      </c>
      <c r="AG240" s="56">
        <f>VLOOKUP(B240,'Player Data'!$A1:$AE667,21,FALSE)*$Q240</f>
        <v>567.67808495629788</v>
      </c>
      <c r="AH240" s="58">
        <f>VLOOKUP(B240,'Player Data'!$A1:$AE667,22,FALSE)</f>
        <v>0.53120866178204795</v>
      </c>
      <c r="AI240" s="54"/>
      <c r="AJ240" s="64"/>
      <c r="AK240" s="56"/>
      <c r="AL240" s="56"/>
      <c r="AM240" s="56"/>
      <c r="AN240" s="56"/>
      <c r="AO240" s="56"/>
      <c r="AP240" s="56"/>
      <c r="AQ240" s="59"/>
      <c r="AR240" s="60"/>
      <c r="AS240" s="54"/>
    </row>
    <row r="241" spans="1:45" ht="21.25" customHeight="1" x14ac:dyDescent="0.15">
      <c r="A241" s="45">
        <f>RANK(K241,K$1:K$665)</f>
        <v>240</v>
      </c>
      <c r="B241" s="9" t="s">
        <v>366</v>
      </c>
      <c r="C241" s="46" t="s">
        <v>127</v>
      </c>
      <c r="D241" s="47" t="str">
        <f>VLOOKUP(B241,'Player Data'!A1:D667,4,FALSE)</f>
        <v>C/RW</v>
      </c>
      <c r="E241" s="68">
        <f>VLOOKUP(B241,RW!A1:C136,3,FALSE)</f>
        <v>64</v>
      </c>
      <c r="F241" s="77" t="str">
        <f>VLOOKUP(B241,'Player Data'!A1:B667,2,FALSE)</f>
        <v>S.J</v>
      </c>
      <c r="G241" s="63">
        <f>VLOOKUP(B241,'Player Data'!A1:D667,3,FALSE)</f>
        <v>32</v>
      </c>
      <c r="H241" s="67">
        <f>IFERROR(VLOOKUP(B241,ADP!A1:G665,7,FALSE)/1000000,VLOOKUP(B241,ADP!A1:G665,7,FALSE))</f>
        <v>5</v>
      </c>
      <c r="I241" s="51">
        <f>IF(Settings!$E$15="POINTS",((R241*Q241)*Settings!$B$12)+(S241*Settings!$B$2)+(T241*Settings!$B$3)+(U241*Settings!$B$4)+(V241*Settings!$B$5)+(X241*Settings!$B$9)+(AA241*Settings!$B$6)+(W241*Settings!$B$8)+(AB241*Settings!$B$7)+(AC241*Settings!$B$14)+(AD241*Settings!$B$15)+(AE241*Settings!$B$16)+(AF241*Settings!$B$17)+(AG241*Settings!$B$18)+(Y241*Settings!$B$10)+(Z241*Settings!$B$11),VLOOKUP(B241,'Standard Deviations'!A1:C666,3,FALSE))</f>
        <v>241.58395498787027</v>
      </c>
      <c r="J241" s="52">
        <f>IF(D241="G",I241/AJ241,I241/Q241)</f>
        <v>3.0537726581705256</v>
      </c>
      <c r="K241" s="51">
        <f>IF(Settings!$E$18="C/LW/RW",VLOOKUP(B241,RW!A1:F136,6,FALSE),VLOOKUP(B241,F!A1:F392,6,FALSE))</f>
        <v>-127.26376811842212</v>
      </c>
      <c r="L241" s="53">
        <f>IFERROR(K241/H241,"N/A")</f>
        <v>-25.452753623684423</v>
      </c>
      <c r="M241" s="83" t="str">
        <f>IF(Settings!$E$9="YAHOO",VLOOKUP(B241,ADP!A1:E665,2,FALSE),IF(Settings!$E$9="ESPN",VLOOKUP(B241,ADP!A1:E665,3,FALSE),IF(Settings!$E$9="FANTRAX",VLOOKUP(B241,ADP!A1:E665,4,FALSE),VLOOKUP(B241,ADP!A1:E665,5,FALSE))))</f>
        <v>—</v>
      </c>
      <c r="N241" s="83" t="str">
        <f>IFERROR(M241-A241,"N/A")</f>
        <v>N/A</v>
      </c>
      <c r="O241" s="54"/>
      <c r="P241" s="55" t="str">
        <f>IF(Settings!$E$27="ON",VLOOKUP(B241,ADP!A1:H665,8,FALSE)," ")</f>
        <v xml:space="preserve"> </v>
      </c>
      <c r="Q241" s="56">
        <f>IF(Settings!$E$12="YES",VLOOKUP(B241,'Player Data'!A1:E667,5,FALSE),82)</f>
        <v>79.11</v>
      </c>
      <c r="R241" s="81">
        <f>VLOOKUP(B241,'Player Data'!$A1:$AE667,6,FALSE)</f>
        <v>18.064288998387301</v>
      </c>
      <c r="S241" s="56">
        <f>VLOOKUP(B241,'Player Data'!$A1:$AE667,7,FALSE)*$Q241*IFERROR((VLOOKUP(P241,Settings!$E$28:$F$33,2,FALSE)+1),1)</f>
        <v>10.32911850196672</v>
      </c>
      <c r="T241" s="56">
        <f>VLOOKUP(B241,'Player Data'!$A1:$AE667,8,FALSE)*$Q241*IFERROR((VLOOKUP(P241,Settings!$E$28:$F$33,2,FALSE)+1),1)</f>
        <v>35.560481634931115</v>
      </c>
      <c r="U241" s="56">
        <f>SUM(S241:T241)</f>
        <v>45.889600136897833</v>
      </c>
      <c r="V241" s="56">
        <f>VLOOKUP(B241,'Player Data'!$A1:$AE667,10,FALSE)*$Q241*IFERROR(((VLOOKUP(P241,Settings!$E$28:$F$33,2,FALSE)/2)+1),1)</f>
        <v>122.75355865532408</v>
      </c>
      <c r="W241" s="56">
        <f>VLOOKUP(B241,'Player Data'!$A1:$AE667,11,FALSE)*$Q241*IFERROR((VLOOKUP(P241,Settings!$E$28:$F$33,2,FALSE)+1),1)</f>
        <v>1.1797297148572274</v>
      </c>
      <c r="X241" s="56">
        <f>VLOOKUP(B241,'Player Data'!$A1:$AE667,12,FALSE)*$Q241*IFERROR((VLOOKUP(P241,Settings!$E$28:$F$33,2,FALSE)+1),1)</f>
        <v>13.49288677963137</v>
      </c>
      <c r="Y241" s="56">
        <f>VLOOKUP(B241,'Player Data'!$A1:$AE667,13,FALSE)*$Q241</f>
        <v>8.0872218772152893E-2</v>
      </c>
      <c r="Z241" s="56">
        <f>VLOOKUP(B241,'Player Data'!$A1:$AE667,14,FALSE)*$Q241</f>
        <v>0.7012977429076106</v>
      </c>
      <c r="AA241" s="56">
        <f>VLOOKUP(B241,'Player Data'!$A1:$AE667,15,FALSE)*$Q241</f>
        <v>56.688381453951536</v>
      </c>
      <c r="AB241" s="56">
        <f>VLOOKUP(B241,'Player Data'!$A1:$AE667,16,FALSE)*$Q241</f>
        <v>65.710736281302829</v>
      </c>
      <c r="AC241" s="56">
        <f>VLOOKUP(B241,'Player Data'!$A1:$AE667,17,FALSE)*$Q241*IFERROR((VLOOKUP(P241,Settings!$E$28:$F$33,2,FALSE)+1),1)</f>
        <v>-9.5340439746179602</v>
      </c>
      <c r="AD241" s="56">
        <f>VLOOKUP(B241,'Player Data'!$A1:$AE667,18,FALSE)*$Q241</f>
        <v>31.22245407653763</v>
      </c>
      <c r="AE241" s="56">
        <f>VLOOKUP(B241,'Player Data'!$A1:$AE667,19,FALSE)*$Q241*IFERROR((VLOOKUP(P241,Settings!$E$28:$F$33,2,FALSE)+1),1)</f>
        <v>1.103254437490085</v>
      </c>
      <c r="AF241" s="56">
        <f>VLOOKUP(B241,'Player Data'!$A1:$AE667,20,FALSE)*$Q241</f>
        <v>439.51258584149014</v>
      </c>
      <c r="AG241" s="56">
        <f>VLOOKUP(B241,'Player Data'!$A1:$AE667,21,FALSE)*$Q241</f>
        <v>512.45074982795916</v>
      </c>
      <c r="AH241" s="58">
        <f>VLOOKUP(B241,'Player Data'!$A1:$AE667,22,FALSE)</f>
        <v>0.46169066535783299</v>
      </c>
      <c r="AI241" s="54"/>
      <c r="AJ241" s="64"/>
      <c r="AK241" s="56"/>
      <c r="AL241" s="56"/>
      <c r="AM241" s="56"/>
      <c r="AN241" s="56"/>
      <c r="AO241" s="56"/>
      <c r="AP241" s="56"/>
      <c r="AQ241" s="59"/>
      <c r="AR241" s="60"/>
      <c r="AS241" s="54"/>
    </row>
    <row r="242" spans="1:45" ht="21.25" customHeight="1" x14ac:dyDescent="0.15">
      <c r="A242" s="45">
        <f>RANK(K242,K$1:K$665)</f>
        <v>241</v>
      </c>
      <c r="B242" s="9" t="s">
        <v>367</v>
      </c>
      <c r="C242" s="46" t="s">
        <v>127</v>
      </c>
      <c r="D242" s="47" t="str">
        <f>VLOOKUP(B242,'Player Data'!A1:D667,4,FALSE)</f>
        <v>C</v>
      </c>
      <c r="E242" s="48">
        <f>VLOOKUP(B242,'C'!A1:C206,3,FALSE)</f>
        <v>73</v>
      </c>
      <c r="F242" s="77" t="str">
        <f>VLOOKUP(B242,'Player Data'!A1:B667,2,FALSE)</f>
        <v>S.J</v>
      </c>
      <c r="G242" s="63">
        <f>VLOOKUP(B242,'Player Data'!A1:D667,3,FALSE)</f>
        <v>35</v>
      </c>
      <c r="H242" s="50">
        <f>IFERROR(VLOOKUP(B242,ADP!A1:G665,7,FALSE)/1000000,VLOOKUP(B242,ADP!A1:G665,7,FALSE))</f>
        <v>8</v>
      </c>
      <c r="I242" s="51">
        <f>IF(Settings!$E$15="POINTS",((R242*Q242)*Settings!$B$12)+(S242*Settings!$B$2)+(T242*Settings!$B$3)+(U242*Settings!$B$4)+(V242*Settings!$B$5)+(X242*Settings!$B$9)+(AA242*Settings!$B$6)+(W242*Settings!$B$8)+(AB242*Settings!$B$7)+(AC242*Settings!$B$14)+(AD242*Settings!$B$15)+(AE242*Settings!$B$16)+(AF242*Settings!$B$17)+(AG242*Settings!$B$18)+(Y242*Settings!$B$10)+(Z242*Settings!$B$11),VLOOKUP(B242,'Standard Deviations'!A1:C666,3,FALSE))</f>
        <v>262.08152750945681</v>
      </c>
      <c r="J242" s="52">
        <f>IF(D242="G",I242/AJ242,I242/Q242)</f>
        <v>3.8518743020202351</v>
      </c>
      <c r="K242" s="51">
        <f>IF(Settings!$E$18="C/LW/RW",VLOOKUP(B242,'C'!A1:F206,6,FALSE),VLOOKUP(B242,F!A1:F392,6,FALSE))</f>
        <v>-127.85563026862428</v>
      </c>
      <c r="L242" s="53">
        <f>IFERROR(K242/H242,"N/A")</f>
        <v>-15.981953783578035</v>
      </c>
      <c r="M242" s="83" t="str">
        <f>IF(Settings!$E$9="YAHOO",VLOOKUP(B242,ADP!A1:E665,2,FALSE),IF(Settings!$E$9="ESPN",VLOOKUP(B242,ADP!A1:E665,3,FALSE),IF(Settings!$E$9="FANTRAX",VLOOKUP(B242,ADP!A1:E665,4,FALSE),VLOOKUP(B242,ADP!A1:E665,5,FALSE))))</f>
        <v>—</v>
      </c>
      <c r="N242" s="83" t="str">
        <f>IFERROR(M242-A242,"N/A")</f>
        <v>N/A</v>
      </c>
      <c r="O242" s="54"/>
      <c r="P242" s="55" t="str">
        <f>IF(Settings!$E$27="ON",VLOOKUP(B242,ADP!A1:H665,8,FALSE)," ")</f>
        <v xml:space="preserve"> </v>
      </c>
      <c r="Q242" s="56">
        <f>IF(Settings!$E$12="YES",VLOOKUP(B242,'Player Data'!A1:E667,5,FALSE),82)</f>
        <v>68.040000000000006</v>
      </c>
      <c r="R242" s="54">
        <f>VLOOKUP(B242,'Player Data'!$A1:$AE667,6,FALSE)</f>
        <v>18.048194486713399</v>
      </c>
      <c r="S242" s="56">
        <f>VLOOKUP(B242,'Player Data'!$A1:$AE667,7,FALSE)*$Q242*IFERROR((VLOOKUP(P242,Settings!$E$28:$F$33,2,FALSE)+1),1)</f>
        <v>18.358323015512038</v>
      </c>
      <c r="T242" s="56">
        <f>VLOOKUP(B242,'Player Data'!$A1:$AE667,8,FALSE)*$Q242*IFERROR((VLOOKUP(P242,Settings!$E$28:$F$33,2,FALSE)+1),1)</f>
        <v>29.240428889437812</v>
      </c>
      <c r="U242" s="56">
        <f>SUM(S242:T242)</f>
        <v>47.59875190494985</v>
      </c>
      <c r="V242" s="56">
        <f>VLOOKUP(B242,'Player Data'!$A1:$AE667,10,FALSE)*$Q242*IFERROR(((VLOOKUP(P242,Settings!$E$28:$F$33,2,FALSE)/2)+1),1)</f>
        <v>156.63392801833916</v>
      </c>
      <c r="W242" s="56">
        <f>VLOOKUP(B242,'Player Data'!$A1:$AE667,11,FALSE)*$Q242*IFERROR((VLOOKUP(P242,Settings!$E$28:$F$33,2,FALSE)+1),1)</f>
        <v>4.4605567885252499</v>
      </c>
      <c r="X242" s="57">
        <f>VLOOKUP(B242,'Player Data'!$A1:$AE667,12,FALSE)*$Q242*IFERROR((VLOOKUP(P242,Settings!$E$28:$F$33,2,FALSE)+1),1)</f>
        <v>15.508188545927634</v>
      </c>
      <c r="Y242" s="56">
        <f>VLOOKUP(B242,'Player Data'!$A1:$AE667,13,FALSE)*$Q242</f>
        <v>0.45449882059538238</v>
      </c>
      <c r="Z242" s="56">
        <f>VLOOKUP(B242,'Player Data'!$A1:$AE667,14,FALSE)*$Q242</f>
        <v>0.6248605818575409</v>
      </c>
      <c r="AA242" s="56">
        <f>VLOOKUP(B242,'Player Data'!$A1:$AE667,15,FALSE)*$Q242</f>
        <v>49.670517315304991</v>
      </c>
      <c r="AB242" s="56">
        <f>VLOOKUP(B242,'Player Data'!$A1:$AE667,16,FALSE)*$Q242</f>
        <v>91.581226413182335</v>
      </c>
      <c r="AC242" s="56">
        <f>VLOOKUP(B242,'Player Data'!$A1:$AE667,17,FALSE)*$Q242*IFERROR((VLOOKUP(P242,Settings!$E$28:$F$33,2,FALSE)+1),1)</f>
        <v>-6.5754538725848679</v>
      </c>
      <c r="AD242" s="56">
        <f>VLOOKUP(B242,'Player Data'!$A1:$AE667,18,FALSE)*$Q242</f>
        <v>20.472442214769696</v>
      </c>
      <c r="AE242" s="56">
        <f>VLOOKUP(B242,'Player Data'!$A1:$AE667,19,FALSE)*$Q242*IFERROR((VLOOKUP(P242,Settings!$E$28:$F$33,2,FALSE)+1),1)</f>
        <v>1.9608547745757334</v>
      </c>
      <c r="AF242" s="56">
        <f>VLOOKUP(B242,'Player Data'!$A1:$AE667,20,FALSE)*$Q242</f>
        <v>509.18314802442922</v>
      </c>
      <c r="AG242" s="56">
        <f>VLOOKUP(B242,'Player Data'!$A1:$AE667,21,FALSE)*$Q242</f>
        <v>552.8757825609481</v>
      </c>
      <c r="AH242" s="58">
        <f>VLOOKUP(B242,'Player Data'!$A1:$AE667,22,FALSE)</f>
        <v>0.47943022120606998</v>
      </c>
      <c r="AI242" s="54"/>
      <c r="AJ242" s="64"/>
      <c r="AK242" s="56"/>
      <c r="AL242" s="56"/>
      <c r="AM242" s="56"/>
      <c r="AN242" s="56"/>
      <c r="AO242" s="56"/>
      <c r="AP242" s="56"/>
      <c r="AQ242" s="59"/>
      <c r="AR242" s="60"/>
      <c r="AS242" s="54"/>
    </row>
    <row r="243" spans="1:45" ht="21.25" customHeight="1" x14ac:dyDescent="0.15">
      <c r="A243" s="45">
        <f>RANK(K243,K$1:K$665)</f>
        <v>242</v>
      </c>
      <c r="B243" s="9" t="s">
        <v>368</v>
      </c>
      <c r="C243" s="46" t="s">
        <v>127</v>
      </c>
      <c r="D243" s="47" t="str">
        <f>VLOOKUP(B243,'Player Data'!A1:D667,4,FALSE)</f>
        <v>C</v>
      </c>
      <c r="E243" s="48">
        <f>VLOOKUP(B243,'C'!A1:C206,3,FALSE)</f>
        <v>74</v>
      </c>
      <c r="F243" s="62" t="str">
        <f>VLOOKUP(B243,'Player Data'!A1:B667,2,FALSE)</f>
        <v>OTT</v>
      </c>
      <c r="G243" s="69">
        <f>VLOOKUP(B243,'Player Data'!A1:D667,3,FALSE)</f>
        <v>23</v>
      </c>
      <c r="H243" s="50">
        <f>IFERROR(VLOOKUP(B243,ADP!A1:G665,7,FALSE)/1000000,VLOOKUP(B243,ADP!A1:G665,7,FALSE))</f>
        <v>3.75</v>
      </c>
      <c r="I243" s="51">
        <f>IF(Settings!$E$15="POINTS",((R243*Q243)*Settings!$B$12)+(S243*Settings!$B$2)+(T243*Settings!$B$3)+(U243*Settings!$B$4)+(V243*Settings!$B$5)+(X243*Settings!$B$9)+(AA243*Settings!$B$6)+(W243*Settings!$B$8)+(AB243*Settings!$B$7)+(AC243*Settings!$B$14)+(AD243*Settings!$B$15)+(AE243*Settings!$B$16)+(AF243*Settings!$B$17)+(AG243*Settings!$B$18)+(Y243*Settings!$B$10)+(Z243*Settings!$B$11),VLOOKUP(B243,'Standard Deviations'!A1:C666,3,FALSE))</f>
        <v>261.96429387247679</v>
      </c>
      <c r="J243" s="52">
        <f>IF(D243="G",I243/AJ243,I243/Q243)</f>
        <v>3.6007600271121514</v>
      </c>
      <c r="K243" s="51">
        <f>IF(Settings!$E$18="C/LW/RW",VLOOKUP(B243,'C'!A1:F206,6,FALSE),VLOOKUP(B243,F!A1:F392,6,FALSE))</f>
        <v>-127.9728639056043</v>
      </c>
      <c r="L243" s="53">
        <f>IFERROR(K243/H243,"N/A")</f>
        <v>-34.126097041494482</v>
      </c>
      <c r="M243" s="83" t="str">
        <f>IF(Settings!$E$9="YAHOO",VLOOKUP(B243,ADP!A1:E665,2,FALSE),IF(Settings!$E$9="ESPN",VLOOKUP(B243,ADP!A1:E665,3,FALSE),IF(Settings!$E$9="FANTRAX",VLOOKUP(B243,ADP!A1:E665,4,FALSE),VLOOKUP(B243,ADP!A1:E665,5,FALSE))))</f>
        <v>—</v>
      </c>
      <c r="N243" s="83" t="str">
        <f>IFERROR(M243-A243,"N/A")</f>
        <v>N/A</v>
      </c>
      <c r="O243" s="54"/>
      <c r="P243" s="55" t="str">
        <f>IF(Settings!$E$27="ON",VLOOKUP(B243,ADP!A1:H665,8,FALSE)," ")</f>
        <v xml:space="preserve"> </v>
      </c>
      <c r="Q243" s="56">
        <f>IF(Settings!$E$12="YES",VLOOKUP(B243,'Player Data'!A1:E667,5,FALSE),82)</f>
        <v>72.752499999999998</v>
      </c>
      <c r="R243" s="54">
        <f>VLOOKUP(B243,'Player Data'!$A1:$AE667,6,FALSE)</f>
        <v>18.375242514962299</v>
      </c>
      <c r="S243" s="56">
        <f>VLOOKUP(B243,'Player Data'!$A1:$AE667,7,FALSE)*$Q243*IFERROR((VLOOKUP(P243,Settings!$E$28:$F$33,2,FALSE)+1),1)</f>
        <v>19.558656604704129</v>
      </c>
      <c r="T243" s="56">
        <f>VLOOKUP(B243,'Player Data'!$A1:$AE667,8,FALSE)*$Q243*IFERROR((VLOOKUP(P243,Settings!$E$28:$F$33,2,FALSE)+1),1)</f>
        <v>25.029926224646555</v>
      </c>
      <c r="U243" s="56">
        <f>SUM(S243:T243)</f>
        <v>44.588582829350685</v>
      </c>
      <c r="V243" s="56">
        <f>VLOOKUP(B243,'Player Data'!$A1:$AE667,10,FALSE)*$Q243*IFERROR(((VLOOKUP(P243,Settings!$E$28:$F$33,2,FALSE)/2)+1),1)</f>
        <v>184.18857128351524</v>
      </c>
      <c r="W243" s="56">
        <f>VLOOKUP(B243,'Player Data'!$A1:$AE667,11,FALSE)*$Q243*IFERROR((VLOOKUP(P243,Settings!$E$28:$F$33,2,FALSE)+1),1)</f>
        <v>5.7805045457642592</v>
      </c>
      <c r="X243" s="78">
        <f>VLOOKUP(B243,'Player Data'!$A1:$AE667,12,FALSE)*$Q243*IFERROR((VLOOKUP(P243,Settings!$E$28:$F$33,2,FALSE)+1),1)</f>
        <v>10.617339193922291</v>
      </c>
      <c r="Y243" s="56">
        <f>VLOOKUP(B243,'Player Data'!$A1:$AE667,13,FALSE)*$Q243</f>
        <v>0.14045663179018206</v>
      </c>
      <c r="Z243" s="56">
        <f>VLOOKUP(B243,'Player Data'!$A1:$AE667,14,FALSE)*$Q243</f>
        <v>0.2369907164135438</v>
      </c>
      <c r="AA243" s="56">
        <f>VLOOKUP(B243,'Player Data'!$A1:$AE667,15,FALSE)*$Q243</f>
        <v>50.499859664662551</v>
      </c>
      <c r="AB243" s="56">
        <f>VLOOKUP(B243,'Player Data'!$A1:$AE667,16,FALSE)*$Q243</f>
        <v>67.844502430476709</v>
      </c>
      <c r="AC243" s="56">
        <f>VLOOKUP(B243,'Player Data'!$A1:$AE667,17,FALSE)*$Q243*IFERROR((VLOOKUP(P243,Settings!$E$28:$F$33,2,FALSE)+1),1)</f>
        <v>-0.52468180099160067</v>
      </c>
      <c r="AD243" s="56">
        <f>VLOOKUP(B243,'Player Data'!$A1:$AE667,18,FALSE)*$Q243</f>
        <v>26.833140321406034</v>
      </c>
      <c r="AE243" s="56">
        <f>VLOOKUP(B243,'Player Data'!$A1:$AE667,19,FALSE)*$Q243*IFERROR((VLOOKUP(P243,Settings!$E$28:$F$33,2,FALSE)+1),1)</f>
        <v>3.0367599385779918</v>
      </c>
      <c r="AF243" s="56">
        <f>VLOOKUP(B243,'Player Data'!$A1:$AE667,20,FALSE)*$Q243</f>
        <v>455.74762352150452</v>
      </c>
      <c r="AG243" s="56">
        <f>VLOOKUP(B243,'Player Data'!$A1:$AE667,21,FALSE)*$Q243</f>
        <v>436.08013390997309</v>
      </c>
      <c r="AH243" s="58">
        <f>VLOOKUP(B243,'Player Data'!$A1:$AE667,22,FALSE)</f>
        <v>0.51102650677086703</v>
      </c>
      <c r="AI243" s="54"/>
      <c r="AJ243" s="56"/>
      <c r="AK243" s="56"/>
      <c r="AL243" s="56"/>
      <c r="AM243" s="56"/>
      <c r="AN243" s="56"/>
      <c r="AO243" s="56"/>
      <c r="AP243" s="56"/>
      <c r="AQ243" s="59"/>
      <c r="AR243" s="60"/>
      <c r="AS243" s="64"/>
    </row>
    <row r="244" spans="1:45" ht="21.25" customHeight="1" x14ac:dyDescent="0.15">
      <c r="A244" s="45">
        <f>RANK(K244,K$1:K$665)</f>
        <v>243</v>
      </c>
      <c r="B244" s="9" t="s">
        <v>369</v>
      </c>
      <c r="C244" s="46" t="s">
        <v>127</v>
      </c>
      <c r="D244" s="47" t="str">
        <f>VLOOKUP(B244,'Player Data'!A1:D667,4,FALSE)</f>
        <v>D</v>
      </c>
      <c r="E244" s="66">
        <f>VLOOKUP(B244,D!A1:C213,3,FALSE)</f>
        <v>70</v>
      </c>
      <c r="F244" s="82" t="str">
        <f>VLOOKUP(B244,'Player Data'!A1:B667,2,FALSE)</f>
        <v>ANA</v>
      </c>
      <c r="G244" s="69">
        <f>VLOOKUP(B244,'Player Data'!A1:D667,3,FALSE)</f>
        <v>20</v>
      </c>
      <c r="H244" s="50">
        <f>IFERROR(VLOOKUP(B244,ADP!A1:G665,7,FALSE)/1000000,VLOOKUP(B244,ADP!A1:G665,7,FALSE))</f>
        <v>0.84399999999999997</v>
      </c>
      <c r="I244" s="51">
        <f>IF(Settings!$E$15="POINTS",((R244*Q244)*Settings!$B$12)+(S244*Settings!$B$2)+(T244*Settings!$B$3)+(U244*Settings!$B$4)+(V244*Settings!$B$5)+(X244*Settings!$B$9)+(AA244*Settings!$B$6)+(W244*Settings!$B$8)+(AB244*Settings!$B$7)+(AC244*Settings!$B$14)+(AD244*Settings!$B$15)+(AE244*Settings!$B$16)+(AF244*Settings!$B$17)+(AG244*Settings!$B$18)+(U244*Settings!$B$13)+(Y244*Settings!$B$10)+(Z244*Settings!$B$11),VLOOKUP(B244,'Standard Deviations'!A1:C666,3,FALSE))</f>
        <v>208.03460754993139</v>
      </c>
      <c r="J244" s="52">
        <f>IF(D244="G",I244/AJ244,I244/Q244)</f>
        <v>3.0916125360370246</v>
      </c>
      <c r="K244" s="51">
        <f>VLOOKUP(B244,D!A1:F213,6,FALSE)</f>
        <v>-128.19951749566351</v>
      </c>
      <c r="L244" s="53">
        <f>IFERROR(K244/H244,"N/A")</f>
        <v>-151.89516290955393</v>
      </c>
      <c r="M244" s="83" t="str">
        <f>IF(Settings!$E$9="YAHOO",VLOOKUP(B244,ADP!A1:E665,2,FALSE),IF(Settings!$E$9="ESPN",VLOOKUP(B244,ADP!A1:E665,3,FALSE),IF(Settings!$E$9="FANTRAX",VLOOKUP(B244,ADP!A1:E665,4,FALSE),VLOOKUP(B244,ADP!A1:E665,5,FALSE))))</f>
        <v>—</v>
      </c>
      <c r="N244" s="83" t="str">
        <f>IFERROR(M244-A244,"N/A")</f>
        <v>N/A</v>
      </c>
      <c r="O244" s="54"/>
      <c r="P244" s="55" t="str">
        <f>IF(Settings!$E$27="ON",VLOOKUP(B244,ADP!A1:H665,8,FALSE)," ")</f>
        <v xml:space="preserve"> </v>
      </c>
      <c r="Q244" s="56">
        <f>IF(Settings!$E$12="YES",VLOOKUP(B244,'Player Data'!A1:E667,5,FALSE),82)</f>
        <v>67.290000000000006</v>
      </c>
      <c r="R244" s="75">
        <f>VLOOKUP(B244,'Player Data'!$A1:$AE667,6,FALSE)</f>
        <v>21.1846076974402</v>
      </c>
      <c r="S244" s="56">
        <f>VLOOKUP(B244,'Player Data'!$A1:$AE667,7,FALSE)*$Q244*IFERROR((VLOOKUP(P244,Settings!$E$28:$F$33,2,FALSE)+1),1)</f>
        <v>6.1651290817640092</v>
      </c>
      <c r="T244" s="56">
        <f>VLOOKUP(B244,'Player Data'!$A1:$AE667,8,FALSE)*$Q244*IFERROR((VLOOKUP(P244,Settings!$E$28:$F$33,2,FALSE)+1),1)</f>
        <v>24.224209615671292</v>
      </c>
      <c r="U244" s="56">
        <f>SUM(S244:T244)</f>
        <v>30.389338697435299</v>
      </c>
      <c r="V244" s="56">
        <f>VLOOKUP(B244,'Player Data'!$A1:$AE667,10,FALSE)*$Q244*IFERROR(((VLOOKUP(P244,Settings!$E$28:$F$33,2,FALSE)/2)+1),1)</f>
        <v>107.84903951158287</v>
      </c>
      <c r="W244" s="56">
        <f>VLOOKUP(B244,'Player Data'!$A1:$AE667,11,FALSE)*$Q244*IFERROR((VLOOKUP(P244,Settings!$E$28:$F$33,2,FALSE)+1),1)</f>
        <v>0.85478868356365734</v>
      </c>
      <c r="X244" s="78">
        <f>VLOOKUP(B244,'Player Data'!$A1:$AE667,12,FALSE)*$Q244*IFERROR((VLOOKUP(P244,Settings!$E$28:$F$33,2,FALSE)+1),1)</f>
        <v>9.5213380361586477</v>
      </c>
      <c r="Y244" s="56">
        <f>VLOOKUP(B244,'Player Data'!$A1:$AE667,13,FALSE)*$Q244</f>
        <v>2.7728404757262896E-2</v>
      </c>
      <c r="Z244" s="56">
        <f>VLOOKUP(B244,'Player Data'!$A1:$AE667,14,FALSE)*$Q244</f>
        <v>0.13510040589111205</v>
      </c>
      <c r="AA244" s="56">
        <f>VLOOKUP(B244,'Player Data'!$A1:$AE667,15,FALSE)*$Q244</f>
        <v>106.57126651956864</v>
      </c>
      <c r="AB244" s="56">
        <f>VLOOKUP(B244,'Player Data'!$A1:$AE667,16,FALSE)*$Q244</f>
        <v>64.936171395164024</v>
      </c>
      <c r="AC244" s="56">
        <f>VLOOKUP(B244,'Player Data'!$A1:$AE667,17,FALSE)*$Q244*IFERROR((VLOOKUP(P244,Settings!$E$28:$F$33,2,FALSE)+1),1)</f>
        <v>-6.4271623957971826</v>
      </c>
      <c r="AD244" s="56">
        <f>VLOOKUP(B244,'Player Data'!$A1:$AE667,18,FALSE)*$Q244</f>
        <v>26.121852015735765</v>
      </c>
      <c r="AE244" s="56">
        <f>VLOOKUP(B244,'Player Data'!$A1:$AE667,19,FALSE)*$Q244*IFERROR((VLOOKUP(P244,Settings!$E$28:$F$33,2,FALSE)+1),1)</f>
        <v>0.71860466733240602</v>
      </c>
      <c r="AF244" s="56">
        <f>VLOOKUP(B244,'Player Data'!$A1:$AE667,20,FALSE)*$Q244</f>
        <v>0</v>
      </c>
      <c r="AG244" s="56">
        <f>VLOOKUP(B244,'Player Data'!$A1:$AE667,21,FALSE)*$Q244</f>
        <v>0</v>
      </c>
      <c r="AH244" s="58">
        <f>VLOOKUP(B244,'Player Data'!$A1:$AE667,22,FALSE)</f>
        <v>0</v>
      </c>
      <c r="AI244" s="54"/>
      <c r="AJ244" s="56"/>
      <c r="AK244" s="56"/>
      <c r="AL244" s="56"/>
      <c r="AM244" s="56"/>
      <c r="AN244" s="56"/>
      <c r="AO244" s="56"/>
      <c r="AP244" s="56"/>
      <c r="AQ244" s="59"/>
      <c r="AR244" s="60"/>
      <c r="AS244" s="54"/>
    </row>
    <row r="245" spans="1:45" ht="21.25" customHeight="1" x14ac:dyDescent="0.15">
      <c r="A245" s="45">
        <f>RANK(K245,K$1:K$665)</f>
        <v>244</v>
      </c>
      <c r="B245" s="9" t="s">
        <v>370</v>
      </c>
      <c r="C245" s="46" t="s">
        <v>127</v>
      </c>
      <c r="D245" s="47" t="str">
        <f>VLOOKUP(B245,'Player Data'!A1:D667,4,FALSE)</f>
        <v>LW</v>
      </c>
      <c r="E245" s="70">
        <f>VLOOKUP(B245,LW!A1:C152,3,FALSE)</f>
        <v>57</v>
      </c>
      <c r="F245" s="65" t="str">
        <f>VLOOKUP(B245,'Player Data'!A1:B667,2,FALSE)</f>
        <v>TOR</v>
      </c>
      <c r="G245" s="69">
        <f>VLOOKUP(B245,'Player Data'!A1:D667,3,FALSE)</f>
        <v>21</v>
      </c>
      <c r="H245" s="67">
        <f>IFERROR(VLOOKUP(B245,ADP!A1:G665,7,FALSE)/1000000,VLOOKUP(B245,ADP!A1:G665,7,FALSE))</f>
        <v>0.92500000000000004</v>
      </c>
      <c r="I245" s="51">
        <f>IF(Settings!$E$15="POINTS",((R245*Q245)*Settings!$B$12)+(S245*Settings!$B$2)+(T245*Settings!$B$3)+(U245*Settings!$B$4)+(V245*Settings!$B$5)+(X245*Settings!$B$9)+(AA245*Settings!$B$6)+(W245*Settings!$B$8)+(AB245*Settings!$B$7)+(AC245*Settings!$B$14)+(AD245*Settings!$B$15)+(AE245*Settings!$B$16)+(AF245*Settings!$B$17)+(AG245*Settings!$B$18)+(Y245*Settings!$B$10)+(Z245*Settings!$B$11),VLOOKUP(B245,'Standard Deviations'!A1:C666,3,FALSE))</f>
        <v>252.30816238571435</v>
      </c>
      <c r="J245" s="52">
        <f>IF(D245="G",I245/AJ245,I245/Q245)</f>
        <v>3.1597766109669929</v>
      </c>
      <c r="K245" s="51">
        <f>IF(Settings!$E$18="C/LW/RW",VLOOKUP(B245,LW!A1:F152,6,FALSE),VLOOKUP(B245,F!A1:F392,6,FALSE))</f>
        <v>-128.7533499167854</v>
      </c>
      <c r="L245" s="53">
        <f>IFERROR(K245/H245,"N/A")</f>
        <v>-139.19281072084908</v>
      </c>
      <c r="M245" s="83" t="str">
        <f>IF(Settings!$E$9="YAHOO",VLOOKUP(B245,ADP!A1:E665,2,FALSE),IF(Settings!$E$9="ESPN",VLOOKUP(B245,ADP!A1:E665,3,FALSE),IF(Settings!$E$9="FANTRAX",VLOOKUP(B245,ADP!A1:E665,4,FALSE),VLOOKUP(B245,ADP!A1:E665,5,FALSE))))</f>
        <v>—</v>
      </c>
      <c r="N245" s="83" t="str">
        <f>IFERROR(M245-A245,"N/A")</f>
        <v>N/A</v>
      </c>
      <c r="O245" s="54"/>
      <c r="P245" s="55" t="str">
        <f>IF(Settings!$E$27="ON",VLOOKUP(B245,ADP!A1:H665,8,FALSE)," ")</f>
        <v xml:space="preserve"> </v>
      </c>
      <c r="Q245" s="56">
        <f>IF(Settings!$E$12="YES",VLOOKUP(B245,'Player Data'!A1:E667,5,FALSE),82)</f>
        <v>79.849999999999994</v>
      </c>
      <c r="R245" s="75">
        <f>VLOOKUP(B245,'Player Data'!$A1:$AE667,6,FALSE)</f>
        <v>16.366339076451599</v>
      </c>
      <c r="S245" s="56">
        <f>VLOOKUP(B245,'Player Data'!$A1:$AE667,7,FALSE)*$Q245*IFERROR((VLOOKUP(P245,Settings!$E$28:$F$33,2,FALSE)+1),1)</f>
        <v>21.364504906145427</v>
      </c>
      <c r="T245" s="56">
        <f>VLOOKUP(B245,'Player Data'!$A1:$AE667,8,FALSE)*$Q245*IFERROR((VLOOKUP(P245,Settings!$E$28:$F$33,2,FALSE)+1),1)</f>
        <v>29.958290076276857</v>
      </c>
      <c r="U245" s="56">
        <f>SUM(S245:T245)</f>
        <v>51.32279498242228</v>
      </c>
      <c r="V245" s="56">
        <f>VLOOKUP(B245,'Player Data'!$A1:$AE667,10,FALSE)*$Q245*IFERROR(((VLOOKUP(P245,Settings!$E$28:$F$33,2,FALSE)/2)+1),1)</f>
        <v>146.61790654614765</v>
      </c>
      <c r="W245" s="56">
        <f>VLOOKUP(B245,'Player Data'!$A1:$AE667,11,FALSE)*$Q245*IFERROR((VLOOKUP(P245,Settings!$E$28:$F$33,2,FALSE)+1),1)</f>
        <v>1.8151608982413319</v>
      </c>
      <c r="X245" s="56">
        <f>VLOOKUP(B245,'Player Data'!$A1:$AE667,12,FALSE)*$Q245*IFERROR((VLOOKUP(P245,Settings!$E$28:$F$33,2,FALSE)+1),1)</f>
        <v>6.9811837781883961</v>
      </c>
      <c r="Y245" s="56">
        <f>VLOOKUP(B245,'Player Data'!$A1:$AE667,13,FALSE)*$Q245</f>
        <v>0.11193917003103197</v>
      </c>
      <c r="Z245" s="56">
        <f>VLOOKUP(B245,'Player Data'!$A1:$AE667,14,FALSE)*$Q245</f>
        <v>0.18783293882012542</v>
      </c>
      <c r="AA245" s="56">
        <f>VLOOKUP(B245,'Player Data'!$A1:$AE667,15,FALSE)*$Q245</f>
        <v>35.723614896730311</v>
      </c>
      <c r="AB245" s="56">
        <f>VLOOKUP(B245,'Player Data'!$A1:$AE667,16,FALSE)*$Q245</f>
        <v>174.29541710239059</v>
      </c>
      <c r="AC245" s="56">
        <f>VLOOKUP(B245,'Player Data'!$A1:$AE667,17,FALSE)*$Q245*IFERROR((VLOOKUP(P245,Settings!$E$28:$F$33,2,FALSE)+1),1)</f>
        <v>6.3119856387080961</v>
      </c>
      <c r="AD245" s="56">
        <f>VLOOKUP(B245,'Player Data'!$A1:$AE667,18,FALSE)*$Q245</f>
        <v>46.830098397241308</v>
      </c>
      <c r="AE245" s="56">
        <f>VLOOKUP(B245,'Player Data'!$A1:$AE667,19,FALSE)*$Q245*IFERROR((VLOOKUP(P245,Settings!$E$28:$F$33,2,FALSE)+1),1)</f>
        <v>3.4179378133845315</v>
      </c>
      <c r="AF245" s="56">
        <f>VLOOKUP(B245,'Player Data'!$A1:$AE667,20,FALSE)*$Q245</f>
        <v>0</v>
      </c>
      <c r="AG245" s="56">
        <f>VLOOKUP(B245,'Player Data'!$A1:$AE667,21,FALSE)*$Q245</f>
        <v>1.1855694968605899</v>
      </c>
      <c r="AH245" s="58">
        <f>VLOOKUP(B245,'Player Data'!$A1:$AE667,22,FALSE)</f>
        <v>0</v>
      </c>
      <c r="AI245" s="54"/>
      <c r="AJ245" s="64"/>
      <c r="AK245" s="56"/>
      <c r="AL245" s="56"/>
      <c r="AM245" s="56"/>
      <c r="AN245" s="56"/>
      <c r="AO245" s="56"/>
      <c r="AP245" s="56"/>
      <c r="AQ245" s="59"/>
      <c r="AR245" s="60"/>
      <c r="AS245" s="54"/>
    </row>
    <row r="246" spans="1:45" ht="21.25" customHeight="1" x14ac:dyDescent="0.15">
      <c r="A246" s="45">
        <f>RANK(K246,K$1:K$665)</f>
        <v>245</v>
      </c>
      <c r="B246" s="9" t="s">
        <v>371</v>
      </c>
      <c r="C246" s="46" t="s">
        <v>127</v>
      </c>
      <c r="D246" s="47" t="str">
        <f>VLOOKUP(B246,'Player Data'!A1:D667,4,FALSE)</f>
        <v>C/RW</v>
      </c>
      <c r="E246" s="68">
        <f>VLOOKUP(B246,RW!A1:C136,3,FALSE)</f>
        <v>65</v>
      </c>
      <c r="F246" s="80" t="str">
        <f>VLOOKUP(B246,'Player Data'!A1:B667,2,FALSE)</f>
        <v>PHI</v>
      </c>
      <c r="G246" s="69">
        <f>VLOOKUP(B246,'Player Data'!A1:D667,3,FALSE)</f>
        <v>22</v>
      </c>
      <c r="H246" s="67">
        <f>IFERROR(VLOOKUP(B246,ADP!A1:G665,7,FALSE)/1000000,VLOOKUP(B246,ADP!A1:G665,7,FALSE))</f>
        <v>0.86333300000000002</v>
      </c>
      <c r="I246" s="51">
        <f>IF(Settings!$E$15="POINTS",((R246*Q246)*Settings!$B$12)+(S246*Settings!$B$2)+(T246*Settings!$B$3)+(U246*Settings!$B$4)+(V246*Settings!$B$5)+(X246*Settings!$B$9)+(AA246*Settings!$B$6)+(W246*Settings!$B$8)+(AB246*Settings!$B$7)+(AC246*Settings!$B$14)+(AD246*Settings!$B$15)+(AE246*Settings!$B$16)+(AF246*Settings!$B$17)+(AG246*Settings!$B$18)+(Y246*Settings!$B$10)+(Z246*Settings!$B$11),VLOOKUP(B246,'Standard Deviations'!A1:C666,3,FALSE))</f>
        <v>239.74574917941194</v>
      </c>
      <c r="J246" s="52">
        <f>IF(D246="G",I246/AJ246,I246/Q246)</f>
        <v>3.050006350479129</v>
      </c>
      <c r="K246" s="51">
        <f>IF(Settings!$E$18="C/LW/RW",VLOOKUP(B246,RW!A1:F136,6,FALSE),VLOOKUP(B246,F!A1:F392,6,FALSE))</f>
        <v>-129.10197392688045</v>
      </c>
      <c r="L246" s="53">
        <f>IFERROR(K246/H246,"N/A")</f>
        <v>-149.53902367554633</v>
      </c>
      <c r="M246" s="83" t="str">
        <f>IF(Settings!$E$9="YAHOO",VLOOKUP(B246,ADP!A1:E665,2,FALSE),IF(Settings!$E$9="ESPN",VLOOKUP(B246,ADP!A1:E665,3,FALSE),IF(Settings!$E$9="FANTRAX",VLOOKUP(B246,ADP!A1:E665,4,FALSE),VLOOKUP(B246,ADP!A1:E665,5,FALSE))))</f>
        <v>—</v>
      </c>
      <c r="N246" s="83" t="str">
        <f>IFERROR(M246-A246,"N/A")</f>
        <v>N/A</v>
      </c>
      <c r="O246" s="54"/>
      <c r="P246" s="55" t="str">
        <f>IF(Settings!$E$27="ON",VLOOKUP(B246,ADP!A1:H665,8,FALSE)," ")</f>
        <v xml:space="preserve"> </v>
      </c>
      <c r="Q246" s="56">
        <f>IF(Settings!$E$12="YES",VLOOKUP(B246,'Player Data'!A1:E667,5,FALSE),82)</f>
        <v>78.605000000000004</v>
      </c>
      <c r="R246" s="54">
        <f>VLOOKUP(B246,'Player Data'!$A1:$AE667,6,FALSE)</f>
        <v>16.733920967588901</v>
      </c>
      <c r="S246" s="56">
        <f>VLOOKUP(B246,'Player Data'!$A1:$AE667,7,FALSE)*$Q246*IFERROR((VLOOKUP(P246,Settings!$E$28:$F$33,2,FALSE)+1),1)</f>
        <v>22.027282590517874</v>
      </c>
      <c r="T246" s="56">
        <f>VLOOKUP(B246,'Player Data'!$A1:$AE667,8,FALSE)*$Q246*IFERROR((VLOOKUP(P246,Settings!$E$28:$F$33,2,FALSE)+1),1)</f>
        <v>19.986308708433022</v>
      </c>
      <c r="U246" s="56">
        <f>SUM(S246:T246)</f>
        <v>42.013591298950899</v>
      </c>
      <c r="V246" s="56">
        <f>VLOOKUP(B246,'Player Data'!$A1:$AE667,10,FALSE)*$Q246*IFERROR(((VLOOKUP(P246,Settings!$E$28:$F$33,2,FALSE)/2)+1),1)</f>
        <v>164.62582897217698</v>
      </c>
      <c r="W246" s="56">
        <f>VLOOKUP(B246,'Player Data'!$A1:$AE667,11,FALSE)*$Q246*IFERROR((VLOOKUP(P246,Settings!$E$28:$F$33,2,FALSE)+1),1)</f>
        <v>2.1773741288658925</v>
      </c>
      <c r="X246" s="56">
        <f>VLOOKUP(B246,'Player Data'!$A1:$AE667,12,FALSE)*$Q246*IFERROR((VLOOKUP(P246,Settings!$E$28:$F$33,2,FALSE)+1),1)</f>
        <v>6.5237517944502361</v>
      </c>
      <c r="Y246" s="56">
        <f>VLOOKUP(B246,'Player Data'!$A1:$AE667,13,FALSE)*$Q246</f>
        <v>6.1647665772931917E-2</v>
      </c>
      <c r="Z246" s="56">
        <f>VLOOKUP(B246,'Player Data'!$A1:$AE667,14,FALSE)*$Q246</f>
        <v>7.0457171956392048E-2</v>
      </c>
      <c r="AA246" s="56">
        <f>VLOOKUP(B246,'Player Data'!$A1:$AE667,15,FALSE)*$Q246</f>
        <v>49.595703660128237</v>
      </c>
      <c r="AB246" s="56">
        <f>VLOOKUP(B246,'Player Data'!$A1:$AE667,16,FALSE)*$Q246</f>
        <v>95.028689448686805</v>
      </c>
      <c r="AC246" s="56">
        <f>VLOOKUP(B246,'Player Data'!$A1:$AE667,17,FALSE)*$Q246*IFERROR((VLOOKUP(P246,Settings!$E$28:$F$33,2,FALSE)+1),1)</f>
        <v>-0.76537285717266468</v>
      </c>
      <c r="AD246" s="56">
        <f>VLOOKUP(B246,'Player Data'!$A1:$AE667,18,FALSE)*$Q246</f>
        <v>34.916616751032876</v>
      </c>
      <c r="AE246" s="56">
        <f>VLOOKUP(B246,'Player Data'!$A1:$AE667,19,FALSE)*$Q246*IFERROR((VLOOKUP(P246,Settings!$E$28:$F$33,2,FALSE)+1),1)</f>
        <v>3.1928441927124065</v>
      </c>
      <c r="AF246" s="56">
        <f>VLOOKUP(B246,'Player Data'!$A1:$AE667,20,FALSE)*$Q246</f>
        <v>0.89550720872962142</v>
      </c>
      <c r="AG246" s="56">
        <f>VLOOKUP(B246,'Player Data'!$A1:$AE667,21,FALSE)*$Q246</f>
        <v>2.0129201015299656</v>
      </c>
      <c r="AH246" s="58">
        <f>VLOOKUP(B246,'Player Data'!$A1:$AE667,22,FALSE)</f>
        <v>0.30790083890722902</v>
      </c>
      <c r="AI246" s="54"/>
      <c r="AJ246" s="64"/>
      <c r="AK246" s="56"/>
      <c r="AL246" s="56"/>
      <c r="AM246" s="56"/>
      <c r="AN246" s="56"/>
      <c r="AO246" s="56"/>
      <c r="AP246" s="56"/>
      <c r="AQ246" s="59"/>
      <c r="AR246" s="60"/>
      <c r="AS246" s="54"/>
    </row>
    <row r="247" spans="1:45" ht="21.25" customHeight="1" x14ac:dyDescent="0.15">
      <c r="A247" s="45">
        <f>RANK(K247,K$1:K$665)</f>
        <v>246</v>
      </c>
      <c r="B247" s="9" t="s">
        <v>372</v>
      </c>
      <c r="C247" s="46" t="s">
        <v>127</v>
      </c>
      <c r="D247" s="47" t="str">
        <f>VLOOKUP(B247,'Player Data'!A1:D667,4,FALSE)</f>
        <v>D</v>
      </c>
      <c r="E247" s="66">
        <f>VLOOKUP(B247,D!A1:C213,3,FALSE)</f>
        <v>71</v>
      </c>
      <c r="F247" s="62" t="str">
        <f>VLOOKUP(B247,'Player Data'!A1:B667,2,FALSE)</f>
        <v>SEA</v>
      </c>
      <c r="G247" s="63">
        <f>VLOOKUP(B247,'Player Data'!A1:D667,3,FALSE)</f>
        <v>31</v>
      </c>
      <c r="H247" s="67">
        <f>IFERROR(VLOOKUP(B247,ADP!A1:G665,7,FALSE)/1000000,VLOOKUP(B247,ADP!A1:G665,7,FALSE))</f>
        <v>4</v>
      </c>
      <c r="I247" s="51">
        <f>IF(Settings!$E$15="POINTS",((R247*Q247)*Settings!$B$12)+(S247*Settings!$B$2)+(T247*Settings!$B$3)+(U247*Settings!$B$4)+(V247*Settings!$B$5)+(X247*Settings!$B$9)+(AA247*Settings!$B$6)+(W247*Settings!$B$8)+(AB247*Settings!$B$7)+(AC247*Settings!$B$14)+(AD247*Settings!$B$15)+(AE247*Settings!$B$16)+(AF247*Settings!$B$17)+(AG247*Settings!$B$18)+(U247*Settings!$B$13)+(Y247*Settings!$B$10)+(Z247*Settings!$B$11),VLOOKUP(B247,'Standard Deviations'!A1:C666,3,FALSE))</f>
        <v>205.71998536235219</v>
      </c>
      <c r="J247" s="52">
        <f>IF(D247="G",I247/AJ247,I247/Q247)</f>
        <v>2.5133011864311068</v>
      </c>
      <c r="K247" s="51">
        <f>VLOOKUP(B247,D!A1:F213,6,FALSE)</f>
        <v>-130.51413968324272</v>
      </c>
      <c r="L247" s="53">
        <f>IFERROR(K247/H247,"N/A")</f>
        <v>-32.628534920810679</v>
      </c>
      <c r="M247" s="83" t="str">
        <f>IF(Settings!$E$9="YAHOO",VLOOKUP(B247,ADP!A1:E665,2,FALSE),IF(Settings!$E$9="ESPN",VLOOKUP(B247,ADP!A1:E665,3,FALSE),IF(Settings!$E$9="FANTRAX",VLOOKUP(B247,ADP!A1:E665,4,FALSE),VLOOKUP(B247,ADP!A1:E665,5,FALSE))))</f>
        <v>—</v>
      </c>
      <c r="N247" s="83" t="str">
        <f>IFERROR(M247-A247,"N/A")</f>
        <v>N/A</v>
      </c>
      <c r="O247" s="54"/>
      <c r="P247" s="55" t="str">
        <f>IF(Settings!$E$27="ON",VLOOKUP(B247,ADP!A1:H665,8,FALSE)," ")</f>
        <v xml:space="preserve"> </v>
      </c>
      <c r="Q247" s="56">
        <f>IF(Settings!$E$12="YES",VLOOKUP(B247,'Player Data'!A1:E667,5,FALSE),82)</f>
        <v>81.852500000000006</v>
      </c>
      <c r="R247" s="81">
        <f>VLOOKUP(B247,'Player Data'!$A1:$AE667,6,FALSE)</f>
        <v>21.626043998118</v>
      </c>
      <c r="S247" s="56">
        <f>VLOOKUP(B247,'Player Data'!$A1:$AE667,7,FALSE)*$Q247*IFERROR((VLOOKUP(P247,Settings!$E$28:$F$33,2,FALSE)+1),1)</f>
        <v>5.668379476780399</v>
      </c>
      <c r="T247" s="56">
        <f>VLOOKUP(B247,'Player Data'!$A1:$AE667,8,FALSE)*$Q247*IFERROR((VLOOKUP(P247,Settings!$E$28:$F$33,2,FALSE)+1),1)</f>
        <v>17.594307538506616</v>
      </c>
      <c r="U247" s="56">
        <f>SUM(S247:T247)</f>
        <v>23.262687015287014</v>
      </c>
      <c r="V247" s="56">
        <f>VLOOKUP(B247,'Player Data'!$A1:$AE667,10,FALSE)*$Q247*IFERROR(((VLOOKUP(P247,Settings!$E$28:$F$33,2,FALSE)/2)+1),1)</f>
        <v>121.21822799500025</v>
      </c>
      <c r="W247" s="56">
        <f>VLOOKUP(B247,'Player Data'!$A1:$AE667,11,FALSE)*$Q247*IFERROR((VLOOKUP(P247,Settings!$E$28:$F$33,2,FALSE)+1),1)</f>
        <v>1.60519099094318E-2</v>
      </c>
      <c r="X247" s="56">
        <f>VLOOKUP(B247,'Player Data'!$A1:$AE667,12,FALSE)*$Q247*IFERROR((VLOOKUP(P247,Settings!$E$28:$F$33,2,FALSE)+1),1)</f>
        <v>0.12977865245874981</v>
      </c>
      <c r="Y247" s="56">
        <f>VLOOKUP(B247,'Player Data'!$A1:$AE667,13,FALSE)*$Q247</f>
        <v>2.824381517182337E-2</v>
      </c>
      <c r="Z247" s="56">
        <f>VLOOKUP(B247,'Player Data'!$A1:$AE667,14,FALSE)*$Q247</f>
        <v>0.59181151159253431</v>
      </c>
      <c r="AA247" s="56">
        <f>VLOOKUP(B247,'Player Data'!$A1:$AE667,15,FALSE)*$Q247</f>
        <v>149.20244030987951</v>
      </c>
      <c r="AB247" s="56">
        <f>VLOOKUP(B247,'Player Data'!$A1:$AE667,16,FALSE)*$Q247</f>
        <v>153.88110977075712</v>
      </c>
      <c r="AC247" s="56">
        <f>VLOOKUP(B247,'Player Data'!$A1:$AE667,17,FALSE)*$Q247*IFERROR((VLOOKUP(P247,Settings!$E$28:$F$33,2,FALSE)+1),1)</f>
        <v>-0.60303718140000284</v>
      </c>
      <c r="AD247" s="56">
        <f>VLOOKUP(B247,'Player Data'!$A1:$AE667,18,FALSE)*$Q247</f>
        <v>45.661137568318786</v>
      </c>
      <c r="AE247" s="56">
        <f>VLOOKUP(B247,'Player Data'!$A1:$AE667,19,FALSE)*$Q247*IFERROR((VLOOKUP(P247,Settings!$E$28:$F$33,2,FALSE)+1),1)</f>
        <v>0.86073022105140351</v>
      </c>
      <c r="AF247" s="56">
        <f>VLOOKUP(B247,'Player Data'!$A1:$AE667,20,FALSE)*$Q247</f>
        <v>5.8597136517091486E-13</v>
      </c>
      <c r="AG247" s="56">
        <f>VLOOKUP(B247,'Player Data'!$A1:$AE667,21,FALSE)*$Q247</f>
        <v>2.569648361514891E-5</v>
      </c>
      <c r="AH247" s="58">
        <f>VLOOKUP(B247,'Player Data'!$A1:$AE667,22,FALSE)</f>
        <v>2.28035617862995E-8</v>
      </c>
      <c r="AI247" s="54"/>
      <c r="AJ247" s="56"/>
      <c r="AK247" s="56"/>
      <c r="AL247" s="56"/>
      <c r="AM247" s="56"/>
      <c r="AN247" s="56"/>
      <c r="AO247" s="56"/>
      <c r="AP247" s="56"/>
      <c r="AQ247" s="59"/>
      <c r="AR247" s="60"/>
      <c r="AS247" s="54"/>
    </row>
    <row r="248" spans="1:45" ht="21.25" customHeight="1" x14ac:dyDescent="0.15">
      <c r="A248" s="45">
        <f>RANK(K248,K$1:K$665)</f>
        <v>247</v>
      </c>
      <c r="B248" s="9" t="s">
        <v>373</v>
      </c>
      <c r="C248" s="46" t="s">
        <v>127</v>
      </c>
      <c r="D248" s="47" t="str">
        <f>VLOOKUP(B248,'Player Data'!A1:D667,4,FALSE)</f>
        <v>D</v>
      </c>
      <c r="E248" s="66">
        <f>VLOOKUP(B248,D!A1:C213,3,FALSE)</f>
        <v>72</v>
      </c>
      <c r="F248" s="72" t="str">
        <f>VLOOKUP(B248,'Player Data'!A1:B667,2,FALSE)</f>
        <v>CAR</v>
      </c>
      <c r="G248" s="63">
        <f>VLOOKUP(B248,'Player Data'!A1:D667,3,FALSE)</f>
        <v>33</v>
      </c>
      <c r="H248" s="67">
        <f>IFERROR(VLOOKUP(B248,ADP!A1:G665,7,FALSE)/1000000,VLOOKUP(B248,ADP!A1:G665,7,FALSE))</f>
        <v>7.75</v>
      </c>
      <c r="I248" s="51">
        <f>IF(Settings!$E$15="POINTS",((R248*Q248)*Settings!$B$12)+(S248*Settings!$B$2)+(T248*Settings!$B$3)+(U248*Settings!$B$4)+(V248*Settings!$B$5)+(X248*Settings!$B$9)+(AA248*Settings!$B$6)+(W248*Settings!$B$8)+(AB248*Settings!$B$7)+(AC248*Settings!$B$14)+(AD248*Settings!$B$15)+(AE248*Settings!$B$16)+(AF248*Settings!$B$17)+(AG248*Settings!$B$18)+(U248*Settings!$B$13)+(Y248*Settings!$B$10)+(Z248*Settings!$B$11),VLOOKUP(B248,'Standard Deviations'!A1:C666,3,FALSE))</f>
        <v>205.46313669319628</v>
      </c>
      <c r="J248" s="52">
        <f>IF(D248="G",I248/AJ248,I248/Q248)</f>
        <v>2.5932492325280356</v>
      </c>
      <c r="K248" s="51">
        <f>VLOOKUP(B248,D!A1:F213,6,FALSE)</f>
        <v>-130.77098835239863</v>
      </c>
      <c r="L248" s="53">
        <f>IFERROR(K248/H248,"N/A")</f>
        <v>-16.873675916438533</v>
      </c>
      <c r="M248" s="54">
        <f>IF(Settings!$E$9="YAHOO",VLOOKUP(B248,ADP!A1:E665,2,FALSE),IF(Settings!$E$9="ESPN",VLOOKUP(B248,ADP!A1:E665,3,FALSE),IF(Settings!$E$9="FANTRAX",VLOOKUP(B248,ADP!A1:E665,4,FALSE),VLOOKUP(B248,ADP!A1:E665,5,FALSE))))</f>
        <v>158</v>
      </c>
      <c r="N248" s="54">
        <f>IFERROR(M248-A248,"N/A")</f>
        <v>-89</v>
      </c>
      <c r="O248" s="54"/>
      <c r="P248" s="55" t="str">
        <f>IF(Settings!$E$27="ON",VLOOKUP(B248,ADP!A1:H665,8,FALSE)," ")</f>
        <v xml:space="preserve"> </v>
      </c>
      <c r="Q248" s="56">
        <f>IF(Settings!$E$12="YES",VLOOKUP(B248,'Player Data'!A1:E667,5,FALSE),82)</f>
        <v>79.23</v>
      </c>
      <c r="R248" s="75">
        <f>VLOOKUP(B248,'Player Data'!$A1:$AE667,6,FALSE)</f>
        <v>20.163893093577801</v>
      </c>
      <c r="S248" s="56">
        <f>VLOOKUP(B248,'Player Data'!$A1:$AE667,7,FALSE)*$Q248*IFERROR((VLOOKUP(P248,Settings!$E$28:$F$33,2,FALSE)+1),1)</f>
        <v>7.4537657115765112</v>
      </c>
      <c r="T248" s="56">
        <f>VLOOKUP(B248,'Player Data'!$A1:$AE667,8,FALSE)*$Q248*IFERROR((VLOOKUP(P248,Settings!$E$28:$F$33,2,FALSE)+1),1)</f>
        <v>23.327747125320997</v>
      </c>
      <c r="U248" s="56">
        <f>SUM(S248:T248)</f>
        <v>30.781512836897509</v>
      </c>
      <c r="V248" s="56">
        <f>VLOOKUP(B248,'Player Data'!$A1:$AE667,10,FALSE)*$Q248*IFERROR(((VLOOKUP(P248,Settings!$E$28:$F$33,2,FALSE)/2)+1),1)</f>
        <v>134.86666927154644</v>
      </c>
      <c r="W248" s="56">
        <f>VLOOKUP(B248,'Player Data'!$A1:$AE667,11,FALSE)*$Q248*IFERROR((VLOOKUP(P248,Settings!$E$28:$F$33,2,FALSE)+1),1)</f>
        <v>0.37759497019663613</v>
      </c>
      <c r="X248" s="56">
        <f>VLOOKUP(B248,'Player Data'!$A1:$AE667,12,FALSE)*$Q248*IFERROR((VLOOKUP(P248,Settings!$E$28:$F$33,2,FALSE)+1),1)</f>
        <v>2.592345173316883</v>
      </c>
      <c r="Y248" s="56">
        <f>VLOOKUP(B248,'Player Data'!$A1:$AE667,13,FALSE)*$Q248</f>
        <v>1.6639702277042014E-2</v>
      </c>
      <c r="Z248" s="56">
        <f>VLOOKUP(B248,'Player Data'!$A1:$AE667,14,FALSE)*$Q248</f>
        <v>8.3317213466231235E-2</v>
      </c>
      <c r="AA248" s="56">
        <f>VLOOKUP(B248,'Player Data'!$A1:$AE667,15,FALSE)*$Q248</f>
        <v>86.019202319894731</v>
      </c>
      <c r="AB248" s="56">
        <f>VLOOKUP(B248,'Player Data'!$A1:$AE667,16,FALSE)*$Q248</f>
        <v>122.45730856049299</v>
      </c>
      <c r="AC248" s="56">
        <f>VLOOKUP(B248,'Player Data'!$A1:$AE667,17,FALSE)*$Q248*IFERROR((VLOOKUP(P248,Settings!$E$28:$F$33,2,FALSE)+1),1)</f>
        <v>6.0534939214814658</v>
      </c>
      <c r="AD248" s="56">
        <f>VLOOKUP(B248,'Player Data'!$A1:$AE667,18,FALSE)*$Q248</f>
        <v>33.041014612942519</v>
      </c>
      <c r="AE248" s="56">
        <f>VLOOKUP(B248,'Player Data'!$A1:$AE667,19,FALSE)*$Q248*IFERROR((VLOOKUP(P248,Settings!$E$28:$F$33,2,FALSE)+1),1)</f>
        <v>1.2916301604621092</v>
      </c>
      <c r="AF248" s="56">
        <f>VLOOKUP(B248,'Player Data'!$A1:$AE667,20,FALSE)*$Q248</f>
        <v>0</v>
      </c>
      <c r="AG248" s="56">
        <f>VLOOKUP(B248,'Player Data'!$A1:$AE667,21,FALSE)*$Q248</f>
        <v>0</v>
      </c>
      <c r="AH248" s="58">
        <f>VLOOKUP(B248,'Player Data'!$A1:$AE667,22,FALSE)</f>
        <v>0</v>
      </c>
      <c r="AI248" s="54"/>
      <c r="AJ248" s="56"/>
      <c r="AK248" s="56"/>
      <c r="AL248" s="56"/>
      <c r="AM248" s="56"/>
      <c r="AN248" s="56"/>
      <c r="AO248" s="56"/>
      <c r="AP248" s="56"/>
      <c r="AQ248" s="59"/>
      <c r="AR248" s="60"/>
      <c r="AS248" s="54"/>
    </row>
    <row r="249" spans="1:45" ht="21.25" customHeight="1" x14ac:dyDescent="0.15">
      <c r="A249" s="45">
        <f>RANK(K249,K$1:K$665)</f>
        <v>248</v>
      </c>
      <c r="B249" s="9" t="s">
        <v>374</v>
      </c>
      <c r="C249" s="46" t="s">
        <v>127</v>
      </c>
      <c r="D249" s="47" t="str">
        <f>VLOOKUP(B249,'Player Data'!A1:D667,4,FALSE)</f>
        <v>D</v>
      </c>
      <c r="E249" s="66">
        <f>VLOOKUP(B249,D!A1:C213,3,FALSE)</f>
        <v>73</v>
      </c>
      <c r="F249" s="77" t="str">
        <f>VLOOKUP(B249,'Player Data'!A1:B667,2,FALSE)</f>
        <v>S.J</v>
      </c>
      <c r="G249" s="10">
        <f>VLOOKUP(B249,'Player Data'!A1:D667,3,FALSE)</f>
        <v>25</v>
      </c>
      <c r="H249" s="50">
        <f>IFERROR(VLOOKUP(B249,ADP!A1:G665,7,FALSE)/1000000,VLOOKUP(B249,ADP!A1:G665,7,FALSE))</f>
        <v>3.25</v>
      </c>
      <c r="I249" s="51">
        <f>IF(Settings!$E$15="POINTS",((R249*Q249)*Settings!$B$12)+(S249*Settings!$B$2)+(T249*Settings!$B$3)+(U249*Settings!$B$4)+(V249*Settings!$B$5)+(X249*Settings!$B$9)+(AA249*Settings!$B$6)+(W249*Settings!$B$8)+(AB249*Settings!$B$7)+(AC249*Settings!$B$14)+(AD249*Settings!$B$15)+(AE249*Settings!$B$16)+(AF249*Settings!$B$17)+(AG249*Settings!$B$18)+(U249*Settings!$B$13)+(Y249*Settings!$B$10)+(Z249*Settings!$B$11),VLOOKUP(B249,'Standard Deviations'!A1:C666,3,FALSE))</f>
        <v>204.89737306625082</v>
      </c>
      <c r="J249" s="52">
        <f>IF(D249="G",I249/AJ249,I249/Q249)</f>
        <v>2.6253747590012275</v>
      </c>
      <c r="K249" s="51">
        <f>VLOOKUP(B249,D!A1:F213,6,FALSE)</f>
        <v>-131.33675197934409</v>
      </c>
      <c r="L249" s="53">
        <f>IFERROR(K249/H249,"N/A")</f>
        <v>-40.411308301336639</v>
      </c>
      <c r="M249" s="83" t="str">
        <f>IF(Settings!$E$9="YAHOO",VLOOKUP(B249,ADP!A1:E665,2,FALSE),IF(Settings!$E$9="ESPN",VLOOKUP(B249,ADP!A1:E665,3,FALSE),IF(Settings!$E$9="FANTRAX",VLOOKUP(B249,ADP!A1:E665,4,FALSE),VLOOKUP(B249,ADP!A1:E665,5,FALSE))))</f>
        <v>—</v>
      </c>
      <c r="N249" s="83" t="str">
        <f>IFERROR(M249-A249,"N/A")</f>
        <v>N/A</v>
      </c>
      <c r="O249" s="54"/>
      <c r="P249" s="55" t="str">
        <f>IF(Settings!$E$27="ON",VLOOKUP(B249,ADP!A1:H665,8,FALSE)," ")</f>
        <v xml:space="preserve"> </v>
      </c>
      <c r="Q249" s="56">
        <f>IF(Settings!$E$12="YES",VLOOKUP(B249,'Player Data'!A1:E667,5,FALSE),82)</f>
        <v>78.045000000000002</v>
      </c>
      <c r="R249" s="54">
        <f>VLOOKUP(B249,'Player Data'!$A1:$AE667,6,FALSE)</f>
        <v>22.4702170433685</v>
      </c>
      <c r="S249" s="56">
        <f>VLOOKUP(B249,'Player Data'!$A1:$AE667,7,FALSE)*$Q249*IFERROR((VLOOKUP(P249,Settings!$E$28:$F$33,2,FALSE)+1),1)</f>
        <v>4.1603841651746638</v>
      </c>
      <c r="T249" s="56">
        <f>VLOOKUP(B249,'Player Data'!$A1:$AE667,8,FALSE)*$Q249*IFERROR((VLOOKUP(P249,Settings!$E$28:$F$33,2,FALSE)+1),1)</f>
        <v>17.032160291434078</v>
      </c>
      <c r="U249" s="56">
        <f>SUM(S249:T249)</f>
        <v>21.192544456608744</v>
      </c>
      <c r="V249" s="56">
        <f>VLOOKUP(B249,'Player Data'!$A1:$AE667,10,FALSE)*$Q249*IFERROR(((VLOOKUP(P249,Settings!$E$28:$F$33,2,FALSE)/2)+1),1)</f>
        <v>108.75123147294997</v>
      </c>
      <c r="W249" s="56">
        <f>VLOOKUP(B249,'Player Data'!$A1:$AE667,11,FALSE)*$Q249*IFERROR((VLOOKUP(P249,Settings!$E$28:$F$33,2,FALSE)+1),1)</f>
        <v>0.11210962211781628</v>
      </c>
      <c r="X249" s="56">
        <f>VLOOKUP(B249,'Player Data'!$A1:$AE667,12,FALSE)*$Q249*IFERROR((VLOOKUP(P249,Settings!$E$28:$F$33,2,FALSE)+1),1)</f>
        <v>0.94978439547001658</v>
      </c>
      <c r="Y249" s="56">
        <f>VLOOKUP(B249,'Player Data'!$A1:$AE667,13,FALSE)*$Q249</f>
        <v>2.617823538396289E-2</v>
      </c>
      <c r="Z249" s="56">
        <f>VLOOKUP(B249,'Player Data'!$A1:$AE667,14,FALSE)*$Q249</f>
        <v>0.11202588726037531</v>
      </c>
      <c r="AA249" s="56">
        <f>VLOOKUP(B249,'Player Data'!$A1:$AE667,15,FALSE)*$Q249</f>
        <v>171.76462735443843</v>
      </c>
      <c r="AB249" s="56">
        <f>VLOOKUP(B249,'Player Data'!$A1:$AE667,16,FALSE)*$Q249</f>
        <v>121.83831333775079</v>
      </c>
      <c r="AC249" s="56">
        <f>VLOOKUP(B249,'Player Data'!$A1:$AE667,17,FALSE)*$Q249*IFERROR((VLOOKUP(P249,Settings!$E$28:$F$33,2,FALSE)+1),1)</f>
        <v>-12.081924744248388</v>
      </c>
      <c r="AD249" s="56">
        <f>VLOOKUP(B249,'Player Data'!$A1:$AE667,18,FALSE)*$Q249</f>
        <v>31.703618719784124</v>
      </c>
      <c r="AE249" s="56">
        <f>VLOOKUP(B249,'Player Data'!$A1:$AE667,19,FALSE)*$Q249*IFERROR((VLOOKUP(P249,Settings!$E$28:$F$33,2,FALSE)+1),1)</f>
        <v>0.44437115239005748</v>
      </c>
      <c r="AF249" s="56">
        <f>VLOOKUP(B249,'Player Data'!$A1:$AE667,20,FALSE)*$Q249</f>
        <v>0</v>
      </c>
      <c r="AG249" s="56">
        <f>VLOOKUP(B249,'Player Data'!$A1:$AE667,21,FALSE)*$Q249</f>
        <v>0.15031236947613399</v>
      </c>
      <c r="AH249" s="58">
        <f>VLOOKUP(B249,'Player Data'!$A1:$AE667,22,FALSE)</f>
        <v>0</v>
      </c>
      <c r="AI249" s="54"/>
      <c r="AJ249" s="56"/>
      <c r="AK249" s="56"/>
      <c r="AL249" s="56"/>
      <c r="AM249" s="56"/>
      <c r="AN249" s="56"/>
      <c r="AO249" s="56"/>
      <c r="AP249" s="56"/>
      <c r="AQ249" s="59"/>
      <c r="AR249" s="60"/>
      <c r="AS249" s="54"/>
    </row>
    <row r="250" spans="1:45" ht="21.25" customHeight="1" x14ac:dyDescent="0.15">
      <c r="A250" s="45">
        <f>RANK(K250,K$1:K$665)</f>
        <v>249</v>
      </c>
      <c r="B250" s="9" t="s">
        <v>375</v>
      </c>
      <c r="C250" s="46" t="s">
        <v>127</v>
      </c>
      <c r="D250" s="47" t="str">
        <f>VLOOKUP(B250,'Player Data'!A1:D667,4,FALSE)</f>
        <v>D</v>
      </c>
      <c r="E250" s="66">
        <f>VLOOKUP(B250,D!A1:C213,3,FALSE)</f>
        <v>74</v>
      </c>
      <c r="F250" s="65" t="str">
        <f>VLOOKUP(B250,'Player Data'!A1:B667,2,FALSE)</f>
        <v>TOR</v>
      </c>
      <c r="G250" s="63">
        <f>VLOOKUP(B250,'Player Data'!A1:D667,3,FALSE)</f>
        <v>34</v>
      </c>
      <c r="H250" s="50">
        <f>IFERROR(VLOOKUP(B250,ADP!A1:G665,7,FALSE)/1000000,VLOOKUP(B250,ADP!A1:G665,7,FALSE))</f>
        <v>4.5</v>
      </c>
      <c r="I250" s="51">
        <f>IF(Settings!$E$15="POINTS",((R250*Q250)*Settings!$B$12)+(S250*Settings!$B$2)+(T250*Settings!$B$3)+(U250*Settings!$B$4)+(V250*Settings!$B$5)+(X250*Settings!$B$9)+(AA250*Settings!$B$6)+(W250*Settings!$B$8)+(AB250*Settings!$B$7)+(AC250*Settings!$B$14)+(AD250*Settings!$B$15)+(AE250*Settings!$B$16)+(AF250*Settings!$B$17)+(AG250*Settings!$B$18)+(U250*Settings!$B$13)+(Y250*Settings!$B$10)+(Z250*Settings!$B$11),VLOOKUP(B250,'Standard Deviations'!A1:C666,3,FALSE))</f>
        <v>204.8633641752445</v>
      </c>
      <c r="J250" s="52">
        <f>IF(D250="G",I250/AJ250,I250/Q250)</f>
        <v>2.6113876886583109</v>
      </c>
      <c r="K250" s="51">
        <f>VLOOKUP(B250,D!A1:F213,6,FALSE)</f>
        <v>-131.37076087035041</v>
      </c>
      <c r="L250" s="53">
        <f>IFERROR(K250/H250,"N/A")</f>
        <v>-29.193502415633425</v>
      </c>
      <c r="M250" s="83" t="str">
        <f>IF(Settings!$E$9="YAHOO",VLOOKUP(B250,ADP!A1:E665,2,FALSE),IF(Settings!$E$9="ESPN",VLOOKUP(B250,ADP!A1:E665,3,FALSE),IF(Settings!$E$9="FANTRAX",VLOOKUP(B250,ADP!A1:E665,4,FALSE),VLOOKUP(B250,ADP!A1:E665,5,FALSE))))</f>
        <v>—</v>
      </c>
      <c r="N250" s="83" t="str">
        <f>IFERROR(M250-A250,"N/A")</f>
        <v>N/A</v>
      </c>
      <c r="O250" s="54"/>
      <c r="P250" s="55" t="str">
        <f>IF(Settings!$E$27="ON",VLOOKUP(B250,ADP!A1:H665,8,FALSE)," ")</f>
        <v xml:space="preserve"> </v>
      </c>
      <c r="Q250" s="56">
        <f>IF(Settings!$E$12="YES",VLOOKUP(B250,'Player Data'!A1:E667,5,FALSE),82)</f>
        <v>78.45</v>
      </c>
      <c r="R250" s="75">
        <f>VLOOKUP(B250,'Player Data'!$A1:$AE667,6,FALSE)</f>
        <v>21.466034450351302</v>
      </c>
      <c r="S250" s="56">
        <f>VLOOKUP(B250,'Player Data'!$A1:$AE667,7,FALSE)*$Q250*IFERROR((VLOOKUP(P250,Settings!$E$28:$F$33,2,FALSE)+1),1)</f>
        <v>3.2930273620379857</v>
      </c>
      <c r="T250" s="56">
        <f>VLOOKUP(B250,'Player Data'!$A1:$AE667,8,FALSE)*$Q250*IFERROR((VLOOKUP(P250,Settings!$E$28:$F$33,2,FALSE)+1),1)</f>
        <v>19.938800421136143</v>
      </c>
      <c r="U250" s="56">
        <f>SUM(S250:T250)</f>
        <v>23.231827783174129</v>
      </c>
      <c r="V250" s="56">
        <f>VLOOKUP(B250,'Player Data'!$A1:$AE667,10,FALSE)*$Q250*IFERROR(((VLOOKUP(P250,Settings!$E$28:$F$33,2,FALSE)/2)+1),1)</f>
        <v>76.335371169511973</v>
      </c>
      <c r="W250" s="56">
        <f>VLOOKUP(B250,'Player Data'!$A1:$AE667,11,FALSE)*$Q250*IFERROR((VLOOKUP(P250,Settings!$E$28:$F$33,2,FALSE)+1),1)</f>
        <v>1.6074059781027297E-2</v>
      </c>
      <c r="X250" s="56">
        <f>VLOOKUP(B250,'Player Data'!$A1:$AE667,12,FALSE)*$Q250*IFERROR((VLOOKUP(P250,Settings!$E$28:$F$33,2,FALSE)+1),1)</f>
        <v>0.15315956113610307</v>
      </c>
      <c r="Y250" s="56">
        <f>VLOOKUP(B250,'Player Data'!$A1:$AE667,13,FALSE)*$Q250</f>
        <v>2.2526539606081072E-2</v>
      </c>
      <c r="Z250" s="56">
        <f>VLOOKUP(B250,'Player Data'!$A1:$AE667,14,FALSE)*$Q250</f>
        <v>0.1084198757454042</v>
      </c>
      <c r="AA250" s="56">
        <f>VLOOKUP(B250,'Player Data'!$A1:$AE667,15,FALSE)*$Q250</f>
        <v>193.47723160816923</v>
      </c>
      <c r="AB250" s="56">
        <f>VLOOKUP(B250,'Player Data'!$A1:$AE667,16,FALSE)*$Q250</f>
        <v>64.537317085530418</v>
      </c>
      <c r="AC250" s="56">
        <f>VLOOKUP(B250,'Player Data'!$A1:$AE667,17,FALSE)*$Q250*IFERROR((VLOOKUP(P250,Settings!$E$28:$F$33,2,FALSE)+1),1)</f>
        <v>1.3283916758176681</v>
      </c>
      <c r="AD250" s="56">
        <f>VLOOKUP(B250,'Player Data'!$A1:$AE667,18,FALSE)*$Q250</f>
        <v>30.129481509795674</v>
      </c>
      <c r="AE250" s="56">
        <f>VLOOKUP(B250,'Player Data'!$A1:$AE667,19,FALSE)*$Q250*IFERROR((VLOOKUP(P250,Settings!$E$28:$F$33,2,FALSE)+1),1)</f>
        <v>0.52682534843023521</v>
      </c>
      <c r="AF250" s="56">
        <f>VLOOKUP(B250,'Player Data'!$A1:$AE667,20,FALSE)*$Q250</f>
        <v>0</v>
      </c>
      <c r="AG250" s="56">
        <f>VLOOKUP(B250,'Player Data'!$A1:$AE667,21,FALSE)*$Q250</f>
        <v>0</v>
      </c>
      <c r="AH250" s="58">
        <f>VLOOKUP(B250,'Player Data'!$A1:$AE667,22,FALSE)</f>
        <v>0</v>
      </c>
      <c r="AI250" s="54"/>
      <c r="AJ250" s="56"/>
      <c r="AK250" s="56"/>
      <c r="AL250" s="56"/>
      <c r="AM250" s="56"/>
      <c r="AN250" s="56"/>
      <c r="AO250" s="56"/>
      <c r="AP250" s="56"/>
      <c r="AQ250" s="59"/>
      <c r="AR250" s="60"/>
      <c r="AS250" s="54"/>
    </row>
    <row r="251" spans="1:45" ht="21.25" customHeight="1" x14ac:dyDescent="0.15">
      <c r="A251" s="45">
        <f>RANK(K251,K$1:K$665)</f>
        <v>250</v>
      </c>
      <c r="B251" s="9" t="s">
        <v>376</v>
      </c>
      <c r="C251" s="46" t="s">
        <v>127</v>
      </c>
      <c r="D251" s="47" t="str">
        <f>VLOOKUP(B251,'Player Data'!A1:D667,4,FALSE)</f>
        <v>G</v>
      </c>
      <c r="E251" s="73">
        <f>VLOOKUP(B251,G!A1:D65,3,FALSE)</f>
        <v>30</v>
      </c>
      <c r="F251" s="77" t="str">
        <f>VLOOKUP(B251,'Player Data'!A1:B667,2,FALSE)</f>
        <v>PHI</v>
      </c>
      <c r="G251" s="69">
        <f>VLOOKUP(B251,'Player Data'!A1:D667,3,FALSE)</f>
        <v>24</v>
      </c>
      <c r="H251" s="50">
        <f>IFERROR(VLOOKUP(B251,ADP!A1:G665,7,FALSE)/1000000,VLOOKUP(B251,ADP!A1:G665,7,FALSE))</f>
        <v>1.45</v>
      </c>
      <c r="I251" s="51">
        <f>IF(Settings!$E$15="POINTS",(AJ251*Settings!$B$29)+(AK251*Settings!$B$21)+(AL251*Settings!$B$22)+(AN251*Settings!$B$24)+(AO251*Settings!$B$25)+(AP251*Settings!$B$27)+(AM251*Settings!$B$23),VLOOKUP(B251,'Standard Deviations'!A1:C666,3,FALSE))</f>
        <v>279.17353273982332</v>
      </c>
      <c r="J251" s="52">
        <f>IF(D251="G",I251/AJ251,I251/Q251)</f>
        <v>5.8161152654129857</v>
      </c>
      <c r="K251" s="51">
        <f>VLOOKUP(B251,G!A1:F65,6,FALSE)</f>
        <v>-131.48621002959686</v>
      </c>
      <c r="L251" s="53">
        <f>IFERROR(K251/H251,"N/A")</f>
        <v>-90.680144847997838</v>
      </c>
      <c r="M251" s="54">
        <f>IF(Settings!$E$9="YAHOO",VLOOKUP(B251,ADP!A1:E665,2,FALSE),IF(Settings!$E$9="ESPN",VLOOKUP(B251,ADP!A1:E665,3,FALSE),IF(Settings!$E$9="FANTRAX",VLOOKUP(B251,ADP!A1:E665,4,FALSE),VLOOKUP(B251,ADP!A1:E665,5,FALSE))))</f>
        <v>175.5</v>
      </c>
      <c r="N251" s="54">
        <f>IFERROR(M251-A251,"N/A")</f>
        <v>-74.5</v>
      </c>
      <c r="O251" s="54"/>
      <c r="P251" s="55" t="str">
        <f>IF(Settings!$E$27="ON",VLOOKUP(B251,ADP!A1:H665,8,FALSE)," ")</f>
        <v xml:space="preserve"> </v>
      </c>
      <c r="Q251" s="56"/>
      <c r="R251" s="54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8"/>
      <c r="AI251" s="54"/>
      <c r="AJ251" s="64">
        <f>VLOOKUP(B251,'Player Data'!$A1:$AE667,24,FALSE)</f>
        <v>48</v>
      </c>
      <c r="AK251" s="56">
        <f>VLOOKUP(B251,'Player Data'!$A1:$AE667,25,FALSE)*$AJ251*IFERROR((VLOOKUP(P251,Settings!$E$28:$F$33,2,FALSE)+1),1)</f>
        <v>22.764662504115265</v>
      </c>
      <c r="AL251" s="56">
        <f>AJ251-AK251-AM251</f>
        <v>19.235337495884735</v>
      </c>
      <c r="AM251" s="56">
        <f>VLOOKUP(B251,'Player Data'!$A1:$AE667,27,FALSE)*$AJ251</f>
        <v>6</v>
      </c>
      <c r="AN251" s="56">
        <f>VLOOKUP(B251,'Player Data'!$A1:$AE667,28,FALSE)*AJ251</f>
        <v>2.4212303140023121</v>
      </c>
      <c r="AO251" s="56">
        <f>VLOOKUP(B251,'Player Data'!$A1:$AE667,29,FALSE)*$AJ251*IFERROR((VLOOKUP(P251,Settings!$E$28:$F$33,2,FALSE)/4)+1,1)</f>
        <v>1248.0063236091169</v>
      </c>
      <c r="AP251" s="56">
        <f>VLOOKUP(B251,'Player Data'!$A1:$AE667,31,FALSE)*$AJ251*(IFERROR(1-(VLOOKUP(P251,Settings!$E$28:$F$33,2,FALSE)/4),1))</f>
        <v>138.51494896369439</v>
      </c>
      <c r="AQ251" s="59">
        <f>1-(AP251/(AO251+AP251))</f>
        <v>0.9000989370277257</v>
      </c>
      <c r="AR251" s="60">
        <f>AP251/AJ251</f>
        <v>2.8857281034102997</v>
      </c>
      <c r="AS251" s="54"/>
    </row>
    <row r="252" spans="1:45" ht="21.25" customHeight="1" x14ac:dyDescent="0.15">
      <c r="A252" s="45">
        <f>RANK(K252,K$1:K$665)</f>
        <v>251</v>
      </c>
      <c r="B252" s="9" t="s">
        <v>377</v>
      </c>
      <c r="C252" s="46" t="s">
        <v>127</v>
      </c>
      <c r="D252" s="47" t="str">
        <f>VLOOKUP(B252,'Player Data'!A1:D667,4,FALSE)</f>
        <v>LW</v>
      </c>
      <c r="E252" s="70">
        <f>VLOOKUP(B252,LW!A1:C152,3,FALSE)</f>
        <v>59</v>
      </c>
      <c r="F252" s="55" t="str">
        <f>VLOOKUP(B252,'Player Data'!A1:B667,2,FALSE)</f>
        <v>COL</v>
      </c>
      <c r="G252" s="10">
        <f>VLOOKUP(B252,'Player Data'!A1:D667,3,FALSE)</f>
        <v>29</v>
      </c>
      <c r="H252" s="67">
        <f>IFERROR(VLOOKUP(B252,ADP!A1:G665,7,FALSE)/1000000,VLOOKUP(B252,ADP!A1:G665,7,FALSE))</f>
        <v>2.5</v>
      </c>
      <c r="I252" s="51">
        <f>IF(Settings!$E$15="POINTS",((R252*Q252)*Settings!$B$12)+(S252*Settings!$B$2)+(T252*Settings!$B$3)+(U252*Settings!$B$4)+(V252*Settings!$B$5)+(X252*Settings!$B$9)+(AA252*Settings!$B$6)+(W252*Settings!$B$8)+(AB252*Settings!$B$7)+(AC252*Settings!$B$14)+(AD252*Settings!$B$15)+(AE252*Settings!$B$16)+(AF252*Settings!$B$17)+(AG252*Settings!$B$18)+(Y252*Settings!$B$10)+(Z252*Settings!$B$11),VLOOKUP(B252,'Standard Deviations'!A1:C666,3,FALSE))</f>
        <v>248.82043562111244</v>
      </c>
      <c r="J252" s="52">
        <f>IF(D252="G",I252/AJ252,I252/Q252)</f>
        <v>3.3900396555892565</v>
      </c>
      <c r="K252" s="51">
        <f>IF(Settings!$E$18="C/LW/RW",VLOOKUP(B252,LW!A1:F152,6,FALSE),VLOOKUP(B252,F!A1:F392,6,FALSE))</f>
        <v>-132.24107668138731</v>
      </c>
      <c r="L252" s="53">
        <f>IFERROR(K252/H252,"N/A")</f>
        <v>-52.896430672554928</v>
      </c>
      <c r="M252" s="83" t="str">
        <f>IF(Settings!$E$9="YAHOO",VLOOKUP(B252,ADP!A1:E665,2,FALSE),IF(Settings!$E$9="ESPN",VLOOKUP(B252,ADP!A1:E665,3,FALSE),IF(Settings!$E$9="FANTRAX",VLOOKUP(B252,ADP!A1:E665,4,FALSE),VLOOKUP(B252,ADP!A1:E665,5,FALSE))))</f>
        <v>—</v>
      </c>
      <c r="N252" s="83" t="str">
        <f>IFERROR(M252-A252,"N/A")</f>
        <v>N/A</v>
      </c>
      <c r="O252" s="54"/>
      <c r="P252" s="55" t="str">
        <f>IF(Settings!$E$27="ON",VLOOKUP(B252,ADP!A1:H665,8,FALSE)," ")</f>
        <v>+</v>
      </c>
      <c r="Q252" s="56">
        <f>IF(Settings!$E$12="YES",VLOOKUP(B252,'Player Data'!A1:E667,5,FALSE),82)</f>
        <v>73.397499999999994</v>
      </c>
      <c r="R252" s="81">
        <f>VLOOKUP(B252,'Player Data'!$A1:$AE667,6,FALSE)</f>
        <v>17.023264800602401</v>
      </c>
      <c r="S252" s="56">
        <f>VLOOKUP(B252,'Player Data'!$A1:$AE667,7,FALSE)*$Q252*IFERROR((VLOOKUP(P252,Settings!$E$28:$F$33,2,FALSE)+1),1)</f>
        <v>15.41691520073925</v>
      </c>
      <c r="T252" s="56">
        <f>VLOOKUP(B252,'Player Data'!$A1:$AE667,8,FALSE)*$Q252*IFERROR((VLOOKUP(P252,Settings!$E$28:$F$33,2,FALSE)+1),1)</f>
        <v>37.120827949248365</v>
      </c>
      <c r="U252" s="56">
        <f>SUM(S252:T252)</f>
        <v>52.53774314998762</v>
      </c>
      <c r="V252" s="56">
        <f>VLOOKUP(B252,'Player Data'!$A1:$AE667,10,FALSE)*$Q252*IFERROR(((VLOOKUP(P252,Settings!$E$28:$F$33,2,FALSE)/2)+1),1)</f>
        <v>118.78216576289461</v>
      </c>
      <c r="W252" s="56">
        <f>VLOOKUP(B252,'Player Data'!$A1:$AE667,11,FALSE)*$Q252*IFERROR((VLOOKUP(P252,Settings!$E$28:$F$33,2,FALSE)+1),1)</f>
        <v>3.7068182425408787</v>
      </c>
      <c r="X252" s="57">
        <f>VLOOKUP(B252,'Player Data'!$A1:$AE667,12,FALSE)*$Q252*IFERROR((VLOOKUP(P252,Settings!$E$28:$F$33,2,FALSE)+1),1)</f>
        <v>16.543917000234398</v>
      </c>
      <c r="Y252" s="56">
        <f>VLOOKUP(B252,'Player Data'!$A1:$AE667,13,FALSE)*$Q252</f>
        <v>2.926602045289889E-3</v>
      </c>
      <c r="Z252" s="56">
        <f>VLOOKUP(B252,'Player Data'!$A1:$AE667,14,FALSE)*$Q252</f>
        <v>5.0640938049111165E-3</v>
      </c>
      <c r="AA252" s="56">
        <f>VLOOKUP(B252,'Player Data'!$A1:$AE667,15,FALSE)*$Q252</f>
        <v>30.534284391326</v>
      </c>
      <c r="AB252" s="56">
        <f>VLOOKUP(B252,'Player Data'!$A1:$AE667,16,FALSE)*$Q252</f>
        <v>42.577741890640532</v>
      </c>
      <c r="AC252" s="56">
        <f>VLOOKUP(B252,'Player Data'!$A1:$AE667,17,FALSE)*$Q252*IFERROR((VLOOKUP(P252,Settings!$E$28:$F$33,2,FALSE)+1),1)</f>
        <v>0.99159568414699417</v>
      </c>
      <c r="AD252" s="56">
        <f>VLOOKUP(B252,'Player Data'!$A1:$AE667,18,FALSE)*$Q252</f>
        <v>28.423523700352312</v>
      </c>
      <c r="AE252" s="56">
        <f>VLOOKUP(B252,'Player Data'!$A1:$AE667,19,FALSE)*$Q252*IFERROR((VLOOKUP(P252,Settings!$E$28:$F$33,2,FALSE)+1),1)</f>
        <v>2.3034513925697371</v>
      </c>
      <c r="AF252" s="56">
        <f>VLOOKUP(B252,'Player Data'!$A1:$AE667,20,FALSE)*$Q252</f>
        <v>62.411731033945564</v>
      </c>
      <c r="AG252" s="56">
        <f>VLOOKUP(B252,'Player Data'!$A1:$AE667,21,FALSE)*$Q252</f>
        <v>64.838825873364797</v>
      </c>
      <c r="AH252" s="58">
        <f>VLOOKUP(B252,'Player Data'!$A1:$AE667,22,FALSE)</f>
        <v>0.490463323311083</v>
      </c>
      <c r="AI252" s="54"/>
      <c r="AJ252" s="56"/>
      <c r="AK252" s="56"/>
      <c r="AL252" s="56"/>
      <c r="AM252" s="56"/>
      <c r="AN252" s="56"/>
      <c r="AO252" s="56"/>
      <c r="AP252" s="56"/>
      <c r="AQ252" s="59"/>
      <c r="AR252" s="60"/>
      <c r="AS252" s="54"/>
    </row>
    <row r="253" spans="1:45" ht="21.25" customHeight="1" x14ac:dyDescent="0.15">
      <c r="A253" s="45">
        <f>RANK(K253,K$1:K$665)</f>
        <v>252</v>
      </c>
      <c r="B253" s="9" t="s">
        <v>378</v>
      </c>
      <c r="C253" s="46" t="s">
        <v>127</v>
      </c>
      <c r="D253" s="47" t="str">
        <f>VLOOKUP(B253,'Player Data'!A1:D667,4,FALSE)</f>
        <v>LW</v>
      </c>
      <c r="E253" s="70">
        <f>VLOOKUP(B253,LW!A1:C152,3,FALSE)</f>
        <v>60</v>
      </c>
      <c r="F253" s="65" t="str">
        <f>VLOOKUP(B253,'Player Data'!A1:B667,2,FALSE)</f>
        <v>EDM</v>
      </c>
      <c r="G253" s="63">
        <f>VLOOKUP(B253,'Player Data'!A1:D667,3,FALSE)</f>
        <v>31</v>
      </c>
      <c r="H253" s="50">
        <f>IFERROR(VLOOKUP(B253,ADP!A1:G665,7,FALSE)/1000000,VLOOKUP(B253,ADP!A1:G665,7,FALSE))</f>
        <v>4</v>
      </c>
      <c r="I253" s="51">
        <f>IF(Settings!$E$15="POINTS",((R253*Q253)*Settings!$B$12)+(S253*Settings!$B$2)+(T253*Settings!$B$3)+(U253*Settings!$B$4)+(V253*Settings!$B$5)+(X253*Settings!$B$9)+(AA253*Settings!$B$6)+(W253*Settings!$B$8)+(AB253*Settings!$B$7)+(AC253*Settings!$B$14)+(AD253*Settings!$B$15)+(AE253*Settings!$B$16)+(AF253*Settings!$B$17)+(AG253*Settings!$B$18)+(Y253*Settings!$B$10)+(Z253*Settings!$B$11),VLOOKUP(B253,'Standard Deviations'!A1:C666,3,FALSE))</f>
        <v>248.30344742373464</v>
      </c>
      <c r="J253" s="52">
        <f>IF(D253="G",I253/AJ253,I253/Q253)</f>
        <v>3.6310963685699509</v>
      </c>
      <c r="K253" s="51">
        <f>IF(Settings!$E$18="C/LW/RW",VLOOKUP(B253,LW!A1:F152,6,FALSE),VLOOKUP(B253,F!A1:F392,6,FALSE))</f>
        <v>-132.75806487876511</v>
      </c>
      <c r="L253" s="53">
        <f>IFERROR(K253/H253,"N/A")</f>
        <v>-33.189516219691278</v>
      </c>
      <c r="M253" s="54">
        <f>IF(Settings!$E$9="YAHOO",VLOOKUP(B253,ADP!A1:E665,2,FALSE),IF(Settings!$E$9="ESPN",VLOOKUP(B253,ADP!A1:E665,3,FALSE),IF(Settings!$E$9="FANTRAX",VLOOKUP(B253,ADP!A1:E665,4,FALSE),VLOOKUP(B253,ADP!A1:E665,5,FALSE))))</f>
        <v>146.80000000000001</v>
      </c>
      <c r="N253" s="54">
        <f>IFERROR(M253-A253,"N/A")</f>
        <v>-105.19999999999999</v>
      </c>
      <c r="O253" s="54"/>
      <c r="P253" s="55" t="str">
        <f>IF(Settings!$E$27="ON",VLOOKUP(B253,ADP!A1:H665,8,FALSE)," ")</f>
        <v xml:space="preserve"> </v>
      </c>
      <c r="Q253" s="56">
        <f>IF(Settings!$E$12="YES",VLOOKUP(B253,'Player Data'!A1:E667,5,FALSE),82)</f>
        <v>68.382499999999993</v>
      </c>
      <c r="R253" s="81">
        <f>VLOOKUP(B253,'Player Data'!$A1:$AE667,6,FALSE)</f>
        <v>14.6814860016397</v>
      </c>
      <c r="S253" s="56">
        <f>VLOOKUP(B253,'Player Data'!$A1:$AE667,7,FALSE)*$Q253*IFERROR((VLOOKUP(P253,Settings!$E$28:$F$33,2,FALSE)+1),1)</f>
        <v>18.459788171248142</v>
      </c>
      <c r="T253" s="56">
        <f>VLOOKUP(B253,'Player Data'!$A1:$AE667,8,FALSE)*$Q253*IFERROR((VLOOKUP(P253,Settings!$E$28:$F$33,2,FALSE)+1),1)</f>
        <v>24.834722754417861</v>
      </c>
      <c r="U253" s="56">
        <f>SUM(S253:T253)</f>
        <v>43.294510925666003</v>
      </c>
      <c r="V253" s="56">
        <f>VLOOKUP(B253,'Player Data'!$A1:$AE667,10,FALSE)*$Q253*IFERROR(((VLOOKUP(P253,Settings!$E$28:$F$33,2,FALSE)/2)+1),1)</f>
        <v>177.6364505438292</v>
      </c>
      <c r="W253" s="56">
        <f>VLOOKUP(B253,'Player Data'!$A1:$AE667,11,FALSE)*$Q253*IFERROR((VLOOKUP(P253,Settings!$E$28:$F$33,2,FALSE)+1),1)</f>
        <v>2.5049319310151934</v>
      </c>
      <c r="X253" s="56">
        <f>VLOOKUP(B253,'Player Data'!$A1:$AE667,12,FALSE)*$Q253*IFERROR((VLOOKUP(P253,Settings!$E$28:$F$33,2,FALSE)+1),1)</f>
        <v>7.2802263553971232</v>
      </c>
      <c r="Y253" s="56">
        <f>VLOOKUP(B253,'Player Data'!$A1:$AE667,13,FALSE)*$Q253</f>
        <v>4.0545614102249522E-2</v>
      </c>
      <c r="Z253" s="56">
        <f>VLOOKUP(B253,'Player Data'!$A1:$AE667,14,FALSE)*$Q253</f>
        <v>4.9143046407068125E-2</v>
      </c>
      <c r="AA253" s="56">
        <f>VLOOKUP(B253,'Player Data'!$A1:$AE667,15,FALSE)*$Q253</f>
        <v>44.544639946035673</v>
      </c>
      <c r="AB253" s="56">
        <f>VLOOKUP(B253,'Player Data'!$A1:$AE667,16,FALSE)*$Q253</f>
        <v>32.176378937017887</v>
      </c>
      <c r="AC253" s="56">
        <f>VLOOKUP(B253,'Player Data'!$A1:$AE667,17,FALSE)*$Q253*IFERROR((VLOOKUP(P253,Settings!$E$28:$F$33,2,FALSE)+1),1)</f>
        <v>2.4772890283761484</v>
      </c>
      <c r="AD253" s="56">
        <f>VLOOKUP(B253,'Player Data'!$A1:$AE667,18,FALSE)*$Q253</f>
        <v>24.221358091508048</v>
      </c>
      <c r="AE253" s="56">
        <f>VLOOKUP(B253,'Player Data'!$A1:$AE667,19,FALSE)*$Q253*IFERROR((VLOOKUP(P253,Settings!$E$28:$F$33,2,FALSE)+1),1)</f>
        <v>2.9807972025586422</v>
      </c>
      <c r="AF253" s="56">
        <f>VLOOKUP(B253,'Player Data'!$A1:$AE667,20,FALSE)*$Q253</f>
        <v>13.800283682429574</v>
      </c>
      <c r="AG253" s="56">
        <f>VLOOKUP(B253,'Player Data'!$A1:$AE667,21,FALSE)*$Q253</f>
        <v>22.968067402156208</v>
      </c>
      <c r="AH253" s="58">
        <f>VLOOKUP(B253,'Player Data'!$A1:$AE667,22,FALSE)</f>
        <v>0.37533050233016901</v>
      </c>
      <c r="AI253" s="54"/>
      <c r="AJ253" s="56"/>
      <c r="AK253" s="56"/>
      <c r="AL253" s="56"/>
      <c r="AM253" s="56"/>
      <c r="AN253" s="56"/>
      <c r="AO253" s="56"/>
      <c r="AP253" s="56"/>
      <c r="AQ253" s="59"/>
      <c r="AR253" s="60"/>
      <c r="AS253" s="54"/>
    </row>
    <row r="254" spans="1:45" ht="21.25" customHeight="1" x14ac:dyDescent="0.15">
      <c r="A254" s="45">
        <f>RANK(K254,K$1:K$665)</f>
        <v>253</v>
      </c>
      <c r="B254" s="9" t="s">
        <v>379</v>
      </c>
      <c r="C254" s="46" t="s">
        <v>127</v>
      </c>
      <c r="D254" s="47" t="str">
        <f>VLOOKUP(B254,'Player Data'!A1:D667,4,FALSE)</f>
        <v>LW/RW</v>
      </c>
      <c r="E254" s="68">
        <f>VLOOKUP(B254,RW!A1:C136,3,FALSE)</f>
        <v>66</v>
      </c>
      <c r="F254" s="80" t="str">
        <f>VLOOKUP(B254,'Player Data'!A1:B667,2,FALSE)</f>
        <v>PHI</v>
      </c>
      <c r="G254" s="10">
        <f>VLOOKUP(B254,'Player Data'!A1:D667,3,FALSE)</f>
        <v>24</v>
      </c>
      <c r="H254" s="50">
        <f>IFERROR(VLOOKUP(B254,ADP!A1:G665,7,FALSE)/1000000,VLOOKUP(B254,ADP!A1:G665,7,FALSE))</f>
        <v>5</v>
      </c>
      <c r="I254" s="51">
        <f>IF(Settings!$E$15="POINTS",((R254*Q254)*Settings!$B$12)+(S254*Settings!$B$2)+(T254*Settings!$B$3)+(U254*Settings!$B$4)+(V254*Settings!$B$5)+(X254*Settings!$B$9)+(AA254*Settings!$B$6)+(W254*Settings!$B$8)+(AB254*Settings!$B$7)+(AC254*Settings!$B$14)+(AD254*Settings!$B$15)+(AE254*Settings!$B$16)+(AF254*Settings!$B$17)+(AG254*Settings!$B$18)+(Y254*Settings!$B$10)+(Z254*Settings!$B$11),VLOOKUP(B254,'Standard Deviations'!A1:C666,3,FALSE))</f>
        <v>235.8066256533011</v>
      </c>
      <c r="J254" s="52">
        <f>IF(D254="G",I254/AJ254,I254/Q254)</f>
        <v>2.942800769415963</v>
      </c>
      <c r="K254" s="51">
        <f>IF(Settings!$E$18="C/LW/RW",VLOOKUP(B254,RW!A1:F136,6,FALSE),VLOOKUP(B254,F!A1:F392,6,FALSE))</f>
        <v>-133.04109745299129</v>
      </c>
      <c r="L254" s="53">
        <f>IFERROR(K254/H254,"N/A")</f>
        <v>-26.608219490598259</v>
      </c>
      <c r="M254" s="83" t="str">
        <f>IF(Settings!$E$9="YAHOO",VLOOKUP(B254,ADP!A1:E665,2,FALSE),IF(Settings!$E$9="ESPN",VLOOKUP(B254,ADP!A1:E665,3,FALSE),IF(Settings!$E$9="FANTRAX",VLOOKUP(B254,ADP!A1:E665,4,FALSE),VLOOKUP(B254,ADP!A1:E665,5,FALSE))))</f>
        <v>—</v>
      </c>
      <c r="N254" s="83" t="str">
        <f>IFERROR(M254-A254,"N/A")</f>
        <v>N/A</v>
      </c>
      <c r="O254" s="54"/>
      <c r="P254" s="55" t="str">
        <f>IF(Settings!$E$27="ON",VLOOKUP(B254,ADP!A1:H665,8,FALSE)," ")</f>
        <v xml:space="preserve"> </v>
      </c>
      <c r="Q254" s="56">
        <f>IF(Settings!$E$12="YES",VLOOKUP(B254,'Player Data'!A1:E667,5,FALSE),82)</f>
        <v>80.13</v>
      </c>
      <c r="R254" s="54">
        <f>VLOOKUP(B254,'Player Data'!$A1:$AE667,6,FALSE)</f>
        <v>15.378085962399</v>
      </c>
      <c r="S254" s="56">
        <f>VLOOKUP(B254,'Player Data'!$A1:$AE667,7,FALSE)*$Q254*IFERROR((VLOOKUP(P254,Settings!$E$28:$F$33,2,FALSE)+1),1)</f>
        <v>18.564840419421564</v>
      </c>
      <c r="T254" s="56">
        <f>VLOOKUP(B254,'Player Data'!$A1:$AE667,8,FALSE)*$Q254*IFERROR((VLOOKUP(P254,Settings!$E$28:$F$33,2,FALSE)+1),1)</f>
        <v>24.97005006587267</v>
      </c>
      <c r="U254" s="56">
        <f>SUM(S254:T254)</f>
        <v>43.534890485294234</v>
      </c>
      <c r="V254" s="56">
        <f>VLOOKUP(B254,'Player Data'!$A1:$AE667,10,FALSE)*$Q254*IFERROR(((VLOOKUP(P254,Settings!$E$28:$F$33,2,FALSE)/2)+1),1)</f>
        <v>156.51646142112136</v>
      </c>
      <c r="W254" s="56">
        <f>VLOOKUP(B254,'Player Data'!$A1:$AE667,11,FALSE)*$Q254*IFERROR((VLOOKUP(P254,Settings!$E$28:$F$33,2,FALSE)+1),1)</f>
        <v>1.4954967508315824</v>
      </c>
      <c r="X254" s="56">
        <f>VLOOKUP(B254,'Player Data'!$A1:$AE667,12,FALSE)*$Q254*IFERROR((VLOOKUP(P254,Settings!$E$28:$F$33,2,FALSE)+1),1)</f>
        <v>5.0638893606189859</v>
      </c>
      <c r="Y254" s="56">
        <f>VLOOKUP(B254,'Player Data'!$A1:$AE667,13,FALSE)*$Q254</f>
        <v>2.2287858028208082E-2</v>
      </c>
      <c r="Z254" s="56">
        <f>VLOOKUP(B254,'Player Data'!$A1:$AE667,14,FALSE)*$Q254</f>
        <v>2.8476092407573032E-2</v>
      </c>
      <c r="AA254" s="56">
        <f>VLOOKUP(B254,'Player Data'!$A1:$AE667,15,FALSE)*$Q254</f>
        <v>43.702716067662287</v>
      </c>
      <c r="AB254" s="56">
        <f>VLOOKUP(B254,'Player Data'!$A1:$AE667,16,FALSE)*$Q254</f>
        <v>66.716534759723629</v>
      </c>
      <c r="AC254" s="56">
        <f>VLOOKUP(B254,'Player Data'!$A1:$AE667,17,FALSE)*$Q254*IFERROR((VLOOKUP(P254,Settings!$E$28:$F$33,2,FALSE)+1),1)</f>
        <v>-2.7257122540316674</v>
      </c>
      <c r="AD254" s="56">
        <f>VLOOKUP(B254,'Player Data'!$A1:$AE667,18,FALSE)*$Q254</f>
        <v>33.000604037257681</v>
      </c>
      <c r="AE254" s="56">
        <f>VLOOKUP(B254,'Player Data'!$A1:$AE667,19,FALSE)*$Q254*IFERROR((VLOOKUP(P254,Settings!$E$28:$F$33,2,FALSE)+1),1)</f>
        <v>2.6909648377280497</v>
      </c>
      <c r="AF254" s="56">
        <f>VLOOKUP(B254,'Player Data'!$A1:$AE667,20,FALSE)*$Q254</f>
        <v>27.74933406128606</v>
      </c>
      <c r="AG254" s="56">
        <f>VLOOKUP(B254,'Player Data'!$A1:$AE667,21,FALSE)*$Q254</f>
        <v>51.653783214513716</v>
      </c>
      <c r="AH254" s="58">
        <f>VLOOKUP(B254,'Player Data'!$A1:$AE667,22,FALSE)</f>
        <v>0.34947411403133199</v>
      </c>
      <c r="AI254" s="54"/>
      <c r="AJ254" s="56"/>
      <c r="AK254" s="56"/>
      <c r="AL254" s="56"/>
      <c r="AM254" s="56"/>
      <c r="AN254" s="56"/>
      <c r="AO254" s="56"/>
      <c r="AP254" s="56"/>
      <c r="AQ254" s="59"/>
      <c r="AR254" s="60"/>
      <c r="AS254" s="54"/>
    </row>
    <row r="255" spans="1:45" ht="21.25" customHeight="1" x14ac:dyDescent="0.15">
      <c r="A255" s="45">
        <f>RANK(K255,K$1:K$665)</f>
        <v>254</v>
      </c>
      <c r="B255" s="9" t="s">
        <v>380</v>
      </c>
      <c r="C255" s="46" t="s">
        <v>127</v>
      </c>
      <c r="D255" s="47" t="str">
        <f>VLOOKUP(B255,'Player Data'!A1:D667,4,FALSE)</f>
        <v>D</v>
      </c>
      <c r="E255" s="66">
        <f>VLOOKUP(B255,D!A1:C213,3,FALSE)</f>
        <v>75</v>
      </c>
      <c r="F255" s="65" t="str">
        <f>VLOOKUP(B255,'Player Data'!A1:B667,2,FALSE)</f>
        <v>DET</v>
      </c>
      <c r="G255" s="63">
        <f>VLOOKUP(B255,'Player Data'!A1:D667,3,FALSE)</f>
        <v>32</v>
      </c>
      <c r="H255" s="50">
        <f>IFERROR(VLOOKUP(B255,ADP!A1:G665,7,FALSE)/1000000,VLOOKUP(B255,ADP!A1:G665,7,FALSE))</f>
        <v>2</v>
      </c>
      <c r="I255" s="51">
        <f>IF(Settings!$E$15="POINTS",((R255*Q255)*Settings!$B$12)+(S255*Settings!$B$2)+(T255*Settings!$B$3)+(U255*Settings!$B$4)+(V255*Settings!$B$5)+(X255*Settings!$B$9)+(AA255*Settings!$B$6)+(W255*Settings!$B$8)+(AB255*Settings!$B$7)+(AC255*Settings!$B$14)+(AD255*Settings!$B$15)+(AE255*Settings!$B$16)+(AF255*Settings!$B$17)+(AG255*Settings!$B$18)+(U255*Settings!$B$13)+(Y255*Settings!$B$10)+(Z255*Settings!$B$11),VLOOKUP(B255,'Standard Deviations'!A1:C666,3,FALSE))</f>
        <v>202.95004008629402</v>
      </c>
      <c r="J255" s="52">
        <f>IF(D255="G",I255/AJ255,I255/Q255)</f>
        <v>2.6352014553826399</v>
      </c>
      <c r="K255" s="51">
        <f>VLOOKUP(B255,D!A1:F213,6,FALSE)</f>
        <v>-133.28408495930088</v>
      </c>
      <c r="L255" s="53">
        <f>IFERROR(K255/H255,"N/A")</f>
        <v>-66.642042479650442</v>
      </c>
      <c r="M255" s="83" t="str">
        <f>IF(Settings!$E$9="YAHOO",VLOOKUP(B255,ADP!A1:E665,2,FALSE),IF(Settings!$E$9="ESPN",VLOOKUP(B255,ADP!A1:E665,3,FALSE),IF(Settings!$E$9="FANTRAX",VLOOKUP(B255,ADP!A1:E665,4,FALSE),VLOOKUP(B255,ADP!A1:E665,5,FALSE))))</f>
        <v>—</v>
      </c>
      <c r="N255" s="83" t="str">
        <f>IFERROR(M255-A255,"N/A")</f>
        <v>N/A</v>
      </c>
      <c r="O255" s="54"/>
      <c r="P255" s="55" t="str">
        <f>IF(Settings!$E$27="ON",VLOOKUP(B255,ADP!A1:H665,8,FALSE)," ")</f>
        <v xml:space="preserve"> </v>
      </c>
      <c r="Q255" s="56">
        <f>IF(Settings!$E$12="YES",VLOOKUP(B255,'Player Data'!A1:E667,5,FALSE),82)</f>
        <v>77.015000000000001</v>
      </c>
      <c r="R255" s="54">
        <f>VLOOKUP(B255,'Player Data'!$A1:$AE667,6,FALSE)</f>
        <v>18.127559491307402</v>
      </c>
      <c r="S255" s="56">
        <f>VLOOKUP(B255,'Player Data'!$A1:$AE667,7,FALSE)*$Q255*IFERROR((VLOOKUP(P255,Settings!$E$28:$F$33,2,FALSE)+1),1)</f>
        <v>5.4190851187611235</v>
      </c>
      <c r="T255" s="56">
        <f>VLOOKUP(B255,'Player Data'!$A1:$AE667,8,FALSE)*$Q255*IFERROR((VLOOKUP(P255,Settings!$E$28:$F$33,2,FALSE)+1),1)</f>
        <v>28.191690892614929</v>
      </c>
      <c r="U255" s="56">
        <f>SUM(S255:T255)</f>
        <v>33.610776011376053</v>
      </c>
      <c r="V255" s="56">
        <f>VLOOKUP(B255,'Player Data'!$A1:$AE667,10,FALSE)*$Q255*IFERROR(((VLOOKUP(P255,Settings!$E$28:$F$33,2,FALSE)/2)+1),1)</f>
        <v>105.52899343489847</v>
      </c>
      <c r="W255" s="56">
        <f>VLOOKUP(B255,'Player Data'!$A1:$AE667,11,FALSE)*$Q255*IFERROR((VLOOKUP(P255,Settings!$E$28:$F$33,2,FALSE)+1),1)</f>
        <v>0.216640872770193</v>
      </c>
      <c r="X255" s="56">
        <f>VLOOKUP(B255,'Player Data'!$A1:$AE667,12,FALSE)*$Q255*IFERROR((VLOOKUP(P255,Settings!$E$28:$F$33,2,FALSE)+1),1)</f>
        <v>11.232216674760522</v>
      </c>
      <c r="Y255" s="56">
        <f>VLOOKUP(B255,'Player Data'!$A1:$AE667,13,FALSE)*$Q255</f>
        <v>8.830818065616081E-3</v>
      </c>
      <c r="Z255" s="56">
        <f>VLOOKUP(B255,'Player Data'!$A1:$AE667,14,FALSE)*$Q255</f>
        <v>4.5142469385681193E-2</v>
      </c>
      <c r="AA255" s="56">
        <f>VLOOKUP(B255,'Player Data'!$A1:$AE667,15,FALSE)*$Q255</f>
        <v>76.151712381140797</v>
      </c>
      <c r="AB255" s="56">
        <f>VLOOKUP(B255,'Player Data'!$A1:$AE667,16,FALSE)*$Q255</f>
        <v>71.790351968817035</v>
      </c>
      <c r="AC255" s="56">
        <f>VLOOKUP(B255,'Player Data'!$A1:$AE667,17,FALSE)*$Q255*IFERROR((VLOOKUP(P255,Settings!$E$28:$F$33,2,FALSE)+1),1)</f>
        <v>0.83334602454130779</v>
      </c>
      <c r="AD255" s="56">
        <f>VLOOKUP(B255,'Player Data'!$A1:$AE667,18,FALSE)*$Q255</f>
        <v>30.236267772337648</v>
      </c>
      <c r="AE255" s="56">
        <f>VLOOKUP(B255,'Player Data'!$A1:$AE667,19,FALSE)*$Q255*IFERROR((VLOOKUP(P255,Settings!$E$28:$F$33,2,FALSE)+1),1)</f>
        <v>0.74427159275428456</v>
      </c>
      <c r="AF255" s="56">
        <f>VLOOKUP(B255,'Player Data'!$A1:$AE667,20,FALSE)*$Q255</f>
        <v>0</v>
      </c>
      <c r="AG255" s="56">
        <f>VLOOKUP(B255,'Player Data'!$A1:$AE667,21,FALSE)*$Q255</f>
        <v>0</v>
      </c>
      <c r="AH255" s="58">
        <f>VLOOKUP(B255,'Player Data'!$A1:$AE667,22,FALSE)</f>
        <v>0</v>
      </c>
      <c r="AI255" s="54"/>
      <c r="AJ255" s="64"/>
      <c r="AK255" s="56"/>
      <c r="AL255" s="56"/>
      <c r="AM255" s="56"/>
      <c r="AN255" s="56"/>
      <c r="AO255" s="56"/>
      <c r="AP255" s="56"/>
      <c r="AQ255" s="59"/>
      <c r="AR255" s="60"/>
      <c r="AS255" s="54"/>
    </row>
    <row r="256" spans="1:45" ht="21.25" customHeight="1" x14ac:dyDescent="0.15">
      <c r="A256" s="45">
        <f>RANK(K256,K$1:K$665)</f>
        <v>255</v>
      </c>
      <c r="B256" s="9" t="s">
        <v>381</v>
      </c>
      <c r="C256" s="46" t="s">
        <v>127</v>
      </c>
      <c r="D256" s="47" t="str">
        <f>VLOOKUP(B256,'Player Data'!A1:D667,4,FALSE)</f>
        <v>C</v>
      </c>
      <c r="E256" s="48">
        <f>VLOOKUP(B256,'C'!A1:C206,3,FALSE)</f>
        <v>77</v>
      </c>
      <c r="F256" s="62" t="str">
        <f>VLOOKUP(B256,'Player Data'!A1:B667,2,FALSE)</f>
        <v>BOS</v>
      </c>
      <c r="G256" s="63">
        <f>VLOOKUP(B256,'Player Data'!A1:D667,3,FALSE)</f>
        <v>32</v>
      </c>
      <c r="H256" s="50">
        <f>IFERROR(VLOOKUP(B256,ADP!A1:G665,7,FALSE)/1000000,VLOOKUP(B256,ADP!A1:G665,7,FALSE))</f>
        <v>5.25</v>
      </c>
      <c r="I256" s="51">
        <f>IF(Settings!$E$15="POINTS",((R256*Q256)*Settings!$B$12)+(S256*Settings!$B$2)+(T256*Settings!$B$3)+(U256*Settings!$B$4)+(V256*Settings!$B$5)+(X256*Settings!$B$9)+(AA256*Settings!$B$6)+(W256*Settings!$B$8)+(AB256*Settings!$B$7)+(AC256*Settings!$B$14)+(AD256*Settings!$B$15)+(AE256*Settings!$B$16)+(AF256*Settings!$B$17)+(AG256*Settings!$B$18)+(Y256*Settings!$B$10)+(Z256*Settings!$B$11),VLOOKUP(B256,'Standard Deviations'!A1:C666,3,FALSE))</f>
        <v>255.02394604893161</v>
      </c>
      <c r="J256" s="52">
        <f>IF(D256="G",I256/AJ256,I256/Q256)</f>
        <v>3.1089107161883653</v>
      </c>
      <c r="K256" s="51">
        <f>IF(Settings!$E$18="C/LW/RW",VLOOKUP(B256,'C'!A1:F206,6,FALSE),VLOOKUP(B256,F!A1:F392,6,FALSE))</f>
        <v>-134.91321172914948</v>
      </c>
      <c r="L256" s="53">
        <f>IFERROR(K256/H256,"N/A")</f>
        <v>-25.697754615076093</v>
      </c>
      <c r="M256" s="83" t="str">
        <f>IF(Settings!$E$9="YAHOO",VLOOKUP(B256,ADP!A1:E665,2,FALSE),IF(Settings!$E$9="ESPN",VLOOKUP(B256,ADP!A1:E665,3,FALSE),IF(Settings!$E$9="FANTRAX",VLOOKUP(B256,ADP!A1:E665,4,FALSE),VLOOKUP(B256,ADP!A1:E665,5,FALSE))))</f>
        <v>—</v>
      </c>
      <c r="N256" s="83" t="str">
        <f>IFERROR(M256-A256,"N/A")</f>
        <v>N/A</v>
      </c>
      <c r="O256" s="54"/>
      <c r="P256" s="55" t="str">
        <f>IF(Settings!$E$27="ON",VLOOKUP(B256,ADP!A1:H665,8,FALSE)," ")</f>
        <v xml:space="preserve"> </v>
      </c>
      <c r="Q256" s="56">
        <f>IF(Settings!$E$12="YES",VLOOKUP(B256,'Player Data'!A1:E667,5,FALSE),82)</f>
        <v>82.03</v>
      </c>
      <c r="R256" s="54">
        <f>VLOOKUP(B256,'Player Data'!$A1:$AE667,6,FALSE)</f>
        <v>17.459673532129798</v>
      </c>
      <c r="S256" s="56">
        <f>VLOOKUP(B256,'Player Data'!$A1:$AE667,7,FALSE)*$Q256*IFERROR((VLOOKUP(P256,Settings!$E$28:$F$33,2,FALSE)+1),1)</f>
        <v>18.696590242155587</v>
      </c>
      <c r="T256" s="56">
        <f>VLOOKUP(B256,'Player Data'!$A1:$AE667,8,FALSE)*$Q256*IFERROR((VLOOKUP(P256,Settings!$E$28:$F$33,2,FALSE)+1),1)</f>
        <v>29.634611766118443</v>
      </c>
      <c r="U256" s="56">
        <f>SUM(S256:T256)</f>
        <v>48.331202008274033</v>
      </c>
      <c r="V256" s="56">
        <f>VLOOKUP(B256,'Player Data'!$A1:$AE667,10,FALSE)*$Q256*IFERROR(((VLOOKUP(P256,Settings!$E$28:$F$33,2,FALSE)/2)+1),1)</f>
        <v>140.54672775250026</v>
      </c>
      <c r="W256" s="56">
        <f>VLOOKUP(B256,'Player Data'!$A1:$AE667,11,FALSE)*$Q256*IFERROR((VLOOKUP(P256,Settings!$E$28:$F$33,2,FALSE)+1),1)</f>
        <v>4.1161531387153643</v>
      </c>
      <c r="X256" s="56">
        <f>VLOOKUP(B256,'Player Data'!$A1:$AE667,12,FALSE)*$Q256*IFERROR((VLOOKUP(P256,Settings!$E$28:$F$33,2,FALSE)+1),1)</f>
        <v>7.9404122788822784</v>
      </c>
      <c r="Y256" s="56">
        <f>VLOOKUP(B256,'Player Data'!$A1:$AE667,13,FALSE)*$Q256</f>
        <v>0.73762317827861867</v>
      </c>
      <c r="Z256" s="56">
        <f>VLOOKUP(B256,'Player Data'!$A1:$AE667,14,FALSE)*$Q256</f>
        <v>3.3213467702549577</v>
      </c>
      <c r="AA256" s="56">
        <f>VLOOKUP(B256,'Player Data'!$A1:$AE667,15,FALSE)*$Q256</f>
        <v>56.990434197444266</v>
      </c>
      <c r="AB256" s="56">
        <f>VLOOKUP(B256,'Player Data'!$A1:$AE667,16,FALSE)*$Q256</f>
        <v>110.46992670422476</v>
      </c>
      <c r="AC256" s="56">
        <f>VLOOKUP(B256,'Player Data'!$A1:$AE667,17,FALSE)*$Q256*IFERROR((VLOOKUP(P256,Settings!$E$28:$F$33,2,FALSE)+1),1)</f>
        <v>1.6504964904413715</v>
      </c>
      <c r="AD256" s="56">
        <f>VLOOKUP(B256,'Player Data'!$A1:$AE667,18,FALSE)*$Q256</f>
        <v>32.47656904225915</v>
      </c>
      <c r="AE256" s="56">
        <f>VLOOKUP(B256,'Player Data'!$A1:$AE667,19,FALSE)*$Q256*IFERROR((VLOOKUP(P256,Settings!$E$28:$F$33,2,FALSE)+1),1)</f>
        <v>2.9120634435301485</v>
      </c>
      <c r="AF256" s="56">
        <f>VLOOKUP(B256,'Player Data'!$A1:$AE667,20,FALSE)*$Q256</f>
        <v>682.02290646999404</v>
      </c>
      <c r="AG256" s="56">
        <f>VLOOKUP(B256,'Player Data'!$A1:$AE667,21,FALSE)*$Q256</f>
        <v>647.15130213835164</v>
      </c>
      <c r="AH256" s="58">
        <f>VLOOKUP(B256,'Player Data'!$A1:$AE667,22,FALSE)</f>
        <v>0.51311777045694895</v>
      </c>
      <c r="AI256" s="54"/>
      <c r="AJ256" s="64"/>
      <c r="AK256" s="56"/>
      <c r="AL256" s="56"/>
      <c r="AM256" s="56"/>
      <c r="AN256" s="56"/>
      <c r="AO256" s="56"/>
      <c r="AP256" s="56"/>
      <c r="AQ256" s="59"/>
      <c r="AR256" s="60"/>
      <c r="AS256" s="54"/>
    </row>
    <row r="257" spans="1:45" ht="21.25" customHeight="1" x14ac:dyDescent="0.15">
      <c r="A257" s="45">
        <f>RANK(K257,K$1:K$665)</f>
        <v>256</v>
      </c>
      <c r="B257" s="9" t="s">
        <v>382</v>
      </c>
      <c r="C257" s="46" t="s">
        <v>127</v>
      </c>
      <c r="D257" s="47" t="str">
        <f>VLOOKUP(B257,'Player Data'!A1:D667,4,FALSE)</f>
        <v>D</v>
      </c>
      <c r="E257" s="66">
        <f>VLOOKUP(B257,D!A1:C213,3,FALSE)</f>
        <v>76</v>
      </c>
      <c r="F257" s="55" t="str">
        <f>VLOOKUP(B257,'Player Data'!A1:B667,2,FALSE)</f>
        <v>N.J</v>
      </c>
      <c r="G257" s="10">
        <f>VLOOKUP(B257,'Player Data'!A1:D667,3,FALSE)</f>
        <v>29</v>
      </c>
      <c r="H257" s="50">
        <f>IFERROR(VLOOKUP(B257,ADP!A1:G665,7,FALSE)/1000000,VLOOKUP(B257,ADP!A1:G665,7,FALSE))</f>
        <v>5.5</v>
      </c>
      <c r="I257" s="51">
        <f>IF(Settings!$E$15="POINTS",((R257*Q257)*Settings!$B$12)+(S257*Settings!$B$2)+(T257*Settings!$B$3)+(U257*Settings!$B$4)+(V257*Settings!$B$5)+(X257*Settings!$B$9)+(AA257*Settings!$B$6)+(W257*Settings!$B$8)+(AB257*Settings!$B$7)+(AC257*Settings!$B$14)+(AD257*Settings!$B$15)+(AE257*Settings!$B$16)+(AF257*Settings!$B$17)+(AG257*Settings!$B$18)+(U257*Settings!$B$13)+(Y257*Settings!$B$10)+(Z257*Settings!$B$11),VLOOKUP(B257,'Standard Deviations'!A1:C666,3,FALSE))</f>
        <v>201.05925869626995</v>
      </c>
      <c r="J257" s="52">
        <f>IF(D257="G",I257/AJ257,I257/Q257)</f>
        <v>2.5547555107531124</v>
      </c>
      <c r="K257" s="51">
        <f>VLOOKUP(B257,D!A1:F213,6,FALSE)</f>
        <v>-135.17486634932496</v>
      </c>
      <c r="L257" s="53">
        <f>IFERROR(K257/H257,"N/A")</f>
        <v>-24.577248427149993</v>
      </c>
      <c r="M257" s="83" t="str">
        <f>IF(Settings!$E$9="YAHOO",VLOOKUP(B257,ADP!A1:E665,2,FALSE),IF(Settings!$E$9="ESPN",VLOOKUP(B257,ADP!A1:E665,3,FALSE),IF(Settings!$E$9="FANTRAX",VLOOKUP(B257,ADP!A1:E665,4,FALSE),VLOOKUP(B257,ADP!A1:E665,5,FALSE))))</f>
        <v>—</v>
      </c>
      <c r="N257" s="83" t="str">
        <f>IFERROR(M257-A257,"N/A")</f>
        <v>N/A</v>
      </c>
      <c r="O257" s="54"/>
      <c r="P257" s="55" t="str">
        <f>IF(Settings!$E$27="ON",VLOOKUP(B257,ADP!A1:H665,8,FALSE)," ")</f>
        <v xml:space="preserve"> </v>
      </c>
      <c r="Q257" s="56">
        <f>IF(Settings!$E$12="YES",VLOOKUP(B257,'Player Data'!A1:E667,5,FALSE),82)</f>
        <v>78.7</v>
      </c>
      <c r="R257" s="54">
        <f>VLOOKUP(B257,'Player Data'!$A1:$AE667,6,FALSE)</f>
        <v>21.194745214688101</v>
      </c>
      <c r="S257" s="56">
        <f>VLOOKUP(B257,'Player Data'!$A1:$AE667,7,FALSE)*$Q257*IFERROR((VLOOKUP(P257,Settings!$E$28:$F$33,2,FALSE)+1),1)</f>
        <v>4.9041383094851145</v>
      </c>
      <c r="T257" s="56">
        <f>VLOOKUP(B257,'Player Data'!$A1:$AE667,8,FALSE)*$Q257*IFERROR((VLOOKUP(P257,Settings!$E$28:$F$33,2,FALSE)+1),1)</f>
        <v>19.490277841875251</v>
      </c>
      <c r="U257" s="56">
        <f>SUM(S257:T257)</f>
        <v>24.394416151360367</v>
      </c>
      <c r="V257" s="56">
        <f>VLOOKUP(B257,'Player Data'!$A1:$AE667,10,FALSE)*$Q257*IFERROR(((VLOOKUP(P257,Settings!$E$28:$F$33,2,FALSE)/2)+1),1)</f>
        <v>129.9519886924241</v>
      </c>
      <c r="W257" s="56">
        <f>VLOOKUP(B257,'Player Data'!$A1:$AE667,11,FALSE)*$Q257*IFERROR((VLOOKUP(P257,Settings!$E$28:$F$33,2,FALSE)+1),1)</f>
        <v>9.191645508722629E-2</v>
      </c>
      <c r="X257" s="56">
        <f>VLOOKUP(B257,'Player Data'!$A1:$AE667,12,FALSE)*$Q257*IFERROR((VLOOKUP(P257,Settings!$E$28:$F$33,2,FALSE)+1),1)</f>
        <v>0.39630819859894989</v>
      </c>
      <c r="Y257" s="56">
        <f>VLOOKUP(B257,'Player Data'!$A1:$AE667,13,FALSE)*$Q257</f>
        <v>2.7194443348816447E-2</v>
      </c>
      <c r="Z257" s="56">
        <f>VLOOKUP(B257,'Player Data'!$A1:$AE667,14,FALSE)*$Q257</f>
        <v>0.63427240663654094</v>
      </c>
      <c r="AA257" s="56">
        <f>VLOOKUP(B257,'Player Data'!$A1:$AE667,15,FALSE)*$Q257</f>
        <v>123.73887058148264</v>
      </c>
      <c r="AB257" s="56">
        <f>VLOOKUP(B257,'Player Data'!$A1:$AE667,16,FALSE)*$Q257</f>
        <v>45.761002234128682</v>
      </c>
      <c r="AC257" s="56">
        <f>VLOOKUP(B257,'Player Data'!$A1:$AE667,17,FALSE)*$Q257*IFERROR((VLOOKUP(P257,Settings!$E$28:$F$33,2,FALSE)+1),1)</f>
        <v>0.57714259871618923</v>
      </c>
      <c r="AD257" s="56">
        <f>VLOOKUP(B257,'Player Data'!$A1:$AE667,18,FALSE)*$Q257</f>
        <v>30.498428215560388</v>
      </c>
      <c r="AE257" s="56">
        <f>VLOOKUP(B257,'Player Data'!$A1:$AE667,19,FALSE)*$Q257*IFERROR((VLOOKUP(P257,Settings!$E$28:$F$33,2,FALSE)+1),1)</f>
        <v>0.73991834616057717</v>
      </c>
      <c r="AF257" s="56">
        <f>VLOOKUP(B257,'Player Data'!$A1:$AE667,20,FALSE)*$Q257</f>
        <v>0</v>
      </c>
      <c r="AG257" s="56">
        <f>VLOOKUP(B257,'Player Data'!$A1:$AE667,21,FALSE)*$Q257</f>
        <v>0</v>
      </c>
      <c r="AH257" s="58">
        <f>VLOOKUP(B257,'Player Data'!$A1:$AE667,22,FALSE)</f>
        <v>0</v>
      </c>
      <c r="AI257" s="54"/>
      <c r="AJ257" s="56"/>
      <c r="AK257" s="56"/>
      <c r="AL257" s="56"/>
      <c r="AM257" s="56"/>
      <c r="AN257" s="56"/>
      <c r="AO257" s="56"/>
      <c r="AP257" s="56"/>
      <c r="AQ257" s="59"/>
      <c r="AR257" s="60"/>
      <c r="AS257" s="54"/>
    </row>
    <row r="258" spans="1:45" ht="21.25" customHeight="1" x14ac:dyDescent="0.15">
      <c r="A258" s="45">
        <f>RANK(K258,K$1:K$665)</f>
        <v>257</v>
      </c>
      <c r="B258" s="9" t="s">
        <v>383</v>
      </c>
      <c r="C258" s="46" t="s">
        <v>127</v>
      </c>
      <c r="D258" s="47" t="str">
        <f>VLOOKUP(B258,'Player Data'!A1:D667,4,FALSE)</f>
        <v>LW</v>
      </c>
      <c r="E258" s="70">
        <f>VLOOKUP(B258,LW!A1:C152,3,FALSE)</f>
        <v>61</v>
      </c>
      <c r="F258" s="72" t="str">
        <f>VLOOKUP(B258,'Player Data'!A1:B667,2,FALSE)</f>
        <v>NYI</v>
      </c>
      <c r="G258" s="10">
        <f>VLOOKUP(B258,'Player Data'!A1:D667,3,FALSE)</f>
        <v>29</v>
      </c>
      <c r="H258" s="50">
        <f>IFERROR(VLOOKUP(B258,ADP!A1:G665,7,FALSE)/1000000,VLOOKUP(B258,ADP!A1:G665,7,FALSE))</f>
        <v>3.5</v>
      </c>
      <c r="I258" s="51">
        <f>IF(Settings!$E$15="POINTS",((R258*Q258)*Settings!$B$12)+(S258*Settings!$B$2)+(T258*Settings!$B$3)+(U258*Settings!$B$4)+(V258*Settings!$B$5)+(X258*Settings!$B$9)+(AA258*Settings!$B$6)+(W258*Settings!$B$8)+(AB258*Settings!$B$7)+(AC258*Settings!$B$14)+(AD258*Settings!$B$15)+(AE258*Settings!$B$16)+(AF258*Settings!$B$17)+(AG258*Settings!$B$18)+(Y258*Settings!$B$10)+(Z258*Settings!$B$11),VLOOKUP(B258,'Standard Deviations'!A1:C666,3,FALSE))</f>
        <v>244.7209922159926</v>
      </c>
      <c r="J258" s="52">
        <f>IF(D258="G",I258/AJ258,I258/Q258)</f>
        <v>3.4415637199450493</v>
      </c>
      <c r="K258" s="51">
        <f>IF(Settings!$E$18="C/LW/RW",VLOOKUP(B258,LW!A1:F152,6,FALSE),VLOOKUP(B258,F!A1:F392,6,FALSE))</f>
        <v>-136.34052008650715</v>
      </c>
      <c r="L258" s="53">
        <f>IFERROR(K258/H258,"N/A")</f>
        <v>-38.954434310430614</v>
      </c>
      <c r="M258" s="83" t="str">
        <f>IF(Settings!$E$9="YAHOO",VLOOKUP(B258,ADP!A1:E665,2,FALSE),IF(Settings!$E$9="ESPN",VLOOKUP(B258,ADP!A1:E665,3,FALSE),IF(Settings!$E$9="FANTRAX",VLOOKUP(B258,ADP!A1:E665,4,FALSE),VLOOKUP(B258,ADP!A1:E665,5,FALSE))))</f>
        <v>—</v>
      </c>
      <c r="N258" s="83" t="str">
        <f>IFERROR(M258-A258,"N/A")</f>
        <v>N/A</v>
      </c>
      <c r="O258" s="54"/>
      <c r="P258" s="55" t="str">
        <f>IF(Settings!$E$27="ON",VLOOKUP(B258,ADP!A1:H665,8,FALSE)," ")</f>
        <v xml:space="preserve"> </v>
      </c>
      <c r="Q258" s="56">
        <f>IF(Settings!$E$12="YES",VLOOKUP(B258,'Player Data'!A1:E667,5,FALSE),82)</f>
        <v>71.107500000000002</v>
      </c>
      <c r="R258" s="54">
        <f>VLOOKUP(B258,'Player Data'!$A1:$AE667,6,FALSE)</f>
        <v>16.530124048920001</v>
      </c>
      <c r="S258" s="56">
        <f>VLOOKUP(B258,'Player Data'!$A1:$AE667,7,FALSE)*$Q258*IFERROR((VLOOKUP(P258,Settings!$E$28:$F$33,2,FALSE)+1),1)</f>
        <v>23.405225672154486</v>
      </c>
      <c r="T258" s="56">
        <f>VLOOKUP(B258,'Player Data'!$A1:$AE667,8,FALSE)*$Q258*IFERROR((VLOOKUP(P258,Settings!$E$28:$F$33,2,FALSE)+1),1)</f>
        <v>23.32285261481352</v>
      </c>
      <c r="U258" s="56">
        <f>SUM(S258:T258)</f>
        <v>46.728078286968007</v>
      </c>
      <c r="V258" s="56">
        <f>VLOOKUP(B258,'Player Data'!$A1:$AE667,10,FALSE)*$Q258*IFERROR(((VLOOKUP(P258,Settings!$E$28:$F$33,2,FALSE)/2)+1),1)</f>
        <v>146.07174259847503</v>
      </c>
      <c r="W258" s="56">
        <f>VLOOKUP(B258,'Player Data'!$A1:$AE667,11,FALSE)*$Q258*IFERROR((VLOOKUP(P258,Settings!$E$28:$F$33,2,FALSE)+1),1)</f>
        <v>6.168243540242889</v>
      </c>
      <c r="X258" s="78">
        <f>VLOOKUP(B258,'Player Data'!$A1:$AE667,12,FALSE)*$Q258*IFERROR((VLOOKUP(P258,Settings!$E$28:$F$33,2,FALSE)+1),1)</f>
        <v>14.888273464483198</v>
      </c>
      <c r="Y258" s="56">
        <f>VLOOKUP(B258,'Player Data'!$A1:$AE667,13,FALSE)*$Q258</f>
        <v>2.7478030363647755E-2</v>
      </c>
      <c r="Z258" s="56">
        <f>VLOOKUP(B258,'Player Data'!$A1:$AE667,14,FALSE)*$Q258</f>
        <v>4.6430728847221867E-2</v>
      </c>
      <c r="AA258" s="56">
        <f>VLOOKUP(B258,'Player Data'!$A1:$AE667,15,FALSE)*$Q258</f>
        <v>33.13236372504128</v>
      </c>
      <c r="AB258" s="56">
        <f>VLOOKUP(B258,'Player Data'!$A1:$AE667,16,FALSE)*$Q258</f>
        <v>53.109960481963704</v>
      </c>
      <c r="AC258" s="56">
        <f>VLOOKUP(B258,'Player Data'!$A1:$AE667,17,FALSE)*$Q258*IFERROR((VLOOKUP(P258,Settings!$E$28:$F$33,2,FALSE)+1),1)</f>
        <v>0.98611391746279076</v>
      </c>
      <c r="AD258" s="56">
        <f>VLOOKUP(B258,'Player Data'!$A1:$AE667,18,FALSE)*$Q258</f>
        <v>24.068402118621314</v>
      </c>
      <c r="AE258" s="56">
        <f>VLOOKUP(B258,'Player Data'!$A1:$AE667,19,FALSE)*$Q258*IFERROR((VLOOKUP(P258,Settings!$E$28:$F$33,2,FALSE)+1),1)</f>
        <v>3.6783404162475599</v>
      </c>
      <c r="AF258" s="56">
        <f>VLOOKUP(B258,'Player Data'!$A1:$AE667,20,FALSE)*$Q258</f>
        <v>13.880452407027398</v>
      </c>
      <c r="AG258" s="56">
        <f>VLOOKUP(B258,'Player Data'!$A1:$AE667,21,FALSE)*$Q258</f>
        <v>23.973227036087209</v>
      </c>
      <c r="AH258" s="58">
        <f>VLOOKUP(B258,'Player Data'!$A1:$AE667,22,FALSE)</f>
        <v>0.36668700668547999</v>
      </c>
      <c r="AI258" s="54"/>
      <c r="AJ258" s="56"/>
      <c r="AK258" s="56"/>
      <c r="AL258" s="56"/>
      <c r="AM258" s="56"/>
      <c r="AN258" s="56"/>
      <c r="AO258" s="56"/>
      <c r="AP258" s="56"/>
      <c r="AQ258" s="59"/>
      <c r="AR258" s="60"/>
      <c r="AS258" s="54"/>
    </row>
    <row r="259" spans="1:45" ht="21.25" customHeight="1" x14ac:dyDescent="0.15">
      <c r="A259" s="45">
        <f>RANK(K259,K$1:K$665)</f>
        <v>258</v>
      </c>
      <c r="B259" s="9" t="s">
        <v>384</v>
      </c>
      <c r="C259" s="46" t="s">
        <v>127</v>
      </c>
      <c r="D259" s="47" t="str">
        <f>VLOOKUP(B259,'Player Data'!A1:D667,4,FALSE)</f>
        <v>LW/RW</v>
      </c>
      <c r="E259" s="68">
        <f>VLOOKUP(B259,RW!A1:C136,3,FALSE)</f>
        <v>67</v>
      </c>
      <c r="F259" s="62" t="str">
        <f>VLOOKUP(B259,'Player Data'!A1:B667,2,FALSE)</f>
        <v>SEA</v>
      </c>
      <c r="G259" s="10">
        <f>VLOOKUP(B259,'Player Data'!A1:D667,3,FALSE)</f>
        <v>25</v>
      </c>
      <c r="H259" s="50">
        <f>IFERROR(VLOOKUP(B259,ADP!A1:G665,7,FALSE)/1000000,VLOOKUP(B259,ADP!A1:G665,7,FALSE))</f>
        <v>3.4750000000000001</v>
      </c>
      <c r="I259" s="51">
        <f>IF(Settings!$E$15="POINTS",((R259*Q259)*Settings!$B$12)+(S259*Settings!$B$2)+(T259*Settings!$B$3)+(U259*Settings!$B$4)+(V259*Settings!$B$5)+(X259*Settings!$B$9)+(AA259*Settings!$B$6)+(W259*Settings!$B$8)+(AB259*Settings!$B$7)+(AC259*Settings!$B$14)+(AD259*Settings!$B$15)+(AE259*Settings!$B$16)+(AF259*Settings!$B$17)+(AG259*Settings!$B$18)+(Y259*Settings!$B$10)+(Z259*Settings!$B$11),VLOOKUP(B259,'Standard Deviations'!A1:C666,3,FALSE))</f>
        <v>232.12165932447283</v>
      </c>
      <c r="J259" s="52">
        <f>IF(D259="G",I259/AJ259,I259/Q259)</f>
        <v>2.9658424496834197</v>
      </c>
      <c r="K259" s="51">
        <f>IF(Settings!$E$18="C/LW/RW",VLOOKUP(B259,RW!A1:F136,6,FALSE),VLOOKUP(B259,F!A1:F392,6,FALSE))</f>
        <v>-136.72606378181956</v>
      </c>
      <c r="L259" s="53">
        <f>IFERROR(K259/H259,"N/A")</f>
        <v>-39.345629865271817</v>
      </c>
      <c r="M259" s="83" t="str">
        <f>IF(Settings!$E$9="YAHOO",VLOOKUP(B259,ADP!A1:E665,2,FALSE),IF(Settings!$E$9="ESPN",VLOOKUP(B259,ADP!A1:E665,3,FALSE),IF(Settings!$E$9="FANTRAX",VLOOKUP(B259,ADP!A1:E665,4,FALSE),VLOOKUP(B259,ADP!A1:E665,5,FALSE))))</f>
        <v>—</v>
      </c>
      <c r="N259" s="83" t="str">
        <f>IFERROR(M259-A259,"N/A")</f>
        <v>N/A</v>
      </c>
      <c r="O259" s="54"/>
      <c r="P259" s="55" t="str">
        <f>IF(Settings!$E$27="ON",VLOOKUP(B259,ADP!A1:H665,8,FALSE)," ")</f>
        <v xml:space="preserve"> </v>
      </c>
      <c r="Q259" s="56">
        <f>IF(Settings!$E$12="YES",VLOOKUP(B259,'Player Data'!A1:E667,5,FALSE),82)</f>
        <v>78.265000000000001</v>
      </c>
      <c r="R259" s="54">
        <f>VLOOKUP(B259,'Player Data'!$A1:$AE667,6,FALSE)</f>
        <v>15.2073301751469</v>
      </c>
      <c r="S259" s="56">
        <f>VLOOKUP(B259,'Player Data'!$A1:$AE667,7,FALSE)*$Q259*IFERROR((VLOOKUP(P259,Settings!$E$28:$F$33,2,FALSE)+1),1)</f>
        <v>17.688020946591148</v>
      </c>
      <c r="T259" s="56">
        <f>VLOOKUP(B259,'Player Data'!$A1:$AE667,8,FALSE)*$Q259*IFERROR((VLOOKUP(P259,Settings!$E$28:$F$33,2,FALSE)+1),1)</f>
        <v>21.261424160450566</v>
      </c>
      <c r="U259" s="56">
        <f>SUM(S259:T259)</f>
        <v>38.949445107041711</v>
      </c>
      <c r="V259" s="56">
        <f>VLOOKUP(B259,'Player Data'!$A1:$AE667,10,FALSE)*$Q259*IFERROR(((VLOOKUP(P259,Settings!$E$28:$F$33,2,FALSE)/2)+1),1)</f>
        <v>148.57642969970917</v>
      </c>
      <c r="W259" s="56">
        <f>VLOOKUP(B259,'Player Data'!$A1:$AE667,11,FALSE)*$Q259*IFERROR((VLOOKUP(P259,Settings!$E$28:$F$33,2,FALSE)+1),1)</f>
        <v>2.0674867655993245</v>
      </c>
      <c r="X259" s="56">
        <f>VLOOKUP(B259,'Player Data'!$A1:$AE667,12,FALSE)*$Q259*IFERROR((VLOOKUP(P259,Settings!$E$28:$F$33,2,FALSE)+1),1)</f>
        <v>8.0648293808673159</v>
      </c>
      <c r="Y259" s="56">
        <f>VLOOKUP(B259,'Player Data'!$A1:$AE667,13,FALSE)*$Q259</f>
        <v>4.3197966965180475E-2</v>
      </c>
      <c r="Z259" s="56">
        <f>VLOOKUP(B259,'Player Data'!$A1:$AE667,14,FALSE)*$Q259</f>
        <v>7.3085856296312479E-2</v>
      </c>
      <c r="AA259" s="56">
        <f>VLOOKUP(B259,'Player Data'!$A1:$AE667,15,FALSE)*$Q259</f>
        <v>65.69438783265899</v>
      </c>
      <c r="AB259" s="56">
        <f>VLOOKUP(B259,'Player Data'!$A1:$AE667,16,FALSE)*$Q259</f>
        <v>169.47814435807805</v>
      </c>
      <c r="AC259" s="56">
        <f>VLOOKUP(B259,'Player Data'!$A1:$AE667,17,FALSE)*$Q259*IFERROR((VLOOKUP(P259,Settings!$E$28:$F$33,2,FALSE)+1),1)</f>
        <v>-1.1488827476117736</v>
      </c>
      <c r="AD259" s="56">
        <f>VLOOKUP(B259,'Player Data'!$A1:$AE667,18,FALSE)*$Q259</f>
        <v>23.0722194354456</v>
      </c>
      <c r="AE259" s="56">
        <f>VLOOKUP(B259,'Player Data'!$A1:$AE667,19,FALSE)*$Q259*IFERROR((VLOOKUP(P259,Settings!$E$28:$F$33,2,FALSE)+1),1)</f>
        <v>2.685884782711959</v>
      </c>
      <c r="AF259" s="56">
        <f>VLOOKUP(B259,'Player Data'!$A1:$AE667,20,FALSE)*$Q259</f>
        <v>6.4491379634977104</v>
      </c>
      <c r="AG259" s="56">
        <f>VLOOKUP(B259,'Player Data'!$A1:$AE667,21,FALSE)*$Q259</f>
        <v>20.618330997775001</v>
      </c>
      <c r="AH259" s="58">
        <f>VLOOKUP(B259,'Player Data'!$A1:$AE667,22,FALSE)</f>
        <v>0.23826158155847299</v>
      </c>
      <c r="AI259" s="54"/>
      <c r="AJ259" s="64"/>
      <c r="AK259" s="56"/>
      <c r="AL259" s="56"/>
      <c r="AM259" s="56"/>
      <c r="AN259" s="56"/>
      <c r="AO259" s="56"/>
      <c r="AP259" s="56"/>
      <c r="AQ259" s="59"/>
      <c r="AR259" s="60"/>
      <c r="AS259" s="54"/>
    </row>
    <row r="260" spans="1:45" ht="21.25" customHeight="1" x14ac:dyDescent="0.15">
      <c r="A260" s="45">
        <f>RANK(K260,K$1:K$665)</f>
        <v>259</v>
      </c>
      <c r="B260" s="9" t="s">
        <v>385</v>
      </c>
      <c r="C260" s="46" t="s">
        <v>127</v>
      </c>
      <c r="D260" s="47" t="str">
        <f>VLOOKUP(B260,'Player Data'!A1:D667,4,FALSE)</f>
        <v>C</v>
      </c>
      <c r="E260" s="48">
        <f>VLOOKUP(B260,'C'!A1:C206,3,FALSE)</f>
        <v>78</v>
      </c>
      <c r="F260" s="62" t="str">
        <f>VLOOKUP(B260,'Player Data'!A1:B667,2,FALSE)</f>
        <v>T.B</v>
      </c>
      <c r="G260" s="10">
        <f>VLOOKUP(B260,'Player Data'!A1:D667,3,FALSE)</f>
        <v>27</v>
      </c>
      <c r="H260" s="50">
        <f>IFERROR(VLOOKUP(B260,ADP!A1:G665,7,FALSE)/1000000,VLOOKUP(B260,ADP!A1:G665,7,FALSE))</f>
        <v>6.25</v>
      </c>
      <c r="I260" s="51">
        <f>IF(Settings!$E$15="POINTS",((R260*Q260)*Settings!$B$12)+(S260*Settings!$B$2)+(T260*Settings!$B$3)+(U260*Settings!$B$4)+(V260*Settings!$B$5)+(X260*Settings!$B$9)+(AA260*Settings!$B$6)+(W260*Settings!$B$8)+(AB260*Settings!$B$7)+(AC260*Settings!$B$14)+(AD260*Settings!$B$15)+(AE260*Settings!$B$16)+(AF260*Settings!$B$17)+(AG260*Settings!$B$18)+(Y260*Settings!$B$10)+(Z260*Settings!$B$11),VLOOKUP(B260,'Standard Deviations'!A1:C666,3,FALSE))</f>
        <v>252.71148154711906</v>
      </c>
      <c r="J260" s="52">
        <f>IF(D260="G",I260/AJ260,I260/Q260)</f>
        <v>3.2566961763860829</v>
      </c>
      <c r="K260" s="51">
        <f>IF(Settings!$E$18="C/LW/RW",VLOOKUP(B260,'C'!A1:F206,6,FALSE),VLOOKUP(B260,F!A1:F392,6,FALSE))</f>
        <v>-137.22567623096202</v>
      </c>
      <c r="L260" s="53">
        <f>IFERROR(K260/H260,"N/A")</f>
        <v>-21.956108196953924</v>
      </c>
      <c r="M260" s="83" t="str">
        <f>IF(Settings!$E$9="YAHOO",VLOOKUP(B260,ADP!A1:E665,2,FALSE),IF(Settings!$E$9="ESPN",VLOOKUP(B260,ADP!A1:E665,3,FALSE),IF(Settings!$E$9="FANTRAX",VLOOKUP(B260,ADP!A1:E665,4,FALSE),VLOOKUP(B260,ADP!A1:E665,5,FALSE))))</f>
        <v>—</v>
      </c>
      <c r="N260" s="83" t="str">
        <f>IFERROR(M260-A260,"N/A")</f>
        <v>N/A</v>
      </c>
      <c r="O260" s="54"/>
      <c r="P260" s="55" t="str">
        <f>IF(Settings!$E$27="ON",VLOOKUP(B260,ADP!A1:H665,8,FALSE)," ")</f>
        <v xml:space="preserve"> </v>
      </c>
      <c r="Q260" s="56">
        <f>IF(Settings!$E$12="YES",VLOOKUP(B260,'Player Data'!A1:E667,5,FALSE),82)</f>
        <v>77.597499999999997</v>
      </c>
      <c r="R260" s="54">
        <f>VLOOKUP(B260,'Player Data'!$A1:$AE667,6,FALSE)</f>
        <v>18.581210045434101</v>
      </c>
      <c r="S260" s="56">
        <f>VLOOKUP(B260,'Player Data'!$A1:$AE667,7,FALSE)*$Q260*IFERROR((VLOOKUP(P260,Settings!$E$28:$F$33,2,FALSE)+1),1)</f>
        <v>19.09107850375835</v>
      </c>
      <c r="T260" s="56">
        <f>VLOOKUP(B260,'Player Data'!$A1:$AE667,8,FALSE)*$Q260*IFERROR((VLOOKUP(P260,Settings!$E$28:$F$33,2,FALSE)+1),1)</f>
        <v>26.805286892013257</v>
      </c>
      <c r="U260" s="56">
        <f>SUM(S260:T260)</f>
        <v>45.89636539577161</v>
      </c>
      <c r="V260" s="56">
        <f>VLOOKUP(B260,'Player Data'!$A1:$AE667,10,FALSE)*$Q260*IFERROR(((VLOOKUP(P260,Settings!$E$28:$F$33,2,FALSE)/2)+1),1)</f>
        <v>141.8620551832216</v>
      </c>
      <c r="W260" s="56">
        <f>VLOOKUP(B260,'Player Data'!$A1:$AE667,11,FALSE)*$Q260*IFERROR((VLOOKUP(P260,Settings!$E$28:$F$33,2,FALSE)+1),1)</f>
        <v>3.3915592438141267</v>
      </c>
      <c r="X260" s="56">
        <f>VLOOKUP(B260,'Player Data'!$A1:$AE667,12,FALSE)*$Q260*IFERROR((VLOOKUP(P260,Settings!$E$28:$F$33,2,FALSE)+1),1)</f>
        <v>7.5714398098095534</v>
      </c>
      <c r="Y260" s="56">
        <f>VLOOKUP(B260,'Player Data'!$A1:$AE667,13,FALSE)*$Q260</f>
        <v>1.8199712101033423</v>
      </c>
      <c r="Z260" s="56">
        <f>VLOOKUP(B260,'Player Data'!$A1:$AE667,14,FALSE)*$Q260</f>
        <v>1.9242311983387712</v>
      </c>
      <c r="AA260" s="56">
        <f>VLOOKUP(B260,'Player Data'!$A1:$AE667,15,FALSE)*$Q260</f>
        <v>69.191373520090224</v>
      </c>
      <c r="AB260" s="56">
        <f>VLOOKUP(B260,'Player Data'!$A1:$AE667,16,FALSE)*$Q260</f>
        <v>61.807478924025467</v>
      </c>
      <c r="AC260" s="56">
        <f>VLOOKUP(B260,'Player Data'!$A1:$AE667,17,FALSE)*$Q260*IFERROR((VLOOKUP(P260,Settings!$E$28:$F$33,2,FALSE)+1),1)</f>
        <v>2.0146666599362311</v>
      </c>
      <c r="AD260" s="56">
        <f>VLOOKUP(B260,'Player Data'!$A1:$AE667,18,FALSE)*$Q260</f>
        <v>35.886535032852649</v>
      </c>
      <c r="AE260" s="56">
        <f>VLOOKUP(B260,'Player Data'!$A1:$AE667,19,FALSE)*$Q260*IFERROR((VLOOKUP(P260,Settings!$E$28:$F$33,2,FALSE)+1),1)</f>
        <v>3.0080212944019369</v>
      </c>
      <c r="AF260" s="56">
        <f>VLOOKUP(B260,'Player Data'!$A1:$AE667,20,FALSE)*$Q260</f>
        <v>472.65484417339599</v>
      </c>
      <c r="AG260" s="56">
        <f>VLOOKUP(B260,'Player Data'!$A1:$AE667,21,FALSE)*$Q260</f>
        <v>490.55268114073067</v>
      </c>
      <c r="AH260" s="58">
        <f>VLOOKUP(B260,'Player Data'!$A1:$AE667,22,FALSE)</f>
        <v>0.490709251902129</v>
      </c>
      <c r="AI260" s="54"/>
      <c r="AJ260" s="56"/>
      <c r="AK260" s="56"/>
      <c r="AL260" s="56"/>
      <c r="AM260" s="56"/>
      <c r="AN260" s="56"/>
      <c r="AO260" s="56"/>
      <c r="AP260" s="56"/>
      <c r="AQ260" s="59"/>
      <c r="AR260" s="60"/>
      <c r="AS260" s="54"/>
    </row>
    <row r="261" spans="1:45" ht="21.25" customHeight="1" x14ac:dyDescent="0.15">
      <c r="A261" s="45">
        <f>RANK(K261,K$1:K$665)</f>
        <v>260</v>
      </c>
      <c r="B261" s="9" t="s">
        <v>386</v>
      </c>
      <c r="C261" s="46" t="s">
        <v>127</v>
      </c>
      <c r="D261" s="47" t="str">
        <f>VLOOKUP(B261,'Player Data'!A1:D667,4,FALSE)</f>
        <v>D</v>
      </c>
      <c r="E261" s="66">
        <f>VLOOKUP(B261,D!A1:C213,3,FALSE)</f>
        <v>77</v>
      </c>
      <c r="F261" s="72" t="str">
        <f>VLOOKUP(B261,'Player Data'!A1:B667,2,FALSE)</f>
        <v>CAR</v>
      </c>
      <c r="G261" s="10">
        <f>VLOOKUP(B261,'Player Data'!A1:D667,3,FALSE)</f>
        <v>29</v>
      </c>
      <c r="H261" s="50">
        <f>IFERROR(VLOOKUP(B261,ADP!A1:G665,7,FALSE)/1000000,VLOOKUP(B261,ADP!A1:G665,7,FALSE))</f>
        <v>3.6</v>
      </c>
      <c r="I261" s="51">
        <f>IF(Settings!$E$15="POINTS",((R261*Q261)*Settings!$B$12)+(S261*Settings!$B$2)+(T261*Settings!$B$3)+(U261*Settings!$B$4)+(V261*Settings!$B$5)+(X261*Settings!$B$9)+(AA261*Settings!$B$6)+(W261*Settings!$B$8)+(AB261*Settings!$B$7)+(AC261*Settings!$B$14)+(AD261*Settings!$B$15)+(AE261*Settings!$B$16)+(AF261*Settings!$B$17)+(AG261*Settings!$B$18)+(U261*Settings!$B$13)+(Y261*Settings!$B$10)+(Z261*Settings!$B$11),VLOOKUP(B261,'Standard Deviations'!A1:C666,3,FALSE))</f>
        <v>198.88172078941989</v>
      </c>
      <c r="J261" s="52">
        <f>IF(D261="G",I261/AJ261,I261/Q261)</f>
        <v>2.6341077552322094</v>
      </c>
      <c r="K261" s="51">
        <f>VLOOKUP(B261,D!A1:F213,6,FALSE)</f>
        <v>-137.35240425617502</v>
      </c>
      <c r="L261" s="53">
        <f>IFERROR(K261/H261,"N/A")</f>
        <v>-38.153445626715282</v>
      </c>
      <c r="M261" s="54">
        <f>IF(Settings!$E$9="YAHOO",VLOOKUP(B261,ADP!A1:E665,2,FALSE),IF(Settings!$E$9="ESPN",VLOOKUP(B261,ADP!A1:E665,3,FALSE),IF(Settings!$E$9="FANTRAX",VLOOKUP(B261,ADP!A1:E665,4,FALSE),VLOOKUP(B261,ADP!A1:E665,5,FALSE))))</f>
        <v>142</v>
      </c>
      <c r="N261" s="54">
        <f>IFERROR(M261-A261,"N/A")</f>
        <v>-118</v>
      </c>
      <c r="O261" s="54"/>
      <c r="P261" s="55" t="str">
        <f>IF(Settings!$E$27="ON",VLOOKUP(B261,ADP!A1:H665,8,FALSE)," ")</f>
        <v>+</v>
      </c>
      <c r="Q261" s="56">
        <f>IF(Settings!$E$12="YES",VLOOKUP(B261,'Player Data'!A1:E667,5,FALSE),82)</f>
        <v>75.502499999999998</v>
      </c>
      <c r="R261" s="54">
        <f>VLOOKUP(B261,'Player Data'!$A1:$AE667,6,FALSE)</f>
        <v>18.948044441525699</v>
      </c>
      <c r="S261" s="56">
        <f>VLOOKUP(B261,'Player Data'!$A1:$AE667,7,FALSE)*$Q261*IFERROR((VLOOKUP(P261,Settings!$E$28:$F$33,2,FALSE)+1),1)</f>
        <v>6.6341303727550489</v>
      </c>
      <c r="T261" s="56">
        <f>VLOOKUP(B261,'Player Data'!$A1:$AE667,8,FALSE)*$Q261*IFERROR((VLOOKUP(P261,Settings!$E$28:$F$33,2,FALSE)+1),1)</f>
        <v>16.368344332116578</v>
      </c>
      <c r="U261" s="56">
        <f>SUM(S261:T261)</f>
        <v>23.002474704871627</v>
      </c>
      <c r="V261" s="56">
        <f>VLOOKUP(B261,'Player Data'!$A1:$AE667,10,FALSE)*$Q261*IFERROR(((VLOOKUP(P261,Settings!$E$28:$F$33,2,FALSE)/2)+1),1)</f>
        <v>131.18854120250839</v>
      </c>
      <c r="W261" s="56">
        <f>VLOOKUP(B261,'Player Data'!$A1:$AE667,11,FALSE)*$Q261*IFERROR((VLOOKUP(P261,Settings!$E$28:$F$33,2,FALSE)+1),1)</f>
        <v>9.5150080625227604E-2</v>
      </c>
      <c r="X261" s="56">
        <f>VLOOKUP(B261,'Player Data'!$A1:$AE667,12,FALSE)*$Q261*IFERROR((VLOOKUP(P261,Settings!$E$28:$F$33,2,FALSE)+1),1)</f>
        <v>1.2411542141620371</v>
      </c>
      <c r="Y261" s="56">
        <f>VLOOKUP(B261,'Player Data'!$A1:$AE667,13,FALSE)*$Q261</f>
        <v>1.0411567840650779</v>
      </c>
      <c r="Z261" s="56">
        <f>VLOOKUP(B261,'Player Data'!$A1:$AE667,14,FALSE)*$Q261</f>
        <v>1.6902914122105879</v>
      </c>
      <c r="AA261" s="56">
        <f>VLOOKUP(B261,'Player Data'!$A1:$AE667,15,FALSE)*$Q261</f>
        <v>122.69716089435634</v>
      </c>
      <c r="AB261" s="56">
        <f>VLOOKUP(B261,'Player Data'!$A1:$AE667,16,FALSE)*$Q261</f>
        <v>110.24785983550471</v>
      </c>
      <c r="AC261" s="56">
        <f>VLOOKUP(B261,'Player Data'!$A1:$AE667,17,FALSE)*$Q261*IFERROR((VLOOKUP(P261,Settings!$E$28:$F$33,2,FALSE)+1),1)</f>
        <v>0.92165188121587338</v>
      </c>
      <c r="AD261" s="56">
        <f>VLOOKUP(B261,'Player Data'!$A1:$AE667,18,FALSE)*$Q261</f>
        <v>44.166427105962939</v>
      </c>
      <c r="AE261" s="56">
        <f>VLOOKUP(B261,'Player Data'!$A1:$AE667,19,FALSE)*$Q261*IFERROR((VLOOKUP(P261,Settings!$E$28:$F$33,2,FALSE)+1),1)</f>
        <v>1.1495991703334343</v>
      </c>
      <c r="AF261" s="56">
        <f>VLOOKUP(B261,'Player Data'!$A1:$AE667,20,FALSE)*$Q261</f>
        <v>0</v>
      </c>
      <c r="AG261" s="56">
        <f>VLOOKUP(B261,'Player Data'!$A1:$AE667,21,FALSE)*$Q261</f>
        <v>0</v>
      </c>
      <c r="AH261" s="58">
        <f>VLOOKUP(B261,'Player Data'!$A1:$AE667,22,FALSE)</f>
        <v>0</v>
      </c>
      <c r="AI261" s="54"/>
      <c r="AJ261" s="56"/>
      <c r="AK261" s="56"/>
      <c r="AL261" s="56"/>
      <c r="AM261" s="56"/>
      <c r="AN261" s="56"/>
      <c r="AO261" s="56"/>
      <c r="AP261" s="56"/>
      <c r="AQ261" s="59"/>
      <c r="AR261" s="60"/>
      <c r="AS261" s="54"/>
    </row>
    <row r="262" spans="1:45" ht="21.25" customHeight="1" x14ac:dyDescent="0.15">
      <c r="A262" s="45">
        <f>RANK(K262,K$1:K$665)</f>
        <v>261</v>
      </c>
      <c r="B262" s="9" t="s">
        <v>387</v>
      </c>
      <c r="C262" s="46" t="s">
        <v>127</v>
      </c>
      <c r="D262" s="47" t="str">
        <f>VLOOKUP(B262,'Player Data'!A1:D667,4,FALSE)</f>
        <v>C/RW</v>
      </c>
      <c r="E262" s="68">
        <f>VLOOKUP(B262,RW!A1:C136,3,FALSE)</f>
        <v>68</v>
      </c>
      <c r="F262" s="62" t="str">
        <f>VLOOKUP(B262,'Player Data'!A1:B667,2,FALSE)</f>
        <v>BOS</v>
      </c>
      <c r="G262" s="10">
        <f>VLOOKUP(B262,'Player Data'!A1:D667,3,FALSE)</f>
        <v>26</v>
      </c>
      <c r="H262" s="67">
        <f>IFERROR(VLOOKUP(B262,ADP!A1:G665,7,FALSE)/1000000,VLOOKUP(B262,ADP!A1:G665,7,FALSE))</f>
        <v>2</v>
      </c>
      <c r="I262" s="51">
        <f>IF(Settings!$E$15="POINTS",((R262*Q262)*Settings!$B$12)+(S262*Settings!$B$2)+(T262*Settings!$B$3)+(U262*Settings!$B$4)+(V262*Settings!$B$5)+(X262*Settings!$B$9)+(AA262*Settings!$B$6)+(W262*Settings!$B$8)+(AB262*Settings!$B$7)+(AC262*Settings!$B$14)+(AD262*Settings!$B$15)+(AE262*Settings!$B$16)+(AF262*Settings!$B$17)+(AG262*Settings!$B$18)+(Y262*Settings!$B$10)+(Z262*Settings!$B$11),VLOOKUP(B262,'Standard Deviations'!A1:C666,3,FALSE))</f>
        <v>231.17535494287026</v>
      </c>
      <c r="J262" s="52">
        <f>IF(D262="G",I262/AJ262,I262/Q262)</f>
        <v>2.9532797412138896</v>
      </c>
      <c r="K262" s="51">
        <f>IF(Settings!$E$18="C/LW/RW",VLOOKUP(B262,RW!A1:F136,6,FALSE),VLOOKUP(B262,F!A1:F392,6,FALSE))</f>
        <v>-137.67236816342214</v>
      </c>
      <c r="L262" s="53">
        <f>IFERROR(K262/H262,"N/A")</f>
        <v>-68.836184081711068</v>
      </c>
      <c r="M262" s="83" t="str">
        <f>IF(Settings!$E$9="YAHOO",VLOOKUP(B262,ADP!A1:E665,2,FALSE),IF(Settings!$E$9="ESPN",VLOOKUP(B262,ADP!A1:E665,3,FALSE),IF(Settings!$E$9="FANTRAX",VLOOKUP(B262,ADP!A1:E665,4,FALSE),VLOOKUP(B262,ADP!A1:E665,5,FALSE))))</f>
        <v>—</v>
      </c>
      <c r="N262" s="83" t="str">
        <f>IFERROR(M262-A262,"N/A")</f>
        <v>N/A</v>
      </c>
      <c r="O262" s="54"/>
      <c r="P262" s="55" t="str">
        <f>IF(Settings!$E$27="ON",VLOOKUP(B262,ADP!A1:H665,8,FALSE)," ")</f>
        <v xml:space="preserve"> </v>
      </c>
      <c r="Q262" s="56">
        <f>IF(Settings!$E$12="YES",VLOOKUP(B262,'Player Data'!A1:E667,5,FALSE),82)</f>
        <v>78.277500000000003</v>
      </c>
      <c r="R262" s="54">
        <f>VLOOKUP(B262,'Player Data'!$A1:$AE667,6,FALSE)</f>
        <v>15.4105303646322</v>
      </c>
      <c r="S262" s="56">
        <f>VLOOKUP(B262,'Player Data'!$A1:$AE667,7,FALSE)*$Q262*IFERROR((VLOOKUP(P262,Settings!$E$28:$F$33,2,FALSE)+1),1)</f>
        <v>16.904823846695283</v>
      </c>
      <c r="T262" s="56">
        <f>VLOOKUP(B262,'Player Data'!$A1:$AE667,8,FALSE)*$Q262*IFERROR((VLOOKUP(P262,Settings!$E$28:$F$33,2,FALSE)+1),1)</f>
        <v>26.275532178909042</v>
      </c>
      <c r="U262" s="56">
        <f>SUM(S262:T262)</f>
        <v>43.180356025604326</v>
      </c>
      <c r="V262" s="56">
        <f>VLOOKUP(B262,'Player Data'!$A1:$AE667,10,FALSE)*$Q262*IFERROR(((VLOOKUP(P262,Settings!$E$28:$F$33,2,FALSE)/2)+1),1)</f>
        <v>136.34462889198284</v>
      </c>
      <c r="W262" s="56">
        <f>VLOOKUP(B262,'Player Data'!$A1:$AE667,11,FALSE)*$Q262*IFERROR((VLOOKUP(P262,Settings!$E$28:$F$33,2,FALSE)+1),1)</f>
        <v>3.7032858972328682</v>
      </c>
      <c r="X262" s="56">
        <f>VLOOKUP(B262,'Player Data'!$A1:$AE667,12,FALSE)*$Q262*IFERROR((VLOOKUP(P262,Settings!$E$28:$F$33,2,FALSE)+1),1)</f>
        <v>10.288840759127705</v>
      </c>
      <c r="Y262" s="56">
        <f>VLOOKUP(B262,'Player Data'!$A1:$AE667,13,FALSE)*$Q262</f>
        <v>1.1377787714562394E-2</v>
      </c>
      <c r="Z262" s="56">
        <f>VLOOKUP(B262,'Player Data'!$A1:$AE667,14,FALSE)*$Q262</f>
        <v>1.9244523425415092E-2</v>
      </c>
      <c r="AA262" s="56">
        <f>VLOOKUP(B262,'Player Data'!$A1:$AE667,15,FALSE)*$Q262</f>
        <v>46.307774275025487</v>
      </c>
      <c r="AB262" s="56">
        <f>VLOOKUP(B262,'Player Data'!$A1:$AE667,16,FALSE)*$Q262</f>
        <v>117.93907723207691</v>
      </c>
      <c r="AC262" s="56">
        <f>VLOOKUP(B262,'Player Data'!$A1:$AE667,17,FALSE)*$Q262*IFERROR((VLOOKUP(P262,Settings!$E$28:$F$33,2,FALSE)+1),1)</f>
        <v>2.343167171128675</v>
      </c>
      <c r="AD262" s="56">
        <f>VLOOKUP(B262,'Player Data'!$A1:$AE667,18,FALSE)*$Q262</f>
        <v>31.426873331243563</v>
      </c>
      <c r="AE262" s="56">
        <f>VLOOKUP(B262,'Player Data'!$A1:$AE667,19,FALSE)*$Q262*IFERROR((VLOOKUP(P262,Settings!$E$28:$F$33,2,FALSE)+1),1)</f>
        <v>2.6329891657080235</v>
      </c>
      <c r="AF262" s="56">
        <f>VLOOKUP(B262,'Player Data'!$A1:$AE667,20,FALSE)*$Q262</f>
        <v>349.38286274594361</v>
      </c>
      <c r="AG262" s="56">
        <f>VLOOKUP(B262,'Player Data'!$A1:$AE667,21,FALSE)*$Q262</f>
        <v>387.85681424854801</v>
      </c>
      <c r="AH262" s="58">
        <f>VLOOKUP(B262,'Player Data'!$A1:$AE667,22,FALSE)</f>
        <v>0.47390675468020699</v>
      </c>
      <c r="AI262" s="54"/>
      <c r="AJ262" s="64"/>
      <c r="AK262" s="56"/>
      <c r="AL262" s="56"/>
      <c r="AM262" s="56"/>
      <c r="AN262" s="56"/>
      <c r="AO262" s="56"/>
      <c r="AP262" s="56"/>
      <c r="AQ262" s="59"/>
      <c r="AR262" s="60"/>
      <c r="AS262" s="54"/>
    </row>
    <row r="263" spans="1:45" ht="21.25" customHeight="1" x14ac:dyDescent="0.15">
      <c r="A263" s="45">
        <f>RANK(K263,K$1:K$665)</f>
        <v>262</v>
      </c>
      <c r="B263" s="9" t="s">
        <v>388</v>
      </c>
      <c r="C263" s="46" t="s">
        <v>127</v>
      </c>
      <c r="D263" s="47" t="str">
        <f>VLOOKUP(B263,'Player Data'!A1:D667,4,FALSE)</f>
        <v>D</v>
      </c>
      <c r="E263" s="66">
        <f>VLOOKUP(B263,D!A1:C213,3,FALSE)</f>
        <v>78</v>
      </c>
      <c r="F263" s="72" t="str">
        <f>VLOOKUP(B263,'Player Data'!A1:B667,2,FALSE)</f>
        <v>NYI</v>
      </c>
      <c r="G263" s="69">
        <f>VLOOKUP(B263,'Player Data'!A1:D667,3,FALSE)</f>
        <v>24</v>
      </c>
      <c r="H263" s="67">
        <f>IFERROR(VLOOKUP(B263,ADP!A1:G665,7,FALSE)/1000000,VLOOKUP(B263,ADP!A1:G665,7,FALSE))</f>
        <v>2.5</v>
      </c>
      <c r="I263" s="51">
        <f>IF(Settings!$E$15="POINTS",((R263*Q263)*Settings!$B$12)+(S263*Settings!$B$2)+(T263*Settings!$B$3)+(U263*Settings!$B$4)+(V263*Settings!$B$5)+(X263*Settings!$B$9)+(AA263*Settings!$B$6)+(W263*Settings!$B$8)+(AB263*Settings!$B$7)+(AC263*Settings!$B$14)+(AD263*Settings!$B$15)+(AE263*Settings!$B$16)+(AF263*Settings!$B$17)+(AG263*Settings!$B$18)+(U263*Settings!$B$13)+(Y263*Settings!$B$10)+(Z263*Settings!$B$11),VLOOKUP(B263,'Standard Deviations'!A1:C666,3,FALSE))</f>
        <v>198.5207487159031</v>
      </c>
      <c r="J263" s="52">
        <f>IF(D263="G",I263/AJ263,I263/Q263)</f>
        <v>2.4591464955052875</v>
      </c>
      <c r="K263" s="51">
        <f>VLOOKUP(B263,D!A1:F213,6,FALSE)</f>
        <v>-137.71337632969181</v>
      </c>
      <c r="L263" s="53">
        <f>IFERROR(K263/H263,"N/A")</f>
        <v>-55.085350531876728</v>
      </c>
      <c r="M263" s="83" t="str">
        <f>IF(Settings!$E$9="YAHOO",VLOOKUP(B263,ADP!A1:E665,2,FALSE),IF(Settings!$E$9="ESPN",VLOOKUP(B263,ADP!A1:E665,3,FALSE),IF(Settings!$E$9="FANTRAX",VLOOKUP(B263,ADP!A1:E665,4,FALSE),VLOOKUP(B263,ADP!A1:E665,5,FALSE))))</f>
        <v>—</v>
      </c>
      <c r="N263" s="83" t="str">
        <f>IFERROR(M263-A263,"N/A")</f>
        <v>N/A</v>
      </c>
      <c r="O263" s="54"/>
      <c r="P263" s="55" t="str">
        <f>IF(Settings!$E$27="ON",VLOOKUP(B263,ADP!A1:H665,8,FALSE)," ")</f>
        <v xml:space="preserve"> </v>
      </c>
      <c r="Q263" s="56">
        <f>IF(Settings!$E$12="YES",VLOOKUP(B263,'Player Data'!A1:E667,5,FALSE),82)</f>
        <v>80.727500000000006</v>
      </c>
      <c r="R263" s="54">
        <f>VLOOKUP(B263,'Player Data'!$A1:$AE667,6,FALSE)</f>
        <v>20.0120240859065</v>
      </c>
      <c r="S263" s="56">
        <f>VLOOKUP(B263,'Player Data'!$A1:$AE667,7,FALSE)*$Q263*IFERROR((VLOOKUP(P263,Settings!$E$28:$F$33,2,FALSE)+1),1)</f>
        <v>4.9385176516704874</v>
      </c>
      <c r="T263" s="56">
        <f>VLOOKUP(B263,'Player Data'!$A1:$AE667,8,FALSE)*$Q263*IFERROR((VLOOKUP(P263,Settings!$E$28:$F$33,2,FALSE)+1),1)</f>
        <v>16.994587038787298</v>
      </c>
      <c r="U263" s="56">
        <f>SUM(S263:T263)</f>
        <v>21.933104690457785</v>
      </c>
      <c r="V263" s="56">
        <f>VLOOKUP(B263,'Player Data'!$A1:$AE667,10,FALSE)*$Q263*IFERROR(((VLOOKUP(P263,Settings!$E$28:$F$33,2,FALSE)/2)+1),1)</f>
        <v>111.20589914428095</v>
      </c>
      <c r="W263" s="56">
        <f>VLOOKUP(B263,'Player Data'!$A1:$AE667,11,FALSE)*$Q263*IFERROR((VLOOKUP(P263,Settings!$E$28:$F$33,2,FALSE)+1),1)</f>
        <v>2.5104065728479504E-2</v>
      </c>
      <c r="X263" s="56">
        <f>VLOOKUP(B263,'Player Data'!$A1:$AE667,12,FALSE)*$Q263*IFERROR((VLOOKUP(P263,Settings!$E$28:$F$33,2,FALSE)+1),1)</f>
        <v>0.16006050817919615</v>
      </c>
      <c r="Y263" s="56">
        <f>VLOOKUP(B263,'Player Data'!$A1:$AE667,13,FALSE)*$Q263</f>
        <v>2.8387624686887398E-2</v>
      </c>
      <c r="Z263" s="56">
        <f>VLOOKUP(B263,'Player Data'!$A1:$AE667,14,FALSE)*$Q263</f>
        <v>0.12113072395001181</v>
      </c>
      <c r="AA263" s="56">
        <f>VLOOKUP(B263,'Player Data'!$A1:$AE667,15,FALSE)*$Q263</f>
        <v>153.67458768052012</v>
      </c>
      <c r="AB263" s="56">
        <f>VLOOKUP(B263,'Player Data'!$A1:$AE667,16,FALSE)*$Q263</f>
        <v>156.74155096195506</v>
      </c>
      <c r="AC263" s="56">
        <f>VLOOKUP(B263,'Player Data'!$A1:$AE667,17,FALSE)*$Q263*IFERROR((VLOOKUP(P263,Settings!$E$28:$F$33,2,FALSE)+1),1)</f>
        <v>2.7120101188519725</v>
      </c>
      <c r="AD263" s="56">
        <f>VLOOKUP(B263,'Player Data'!$A1:$AE667,18,FALSE)*$Q263</f>
        <v>34.99012086404931</v>
      </c>
      <c r="AE263" s="56">
        <f>VLOOKUP(B263,'Player Data'!$A1:$AE667,19,FALSE)*$Q263*IFERROR((VLOOKUP(P263,Settings!$E$28:$F$33,2,FALSE)+1),1)</f>
        <v>0.77613219068865102</v>
      </c>
      <c r="AF263" s="56">
        <f>VLOOKUP(B263,'Player Data'!$A1:$AE667,20,FALSE)*$Q263</f>
        <v>0</v>
      </c>
      <c r="AG263" s="56">
        <f>VLOOKUP(B263,'Player Data'!$A1:$AE667,21,FALSE)*$Q263</f>
        <v>0</v>
      </c>
      <c r="AH263" s="58">
        <f>VLOOKUP(B263,'Player Data'!$A1:$AE667,22,FALSE)</f>
        <v>0</v>
      </c>
      <c r="AI263" s="54"/>
      <c r="AJ263" s="56"/>
      <c r="AK263" s="56"/>
      <c r="AL263" s="56"/>
      <c r="AM263" s="56"/>
      <c r="AN263" s="56"/>
      <c r="AO263" s="56"/>
      <c r="AP263" s="56"/>
      <c r="AQ263" s="59"/>
      <c r="AR263" s="60"/>
      <c r="AS263" s="54"/>
    </row>
    <row r="264" spans="1:45" ht="21.25" customHeight="1" x14ac:dyDescent="0.15">
      <c r="A264" s="45">
        <f>RANK(K264,K$1:K$665)</f>
        <v>263</v>
      </c>
      <c r="B264" s="9" t="s">
        <v>389</v>
      </c>
      <c r="C264" s="46" t="s">
        <v>127</v>
      </c>
      <c r="D264" s="47" t="str">
        <f>VLOOKUP(B264,'Player Data'!A1:D667,4,FALSE)</f>
        <v>D</v>
      </c>
      <c r="E264" s="66">
        <f>VLOOKUP(B264,D!A1:C213,3,FALSE)</f>
        <v>79</v>
      </c>
      <c r="F264" s="55" t="str">
        <f>VLOOKUP(B264,'Player Data'!A1:B667,2,FALSE)</f>
        <v>WPG</v>
      </c>
      <c r="G264" s="63">
        <f>VLOOKUP(B264,'Player Data'!A1:D667,3,FALSE)</f>
        <v>31</v>
      </c>
      <c r="H264" s="50">
        <f>IFERROR(VLOOKUP(B264,ADP!A1:G665,7,FALSE)/1000000,VLOOKUP(B264,ADP!A1:G665,7,FALSE))</f>
        <v>4.9000000000000004</v>
      </c>
      <c r="I264" s="51">
        <f>IF(Settings!$E$15="POINTS",((R264*Q264)*Settings!$B$12)+(S264*Settings!$B$2)+(T264*Settings!$B$3)+(U264*Settings!$B$4)+(V264*Settings!$B$5)+(X264*Settings!$B$9)+(AA264*Settings!$B$6)+(W264*Settings!$B$8)+(AB264*Settings!$B$7)+(AC264*Settings!$B$14)+(AD264*Settings!$B$15)+(AE264*Settings!$B$16)+(AF264*Settings!$B$17)+(AG264*Settings!$B$18)+(U264*Settings!$B$13)+(Y264*Settings!$B$10)+(Z264*Settings!$B$11),VLOOKUP(B264,'Standard Deviations'!A1:C666,3,FALSE))</f>
        <v>198.44227517582581</v>
      </c>
      <c r="J264" s="52">
        <f>IF(D264="G",I264/AJ264,I264/Q264)</f>
        <v>2.466117068081223</v>
      </c>
      <c r="K264" s="51">
        <f>VLOOKUP(B264,D!A1:F213,6,FALSE)</f>
        <v>-137.79184986976909</v>
      </c>
      <c r="L264" s="53">
        <f>IFERROR(K264/H264,"N/A")</f>
        <v>-28.120785687707976</v>
      </c>
      <c r="M264" s="54">
        <f>IF(Settings!$E$9="YAHOO",VLOOKUP(B264,ADP!A1:E665,2,FALSE),IF(Settings!$E$9="ESPN",VLOOKUP(B264,ADP!A1:E665,3,FALSE),IF(Settings!$E$9="FANTRAX",VLOOKUP(B264,ADP!A1:E665,4,FALSE),VLOOKUP(B264,ADP!A1:E665,5,FALSE))))</f>
        <v>189</v>
      </c>
      <c r="N264" s="54">
        <f>IFERROR(M264-A264,"N/A")</f>
        <v>-74</v>
      </c>
      <c r="O264" s="54"/>
      <c r="P264" s="55" t="str">
        <f>IF(Settings!$E$27="ON",VLOOKUP(B264,ADP!A1:H665,8,FALSE)," ")</f>
        <v xml:space="preserve"> </v>
      </c>
      <c r="Q264" s="56">
        <f>IF(Settings!$E$12="YES",VLOOKUP(B264,'Player Data'!A1:E667,5,FALSE),82)</f>
        <v>80.467500000000001</v>
      </c>
      <c r="R264" s="54">
        <f>VLOOKUP(B264,'Player Data'!$A1:$AE667,6,FALSE)</f>
        <v>21.962455028688101</v>
      </c>
      <c r="S264" s="56">
        <f>VLOOKUP(B264,'Player Data'!$A1:$AE667,7,FALSE)*$Q264*IFERROR((VLOOKUP(P264,Settings!$E$28:$F$33,2,FALSE)+1),1)</f>
        <v>3.665184669246575</v>
      </c>
      <c r="T264" s="56">
        <f>VLOOKUP(B264,'Player Data'!$A1:$AE667,8,FALSE)*$Q264*IFERROR((VLOOKUP(P264,Settings!$E$28:$F$33,2,FALSE)+1),1)</f>
        <v>23.894116634768771</v>
      </c>
      <c r="U264" s="56">
        <f>SUM(S264:T264)</f>
        <v>27.559301304015346</v>
      </c>
      <c r="V264" s="56">
        <f>VLOOKUP(B264,'Player Data'!$A1:$AE667,10,FALSE)*$Q264*IFERROR(((VLOOKUP(P264,Settings!$E$28:$F$33,2,FALSE)/2)+1),1)</f>
        <v>92.540459132232968</v>
      </c>
      <c r="W264" s="56">
        <f>VLOOKUP(B264,'Player Data'!$A1:$AE667,11,FALSE)*$Q264*IFERROR((VLOOKUP(P264,Settings!$E$28:$F$33,2,FALSE)+1),1)</f>
        <v>3.3609927156171462E-2</v>
      </c>
      <c r="X264" s="56">
        <f>VLOOKUP(B264,'Player Data'!$A1:$AE667,12,FALSE)*$Q264*IFERROR((VLOOKUP(P264,Settings!$E$28:$F$33,2,FALSE)+1),1)</f>
        <v>0.3377981177307211</v>
      </c>
      <c r="Y264" s="56">
        <f>VLOOKUP(B264,'Player Data'!$A1:$AE667,13,FALSE)*$Q264</f>
        <v>0.42235645021932683</v>
      </c>
      <c r="Z264" s="56">
        <f>VLOOKUP(B264,'Player Data'!$A1:$AE667,14,FALSE)*$Q264</f>
        <v>1.2464694059341088</v>
      </c>
      <c r="AA264" s="56">
        <f>VLOOKUP(B264,'Player Data'!$A1:$AE667,15,FALSE)*$Q264</f>
        <v>135.81974834799692</v>
      </c>
      <c r="AB264" s="56">
        <f>VLOOKUP(B264,'Player Data'!$A1:$AE667,16,FALSE)*$Q264</f>
        <v>146.23275928255146</v>
      </c>
      <c r="AC264" s="56">
        <f>VLOOKUP(B264,'Player Data'!$A1:$AE667,17,FALSE)*$Q264*IFERROR((VLOOKUP(P264,Settings!$E$28:$F$33,2,FALSE)+1),1)</f>
        <v>2.1271703185228334</v>
      </c>
      <c r="AD264" s="56">
        <f>VLOOKUP(B264,'Player Data'!$A1:$AE667,18,FALSE)*$Q264</f>
        <v>42.851868274341754</v>
      </c>
      <c r="AE264" s="56">
        <f>VLOOKUP(B264,'Player Data'!$A1:$AE667,19,FALSE)*$Q264*IFERROR((VLOOKUP(P264,Settings!$E$28:$F$33,2,FALSE)+1),1)</f>
        <v>0.60925103150427706</v>
      </c>
      <c r="AF264" s="56">
        <f>VLOOKUP(B264,'Player Data'!$A1:$AE667,20,FALSE)*$Q264</f>
        <v>0</v>
      </c>
      <c r="AG264" s="56">
        <f>VLOOKUP(B264,'Player Data'!$A1:$AE667,21,FALSE)*$Q264</f>
        <v>0</v>
      </c>
      <c r="AH264" s="58">
        <f>VLOOKUP(B264,'Player Data'!$A1:$AE667,22,FALSE)</f>
        <v>0</v>
      </c>
      <c r="AI264" s="54"/>
      <c r="AJ264" s="56"/>
      <c r="AK264" s="56"/>
      <c r="AL264" s="56"/>
      <c r="AM264" s="56"/>
      <c r="AN264" s="56"/>
      <c r="AO264" s="56"/>
      <c r="AP264" s="56"/>
      <c r="AQ264" s="59"/>
      <c r="AR264" s="60"/>
      <c r="AS264" s="54"/>
    </row>
    <row r="265" spans="1:45" ht="21.25" customHeight="1" x14ac:dyDescent="0.15">
      <c r="A265" s="45">
        <f>RANK(K265,K$1:K$665)</f>
        <v>264</v>
      </c>
      <c r="B265" s="9" t="s">
        <v>390</v>
      </c>
      <c r="C265" s="46" t="s">
        <v>127</v>
      </c>
      <c r="D265" s="47" t="str">
        <f>VLOOKUP(B265,'Player Data'!A1:D667,4,FALSE)</f>
        <v>LW</v>
      </c>
      <c r="E265" s="70">
        <f>VLOOKUP(B265,LW!A1:C152,3,FALSE)</f>
        <v>62</v>
      </c>
      <c r="F265" s="65" t="str">
        <f>VLOOKUP(B265,'Player Data'!A1:B667,2,FALSE)</f>
        <v>NSH</v>
      </c>
      <c r="G265" s="63">
        <f>VLOOKUP(B265,'Player Data'!A1:D667,3,FALSE)</f>
        <v>35</v>
      </c>
      <c r="H265" s="67">
        <f>IFERROR(VLOOKUP(B265,ADP!A1:G665,7,FALSE)/1000000,VLOOKUP(B265,ADP!A1:G665,7,FALSE))</f>
        <v>3.1850000000000001</v>
      </c>
      <c r="I265" s="51">
        <f>IF(Settings!$E$15="POINTS",((R265*Q265)*Settings!$B$12)+(S265*Settings!$B$2)+(T265*Settings!$B$3)+(U265*Settings!$B$4)+(V265*Settings!$B$5)+(X265*Settings!$B$9)+(AA265*Settings!$B$6)+(W265*Settings!$B$8)+(AB265*Settings!$B$7)+(AC265*Settings!$B$14)+(AD265*Settings!$B$15)+(AE265*Settings!$B$16)+(AF265*Settings!$B$17)+(AG265*Settings!$B$18)+(Y265*Settings!$B$10)+(Z265*Settings!$B$11),VLOOKUP(B265,'Standard Deviations'!A1:C666,3,FALSE))</f>
        <v>243.22248900790709</v>
      </c>
      <c r="J265" s="52">
        <f>IF(D265="G",I265/AJ265,I265/Q265)</f>
        <v>3.134714383398725</v>
      </c>
      <c r="K265" s="51">
        <f>IF(Settings!$E$18="C/LW/RW",VLOOKUP(B265,LW!A1:F152,6,FALSE),VLOOKUP(B265,F!A1:F392,6,FALSE))</f>
        <v>-137.83902329459266</v>
      </c>
      <c r="L265" s="53">
        <f>IFERROR(K265/H265,"N/A")</f>
        <v>-43.277558334252014</v>
      </c>
      <c r="M265" s="54">
        <f>IF(Settings!$E$9="YAHOO",VLOOKUP(B265,ADP!A1:E665,2,FALSE),IF(Settings!$E$9="ESPN",VLOOKUP(B265,ADP!A1:E665,3,FALSE),IF(Settings!$E$9="FANTRAX",VLOOKUP(B265,ADP!A1:E665,4,FALSE),VLOOKUP(B265,ADP!A1:E665,5,FALSE))))</f>
        <v>169</v>
      </c>
      <c r="N265" s="54">
        <f>IFERROR(M265-A265,"N/A")</f>
        <v>-95</v>
      </c>
      <c r="O265" s="54"/>
      <c r="P265" s="55" t="str">
        <f>IF(Settings!$E$27="ON",VLOOKUP(B265,ADP!A1:H665,8,FALSE)," ")</f>
        <v xml:space="preserve"> </v>
      </c>
      <c r="Q265" s="56">
        <f>IF(Settings!$E$12="YES",VLOOKUP(B265,'Player Data'!A1:E667,5,FALSE),82)</f>
        <v>77.59</v>
      </c>
      <c r="R265" s="81">
        <f>VLOOKUP(B265,'Player Data'!$A1:$AE667,6,FALSE)</f>
        <v>16.549288573802599</v>
      </c>
      <c r="S265" s="56">
        <f>VLOOKUP(B265,'Player Data'!$A1:$AE667,7,FALSE)*$Q265*IFERROR((VLOOKUP(P265,Settings!$E$28:$F$33,2,FALSE)+1),1)</f>
        <v>16.10677268774722</v>
      </c>
      <c r="T265" s="56">
        <f>VLOOKUP(B265,'Player Data'!$A1:$AE667,8,FALSE)*$Q265*IFERROR((VLOOKUP(P265,Settings!$E$28:$F$33,2,FALSE)+1),1)</f>
        <v>32.732527462912884</v>
      </c>
      <c r="U265" s="56">
        <f>SUM(S265:T265)</f>
        <v>48.839300150660108</v>
      </c>
      <c r="V265" s="56">
        <f>VLOOKUP(B265,'Player Data'!$A1:$AE667,10,FALSE)*$Q265*IFERROR(((VLOOKUP(P265,Settings!$E$28:$F$33,2,FALSE)/2)+1),1)</f>
        <v>133.46908289170557</v>
      </c>
      <c r="W265" s="56">
        <f>VLOOKUP(B265,'Player Data'!$A1:$AE667,11,FALSE)*$Q265*IFERROR((VLOOKUP(P265,Settings!$E$28:$F$33,2,FALSE)+1),1)</f>
        <v>2.3553929393338859</v>
      </c>
      <c r="X265" s="56">
        <f>VLOOKUP(B265,'Player Data'!$A1:$AE667,12,FALSE)*$Q265*IFERROR((VLOOKUP(P265,Settings!$E$28:$F$33,2,FALSE)+1),1)</f>
        <v>9.9409223831591902</v>
      </c>
      <c r="Y265" s="56">
        <f>VLOOKUP(B265,'Player Data'!$A1:$AE667,13,FALSE)*$Q265</f>
        <v>0.75248443114205465</v>
      </c>
      <c r="Z265" s="56">
        <f>VLOOKUP(B265,'Player Data'!$A1:$AE667,14,FALSE)*$Q265</f>
        <v>1.0730196620217365</v>
      </c>
      <c r="AA265" s="56">
        <f>VLOOKUP(B265,'Player Data'!$A1:$AE667,15,FALSE)*$Q265</f>
        <v>37.912210129786097</v>
      </c>
      <c r="AB265" s="56">
        <f>VLOOKUP(B265,'Player Data'!$A1:$AE667,16,FALSE)*$Q265</f>
        <v>43.50482336467195</v>
      </c>
      <c r="AC265" s="56">
        <f>VLOOKUP(B265,'Player Data'!$A1:$AE667,17,FALSE)*$Q265*IFERROR((VLOOKUP(P265,Settings!$E$28:$F$33,2,FALSE)+1),1)</f>
        <v>2.4570944157747094</v>
      </c>
      <c r="AD265" s="56">
        <f>VLOOKUP(B265,'Player Data'!$A1:$AE667,18,FALSE)*$Q265</f>
        <v>19.065139517934433</v>
      </c>
      <c r="AE265" s="56">
        <f>VLOOKUP(B265,'Player Data'!$A1:$AE667,19,FALSE)*$Q265*IFERROR((VLOOKUP(P265,Settings!$E$28:$F$33,2,FALSE)+1),1)</f>
        <v>2.2806033663330192</v>
      </c>
      <c r="AF265" s="56">
        <f>VLOOKUP(B265,'Player Data'!$A1:$AE667,20,FALSE)*$Q265</f>
        <v>14.541713861596175</v>
      </c>
      <c r="AG265" s="56">
        <f>VLOOKUP(B265,'Player Data'!$A1:$AE667,21,FALSE)*$Q265</f>
        <v>20.01787092596253</v>
      </c>
      <c r="AH265" s="58">
        <f>VLOOKUP(B265,'Player Data'!$A1:$AE667,22,FALSE)</f>
        <v>0.42077223875765901</v>
      </c>
      <c r="AI265" s="54"/>
      <c r="AJ265" s="64"/>
      <c r="AK265" s="56"/>
      <c r="AL265" s="56"/>
      <c r="AM265" s="56"/>
      <c r="AN265" s="56"/>
      <c r="AO265" s="56"/>
      <c r="AP265" s="56"/>
      <c r="AQ265" s="59"/>
      <c r="AR265" s="60"/>
      <c r="AS265" s="54"/>
    </row>
    <row r="266" spans="1:45" ht="21.25" customHeight="1" x14ac:dyDescent="0.15">
      <c r="A266" s="45">
        <f>RANK(K266,K$1:K$665)</f>
        <v>265</v>
      </c>
      <c r="B266" s="9" t="s">
        <v>391</v>
      </c>
      <c r="C266" s="46" t="s">
        <v>127</v>
      </c>
      <c r="D266" s="47" t="str">
        <f>VLOOKUP(B266,'Player Data'!A1:D667,4,FALSE)</f>
        <v>D</v>
      </c>
      <c r="E266" s="66">
        <f>VLOOKUP(B266,D!A1:C213,3,FALSE)</f>
        <v>80</v>
      </c>
      <c r="F266" s="62" t="str">
        <f>VLOOKUP(B266,'Player Data'!A1:B667,2,FALSE)</f>
        <v>T.B</v>
      </c>
      <c r="G266" s="63">
        <f>VLOOKUP(B266,'Player Data'!A1:D667,3,FALSE)</f>
        <v>35</v>
      </c>
      <c r="H266" s="50">
        <f>IFERROR(VLOOKUP(B266,ADP!A1:G665,7,FALSE)/1000000,VLOOKUP(B266,ADP!A1:G665,7,FALSE))</f>
        <v>6.75</v>
      </c>
      <c r="I266" s="51">
        <f>IF(Settings!$E$15="POINTS",((R266*Q266)*Settings!$B$12)+(S266*Settings!$B$2)+(T266*Settings!$B$3)+(U266*Settings!$B$4)+(V266*Settings!$B$5)+(X266*Settings!$B$9)+(AA266*Settings!$B$6)+(W266*Settings!$B$8)+(AB266*Settings!$B$7)+(AC266*Settings!$B$14)+(AD266*Settings!$B$15)+(AE266*Settings!$B$16)+(AF266*Settings!$B$17)+(AG266*Settings!$B$18)+(U266*Settings!$B$13)+(Y266*Settings!$B$10)+(Z266*Settings!$B$11),VLOOKUP(B266,'Standard Deviations'!A1:C666,3,FALSE))</f>
        <v>198.0093520320506</v>
      </c>
      <c r="J266" s="52">
        <f>IF(D266="G",I266/AJ266,I266/Q266)</f>
        <v>2.5386628037058956</v>
      </c>
      <c r="K266" s="51">
        <f>VLOOKUP(B266,D!A1:F213,6,FALSE)</f>
        <v>-138.22477301354431</v>
      </c>
      <c r="L266" s="53">
        <f>IFERROR(K266/H266,"N/A")</f>
        <v>-20.477744150154713</v>
      </c>
      <c r="M266" s="83" t="str">
        <f>IF(Settings!$E$9="YAHOO",VLOOKUP(B266,ADP!A1:E665,2,FALSE),IF(Settings!$E$9="ESPN",VLOOKUP(B266,ADP!A1:E665,3,FALSE),IF(Settings!$E$9="FANTRAX",VLOOKUP(B266,ADP!A1:E665,4,FALSE),VLOOKUP(B266,ADP!A1:E665,5,FALSE))))</f>
        <v>—</v>
      </c>
      <c r="N266" s="83" t="str">
        <f>IFERROR(M266-A266,"N/A")</f>
        <v>N/A</v>
      </c>
      <c r="O266" s="54"/>
      <c r="P266" s="55" t="str">
        <f>IF(Settings!$E$27="ON",VLOOKUP(B266,ADP!A1:H665,8,FALSE)," ")</f>
        <v xml:space="preserve"> </v>
      </c>
      <c r="Q266" s="56">
        <f>IF(Settings!$E$12="YES",VLOOKUP(B266,'Player Data'!A1:E667,5,FALSE),82)</f>
        <v>77.997500000000002</v>
      </c>
      <c r="R266" s="54">
        <f>VLOOKUP(B266,'Player Data'!$A1:$AE667,6,FALSE)</f>
        <v>21.314017239637199</v>
      </c>
      <c r="S266" s="56">
        <f>VLOOKUP(B266,'Player Data'!$A1:$AE667,7,FALSE)*$Q266*IFERROR((VLOOKUP(P266,Settings!$E$28:$F$33,2,FALSE)+1),1)</f>
        <v>2.7399075600363201</v>
      </c>
      <c r="T266" s="56">
        <f>VLOOKUP(B266,'Player Data'!$A1:$AE667,8,FALSE)*$Q266*IFERROR((VLOOKUP(P266,Settings!$E$28:$F$33,2,FALSE)+1),1)</f>
        <v>22.949557310537276</v>
      </c>
      <c r="U266" s="56">
        <f>SUM(S266:T266)</f>
        <v>25.689464870573595</v>
      </c>
      <c r="V266" s="56">
        <f>VLOOKUP(B266,'Player Data'!$A1:$AE667,10,FALSE)*$Q266*IFERROR(((VLOOKUP(P266,Settings!$E$28:$F$33,2,FALSE)/2)+1),1)</f>
        <v>87.568113642644931</v>
      </c>
      <c r="W266" s="56">
        <f>VLOOKUP(B266,'Player Data'!$A1:$AE667,11,FALSE)*$Q266*IFERROR((VLOOKUP(P266,Settings!$E$28:$F$33,2,FALSE)+1),1)</f>
        <v>0.10028549049771368</v>
      </c>
      <c r="X266" s="56">
        <f>VLOOKUP(B266,'Player Data'!$A1:$AE667,12,FALSE)*$Q266*IFERROR((VLOOKUP(P266,Settings!$E$28:$F$33,2,FALSE)+1),1)</f>
        <v>2.3863469022004833</v>
      </c>
      <c r="Y266" s="56">
        <f>VLOOKUP(B266,'Player Data'!$A1:$AE667,13,FALSE)*$Q266</f>
        <v>2.0165937877046992E-2</v>
      </c>
      <c r="Z266" s="56">
        <f>VLOOKUP(B266,'Player Data'!$A1:$AE667,14,FALSE)*$Q266</f>
        <v>0.10267739081544748</v>
      </c>
      <c r="AA266" s="56">
        <f>VLOOKUP(B266,'Player Data'!$A1:$AE667,15,FALSE)*$Q266</f>
        <v>149.33575261198283</v>
      </c>
      <c r="AB266" s="56">
        <f>VLOOKUP(B266,'Player Data'!$A1:$AE667,16,FALSE)*$Q266</f>
        <v>61.782888837966588</v>
      </c>
      <c r="AC266" s="56">
        <f>VLOOKUP(B266,'Player Data'!$A1:$AE667,17,FALSE)*$Q266*IFERROR((VLOOKUP(P266,Settings!$E$28:$F$33,2,FALSE)+1),1)</f>
        <v>3.8093445182257786</v>
      </c>
      <c r="AD266" s="56">
        <f>VLOOKUP(B266,'Player Data'!$A1:$AE667,18,FALSE)*$Q266</f>
        <v>25.024545767554287</v>
      </c>
      <c r="AE266" s="56">
        <f>VLOOKUP(B266,'Player Data'!$A1:$AE667,19,FALSE)*$Q266*IFERROR((VLOOKUP(P266,Settings!$E$28:$F$33,2,FALSE)+1),1)</f>
        <v>0.43170427923491089</v>
      </c>
      <c r="AF266" s="56">
        <f>VLOOKUP(B266,'Player Data'!$A1:$AE667,20,FALSE)*$Q266</f>
        <v>0</v>
      </c>
      <c r="AG266" s="56">
        <f>VLOOKUP(B266,'Player Data'!$A1:$AE667,21,FALSE)*$Q266</f>
        <v>0.15177597377737689</v>
      </c>
      <c r="AH266" s="58">
        <f>VLOOKUP(B266,'Player Data'!$A1:$AE667,22,FALSE)</f>
        <v>0</v>
      </c>
      <c r="AI266" s="54"/>
      <c r="AJ266" s="56"/>
      <c r="AK266" s="56"/>
      <c r="AL266" s="56"/>
      <c r="AM266" s="56"/>
      <c r="AN266" s="56"/>
      <c r="AO266" s="56"/>
      <c r="AP266" s="56"/>
      <c r="AQ266" s="59"/>
      <c r="AR266" s="60"/>
      <c r="AS266" s="54"/>
    </row>
    <row r="267" spans="1:45" ht="21.25" customHeight="1" x14ac:dyDescent="0.15">
      <c r="A267" s="45">
        <f>RANK(K267,K$1:K$665)</f>
        <v>266</v>
      </c>
      <c r="B267" s="9" t="s">
        <v>392</v>
      </c>
      <c r="C267" s="46" t="s">
        <v>127</v>
      </c>
      <c r="D267" s="47" t="str">
        <f>VLOOKUP(B267,'Player Data'!A1:D667,4,FALSE)</f>
        <v>D</v>
      </c>
      <c r="E267" s="66">
        <f>VLOOKUP(B267,D!A1:C213,3,FALSE)</f>
        <v>81</v>
      </c>
      <c r="F267" s="65" t="str">
        <f>VLOOKUP(B267,'Player Data'!A1:B667,2,FALSE)</f>
        <v>TOR</v>
      </c>
      <c r="G267" s="10">
        <f>VLOOKUP(B267,'Player Data'!A1:D667,3,FALSE)</f>
        <v>30</v>
      </c>
      <c r="H267" s="67">
        <f>IFERROR(VLOOKUP(B267,ADP!A1:G665,7,FALSE)/1000000,VLOOKUP(B267,ADP!A1:G665,7,FALSE))</f>
        <v>2</v>
      </c>
      <c r="I267" s="51">
        <f>IF(Settings!$E$15="POINTS",((R267*Q267)*Settings!$B$12)+(S267*Settings!$B$2)+(T267*Settings!$B$3)+(U267*Settings!$B$4)+(V267*Settings!$B$5)+(X267*Settings!$B$9)+(AA267*Settings!$B$6)+(W267*Settings!$B$8)+(AB267*Settings!$B$7)+(AC267*Settings!$B$14)+(AD267*Settings!$B$15)+(AE267*Settings!$B$16)+(AF267*Settings!$B$17)+(AG267*Settings!$B$18)+(U267*Settings!$B$13)+(Y267*Settings!$B$10)+(Z267*Settings!$B$11),VLOOKUP(B267,'Standard Deviations'!A1:C666,3,FALSE))</f>
        <v>196.25628673504207</v>
      </c>
      <c r="J267" s="52">
        <f>IF(D267="G",I267/AJ267,I267/Q267)</f>
        <v>2.4871689856482853</v>
      </c>
      <c r="K267" s="51">
        <f>VLOOKUP(B267,D!A1:F213,6,FALSE)</f>
        <v>-139.97783831055284</v>
      </c>
      <c r="L267" s="53">
        <f>IFERROR(K267/H267,"N/A")</f>
        <v>-69.98891915527642</v>
      </c>
      <c r="M267" s="54">
        <f>IF(Settings!$E$9="YAHOO",VLOOKUP(B267,ADP!A1:E665,2,FALSE),IF(Settings!$E$9="ESPN",VLOOKUP(B267,ADP!A1:E665,3,FALSE),IF(Settings!$E$9="FANTRAX",VLOOKUP(B267,ADP!A1:E665,4,FALSE),VLOOKUP(B267,ADP!A1:E665,5,FALSE))))</f>
        <v>176</v>
      </c>
      <c r="N267" s="54">
        <f>IFERROR(M267-A267,"N/A")</f>
        <v>-90</v>
      </c>
      <c r="O267" s="54"/>
      <c r="P267" s="55" t="str">
        <f>IF(Settings!$E$27="ON",VLOOKUP(B267,ADP!A1:H665,8,FALSE)," ")</f>
        <v xml:space="preserve"> </v>
      </c>
      <c r="Q267" s="56">
        <f>IF(Settings!$E$12="YES",VLOOKUP(B267,'Player Data'!A1:E667,5,FALSE),82)</f>
        <v>78.907499999999999</v>
      </c>
      <c r="R267" s="54">
        <f>VLOOKUP(B267,'Player Data'!$A1:$AE667,6,FALSE)</f>
        <v>20.459257128445799</v>
      </c>
      <c r="S267" s="56">
        <f>VLOOKUP(B267,'Player Data'!$A1:$AE667,7,FALSE)*$Q267*IFERROR((VLOOKUP(P267,Settings!$E$28:$F$33,2,FALSE)+1),1)</f>
        <v>5.159197376365845</v>
      </c>
      <c r="T267" s="56">
        <f>VLOOKUP(B267,'Player Data'!$A1:$AE667,8,FALSE)*$Q267*IFERROR((VLOOKUP(P267,Settings!$E$28:$F$33,2,FALSE)+1),1)</f>
        <v>21.149999472214787</v>
      </c>
      <c r="U267" s="56">
        <f>SUM(S267:T267)</f>
        <v>26.309196848580633</v>
      </c>
      <c r="V267" s="56">
        <f>VLOOKUP(B267,'Player Data'!$A1:$AE667,10,FALSE)*$Q267*IFERROR(((VLOOKUP(P267,Settings!$E$28:$F$33,2,FALSE)/2)+1),1)</f>
        <v>85.975284190171337</v>
      </c>
      <c r="W267" s="56">
        <f>VLOOKUP(B267,'Player Data'!$A1:$AE667,11,FALSE)*$Q267*IFERROR((VLOOKUP(P267,Settings!$E$28:$F$33,2,FALSE)+1),1)</f>
        <v>0.2913802155490518</v>
      </c>
      <c r="X267" s="56">
        <f>VLOOKUP(B267,'Player Data'!$A1:$AE667,12,FALSE)*$Q267*IFERROR((VLOOKUP(P267,Settings!$E$28:$F$33,2,FALSE)+1),1)</f>
        <v>0.93298782182747664</v>
      </c>
      <c r="Y267" s="56">
        <f>VLOOKUP(B267,'Player Data'!$A1:$AE667,13,FALSE)*$Q267</f>
        <v>2.6003176447301699E-2</v>
      </c>
      <c r="Z267" s="56">
        <f>VLOOKUP(B267,'Player Data'!$A1:$AE667,14,FALSE)*$Q267</f>
        <v>0.5474716444317721</v>
      </c>
      <c r="AA267" s="56">
        <f>VLOOKUP(B267,'Player Data'!$A1:$AE667,15,FALSE)*$Q267</f>
        <v>145.72118925591053</v>
      </c>
      <c r="AB267" s="56">
        <f>VLOOKUP(B267,'Player Data'!$A1:$AE667,16,FALSE)*$Q267</f>
        <v>195.50976926798538</v>
      </c>
      <c r="AC267" s="56">
        <f>VLOOKUP(B267,'Player Data'!$A1:$AE667,17,FALSE)*$Q267*IFERROR((VLOOKUP(P267,Settings!$E$28:$F$33,2,FALSE)+1),1)</f>
        <v>6.5051574749196046</v>
      </c>
      <c r="AD267" s="56">
        <f>VLOOKUP(B267,'Player Data'!$A1:$AE667,18,FALSE)*$Q267</f>
        <v>48.36989802925676</v>
      </c>
      <c r="AE267" s="56">
        <f>VLOOKUP(B267,'Player Data'!$A1:$AE667,19,FALSE)*$Q267*IFERROR((VLOOKUP(P267,Settings!$E$28:$F$33,2,FALSE)+1),1)</f>
        <v>0.82537909850289903</v>
      </c>
      <c r="AF267" s="56">
        <f>VLOOKUP(B267,'Player Data'!$A1:$AE667,20,FALSE)*$Q267</f>
        <v>0</v>
      </c>
      <c r="AG267" s="56">
        <f>VLOOKUP(B267,'Player Data'!$A1:$AE667,21,FALSE)*$Q267</f>
        <v>0</v>
      </c>
      <c r="AH267" s="58">
        <f>VLOOKUP(B267,'Player Data'!$A1:$AE667,22,FALSE)</f>
        <v>0</v>
      </c>
      <c r="AI267" s="54"/>
      <c r="AJ267" s="56"/>
      <c r="AK267" s="56"/>
      <c r="AL267" s="56"/>
      <c r="AM267" s="56"/>
      <c r="AN267" s="56"/>
      <c r="AO267" s="56"/>
      <c r="AP267" s="56"/>
      <c r="AQ267" s="59"/>
      <c r="AR267" s="60"/>
      <c r="AS267" s="54"/>
    </row>
    <row r="268" spans="1:45" ht="21.25" customHeight="1" x14ac:dyDescent="0.15">
      <c r="A268" s="45">
        <f>RANK(K268,K$1:K$665)</f>
        <v>267</v>
      </c>
      <c r="B268" s="9" t="s">
        <v>393</v>
      </c>
      <c r="C268" s="46" t="s">
        <v>127</v>
      </c>
      <c r="D268" s="47" t="str">
        <f>VLOOKUP(B268,'Player Data'!A1:D667,4,FALSE)</f>
        <v>C/LW</v>
      </c>
      <c r="E268" s="68">
        <f>VLOOKUP(B268,LW!A1:C152,3,FALSE)</f>
        <v>63</v>
      </c>
      <c r="F268" s="65" t="str">
        <f>VLOOKUP(B268,'Player Data'!A1:B667,2,FALSE)</f>
        <v>CGY</v>
      </c>
      <c r="G268" s="63">
        <f>VLOOKUP(B268,'Player Data'!A1:D667,3,FALSE)</f>
        <v>35</v>
      </c>
      <c r="H268" s="50">
        <f>IFERROR(VLOOKUP(B268,ADP!A1:G665,7,FALSE)/1000000,VLOOKUP(B268,ADP!A1:G665,7,FALSE))</f>
        <v>4.5</v>
      </c>
      <c r="I268" s="51">
        <f>IF(Settings!$E$15="POINTS",((R268*Q268)*Settings!$B$12)+(S268*Settings!$B$2)+(T268*Settings!$B$3)+(U268*Settings!$B$4)+(V268*Settings!$B$5)+(X268*Settings!$B$9)+(AA268*Settings!$B$6)+(W268*Settings!$B$8)+(AB268*Settings!$B$7)+(AC268*Settings!$B$14)+(AD268*Settings!$B$15)+(AE268*Settings!$B$16)+(AF268*Settings!$B$17)+(AG268*Settings!$B$18)+(Y268*Settings!$B$10)+(Z268*Settings!$B$11),VLOOKUP(B268,'Standard Deviations'!A1:C666,3,FALSE))</f>
        <v>240.90974346856629</v>
      </c>
      <c r="J268" s="52">
        <f>IF(D268="G",I268/AJ268,I268/Q268)</f>
        <v>2.936849243795761</v>
      </c>
      <c r="K268" s="51">
        <f>IF(Settings!$E$18="C/LW/RW",VLOOKUP(B268,LW!A1:F152,6,FALSE),VLOOKUP(B268,F!A1:F392,6,FALSE))</f>
        <v>-140.15176883393346</v>
      </c>
      <c r="L268" s="53">
        <f>IFERROR(K268/H268,"N/A")</f>
        <v>-31.14483751865188</v>
      </c>
      <c r="M268" s="54">
        <f>IF(Settings!$E$9="YAHOO",VLOOKUP(B268,ADP!A1:E665,2,FALSE),IF(Settings!$E$9="ESPN",VLOOKUP(B268,ADP!A1:E665,3,FALSE),IF(Settings!$E$9="FANTRAX",VLOOKUP(B268,ADP!A1:E665,4,FALSE),VLOOKUP(B268,ADP!A1:E665,5,FALSE))))</f>
        <v>162.80000000000001</v>
      </c>
      <c r="N268" s="54">
        <f>IFERROR(M268-A268,"N/A")</f>
        <v>-104.19999999999999</v>
      </c>
      <c r="O268" s="54"/>
      <c r="P268" s="55" t="str">
        <f>IF(Settings!$E$27="ON",VLOOKUP(B268,ADP!A1:H665,8,FALSE)," ")</f>
        <v xml:space="preserve"> </v>
      </c>
      <c r="Q268" s="56">
        <f>IF(Settings!$E$12="YES",VLOOKUP(B268,'Player Data'!A1:E667,5,FALSE),82)</f>
        <v>82.03</v>
      </c>
      <c r="R268" s="54">
        <f>VLOOKUP(B268,'Player Data'!$A1:$AE667,6,FALSE)</f>
        <v>18.364558707445202</v>
      </c>
      <c r="S268" s="56">
        <f>VLOOKUP(B268,'Player Data'!$A1:$AE667,7,FALSE)*$Q268*IFERROR((VLOOKUP(P268,Settings!$E$28:$F$33,2,FALSE)+1),1)</f>
        <v>12.848274148811509</v>
      </c>
      <c r="T268" s="56">
        <f>VLOOKUP(B268,'Player Data'!$A1:$AE667,8,FALSE)*$Q268*IFERROR((VLOOKUP(P268,Settings!$E$28:$F$33,2,FALSE)+1),1)</f>
        <v>24.815627198021737</v>
      </c>
      <c r="U268" s="56">
        <f>SUM(S268:T268)</f>
        <v>37.663901346833242</v>
      </c>
      <c r="V268" s="56">
        <f>VLOOKUP(B268,'Player Data'!$A1:$AE667,10,FALSE)*$Q268*IFERROR(((VLOOKUP(P268,Settings!$E$28:$F$33,2,FALSE)/2)+1),1)</f>
        <v>207.92663513661574</v>
      </c>
      <c r="W268" s="56">
        <f>VLOOKUP(B268,'Player Data'!$A1:$AE667,11,FALSE)*$Q268*IFERROR((VLOOKUP(P268,Settings!$E$28:$F$33,2,FALSE)+1),1)</f>
        <v>1.7873096751772024</v>
      </c>
      <c r="X268" s="56">
        <f>VLOOKUP(B268,'Player Data'!$A1:$AE667,12,FALSE)*$Q268*IFERROR((VLOOKUP(P268,Settings!$E$28:$F$33,2,FALSE)+1),1)</f>
        <v>4.8002589902118089</v>
      </c>
      <c r="Y268" s="56">
        <f>VLOOKUP(B268,'Player Data'!$A1:$AE667,13,FALSE)*$Q268</f>
        <v>0.729033055646511</v>
      </c>
      <c r="Z268" s="56">
        <f>VLOOKUP(B268,'Player Data'!$A1:$AE667,14,FALSE)*$Q268</f>
        <v>2.0572346392710372</v>
      </c>
      <c r="AA268" s="56">
        <f>VLOOKUP(B268,'Player Data'!$A1:$AE667,15,FALSE)*$Q268</f>
        <v>34.194456460551677</v>
      </c>
      <c r="AB268" s="56">
        <f>VLOOKUP(B268,'Player Data'!$A1:$AE667,16,FALSE)*$Q268</f>
        <v>75.921929440377809</v>
      </c>
      <c r="AC268" s="56">
        <f>VLOOKUP(B268,'Player Data'!$A1:$AE667,17,FALSE)*$Q268*IFERROR((VLOOKUP(P268,Settings!$E$28:$F$33,2,FALSE)+1),1)</f>
        <v>-1.4570639763689484</v>
      </c>
      <c r="AD268" s="56">
        <f>VLOOKUP(B268,'Player Data'!$A1:$AE667,18,FALSE)*$Q268</f>
        <v>31.300129983237213</v>
      </c>
      <c r="AE268" s="56">
        <f>VLOOKUP(B268,'Player Data'!$A1:$AE667,19,FALSE)*$Q268*IFERROR((VLOOKUP(P268,Settings!$E$28:$F$33,2,FALSE)+1),1)</f>
        <v>1.8666458135680493</v>
      </c>
      <c r="AF268" s="56">
        <f>VLOOKUP(B268,'Player Data'!$A1:$AE667,20,FALSE)*$Q268</f>
        <v>730.70347376703251</v>
      </c>
      <c r="AG268" s="56">
        <f>VLOOKUP(B268,'Player Data'!$A1:$AE667,21,FALSE)*$Q268</f>
        <v>715.08586728573141</v>
      </c>
      <c r="AH268" s="58">
        <f>VLOOKUP(B268,'Player Data'!$A1:$AE667,22,FALSE)</f>
        <v>0.505401065714708</v>
      </c>
      <c r="AI268" s="54"/>
      <c r="AJ268" s="64"/>
      <c r="AK268" s="56"/>
      <c r="AL268" s="56"/>
      <c r="AM268" s="56"/>
      <c r="AN268" s="56"/>
      <c r="AO268" s="56"/>
      <c r="AP268" s="56"/>
      <c r="AQ268" s="59"/>
      <c r="AR268" s="60"/>
      <c r="AS268" s="54"/>
    </row>
    <row r="269" spans="1:45" ht="21.25" customHeight="1" x14ac:dyDescent="0.15">
      <c r="A269" s="45">
        <f>RANK(K269,K$1:K$665)</f>
        <v>268</v>
      </c>
      <c r="B269" s="9" t="s">
        <v>394</v>
      </c>
      <c r="C269" s="46" t="s">
        <v>127</v>
      </c>
      <c r="D269" s="47" t="str">
        <f>VLOOKUP(B269,'Player Data'!A1:D667,4,FALSE)</f>
        <v>C</v>
      </c>
      <c r="E269" s="48">
        <f>VLOOKUP(B269,'C'!A1:C206,3,FALSE)</f>
        <v>79</v>
      </c>
      <c r="F269" s="77" t="str">
        <f>VLOOKUP(B269,'Player Data'!A1:B667,2,FALSE)</f>
        <v>CBJ</v>
      </c>
      <c r="G269" s="10">
        <f>VLOOKUP(B269,'Player Data'!A1:D667,3,FALSE)</f>
        <v>29</v>
      </c>
      <c r="H269" s="50">
        <f>IFERROR(VLOOKUP(B269,ADP!A1:G665,7,FALSE)/1000000,VLOOKUP(B269,ADP!A1:G665,7,FALSE))</f>
        <v>5.5</v>
      </c>
      <c r="I269" s="51">
        <f>IF(Settings!$E$15="POINTS",((R269*Q269)*Settings!$B$12)+(S269*Settings!$B$2)+(T269*Settings!$B$3)+(U269*Settings!$B$4)+(V269*Settings!$B$5)+(X269*Settings!$B$9)+(AA269*Settings!$B$6)+(W269*Settings!$B$8)+(AB269*Settings!$B$7)+(AC269*Settings!$B$14)+(AD269*Settings!$B$15)+(AE269*Settings!$B$16)+(AF269*Settings!$B$17)+(AG269*Settings!$B$18)+(Y269*Settings!$B$10)+(Z269*Settings!$B$11),VLOOKUP(B269,'Standard Deviations'!A1:C666,3,FALSE))</f>
        <v>249.61118664622046</v>
      </c>
      <c r="J269" s="52">
        <f>IF(D269="G",I269/AJ269,I269/Q269)</f>
        <v>3.4348587676650677</v>
      </c>
      <c r="K269" s="51">
        <f>IF(Settings!$E$18="C/LW/RW",VLOOKUP(B269,'C'!A1:F206,6,FALSE),VLOOKUP(B269,F!A1:F392,6,FALSE))</f>
        <v>-140.32597113186063</v>
      </c>
      <c r="L269" s="53">
        <f>IFERROR(K269/H269,"N/A")</f>
        <v>-25.513812933065569</v>
      </c>
      <c r="M269" s="83" t="str">
        <f>IF(Settings!$E$9="YAHOO",VLOOKUP(B269,ADP!A1:E665,2,FALSE),IF(Settings!$E$9="ESPN",VLOOKUP(B269,ADP!A1:E665,3,FALSE),IF(Settings!$E$9="FANTRAX",VLOOKUP(B269,ADP!A1:E665,4,FALSE),VLOOKUP(B269,ADP!A1:E665,5,FALSE))))</f>
        <v>—</v>
      </c>
      <c r="N269" s="83" t="str">
        <f>IFERROR(M269-A269,"N/A")</f>
        <v>N/A</v>
      </c>
      <c r="O269" s="54"/>
      <c r="P269" s="55" t="str">
        <f>IF(Settings!$E$27="ON",VLOOKUP(B269,ADP!A1:H665,8,FALSE)," ")</f>
        <v xml:space="preserve"> </v>
      </c>
      <c r="Q269" s="56">
        <f>IF(Settings!$E$12="YES",VLOOKUP(B269,'Player Data'!A1:E667,5,FALSE),82)</f>
        <v>72.67</v>
      </c>
      <c r="R269" s="54">
        <f>VLOOKUP(B269,'Player Data'!$A1:$AE667,6,FALSE)</f>
        <v>17.858560337869498</v>
      </c>
      <c r="S269" s="56">
        <f>VLOOKUP(B269,'Player Data'!$A1:$AE667,7,FALSE)*$Q269*IFERROR((VLOOKUP(P269,Settings!$E$28:$F$33,2,FALSE)+1),1)</f>
        <v>19.341518704153486</v>
      </c>
      <c r="T269" s="56">
        <f>VLOOKUP(B269,'Player Data'!$A1:$AE667,8,FALSE)*$Q269*IFERROR((VLOOKUP(P269,Settings!$E$28:$F$33,2,FALSE)+1),1)</f>
        <v>27.338225725546355</v>
      </c>
      <c r="U269" s="56">
        <f>SUM(S269:T269)</f>
        <v>46.679744429699838</v>
      </c>
      <c r="V269" s="56">
        <f>VLOOKUP(B269,'Player Data'!$A1:$AE667,10,FALSE)*$Q269*IFERROR(((VLOOKUP(P269,Settings!$E$28:$F$33,2,FALSE)/2)+1),1)</f>
        <v>148.94181019232113</v>
      </c>
      <c r="W269" s="56">
        <f>VLOOKUP(B269,'Player Data'!$A1:$AE667,11,FALSE)*$Q269*IFERROR((VLOOKUP(P269,Settings!$E$28:$F$33,2,FALSE)+1),1)</f>
        <v>5.8694796733325667</v>
      </c>
      <c r="X269" s="78">
        <f>VLOOKUP(B269,'Player Data'!$A1:$AE667,12,FALSE)*$Q269*IFERROR((VLOOKUP(P269,Settings!$E$28:$F$33,2,FALSE)+1),1)</f>
        <v>14.771868516801803</v>
      </c>
      <c r="Y269" s="56">
        <f>VLOOKUP(B269,'Player Data'!$A1:$AE667,13,FALSE)*$Q269</f>
        <v>1.216335435267244</v>
      </c>
      <c r="Z269" s="56">
        <f>VLOOKUP(B269,'Player Data'!$A1:$AE667,14,FALSE)*$Q269</f>
        <v>1.3233577357979849</v>
      </c>
      <c r="AA269" s="56">
        <f>VLOOKUP(B269,'Player Data'!$A1:$AE667,15,FALSE)*$Q269</f>
        <v>38.011644016721185</v>
      </c>
      <c r="AB269" s="56">
        <f>VLOOKUP(B269,'Player Data'!$A1:$AE667,16,FALSE)*$Q269</f>
        <v>35.419938900032328</v>
      </c>
      <c r="AC269" s="56">
        <f>VLOOKUP(B269,'Player Data'!$A1:$AE667,17,FALSE)*$Q269*IFERROR((VLOOKUP(P269,Settings!$E$28:$F$33,2,FALSE)+1),1)</f>
        <v>-0.27682444859729682</v>
      </c>
      <c r="AD269" s="56">
        <f>VLOOKUP(B269,'Player Data'!$A1:$AE667,18,FALSE)*$Q269</f>
        <v>20.736852860192172</v>
      </c>
      <c r="AE269" s="56">
        <f>VLOOKUP(B269,'Player Data'!$A1:$AE667,19,FALSE)*$Q269*IFERROR((VLOOKUP(P269,Settings!$E$28:$F$33,2,FALSE)+1),1)</f>
        <v>2.1388692571194041</v>
      </c>
      <c r="AF269" s="56">
        <f>VLOOKUP(B269,'Player Data'!$A1:$AE667,20,FALSE)*$Q269</f>
        <v>595.91895765804099</v>
      </c>
      <c r="AG269" s="56">
        <f>VLOOKUP(B269,'Player Data'!$A1:$AE667,21,FALSE)*$Q269</f>
        <v>496.97564506838205</v>
      </c>
      <c r="AH269" s="58">
        <f>VLOOKUP(B269,'Player Data'!$A1:$AE667,22,FALSE)</f>
        <v>0.54526663062605796</v>
      </c>
      <c r="AI269" s="54"/>
      <c r="AJ269" s="56"/>
      <c r="AK269" s="56"/>
      <c r="AL269" s="56"/>
      <c r="AM269" s="56"/>
      <c r="AN269" s="56"/>
      <c r="AO269" s="56"/>
      <c r="AP269" s="56"/>
      <c r="AQ269" s="59"/>
      <c r="AR269" s="60"/>
      <c r="AS269" s="54"/>
    </row>
    <row r="270" spans="1:45" ht="21.25" customHeight="1" x14ac:dyDescent="0.15">
      <c r="A270" s="45">
        <f>RANK(K270,K$1:K$665)</f>
        <v>269</v>
      </c>
      <c r="B270" s="9" t="s">
        <v>395</v>
      </c>
      <c r="C270" s="46" t="s">
        <v>127</v>
      </c>
      <c r="D270" s="47" t="str">
        <f>VLOOKUP(B270,'Player Data'!A1:D667,4,FALSE)</f>
        <v>C</v>
      </c>
      <c r="E270" s="48">
        <f>VLOOKUP(B270,'C'!A1:C206,3,FALSE)</f>
        <v>80</v>
      </c>
      <c r="F270" s="55" t="str">
        <f>VLOOKUP(B270,'Player Data'!A1:B667,2,FALSE)</f>
        <v>COL</v>
      </c>
      <c r="G270" s="10">
        <f>VLOOKUP(B270,'Player Data'!A1:D667,3,FALSE)</f>
        <v>25</v>
      </c>
      <c r="H270" s="50">
        <f>IFERROR(VLOOKUP(B270,ADP!A1:G665,7,FALSE)/1000000,VLOOKUP(B270,ADP!A1:G665,7,FALSE))</f>
        <v>5.75</v>
      </c>
      <c r="I270" s="51">
        <f>IF(Settings!$E$15="POINTS",((R270*Q270)*Settings!$B$12)+(S270*Settings!$B$2)+(T270*Settings!$B$3)+(U270*Settings!$B$4)+(V270*Settings!$B$5)+(X270*Settings!$B$9)+(AA270*Settings!$B$6)+(W270*Settings!$B$8)+(AB270*Settings!$B$7)+(AC270*Settings!$B$14)+(AD270*Settings!$B$15)+(AE270*Settings!$B$16)+(AF270*Settings!$B$17)+(AG270*Settings!$B$18)+(Y270*Settings!$B$10)+(Z270*Settings!$B$11),VLOOKUP(B270,'Standard Deviations'!A1:C666,3,FALSE))</f>
        <v>249.51592952233628</v>
      </c>
      <c r="J270" s="52">
        <f>IF(D270="G",I270/AJ270,I270/Q270)</f>
        <v>3.2205992839281872</v>
      </c>
      <c r="K270" s="51">
        <f>IF(Settings!$E$18="C/LW/RW",VLOOKUP(B270,'C'!A1:F206,6,FALSE),VLOOKUP(B270,F!A1:F392,6,FALSE))</f>
        <v>-140.42122825574481</v>
      </c>
      <c r="L270" s="53">
        <f>IFERROR(K270/H270,"N/A")</f>
        <v>-24.421083174912141</v>
      </c>
      <c r="M270" s="83" t="str">
        <f>IF(Settings!$E$9="YAHOO",VLOOKUP(B270,ADP!A1:E665,2,FALSE),IF(Settings!$E$9="ESPN",VLOOKUP(B270,ADP!A1:E665,3,FALSE),IF(Settings!$E$9="FANTRAX",VLOOKUP(B270,ADP!A1:E665,4,FALSE),VLOOKUP(B270,ADP!A1:E665,5,FALSE))))</f>
        <v>—</v>
      </c>
      <c r="N270" s="83" t="str">
        <f>IFERROR(M270-A270,"N/A")</f>
        <v>N/A</v>
      </c>
      <c r="O270" s="54"/>
      <c r="P270" s="55" t="str">
        <f>IF(Settings!$E$27="ON",VLOOKUP(B270,ADP!A1:H665,8,FALSE)," ")</f>
        <v xml:space="preserve"> </v>
      </c>
      <c r="Q270" s="56">
        <f>IF(Settings!$E$12="YES",VLOOKUP(B270,'Player Data'!A1:E667,5,FALSE),82)</f>
        <v>77.474999999999994</v>
      </c>
      <c r="R270" s="54">
        <f>VLOOKUP(B270,'Player Data'!$A1:$AE667,6,FALSE)</f>
        <v>16.846296567243598</v>
      </c>
      <c r="S270" s="56">
        <f>VLOOKUP(B270,'Player Data'!$A1:$AE667,7,FALSE)*$Q270*IFERROR((VLOOKUP(P270,Settings!$E$28:$F$33,2,FALSE)+1),1)</f>
        <v>16.744357138762293</v>
      </c>
      <c r="T270" s="56">
        <f>VLOOKUP(B270,'Player Data'!$A1:$AE667,8,FALSE)*$Q270*IFERROR((VLOOKUP(P270,Settings!$E$28:$F$33,2,FALSE)+1),1)</f>
        <v>38.094703211973652</v>
      </c>
      <c r="U270" s="56">
        <f>SUM(S270:T270)</f>
        <v>54.839060350735949</v>
      </c>
      <c r="V270" s="56">
        <f>VLOOKUP(B270,'Player Data'!$A1:$AE667,10,FALSE)*$Q270*IFERROR(((VLOOKUP(P270,Settings!$E$28:$F$33,2,FALSE)/2)+1),1)</f>
        <v>127.89200034177647</v>
      </c>
      <c r="W270" s="56">
        <f>VLOOKUP(B270,'Player Data'!$A1:$AE667,11,FALSE)*$Q270*IFERROR((VLOOKUP(P270,Settings!$E$28:$F$33,2,FALSE)+1),1)</f>
        <v>2.201574619763119</v>
      </c>
      <c r="X270" s="56">
        <f>VLOOKUP(B270,'Player Data'!$A1:$AE667,12,FALSE)*$Q270*IFERROR((VLOOKUP(P270,Settings!$E$28:$F$33,2,FALSE)+1),1)</f>
        <v>7.3702630957792206</v>
      </c>
      <c r="Y270" s="56">
        <f>VLOOKUP(B270,'Player Data'!$A1:$AE667,13,FALSE)*$Q270</f>
        <v>9.0562870268894174E-2</v>
      </c>
      <c r="Z270" s="56">
        <f>VLOOKUP(B270,'Player Data'!$A1:$AE667,14,FALSE)*$Q270</f>
        <v>0.10869113214186839</v>
      </c>
      <c r="AA270" s="56">
        <f>VLOOKUP(B270,'Player Data'!$A1:$AE667,15,FALSE)*$Q270</f>
        <v>27.147588142638273</v>
      </c>
      <c r="AB270" s="56">
        <f>VLOOKUP(B270,'Player Data'!$A1:$AE667,16,FALSE)*$Q270</f>
        <v>32.033770473855839</v>
      </c>
      <c r="AC270" s="56">
        <f>VLOOKUP(B270,'Player Data'!$A1:$AE667,17,FALSE)*$Q270*IFERROR((VLOOKUP(P270,Settings!$E$28:$F$33,2,FALSE)+1),1)</f>
        <v>0.71958802033146074</v>
      </c>
      <c r="AD270" s="56">
        <f>VLOOKUP(B270,'Player Data'!$A1:$AE667,18,FALSE)*$Q270</f>
        <v>23.729339987688778</v>
      </c>
      <c r="AE270" s="56">
        <f>VLOOKUP(B270,'Player Data'!$A1:$AE667,19,FALSE)*$Q270*IFERROR((VLOOKUP(P270,Settings!$E$28:$F$33,2,FALSE)+1),1)</f>
        <v>2.5017853615175647</v>
      </c>
      <c r="AF270" s="56">
        <f>VLOOKUP(B270,'Player Data'!$A1:$AE667,20,FALSE)*$Q270</f>
        <v>455.48536228938156</v>
      </c>
      <c r="AG270" s="56">
        <f>VLOOKUP(B270,'Player Data'!$A1:$AE667,21,FALSE)*$Q270</f>
        <v>527.75984472919424</v>
      </c>
      <c r="AH270" s="58">
        <f>VLOOKUP(B270,'Player Data'!$A1:$AE667,22,FALSE)</f>
        <v>0.46324696936028498</v>
      </c>
      <c r="AI270" s="54"/>
      <c r="AJ270" s="56"/>
      <c r="AK270" s="56"/>
      <c r="AL270" s="56"/>
      <c r="AM270" s="56"/>
      <c r="AN270" s="56"/>
      <c r="AO270" s="56"/>
      <c r="AP270" s="56"/>
      <c r="AQ270" s="59"/>
      <c r="AR270" s="60"/>
      <c r="AS270" s="54"/>
    </row>
    <row r="271" spans="1:45" ht="21.25" customHeight="1" x14ac:dyDescent="0.15">
      <c r="A271" s="45">
        <f>RANK(K271,K$1:K$665)</f>
        <v>270</v>
      </c>
      <c r="B271" s="9" t="s">
        <v>396</v>
      </c>
      <c r="C271" s="46" t="s">
        <v>127</v>
      </c>
      <c r="D271" s="47" t="str">
        <f>VLOOKUP(B271,'Player Data'!A1:D667,4,FALSE)</f>
        <v>D</v>
      </c>
      <c r="E271" s="66">
        <f>VLOOKUP(B271,D!A1:C213,3,FALSE)</f>
        <v>82</v>
      </c>
      <c r="F271" s="80" t="str">
        <f>VLOOKUP(B271,'Player Data'!A1:B667,2,FALSE)</f>
        <v>PHI</v>
      </c>
      <c r="G271" s="63">
        <f>VLOOKUP(B271,'Player Data'!A1:D667,3,FALSE)</f>
        <v>31</v>
      </c>
      <c r="H271" s="50">
        <f>IFERROR(VLOOKUP(B271,ADP!A1:G665,7,FALSE)/1000000,VLOOKUP(B271,ADP!A1:G665,7,FALSE))</f>
        <v>2.7</v>
      </c>
      <c r="I271" s="51">
        <f>IF(Settings!$E$15="POINTS",((R271*Q271)*Settings!$B$12)+(S271*Settings!$B$2)+(T271*Settings!$B$3)+(U271*Settings!$B$4)+(V271*Settings!$B$5)+(X271*Settings!$B$9)+(AA271*Settings!$B$6)+(W271*Settings!$B$8)+(AB271*Settings!$B$7)+(AC271*Settings!$B$14)+(AD271*Settings!$B$15)+(AE271*Settings!$B$16)+(AF271*Settings!$B$17)+(AG271*Settings!$B$18)+(U271*Settings!$B$13)+(Y271*Settings!$B$10)+(Z271*Settings!$B$11),VLOOKUP(B271,'Standard Deviations'!A1:C666,3,FALSE))</f>
        <v>194.66167962890702</v>
      </c>
      <c r="J271" s="52">
        <f>IF(D271="G",I271/AJ271,I271/Q271)</f>
        <v>2.5786419344139229</v>
      </c>
      <c r="K271" s="51">
        <f>VLOOKUP(B271,D!A1:F213,6,FALSE)</f>
        <v>-141.57244541668788</v>
      </c>
      <c r="L271" s="53">
        <f>IFERROR(K271/H271,"N/A")</f>
        <v>-52.43423904321773</v>
      </c>
      <c r="M271" s="83" t="str">
        <f>IF(Settings!$E$9="YAHOO",VLOOKUP(B271,ADP!A1:E665,2,FALSE),IF(Settings!$E$9="ESPN",VLOOKUP(B271,ADP!A1:E665,3,FALSE),IF(Settings!$E$9="FANTRAX",VLOOKUP(B271,ADP!A1:E665,4,FALSE),VLOOKUP(B271,ADP!A1:E665,5,FALSE))))</f>
        <v>—</v>
      </c>
      <c r="N271" s="83" t="str">
        <f>IFERROR(M271-A271,"N/A")</f>
        <v>N/A</v>
      </c>
      <c r="O271" s="54"/>
      <c r="P271" s="55" t="str">
        <f>IF(Settings!$E$27="ON",VLOOKUP(B271,ADP!A1:H665,8,FALSE)," ")</f>
        <v xml:space="preserve"> </v>
      </c>
      <c r="Q271" s="56">
        <f>IF(Settings!$E$12="YES",VLOOKUP(B271,'Player Data'!A1:E667,5,FALSE),82)</f>
        <v>75.489999999999995</v>
      </c>
      <c r="R271" s="75">
        <f>VLOOKUP(B271,'Player Data'!$A1:$AE667,6,FALSE)</f>
        <v>18.043027253088901</v>
      </c>
      <c r="S271" s="56">
        <f>VLOOKUP(B271,'Player Data'!$A1:$AE667,7,FALSE)*$Q271*IFERROR((VLOOKUP(P271,Settings!$E$28:$F$33,2,FALSE)+1),1)</f>
        <v>2.6555916968104651</v>
      </c>
      <c r="T271" s="56">
        <f>VLOOKUP(B271,'Player Data'!$A1:$AE667,8,FALSE)*$Q271*IFERROR((VLOOKUP(P271,Settings!$E$28:$F$33,2,FALSE)+1),1)</f>
        <v>12.218148917186564</v>
      </c>
      <c r="U271" s="56">
        <f>SUM(S271:T271)</f>
        <v>14.873740613997029</v>
      </c>
      <c r="V271" s="56">
        <f>VLOOKUP(B271,'Player Data'!$A1:$AE667,10,FALSE)*$Q271*IFERROR(((VLOOKUP(P271,Settings!$E$28:$F$33,2,FALSE)/2)+1),1)</f>
        <v>100.38529929726248</v>
      </c>
      <c r="W271" s="56">
        <f>VLOOKUP(B271,'Player Data'!$A1:$AE667,11,FALSE)*$Q271*IFERROR((VLOOKUP(P271,Settings!$E$28:$F$33,2,FALSE)+1),1)</f>
        <v>2.0437653923014228E-2</v>
      </c>
      <c r="X271" s="56">
        <f>VLOOKUP(B271,'Player Data'!$A1:$AE667,12,FALSE)*$Q271*IFERROR((VLOOKUP(P271,Settings!$E$28:$F$33,2,FALSE)+1),1)</f>
        <v>0.13802315254853492</v>
      </c>
      <c r="Y271" s="56">
        <f>VLOOKUP(B271,'Player Data'!$A1:$AE667,13,FALSE)*$Q271</f>
        <v>3.5505773038863743E-2</v>
      </c>
      <c r="Z271" s="56">
        <f>VLOOKUP(B271,'Player Data'!$A1:$AE667,14,FALSE)*$Q271</f>
        <v>2.5437288856863107</v>
      </c>
      <c r="AA271" s="56">
        <f>VLOOKUP(B271,'Player Data'!$A1:$AE667,15,FALSE)*$Q271</f>
        <v>194.33211220009974</v>
      </c>
      <c r="AB271" s="56">
        <f>VLOOKUP(B271,'Player Data'!$A1:$AE667,16,FALSE)*$Q271</f>
        <v>141.77258405089958</v>
      </c>
      <c r="AC271" s="56">
        <f>VLOOKUP(B271,'Player Data'!$A1:$AE667,17,FALSE)*$Q271*IFERROR((VLOOKUP(P271,Settings!$E$28:$F$33,2,FALSE)+1),1)</f>
        <v>-1.5407037312494529</v>
      </c>
      <c r="AD271" s="56">
        <f>VLOOKUP(B271,'Player Data'!$A1:$AE667,18,FALSE)*$Q271</f>
        <v>54.165763478233679</v>
      </c>
      <c r="AE271" s="56">
        <f>VLOOKUP(B271,'Player Data'!$A1:$AE667,19,FALSE)*$Q271*IFERROR((VLOOKUP(P271,Settings!$E$28:$F$33,2,FALSE)+1),1)</f>
        <v>0.38492676037245366</v>
      </c>
      <c r="AF271" s="56">
        <f>VLOOKUP(B271,'Player Data'!$A1:$AE667,20,FALSE)*$Q271</f>
        <v>0</v>
      </c>
      <c r="AG271" s="56">
        <f>VLOOKUP(B271,'Player Data'!$A1:$AE667,21,FALSE)*$Q271</f>
        <v>0</v>
      </c>
      <c r="AH271" s="58">
        <f>VLOOKUP(B271,'Player Data'!$A1:$AE667,22,FALSE)</f>
        <v>0</v>
      </c>
      <c r="AI271" s="54"/>
      <c r="AJ271" s="64"/>
      <c r="AK271" s="56"/>
      <c r="AL271" s="56"/>
      <c r="AM271" s="56"/>
      <c r="AN271" s="56"/>
      <c r="AO271" s="56"/>
      <c r="AP271" s="56"/>
      <c r="AQ271" s="59"/>
      <c r="AR271" s="60"/>
      <c r="AS271" s="54"/>
    </row>
    <row r="272" spans="1:45" ht="21.25" customHeight="1" x14ac:dyDescent="0.15">
      <c r="A272" s="45">
        <f>RANK(K272,K$1:K$665)</f>
        <v>271</v>
      </c>
      <c r="B272" s="9" t="s">
        <v>397</v>
      </c>
      <c r="C272" s="46" t="s">
        <v>127</v>
      </c>
      <c r="D272" s="47" t="str">
        <f>VLOOKUP(B272,'Player Data'!A1:D667,4,FALSE)</f>
        <v>LW</v>
      </c>
      <c r="E272" s="70">
        <f>VLOOKUP(B272,LW!A1:C152,3,FALSE)</f>
        <v>64</v>
      </c>
      <c r="F272" s="55" t="str">
        <f>VLOOKUP(B272,'Player Data'!A1:B667,2,FALSE)</f>
        <v>DAL</v>
      </c>
      <c r="G272" s="10">
        <f>VLOOKUP(B272,'Player Data'!A1:D667,3,FALSE)</f>
        <v>29</v>
      </c>
      <c r="H272" s="50">
        <f>IFERROR(VLOOKUP(B272,ADP!A1:G665,7,FALSE)/1000000,VLOOKUP(B272,ADP!A1:G665,7,FALSE))</f>
        <v>4.5</v>
      </c>
      <c r="I272" s="51">
        <f>IF(Settings!$E$15="POINTS",((R272*Q272)*Settings!$B$12)+(S272*Settings!$B$2)+(T272*Settings!$B$3)+(U272*Settings!$B$4)+(V272*Settings!$B$5)+(X272*Settings!$B$9)+(AA272*Settings!$B$6)+(W272*Settings!$B$8)+(AB272*Settings!$B$7)+(AC272*Settings!$B$14)+(AD272*Settings!$B$15)+(AE272*Settings!$B$16)+(AF272*Settings!$B$17)+(AG272*Settings!$B$18)+(Y272*Settings!$B$10)+(Z272*Settings!$B$11),VLOOKUP(B272,'Standard Deviations'!A1:C666,3,FALSE))</f>
        <v>239.28062387755335</v>
      </c>
      <c r="J272" s="52">
        <f>IF(D272="G",I272/AJ272,I272/Q272)</f>
        <v>3.1024034731782226</v>
      </c>
      <c r="K272" s="51">
        <f>IF(Settings!$E$18="C/LW/RW",VLOOKUP(B272,LW!A1:F152,6,FALSE),VLOOKUP(B272,F!A1:F392,6,FALSE))</f>
        <v>-141.7808884249464</v>
      </c>
      <c r="L272" s="53">
        <f>IFERROR(K272/H272,"N/A")</f>
        <v>-31.506864094432533</v>
      </c>
      <c r="M272" s="54">
        <f>IF(Settings!$E$9="YAHOO",VLOOKUP(B272,ADP!A1:E665,2,FALSE),IF(Settings!$E$9="ESPN",VLOOKUP(B272,ADP!A1:E665,3,FALSE),IF(Settings!$E$9="FANTRAX",VLOOKUP(B272,ADP!A1:E665,4,FALSE),VLOOKUP(B272,ADP!A1:E665,5,FALSE))))</f>
        <v>164</v>
      </c>
      <c r="N272" s="54">
        <f>IFERROR(M272-A272,"N/A")</f>
        <v>-107</v>
      </c>
      <c r="O272" s="54"/>
      <c r="P272" s="55" t="str">
        <f>IF(Settings!$E$27="ON",VLOOKUP(B272,ADP!A1:H665,8,FALSE)," ")</f>
        <v xml:space="preserve"> </v>
      </c>
      <c r="Q272" s="56">
        <f>IF(Settings!$E$12="YES",VLOOKUP(B272,'Player Data'!A1:E667,5,FALSE),82)</f>
        <v>77.127499999999998</v>
      </c>
      <c r="R272" s="54">
        <f>VLOOKUP(B272,'Player Data'!$A1:$AE667,6,FALSE)</f>
        <v>15.098541702226701</v>
      </c>
      <c r="S272" s="56">
        <f>VLOOKUP(B272,'Player Data'!$A1:$AE667,7,FALSE)*$Q272*IFERROR((VLOOKUP(P272,Settings!$E$28:$F$33,2,FALSE)+1),1)</f>
        <v>18.506999824889483</v>
      </c>
      <c r="T272" s="56">
        <f>VLOOKUP(B272,'Player Data'!$A1:$AE667,8,FALSE)*$Q272*IFERROR((VLOOKUP(P272,Settings!$E$28:$F$33,2,FALSE)+1),1)</f>
        <v>27.843631948084763</v>
      </c>
      <c r="U272" s="56">
        <f>SUM(S272:T272)</f>
        <v>46.350631772974246</v>
      </c>
      <c r="V272" s="56">
        <f>VLOOKUP(B272,'Player Data'!$A1:$AE667,10,FALSE)*$Q272*IFERROR(((VLOOKUP(P272,Settings!$E$28:$F$33,2,FALSE)/2)+1),1)</f>
        <v>150.40188397129444</v>
      </c>
      <c r="W272" s="56">
        <f>VLOOKUP(B272,'Player Data'!$A1:$AE667,11,FALSE)*$Q272*IFERROR((VLOOKUP(P272,Settings!$E$28:$F$33,2,FALSE)+1),1)</f>
        <v>3.8155861043810035</v>
      </c>
      <c r="X272" s="56">
        <f>VLOOKUP(B272,'Player Data'!$A1:$AE667,12,FALSE)*$Q272*IFERROR((VLOOKUP(P272,Settings!$E$28:$F$33,2,FALSE)+1),1)</f>
        <v>7.8960498558020671</v>
      </c>
      <c r="Y272" s="56">
        <f>VLOOKUP(B272,'Player Data'!$A1:$AE667,13,FALSE)*$Q272</f>
        <v>1.0036017731047746E-2</v>
      </c>
      <c r="Z272" s="56">
        <f>VLOOKUP(B272,'Player Data'!$A1:$AE667,14,FALSE)*$Q272</f>
        <v>1.7093849512370432E-2</v>
      </c>
      <c r="AA272" s="56">
        <f>VLOOKUP(B272,'Player Data'!$A1:$AE667,15,FALSE)*$Q272</f>
        <v>34.229285735337925</v>
      </c>
      <c r="AB272" s="56">
        <f>VLOOKUP(B272,'Player Data'!$A1:$AE667,16,FALSE)*$Q272</f>
        <v>96.553121854297842</v>
      </c>
      <c r="AC272" s="56">
        <f>VLOOKUP(B272,'Player Data'!$A1:$AE667,17,FALSE)*$Q272*IFERROR((VLOOKUP(P272,Settings!$E$28:$F$33,2,FALSE)+1),1)</f>
        <v>5.5805412035186848</v>
      </c>
      <c r="AD272" s="56">
        <f>VLOOKUP(B272,'Player Data'!$A1:$AE667,18,FALSE)*$Q272</f>
        <v>52.564226273704342</v>
      </c>
      <c r="AE272" s="56">
        <f>VLOOKUP(B272,'Player Data'!$A1:$AE667,19,FALSE)*$Q272*IFERROR((VLOOKUP(P272,Settings!$E$28:$F$33,2,FALSE)+1),1)</f>
        <v>2.959615607879333</v>
      </c>
      <c r="AF272" s="56">
        <f>VLOOKUP(B272,'Player Data'!$A1:$AE667,20,FALSE)*$Q272</f>
        <v>6.5184737125069976</v>
      </c>
      <c r="AG272" s="56">
        <f>VLOOKUP(B272,'Player Data'!$A1:$AE667,21,FALSE)*$Q272</f>
        <v>9.8072013794404373</v>
      </c>
      <c r="AH272" s="58">
        <f>VLOOKUP(B272,'Player Data'!$A1:$AE667,22,FALSE)</f>
        <v>0.39927743727560899</v>
      </c>
      <c r="AI272" s="54"/>
      <c r="AJ272" s="56"/>
      <c r="AK272" s="56"/>
      <c r="AL272" s="56"/>
      <c r="AM272" s="56"/>
      <c r="AN272" s="56"/>
      <c r="AO272" s="56"/>
      <c r="AP272" s="56"/>
      <c r="AQ272" s="59"/>
      <c r="AR272" s="60"/>
      <c r="AS272" s="54"/>
    </row>
    <row r="273" spans="1:45" ht="21.25" customHeight="1" x14ac:dyDescent="0.15">
      <c r="A273" s="45">
        <f>RANK(K273,K$1:K$665)</f>
        <v>272</v>
      </c>
      <c r="B273" s="9" t="s">
        <v>398</v>
      </c>
      <c r="C273" s="46" t="s">
        <v>127</v>
      </c>
      <c r="D273" s="47" t="str">
        <f>VLOOKUP(B273,'Player Data'!A1:D667,4,FALSE)</f>
        <v>LW</v>
      </c>
      <c r="E273" s="70">
        <f>VLOOKUP(B273,LW!A1:C152,3,FALSE)</f>
        <v>65</v>
      </c>
      <c r="F273" s="55" t="str">
        <f>VLOOKUP(B273,'Player Data'!A1:B667,2,FALSE)</f>
        <v>CHI</v>
      </c>
      <c r="G273" s="63">
        <f>VLOOKUP(B273,'Player Data'!A1:D667,3,FALSE)</f>
        <v>32</v>
      </c>
      <c r="H273" s="67">
        <f>IFERROR(VLOOKUP(B273,ADP!A1:G665,7,FALSE)/1000000,VLOOKUP(B273,ADP!A1:G665,7,FALSE))</f>
        <v>6</v>
      </c>
      <c r="I273" s="51">
        <f>IF(Settings!$E$15="POINTS",((R273*Q273)*Settings!$B$12)+(S273*Settings!$B$2)+(T273*Settings!$B$3)+(U273*Settings!$B$4)+(V273*Settings!$B$5)+(X273*Settings!$B$9)+(AA273*Settings!$B$6)+(W273*Settings!$B$8)+(AB273*Settings!$B$7)+(AC273*Settings!$B$14)+(AD273*Settings!$B$15)+(AE273*Settings!$B$16)+(AF273*Settings!$B$17)+(AG273*Settings!$B$18)+(Y273*Settings!$B$10)+(Z273*Settings!$B$11),VLOOKUP(B273,'Standard Deviations'!A1:C666,3,FALSE))</f>
        <v>238.77724080692923</v>
      </c>
      <c r="J273" s="52">
        <f>IF(D273="G",I273/AJ273,I273/Q273)</f>
        <v>3.6035048603196258</v>
      </c>
      <c r="K273" s="51">
        <f>IF(Settings!$E$18="C/LW/RW",VLOOKUP(B273,LW!A1:F152,6,FALSE),VLOOKUP(B273,F!A1:F392,6,FALSE))</f>
        <v>-142.28427149557052</v>
      </c>
      <c r="L273" s="53">
        <f>IFERROR(K273/H273,"N/A")</f>
        <v>-23.714045249261755</v>
      </c>
      <c r="M273" s="83" t="str">
        <f>IF(Settings!$E$9="YAHOO",VLOOKUP(B273,ADP!A1:E665,2,FALSE),IF(Settings!$E$9="ESPN",VLOOKUP(B273,ADP!A1:E665,3,FALSE),IF(Settings!$E$9="FANTRAX",VLOOKUP(B273,ADP!A1:E665,4,FALSE),VLOOKUP(B273,ADP!A1:E665,5,FALSE))))</f>
        <v>—</v>
      </c>
      <c r="N273" s="83" t="str">
        <f>IFERROR(M273-A273,"N/A")</f>
        <v>N/A</v>
      </c>
      <c r="O273" s="54"/>
      <c r="P273" s="55" t="str">
        <f>IF(Settings!$E$27="ON",VLOOKUP(B273,ADP!A1:H665,8,FALSE)," ")</f>
        <v xml:space="preserve"> </v>
      </c>
      <c r="Q273" s="56">
        <f>IF(Settings!$E$12="YES",VLOOKUP(B273,'Player Data'!A1:E667,5,FALSE),82)</f>
        <v>66.262500000000003</v>
      </c>
      <c r="R273" s="54">
        <f>VLOOKUP(B273,'Player Data'!$A1:$AE667,6,FALSE)</f>
        <v>17.221810106018399</v>
      </c>
      <c r="S273" s="56">
        <f>VLOOKUP(B273,'Player Data'!$A1:$AE667,7,FALSE)*$Q273*IFERROR((VLOOKUP(P273,Settings!$E$28:$F$33,2,FALSE)+1),1)</f>
        <v>16.987889698158803</v>
      </c>
      <c r="T273" s="56">
        <f>VLOOKUP(B273,'Player Data'!$A1:$AE667,8,FALSE)*$Q273*IFERROR((VLOOKUP(P273,Settings!$E$28:$F$33,2,FALSE)+1),1)</f>
        <v>24.965610197602309</v>
      </c>
      <c r="U273" s="56">
        <f>SUM(S273:T273)</f>
        <v>41.953499895761112</v>
      </c>
      <c r="V273" s="56">
        <f>VLOOKUP(B273,'Player Data'!$A1:$AE667,10,FALSE)*$Q273*IFERROR(((VLOOKUP(P273,Settings!$E$28:$F$33,2,FALSE)/2)+1),1)</f>
        <v>169.07996369207083</v>
      </c>
      <c r="W273" s="56">
        <f>VLOOKUP(B273,'Player Data'!$A1:$AE667,11,FALSE)*$Q273*IFERROR((VLOOKUP(P273,Settings!$E$28:$F$33,2,FALSE)+1),1)</f>
        <v>5.0580305325035031</v>
      </c>
      <c r="X273" s="57">
        <f>VLOOKUP(B273,'Player Data'!$A1:$AE667,12,FALSE)*$Q273*IFERROR((VLOOKUP(P273,Settings!$E$28:$F$33,2,FALSE)+1),1)</f>
        <v>12.280838828661826</v>
      </c>
      <c r="Y273" s="56">
        <f>VLOOKUP(B273,'Player Data'!$A1:$AE667,13,FALSE)*$Q273</f>
        <v>3.0983693704611549E-3</v>
      </c>
      <c r="Z273" s="56">
        <f>VLOOKUP(B273,'Player Data'!$A1:$AE667,14,FALSE)*$Q273</f>
        <v>5.3169240124607093E-3</v>
      </c>
      <c r="AA273" s="56">
        <f>VLOOKUP(B273,'Player Data'!$A1:$AE667,15,FALSE)*$Q273</f>
        <v>32.181207041872362</v>
      </c>
      <c r="AB273" s="56">
        <f>VLOOKUP(B273,'Player Data'!$A1:$AE667,16,FALSE)*$Q273</f>
        <v>49.948469732797179</v>
      </c>
      <c r="AC273" s="56">
        <f>VLOOKUP(B273,'Player Data'!$A1:$AE667,17,FALSE)*$Q273*IFERROR((VLOOKUP(P273,Settings!$E$28:$F$33,2,FALSE)+1),1)</f>
        <v>-3.9709288319864209</v>
      </c>
      <c r="AD273" s="56">
        <f>VLOOKUP(B273,'Player Data'!$A1:$AE667,18,FALSE)*$Q273</f>
        <v>31.479162282774929</v>
      </c>
      <c r="AE273" s="56">
        <f>VLOOKUP(B273,'Player Data'!$A1:$AE667,19,FALSE)*$Q273*IFERROR((VLOOKUP(P273,Settings!$E$28:$F$33,2,FALSE)+1),1)</f>
        <v>2.1954340926900486</v>
      </c>
      <c r="AF273" s="56">
        <f>VLOOKUP(B273,'Player Data'!$A1:$AE667,20,FALSE)*$Q273</f>
        <v>15.991208183259413</v>
      </c>
      <c r="AG273" s="56">
        <f>VLOOKUP(B273,'Player Data'!$A1:$AE667,21,FALSE)*$Q273</f>
        <v>17.831143786469507</v>
      </c>
      <c r="AH273" s="58">
        <f>VLOOKUP(B273,'Player Data'!$A1:$AE667,22,FALSE)</f>
        <v>0.472800005084555</v>
      </c>
      <c r="AI273" s="54"/>
      <c r="AJ273" s="64"/>
      <c r="AK273" s="56"/>
      <c r="AL273" s="56"/>
      <c r="AM273" s="56"/>
      <c r="AN273" s="56"/>
      <c r="AO273" s="56"/>
      <c r="AP273" s="56"/>
      <c r="AQ273" s="59"/>
      <c r="AR273" s="60"/>
      <c r="AS273" s="54"/>
    </row>
    <row r="274" spans="1:45" ht="21.25" customHeight="1" x14ac:dyDescent="0.15">
      <c r="A274" s="45">
        <f>RANK(K274,K$1:K$665)</f>
        <v>273</v>
      </c>
      <c r="B274" s="9" t="s">
        <v>399</v>
      </c>
      <c r="C274" s="46" t="s">
        <v>127</v>
      </c>
      <c r="D274" s="47" t="str">
        <f>VLOOKUP(B274,'Player Data'!A1:D667,4,FALSE)</f>
        <v>D</v>
      </c>
      <c r="E274" s="66">
        <f>VLOOKUP(B274,D!A1:C213,3,FALSE)</f>
        <v>83</v>
      </c>
      <c r="F274" s="77" t="str">
        <f>VLOOKUP(B274,'Player Data'!A1:B667,2,FALSE)</f>
        <v>STL</v>
      </c>
      <c r="G274" s="63">
        <f>VLOOKUP(B274,'Player Data'!A1:D667,3,FALSE)</f>
        <v>33</v>
      </c>
      <c r="H274" s="50">
        <f>IFERROR(VLOOKUP(B274,ADP!A1:G665,7,FALSE)/1000000,VLOOKUP(B274,ADP!A1:G665,7,FALSE))</f>
        <v>6.5</v>
      </c>
      <c r="I274" s="51">
        <f>IF(Settings!$E$15="POINTS",((R274*Q274)*Settings!$B$12)+(S274*Settings!$B$2)+(T274*Settings!$B$3)+(U274*Settings!$B$4)+(V274*Settings!$B$5)+(X274*Settings!$B$9)+(AA274*Settings!$B$6)+(W274*Settings!$B$8)+(AB274*Settings!$B$7)+(AC274*Settings!$B$14)+(AD274*Settings!$B$15)+(AE274*Settings!$B$16)+(AF274*Settings!$B$17)+(AG274*Settings!$B$18)+(U274*Settings!$B$13)+(Y274*Settings!$B$10)+(Z274*Settings!$B$11),VLOOKUP(B274,'Standard Deviations'!A1:C666,3,FALSE))</f>
        <v>193.80865739765272</v>
      </c>
      <c r="J274" s="52">
        <f>IF(D274="G",I274/AJ274,I274/Q274)</f>
        <v>2.5258524357833014</v>
      </c>
      <c r="K274" s="51">
        <f>VLOOKUP(B274,D!A1:F213,6,FALSE)</f>
        <v>-142.42546764794218</v>
      </c>
      <c r="L274" s="53">
        <f>IFERROR(K274/H274,"N/A")</f>
        <v>-21.911610407375722</v>
      </c>
      <c r="M274" s="83" t="str">
        <f>IF(Settings!$E$9="YAHOO",VLOOKUP(B274,ADP!A1:E665,2,FALSE),IF(Settings!$E$9="ESPN",VLOOKUP(B274,ADP!A1:E665,3,FALSE),IF(Settings!$E$9="FANTRAX",VLOOKUP(B274,ADP!A1:E665,4,FALSE),VLOOKUP(B274,ADP!A1:E665,5,FALSE))))</f>
        <v>—</v>
      </c>
      <c r="N274" s="83" t="str">
        <f>IFERROR(M274-A274,"N/A")</f>
        <v>N/A</v>
      </c>
      <c r="O274" s="54"/>
      <c r="P274" s="55" t="str">
        <f>IF(Settings!$E$27="ON",VLOOKUP(B274,ADP!A1:H665,8,FALSE)," ")</f>
        <v xml:space="preserve"> </v>
      </c>
      <c r="Q274" s="56">
        <f>IF(Settings!$E$12="YES",VLOOKUP(B274,'Player Data'!A1:E667,5,FALSE),82)</f>
        <v>76.73</v>
      </c>
      <c r="R274" s="81">
        <f>VLOOKUP(B274,'Player Data'!$A1:$AE667,6,FALSE)</f>
        <v>19.389802292106999</v>
      </c>
      <c r="S274" s="56">
        <f>VLOOKUP(B274,'Player Data'!$A1:$AE667,7,FALSE)*$Q274*IFERROR((VLOOKUP(P274,Settings!$E$28:$F$33,2,FALSE)+1),1)</f>
        <v>4.3376965778489334</v>
      </c>
      <c r="T274" s="56">
        <f>VLOOKUP(B274,'Player Data'!$A1:$AE667,8,FALSE)*$Q274*IFERROR((VLOOKUP(P274,Settings!$E$28:$F$33,2,FALSE)+1),1)</f>
        <v>20.12962415997789</v>
      </c>
      <c r="U274" s="56">
        <f>SUM(S274:T274)</f>
        <v>24.467320737826824</v>
      </c>
      <c r="V274" s="56">
        <f>VLOOKUP(B274,'Player Data'!$A1:$AE667,10,FALSE)*$Q274*IFERROR(((VLOOKUP(P274,Settings!$E$28:$F$33,2,FALSE)/2)+1),1)</f>
        <v>123.75744478229197</v>
      </c>
      <c r="W274" s="56">
        <f>VLOOKUP(B274,'Player Data'!$A1:$AE667,11,FALSE)*$Q274*IFERROR((VLOOKUP(P274,Settings!$E$28:$F$33,2,FALSE)+1),1)</f>
        <v>0</v>
      </c>
      <c r="X274" s="56">
        <f>VLOOKUP(B274,'Player Data'!$A1:$AE667,12,FALSE)*$Q274*IFERROR((VLOOKUP(P274,Settings!$E$28:$F$33,2,FALSE)+1),1)</f>
        <v>0</v>
      </c>
      <c r="Y274" s="56">
        <f>VLOOKUP(B274,'Player Data'!$A1:$AE667,13,FALSE)*$Q274</f>
        <v>4.5819836849341981E-2</v>
      </c>
      <c r="Z274" s="56">
        <f>VLOOKUP(B274,'Player Data'!$A1:$AE667,14,FALSE)*$Q274</f>
        <v>0.21008532578242212</v>
      </c>
      <c r="AA274" s="56">
        <f>VLOOKUP(B274,'Player Data'!$A1:$AE667,15,FALSE)*$Q274</f>
        <v>116.6357749344877</v>
      </c>
      <c r="AB274" s="56">
        <f>VLOOKUP(B274,'Player Data'!$A1:$AE667,16,FALSE)*$Q274</f>
        <v>72.412622008701973</v>
      </c>
      <c r="AC274" s="56">
        <f>VLOOKUP(B274,'Player Data'!$A1:$AE667,17,FALSE)*$Q274*IFERROR((VLOOKUP(P274,Settings!$E$28:$F$33,2,FALSE)+1),1)</f>
        <v>-5.8228529948167846</v>
      </c>
      <c r="AD274" s="56">
        <f>VLOOKUP(B274,'Player Data'!$A1:$AE667,18,FALSE)*$Q274</f>
        <v>41.691338226640944</v>
      </c>
      <c r="AE274" s="56">
        <f>VLOOKUP(B274,'Player Data'!$A1:$AE667,19,FALSE)*$Q274*IFERROR((VLOOKUP(P274,Settings!$E$28:$F$33,2,FALSE)+1),1)</f>
        <v>0.52223304669292547</v>
      </c>
      <c r="AF274" s="56">
        <f>VLOOKUP(B274,'Player Data'!$A1:$AE667,20,FALSE)*$Q274</f>
        <v>0</v>
      </c>
      <c r="AG274" s="56">
        <f>VLOOKUP(B274,'Player Data'!$A1:$AE667,21,FALSE)*$Q274</f>
        <v>0</v>
      </c>
      <c r="AH274" s="58">
        <f>VLOOKUP(B274,'Player Data'!$A1:$AE667,22,FALSE)</f>
        <v>0</v>
      </c>
      <c r="AI274" s="54"/>
      <c r="AJ274" s="56"/>
      <c r="AK274" s="56"/>
      <c r="AL274" s="56"/>
      <c r="AM274" s="56"/>
      <c r="AN274" s="56"/>
      <c r="AO274" s="56"/>
      <c r="AP274" s="56"/>
      <c r="AQ274" s="59"/>
      <c r="AR274" s="60"/>
      <c r="AS274" s="54"/>
    </row>
    <row r="275" spans="1:45" ht="21.25" customHeight="1" x14ac:dyDescent="0.15">
      <c r="A275" s="45">
        <f>RANK(K275,K$1:K$665)</f>
        <v>274</v>
      </c>
      <c r="B275" s="9" t="s">
        <v>400</v>
      </c>
      <c r="C275" s="46" t="s">
        <v>127</v>
      </c>
      <c r="D275" s="47" t="str">
        <f>VLOOKUP(B275,'Player Data'!A1:D667,4,FALSE)</f>
        <v>C/LW/RW</v>
      </c>
      <c r="E275" s="68">
        <f>VLOOKUP(B275,RW!A1:C136,3,FALSE)</f>
        <v>69</v>
      </c>
      <c r="F275" s="65" t="str">
        <f>VLOOKUP(B275,'Player Data'!A1:B667,2,FALSE)</f>
        <v>DET</v>
      </c>
      <c r="G275" s="10">
        <f>VLOOKUP(B275,'Player Data'!A1:D667,3,FALSE)</f>
        <v>29</v>
      </c>
      <c r="H275" s="50">
        <f>IFERROR(VLOOKUP(B275,ADP!A1:G665,7,FALSE)/1000000,VLOOKUP(B275,ADP!A1:G665,7,FALSE))</f>
        <v>5.0999999999999996</v>
      </c>
      <c r="I275" s="51">
        <f>IF(Settings!$E$15="POINTS",((R275*Q275)*Settings!$B$12)+(S275*Settings!$B$2)+(T275*Settings!$B$3)+(U275*Settings!$B$4)+(V275*Settings!$B$5)+(X275*Settings!$B$9)+(AA275*Settings!$B$6)+(W275*Settings!$B$8)+(AB275*Settings!$B$7)+(AC275*Settings!$B$14)+(AD275*Settings!$B$15)+(AE275*Settings!$B$16)+(AF275*Settings!$B$17)+(AG275*Settings!$B$18)+(Y275*Settings!$B$10)+(Z275*Settings!$B$11),VLOOKUP(B275,'Standard Deviations'!A1:C666,3,FALSE))</f>
        <v>226.4098307318113</v>
      </c>
      <c r="J275" s="52">
        <f>IF(D275="G",I275/AJ275,I275/Q275)</f>
        <v>2.8321584980681278</v>
      </c>
      <c r="K275" s="51">
        <f>IF(Settings!$E$18="C/LW/RW",VLOOKUP(B275,RW!A1:F136,6,FALSE),VLOOKUP(B275,F!A1:F392,6,FALSE))</f>
        <v>-142.43789237448109</v>
      </c>
      <c r="L275" s="53">
        <f>IFERROR(K275/H275,"N/A")</f>
        <v>-27.928998504800216</v>
      </c>
      <c r="M275" s="83" t="str">
        <f>IF(Settings!$E$9="YAHOO",VLOOKUP(B275,ADP!A1:E665,2,FALSE),IF(Settings!$E$9="ESPN",VLOOKUP(B275,ADP!A1:E665,3,FALSE),IF(Settings!$E$9="FANTRAX",VLOOKUP(B275,ADP!A1:E665,4,FALSE),VLOOKUP(B275,ADP!A1:E665,5,FALSE))))</f>
        <v>—</v>
      </c>
      <c r="N275" s="83" t="str">
        <f>IFERROR(M275-A275,"N/A")</f>
        <v>N/A</v>
      </c>
      <c r="O275" s="54"/>
      <c r="P275" s="55" t="str">
        <f>IF(Settings!$E$27="ON",VLOOKUP(B275,ADP!A1:H665,8,FALSE)," ")</f>
        <v xml:space="preserve"> </v>
      </c>
      <c r="Q275" s="56">
        <f>IF(Settings!$E$12="YES",VLOOKUP(B275,'Player Data'!A1:E667,5,FALSE),82)</f>
        <v>79.942499999999995</v>
      </c>
      <c r="R275" s="81">
        <f>VLOOKUP(B275,'Player Data'!$A1:$AE667,6,FALSE)</f>
        <v>17.890243273023501</v>
      </c>
      <c r="S275" s="56">
        <f>VLOOKUP(B275,'Player Data'!$A1:$AE667,7,FALSE)*$Q275*IFERROR((VLOOKUP(P275,Settings!$E$28:$F$33,2,FALSE)+1),1)</f>
        <v>16.767314148132876</v>
      </c>
      <c r="T275" s="56">
        <f>VLOOKUP(B275,'Player Data'!$A1:$AE667,8,FALSE)*$Q275*IFERROR((VLOOKUP(P275,Settings!$E$28:$F$33,2,FALSE)+1),1)</f>
        <v>26.364578255640595</v>
      </c>
      <c r="U275" s="56">
        <f>SUM(S275:T275)</f>
        <v>43.13189240377347</v>
      </c>
      <c r="V275" s="56">
        <f>VLOOKUP(B275,'Player Data'!$A1:$AE667,10,FALSE)*$Q275*IFERROR(((VLOOKUP(P275,Settings!$E$28:$F$33,2,FALSE)/2)+1),1)</f>
        <v>114.92278359503672</v>
      </c>
      <c r="W275" s="56">
        <f>VLOOKUP(B275,'Player Data'!$A1:$AE667,11,FALSE)*$Q275*IFERROR((VLOOKUP(P275,Settings!$E$28:$F$33,2,FALSE)+1),1)</f>
        <v>3.4988678869638092</v>
      </c>
      <c r="X275" s="56">
        <f>VLOOKUP(B275,'Player Data'!$A1:$AE667,12,FALSE)*$Q275*IFERROR((VLOOKUP(P275,Settings!$E$28:$F$33,2,FALSE)+1),1)</f>
        <v>7.8934981012707244</v>
      </c>
      <c r="Y275" s="56">
        <f>VLOOKUP(B275,'Player Data'!$A1:$AE667,13,FALSE)*$Q275</f>
        <v>1.1570720958129195</v>
      </c>
      <c r="Z275" s="56">
        <f>VLOOKUP(B275,'Player Data'!$A1:$AE667,14,FALSE)*$Q275</f>
        <v>1.2596666685550988</v>
      </c>
      <c r="AA275" s="56">
        <f>VLOOKUP(B275,'Player Data'!$A1:$AE667,15,FALSE)*$Q275</f>
        <v>60.799193906293375</v>
      </c>
      <c r="AB275" s="56">
        <f>VLOOKUP(B275,'Player Data'!$A1:$AE667,16,FALSE)*$Q275</f>
        <v>47.464401397144591</v>
      </c>
      <c r="AC275" s="56">
        <f>VLOOKUP(B275,'Player Data'!$A1:$AE667,17,FALSE)*$Q275*IFERROR((VLOOKUP(P275,Settings!$E$28:$F$33,2,FALSE)+1),1)</f>
        <v>-2.7898591021008974</v>
      </c>
      <c r="AD275" s="56">
        <f>VLOOKUP(B275,'Player Data'!$A1:$AE667,18,FALSE)*$Q275</f>
        <v>28.458072666836173</v>
      </c>
      <c r="AE275" s="56">
        <f>VLOOKUP(B275,'Player Data'!$A1:$AE667,19,FALSE)*$Q275*IFERROR((VLOOKUP(P275,Settings!$E$28:$F$33,2,FALSE)+1),1)</f>
        <v>2.3028676121063212</v>
      </c>
      <c r="AF275" s="56">
        <f>VLOOKUP(B275,'Player Data'!$A1:$AE667,20,FALSE)*$Q275</f>
        <v>497.85513829555589</v>
      </c>
      <c r="AG275" s="56">
        <f>VLOOKUP(B275,'Player Data'!$A1:$AE667,21,FALSE)*$Q275</f>
        <v>547.98099509603992</v>
      </c>
      <c r="AH275" s="58">
        <f>VLOOKUP(B275,'Player Data'!$A1:$AE667,22,FALSE)</f>
        <v>0.47603551110921699</v>
      </c>
      <c r="AI275" s="54"/>
      <c r="AJ275" s="56"/>
      <c r="AK275" s="56"/>
      <c r="AL275" s="56"/>
      <c r="AM275" s="56"/>
      <c r="AN275" s="56"/>
      <c r="AO275" s="56"/>
      <c r="AP275" s="56"/>
      <c r="AQ275" s="59"/>
      <c r="AR275" s="60"/>
      <c r="AS275" s="54"/>
    </row>
    <row r="276" spans="1:45" ht="21.25" customHeight="1" x14ac:dyDescent="0.15">
      <c r="A276" s="45">
        <f>RANK(K276,K$1:K$665)</f>
        <v>275</v>
      </c>
      <c r="B276" s="9" t="s">
        <v>401</v>
      </c>
      <c r="C276" s="46" t="s">
        <v>127</v>
      </c>
      <c r="D276" s="47" t="str">
        <f>VLOOKUP(B276,'Player Data'!A1:D667,4,FALSE)</f>
        <v>D</v>
      </c>
      <c r="E276" s="66">
        <f>VLOOKUP(B276,D!A1:C213,3,FALSE)</f>
        <v>84</v>
      </c>
      <c r="F276" s="55" t="str">
        <f>VLOOKUP(B276,'Player Data'!A1:B667,2,FALSE)</f>
        <v>VGK</v>
      </c>
      <c r="G276" s="63">
        <f>VLOOKUP(B276,'Player Data'!A1:D667,3,FALSE)</f>
        <v>33</v>
      </c>
      <c r="H276" s="67">
        <f>IFERROR(VLOOKUP(B276,ADP!A1:G665,7,FALSE)/1000000,VLOOKUP(B276,ADP!A1:G665,7,FALSE))</f>
        <v>2.85</v>
      </c>
      <c r="I276" s="51">
        <f>IF(Settings!$E$15="POINTS",((R276*Q276)*Settings!$B$12)+(S276*Settings!$B$2)+(T276*Settings!$B$3)+(U276*Settings!$B$4)+(V276*Settings!$B$5)+(X276*Settings!$B$9)+(AA276*Settings!$B$6)+(W276*Settings!$B$8)+(AB276*Settings!$B$7)+(AC276*Settings!$B$14)+(AD276*Settings!$B$15)+(AE276*Settings!$B$16)+(AF276*Settings!$B$17)+(AG276*Settings!$B$18)+(U276*Settings!$B$13)+(Y276*Settings!$B$10)+(Z276*Settings!$B$11),VLOOKUP(B276,'Standard Deviations'!A1:C666,3,FALSE))</f>
        <v>193.51297180733405</v>
      </c>
      <c r="J276" s="52">
        <f>IF(D276="G",I276/AJ276,I276/Q276)</f>
        <v>2.3970391652091423</v>
      </c>
      <c r="K276" s="51">
        <f>VLOOKUP(B276,D!A1:F213,6,FALSE)</f>
        <v>-142.72115323826085</v>
      </c>
      <c r="L276" s="53">
        <f>IFERROR(K276/H276,"N/A")</f>
        <v>-50.077597627459944</v>
      </c>
      <c r="M276" s="83" t="str">
        <f>IF(Settings!$E$9="YAHOO",VLOOKUP(B276,ADP!A1:E665,2,FALSE),IF(Settings!$E$9="ESPN",VLOOKUP(B276,ADP!A1:E665,3,FALSE),IF(Settings!$E$9="FANTRAX",VLOOKUP(B276,ADP!A1:E665,4,FALSE),VLOOKUP(B276,ADP!A1:E665,5,FALSE))))</f>
        <v>—</v>
      </c>
      <c r="N276" s="83" t="str">
        <f>IFERROR(M276-A276,"N/A")</f>
        <v>N/A</v>
      </c>
      <c r="O276" s="54"/>
      <c r="P276" s="55" t="str">
        <f>IF(Settings!$E$27="ON",VLOOKUP(B276,ADP!A1:H665,8,FALSE)," ")</f>
        <v xml:space="preserve"> </v>
      </c>
      <c r="Q276" s="56">
        <f>IF(Settings!$E$12="YES",VLOOKUP(B276,'Player Data'!A1:E667,5,FALSE),82)</f>
        <v>80.73</v>
      </c>
      <c r="R276" s="54">
        <f>VLOOKUP(B276,'Player Data'!$A1:$AE667,6,FALSE)</f>
        <v>19.409836636869901</v>
      </c>
      <c r="S276" s="56">
        <f>VLOOKUP(B276,'Player Data'!$A1:$AE667,7,FALSE)*$Q276*IFERROR((VLOOKUP(P276,Settings!$E$28:$F$33,2,FALSE)+1),1)</f>
        <v>2.2766266410709681</v>
      </c>
      <c r="T276" s="56">
        <f>VLOOKUP(B276,'Player Data'!$A1:$AE667,8,FALSE)*$Q276*IFERROR((VLOOKUP(P276,Settings!$E$28:$F$33,2,FALSE)+1),1)</f>
        <v>16.706091112882483</v>
      </c>
      <c r="U276" s="56">
        <f>SUM(S276:T276)</f>
        <v>18.982717753953452</v>
      </c>
      <c r="V276" s="56">
        <f>VLOOKUP(B276,'Player Data'!$A1:$AE667,10,FALSE)*$Q276*IFERROR(((VLOOKUP(P276,Settings!$E$28:$F$33,2,FALSE)/2)+1),1)</f>
        <v>81.678775911915636</v>
      </c>
      <c r="W276" s="56">
        <f>VLOOKUP(B276,'Player Data'!$A1:$AE667,11,FALSE)*$Q276*IFERROR((VLOOKUP(P276,Settings!$E$28:$F$33,2,FALSE)+1),1)</f>
        <v>1.8675304491366951E-2</v>
      </c>
      <c r="X276" s="56">
        <f>VLOOKUP(B276,'Player Data'!$A1:$AE667,12,FALSE)*$Q276*IFERROR((VLOOKUP(P276,Settings!$E$28:$F$33,2,FALSE)+1),1)</f>
        <v>0.13881625903246617</v>
      </c>
      <c r="Y276" s="56">
        <f>VLOOKUP(B276,'Player Data'!$A1:$AE667,13,FALSE)*$Q276</f>
        <v>2.2595255467637253E-2</v>
      </c>
      <c r="Z276" s="56">
        <f>VLOOKUP(B276,'Player Data'!$A1:$AE667,14,FALSE)*$Q276</f>
        <v>1.0291507025167002</v>
      </c>
      <c r="AA276" s="56">
        <f>VLOOKUP(B276,'Player Data'!$A1:$AE667,15,FALSE)*$Q276</f>
        <v>189.11492725593342</v>
      </c>
      <c r="AB276" s="56">
        <f>VLOOKUP(B276,'Player Data'!$A1:$AE667,16,FALSE)*$Q276</f>
        <v>153.46912535525499</v>
      </c>
      <c r="AC276" s="56">
        <f>VLOOKUP(B276,'Player Data'!$A1:$AE667,17,FALSE)*$Q276*IFERROR((VLOOKUP(P276,Settings!$E$28:$F$33,2,FALSE)+1),1)</f>
        <v>2.7124450420668147</v>
      </c>
      <c r="AD276" s="56">
        <f>VLOOKUP(B276,'Player Data'!$A1:$AE667,18,FALSE)*$Q276</f>
        <v>39.871797572596222</v>
      </c>
      <c r="AE276" s="56">
        <f>VLOOKUP(B276,'Player Data'!$A1:$AE667,19,FALSE)*$Q276*IFERROR((VLOOKUP(P276,Settings!$E$28:$F$33,2,FALSE)+1),1)</f>
        <v>0.34627784658757793</v>
      </c>
      <c r="AF276" s="56">
        <f>VLOOKUP(B276,'Player Data'!$A1:$AE667,20,FALSE)*$Q276</f>
        <v>0</v>
      </c>
      <c r="AG276" s="56">
        <f>VLOOKUP(B276,'Player Data'!$A1:$AE667,21,FALSE)*$Q276</f>
        <v>0</v>
      </c>
      <c r="AH276" s="58">
        <f>VLOOKUP(B276,'Player Data'!$A1:$AE667,22,FALSE)</f>
        <v>0</v>
      </c>
      <c r="AI276" s="54"/>
      <c r="AJ276" s="56"/>
      <c r="AK276" s="56"/>
      <c r="AL276" s="56"/>
      <c r="AM276" s="56"/>
      <c r="AN276" s="56"/>
      <c r="AO276" s="56"/>
      <c r="AP276" s="56"/>
      <c r="AQ276" s="59"/>
      <c r="AR276" s="60"/>
      <c r="AS276" s="54"/>
    </row>
    <row r="277" spans="1:45" ht="21.25" customHeight="1" x14ac:dyDescent="0.15">
      <c r="A277" s="45">
        <f>RANK(K277,K$1:K$665)</f>
        <v>276</v>
      </c>
      <c r="B277" s="9" t="s">
        <v>402</v>
      </c>
      <c r="C277" s="46" t="s">
        <v>127</v>
      </c>
      <c r="D277" s="47" t="str">
        <f>VLOOKUP(B277,'Player Data'!A1:D667,4,FALSE)</f>
        <v>LW</v>
      </c>
      <c r="E277" s="70">
        <f>VLOOKUP(B277,LW!A1:C152,3,FALSE)</f>
        <v>66</v>
      </c>
      <c r="F277" s="65" t="str">
        <f>VLOOKUP(B277,'Player Data'!A1:B667,2,FALSE)</f>
        <v>WSH</v>
      </c>
      <c r="G277" s="10">
        <f>VLOOKUP(B277,'Player Data'!A1:D667,3,FALSE)</f>
        <v>28</v>
      </c>
      <c r="H277" s="67">
        <f>IFERROR(VLOOKUP(B277,ADP!A1:G665,7,FALSE)/1000000,VLOOKUP(B277,ADP!A1:G665,7,FALSE))</f>
        <v>5.8</v>
      </c>
      <c r="I277" s="51">
        <f>IF(Settings!$E$15="POINTS",((R277*Q277)*Settings!$B$12)+(S277*Settings!$B$2)+(T277*Settings!$B$3)+(U277*Settings!$B$4)+(V277*Settings!$B$5)+(X277*Settings!$B$9)+(AA277*Settings!$B$6)+(W277*Settings!$B$8)+(AB277*Settings!$B$7)+(AC277*Settings!$B$14)+(AD277*Settings!$B$15)+(AE277*Settings!$B$16)+(AF277*Settings!$B$17)+(AG277*Settings!$B$18)+(Y277*Settings!$B$10)+(Z277*Settings!$B$11),VLOOKUP(B277,'Standard Deviations'!A1:C666,3,FALSE))</f>
        <v>238.20121109047977</v>
      </c>
      <c r="J277" s="52">
        <f>IF(D277="G",I277/AJ277,I277/Q277)</f>
        <v>2.948490931028684</v>
      </c>
      <c r="K277" s="51">
        <f>IF(Settings!$E$18="C/LW/RW",VLOOKUP(B277,LW!A1:F152,6,FALSE),VLOOKUP(B277,F!A1:F392,6,FALSE))</f>
        <v>-142.86030121201998</v>
      </c>
      <c r="L277" s="53">
        <f>IFERROR(K277/H277,"N/A")</f>
        <v>-24.631086415865514</v>
      </c>
      <c r="M277" s="83" t="str">
        <f>IF(Settings!$E$9="YAHOO",VLOOKUP(B277,ADP!A1:E665,2,FALSE),IF(Settings!$E$9="ESPN",VLOOKUP(B277,ADP!A1:E665,3,FALSE),IF(Settings!$E$9="FANTRAX",VLOOKUP(B277,ADP!A1:E665,4,FALSE),VLOOKUP(B277,ADP!A1:E665,5,FALSE))))</f>
        <v>—</v>
      </c>
      <c r="N277" s="83" t="str">
        <f>IFERROR(M277-A277,"N/A")</f>
        <v>N/A</v>
      </c>
      <c r="O277" s="54"/>
      <c r="P277" s="55" t="str">
        <f>IF(Settings!$E$27="ON",VLOOKUP(B277,ADP!A1:H665,8,FALSE)," ")</f>
        <v xml:space="preserve"> </v>
      </c>
      <c r="Q277" s="56">
        <f>IF(Settings!$E$12="YES",VLOOKUP(B277,'Player Data'!A1:E667,5,FALSE),82)</f>
        <v>80.787499999999994</v>
      </c>
      <c r="R277" s="54">
        <f>VLOOKUP(B277,'Player Data'!$A1:$AE667,6,FALSE)</f>
        <v>16.8166595445281</v>
      </c>
      <c r="S277" s="56">
        <f>VLOOKUP(B277,'Player Data'!$A1:$AE667,7,FALSE)*$Q277*IFERROR((VLOOKUP(P277,Settings!$E$28:$F$33,2,FALSE)+1),1)</f>
        <v>18.997448584160278</v>
      </c>
      <c r="T277" s="56">
        <f>VLOOKUP(B277,'Player Data'!$A1:$AE667,8,FALSE)*$Q277*IFERROR((VLOOKUP(P277,Settings!$E$28:$F$33,2,FALSE)+1),1)</f>
        <v>25.517893282933166</v>
      </c>
      <c r="U277" s="56">
        <f>SUM(S277:T277)</f>
        <v>44.51534186709344</v>
      </c>
      <c r="V277" s="56">
        <f>VLOOKUP(B277,'Player Data'!$A1:$AE667,10,FALSE)*$Q277*IFERROR(((VLOOKUP(P277,Settings!$E$28:$F$33,2,FALSE)/2)+1),1)</f>
        <v>160.21859619334265</v>
      </c>
      <c r="W277" s="56">
        <f>VLOOKUP(B277,'Player Data'!$A1:$AE667,11,FALSE)*$Q277*IFERROR((VLOOKUP(P277,Settings!$E$28:$F$33,2,FALSE)+1),1)</f>
        <v>3.6400724876321049</v>
      </c>
      <c r="X277" s="56">
        <f>VLOOKUP(B277,'Player Data'!$A1:$AE667,12,FALSE)*$Q277*IFERROR((VLOOKUP(P277,Settings!$E$28:$F$33,2,FALSE)+1),1)</f>
        <v>6.4030972746159742</v>
      </c>
      <c r="Y277" s="56">
        <f>VLOOKUP(B277,'Player Data'!$A1:$AE667,13,FALSE)*$Q277</f>
        <v>0.62455009860196964</v>
      </c>
      <c r="Z277" s="56">
        <f>VLOOKUP(B277,'Player Data'!$A1:$AE667,14,FALSE)*$Q277</f>
        <v>1.1747938832700116</v>
      </c>
      <c r="AA277" s="56">
        <f>VLOOKUP(B277,'Player Data'!$A1:$AE667,15,FALSE)*$Q277</f>
        <v>33.935992469284216</v>
      </c>
      <c r="AB277" s="56">
        <f>VLOOKUP(B277,'Player Data'!$A1:$AE667,16,FALSE)*$Q277</f>
        <v>90.297296605986801</v>
      </c>
      <c r="AC277" s="56">
        <f>VLOOKUP(B277,'Player Data'!$A1:$AE667,17,FALSE)*$Q277*IFERROR((VLOOKUP(P277,Settings!$E$28:$F$33,2,FALSE)+1),1)</f>
        <v>-0.85802989510031291</v>
      </c>
      <c r="AD277" s="56">
        <f>VLOOKUP(B277,'Player Data'!$A1:$AE667,18,FALSE)*$Q277</f>
        <v>37.019363047836784</v>
      </c>
      <c r="AE277" s="56">
        <f>VLOOKUP(B277,'Player Data'!$A1:$AE667,19,FALSE)*$Q277*IFERROR((VLOOKUP(P277,Settings!$E$28:$F$33,2,FALSE)+1),1)</f>
        <v>2.695976087759036</v>
      </c>
      <c r="AF277" s="56">
        <f>VLOOKUP(B277,'Player Data'!$A1:$AE667,20,FALSE)*$Q277</f>
        <v>7.8667914013332769</v>
      </c>
      <c r="AG277" s="56">
        <f>VLOOKUP(B277,'Player Data'!$A1:$AE667,21,FALSE)*$Q277</f>
        <v>10.934371734837343</v>
      </c>
      <c r="AH277" s="58">
        <f>VLOOKUP(B277,'Player Data'!$A1:$AE667,22,FALSE)</f>
        <v>0.41842046390197801</v>
      </c>
      <c r="AI277" s="54"/>
      <c r="AJ277" s="56"/>
      <c r="AK277" s="56"/>
      <c r="AL277" s="56"/>
      <c r="AM277" s="56"/>
      <c r="AN277" s="56"/>
      <c r="AO277" s="56"/>
      <c r="AP277" s="56"/>
      <c r="AQ277" s="59"/>
      <c r="AR277" s="60"/>
      <c r="AS277" s="64"/>
    </row>
    <row r="278" spans="1:45" ht="21.25" customHeight="1" x14ac:dyDescent="0.15">
      <c r="A278" s="45">
        <f>RANK(K278,K$1:K$665)</f>
        <v>277</v>
      </c>
      <c r="B278" s="9" t="s">
        <v>403</v>
      </c>
      <c r="C278" s="46" t="s">
        <v>127</v>
      </c>
      <c r="D278" s="47" t="str">
        <f>VLOOKUP(B278,'Player Data'!A1:D667,4,FALSE)</f>
        <v>D</v>
      </c>
      <c r="E278" s="66">
        <f>VLOOKUP(B278,D!A1:C213,3,FALSE)</f>
        <v>85</v>
      </c>
      <c r="F278" s="71" t="str">
        <f>VLOOKUP(B278,'Player Data'!A1:B667,2,FALSE)</f>
        <v>NYR</v>
      </c>
      <c r="G278" s="69">
        <f>VLOOKUP(B278,'Player Data'!A1:D667,3,FALSE)</f>
        <v>22</v>
      </c>
      <c r="H278" s="50">
        <f>IFERROR(VLOOKUP(B278,ADP!A1:G665,7,FALSE)/1000000,VLOOKUP(B278,ADP!A1:G665,7,FALSE))</f>
        <v>2.2000000000000002</v>
      </c>
      <c r="I278" s="51">
        <f>IF(Settings!$E$15="POINTS",((R278*Q278)*Settings!$B$12)+(S278*Settings!$B$2)+(T278*Settings!$B$3)+(U278*Settings!$B$4)+(V278*Settings!$B$5)+(X278*Settings!$B$9)+(AA278*Settings!$B$6)+(W278*Settings!$B$8)+(AB278*Settings!$B$7)+(AC278*Settings!$B$14)+(AD278*Settings!$B$15)+(AE278*Settings!$B$16)+(AF278*Settings!$B$17)+(AG278*Settings!$B$18)+(U278*Settings!$B$13)+(Y278*Settings!$B$10)+(Z278*Settings!$B$11),VLOOKUP(B278,'Standard Deviations'!A1:C666,3,FALSE))</f>
        <v>193.04640429540291</v>
      </c>
      <c r="J278" s="52">
        <f>IF(D278="G",I278/AJ278,I278/Q278)</f>
        <v>2.4751919004443104</v>
      </c>
      <c r="K278" s="51">
        <f>VLOOKUP(B278,D!A1:F213,6,FALSE)</f>
        <v>-143.187720750192</v>
      </c>
      <c r="L278" s="53">
        <f>IFERROR(K278/H278,"N/A")</f>
        <v>-65.085327613723635</v>
      </c>
      <c r="M278" s="54">
        <f>IF(Settings!$E$9="YAHOO",VLOOKUP(B278,ADP!A1:E665,2,FALSE),IF(Settings!$E$9="ESPN",VLOOKUP(B278,ADP!A1:E665,3,FALSE),IF(Settings!$E$9="FANTRAX",VLOOKUP(B278,ADP!A1:E665,4,FALSE),VLOOKUP(B278,ADP!A1:E665,5,FALSE))))</f>
        <v>168</v>
      </c>
      <c r="N278" s="54">
        <f>IFERROR(M278-A278,"N/A")</f>
        <v>-109</v>
      </c>
      <c r="O278" s="54"/>
      <c r="P278" s="55" t="str">
        <f>IF(Settings!$E$27="ON",VLOOKUP(B278,ADP!A1:H665,8,FALSE)," ")</f>
        <v xml:space="preserve"> </v>
      </c>
      <c r="Q278" s="56">
        <f>IF(Settings!$E$12="YES",VLOOKUP(B278,'Player Data'!A1:E667,5,FALSE),82)</f>
        <v>77.992500000000007</v>
      </c>
      <c r="R278" s="75">
        <f>VLOOKUP(B278,'Player Data'!$A1:$AE667,6,FALSE)</f>
        <v>18.865323542578299</v>
      </c>
      <c r="S278" s="56">
        <f>VLOOKUP(B278,'Player Data'!$A1:$AE667,7,FALSE)*$Q278*IFERROR((VLOOKUP(P278,Settings!$E$28:$F$33,2,FALSE)+1),1)</f>
        <v>5.8897395104792878</v>
      </c>
      <c r="T278" s="56">
        <f>VLOOKUP(B278,'Player Data'!$A1:$AE667,8,FALSE)*$Q278*IFERROR((VLOOKUP(P278,Settings!$E$28:$F$33,2,FALSE)+1),1)</f>
        <v>17.761391531634818</v>
      </c>
      <c r="U278" s="56">
        <f>SUM(S278:T278)</f>
        <v>23.651131042114105</v>
      </c>
      <c r="V278" s="56">
        <f>VLOOKUP(B278,'Player Data'!$A1:$AE667,10,FALSE)*$Q278*IFERROR(((VLOOKUP(P278,Settings!$E$28:$F$33,2,FALSE)/2)+1),1)</f>
        <v>100.61935114824941</v>
      </c>
      <c r="W278" s="56">
        <f>VLOOKUP(B278,'Player Data'!$A1:$AE667,11,FALSE)*$Q278*IFERROR((VLOOKUP(P278,Settings!$E$28:$F$33,2,FALSE)+1),1)</f>
        <v>7.6010965456305441E-3</v>
      </c>
      <c r="X278" s="56">
        <f>VLOOKUP(B278,'Player Data'!$A1:$AE667,12,FALSE)*$Q278*IFERROR((VLOOKUP(P278,Settings!$E$28:$F$33,2,FALSE)+1),1)</f>
        <v>6.0144731035603811E-2</v>
      </c>
      <c r="Y278" s="56">
        <f>VLOOKUP(B278,'Player Data'!$A1:$AE667,13,FALSE)*$Q278</f>
        <v>0.49903429914723363</v>
      </c>
      <c r="Z278" s="56">
        <f>VLOOKUP(B278,'Player Data'!$A1:$AE667,14,FALSE)*$Q278</f>
        <v>0.60582167206286219</v>
      </c>
      <c r="AA278" s="56">
        <f>VLOOKUP(B278,'Player Data'!$A1:$AE667,15,FALSE)*$Q278</f>
        <v>142.23473838367488</v>
      </c>
      <c r="AB278" s="56">
        <f>VLOOKUP(B278,'Player Data'!$A1:$AE667,16,FALSE)*$Q278</f>
        <v>160.66338916270135</v>
      </c>
      <c r="AC278" s="56">
        <f>VLOOKUP(B278,'Player Data'!$A1:$AE667,17,FALSE)*$Q278*IFERROR((VLOOKUP(P278,Settings!$E$28:$F$33,2,FALSE)+1),1)</f>
        <v>2.3110723411603935</v>
      </c>
      <c r="AD278" s="56">
        <f>VLOOKUP(B278,'Player Data'!$A1:$AE667,18,FALSE)*$Q278</f>
        <v>22.726637755708833</v>
      </c>
      <c r="AE278" s="56">
        <f>VLOOKUP(B278,'Player Data'!$A1:$AE667,19,FALSE)*$Q278*IFERROR((VLOOKUP(P278,Settings!$E$28:$F$33,2,FALSE)+1),1)</f>
        <v>0.96272683047932783</v>
      </c>
      <c r="AF278" s="56">
        <f>VLOOKUP(B278,'Player Data'!$A1:$AE667,20,FALSE)*$Q278</f>
        <v>0</v>
      </c>
      <c r="AG278" s="56">
        <f>VLOOKUP(B278,'Player Data'!$A1:$AE667,21,FALSE)*$Q278</f>
        <v>0</v>
      </c>
      <c r="AH278" s="58">
        <f>VLOOKUP(B278,'Player Data'!$A1:$AE667,22,FALSE)</f>
        <v>0</v>
      </c>
      <c r="AI278" s="54"/>
      <c r="AJ278" s="56"/>
      <c r="AK278" s="56"/>
      <c r="AL278" s="56"/>
      <c r="AM278" s="56"/>
      <c r="AN278" s="56"/>
      <c r="AO278" s="56"/>
      <c r="AP278" s="56"/>
      <c r="AQ278" s="59"/>
      <c r="AR278" s="60"/>
      <c r="AS278" s="54"/>
    </row>
    <row r="279" spans="1:45" ht="21.25" customHeight="1" x14ac:dyDescent="0.15">
      <c r="A279" s="45">
        <f>RANK(K279,K$1:K$665)</f>
        <v>278</v>
      </c>
      <c r="B279" s="9" t="s">
        <v>404</v>
      </c>
      <c r="C279" s="46" t="s">
        <v>127</v>
      </c>
      <c r="D279" s="47" t="str">
        <f>VLOOKUP(B279,'Player Data'!A1:D667,4,FALSE)</f>
        <v>G</v>
      </c>
      <c r="E279" s="73">
        <f>VLOOKUP(B279,G!A1:D65,3,FALSE)</f>
        <v>31</v>
      </c>
      <c r="F279" s="65" t="str">
        <f>VLOOKUP(B279,'Player Data'!A1:B667,2,FALSE)</f>
        <v>CGY</v>
      </c>
      <c r="G279" s="69">
        <f>VLOOKUP(B279,'Player Data'!A1:D667,3,FALSE)</f>
        <v>23</v>
      </c>
      <c r="H279" s="50">
        <f>IFERROR(VLOOKUP(B279,ADP!A1:G665,7,FALSE)/1000000,VLOOKUP(B279,ADP!A1:G665,7,FALSE))</f>
        <v>0.85</v>
      </c>
      <c r="I279" s="51">
        <f>IF(Settings!$E$15="POINTS",(AJ279*Settings!$B$29)+(AK279*Settings!$B$21)+(AL279*Settings!$B$22)+(AN279*Settings!$B$24)+(AO279*Settings!$B$25)+(AP279*Settings!$B$27)+(AM279*Settings!$B$23),VLOOKUP(B279,'Standard Deviations'!A1:C666,3,FALSE))</f>
        <v>267.32119400874831</v>
      </c>
      <c r="J279" s="52">
        <f>IF(D279="G",I279/AJ279,I279/Q279)</f>
        <v>6.3647903335416265</v>
      </c>
      <c r="K279" s="51">
        <f>VLOOKUP(B279,G!A1:F65,6,FALSE)</f>
        <v>-143.33854876067187</v>
      </c>
      <c r="L279" s="53">
        <f>IFERROR(K279/H279,"N/A")</f>
        <v>-168.63358677726103</v>
      </c>
      <c r="M279" s="54">
        <f>IF(Settings!$E$9="YAHOO",VLOOKUP(B279,ADP!A1:E665,2,FALSE),IF(Settings!$E$9="ESPN",VLOOKUP(B279,ADP!A1:E665,3,FALSE),IF(Settings!$E$9="FANTRAX",VLOOKUP(B279,ADP!A1:E665,4,FALSE),VLOOKUP(B279,ADP!A1:E665,5,FALSE))))</f>
        <v>161</v>
      </c>
      <c r="N279" s="54">
        <f>IFERROR(M279-A279,"N/A")</f>
        <v>-117</v>
      </c>
      <c r="O279" s="54"/>
      <c r="P279" s="55" t="str">
        <f>IF(Settings!$E$27="ON",VLOOKUP(B279,ADP!A1:H665,8,FALSE)," ")</f>
        <v xml:space="preserve"> </v>
      </c>
      <c r="Q279" s="56"/>
      <c r="R279" s="54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8"/>
      <c r="AI279" s="54"/>
      <c r="AJ279" s="64">
        <f>VLOOKUP(B279,'Player Data'!$A1:$AE667,24,FALSE)</f>
        <v>42</v>
      </c>
      <c r="AK279" s="56">
        <f>VLOOKUP(B279,'Player Data'!$A1:$AE667,25,FALSE)*$AJ279*IFERROR((VLOOKUP(P279,Settings!$E$28:$F$33,2,FALSE)+1),1)</f>
        <v>18.903640024509365</v>
      </c>
      <c r="AL279" s="56">
        <f>AJ279-AK279-AM279</f>
        <v>17.846359975490635</v>
      </c>
      <c r="AM279" s="56">
        <f>VLOOKUP(B279,'Player Data'!$A1:$AE667,27,FALSE)*$AJ279</f>
        <v>5.25</v>
      </c>
      <c r="AN279" s="56">
        <f>VLOOKUP(B279,'Player Data'!$A1:$AE667,28,FALSE)*AJ279</f>
        <v>1.8424489445610404</v>
      </c>
      <c r="AO279" s="56">
        <f>VLOOKUP(B279,'Player Data'!$A1:$AE667,29,FALSE)*$AJ279*IFERROR((VLOOKUP(P279,Settings!$E$28:$F$33,2,FALSE)/4)+1,1)</f>
        <v>1166.1848478881916</v>
      </c>
      <c r="AP279" s="56">
        <f>VLOOKUP(B279,'Player Data'!$A1:$AE667,31,FALSE)*$AJ279*(IFERROR(1-(VLOOKUP(P279,Settings!$E$28:$F$33,2,FALSE)/4),1))</f>
        <v>124.77486631781221</v>
      </c>
      <c r="AQ279" s="59">
        <f>1-(AP279/(AO279+AP279))</f>
        <v>0.9033472036774175</v>
      </c>
      <c r="AR279" s="60">
        <f>AP279/AJ279</f>
        <v>2.9708301504241001</v>
      </c>
      <c r="AS279" s="54"/>
    </row>
    <row r="280" spans="1:45" ht="21.25" customHeight="1" x14ac:dyDescent="0.15">
      <c r="A280" s="45">
        <f>RANK(K280,K$1:K$665)</f>
        <v>279</v>
      </c>
      <c r="B280" s="9" t="s">
        <v>405</v>
      </c>
      <c r="C280" s="46" t="s">
        <v>127</v>
      </c>
      <c r="D280" s="47" t="str">
        <f>VLOOKUP(B280,'Player Data'!A1:D667,4,FALSE)</f>
        <v>C</v>
      </c>
      <c r="E280" s="48">
        <f>VLOOKUP(B280,'C'!A1:C206,3,FALSE)</f>
        <v>81</v>
      </c>
      <c r="F280" s="80" t="str">
        <f>VLOOKUP(B280,'Player Data'!A1:B667,2,FALSE)</f>
        <v>PHI</v>
      </c>
      <c r="G280" s="10">
        <f>VLOOKUP(B280,'Player Data'!A1:D667,3,FALSE)</f>
        <v>25</v>
      </c>
      <c r="H280" s="67">
        <f>IFERROR(VLOOKUP(B280,ADP!A1:G665,7,FALSE)/1000000,VLOOKUP(B280,ADP!A1:G665,7,FALSE))</f>
        <v>2.1</v>
      </c>
      <c r="I280" s="51">
        <f>IF(Settings!$E$15="POINTS",((R280*Q280)*Settings!$B$12)+(S280*Settings!$B$2)+(T280*Settings!$B$3)+(U280*Settings!$B$4)+(V280*Settings!$B$5)+(X280*Settings!$B$9)+(AA280*Settings!$B$6)+(W280*Settings!$B$8)+(AB280*Settings!$B$7)+(AC280*Settings!$B$14)+(AD280*Settings!$B$15)+(AE280*Settings!$B$16)+(AF280*Settings!$B$17)+(AG280*Settings!$B$18)+(Y280*Settings!$B$10)+(Z280*Settings!$B$11),VLOOKUP(B280,'Standard Deviations'!A1:C666,3,FALSE))</f>
        <v>246.59000229247178</v>
      </c>
      <c r="J280" s="52">
        <f>IF(D280="G",I280/AJ280,I280/Q280)</f>
        <v>3.1925168603375429</v>
      </c>
      <c r="K280" s="51">
        <f>IF(Settings!$E$18="C/LW/RW",VLOOKUP(B280,'C'!A1:F206,6,FALSE),VLOOKUP(B280,F!A1:F392,6,FALSE))</f>
        <v>-143.34715548560931</v>
      </c>
      <c r="L280" s="53">
        <f>IFERROR(K280/H280,"N/A")</f>
        <v>-68.260550231242519</v>
      </c>
      <c r="M280" s="83" t="str">
        <f>IF(Settings!$E$9="YAHOO",VLOOKUP(B280,ADP!A1:E665,2,FALSE),IF(Settings!$E$9="ESPN",VLOOKUP(B280,ADP!A1:E665,3,FALSE),IF(Settings!$E$9="FANTRAX",VLOOKUP(B280,ADP!A1:E665,4,FALSE),VLOOKUP(B280,ADP!A1:E665,5,FALSE))))</f>
        <v>—</v>
      </c>
      <c r="N280" s="83" t="str">
        <f>IFERROR(M280-A280,"N/A")</f>
        <v>N/A</v>
      </c>
      <c r="O280" s="54"/>
      <c r="P280" s="55" t="str">
        <f>IF(Settings!$E$27="ON",VLOOKUP(B280,ADP!A1:H665,8,FALSE)," ")</f>
        <v xml:space="preserve"> </v>
      </c>
      <c r="Q280" s="56">
        <f>IF(Settings!$E$12="YES",VLOOKUP(B280,'Player Data'!A1:E667,5,FALSE),82)</f>
        <v>77.239999999999995</v>
      </c>
      <c r="R280" s="54">
        <f>VLOOKUP(B280,'Player Data'!$A1:$AE667,6,FALSE)</f>
        <v>16.237837213608401</v>
      </c>
      <c r="S280" s="56">
        <f>VLOOKUP(B280,'Player Data'!$A1:$AE667,7,FALSE)*$Q280*IFERROR((VLOOKUP(P280,Settings!$E$28:$F$33,2,FALSE)+1),1)</f>
        <v>16.58106043290779</v>
      </c>
      <c r="T280" s="56">
        <f>VLOOKUP(B280,'Player Data'!$A1:$AE667,8,FALSE)*$Q280*IFERROR((VLOOKUP(P280,Settings!$E$28:$F$33,2,FALSE)+1),1)</f>
        <v>28.545249464831134</v>
      </c>
      <c r="U280" s="56">
        <f>SUM(S280:T280)</f>
        <v>45.126309897738921</v>
      </c>
      <c r="V280" s="56">
        <f>VLOOKUP(B280,'Player Data'!$A1:$AE667,10,FALSE)*$Q280*IFERROR(((VLOOKUP(P280,Settings!$E$28:$F$33,2,FALSE)/2)+1),1)</f>
        <v>149.52427979637571</v>
      </c>
      <c r="W280" s="56">
        <f>VLOOKUP(B280,'Player Data'!$A1:$AE667,11,FALSE)*$Q280*IFERROR((VLOOKUP(P280,Settings!$E$28:$F$33,2,FALSE)+1),1)</f>
        <v>2.7351643158016774</v>
      </c>
      <c r="X280" s="78">
        <f>VLOOKUP(B280,'Player Data'!$A1:$AE667,12,FALSE)*$Q280*IFERROR((VLOOKUP(P280,Settings!$E$28:$F$33,2,FALSE)+1),1)</f>
        <v>9.2924230902933616</v>
      </c>
      <c r="Y280" s="56">
        <f>VLOOKUP(B280,'Player Data'!$A1:$AE667,13,FALSE)*$Q280</f>
        <v>1.2023066268599336E-2</v>
      </c>
      <c r="Z280" s="56">
        <f>VLOOKUP(B280,'Player Data'!$A1:$AE667,14,FALSE)*$Q280</f>
        <v>2.0264926424598095E-2</v>
      </c>
      <c r="AA280" s="56">
        <f>VLOOKUP(B280,'Player Data'!$A1:$AE667,15,FALSE)*$Q280</f>
        <v>54.272489368698345</v>
      </c>
      <c r="AB280" s="56">
        <f>VLOOKUP(B280,'Player Data'!$A1:$AE667,16,FALSE)*$Q280</f>
        <v>69.633623200997008</v>
      </c>
      <c r="AC280" s="56">
        <f>VLOOKUP(B280,'Player Data'!$A1:$AE667,17,FALSE)*$Q280*IFERROR((VLOOKUP(P280,Settings!$E$28:$F$33,2,FALSE)+1),1)</f>
        <v>-1.201624147799158</v>
      </c>
      <c r="AD280" s="56">
        <f>VLOOKUP(B280,'Player Data'!$A1:$AE667,18,FALSE)*$Q280</f>
        <v>25.808591636474194</v>
      </c>
      <c r="AE280" s="56">
        <f>VLOOKUP(B280,'Player Data'!$A1:$AE667,19,FALSE)*$Q280*IFERROR((VLOOKUP(P280,Settings!$E$28:$F$33,2,FALSE)+1),1)</f>
        <v>2.4034168669998639</v>
      </c>
      <c r="AF280" s="56">
        <f>VLOOKUP(B280,'Player Data'!$A1:$AE667,20,FALSE)*$Q280</f>
        <v>430.20831988516937</v>
      </c>
      <c r="AG280" s="56">
        <f>VLOOKUP(B280,'Player Data'!$A1:$AE667,21,FALSE)*$Q280</f>
        <v>469.95304075135414</v>
      </c>
      <c r="AH280" s="58">
        <f>VLOOKUP(B280,'Player Data'!$A1:$AE667,22,FALSE)</f>
        <v>0.47792355759522898</v>
      </c>
      <c r="AI280" s="54"/>
      <c r="AJ280" s="64"/>
      <c r="AK280" s="56"/>
      <c r="AL280" s="56"/>
      <c r="AM280" s="56"/>
      <c r="AN280" s="56"/>
      <c r="AO280" s="56"/>
      <c r="AP280" s="56"/>
      <c r="AQ280" s="59"/>
      <c r="AR280" s="60"/>
      <c r="AS280" s="54"/>
    </row>
    <row r="281" spans="1:45" ht="21.25" customHeight="1" x14ac:dyDescent="0.15">
      <c r="A281" s="45">
        <f>RANK(K281,K$1:K$665)</f>
        <v>280</v>
      </c>
      <c r="B281" s="9" t="s">
        <v>406</v>
      </c>
      <c r="C281" s="46" t="s">
        <v>127</v>
      </c>
      <c r="D281" s="47" t="str">
        <f>VLOOKUP(B281,'Player Data'!A1:D667,4,FALSE)</f>
        <v>C/LW</v>
      </c>
      <c r="E281" s="68">
        <f>VLOOKUP(B281,LW!A1:C152,3,FALSE)</f>
        <v>67</v>
      </c>
      <c r="F281" s="55" t="str">
        <f>VLOOKUP(B281,'Player Data'!A1:B667,2,FALSE)</f>
        <v>WPG</v>
      </c>
      <c r="G281" s="69">
        <f>VLOOKUP(B281,'Player Data'!A1:D667,3,FALSE)</f>
        <v>22</v>
      </c>
      <c r="H281" s="65" t="str">
        <f>IFERROR(VLOOKUP(B281,ADP!A1:G665,7,FALSE)/1000000,VLOOKUP(B281,ADP!A1:G665,7,FALSE))</f>
        <v>RFA</v>
      </c>
      <c r="I281" s="51">
        <f>IF(Settings!$E$15="POINTS",((R281*Q281)*Settings!$B$12)+(S281*Settings!$B$2)+(T281*Settings!$B$3)+(U281*Settings!$B$4)+(V281*Settings!$B$5)+(X281*Settings!$B$9)+(AA281*Settings!$B$6)+(W281*Settings!$B$8)+(AB281*Settings!$B$7)+(AC281*Settings!$B$14)+(AD281*Settings!$B$15)+(AE281*Settings!$B$16)+(AF281*Settings!$B$17)+(AG281*Settings!$B$18)+(Y281*Settings!$B$10)+(Z281*Settings!$B$11),VLOOKUP(B281,'Standard Deviations'!A1:C666,3,FALSE))</f>
        <v>237.23178060390947</v>
      </c>
      <c r="J281" s="52">
        <f>IF(D281="G",I281/AJ281,I281/Q281)</f>
        <v>3.2624875280741175</v>
      </c>
      <c r="K281" s="51">
        <f>IF(Settings!$E$18="C/LW/RW",VLOOKUP(B281,LW!A1:F152,6,FALSE),VLOOKUP(B281,F!A1:F392,6,FALSE))</f>
        <v>-143.82973169859028</v>
      </c>
      <c r="L281" s="76" t="str">
        <f>IFERROR(K281/H281,"N/A")</f>
        <v>N/A</v>
      </c>
      <c r="M281" s="83" t="str">
        <f>IF(Settings!$E$9="YAHOO",VLOOKUP(B281,ADP!A1:E665,2,FALSE),IF(Settings!$E$9="ESPN",VLOOKUP(B281,ADP!A1:E665,3,FALSE),IF(Settings!$E$9="FANTRAX",VLOOKUP(B281,ADP!A1:E665,4,FALSE),VLOOKUP(B281,ADP!A1:E665,5,FALSE))))</f>
        <v>—</v>
      </c>
      <c r="N281" s="83" t="str">
        <f>IFERROR(M281-A281,"N/A")</f>
        <v>N/A</v>
      </c>
      <c r="O281" s="54"/>
      <c r="P281" s="55" t="str">
        <f>IF(Settings!$E$27="ON",VLOOKUP(B281,ADP!A1:H665,8,FALSE)," ")</f>
        <v xml:space="preserve"> </v>
      </c>
      <c r="Q281" s="56">
        <f>IF(Settings!$E$12="YES",VLOOKUP(B281,'Player Data'!A1:E667,5,FALSE),82)</f>
        <v>72.715000000000003</v>
      </c>
      <c r="R281" s="75">
        <f>VLOOKUP(B281,'Player Data'!$A1:$AE667,6,FALSE)</f>
        <v>15.1703224022207</v>
      </c>
      <c r="S281" s="56">
        <f>VLOOKUP(B281,'Player Data'!$A1:$AE667,7,FALSE)*$Q281*IFERROR((VLOOKUP(P281,Settings!$E$28:$F$33,2,FALSE)+1),1)</f>
        <v>18.710895965664996</v>
      </c>
      <c r="T281" s="56">
        <f>VLOOKUP(B281,'Player Data'!$A1:$AE667,8,FALSE)*$Q281*IFERROR((VLOOKUP(P281,Settings!$E$28:$F$33,2,FALSE)+1),1)</f>
        <v>26.565487459467228</v>
      </c>
      <c r="U281" s="56">
        <f>SUM(S281:T281)</f>
        <v>45.276383425132224</v>
      </c>
      <c r="V281" s="56">
        <f>VLOOKUP(B281,'Player Data'!$A1:$AE667,10,FALSE)*$Q281*IFERROR(((VLOOKUP(P281,Settings!$E$28:$F$33,2,FALSE)/2)+1),1)</f>
        <v>152.27185384729646</v>
      </c>
      <c r="W281" s="56">
        <f>VLOOKUP(B281,'Player Data'!$A1:$AE667,11,FALSE)*$Q281*IFERROR((VLOOKUP(P281,Settings!$E$28:$F$33,2,FALSE)+1),1)</f>
        <v>4.5020503319444094</v>
      </c>
      <c r="X281" s="56">
        <f>VLOOKUP(B281,'Player Data'!$A1:$AE667,12,FALSE)*$Q281*IFERROR((VLOOKUP(P281,Settings!$E$28:$F$33,2,FALSE)+1),1)</f>
        <v>11.092459474873658</v>
      </c>
      <c r="Y281" s="56">
        <f>VLOOKUP(B281,'Player Data'!$A1:$AE667,13,FALSE)*$Q281</f>
        <v>1.382401184286572E-3</v>
      </c>
      <c r="Z281" s="56">
        <f>VLOOKUP(B281,'Player Data'!$A1:$AE667,14,FALSE)*$Q281</f>
        <v>2.3215963173578162E-3</v>
      </c>
      <c r="AA281" s="56">
        <f>VLOOKUP(B281,'Player Data'!$A1:$AE667,15,FALSE)*$Q281</f>
        <v>28.343844667347078</v>
      </c>
      <c r="AB281" s="56">
        <f>VLOOKUP(B281,'Player Data'!$A1:$AE667,16,FALSE)*$Q281</f>
        <v>43.063531648235568</v>
      </c>
      <c r="AC281" s="56">
        <f>VLOOKUP(B281,'Player Data'!$A1:$AE667,17,FALSE)*$Q281*IFERROR((VLOOKUP(P281,Settings!$E$28:$F$33,2,FALSE)+1),1)</f>
        <v>3.8882943051372205</v>
      </c>
      <c r="AD281" s="56">
        <f>VLOOKUP(B281,'Player Data'!$A1:$AE667,18,FALSE)*$Q281</f>
        <v>19.626523758711713</v>
      </c>
      <c r="AE281" s="56">
        <f>VLOOKUP(B281,'Player Data'!$A1:$AE667,19,FALSE)*$Q281*IFERROR((VLOOKUP(P281,Settings!$E$28:$F$33,2,FALSE)+1),1)</f>
        <v>3.1102478309214203</v>
      </c>
      <c r="AF281" s="56">
        <f>VLOOKUP(B281,'Player Data'!$A1:$AE667,20,FALSE)*$Q281</f>
        <v>29.905623458182163</v>
      </c>
      <c r="AG281" s="56">
        <f>VLOOKUP(B281,'Player Data'!$A1:$AE667,21,FALSE)*$Q281</f>
        <v>67.66930940629274</v>
      </c>
      <c r="AH281" s="58">
        <f>VLOOKUP(B281,'Player Data'!$A1:$AE667,22,FALSE)</f>
        <v>0.30648879358922099</v>
      </c>
      <c r="AI281" s="54"/>
      <c r="AJ281" s="64"/>
      <c r="AK281" s="56"/>
      <c r="AL281" s="56"/>
      <c r="AM281" s="56"/>
      <c r="AN281" s="56"/>
      <c r="AO281" s="56"/>
      <c r="AP281" s="56"/>
      <c r="AQ281" s="59"/>
      <c r="AR281" s="60"/>
      <c r="AS281" s="64"/>
    </row>
    <row r="282" spans="1:45" ht="21.25" customHeight="1" x14ac:dyDescent="0.15">
      <c r="A282" s="45">
        <f>RANK(K282,K$1:K$665)</f>
        <v>281</v>
      </c>
      <c r="B282" s="9" t="s">
        <v>407</v>
      </c>
      <c r="C282" s="46" t="s">
        <v>127</v>
      </c>
      <c r="D282" s="47" t="str">
        <f>VLOOKUP(B282,'Player Data'!A1:D667,4,FALSE)</f>
        <v>LW/RW</v>
      </c>
      <c r="E282" s="68">
        <f>VLOOKUP(B282,RW!A1:C136,3,FALSE)</f>
        <v>70</v>
      </c>
      <c r="F282" s="77" t="str">
        <f>VLOOKUP(B282,'Player Data'!A1:B667,2,FALSE)</f>
        <v>S.J</v>
      </c>
      <c r="G282" s="10">
        <f>VLOOKUP(B282,'Player Data'!A1:D667,3,FALSE)</f>
        <v>25</v>
      </c>
      <c r="H282" s="67">
        <f>IFERROR(VLOOKUP(B282,ADP!A1:G665,7,FALSE)/1000000,VLOOKUP(B282,ADP!A1:G665,7,FALSE))</f>
        <v>1.45</v>
      </c>
      <c r="I282" s="51">
        <f>IF(Settings!$E$15="POINTS",((R282*Q282)*Settings!$B$12)+(S282*Settings!$B$2)+(T282*Settings!$B$3)+(U282*Settings!$B$4)+(V282*Settings!$B$5)+(X282*Settings!$B$9)+(AA282*Settings!$B$6)+(W282*Settings!$B$8)+(AB282*Settings!$B$7)+(AC282*Settings!$B$14)+(AD282*Settings!$B$15)+(AE282*Settings!$B$16)+(AF282*Settings!$B$17)+(AG282*Settings!$B$18)+(Y282*Settings!$B$10)+(Z282*Settings!$B$11),VLOOKUP(B282,'Standard Deviations'!A1:C666,3,FALSE))</f>
        <v>224.99640243912202</v>
      </c>
      <c r="J282" s="52">
        <f>IF(D282="G",I282/AJ282,I282/Q282)</f>
        <v>2.9308809384065135</v>
      </c>
      <c r="K282" s="51">
        <f>IF(Settings!$E$18="C/LW/RW",VLOOKUP(B282,RW!A1:F136,6,FALSE),VLOOKUP(B282,F!A1:F392,6,FALSE))</f>
        <v>-143.85132066717037</v>
      </c>
      <c r="L282" s="53">
        <f>IFERROR(K282/H282,"N/A")</f>
        <v>-99.207807356669221</v>
      </c>
      <c r="M282" s="83" t="str">
        <f>IF(Settings!$E$9="YAHOO",VLOOKUP(B282,ADP!A1:E665,2,FALSE),IF(Settings!$E$9="ESPN",VLOOKUP(B282,ADP!A1:E665,3,FALSE),IF(Settings!$E$9="FANTRAX",VLOOKUP(B282,ADP!A1:E665,4,FALSE),VLOOKUP(B282,ADP!A1:E665,5,FALSE))))</f>
        <v>—</v>
      </c>
      <c r="N282" s="83" t="str">
        <f>IFERROR(M282-A282,"N/A")</f>
        <v>N/A</v>
      </c>
      <c r="O282" s="54"/>
      <c r="P282" s="55" t="str">
        <f>IF(Settings!$E$27="ON",VLOOKUP(B282,ADP!A1:H665,8,FALSE)," ")</f>
        <v xml:space="preserve"> </v>
      </c>
      <c r="Q282" s="56">
        <f>IF(Settings!$E$12="YES",VLOOKUP(B282,'Player Data'!A1:E667,5,FALSE),82)</f>
        <v>76.767499999999998</v>
      </c>
      <c r="R282" s="81">
        <f>VLOOKUP(B282,'Player Data'!$A1:$AE667,6,FALSE)</f>
        <v>16.111314858347502</v>
      </c>
      <c r="S282" s="56">
        <f>VLOOKUP(B282,'Player Data'!$A1:$AE667,7,FALSE)*$Q282*IFERROR((VLOOKUP(P282,Settings!$E$28:$F$33,2,FALSE)+1),1)</f>
        <v>15.792189862469719</v>
      </c>
      <c r="T282" s="56">
        <f>VLOOKUP(B282,'Player Data'!$A1:$AE667,8,FALSE)*$Q282*IFERROR((VLOOKUP(P282,Settings!$E$28:$F$33,2,FALSE)+1),1)</f>
        <v>19.64065324991164</v>
      </c>
      <c r="U282" s="56">
        <f>SUM(S282:T282)</f>
        <v>35.432843112381363</v>
      </c>
      <c r="V282" s="56">
        <f>VLOOKUP(B282,'Player Data'!$A1:$AE667,10,FALSE)*$Q282*IFERROR(((VLOOKUP(P282,Settings!$E$28:$F$33,2,FALSE)/2)+1),1)</f>
        <v>166.03369877649641</v>
      </c>
      <c r="W282" s="56">
        <f>VLOOKUP(B282,'Player Data'!$A1:$AE667,11,FALSE)*$Q282*IFERROR((VLOOKUP(P282,Settings!$E$28:$F$33,2,FALSE)+1),1)</f>
        <v>3.899478660698048</v>
      </c>
      <c r="X282" s="56">
        <f>VLOOKUP(B282,'Player Data'!$A1:$AE667,12,FALSE)*$Q282*IFERROR((VLOOKUP(P282,Settings!$E$28:$F$33,2,FALSE)+1),1)</f>
        <v>10.482688981645349</v>
      </c>
      <c r="Y282" s="56">
        <f>VLOOKUP(B282,'Player Data'!$A1:$AE667,13,FALSE)*$Q282</f>
        <v>0.255941743575818</v>
      </c>
      <c r="Z282" s="56">
        <f>VLOOKUP(B282,'Player Data'!$A1:$AE667,14,FALSE)*$Q282</f>
        <v>0.29129400358661039</v>
      </c>
      <c r="AA282" s="56">
        <f>VLOOKUP(B282,'Player Data'!$A1:$AE667,15,FALSE)*$Q282</f>
        <v>49.814081456995552</v>
      </c>
      <c r="AB282" s="56">
        <f>VLOOKUP(B282,'Player Data'!$A1:$AE667,16,FALSE)*$Q282</f>
        <v>85.518071012471239</v>
      </c>
      <c r="AC282" s="56">
        <f>VLOOKUP(B282,'Player Data'!$A1:$AE667,17,FALSE)*$Q282*IFERROR((VLOOKUP(P282,Settings!$E$28:$F$33,2,FALSE)+1),1)</f>
        <v>-9.7040286129708182</v>
      </c>
      <c r="AD282" s="56">
        <f>VLOOKUP(B282,'Player Data'!$A1:$AE667,18,FALSE)*$Q282</f>
        <v>25.832178819554937</v>
      </c>
      <c r="AE282" s="56">
        <f>VLOOKUP(B282,'Player Data'!$A1:$AE667,19,FALSE)*$Q282*IFERROR((VLOOKUP(P282,Settings!$E$28:$F$33,2,FALSE)+1),1)</f>
        <v>1.6867657719425144</v>
      </c>
      <c r="AF282" s="56">
        <f>VLOOKUP(B282,'Player Data'!$A1:$AE667,20,FALSE)*$Q282</f>
        <v>23.089050726979266</v>
      </c>
      <c r="AG282" s="56">
        <f>VLOOKUP(B282,'Player Data'!$A1:$AE667,21,FALSE)*$Q282</f>
        <v>39.270764444141406</v>
      </c>
      <c r="AH282" s="58">
        <f>VLOOKUP(B282,'Player Data'!$A1:$AE667,22,FALSE)</f>
        <v>0.37025527839716899</v>
      </c>
      <c r="AI282" s="54"/>
      <c r="AJ282" s="64"/>
      <c r="AK282" s="56"/>
      <c r="AL282" s="56"/>
      <c r="AM282" s="56"/>
      <c r="AN282" s="56"/>
      <c r="AO282" s="56"/>
      <c r="AP282" s="56"/>
      <c r="AQ282" s="59"/>
      <c r="AR282" s="60"/>
      <c r="AS282" s="54"/>
    </row>
    <row r="283" spans="1:45" ht="21.25" customHeight="1" x14ac:dyDescent="0.15">
      <c r="A283" s="45">
        <f>RANK(K283,K$1:K$665)</f>
        <v>282</v>
      </c>
      <c r="B283" s="9" t="s">
        <v>408</v>
      </c>
      <c r="C283" s="46" t="s">
        <v>127</v>
      </c>
      <c r="D283" s="47" t="str">
        <f>VLOOKUP(B283,'Player Data'!A1:D667,4,FALSE)</f>
        <v>C/LW</v>
      </c>
      <c r="E283" s="68">
        <f>VLOOKUP(B283,LW!A1:C152,3,FALSE)</f>
        <v>68</v>
      </c>
      <c r="F283" s="82" t="str">
        <f>VLOOKUP(B283,'Player Data'!A1:B667,2,FALSE)</f>
        <v>ANA</v>
      </c>
      <c r="G283" s="63">
        <f>VLOOKUP(B283,'Player Data'!A1:D667,3,FALSE)</f>
        <v>34</v>
      </c>
      <c r="H283" s="50">
        <f>IFERROR(VLOOKUP(B283,ADP!A1:G665,7,FALSE)/1000000,VLOOKUP(B283,ADP!A1:G665,7,FALSE))</f>
        <v>6.242</v>
      </c>
      <c r="I283" s="51">
        <f>IF(Settings!$E$15="POINTS",((R283*Q283)*Settings!$B$12)+(S283*Settings!$B$2)+(T283*Settings!$B$3)+(U283*Settings!$B$4)+(V283*Settings!$B$5)+(X283*Settings!$B$9)+(AA283*Settings!$B$6)+(W283*Settings!$B$8)+(AB283*Settings!$B$7)+(AC283*Settings!$B$14)+(AD283*Settings!$B$15)+(AE283*Settings!$B$16)+(AF283*Settings!$B$17)+(AG283*Settings!$B$18)+(Y283*Settings!$B$10)+(Z283*Settings!$B$11),VLOOKUP(B283,'Standard Deviations'!A1:C666,3,FALSE))</f>
        <v>236.89469073998021</v>
      </c>
      <c r="J283" s="52">
        <f>IF(D283="G",I283/AJ283,I283/Q283)</f>
        <v>3.0117241298030093</v>
      </c>
      <c r="K283" s="51">
        <f>IF(Settings!$E$18="C/LW/RW",VLOOKUP(B283,LW!A1:F152,6,FALSE),VLOOKUP(B283,F!A1:F392,6,FALSE))</f>
        <v>-144.16682156251954</v>
      </c>
      <c r="L283" s="53">
        <f>IFERROR(K283/H283,"N/A")</f>
        <v>-23.09625465596276</v>
      </c>
      <c r="M283" s="54">
        <f>IF(Settings!$E$9="YAHOO",VLOOKUP(B283,ADP!A1:E665,2,FALSE),IF(Settings!$E$9="ESPN",VLOOKUP(B283,ADP!A1:E665,3,FALSE),IF(Settings!$E$9="FANTRAX",VLOOKUP(B283,ADP!A1:E665,4,FALSE),VLOOKUP(B283,ADP!A1:E665,5,FALSE))))</f>
        <v>167</v>
      </c>
      <c r="N283" s="54">
        <f>IFERROR(M283-A283,"N/A")</f>
        <v>-115</v>
      </c>
      <c r="O283" s="54"/>
      <c r="P283" s="55" t="str">
        <f>IF(Settings!$E$27="ON",VLOOKUP(B283,ADP!A1:H665,8,FALSE)," ")</f>
        <v xml:space="preserve"> </v>
      </c>
      <c r="Q283" s="56">
        <f>IF(Settings!$E$12="YES",VLOOKUP(B283,'Player Data'!A1:E667,5,FALSE),82)</f>
        <v>78.657499999999999</v>
      </c>
      <c r="R283" s="81">
        <f>VLOOKUP(B283,'Player Data'!$A1:$AE667,6,FALSE)</f>
        <v>17.418181699659002</v>
      </c>
      <c r="S283" s="56">
        <f>VLOOKUP(B283,'Player Data'!$A1:$AE667,7,FALSE)*$Q283*IFERROR((VLOOKUP(P283,Settings!$E$28:$F$33,2,FALSE)+1),1)</f>
        <v>20.227431949620627</v>
      </c>
      <c r="T283" s="56">
        <f>VLOOKUP(B283,'Player Data'!$A1:$AE667,8,FALSE)*$Q283*IFERROR((VLOOKUP(P283,Settings!$E$28:$F$33,2,FALSE)+1),1)</f>
        <v>25.306137282097346</v>
      </c>
      <c r="U283" s="56">
        <f>SUM(S283:T283)</f>
        <v>45.533569231717976</v>
      </c>
      <c r="V283" s="56">
        <f>VLOOKUP(B283,'Player Data'!$A1:$AE667,10,FALSE)*$Q283*IFERROR(((VLOOKUP(P283,Settings!$E$28:$F$33,2,FALSE)/2)+1),1)</f>
        <v>153.33563147706661</v>
      </c>
      <c r="W283" s="56">
        <f>VLOOKUP(B283,'Player Data'!$A1:$AE667,11,FALSE)*$Q283*IFERROR((VLOOKUP(P283,Settings!$E$28:$F$33,2,FALSE)+1),1)</f>
        <v>3.235436713181421</v>
      </c>
      <c r="X283" s="56">
        <f>VLOOKUP(B283,'Player Data'!$A1:$AE667,12,FALSE)*$Q283*IFERROR((VLOOKUP(P283,Settings!$E$28:$F$33,2,FALSE)+1),1)</f>
        <v>6.983590075996533</v>
      </c>
      <c r="Y283" s="56">
        <f>VLOOKUP(B283,'Player Data'!$A1:$AE667,13,FALSE)*$Q283</f>
        <v>0.37802374389225274</v>
      </c>
      <c r="Z283" s="56">
        <f>VLOOKUP(B283,'Player Data'!$A1:$AE667,14,FALSE)*$Q283</f>
        <v>0.74826994180980322</v>
      </c>
      <c r="AA283" s="56">
        <f>VLOOKUP(B283,'Player Data'!$A1:$AE667,15,FALSE)*$Q283</f>
        <v>31.788614576973266</v>
      </c>
      <c r="AB283" s="56">
        <f>VLOOKUP(B283,'Player Data'!$A1:$AE667,16,FALSE)*$Q283</f>
        <v>75.76401808059012</v>
      </c>
      <c r="AC283" s="56">
        <f>VLOOKUP(B283,'Player Data'!$A1:$AE667,17,FALSE)*$Q283*IFERROR((VLOOKUP(P283,Settings!$E$28:$F$33,2,FALSE)+1),1)</f>
        <v>-6.0274453794257719</v>
      </c>
      <c r="AD283" s="56">
        <f>VLOOKUP(B283,'Player Data'!$A1:$AE667,18,FALSE)*$Q283</f>
        <v>48.376125448814832</v>
      </c>
      <c r="AE283" s="56">
        <f>VLOOKUP(B283,'Player Data'!$A1:$AE667,19,FALSE)*$Q283*IFERROR((VLOOKUP(P283,Settings!$E$28:$F$33,2,FALSE)+1),1)</f>
        <v>2.3577003521533677</v>
      </c>
      <c r="AF283" s="56">
        <f>VLOOKUP(B283,'Player Data'!$A1:$AE667,20,FALSE)*$Q283</f>
        <v>11.449393841313022</v>
      </c>
      <c r="AG283" s="56">
        <f>VLOOKUP(B283,'Player Data'!$A1:$AE667,21,FALSE)*$Q283</f>
        <v>20.675510308125855</v>
      </c>
      <c r="AH283" s="58">
        <f>VLOOKUP(B283,'Player Data'!$A1:$AE667,22,FALSE)</f>
        <v>0.356402428099166</v>
      </c>
      <c r="AI283" s="54"/>
      <c r="AJ283" s="56"/>
      <c r="AK283" s="56"/>
      <c r="AL283" s="56"/>
      <c r="AM283" s="56"/>
      <c r="AN283" s="56"/>
      <c r="AO283" s="56"/>
      <c r="AP283" s="56"/>
      <c r="AQ283" s="59"/>
      <c r="AR283" s="60"/>
      <c r="AS283" s="54"/>
    </row>
    <row r="284" spans="1:45" ht="21.25" customHeight="1" x14ac:dyDescent="0.15">
      <c r="A284" s="45">
        <f>RANK(K284,K$1:K$665)</f>
        <v>283</v>
      </c>
      <c r="B284" s="9" t="s">
        <v>409</v>
      </c>
      <c r="C284" s="46" t="s">
        <v>127</v>
      </c>
      <c r="D284" s="47" t="str">
        <f>VLOOKUP(B284,'Player Data'!A1:D667,4,FALSE)</f>
        <v>D</v>
      </c>
      <c r="E284" s="66">
        <f>VLOOKUP(B284,D!A1:C213,3,FALSE)</f>
        <v>86</v>
      </c>
      <c r="F284" s="65" t="str">
        <f>VLOOKUP(B284,'Player Data'!A1:B667,2,FALSE)</f>
        <v>TOR</v>
      </c>
      <c r="G284" s="10">
        <f>VLOOKUP(B284,'Player Data'!A1:D667,3,FALSE)</f>
        <v>25</v>
      </c>
      <c r="H284" s="50">
        <f>IFERROR(VLOOKUP(B284,ADP!A1:G665,7,FALSE)/1000000,VLOOKUP(B284,ADP!A1:G665,7,FALSE))</f>
        <v>3</v>
      </c>
      <c r="I284" s="51">
        <f>IF(Settings!$E$15="POINTS",((R284*Q284)*Settings!$B$12)+(S284*Settings!$B$2)+(T284*Settings!$B$3)+(U284*Settings!$B$4)+(V284*Settings!$B$5)+(X284*Settings!$B$9)+(AA284*Settings!$B$6)+(W284*Settings!$B$8)+(AB284*Settings!$B$7)+(AC284*Settings!$B$14)+(AD284*Settings!$B$15)+(AE284*Settings!$B$16)+(AF284*Settings!$B$17)+(AG284*Settings!$B$18)+(U284*Settings!$B$13)+(Y284*Settings!$B$10)+(Z284*Settings!$B$11),VLOOKUP(B284,'Standard Deviations'!A1:C666,3,FALSE))</f>
        <v>191.78035235243823</v>
      </c>
      <c r="J284" s="52">
        <f>IF(D284="G",I284/AJ284,I284/Q284)</f>
        <v>2.6244317803960073</v>
      </c>
      <c r="K284" s="51">
        <f>VLOOKUP(B284,D!A1:F213,6,FALSE)</f>
        <v>-144.45377269315668</v>
      </c>
      <c r="L284" s="53">
        <f>IFERROR(K284/H284,"N/A")</f>
        <v>-48.15125756438556</v>
      </c>
      <c r="M284" s="83" t="str">
        <f>IF(Settings!$E$9="YAHOO",VLOOKUP(B284,ADP!A1:E665,2,FALSE),IF(Settings!$E$9="ESPN",VLOOKUP(B284,ADP!A1:E665,3,FALSE),IF(Settings!$E$9="FANTRAX",VLOOKUP(B284,ADP!A1:E665,4,FALSE),VLOOKUP(B284,ADP!A1:E665,5,FALSE))))</f>
        <v>—</v>
      </c>
      <c r="N284" s="83" t="str">
        <f>IFERROR(M284-A284,"N/A")</f>
        <v>N/A</v>
      </c>
      <c r="O284" s="54"/>
      <c r="P284" s="55" t="str">
        <f>IF(Settings!$E$27="ON",VLOOKUP(B284,ADP!A1:H665,8,FALSE)," ")</f>
        <v xml:space="preserve"> </v>
      </c>
      <c r="Q284" s="56">
        <f>IF(Settings!$E$12="YES",VLOOKUP(B284,'Player Data'!A1:E667,5,FALSE),82)</f>
        <v>73.075000000000003</v>
      </c>
      <c r="R284" s="81">
        <f>VLOOKUP(B284,'Player Data'!$A1:$AE667,6,FALSE)</f>
        <v>18.081334626240601</v>
      </c>
      <c r="S284" s="56">
        <f>VLOOKUP(B284,'Player Data'!$A1:$AE667,7,FALSE)*$Q284*IFERROR((VLOOKUP(P284,Settings!$E$28:$F$33,2,FALSE)+1),1)</f>
        <v>5.2093101131784421</v>
      </c>
      <c r="T284" s="56">
        <f>VLOOKUP(B284,'Player Data'!$A1:$AE667,8,FALSE)*$Q284*IFERROR((VLOOKUP(P284,Settings!$E$28:$F$33,2,FALSE)+1),1)</f>
        <v>21.886679052374735</v>
      </c>
      <c r="U284" s="56">
        <f>SUM(S284:T284)</f>
        <v>27.095989165553178</v>
      </c>
      <c r="V284" s="56">
        <f>VLOOKUP(B284,'Player Data'!$A1:$AE667,10,FALSE)*$Q284*IFERROR(((VLOOKUP(P284,Settings!$E$28:$F$33,2,FALSE)/2)+1),1)</f>
        <v>87.031215460968639</v>
      </c>
      <c r="W284" s="56">
        <f>VLOOKUP(B284,'Player Data'!$A1:$AE667,11,FALSE)*$Q284*IFERROR((VLOOKUP(P284,Settings!$E$28:$F$33,2,FALSE)+1),1)</f>
        <v>0.58087451026071379</v>
      </c>
      <c r="X284" s="56">
        <f>VLOOKUP(B284,'Player Data'!$A1:$AE667,12,FALSE)*$Q284*IFERROR((VLOOKUP(P284,Settings!$E$28:$F$33,2,FALSE)+1),1)</f>
        <v>7.1150035938432117</v>
      </c>
      <c r="Y284" s="56">
        <f>VLOOKUP(B284,'Player Data'!$A1:$AE667,13,FALSE)*$Q284</f>
        <v>0.16270339436886014</v>
      </c>
      <c r="Z284" s="56">
        <f>VLOOKUP(B284,'Player Data'!$A1:$AE667,14,FALSE)*$Q284</f>
        <v>0.62981853922693853</v>
      </c>
      <c r="AA284" s="56">
        <f>VLOOKUP(B284,'Player Data'!$A1:$AE667,15,FALSE)*$Q284</f>
        <v>118.46390998444848</v>
      </c>
      <c r="AB284" s="56">
        <f>VLOOKUP(B284,'Player Data'!$A1:$AE667,16,FALSE)*$Q284</f>
        <v>109.92153525231623</v>
      </c>
      <c r="AC284" s="56">
        <f>VLOOKUP(B284,'Player Data'!$A1:$AE667,17,FALSE)*$Q284*IFERROR((VLOOKUP(P284,Settings!$E$28:$F$33,2,FALSE)+1),1)</f>
        <v>6.7225015436896918</v>
      </c>
      <c r="AD284" s="56">
        <f>VLOOKUP(B284,'Player Data'!$A1:$AE667,18,FALSE)*$Q284</f>
        <v>26.354172644342889</v>
      </c>
      <c r="AE284" s="56">
        <f>VLOOKUP(B284,'Player Data'!$A1:$AE667,19,FALSE)*$Q284*IFERROR((VLOOKUP(P284,Settings!$E$28:$F$33,2,FALSE)+1),1)</f>
        <v>0.83339623809197194</v>
      </c>
      <c r="AF284" s="56">
        <f>VLOOKUP(B284,'Player Data'!$A1:$AE667,20,FALSE)*$Q284</f>
        <v>0</v>
      </c>
      <c r="AG284" s="56">
        <f>VLOOKUP(B284,'Player Data'!$A1:$AE667,21,FALSE)*$Q284</f>
        <v>0</v>
      </c>
      <c r="AH284" s="58">
        <f>VLOOKUP(B284,'Player Data'!$A1:$AE667,22,FALSE)</f>
        <v>0</v>
      </c>
      <c r="AI284" s="54"/>
      <c r="AJ284" s="56"/>
      <c r="AK284" s="56"/>
      <c r="AL284" s="56"/>
      <c r="AM284" s="56"/>
      <c r="AN284" s="56"/>
      <c r="AO284" s="56"/>
      <c r="AP284" s="56"/>
      <c r="AQ284" s="59"/>
      <c r="AR284" s="60"/>
      <c r="AS284" s="54"/>
    </row>
    <row r="285" spans="1:45" ht="21.25" customHeight="1" x14ac:dyDescent="0.15">
      <c r="A285" s="45">
        <f>RANK(K285,K$1:K$665)</f>
        <v>284</v>
      </c>
      <c r="B285" s="9" t="s">
        <v>410</v>
      </c>
      <c r="C285" s="46" t="s">
        <v>127</v>
      </c>
      <c r="D285" s="47" t="str">
        <f>VLOOKUP(B285,'Player Data'!A1:D667,4,FALSE)</f>
        <v>D</v>
      </c>
      <c r="E285" s="66">
        <f>VLOOKUP(B285,D!A1:C213,3,FALSE)</f>
        <v>87</v>
      </c>
      <c r="F285" s="65" t="str">
        <f>VLOOKUP(B285,'Player Data'!A1:B667,2,FALSE)</f>
        <v>BUF</v>
      </c>
      <c r="G285" s="69">
        <f>VLOOKUP(B285,'Player Data'!A1:D667,3,FALSE)</f>
        <v>23</v>
      </c>
      <c r="H285" s="67">
        <f>IFERROR(VLOOKUP(B285,ADP!A1:G665,7,FALSE)/1000000,VLOOKUP(B285,ADP!A1:G665,7,FALSE))</f>
        <v>3.85</v>
      </c>
      <c r="I285" s="51">
        <f>IF(Settings!$E$15="POINTS",((R285*Q285)*Settings!$B$12)+(S285*Settings!$B$2)+(T285*Settings!$B$3)+(U285*Settings!$B$4)+(V285*Settings!$B$5)+(X285*Settings!$B$9)+(AA285*Settings!$B$6)+(W285*Settings!$B$8)+(AB285*Settings!$B$7)+(AC285*Settings!$B$14)+(AD285*Settings!$B$15)+(AE285*Settings!$B$16)+(AF285*Settings!$B$17)+(AG285*Settings!$B$18)+(U285*Settings!$B$13)+(Y285*Settings!$B$10)+(Z285*Settings!$B$11),VLOOKUP(B285,'Standard Deviations'!A1:C666,3,FALSE))</f>
        <v>190.75215275575277</v>
      </c>
      <c r="J285" s="52">
        <f>IF(D285="G",I285/AJ285,I285/Q285)</f>
        <v>2.7354842111748865</v>
      </c>
      <c r="K285" s="51">
        <f>VLOOKUP(B285,D!A1:F213,6,FALSE)</f>
        <v>-145.48197228984213</v>
      </c>
      <c r="L285" s="53">
        <f>IFERROR(K285/H285,"N/A")</f>
        <v>-37.787525270088864</v>
      </c>
      <c r="M285" s="54">
        <f>IF(Settings!$E$9="YAHOO",VLOOKUP(B285,ADP!A1:E665,2,FALSE),IF(Settings!$E$9="ESPN",VLOOKUP(B285,ADP!A1:E665,3,FALSE),IF(Settings!$E$9="FANTRAX",VLOOKUP(B285,ADP!A1:E665,4,FALSE),VLOOKUP(B285,ADP!A1:E665,5,FALSE))))</f>
        <v>147.4</v>
      </c>
      <c r="N285" s="54">
        <f>IFERROR(M285-A285,"N/A")</f>
        <v>-136.6</v>
      </c>
      <c r="O285" s="54"/>
      <c r="P285" s="55" t="str">
        <f>IF(Settings!$E$27="ON",VLOOKUP(B285,ADP!A1:H665,8,FALSE)," ")</f>
        <v xml:space="preserve"> </v>
      </c>
      <c r="Q285" s="56">
        <f>IF(Settings!$E$12="YES",VLOOKUP(B285,'Player Data'!A1:E667,5,FALSE),82)</f>
        <v>69.732500000000002</v>
      </c>
      <c r="R285" s="54">
        <f>VLOOKUP(B285,'Player Data'!$A1:$AE667,6,FALSE)</f>
        <v>19.515039798718298</v>
      </c>
      <c r="S285" s="56">
        <f>VLOOKUP(B285,'Player Data'!$A1:$AE667,7,FALSE)*$Q285*IFERROR((VLOOKUP(P285,Settings!$E$28:$F$33,2,FALSE)+1),1)</f>
        <v>10.609337967981748</v>
      </c>
      <c r="T285" s="56">
        <f>VLOOKUP(B285,'Player Data'!$A1:$AE667,8,FALSE)*$Q285*IFERROR((VLOOKUP(P285,Settings!$E$28:$F$33,2,FALSE)+1),1)</f>
        <v>20.946383966989316</v>
      </c>
      <c r="U285" s="56">
        <f>SUM(S285:T285)</f>
        <v>31.555721934971064</v>
      </c>
      <c r="V285" s="56">
        <f>VLOOKUP(B285,'Player Data'!$A1:$AE667,10,FALSE)*$Q285*IFERROR(((VLOOKUP(P285,Settings!$E$28:$F$33,2,FALSE)/2)+1),1)</f>
        <v>88.712147323701487</v>
      </c>
      <c r="W285" s="56">
        <f>VLOOKUP(B285,'Player Data'!$A1:$AE667,11,FALSE)*$Q285*IFERROR((VLOOKUP(P285,Settings!$E$28:$F$33,2,FALSE)+1),1)</f>
        <v>1.3531527992858019</v>
      </c>
      <c r="X285" s="56">
        <f>VLOOKUP(B285,'Player Data'!$A1:$AE667,12,FALSE)*$Q285*IFERROR((VLOOKUP(P285,Settings!$E$28:$F$33,2,FALSE)+1),1)</f>
        <v>5.1690879556935503</v>
      </c>
      <c r="Y285" s="56">
        <f>VLOOKUP(B285,'Player Data'!$A1:$AE667,13,FALSE)*$Q285</f>
        <v>0.19804932117636742</v>
      </c>
      <c r="Z285" s="56">
        <f>VLOOKUP(B285,'Player Data'!$A1:$AE667,14,FALSE)*$Q285</f>
        <v>0.26867871490933182</v>
      </c>
      <c r="AA285" s="56">
        <f>VLOOKUP(B285,'Player Data'!$A1:$AE667,15,FALSE)*$Q285</f>
        <v>92.582293236771932</v>
      </c>
      <c r="AB285" s="56">
        <f>VLOOKUP(B285,'Player Data'!$A1:$AE667,16,FALSE)*$Q285</f>
        <v>90.836746544515933</v>
      </c>
      <c r="AC285" s="56">
        <f>VLOOKUP(B285,'Player Data'!$A1:$AE667,17,FALSE)*$Q285*IFERROR((VLOOKUP(P285,Settings!$E$28:$F$33,2,FALSE)+1),1)</f>
        <v>-1.0190094163490113</v>
      </c>
      <c r="AD285" s="56">
        <f>VLOOKUP(B285,'Player Data'!$A1:$AE667,18,FALSE)*$Q285</f>
        <v>46.600892148680408</v>
      </c>
      <c r="AE285" s="56">
        <f>VLOOKUP(B285,'Player Data'!$A1:$AE667,19,FALSE)*$Q285*IFERROR((VLOOKUP(P285,Settings!$E$28:$F$33,2,FALSE)+1),1)</f>
        <v>1.500748526583032</v>
      </c>
      <c r="AF285" s="56">
        <f>VLOOKUP(B285,'Player Data'!$A1:$AE667,20,FALSE)*$Q285</f>
        <v>0</v>
      </c>
      <c r="AG285" s="56">
        <f>VLOOKUP(B285,'Player Data'!$A1:$AE667,21,FALSE)*$Q285</f>
        <v>0</v>
      </c>
      <c r="AH285" s="58">
        <f>VLOOKUP(B285,'Player Data'!$A1:$AE667,22,FALSE)</f>
        <v>0</v>
      </c>
      <c r="AI285" s="54"/>
      <c r="AJ285" s="64"/>
      <c r="AK285" s="56"/>
      <c r="AL285" s="56"/>
      <c r="AM285" s="56"/>
      <c r="AN285" s="56"/>
      <c r="AO285" s="56"/>
      <c r="AP285" s="56"/>
      <c r="AQ285" s="59"/>
      <c r="AR285" s="60"/>
      <c r="AS285" s="54"/>
    </row>
    <row r="286" spans="1:45" ht="21.25" customHeight="1" x14ac:dyDescent="0.15">
      <c r="A286" s="45">
        <f>RANK(K286,K$1:K$665)</f>
        <v>285</v>
      </c>
      <c r="B286" s="9" t="s">
        <v>411</v>
      </c>
      <c r="C286" s="46" t="s">
        <v>127</v>
      </c>
      <c r="D286" s="47" t="str">
        <f>VLOOKUP(B286,'Player Data'!A1:D667,4,FALSE)</f>
        <v>LW/RW</v>
      </c>
      <c r="E286" s="68">
        <f>VLOOKUP(B286,RW!A1:C136,3,FALSE)</f>
        <v>71</v>
      </c>
      <c r="F286" s="55" t="str">
        <f>VLOOKUP(B286,'Player Data'!A1:B667,2,FALSE)</f>
        <v>UTA</v>
      </c>
      <c r="G286" s="10">
        <f>VLOOKUP(B286,'Player Data'!A1:D667,3,FALSE)</f>
        <v>27</v>
      </c>
      <c r="H286" s="50">
        <f>IFERROR(VLOOKUP(B286,ADP!A1:G665,7,FALSE)/1000000,VLOOKUP(B286,ADP!A1:G665,7,FALSE))</f>
        <v>4.3</v>
      </c>
      <c r="I286" s="51">
        <f>IF(Settings!$E$15="POINTS",((R286*Q286)*Settings!$B$12)+(S286*Settings!$B$2)+(T286*Settings!$B$3)+(U286*Settings!$B$4)+(V286*Settings!$B$5)+(X286*Settings!$B$9)+(AA286*Settings!$B$6)+(W286*Settings!$B$8)+(AB286*Settings!$B$7)+(AC286*Settings!$B$14)+(AD286*Settings!$B$15)+(AE286*Settings!$B$16)+(AF286*Settings!$B$17)+(AG286*Settings!$B$18)+(Y286*Settings!$B$10)+(Z286*Settings!$B$11),VLOOKUP(B286,'Standard Deviations'!A1:C666,3,FALSE))</f>
        <v>223.27547664728525</v>
      </c>
      <c r="J286" s="52">
        <f>IF(D286="G",I286/AJ286,I286/Q286)</f>
        <v>2.8097335512148147</v>
      </c>
      <c r="K286" s="51">
        <f>IF(Settings!$E$18="C/LW/RW",VLOOKUP(B286,RW!A1:F136,6,FALSE),VLOOKUP(B286,F!A1:F392,6,FALSE))</f>
        <v>-145.57224645900715</v>
      </c>
      <c r="L286" s="53">
        <f>IFERROR(K286/H286,"N/A")</f>
        <v>-33.85401080442027</v>
      </c>
      <c r="M286" s="54">
        <f>IF(Settings!$E$9="YAHOO",VLOOKUP(B286,ADP!A1:E665,2,FALSE),IF(Settings!$E$9="ESPN",VLOOKUP(B286,ADP!A1:E665,3,FALSE),IF(Settings!$E$9="FANTRAX",VLOOKUP(B286,ADP!A1:E665,4,FALSE),VLOOKUP(B286,ADP!A1:E665,5,FALSE))))</f>
        <v>175.5</v>
      </c>
      <c r="N286" s="54">
        <f>IFERROR(M286-A286,"N/A")</f>
        <v>-109.5</v>
      </c>
      <c r="O286" s="54"/>
      <c r="P286" s="55" t="str">
        <f>IF(Settings!$E$27="ON",VLOOKUP(B286,ADP!A1:H665,8,FALSE)," ")</f>
        <v xml:space="preserve"> </v>
      </c>
      <c r="Q286" s="56">
        <f>IF(Settings!$E$12="YES",VLOOKUP(B286,'Player Data'!A1:E667,5,FALSE),82)</f>
        <v>79.465000000000003</v>
      </c>
      <c r="R286" s="54">
        <f>VLOOKUP(B286,'Player Data'!$A1:$AE667,6,FALSE)</f>
        <v>15.9187168299727</v>
      </c>
      <c r="S286" s="56">
        <f>VLOOKUP(B286,'Player Data'!$A1:$AE667,7,FALSE)*$Q286*IFERROR((VLOOKUP(P286,Settings!$E$28:$F$33,2,FALSE)+1),1)</f>
        <v>19.842636875860585</v>
      </c>
      <c r="T286" s="56">
        <f>VLOOKUP(B286,'Player Data'!$A1:$AE667,8,FALSE)*$Q286*IFERROR((VLOOKUP(P286,Settings!$E$28:$F$33,2,FALSE)+1),1)</f>
        <v>18.230383807009261</v>
      </c>
      <c r="U286" s="56">
        <f>SUM(S286:T286)</f>
        <v>38.073020682869846</v>
      </c>
      <c r="V286" s="56">
        <f>VLOOKUP(B286,'Player Data'!$A1:$AE667,10,FALSE)*$Q286*IFERROR(((VLOOKUP(P286,Settings!$E$28:$F$33,2,FALSE)/2)+1),1)</f>
        <v>152.27387110287623</v>
      </c>
      <c r="W286" s="56">
        <f>VLOOKUP(B286,'Player Data'!$A1:$AE667,11,FALSE)*$Q286*IFERROR((VLOOKUP(P286,Settings!$E$28:$F$33,2,FALSE)+1),1)</f>
        <v>3.6735560142310035</v>
      </c>
      <c r="X286" s="56">
        <f>VLOOKUP(B286,'Player Data'!$A1:$AE667,12,FALSE)*$Q286*IFERROR((VLOOKUP(P286,Settings!$E$28:$F$33,2,FALSE)+1),1)</f>
        <v>5.8590769579645228</v>
      </c>
      <c r="Y286" s="56">
        <f>VLOOKUP(B286,'Player Data'!$A1:$AE667,13,FALSE)*$Q286</f>
        <v>0.28279308867608882</v>
      </c>
      <c r="Z286" s="56">
        <f>VLOOKUP(B286,'Player Data'!$A1:$AE667,14,FALSE)*$Q286</f>
        <v>0.84836630409309566</v>
      </c>
      <c r="AA286" s="56">
        <f>VLOOKUP(B286,'Player Data'!$A1:$AE667,15,FALSE)*$Q286</f>
        <v>52.424071570359914</v>
      </c>
      <c r="AB286" s="56">
        <f>VLOOKUP(B286,'Player Data'!$A1:$AE667,16,FALSE)*$Q286</f>
        <v>162.01312685852949</v>
      </c>
      <c r="AC286" s="56">
        <f>VLOOKUP(B286,'Player Data'!$A1:$AE667,17,FALSE)*$Q286*IFERROR((VLOOKUP(P286,Settings!$E$28:$F$33,2,FALSE)+1),1)</f>
        <v>-0.16644693913084199</v>
      </c>
      <c r="AD286" s="56">
        <f>VLOOKUP(B286,'Player Data'!$A1:$AE667,18,FALSE)*$Q286</f>
        <v>37.642360292292388</v>
      </c>
      <c r="AE286" s="56">
        <f>VLOOKUP(B286,'Player Data'!$A1:$AE667,19,FALSE)*$Q286*IFERROR((VLOOKUP(P286,Settings!$E$28:$F$33,2,FALSE)+1),1)</f>
        <v>2.9035610064436561</v>
      </c>
      <c r="AF286" s="56">
        <f>VLOOKUP(B286,'Player Data'!$A1:$AE667,20,FALSE)*$Q286</f>
        <v>27.428394584094701</v>
      </c>
      <c r="AG286" s="56">
        <f>VLOOKUP(B286,'Player Data'!$A1:$AE667,21,FALSE)*$Q286</f>
        <v>51.266375876769764</v>
      </c>
      <c r="AH286" s="58">
        <f>VLOOKUP(B286,'Player Data'!$A1:$AE667,22,FALSE)</f>
        <v>0.34854151582709098</v>
      </c>
      <c r="AI286" s="54"/>
      <c r="AJ286" s="56"/>
      <c r="AK286" s="56"/>
      <c r="AL286" s="56"/>
      <c r="AM286" s="56"/>
      <c r="AN286" s="56"/>
      <c r="AO286" s="56"/>
      <c r="AP286" s="56"/>
      <c r="AQ286" s="59"/>
      <c r="AR286" s="60"/>
      <c r="AS286" s="54"/>
    </row>
    <row r="287" spans="1:45" ht="21.25" customHeight="1" x14ac:dyDescent="0.15">
      <c r="A287" s="45">
        <f>RANK(K287,K$1:K$665)</f>
        <v>286</v>
      </c>
      <c r="B287" s="9" t="s">
        <v>412</v>
      </c>
      <c r="C287" s="46" t="s">
        <v>127</v>
      </c>
      <c r="D287" s="47" t="str">
        <f>VLOOKUP(B287,'Player Data'!A1:D667,4,FALSE)</f>
        <v>D</v>
      </c>
      <c r="E287" s="66">
        <f>VLOOKUP(B287,D!A1:C213,3,FALSE)</f>
        <v>88</v>
      </c>
      <c r="F287" s="65" t="str">
        <f>VLOOKUP(B287,'Player Data'!A1:B667,2,FALSE)</f>
        <v>NSH</v>
      </c>
      <c r="G287" s="10">
        <f>VLOOKUP(B287,'Player Data'!A1:D667,3,FALSE)</f>
        <v>27</v>
      </c>
      <c r="H287" s="50">
        <f>IFERROR(VLOOKUP(B287,ADP!A1:G665,7,FALSE)/1000000,VLOOKUP(B287,ADP!A1:G665,7,FALSE))</f>
        <v>3.75</v>
      </c>
      <c r="I287" s="51">
        <f>IF(Settings!$E$15="POINTS",((R287*Q287)*Settings!$B$12)+(S287*Settings!$B$2)+(T287*Settings!$B$3)+(U287*Settings!$B$4)+(V287*Settings!$B$5)+(X287*Settings!$B$9)+(AA287*Settings!$B$6)+(W287*Settings!$B$8)+(AB287*Settings!$B$7)+(AC287*Settings!$B$14)+(AD287*Settings!$B$15)+(AE287*Settings!$B$16)+(AF287*Settings!$B$17)+(AG287*Settings!$B$18)+(U287*Settings!$B$13)+(Y287*Settings!$B$10)+(Z287*Settings!$B$11),VLOOKUP(B287,'Standard Deviations'!A1:C666,3,FALSE))</f>
        <v>190.00672664572153</v>
      </c>
      <c r="J287" s="52">
        <f>IF(D287="G",I287/AJ287,I287/Q287)</f>
        <v>2.5480317372364429</v>
      </c>
      <c r="K287" s="51">
        <f>VLOOKUP(B287,D!A1:F213,6,FALSE)</f>
        <v>-146.22739839987338</v>
      </c>
      <c r="L287" s="53">
        <f>IFERROR(K287/H287,"N/A")</f>
        <v>-38.993972906632898</v>
      </c>
      <c r="M287" s="83" t="str">
        <f>IF(Settings!$E$9="YAHOO",VLOOKUP(B287,ADP!A1:E665,2,FALSE),IF(Settings!$E$9="ESPN",VLOOKUP(B287,ADP!A1:E665,3,FALSE),IF(Settings!$E$9="FANTRAX",VLOOKUP(B287,ADP!A1:E665,4,FALSE),VLOOKUP(B287,ADP!A1:E665,5,FALSE))))</f>
        <v>—</v>
      </c>
      <c r="N287" s="83" t="str">
        <f>IFERROR(M287-A287,"N/A")</f>
        <v>N/A</v>
      </c>
      <c r="O287" s="54"/>
      <c r="P287" s="55" t="str">
        <f>IF(Settings!$E$27="ON",VLOOKUP(B287,ADP!A1:H665,8,FALSE)," ")</f>
        <v xml:space="preserve"> </v>
      </c>
      <c r="Q287" s="56">
        <f>IF(Settings!$E$12="YES",VLOOKUP(B287,'Player Data'!A1:E667,5,FALSE),82)</f>
        <v>74.569999999999993</v>
      </c>
      <c r="R287" s="75">
        <f>VLOOKUP(B287,'Player Data'!$A1:$AE667,6,FALSE)</f>
        <v>20.503930821353201</v>
      </c>
      <c r="S287" s="56">
        <f>VLOOKUP(B287,'Player Data'!$A1:$AE667,7,FALSE)*$Q287*IFERROR((VLOOKUP(P287,Settings!$E$28:$F$33,2,FALSE)+1),1)</f>
        <v>4.1966605048804642</v>
      </c>
      <c r="T287" s="56">
        <f>VLOOKUP(B287,'Player Data'!$A1:$AE667,8,FALSE)*$Q287*IFERROR((VLOOKUP(P287,Settings!$E$28:$F$33,2,FALSE)+1),1)</f>
        <v>19.940885966488899</v>
      </c>
      <c r="U287" s="56">
        <f>SUM(S287:T287)</f>
        <v>24.137546471369362</v>
      </c>
      <c r="V287" s="56">
        <f>VLOOKUP(B287,'Player Data'!$A1:$AE667,10,FALSE)*$Q287*IFERROR(((VLOOKUP(P287,Settings!$E$28:$F$33,2,FALSE)/2)+1),1)</f>
        <v>89.594743784436005</v>
      </c>
      <c r="W287" s="56">
        <f>VLOOKUP(B287,'Player Data'!$A1:$AE667,11,FALSE)*$Q287*IFERROR((VLOOKUP(P287,Settings!$E$28:$F$33,2,FALSE)+1),1)</f>
        <v>0.12775566045449532</v>
      </c>
      <c r="X287" s="56">
        <f>VLOOKUP(B287,'Player Data'!$A1:$AE667,12,FALSE)*$Q287*IFERROR((VLOOKUP(P287,Settings!$E$28:$F$33,2,FALSE)+1),1)</f>
        <v>0.79645230457162419</v>
      </c>
      <c r="Y287" s="56">
        <f>VLOOKUP(B287,'Player Data'!$A1:$AE667,13,FALSE)*$Q287</f>
        <v>0.49311269631613269</v>
      </c>
      <c r="Z287" s="56">
        <f>VLOOKUP(B287,'Player Data'!$A1:$AE667,14,FALSE)*$Q287</f>
        <v>0.76440906853248403</v>
      </c>
      <c r="AA287" s="56">
        <f>VLOOKUP(B287,'Player Data'!$A1:$AE667,15,FALSE)*$Q287</f>
        <v>142.47170793258269</v>
      </c>
      <c r="AB287" s="56">
        <f>VLOOKUP(B287,'Player Data'!$A1:$AE667,16,FALSE)*$Q287</f>
        <v>83.230086217488349</v>
      </c>
      <c r="AC287" s="56">
        <f>VLOOKUP(B287,'Player Data'!$A1:$AE667,17,FALSE)*$Q287*IFERROR((VLOOKUP(P287,Settings!$E$28:$F$33,2,FALSE)+1),1)</f>
        <v>0.17697994678256745</v>
      </c>
      <c r="AD287" s="56">
        <f>VLOOKUP(B287,'Player Data'!$A1:$AE667,18,FALSE)*$Q287</f>
        <v>46.107719318570702</v>
      </c>
      <c r="AE287" s="56">
        <f>VLOOKUP(B287,'Player Data'!$A1:$AE667,19,FALSE)*$Q287*IFERROR((VLOOKUP(P287,Settings!$E$28:$F$33,2,FALSE)+1),1)</f>
        <v>0.59421699556659258</v>
      </c>
      <c r="AF287" s="56">
        <f>VLOOKUP(B287,'Player Data'!$A1:$AE667,20,FALSE)*$Q287</f>
        <v>0</v>
      </c>
      <c r="AG287" s="56">
        <f>VLOOKUP(B287,'Player Data'!$A1:$AE667,21,FALSE)*$Q287</f>
        <v>0.16892908867748557</v>
      </c>
      <c r="AH287" s="58">
        <f>VLOOKUP(B287,'Player Data'!$A1:$AE667,22,FALSE)</f>
        <v>0</v>
      </c>
      <c r="AI287" s="54"/>
      <c r="AJ287" s="56"/>
      <c r="AK287" s="56"/>
      <c r="AL287" s="56"/>
      <c r="AM287" s="56"/>
      <c r="AN287" s="56"/>
      <c r="AO287" s="56"/>
      <c r="AP287" s="56"/>
      <c r="AQ287" s="59"/>
      <c r="AR287" s="60"/>
      <c r="AS287" s="54"/>
    </row>
    <row r="288" spans="1:45" ht="21.25" customHeight="1" x14ac:dyDescent="0.15">
      <c r="A288" s="45">
        <f>RANK(K288,K$1:K$665)</f>
        <v>287</v>
      </c>
      <c r="B288" s="9" t="s">
        <v>413</v>
      </c>
      <c r="C288" s="46" t="s">
        <v>127</v>
      </c>
      <c r="D288" s="47" t="str">
        <f>VLOOKUP(B288,'Player Data'!A1:D667,4,FALSE)</f>
        <v>D</v>
      </c>
      <c r="E288" s="66">
        <f>VLOOKUP(B288,D!A1:C213,3,FALSE)</f>
        <v>89</v>
      </c>
      <c r="F288" s="72" t="str">
        <f>VLOOKUP(B288,'Player Data'!A1:B667,2,FALSE)</f>
        <v>L.A</v>
      </c>
      <c r="G288" s="10">
        <f>VLOOKUP(B288,'Player Data'!A1:D667,3,FALSE)</f>
        <v>28</v>
      </c>
      <c r="H288" s="67">
        <f>IFERROR(VLOOKUP(B288,ADP!A1:G665,7,FALSE)/1000000,VLOOKUP(B288,ADP!A1:G665,7,FALSE))</f>
        <v>5.875</v>
      </c>
      <c r="I288" s="51">
        <f>IF(Settings!$E$15="POINTS",((R288*Q288)*Settings!$B$12)+(S288*Settings!$B$2)+(T288*Settings!$B$3)+(U288*Settings!$B$4)+(V288*Settings!$B$5)+(X288*Settings!$B$9)+(AA288*Settings!$B$6)+(W288*Settings!$B$8)+(AB288*Settings!$B$7)+(AC288*Settings!$B$14)+(AD288*Settings!$B$15)+(AE288*Settings!$B$16)+(AF288*Settings!$B$17)+(AG288*Settings!$B$18)+(U288*Settings!$B$13)+(Y288*Settings!$B$10)+(Z288*Settings!$B$11),VLOOKUP(B288,'Standard Deviations'!A1:C666,3,FALSE))</f>
        <v>189.96361021194639</v>
      </c>
      <c r="J288" s="52">
        <f>IF(D288="G",I288/AJ288,I288/Q288)</f>
        <v>2.387452291600797</v>
      </c>
      <c r="K288" s="51">
        <f>VLOOKUP(B288,D!A1:F213,6,FALSE)</f>
        <v>-146.27051483364852</v>
      </c>
      <c r="L288" s="53">
        <f>IFERROR(K288/H288,"N/A")</f>
        <v>-24.897108907855067</v>
      </c>
      <c r="M288" s="83" t="str">
        <f>IF(Settings!$E$9="YAHOO",VLOOKUP(B288,ADP!A1:E665,2,FALSE),IF(Settings!$E$9="ESPN",VLOOKUP(B288,ADP!A1:E665,3,FALSE),IF(Settings!$E$9="FANTRAX",VLOOKUP(B288,ADP!A1:E665,4,FALSE),VLOOKUP(B288,ADP!A1:E665,5,FALSE))))</f>
        <v>—</v>
      </c>
      <c r="N288" s="83" t="str">
        <f>IFERROR(M288-A288,"N/A")</f>
        <v>N/A</v>
      </c>
      <c r="O288" s="54"/>
      <c r="P288" s="55" t="str">
        <f>IF(Settings!$E$27="ON",VLOOKUP(B288,ADP!A1:H665,8,FALSE)," ")</f>
        <v xml:space="preserve"> </v>
      </c>
      <c r="Q288" s="56">
        <f>IF(Settings!$E$12="YES",VLOOKUP(B288,'Player Data'!A1:E667,5,FALSE),82)</f>
        <v>79.567499999999995</v>
      </c>
      <c r="R288" s="54">
        <f>VLOOKUP(B288,'Player Data'!$A1:$AE667,6,FALSE)</f>
        <v>20.516300031769799</v>
      </c>
      <c r="S288" s="56">
        <f>VLOOKUP(B288,'Player Data'!$A1:$AE667,7,FALSE)*$Q288*IFERROR((VLOOKUP(P288,Settings!$E$28:$F$33,2,FALSE)+1),1)</f>
        <v>5.5984825072238209</v>
      </c>
      <c r="T288" s="56">
        <f>VLOOKUP(B288,'Player Data'!$A1:$AE667,8,FALSE)*$Q288*IFERROR((VLOOKUP(P288,Settings!$E$28:$F$33,2,FALSE)+1),1)</f>
        <v>18.832683202485203</v>
      </c>
      <c r="U288" s="56">
        <f>SUM(S288:T288)</f>
        <v>24.431165709709024</v>
      </c>
      <c r="V288" s="56">
        <f>VLOOKUP(B288,'Player Data'!$A1:$AE667,10,FALSE)*$Q288*IFERROR(((VLOOKUP(P288,Settings!$E$28:$F$33,2,FALSE)/2)+1),1)</f>
        <v>107.71496835220128</v>
      </c>
      <c r="W288" s="56">
        <f>VLOOKUP(B288,'Player Data'!$A1:$AE667,11,FALSE)*$Q288*IFERROR((VLOOKUP(P288,Settings!$E$28:$F$33,2,FALSE)+1),1)</f>
        <v>4.4063977385311669E-2</v>
      </c>
      <c r="X288" s="56">
        <f>VLOOKUP(B288,'Player Data'!$A1:$AE667,12,FALSE)*$Q288*IFERROR((VLOOKUP(P288,Settings!$E$28:$F$33,2,FALSE)+1),1)</f>
        <v>0.28388301519446113</v>
      </c>
      <c r="Y288" s="56">
        <f>VLOOKUP(B288,'Player Data'!$A1:$AE667,13,FALSE)*$Q288</f>
        <v>0.25665591572713281</v>
      </c>
      <c r="Z288" s="56">
        <f>VLOOKUP(B288,'Player Data'!$A1:$AE667,14,FALSE)*$Q288</f>
        <v>1.139520585746526</v>
      </c>
      <c r="AA288" s="56">
        <f>VLOOKUP(B288,'Player Data'!$A1:$AE667,15,FALSE)*$Q288</f>
        <v>122.77845061155531</v>
      </c>
      <c r="AB288" s="56">
        <f>VLOOKUP(B288,'Player Data'!$A1:$AE667,16,FALSE)*$Q288</f>
        <v>74.663387984743522</v>
      </c>
      <c r="AC288" s="56">
        <f>VLOOKUP(B288,'Player Data'!$A1:$AE667,17,FALSE)*$Q288*IFERROR((VLOOKUP(P288,Settings!$E$28:$F$33,2,FALSE)+1),1)</f>
        <v>2.254031989027613</v>
      </c>
      <c r="AD288" s="56">
        <f>VLOOKUP(B288,'Player Data'!$A1:$AE667,18,FALSE)*$Q288</f>
        <v>37.459920611852262</v>
      </c>
      <c r="AE288" s="56">
        <f>VLOOKUP(B288,'Player Data'!$A1:$AE667,19,FALSE)*$Q288*IFERROR((VLOOKUP(P288,Settings!$E$28:$F$33,2,FALSE)+1),1)</f>
        <v>0.997714919090675</v>
      </c>
      <c r="AF288" s="56">
        <f>VLOOKUP(B288,'Player Data'!$A1:$AE667,20,FALSE)*$Q288</f>
        <v>0</v>
      </c>
      <c r="AG288" s="56">
        <f>VLOOKUP(B288,'Player Data'!$A1:$AE667,21,FALSE)*$Q288</f>
        <v>0</v>
      </c>
      <c r="AH288" s="58">
        <f>VLOOKUP(B288,'Player Data'!$A1:$AE667,22,FALSE)</f>
        <v>0</v>
      </c>
      <c r="AI288" s="54"/>
      <c r="AJ288" s="56"/>
      <c r="AK288" s="56"/>
      <c r="AL288" s="56"/>
      <c r="AM288" s="56"/>
      <c r="AN288" s="56"/>
      <c r="AO288" s="56"/>
      <c r="AP288" s="56"/>
      <c r="AQ288" s="59"/>
      <c r="AR288" s="60"/>
      <c r="AS288" s="54"/>
    </row>
    <row r="289" spans="1:45" ht="21.25" customHeight="1" x14ac:dyDescent="0.15">
      <c r="A289" s="45">
        <f>RANK(K289,K$1:K$665)</f>
        <v>288</v>
      </c>
      <c r="B289" s="9" t="s">
        <v>414</v>
      </c>
      <c r="C289" s="46" t="s">
        <v>127</v>
      </c>
      <c r="D289" s="47" t="str">
        <f>VLOOKUP(B289,'Player Data'!A1:D667,4,FALSE)</f>
        <v>G</v>
      </c>
      <c r="E289" s="73">
        <f>VLOOKUP(B289,G!A1:D65,3,FALSE)</f>
        <v>32</v>
      </c>
      <c r="F289" s="82" t="str">
        <f>VLOOKUP(B289,'Player Data'!A1:B667,2,FALSE)</f>
        <v>ANA</v>
      </c>
      <c r="G289" s="10">
        <f>VLOOKUP(B289,'Player Data'!A1:D667,3,FALSE)</f>
        <v>31</v>
      </c>
      <c r="H289" s="50">
        <f>IFERROR(VLOOKUP(B289,ADP!A1:G665,7,FALSE)/1000000,VLOOKUP(B289,ADP!A1:G665,7,FALSE))</f>
        <v>6.4</v>
      </c>
      <c r="I289" s="51">
        <f>IF(Settings!$E$15="POINTS",(AJ289*Settings!$B$29)+(AK289*Settings!$B$21)+(AL289*Settings!$B$22)+(AN289*Settings!$B$24)+(AO289*Settings!$B$25)+(AP289*Settings!$B$27)+(AM289*Settings!$B$23),VLOOKUP(B289,'Standard Deviations'!A1:C666,3,FALSE))</f>
        <v>264.37377353250105</v>
      </c>
      <c r="J289" s="52">
        <f>IF(D289="G",I289/AJ289,I289/Q289)</f>
        <v>6.0084948530113875</v>
      </c>
      <c r="K289" s="51">
        <f>VLOOKUP(B289,G!A1:F65,6,FALSE)</f>
        <v>-146.28596923691913</v>
      </c>
      <c r="L289" s="53">
        <f>IFERROR(K289/H289,"N/A")</f>
        <v>-22.857182693268612</v>
      </c>
      <c r="M289" s="54">
        <f>IF(Settings!$E$9="YAHOO",VLOOKUP(B289,ADP!A1:E665,2,FALSE),IF(Settings!$E$9="ESPN",VLOOKUP(B289,ADP!A1:E665,3,FALSE),IF(Settings!$E$9="FANTRAX",VLOOKUP(B289,ADP!A1:E665,4,FALSE),VLOOKUP(B289,ADP!A1:E665,5,FALSE))))</f>
        <v>191</v>
      </c>
      <c r="N289" s="54">
        <f>IFERROR(M289-A289,"N/A")</f>
        <v>-97</v>
      </c>
      <c r="O289" s="54"/>
      <c r="P289" s="55" t="str">
        <f>IF(Settings!$E$27="ON",VLOOKUP(B289,ADP!A1:H665,8,FALSE)," ")</f>
        <v xml:space="preserve"> </v>
      </c>
      <c r="Q289" s="56"/>
      <c r="R289" s="54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8"/>
      <c r="AI289" s="54"/>
      <c r="AJ289" s="64">
        <f>VLOOKUP(B289,'Player Data'!$A1:$AE667,24,FALSE)</f>
        <v>44</v>
      </c>
      <c r="AK289" s="56">
        <f>VLOOKUP(B289,'Player Data'!$A1:$AE667,25,FALSE)*$AJ289*IFERROR((VLOOKUP(P289,Settings!$E$28:$F$33,2,FALSE)+1),1)</f>
        <v>16.614911967933885</v>
      </c>
      <c r="AL289" s="56">
        <f>AJ289-AK289-AM289</f>
        <v>21.885088032066115</v>
      </c>
      <c r="AM289" s="56">
        <f>VLOOKUP(B289,'Player Data'!$A1:$AE667,27,FALSE)*$AJ289</f>
        <v>5.5</v>
      </c>
      <c r="AN289" s="56">
        <f>VLOOKUP(B289,'Player Data'!$A1:$AE667,28,FALSE)*AJ289</f>
        <v>1.2478468351757408</v>
      </c>
      <c r="AO289" s="56">
        <f>VLOOKUP(B289,'Player Data'!$A1:$AE667,29,FALSE)*$AJ289*IFERROR((VLOOKUP(P289,Settings!$E$28:$F$33,2,FALSE)/4)+1,1)</f>
        <v>1265.8753399817801</v>
      </c>
      <c r="AP289" s="56">
        <f>VLOOKUP(B289,'Player Data'!$A1:$AE667,31,FALSE)*$AJ289*(IFERROR(1-(VLOOKUP(P289,Settings!$E$28:$F$33,2,FALSE)/4),1))</f>
        <v>139.88549306578881</v>
      </c>
      <c r="AQ289" s="59">
        <f>1-(AP289/(AO289+AP289))</f>
        <v>0.90049125727700841</v>
      </c>
      <c r="AR289" s="60">
        <f>AP289/AJ289</f>
        <v>3.1792157514952</v>
      </c>
      <c r="AS289" s="54"/>
    </row>
    <row r="290" spans="1:45" ht="21.25" customHeight="1" x14ac:dyDescent="0.15">
      <c r="A290" s="45">
        <f>RANK(K290,K$1:K$665)</f>
        <v>289</v>
      </c>
      <c r="B290" s="9" t="s">
        <v>415</v>
      </c>
      <c r="C290" s="46" t="s">
        <v>127</v>
      </c>
      <c r="D290" s="47" t="str">
        <f>VLOOKUP(B290,'Player Data'!A1:D667,4,FALSE)</f>
        <v>RW</v>
      </c>
      <c r="E290" s="61">
        <f>VLOOKUP(B290,RW!A1:F136,3,FALSE)</f>
        <v>72</v>
      </c>
      <c r="F290" s="71" t="str">
        <f>VLOOKUP(B290,'Player Data'!A1:B667,2,FALSE)</f>
        <v>NYR</v>
      </c>
      <c r="G290" s="63">
        <f>VLOOKUP(B290,'Player Data'!A1:D667,3,FALSE)</f>
        <v>33</v>
      </c>
      <c r="H290" s="67">
        <f>IFERROR(VLOOKUP(B290,ADP!A1:G665,7,FALSE)/1000000,VLOOKUP(B290,ADP!A1:G665,7,FALSE))</f>
        <v>3.75</v>
      </c>
      <c r="I290" s="51">
        <f>IF(Settings!$E$15="POINTS",((R290*Q290)*Settings!$B$12)+(S290*Settings!$B$2)+(T290*Settings!$B$3)+(U290*Settings!$B$4)+(V290*Settings!$B$5)+(X290*Settings!$B$9)+(AA290*Settings!$B$6)+(W290*Settings!$B$8)+(AB290*Settings!$B$7)+(AC290*Settings!$B$14)+(AD290*Settings!$B$15)+(AE290*Settings!$B$16)+(AF290*Settings!$B$17)+(AG290*Settings!$B$18)+(Y290*Settings!$B$10)+(Z290*Settings!$B$11),VLOOKUP(B290,'Standard Deviations'!A1:C666,3,FALSE))</f>
        <v>222.06503812983757</v>
      </c>
      <c r="J290" s="52">
        <f>IF(D290="G",I290/AJ290,I290/Q290)</f>
        <v>2.853756192634294</v>
      </c>
      <c r="K290" s="51">
        <f>IF(Settings!$E$18="C/LW/RW",VLOOKUP(B290,RW!A1:F136,6,FALSE),VLOOKUP(B290,F!A1:F392,6,FALSE))</f>
        <v>-146.78268497645482</v>
      </c>
      <c r="L290" s="53">
        <f>IFERROR(K290/H290,"N/A")</f>
        <v>-39.142049327054615</v>
      </c>
      <c r="M290" s="83" t="str">
        <f>IF(Settings!$E$9="YAHOO",VLOOKUP(B290,ADP!A1:E665,2,FALSE),IF(Settings!$E$9="ESPN",VLOOKUP(B290,ADP!A1:E665,3,FALSE),IF(Settings!$E$9="FANTRAX",VLOOKUP(B290,ADP!A1:E665,4,FALSE),VLOOKUP(B290,ADP!A1:E665,5,FALSE))))</f>
        <v>—</v>
      </c>
      <c r="N290" s="83" t="str">
        <f>IFERROR(M290-A290,"N/A")</f>
        <v>N/A</v>
      </c>
      <c r="O290" s="54"/>
      <c r="P290" s="55" t="str">
        <f>IF(Settings!$E$27="ON",VLOOKUP(B290,ADP!A1:H665,8,FALSE)," ")</f>
        <v xml:space="preserve"> </v>
      </c>
      <c r="Q290" s="56">
        <f>IF(Settings!$E$12="YES",VLOOKUP(B290,'Player Data'!A1:E667,5,FALSE),82)</f>
        <v>77.814999999999998</v>
      </c>
      <c r="R290" s="54">
        <f>VLOOKUP(B290,'Player Data'!$A1:$AE667,6,FALSE)</f>
        <v>16.3786660286965</v>
      </c>
      <c r="S290" s="56">
        <f>VLOOKUP(B290,'Player Data'!$A1:$AE667,7,FALSE)*$Q290*IFERROR((VLOOKUP(P290,Settings!$E$28:$F$33,2,FALSE)+1),1)</f>
        <v>15.656082847309467</v>
      </c>
      <c r="T290" s="56">
        <f>VLOOKUP(B290,'Player Data'!$A1:$AE667,8,FALSE)*$Q290*IFERROR((VLOOKUP(P290,Settings!$E$28:$F$33,2,FALSE)+1),1)</f>
        <v>24.455077016237002</v>
      </c>
      <c r="U290" s="56">
        <f>SUM(S290:T290)</f>
        <v>40.111159863546469</v>
      </c>
      <c r="V290" s="56">
        <f>VLOOKUP(B290,'Player Data'!$A1:$AE667,10,FALSE)*$Q290*IFERROR(((VLOOKUP(P290,Settings!$E$28:$F$33,2,FALSE)/2)+1),1)</f>
        <v>157.97496509257553</v>
      </c>
      <c r="W290" s="56">
        <f>VLOOKUP(B290,'Player Data'!$A1:$AE667,11,FALSE)*$Q290*IFERROR((VLOOKUP(P290,Settings!$E$28:$F$33,2,FALSE)+1),1)</f>
        <v>1.5889327856212581</v>
      </c>
      <c r="X290" s="56">
        <f>VLOOKUP(B290,'Player Data'!$A1:$AE667,12,FALSE)*$Q290*IFERROR((VLOOKUP(P290,Settings!$E$28:$F$33,2,FALSE)+1),1)</f>
        <v>4.7993587322023794</v>
      </c>
      <c r="Y290" s="56">
        <f>VLOOKUP(B290,'Player Data'!$A1:$AE667,13,FALSE)*$Q290</f>
        <v>1.4453497864113594</v>
      </c>
      <c r="Z290" s="56">
        <f>VLOOKUP(B290,'Player Data'!$A1:$AE667,14,FALSE)*$Q290</f>
        <v>1.8857021853556513</v>
      </c>
      <c r="AA290" s="56">
        <f>VLOOKUP(B290,'Player Data'!$A1:$AE667,15,FALSE)*$Q290</f>
        <v>32.118030150704719</v>
      </c>
      <c r="AB290" s="56">
        <f>VLOOKUP(B290,'Player Data'!$A1:$AE667,16,FALSE)*$Q290</f>
        <v>61.645435497934386</v>
      </c>
      <c r="AC290" s="56">
        <f>VLOOKUP(B290,'Player Data'!$A1:$AE667,17,FALSE)*$Q290*IFERROR((VLOOKUP(P290,Settings!$E$28:$F$33,2,FALSE)+1),1)</f>
        <v>1.0879743562055297</v>
      </c>
      <c r="AD290" s="56">
        <f>VLOOKUP(B290,'Player Data'!$A1:$AE667,18,FALSE)*$Q290</f>
        <v>18.247748802988589</v>
      </c>
      <c r="AE290" s="56">
        <f>VLOOKUP(B290,'Player Data'!$A1:$AE667,19,FALSE)*$Q290*IFERROR((VLOOKUP(P290,Settings!$E$28:$F$33,2,FALSE)+1),1)</f>
        <v>2.559116747097943</v>
      </c>
      <c r="AF290" s="56">
        <f>VLOOKUP(B290,'Player Data'!$A1:$AE667,20,FALSE)*$Q290</f>
        <v>7.0577899392012915</v>
      </c>
      <c r="AG290" s="56">
        <f>VLOOKUP(B290,'Player Data'!$A1:$AE667,21,FALSE)*$Q290</f>
        <v>9.4652740995901752</v>
      </c>
      <c r="AH290" s="58">
        <f>VLOOKUP(B290,'Player Data'!$A1:$AE667,22,FALSE)</f>
        <v>0.427147768878193</v>
      </c>
      <c r="AI290" s="54"/>
      <c r="AJ290" s="56"/>
      <c r="AK290" s="56"/>
      <c r="AL290" s="56"/>
      <c r="AM290" s="56"/>
      <c r="AN290" s="56"/>
      <c r="AO290" s="56"/>
      <c r="AP290" s="56"/>
      <c r="AQ290" s="59"/>
      <c r="AR290" s="60"/>
      <c r="AS290" s="54"/>
    </row>
    <row r="291" spans="1:45" ht="21.25" customHeight="1" x14ac:dyDescent="0.15">
      <c r="A291" s="45">
        <f>RANK(K291,K$1:K$665)</f>
        <v>290</v>
      </c>
      <c r="B291" s="9" t="s">
        <v>416</v>
      </c>
      <c r="C291" s="46" t="s">
        <v>127</v>
      </c>
      <c r="D291" s="47" t="str">
        <f>VLOOKUP(B291,'Player Data'!A1:D667,4,FALSE)</f>
        <v>D</v>
      </c>
      <c r="E291" s="66">
        <f>VLOOKUP(B291,D!A1:C213,3,FALSE)</f>
        <v>90</v>
      </c>
      <c r="F291" s="62" t="str">
        <f>VLOOKUP(B291,'Player Data'!A1:B667,2,FALSE)</f>
        <v>BOS</v>
      </c>
      <c r="G291" s="10">
        <f>VLOOKUP(B291,'Player Data'!A1:D667,3,FALSE)</f>
        <v>29</v>
      </c>
      <c r="H291" s="50">
        <f>IFERROR(VLOOKUP(B291,ADP!A1:G665,7,FALSE)/1000000,VLOOKUP(B291,ADP!A1:G665,7,FALSE))</f>
        <v>5</v>
      </c>
      <c r="I291" s="51">
        <f>IF(Settings!$E$15="POINTS",((R291*Q291)*Settings!$B$12)+(S291*Settings!$B$2)+(T291*Settings!$B$3)+(U291*Settings!$B$4)+(V291*Settings!$B$5)+(X291*Settings!$B$9)+(AA291*Settings!$B$6)+(W291*Settings!$B$8)+(AB291*Settings!$B$7)+(AC291*Settings!$B$14)+(AD291*Settings!$B$15)+(AE291*Settings!$B$16)+(AF291*Settings!$B$17)+(AG291*Settings!$B$18)+(U291*Settings!$B$13)+(Y291*Settings!$B$10)+(Z291*Settings!$B$11),VLOOKUP(B291,'Standard Deviations'!A1:C666,3,FALSE))</f>
        <v>189.11811716083582</v>
      </c>
      <c r="J291" s="52">
        <f>IF(D291="G",I291/AJ291,I291/Q291)</f>
        <v>2.3643458935563162</v>
      </c>
      <c r="K291" s="51">
        <f>VLOOKUP(B291,D!A1:F213,6,FALSE)</f>
        <v>-147.11600788475909</v>
      </c>
      <c r="L291" s="53">
        <f>IFERROR(K291/H291,"N/A")</f>
        <v>-29.423201576951818</v>
      </c>
      <c r="M291" s="54">
        <f>IF(Settings!$E$9="YAHOO",VLOOKUP(B291,ADP!A1:E665,2,FALSE),IF(Settings!$E$9="ESPN",VLOOKUP(B291,ADP!A1:E665,3,FALSE),IF(Settings!$E$9="FANTRAX",VLOOKUP(B291,ADP!A1:E665,4,FALSE),VLOOKUP(B291,ADP!A1:E665,5,FALSE))))</f>
        <v>172</v>
      </c>
      <c r="N291" s="54">
        <f>IFERROR(M291-A291,"N/A")</f>
        <v>-118</v>
      </c>
      <c r="O291" s="54"/>
      <c r="P291" s="55" t="str">
        <f>IF(Settings!$E$27="ON",VLOOKUP(B291,ADP!A1:H665,8,FALSE)," ")</f>
        <v xml:space="preserve"> </v>
      </c>
      <c r="Q291" s="56">
        <f>IF(Settings!$E$12="YES",VLOOKUP(B291,'Player Data'!A1:E667,5,FALSE),82)</f>
        <v>79.987499999999997</v>
      </c>
      <c r="R291" s="75">
        <f>VLOOKUP(B291,'Player Data'!$A1:$AE667,6,FALSE)</f>
        <v>19.8479312055502</v>
      </c>
      <c r="S291" s="56">
        <f>VLOOKUP(B291,'Player Data'!$A1:$AE667,7,FALSE)*$Q291*IFERROR((VLOOKUP(P291,Settings!$E$28:$F$33,2,FALSE)+1),1)</f>
        <v>10.21039778293561</v>
      </c>
      <c r="T291" s="56">
        <f>VLOOKUP(B291,'Player Data'!$A1:$AE667,8,FALSE)*$Q291*IFERROR((VLOOKUP(P291,Settings!$E$28:$F$33,2,FALSE)+1),1)</f>
        <v>17.688847612547537</v>
      </c>
      <c r="U291" s="56">
        <f>SUM(S291:T291)</f>
        <v>27.899245395483149</v>
      </c>
      <c r="V291" s="56">
        <f>VLOOKUP(B291,'Player Data'!$A1:$AE667,10,FALSE)*$Q291*IFERROR(((VLOOKUP(P291,Settings!$E$28:$F$33,2,FALSE)/2)+1),1)</f>
        <v>121.10588716922506</v>
      </c>
      <c r="W291" s="56">
        <f>VLOOKUP(B291,'Player Data'!$A1:$AE667,11,FALSE)*$Q291*IFERROR((VLOOKUP(P291,Settings!$E$28:$F$33,2,FALSE)+1),1)</f>
        <v>3.8707308930535506E-2</v>
      </c>
      <c r="X291" s="56">
        <f>VLOOKUP(B291,'Player Data'!$A1:$AE667,12,FALSE)*$Q291*IFERROR((VLOOKUP(P291,Settings!$E$28:$F$33,2,FALSE)+1),1)</f>
        <v>0.32571045034272716</v>
      </c>
      <c r="Y291" s="56">
        <f>VLOOKUP(B291,'Player Data'!$A1:$AE667,13,FALSE)*$Q291</f>
        <v>1.907430344063283E-2</v>
      </c>
      <c r="Z291" s="56">
        <f>VLOOKUP(B291,'Player Data'!$A1:$AE667,14,FALSE)*$Q291</f>
        <v>0.44631740051508095</v>
      </c>
      <c r="AA291" s="56">
        <f>VLOOKUP(B291,'Player Data'!$A1:$AE667,15,FALSE)*$Q291</f>
        <v>88.190819077832032</v>
      </c>
      <c r="AB291" s="56">
        <f>VLOOKUP(B291,'Player Data'!$A1:$AE667,16,FALSE)*$Q291</f>
        <v>181.08977171961212</v>
      </c>
      <c r="AC291" s="56">
        <f>VLOOKUP(B291,'Player Data'!$A1:$AE667,17,FALSE)*$Q291*IFERROR((VLOOKUP(P291,Settings!$E$28:$F$33,2,FALSE)+1),1)</f>
        <v>-1.9341691501888088E-2</v>
      </c>
      <c r="AD291" s="56">
        <f>VLOOKUP(B291,'Player Data'!$A1:$AE667,18,FALSE)*$Q291</f>
        <v>82.005622865635161</v>
      </c>
      <c r="AE291" s="56">
        <f>VLOOKUP(B291,'Player Data'!$A1:$AE667,19,FALSE)*$Q291*IFERROR((VLOOKUP(P291,Settings!$E$28:$F$33,2,FALSE)+1),1)</f>
        <v>1.5903074166190851</v>
      </c>
      <c r="AF291" s="56">
        <f>VLOOKUP(B291,'Player Data'!$A1:$AE667,20,FALSE)*$Q291</f>
        <v>0</v>
      </c>
      <c r="AG291" s="56">
        <f>VLOOKUP(B291,'Player Data'!$A1:$AE667,21,FALSE)*$Q291</f>
        <v>0</v>
      </c>
      <c r="AH291" s="58">
        <f>VLOOKUP(B291,'Player Data'!$A1:$AE667,22,FALSE)</f>
        <v>0</v>
      </c>
      <c r="AI291" s="54"/>
      <c r="AJ291" s="56"/>
      <c r="AK291" s="56"/>
      <c r="AL291" s="56"/>
      <c r="AM291" s="56"/>
      <c r="AN291" s="56"/>
      <c r="AO291" s="56"/>
      <c r="AP291" s="56"/>
      <c r="AQ291" s="59"/>
      <c r="AR291" s="60"/>
      <c r="AS291" s="54"/>
    </row>
    <row r="292" spans="1:45" ht="21.25" customHeight="1" x14ac:dyDescent="0.15">
      <c r="A292" s="45">
        <f>RANK(K292,K$1:K$665)</f>
        <v>291</v>
      </c>
      <c r="B292" s="9" t="s">
        <v>417</v>
      </c>
      <c r="C292" s="46" t="s">
        <v>127</v>
      </c>
      <c r="D292" s="47" t="str">
        <f>VLOOKUP(B292,'Player Data'!A1:D667,4,FALSE)</f>
        <v>LW/RW</v>
      </c>
      <c r="E292" s="68">
        <f>VLOOKUP(B292,RW!A1:C136,3,FALSE)</f>
        <v>73</v>
      </c>
      <c r="F292" s="62" t="str">
        <f>VLOOKUP(B292,'Player Data'!A1:B667,2,FALSE)</f>
        <v>OTT</v>
      </c>
      <c r="G292" s="63">
        <f>VLOOKUP(B292,'Player Data'!A1:D667,3,FALSE)</f>
        <v>36</v>
      </c>
      <c r="H292" s="50">
        <f>IFERROR(VLOOKUP(B292,ADP!A1:G665,7,FALSE)/1000000,VLOOKUP(B292,ADP!A1:G665,7,FALSE))</f>
        <v>4</v>
      </c>
      <c r="I292" s="51">
        <f>IF(Settings!$E$15="POINTS",((R292*Q292)*Settings!$B$12)+(S292*Settings!$B$2)+(T292*Settings!$B$3)+(U292*Settings!$B$4)+(V292*Settings!$B$5)+(X292*Settings!$B$9)+(AA292*Settings!$B$6)+(W292*Settings!$B$8)+(AB292*Settings!$B$7)+(AC292*Settings!$B$14)+(AD292*Settings!$B$15)+(AE292*Settings!$B$16)+(AF292*Settings!$B$17)+(AG292*Settings!$B$18)+(Y292*Settings!$B$10)+(Z292*Settings!$B$11),VLOOKUP(B292,'Standard Deviations'!A1:C666,3,FALSE))</f>
        <v>221.63327644624283</v>
      </c>
      <c r="J292" s="52">
        <f>IF(D292="G",I292/AJ292,I292/Q292)</f>
        <v>2.7890678468035337</v>
      </c>
      <c r="K292" s="51">
        <f>IF(Settings!$E$18="C/LW/RW",VLOOKUP(B292,RW!A1:F136,6,FALSE),VLOOKUP(B292,F!A1:F392,6,FALSE))</f>
        <v>-147.21444666004956</v>
      </c>
      <c r="L292" s="53">
        <f>IFERROR(K292/H292,"N/A")</f>
        <v>-36.80361166501239</v>
      </c>
      <c r="M292" s="54">
        <f>IF(Settings!$E$9="YAHOO",VLOOKUP(B292,ADP!A1:E665,2,FALSE),IF(Settings!$E$9="ESPN",VLOOKUP(B292,ADP!A1:E665,3,FALSE),IF(Settings!$E$9="FANTRAX",VLOOKUP(B292,ADP!A1:E665,4,FALSE),VLOOKUP(B292,ADP!A1:E665,5,FALSE))))</f>
        <v>168.5</v>
      </c>
      <c r="N292" s="54">
        <f>IFERROR(M292-A292,"N/A")</f>
        <v>-122.5</v>
      </c>
      <c r="O292" s="54"/>
      <c r="P292" s="55" t="str">
        <f>IF(Settings!$E$27="ON",VLOOKUP(B292,ADP!A1:H665,8,FALSE)," ")</f>
        <v xml:space="preserve"> </v>
      </c>
      <c r="Q292" s="56">
        <f>IF(Settings!$E$12="YES",VLOOKUP(B292,'Player Data'!A1:E667,5,FALSE),82)</f>
        <v>79.465000000000003</v>
      </c>
      <c r="R292" s="54">
        <f>VLOOKUP(B292,'Player Data'!$A1:$AE667,6,FALSE)</f>
        <v>14.938148139419599</v>
      </c>
      <c r="S292" s="56">
        <f>VLOOKUP(B292,'Player Data'!$A1:$AE667,7,FALSE)*$Q292*IFERROR((VLOOKUP(P292,Settings!$E$28:$F$33,2,FALSE)+1),1)</f>
        <v>15.955219985519603</v>
      </c>
      <c r="T292" s="56">
        <f>VLOOKUP(B292,'Player Data'!$A1:$AE667,8,FALSE)*$Q292*IFERROR((VLOOKUP(P292,Settings!$E$28:$F$33,2,FALSE)+1),1)</f>
        <v>24.01875058520671</v>
      </c>
      <c r="U292" s="56">
        <f>SUM(S292:T292)</f>
        <v>39.973970570726316</v>
      </c>
      <c r="V292" s="56">
        <f>VLOOKUP(B292,'Player Data'!$A1:$AE667,10,FALSE)*$Q292*IFERROR(((VLOOKUP(P292,Settings!$E$28:$F$33,2,FALSE)/2)+1),1)</f>
        <v>151.92581571785112</v>
      </c>
      <c r="W292" s="56">
        <f>VLOOKUP(B292,'Player Data'!$A1:$AE667,11,FALSE)*$Q292*IFERROR((VLOOKUP(P292,Settings!$E$28:$F$33,2,FALSE)+1),1)</f>
        <v>4.6161812004232496</v>
      </c>
      <c r="X292" s="56">
        <f>VLOOKUP(B292,'Player Data'!$A1:$AE667,12,FALSE)*$Q292*IFERROR((VLOOKUP(P292,Settings!$E$28:$F$33,2,FALSE)+1),1)</f>
        <v>12.473986362257431</v>
      </c>
      <c r="Y292" s="56">
        <f>VLOOKUP(B292,'Player Data'!$A1:$AE667,13,FALSE)*$Q292</f>
        <v>4.4989429836431139E-4</v>
      </c>
      <c r="Z292" s="56">
        <f>VLOOKUP(B292,'Player Data'!$A1:$AE667,14,FALSE)*$Q292</f>
        <v>7.7622862088156568E-4</v>
      </c>
      <c r="AA292" s="56">
        <f>VLOOKUP(B292,'Player Data'!$A1:$AE667,15,FALSE)*$Q292</f>
        <v>26.547388568520017</v>
      </c>
      <c r="AB292" s="56">
        <f>VLOOKUP(B292,'Player Data'!$A1:$AE667,16,FALSE)*$Q292</f>
        <v>106.87496338463755</v>
      </c>
      <c r="AC292" s="56">
        <f>VLOOKUP(B292,'Player Data'!$A1:$AE667,17,FALSE)*$Q292*IFERROR((VLOOKUP(P292,Settings!$E$28:$F$33,2,FALSE)+1),1)</f>
        <v>-0.62605814518389169</v>
      </c>
      <c r="AD292" s="56">
        <f>VLOOKUP(B292,'Player Data'!$A1:$AE667,18,FALSE)*$Q292</f>
        <v>41.298905352122567</v>
      </c>
      <c r="AE292" s="56">
        <f>VLOOKUP(B292,'Player Data'!$A1:$AE667,19,FALSE)*$Q292*IFERROR((VLOOKUP(P292,Settings!$E$28:$F$33,2,FALSE)+1),1)</f>
        <v>2.4772750931969147</v>
      </c>
      <c r="AF292" s="56">
        <f>VLOOKUP(B292,'Player Data'!$A1:$AE667,20,FALSE)*$Q292</f>
        <v>8.0179811518278559</v>
      </c>
      <c r="AG292" s="56">
        <f>VLOOKUP(B292,'Player Data'!$A1:$AE667,21,FALSE)*$Q292</f>
        <v>17.76130986641213</v>
      </c>
      <c r="AH292" s="58">
        <f>VLOOKUP(B292,'Player Data'!$A1:$AE667,22,FALSE)</f>
        <v>0.31102411412923597</v>
      </c>
      <c r="AI292" s="54"/>
      <c r="AJ292" s="56"/>
      <c r="AK292" s="56"/>
      <c r="AL292" s="56"/>
      <c r="AM292" s="56"/>
      <c r="AN292" s="56"/>
      <c r="AO292" s="56"/>
      <c r="AP292" s="56"/>
      <c r="AQ292" s="59"/>
      <c r="AR292" s="60"/>
      <c r="AS292" s="54"/>
    </row>
    <row r="293" spans="1:45" ht="21.25" customHeight="1" x14ac:dyDescent="0.15">
      <c r="A293" s="45">
        <f>RANK(K293,K$1:K$665)</f>
        <v>292</v>
      </c>
      <c r="B293" s="9" t="s">
        <v>418</v>
      </c>
      <c r="C293" s="46" t="s">
        <v>127</v>
      </c>
      <c r="D293" s="47" t="str">
        <f>VLOOKUP(B293,'Player Data'!A1:D667,4,FALSE)</f>
        <v>G</v>
      </c>
      <c r="E293" s="73">
        <f>VLOOKUP(B293,G!A1:D65,3,FALSE)</f>
        <v>33</v>
      </c>
      <c r="F293" s="65" t="str">
        <f>VLOOKUP(B293,'Player Data'!A1:B667,2,FALSE)</f>
        <v>TOR</v>
      </c>
      <c r="G293" s="10">
        <f>VLOOKUP(B293,'Player Data'!A1:D667,3,FALSE)</f>
        <v>30</v>
      </c>
      <c r="H293" s="50">
        <f>IFERROR(VLOOKUP(B293,ADP!A1:G665,7,FALSE)/1000000,VLOOKUP(B293,ADP!A1:G665,7,FALSE))</f>
        <v>2.5</v>
      </c>
      <c r="I293" s="51">
        <f>IF(Settings!$E$15="POINTS",(AJ293*Settings!$B$29)+(AK293*Settings!$B$21)+(AL293*Settings!$B$22)+(AN293*Settings!$B$24)+(AO293*Settings!$B$25)+(AP293*Settings!$B$27)+(AM293*Settings!$B$23),VLOOKUP(B293,'Standard Deviations'!A1:C666,3,FALSE))</f>
        <v>263.44355849558156</v>
      </c>
      <c r="J293" s="52">
        <f>IF(D293="G",I293/AJ293,I293/Q293)</f>
        <v>7.3178766248772655</v>
      </c>
      <c r="K293" s="51">
        <f>VLOOKUP(B293,G!A1:F65,6,FALSE)</f>
        <v>-147.21618427383862</v>
      </c>
      <c r="L293" s="53">
        <f>IFERROR(K293/H293,"N/A")</f>
        <v>-58.886473709535451</v>
      </c>
      <c r="M293" s="54">
        <f>IF(Settings!$E$9="YAHOO",VLOOKUP(B293,ADP!A1:E665,2,FALSE),IF(Settings!$E$9="ESPN",VLOOKUP(B293,ADP!A1:E665,3,FALSE),IF(Settings!$E$9="FANTRAX",VLOOKUP(B293,ADP!A1:E665,4,FALSE),VLOOKUP(B293,ADP!A1:E665,5,FALSE))))</f>
        <v>138.30000000000001</v>
      </c>
      <c r="N293" s="54">
        <f>IFERROR(M293-A293,"N/A")</f>
        <v>-153.69999999999999</v>
      </c>
      <c r="O293" s="54"/>
      <c r="P293" s="55" t="str">
        <f>IF(Settings!$E$27="ON",VLOOKUP(B293,ADP!A1:H665,8,FALSE)," ")</f>
        <v xml:space="preserve"> </v>
      </c>
      <c r="Q293" s="56"/>
      <c r="R293" s="54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8"/>
      <c r="AI293" s="54"/>
      <c r="AJ293" s="64">
        <f>VLOOKUP(B293,'Player Data'!$A1:$AE667,24,FALSE)</f>
        <v>36</v>
      </c>
      <c r="AK293" s="56">
        <f>VLOOKUP(B293,'Player Data'!$A1:$AE667,25,FALSE)*$AJ293*IFERROR((VLOOKUP(P293,Settings!$E$28:$F$33,2,FALSE)+1),1)</f>
        <v>22.903740660676682</v>
      </c>
      <c r="AL293" s="56">
        <f>AJ293-AK293-AM293</f>
        <v>8.5962593393233178</v>
      </c>
      <c r="AM293" s="56">
        <f>VLOOKUP(B293,'Player Data'!$A1:$AE667,27,FALSE)*$AJ293</f>
        <v>4.5</v>
      </c>
      <c r="AN293" s="56">
        <f>VLOOKUP(B293,'Player Data'!$A1:$AE667,28,FALSE)*AJ293</f>
        <v>2.29137954849095</v>
      </c>
      <c r="AO293" s="56">
        <f>VLOOKUP(B293,'Player Data'!$A1:$AE667,29,FALSE)*$AJ293*IFERROR((VLOOKUP(P293,Settings!$E$28:$F$33,2,FALSE)/4)+1,1)</f>
        <v>970.74631803855232</v>
      </c>
      <c r="AP293" s="56">
        <f>VLOOKUP(B293,'Player Data'!$A1:$AE667,31,FALSE)*$AJ293*(IFERROR(1-(VLOOKUP(P293,Settings!$E$28:$F$33,2,FALSE)/4),1))</f>
        <v>97.644067351405198</v>
      </c>
      <c r="AQ293" s="59">
        <f>1-(AP293/(AO293+AP293))</f>
        <v>0.90860637769988395</v>
      </c>
      <c r="AR293" s="60">
        <f>AP293/AJ293</f>
        <v>2.7123352042056998</v>
      </c>
      <c r="AS293" s="54"/>
    </row>
    <row r="294" spans="1:45" ht="21.25" customHeight="1" x14ac:dyDescent="0.15">
      <c r="A294" s="45">
        <f>RANK(K294,K$1:K$665)</f>
        <v>293</v>
      </c>
      <c r="B294" s="9" t="s">
        <v>419</v>
      </c>
      <c r="C294" s="46" t="s">
        <v>127</v>
      </c>
      <c r="D294" s="47" t="str">
        <f>VLOOKUP(B294,'Player Data'!A1:D667,4,FALSE)</f>
        <v>C/LW</v>
      </c>
      <c r="E294" s="68">
        <f>VLOOKUP(B294,LW!A1:C152,3,FALSE)</f>
        <v>70</v>
      </c>
      <c r="F294" s="55" t="str">
        <f>VLOOKUP(B294,'Player Data'!A1:B667,2,FALSE)</f>
        <v>VGK</v>
      </c>
      <c r="G294" s="10">
        <f>VLOOKUP(B294,'Player Data'!A1:D667,3,FALSE)</f>
        <v>28</v>
      </c>
      <c r="H294" s="50">
        <f>IFERROR(VLOOKUP(B294,ADP!A1:G665,7,FALSE)/1000000,VLOOKUP(B294,ADP!A1:G665,7,FALSE))</f>
        <v>5</v>
      </c>
      <c r="I294" s="51">
        <f>IF(Settings!$E$15="POINTS",((R294*Q294)*Settings!$B$12)+(S294*Settings!$B$2)+(T294*Settings!$B$3)+(U294*Settings!$B$4)+(V294*Settings!$B$5)+(X294*Settings!$B$9)+(AA294*Settings!$B$6)+(W294*Settings!$B$8)+(AB294*Settings!$B$7)+(AC294*Settings!$B$14)+(AD294*Settings!$B$15)+(AE294*Settings!$B$16)+(AF294*Settings!$B$17)+(AG294*Settings!$B$18)+(Y294*Settings!$B$10)+(Z294*Settings!$B$11),VLOOKUP(B294,'Standard Deviations'!A1:C666,3,FALSE))</f>
        <v>233.55694286905486</v>
      </c>
      <c r="J294" s="52">
        <f>IF(D294="G",I294/AJ294,I294/Q294)</f>
        <v>2.8506889157702289</v>
      </c>
      <c r="K294" s="51">
        <f>IF(Settings!$E$18="C/LW/RW",VLOOKUP(B294,LW!A1:F152,6,FALSE),VLOOKUP(B294,F!A1:F392,6,FALSE))</f>
        <v>-147.50456943344489</v>
      </c>
      <c r="L294" s="53">
        <f>IFERROR(K294/H294,"N/A")</f>
        <v>-29.500913886688977</v>
      </c>
      <c r="M294" s="83" t="str">
        <f>IF(Settings!$E$9="YAHOO",VLOOKUP(B294,ADP!A1:E665,2,FALSE),IF(Settings!$E$9="ESPN",VLOOKUP(B294,ADP!A1:E665,3,FALSE),IF(Settings!$E$9="FANTRAX",VLOOKUP(B294,ADP!A1:E665,4,FALSE),VLOOKUP(B294,ADP!A1:E665,5,FALSE))))</f>
        <v>—</v>
      </c>
      <c r="N294" s="83" t="str">
        <f>IFERROR(M294-A294,"N/A")</f>
        <v>N/A</v>
      </c>
      <c r="O294" s="54"/>
      <c r="P294" s="55" t="str">
        <f>IF(Settings!$E$27="ON",VLOOKUP(B294,ADP!A1:H665,8,FALSE)," ")</f>
        <v xml:space="preserve"> </v>
      </c>
      <c r="Q294" s="56">
        <f>IF(Settings!$E$12="YES",VLOOKUP(B294,'Player Data'!A1:E667,5,FALSE),82)</f>
        <v>81.93</v>
      </c>
      <c r="R294" s="54">
        <f>VLOOKUP(B294,'Player Data'!$A1:$AE667,6,FALSE)</f>
        <v>16.2544142607567</v>
      </c>
      <c r="S294" s="56">
        <f>VLOOKUP(B294,'Player Data'!$A1:$AE667,7,FALSE)*$Q294*IFERROR((VLOOKUP(P294,Settings!$E$28:$F$33,2,FALSE)+1),1)</f>
        <v>19.410653604525308</v>
      </c>
      <c r="T294" s="56">
        <f>VLOOKUP(B294,'Player Data'!$A1:$AE667,8,FALSE)*$Q294*IFERROR((VLOOKUP(P294,Settings!$E$28:$F$33,2,FALSE)+1),1)</f>
        <v>28.50291741999451</v>
      </c>
      <c r="U294" s="56">
        <f>SUM(S294:T294)</f>
        <v>47.913571024519818</v>
      </c>
      <c r="V294" s="56">
        <f>VLOOKUP(B294,'Player Data'!$A1:$AE667,10,FALSE)*$Q294*IFERROR(((VLOOKUP(P294,Settings!$E$28:$F$33,2,FALSE)/2)+1),1)</f>
        <v>124.27819499283696</v>
      </c>
      <c r="W294" s="56">
        <f>VLOOKUP(B294,'Player Data'!$A1:$AE667,11,FALSE)*$Q294*IFERROR((VLOOKUP(P294,Settings!$E$28:$F$33,2,FALSE)+1),1)</f>
        <v>3.2387554863275079</v>
      </c>
      <c r="X294" s="56">
        <f>VLOOKUP(B294,'Player Data'!$A1:$AE667,12,FALSE)*$Q294*IFERROR((VLOOKUP(P294,Settings!$E$28:$F$33,2,FALSE)+1),1)</f>
        <v>6.8978196177003648</v>
      </c>
      <c r="Y294" s="56">
        <f>VLOOKUP(B294,'Player Data'!$A1:$AE667,13,FALSE)*$Q294</f>
        <v>9.5741717597259204E-3</v>
      </c>
      <c r="Z294" s="56">
        <f>VLOOKUP(B294,'Player Data'!$A1:$AE667,14,FALSE)*$Q294</f>
        <v>1.8189235411876802E-2</v>
      </c>
      <c r="AA294" s="56">
        <f>VLOOKUP(B294,'Player Data'!$A1:$AE667,15,FALSE)*$Q294</f>
        <v>41.522246891929349</v>
      </c>
      <c r="AB294" s="56">
        <f>VLOOKUP(B294,'Player Data'!$A1:$AE667,16,FALSE)*$Q294</f>
        <v>165.3069864936158</v>
      </c>
      <c r="AC294" s="56">
        <f>VLOOKUP(B294,'Player Data'!$A1:$AE667,17,FALSE)*$Q294*IFERROR((VLOOKUP(P294,Settings!$E$28:$F$33,2,FALSE)+1),1)</f>
        <v>2.2773018774654386</v>
      </c>
      <c r="AD294" s="56">
        <f>VLOOKUP(B294,'Player Data'!$A1:$AE667,18,FALSE)*$Q294</f>
        <v>38.989152663903333</v>
      </c>
      <c r="AE294" s="56">
        <f>VLOOKUP(B294,'Player Data'!$A1:$AE667,19,FALSE)*$Q294*IFERROR((VLOOKUP(P294,Settings!$E$28:$F$33,2,FALSE)+1),1)</f>
        <v>2.9523854328044448</v>
      </c>
      <c r="AF294" s="56">
        <f>VLOOKUP(B294,'Player Data'!$A1:$AE667,20,FALSE)*$Q294</f>
        <v>53.045563594698606</v>
      </c>
      <c r="AG294" s="56">
        <f>VLOOKUP(B294,'Player Data'!$A1:$AE667,21,FALSE)*$Q294</f>
        <v>77.529463267684974</v>
      </c>
      <c r="AH294" s="58">
        <f>VLOOKUP(B294,'Player Data'!$A1:$AE667,22,FALSE)</f>
        <v>0.40624585626625798</v>
      </c>
      <c r="AI294" s="54"/>
      <c r="AJ294" s="56"/>
      <c r="AK294" s="56"/>
      <c r="AL294" s="56"/>
      <c r="AM294" s="56"/>
      <c r="AN294" s="56"/>
      <c r="AO294" s="56"/>
      <c r="AP294" s="56"/>
      <c r="AQ294" s="59"/>
      <c r="AR294" s="60"/>
      <c r="AS294" s="54"/>
    </row>
    <row r="295" spans="1:45" ht="21.25" customHeight="1" x14ac:dyDescent="0.15">
      <c r="A295" s="45">
        <f>RANK(K295,K$1:K$665)</f>
        <v>294</v>
      </c>
      <c r="B295" s="9" t="s">
        <v>420</v>
      </c>
      <c r="C295" s="46" t="s">
        <v>127</v>
      </c>
      <c r="D295" s="47" t="str">
        <f>VLOOKUP(B295,'Player Data'!A1:D667,4,FALSE)</f>
        <v>D</v>
      </c>
      <c r="E295" s="66">
        <f>VLOOKUP(B295,D!A1:C213,3,FALSE)</f>
        <v>91</v>
      </c>
      <c r="F295" s="74" t="str">
        <f>VLOOKUP(B295,'Player Data'!A1:B667,2,FALSE)</f>
        <v>PIT</v>
      </c>
      <c r="G295" s="10">
        <f>VLOOKUP(B295,'Player Data'!A1:D667,3,FALSE)</f>
        <v>29</v>
      </c>
      <c r="H295" s="50">
        <f>IFERROR(VLOOKUP(B295,ADP!A1:G665,7,FALSE)/1000000,VLOOKUP(B295,ADP!A1:G665,7,FALSE))</f>
        <v>4.5</v>
      </c>
      <c r="I295" s="51">
        <f>IF(Settings!$E$15="POINTS",((R295*Q295)*Settings!$B$12)+(S295*Settings!$B$2)+(T295*Settings!$B$3)+(U295*Settings!$B$4)+(V295*Settings!$B$5)+(X295*Settings!$B$9)+(AA295*Settings!$B$6)+(W295*Settings!$B$8)+(AB295*Settings!$B$7)+(AC295*Settings!$B$14)+(AD295*Settings!$B$15)+(AE295*Settings!$B$16)+(AF295*Settings!$B$17)+(AG295*Settings!$B$18)+(U295*Settings!$B$13)+(Y295*Settings!$B$10)+(Z295*Settings!$B$11),VLOOKUP(B295,'Standard Deviations'!A1:C666,3,FALSE))</f>
        <v>187.28758284232464</v>
      </c>
      <c r="J295" s="52">
        <f>IF(D295="G",I295/AJ295,I295/Q295)</f>
        <v>2.3812788663995503</v>
      </c>
      <c r="K295" s="51">
        <f>VLOOKUP(B295,D!A1:F213,6,FALSE)</f>
        <v>-148.94654220327027</v>
      </c>
      <c r="L295" s="53">
        <f>IFERROR(K295/H295,"N/A")</f>
        <v>-33.099231600726725</v>
      </c>
      <c r="M295" s="83" t="str">
        <f>IF(Settings!$E$9="YAHOO",VLOOKUP(B295,ADP!A1:E665,2,FALSE),IF(Settings!$E$9="ESPN",VLOOKUP(B295,ADP!A1:E665,3,FALSE),IF(Settings!$E$9="FANTRAX",VLOOKUP(B295,ADP!A1:E665,4,FALSE),VLOOKUP(B295,ADP!A1:E665,5,FALSE))))</f>
        <v>—</v>
      </c>
      <c r="N295" s="83" t="str">
        <f>IFERROR(M295-A295,"N/A")</f>
        <v>N/A</v>
      </c>
      <c r="O295" s="54"/>
      <c r="P295" s="55" t="str">
        <f>IF(Settings!$E$27="ON",VLOOKUP(B295,ADP!A1:H665,8,FALSE)," ")</f>
        <v xml:space="preserve"> </v>
      </c>
      <c r="Q295" s="56">
        <f>IF(Settings!$E$12="YES",VLOOKUP(B295,'Player Data'!A1:E667,5,FALSE),82)</f>
        <v>78.650000000000006</v>
      </c>
      <c r="R295" s="54">
        <f>VLOOKUP(B295,'Player Data'!$A1:$AE667,6,FALSE)</f>
        <v>18.519787512074</v>
      </c>
      <c r="S295" s="56">
        <f>VLOOKUP(B295,'Player Data'!$A1:$AE667,7,FALSE)*$Q295*IFERROR((VLOOKUP(P295,Settings!$E$28:$F$33,2,FALSE)+1),1)</f>
        <v>5.1239549575148473</v>
      </c>
      <c r="T295" s="56">
        <f>VLOOKUP(B295,'Player Data'!$A1:$AE667,8,FALSE)*$Q295*IFERROR((VLOOKUP(P295,Settings!$E$28:$F$33,2,FALSE)+1),1)</f>
        <v>15.877789831890123</v>
      </c>
      <c r="U295" s="56">
        <f>SUM(S295:T295)</f>
        <v>21.00174478940497</v>
      </c>
      <c r="V295" s="56">
        <f>VLOOKUP(B295,'Player Data'!$A1:$AE667,10,FALSE)*$Q295*IFERROR(((VLOOKUP(P295,Settings!$E$28:$F$33,2,FALSE)/2)+1),1)</f>
        <v>100.12771733251211</v>
      </c>
      <c r="W295" s="56">
        <f>VLOOKUP(B295,'Player Data'!$A1:$AE667,11,FALSE)*$Q295*IFERROR((VLOOKUP(P295,Settings!$E$28:$F$33,2,FALSE)+1),1)</f>
        <v>6.272639941478364E-3</v>
      </c>
      <c r="X295" s="56">
        <f>VLOOKUP(B295,'Player Data'!$A1:$AE667,12,FALSE)*$Q295*IFERROR((VLOOKUP(P295,Settings!$E$28:$F$33,2,FALSE)+1),1)</f>
        <v>4.0422404565108282E-2</v>
      </c>
      <c r="Y295" s="56">
        <f>VLOOKUP(B295,'Player Data'!$A1:$AE667,13,FALSE)*$Q295</f>
        <v>2.6659265682251999E-2</v>
      </c>
      <c r="Z295" s="56">
        <f>VLOOKUP(B295,'Player Data'!$A1:$AE667,14,FALSE)*$Q295</f>
        <v>0.61510089395642942</v>
      </c>
      <c r="AA295" s="56">
        <f>VLOOKUP(B295,'Player Data'!$A1:$AE667,15,FALSE)*$Q295</f>
        <v>147.12593301866426</v>
      </c>
      <c r="AB295" s="56">
        <f>VLOOKUP(B295,'Player Data'!$A1:$AE667,16,FALSE)*$Q295</f>
        <v>87.102034051005205</v>
      </c>
      <c r="AC295" s="56">
        <f>VLOOKUP(B295,'Player Data'!$A1:$AE667,17,FALSE)*$Q295*IFERROR((VLOOKUP(P295,Settings!$E$28:$F$33,2,FALSE)+1),1)</f>
        <v>0.48591977605588926</v>
      </c>
      <c r="AD295" s="56">
        <f>VLOOKUP(B295,'Player Data'!$A1:$AE667,18,FALSE)*$Q295</f>
        <v>30.055595528618134</v>
      </c>
      <c r="AE295" s="56">
        <f>VLOOKUP(B295,'Player Data'!$A1:$AE667,19,FALSE)*$Q295*IFERROR((VLOOKUP(P295,Settings!$E$28:$F$33,2,FALSE)+1),1)</f>
        <v>0.7595899536943248</v>
      </c>
      <c r="AF295" s="56">
        <f>VLOOKUP(B295,'Player Data'!$A1:$AE667,20,FALSE)*$Q295</f>
        <v>0</v>
      </c>
      <c r="AG295" s="56">
        <f>VLOOKUP(B295,'Player Data'!$A1:$AE667,21,FALSE)*$Q295</f>
        <v>0</v>
      </c>
      <c r="AH295" s="58">
        <f>VLOOKUP(B295,'Player Data'!$A1:$AE667,22,FALSE)</f>
        <v>0</v>
      </c>
      <c r="AI295" s="54"/>
      <c r="AJ295" s="56"/>
      <c r="AK295" s="56"/>
      <c r="AL295" s="56"/>
      <c r="AM295" s="56"/>
      <c r="AN295" s="56"/>
      <c r="AO295" s="56"/>
      <c r="AP295" s="56"/>
      <c r="AQ295" s="59"/>
      <c r="AR295" s="60"/>
      <c r="AS295" s="54"/>
    </row>
    <row r="296" spans="1:45" ht="21.25" customHeight="1" x14ac:dyDescent="0.15">
      <c r="A296" s="45">
        <f>RANK(K296,K$1:K$665)</f>
        <v>295</v>
      </c>
      <c r="B296" s="9" t="s">
        <v>421</v>
      </c>
      <c r="C296" s="46" t="s">
        <v>127</v>
      </c>
      <c r="D296" s="47" t="str">
        <f>VLOOKUP(B296,'Player Data'!A1:D667,4,FALSE)</f>
        <v>D</v>
      </c>
      <c r="E296" s="66">
        <f>VLOOKUP(B296,D!A1:C213,3,FALSE)</f>
        <v>92</v>
      </c>
      <c r="F296" s="80" t="str">
        <f>VLOOKUP(B296,'Player Data'!A1:B667,2,FALSE)</f>
        <v>PHI</v>
      </c>
      <c r="G296" s="69">
        <f>VLOOKUP(B296,'Player Data'!A1:D667,3,FALSE)</f>
        <v>22</v>
      </c>
      <c r="H296" s="50">
        <f>IFERROR(VLOOKUP(B296,ADP!A1:G665,7,FALSE)/1000000,VLOOKUP(B296,ADP!A1:G665,7,FALSE))</f>
        <v>2.2999999999999998</v>
      </c>
      <c r="I296" s="51">
        <f>IF(Settings!$E$15="POINTS",((R296*Q296)*Settings!$B$12)+(S296*Settings!$B$2)+(T296*Settings!$B$3)+(U296*Settings!$B$4)+(V296*Settings!$B$5)+(X296*Settings!$B$9)+(AA296*Settings!$B$6)+(W296*Settings!$B$8)+(AB296*Settings!$B$7)+(AC296*Settings!$B$14)+(AD296*Settings!$B$15)+(AE296*Settings!$B$16)+(AF296*Settings!$B$17)+(AG296*Settings!$B$18)+(U296*Settings!$B$13)+(Y296*Settings!$B$10)+(Z296*Settings!$B$11),VLOOKUP(B296,'Standard Deviations'!A1:C666,3,FALSE))</f>
        <v>187.28418557407022</v>
      </c>
      <c r="J296" s="52">
        <f>IF(D296="G",I296/AJ296,I296/Q296)</f>
        <v>2.9617171752047162</v>
      </c>
      <c r="K296" s="51">
        <f>VLOOKUP(B296,D!A1:F213,6,FALSE)</f>
        <v>-148.94993947152469</v>
      </c>
      <c r="L296" s="53">
        <f>IFERROR(K296/H296,"N/A")</f>
        <v>-64.760843248488996</v>
      </c>
      <c r="M296" s="83" t="str">
        <f>IF(Settings!$E$9="YAHOO",VLOOKUP(B296,ADP!A1:E665,2,FALSE),IF(Settings!$E$9="ESPN",VLOOKUP(B296,ADP!A1:E665,3,FALSE),IF(Settings!$E$9="FANTRAX",VLOOKUP(B296,ADP!A1:E665,4,FALSE),VLOOKUP(B296,ADP!A1:E665,5,FALSE))))</f>
        <v>—</v>
      </c>
      <c r="N296" s="83" t="str">
        <f>IFERROR(M296-A296,"N/A")</f>
        <v>N/A</v>
      </c>
      <c r="O296" s="54"/>
      <c r="P296" s="55" t="str">
        <f>IF(Settings!$E$27="ON",VLOOKUP(B296,ADP!A1:H665,8,FALSE)," ")</f>
        <v>+</v>
      </c>
      <c r="Q296" s="56">
        <f>IF(Settings!$E$12="YES",VLOOKUP(B296,'Player Data'!A1:E667,5,FALSE),82)</f>
        <v>63.234999999999999</v>
      </c>
      <c r="R296" s="75">
        <f>VLOOKUP(B296,'Player Data'!$A1:$AE667,6,FALSE)</f>
        <v>20.868463182383199</v>
      </c>
      <c r="S296" s="56">
        <f>VLOOKUP(B296,'Player Data'!$A1:$AE667,7,FALSE)*$Q296*IFERROR((VLOOKUP(P296,Settings!$E$28:$F$33,2,FALSE)+1),1)</f>
        <v>5.121367178825456</v>
      </c>
      <c r="T296" s="56">
        <f>VLOOKUP(B296,'Player Data'!$A1:$AE667,8,FALSE)*$Q296*IFERROR((VLOOKUP(P296,Settings!$E$28:$F$33,2,FALSE)+1),1)</f>
        <v>21.148613606787947</v>
      </c>
      <c r="U296" s="56">
        <f>SUM(S296:T296)</f>
        <v>26.269980785613402</v>
      </c>
      <c r="V296" s="56">
        <f>VLOOKUP(B296,'Player Data'!$A1:$AE667,10,FALSE)*$Q296*IFERROR(((VLOOKUP(P296,Settings!$E$28:$F$33,2,FALSE)/2)+1),1)</f>
        <v>111.62031857583517</v>
      </c>
      <c r="W296" s="56">
        <f>VLOOKUP(B296,'Player Data'!$A1:$AE667,11,FALSE)*$Q296*IFERROR((VLOOKUP(P296,Settings!$E$28:$F$33,2,FALSE)+1),1)</f>
        <v>1.1585977352797827</v>
      </c>
      <c r="X296" s="78">
        <f>VLOOKUP(B296,'Player Data'!$A1:$AE667,12,FALSE)*$Q296*IFERROR((VLOOKUP(P296,Settings!$E$28:$F$33,2,FALSE)+1),1)</f>
        <v>8.9555274062199608</v>
      </c>
      <c r="Y296" s="56">
        <f>VLOOKUP(B296,'Player Data'!$A1:$AE667,13,FALSE)*$Q296</f>
        <v>2.2352127645656111E-2</v>
      </c>
      <c r="Z296" s="56">
        <f>VLOOKUP(B296,'Player Data'!$A1:$AE667,14,FALSE)*$Q296</f>
        <v>0.51874055790425577</v>
      </c>
      <c r="AA296" s="56">
        <f>VLOOKUP(B296,'Player Data'!$A1:$AE667,15,FALSE)*$Q296</f>
        <v>86.379631930376362</v>
      </c>
      <c r="AB296" s="56">
        <f>VLOOKUP(B296,'Player Data'!$A1:$AE667,16,FALSE)*$Q296</f>
        <v>62.536512740410579</v>
      </c>
      <c r="AC296" s="56">
        <f>VLOOKUP(B296,'Player Data'!$A1:$AE667,17,FALSE)*$Q296*IFERROR((VLOOKUP(P296,Settings!$E$28:$F$33,2,FALSE)+1),1)</f>
        <v>-2.0540173847549221</v>
      </c>
      <c r="AD296" s="56">
        <f>VLOOKUP(B296,'Player Data'!$A1:$AE667,18,FALSE)*$Q296</f>
        <v>20.437033671442116</v>
      </c>
      <c r="AE296" s="56">
        <f>VLOOKUP(B296,'Player Data'!$A1:$AE667,19,FALSE)*$Q296*IFERROR((VLOOKUP(P296,Settings!$E$28:$F$33,2,FALSE)+1),1)</f>
        <v>0.74233975019232568</v>
      </c>
      <c r="AF296" s="56">
        <f>VLOOKUP(B296,'Player Data'!$A1:$AE667,20,FALSE)*$Q296</f>
        <v>0</v>
      </c>
      <c r="AG296" s="56">
        <f>VLOOKUP(B296,'Player Data'!$A1:$AE667,21,FALSE)*$Q296</f>
        <v>0</v>
      </c>
      <c r="AH296" s="58">
        <f>VLOOKUP(B296,'Player Data'!$A1:$AE667,22,FALSE)</f>
        <v>0</v>
      </c>
      <c r="AI296" s="54"/>
      <c r="AJ296" s="56"/>
      <c r="AK296" s="56"/>
      <c r="AL296" s="56"/>
      <c r="AM296" s="56"/>
      <c r="AN296" s="56"/>
      <c r="AO296" s="56"/>
      <c r="AP296" s="56"/>
      <c r="AQ296" s="59"/>
      <c r="AR296" s="60"/>
      <c r="AS296" s="54"/>
    </row>
    <row r="297" spans="1:45" ht="21.25" customHeight="1" x14ac:dyDescent="0.15">
      <c r="A297" s="45">
        <f>RANK(K297,K$1:K$665)</f>
        <v>296</v>
      </c>
      <c r="B297" s="9" t="s">
        <v>422</v>
      </c>
      <c r="C297" s="46" t="s">
        <v>127</v>
      </c>
      <c r="D297" s="47" t="str">
        <f>VLOOKUP(B297,'Player Data'!A1:D667,4,FALSE)</f>
        <v>D</v>
      </c>
      <c r="E297" s="66">
        <f>VLOOKUP(B297,D!A1:C213,3,FALSE)</f>
        <v>93</v>
      </c>
      <c r="F297" s="65" t="str">
        <f>VLOOKUP(B297,'Player Data'!A1:B667,2,FALSE)</f>
        <v>FLA</v>
      </c>
      <c r="G297" s="69">
        <f>VLOOKUP(B297,'Player Data'!A1:D667,3,FALSE)</f>
        <v>24</v>
      </c>
      <c r="H297" s="67">
        <f>IFERROR(VLOOKUP(B297,ADP!A1:G665,7,FALSE)/1000000,VLOOKUP(B297,ADP!A1:G665,7,FALSE))</f>
        <v>0.77500000000000002</v>
      </c>
      <c r="I297" s="51">
        <f>IF(Settings!$E$15="POINTS",((R297*Q297)*Settings!$B$12)+(S297*Settings!$B$2)+(T297*Settings!$B$3)+(U297*Settings!$B$4)+(V297*Settings!$B$5)+(X297*Settings!$B$9)+(AA297*Settings!$B$6)+(W297*Settings!$B$8)+(AB297*Settings!$B$7)+(AC297*Settings!$B$14)+(AD297*Settings!$B$15)+(AE297*Settings!$B$16)+(AF297*Settings!$B$17)+(AG297*Settings!$B$18)+(U297*Settings!$B$13)+(Y297*Settings!$B$10)+(Z297*Settings!$B$11),VLOOKUP(B297,'Standard Deviations'!A1:C666,3,FALSE))</f>
        <v>186.88625103604599</v>
      </c>
      <c r="J297" s="52">
        <f>IF(D297="G",I297/AJ297,I297/Q297)</f>
        <v>2.8429169201147899</v>
      </c>
      <c r="K297" s="51">
        <f>VLOOKUP(B297,D!A1:F213,6,FALSE)</f>
        <v>-149.34787400954892</v>
      </c>
      <c r="L297" s="53">
        <f>IFERROR(K297/H297,"N/A")</f>
        <v>-192.70693420586957</v>
      </c>
      <c r="M297" s="83" t="str">
        <f>IF(Settings!$E$9="YAHOO",VLOOKUP(B297,ADP!A1:E665,2,FALSE),IF(Settings!$E$9="ESPN",VLOOKUP(B297,ADP!A1:E665,3,FALSE),IF(Settings!$E$9="FANTRAX",VLOOKUP(B297,ADP!A1:E665,4,FALSE),VLOOKUP(B297,ADP!A1:E665,5,FALSE))))</f>
        <v>—</v>
      </c>
      <c r="N297" s="83" t="str">
        <f>IFERROR(M297-A297,"N/A")</f>
        <v>N/A</v>
      </c>
      <c r="O297" s="54"/>
      <c r="P297" s="55" t="str">
        <f>IF(Settings!$E$27="ON",VLOOKUP(B297,ADP!A1:H665,8,FALSE)," ")</f>
        <v xml:space="preserve"> </v>
      </c>
      <c r="Q297" s="56">
        <f>IF(Settings!$E$12="YES",VLOOKUP(B297,'Player Data'!A1:E667,5,FALSE),82)</f>
        <v>65.737499999999997</v>
      </c>
      <c r="R297" s="54">
        <f>VLOOKUP(B297,'Player Data'!$A1:$AE667,6,FALSE)</f>
        <v>18.998436482787699</v>
      </c>
      <c r="S297" s="56">
        <f>VLOOKUP(B297,'Player Data'!$A1:$AE667,7,FALSE)*$Q297*IFERROR((VLOOKUP(P297,Settings!$E$28:$F$33,2,FALSE)+1),1)</f>
        <v>6.9086762201925414</v>
      </c>
      <c r="T297" s="56">
        <f>VLOOKUP(B297,'Player Data'!$A1:$AE667,8,FALSE)*$Q297*IFERROR((VLOOKUP(P297,Settings!$E$28:$F$33,2,FALSE)+1),1)</f>
        <v>22.280106565363958</v>
      </c>
      <c r="U297" s="56">
        <f>SUM(S297:T297)</f>
        <v>29.188782785556498</v>
      </c>
      <c r="V297" s="56">
        <f>VLOOKUP(B297,'Player Data'!$A1:$AE667,10,FALSE)*$Q297*IFERROR(((VLOOKUP(P297,Settings!$E$28:$F$33,2,FALSE)/2)+1),1)</f>
        <v>94.449434458262104</v>
      </c>
      <c r="W297" s="56">
        <f>VLOOKUP(B297,'Player Data'!$A1:$AE667,11,FALSE)*$Q297*IFERROR((VLOOKUP(P297,Settings!$E$28:$F$33,2,FALSE)+1),1)</f>
        <v>1.5428069225111505</v>
      </c>
      <c r="X297" s="78">
        <f>VLOOKUP(B297,'Player Data'!$A1:$AE667,12,FALSE)*$Q297*IFERROR((VLOOKUP(P297,Settings!$E$28:$F$33,2,FALSE)+1),1)</f>
        <v>12.249711076355634</v>
      </c>
      <c r="Y297" s="56">
        <f>VLOOKUP(B297,'Player Data'!$A1:$AE667,13,FALSE)*$Q297</f>
        <v>3.6347507785978767E-3</v>
      </c>
      <c r="Z297" s="56">
        <f>VLOOKUP(B297,'Player Data'!$A1:$AE667,14,FALSE)*$Q297</f>
        <v>1.7830599557406832E-2</v>
      </c>
      <c r="AA297" s="56">
        <f>VLOOKUP(B297,'Player Data'!$A1:$AE667,15,FALSE)*$Q297</f>
        <v>79.655287548664745</v>
      </c>
      <c r="AB297" s="56">
        <f>VLOOKUP(B297,'Player Data'!$A1:$AE667,16,FALSE)*$Q297</f>
        <v>50.884684399098759</v>
      </c>
      <c r="AC297" s="56">
        <f>VLOOKUP(B297,'Player Data'!$A1:$AE667,17,FALSE)*$Q297*IFERROR((VLOOKUP(P297,Settings!$E$28:$F$33,2,FALSE)+1),1)</f>
        <v>-6.5995791019403978</v>
      </c>
      <c r="AD297" s="56">
        <f>VLOOKUP(B297,'Player Data'!$A1:$AE667,18,FALSE)*$Q297</f>
        <v>15.887201905287252</v>
      </c>
      <c r="AE297" s="56">
        <f>VLOOKUP(B297,'Player Data'!$A1:$AE667,19,FALSE)*$Q297*IFERROR((VLOOKUP(P297,Settings!$E$28:$F$33,2,FALSE)+1),1)</f>
        <v>1.1769740366751327</v>
      </c>
      <c r="AF297" s="56">
        <f>VLOOKUP(B297,'Player Data'!$A1:$AE667,20,FALSE)*$Q297</f>
        <v>0</v>
      </c>
      <c r="AG297" s="56">
        <f>VLOOKUP(B297,'Player Data'!$A1:$AE667,21,FALSE)*$Q297</f>
        <v>0</v>
      </c>
      <c r="AH297" s="58">
        <f>VLOOKUP(B297,'Player Data'!$A1:$AE667,22,FALSE)</f>
        <v>0</v>
      </c>
      <c r="AI297" s="54"/>
      <c r="AJ297" s="56"/>
      <c r="AK297" s="56"/>
      <c r="AL297" s="56"/>
      <c r="AM297" s="56"/>
      <c r="AN297" s="56"/>
      <c r="AO297" s="56"/>
      <c r="AP297" s="56"/>
      <c r="AQ297" s="59"/>
      <c r="AR297" s="60"/>
      <c r="AS297" s="54"/>
    </row>
    <row r="298" spans="1:45" ht="21.25" customHeight="1" x14ac:dyDescent="0.15">
      <c r="A298" s="45">
        <f>RANK(K298,K$1:K$665)</f>
        <v>297</v>
      </c>
      <c r="B298" s="9" t="s">
        <v>423</v>
      </c>
      <c r="C298" s="46" t="s">
        <v>127</v>
      </c>
      <c r="D298" s="47" t="str">
        <f>VLOOKUP(B298,'Player Data'!A1:D667,4,FALSE)</f>
        <v>D</v>
      </c>
      <c r="E298" s="66">
        <f>VLOOKUP(B298,D!A1:C213,3,FALSE)</f>
        <v>94</v>
      </c>
      <c r="F298" s="72" t="str">
        <f>VLOOKUP(B298,'Player Data'!A1:B667,2,FALSE)</f>
        <v>NYI</v>
      </c>
      <c r="G298" s="10">
        <f>VLOOKUP(B298,'Player Data'!A1:D667,3,FALSE)</f>
        <v>30</v>
      </c>
      <c r="H298" s="50">
        <f>IFERROR(VLOOKUP(B298,ADP!A1:G665,7,FALSE)/1000000,VLOOKUP(B298,ADP!A1:G665,7,FALSE))</f>
        <v>5.75</v>
      </c>
      <c r="I298" s="51">
        <f>IF(Settings!$E$15="POINTS",((R298*Q298)*Settings!$B$12)+(S298*Settings!$B$2)+(T298*Settings!$B$3)+(U298*Settings!$B$4)+(V298*Settings!$B$5)+(X298*Settings!$B$9)+(AA298*Settings!$B$6)+(W298*Settings!$B$8)+(AB298*Settings!$B$7)+(AC298*Settings!$B$14)+(AD298*Settings!$B$15)+(AE298*Settings!$B$16)+(AF298*Settings!$B$17)+(AG298*Settings!$B$18)+(U298*Settings!$B$13)+(Y298*Settings!$B$10)+(Z298*Settings!$B$11),VLOOKUP(B298,'Standard Deviations'!A1:C666,3,FALSE))</f>
        <v>186.38260251648046</v>
      </c>
      <c r="J298" s="52">
        <f>IF(D298="G",I298/AJ298,I298/Q298)</f>
        <v>2.5023677040443117</v>
      </c>
      <c r="K298" s="51">
        <f>VLOOKUP(B298,D!A1:F213,6,FALSE)</f>
        <v>-149.85152252911445</v>
      </c>
      <c r="L298" s="53">
        <f>IFERROR(K298/H298,"N/A")</f>
        <v>-26.061134352889468</v>
      </c>
      <c r="M298" s="83" t="str">
        <f>IF(Settings!$E$9="YAHOO",VLOOKUP(B298,ADP!A1:E665,2,FALSE),IF(Settings!$E$9="ESPN",VLOOKUP(B298,ADP!A1:E665,3,FALSE),IF(Settings!$E$9="FANTRAX",VLOOKUP(B298,ADP!A1:E665,4,FALSE),VLOOKUP(B298,ADP!A1:E665,5,FALSE))))</f>
        <v>—</v>
      </c>
      <c r="N298" s="83" t="str">
        <f>IFERROR(M298-A298,"N/A")</f>
        <v>N/A</v>
      </c>
      <c r="O298" s="54"/>
      <c r="P298" s="55" t="str">
        <f>IF(Settings!$E$27="ON",VLOOKUP(B298,ADP!A1:H665,8,FALSE)," ")</f>
        <v xml:space="preserve"> </v>
      </c>
      <c r="Q298" s="56">
        <f>IF(Settings!$E$12="YES",VLOOKUP(B298,'Player Data'!A1:E667,5,FALSE),82)</f>
        <v>74.482500000000002</v>
      </c>
      <c r="R298" s="54">
        <f>VLOOKUP(B298,'Player Data'!$A1:$AE667,6,FALSE)</f>
        <v>20.394251483605998</v>
      </c>
      <c r="S298" s="56">
        <f>VLOOKUP(B298,'Player Data'!$A1:$AE667,7,FALSE)*$Q298*IFERROR((VLOOKUP(P298,Settings!$E$28:$F$33,2,FALSE)+1),1)</f>
        <v>3.7025894868831597</v>
      </c>
      <c r="T298" s="56">
        <f>VLOOKUP(B298,'Player Data'!$A1:$AE667,8,FALSE)*$Q298*IFERROR((VLOOKUP(P298,Settings!$E$28:$F$33,2,FALSE)+1),1)</f>
        <v>19.003342997707204</v>
      </c>
      <c r="U298" s="56">
        <f>SUM(S298:T298)</f>
        <v>22.705932484590363</v>
      </c>
      <c r="V298" s="56">
        <f>VLOOKUP(B298,'Player Data'!$A1:$AE667,10,FALSE)*$Q298*IFERROR(((VLOOKUP(P298,Settings!$E$28:$F$33,2,FALSE)/2)+1),1)</f>
        <v>96.424286830162927</v>
      </c>
      <c r="W298" s="56">
        <f>VLOOKUP(B298,'Player Data'!$A1:$AE667,11,FALSE)*$Q298*IFERROR((VLOOKUP(P298,Settings!$E$28:$F$33,2,FALSE)+1),1)</f>
        <v>1.8128131534233975E-2</v>
      </c>
      <c r="X298" s="56">
        <f>VLOOKUP(B298,'Player Data'!$A1:$AE667,12,FALSE)*$Q298*IFERROR((VLOOKUP(P298,Settings!$E$28:$F$33,2,FALSE)+1),1)</f>
        <v>0.11978841004322689</v>
      </c>
      <c r="Y298" s="56">
        <f>VLOOKUP(B298,'Player Data'!$A1:$AE667,13,FALSE)*$Q298</f>
        <v>3.1549240608233359E-2</v>
      </c>
      <c r="Z298" s="56">
        <f>VLOOKUP(B298,'Player Data'!$A1:$AE667,14,FALSE)*$Q298</f>
        <v>1.3424592217477531</v>
      </c>
      <c r="AA298" s="56">
        <f>VLOOKUP(B298,'Player Data'!$A1:$AE667,15,FALSE)*$Q298</f>
        <v>137.18082803167383</v>
      </c>
      <c r="AB298" s="56">
        <f>VLOOKUP(B298,'Player Data'!$A1:$AE667,16,FALSE)*$Q298</f>
        <v>88.195909217414325</v>
      </c>
      <c r="AC298" s="56">
        <f>VLOOKUP(B298,'Player Data'!$A1:$AE667,17,FALSE)*$Q298*IFERROR((VLOOKUP(P298,Settings!$E$28:$F$33,2,FALSE)+1),1)</f>
        <v>1.9477088145082349</v>
      </c>
      <c r="AD298" s="56">
        <f>VLOOKUP(B298,'Player Data'!$A1:$AE667,18,FALSE)*$Q298</f>
        <v>36.175270569345258</v>
      </c>
      <c r="AE298" s="56">
        <f>VLOOKUP(B298,'Player Data'!$A1:$AE667,19,FALSE)*$Q298*IFERROR((VLOOKUP(P298,Settings!$E$28:$F$33,2,FALSE)+1),1)</f>
        <v>0.58189503255158903</v>
      </c>
      <c r="AF298" s="56">
        <f>VLOOKUP(B298,'Player Data'!$A1:$AE667,20,FALSE)*$Q298</f>
        <v>0</v>
      </c>
      <c r="AG298" s="56">
        <f>VLOOKUP(B298,'Player Data'!$A1:$AE667,21,FALSE)*$Q298</f>
        <v>0</v>
      </c>
      <c r="AH298" s="58">
        <f>VLOOKUP(B298,'Player Data'!$A1:$AE667,22,FALSE)</f>
        <v>0</v>
      </c>
      <c r="AI298" s="54"/>
      <c r="AJ298" s="56"/>
      <c r="AK298" s="56"/>
      <c r="AL298" s="56"/>
      <c r="AM298" s="56"/>
      <c r="AN298" s="56"/>
      <c r="AO298" s="56"/>
      <c r="AP298" s="56"/>
      <c r="AQ298" s="59"/>
      <c r="AR298" s="60"/>
      <c r="AS298" s="54"/>
    </row>
    <row r="299" spans="1:45" ht="21.25" customHeight="1" x14ac:dyDescent="0.15">
      <c r="A299" s="45">
        <f>RANK(K299,K$1:K$665)</f>
        <v>298</v>
      </c>
      <c r="B299" s="9" t="s">
        <v>424</v>
      </c>
      <c r="C299" s="46" t="s">
        <v>127</v>
      </c>
      <c r="D299" s="47" t="str">
        <f>VLOOKUP(B299,'Player Data'!A1:D667,4,FALSE)</f>
        <v>D</v>
      </c>
      <c r="E299" s="66">
        <f>VLOOKUP(B299,D!A1:C213,3,FALSE)</f>
        <v>95</v>
      </c>
      <c r="F299" s="77" t="str">
        <f>VLOOKUP(B299,'Player Data'!A1:B667,2,FALSE)</f>
        <v>STL</v>
      </c>
      <c r="G299" s="69">
        <f>VLOOKUP(B299,'Player Data'!A1:D667,3,FALSE)</f>
        <v>23</v>
      </c>
      <c r="H299" s="50">
        <f>IFERROR(VLOOKUP(B299,ADP!A1:G665,7,FALSE)/1000000,VLOOKUP(B299,ADP!A1:G665,7,FALSE))</f>
        <v>4.5809170000000003</v>
      </c>
      <c r="I299" s="51">
        <f>IF(Settings!$E$15="POINTS",((R299*Q299)*Settings!$B$12)+(S299*Settings!$B$2)+(T299*Settings!$B$3)+(U299*Settings!$B$4)+(V299*Settings!$B$5)+(X299*Settings!$B$9)+(AA299*Settings!$B$6)+(W299*Settings!$B$8)+(AB299*Settings!$B$7)+(AC299*Settings!$B$14)+(AD299*Settings!$B$15)+(AE299*Settings!$B$16)+(AF299*Settings!$B$17)+(AG299*Settings!$B$18)+(U299*Settings!$B$13)+(Y299*Settings!$B$10)+(Z299*Settings!$B$11),VLOOKUP(B299,'Standard Deviations'!A1:C666,3,FALSE))</f>
        <v>186.23727893374414</v>
      </c>
      <c r="J299" s="52">
        <f>IF(D299="G",I299/AJ299,I299/Q299)</f>
        <v>2.5866288740797798</v>
      </c>
      <c r="K299" s="51">
        <f>VLOOKUP(B299,D!A1:F213,6,FALSE)</f>
        <v>-149.99684611185077</v>
      </c>
      <c r="L299" s="53">
        <f>IFERROR(K299/H299,"N/A")</f>
        <v>-32.743847162446023</v>
      </c>
      <c r="M299" s="83" t="str">
        <f>IF(Settings!$E$9="YAHOO",VLOOKUP(B299,ADP!A1:E665,2,FALSE),IF(Settings!$E$9="ESPN",VLOOKUP(B299,ADP!A1:E665,3,FALSE),IF(Settings!$E$9="FANTRAX",VLOOKUP(B299,ADP!A1:E665,4,FALSE),VLOOKUP(B299,ADP!A1:E665,5,FALSE))))</f>
        <v>—</v>
      </c>
      <c r="N299" s="83" t="str">
        <f>IFERROR(M299-A299,"N/A")</f>
        <v>N/A</v>
      </c>
      <c r="O299" s="54"/>
      <c r="P299" s="55" t="str">
        <f>IF(Settings!$E$27="ON",VLOOKUP(B299,ADP!A1:H665,8,FALSE)," ")</f>
        <v xml:space="preserve"> </v>
      </c>
      <c r="Q299" s="56">
        <f>IF(Settings!$E$12="YES",VLOOKUP(B299,'Player Data'!A1:E667,5,FALSE),82)</f>
        <v>72</v>
      </c>
      <c r="R299" s="75">
        <f>VLOOKUP(B299,'Player Data'!$A1:$AE667,6,FALSE)</f>
        <v>19.005345352780299</v>
      </c>
      <c r="S299" s="56">
        <f>VLOOKUP(B299,'Player Data'!$A1:$AE667,7,FALSE)*$Q299*IFERROR((VLOOKUP(P299,Settings!$E$28:$F$33,2,FALSE)+1),1)</f>
        <v>4.4664370110861622</v>
      </c>
      <c r="T299" s="56">
        <f>VLOOKUP(B299,'Player Data'!$A1:$AE667,8,FALSE)*$Q299*IFERROR((VLOOKUP(P299,Settings!$E$28:$F$33,2,FALSE)+1),1)</f>
        <v>23.419743118504346</v>
      </c>
      <c r="U299" s="56">
        <f>SUM(S299:T299)</f>
        <v>27.886180129590507</v>
      </c>
      <c r="V299" s="56">
        <f>VLOOKUP(B299,'Player Data'!$A1:$AE667,10,FALSE)*$Q299*IFERROR(((VLOOKUP(P299,Settings!$E$28:$F$33,2,FALSE)/2)+1),1)</f>
        <v>92.473310890445049</v>
      </c>
      <c r="W299" s="56">
        <f>VLOOKUP(B299,'Player Data'!$A1:$AE667,11,FALSE)*$Q299*IFERROR((VLOOKUP(P299,Settings!$E$28:$F$33,2,FALSE)+1),1)</f>
        <v>1.0391502619756152</v>
      </c>
      <c r="X299" s="56">
        <f>VLOOKUP(B299,'Player Data'!$A1:$AE667,12,FALSE)*$Q299*IFERROR((VLOOKUP(P299,Settings!$E$28:$F$33,2,FALSE)+1),1)</f>
        <v>9.1817372466424789</v>
      </c>
      <c r="Y299" s="56">
        <f>VLOOKUP(B299,'Player Data'!$A1:$AE667,13,FALSE)*$Q299</f>
        <v>2.0753545858226495E-2</v>
      </c>
      <c r="Z299" s="56">
        <f>VLOOKUP(B299,'Player Data'!$A1:$AE667,14,FALSE)*$Q299</f>
        <v>9.9137030726054884E-2</v>
      </c>
      <c r="AA299" s="56">
        <f>VLOOKUP(B299,'Player Data'!$A1:$AE667,15,FALSE)*$Q299</f>
        <v>94.122417644763132</v>
      </c>
      <c r="AB299" s="56">
        <f>VLOOKUP(B299,'Player Data'!$A1:$AE667,16,FALSE)*$Q299</f>
        <v>86.143938855430321</v>
      </c>
      <c r="AC299" s="56">
        <f>VLOOKUP(B299,'Player Data'!$A1:$AE667,17,FALSE)*$Q299*IFERROR((VLOOKUP(P299,Settings!$E$28:$F$33,2,FALSE)+1),1)</f>
        <v>5.0923063248940661</v>
      </c>
      <c r="AD299" s="56">
        <f>VLOOKUP(B299,'Player Data'!$A1:$AE667,18,FALSE)*$Q299</f>
        <v>20.363003638486489</v>
      </c>
      <c r="AE299" s="56">
        <f>VLOOKUP(B299,'Player Data'!$A1:$AE667,19,FALSE)*$Q299*IFERROR((VLOOKUP(P299,Settings!$E$28:$F$33,2,FALSE)+1),1)</f>
        <v>0.53773263442927799</v>
      </c>
      <c r="AF299" s="56">
        <f>VLOOKUP(B299,'Player Data'!$A1:$AE667,20,FALSE)*$Q299</f>
        <v>0</v>
      </c>
      <c r="AG299" s="56">
        <f>VLOOKUP(B299,'Player Data'!$A1:$AE667,21,FALSE)*$Q299</f>
        <v>0</v>
      </c>
      <c r="AH299" s="58">
        <f>VLOOKUP(B299,'Player Data'!$A1:$AE667,22,FALSE)</f>
        <v>0</v>
      </c>
      <c r="AI299" s="54"/>
      <c r="AJ299" s="56"/>
      <c r="AK299" s="56"/>
      <c r="AL299" s="56"/>
      <c r="AM299" s="56"/>
      <c r="AN299" s="56"/>
      <c r="AO299" s="56"/>
      <c r="AP299" s="56"/>
      <c r="AQ299" s="59"/>
      <c r="AR299" s="60"/>
      <c r="AS299" s="54"/>
    </row>
    <row r="300" spans="1:45" ht="21.25" customHeight="1" x14ac:dyDescent="0.15">
      <c r="A300" s="45">
        <f>RANK(K300,K$1:K$665)</f>
        <v>299</v>
      </c>
      <c r="B300" s="9" t="s">
        <v>425</v>
      </c>
      <c r="C300" s="46" t="s">
        <v>127</v>
      </c>
      <c r="D300" s="47" t="str">
        <f>VLOOKUP(B300,'Player Data'!A1:D667,4,FALSE)</f>
        <v>D</v>
      </c>
      <c r="E300" s="66">
        <f>VLOOKUP(B300,D!A1:C213,3,FALSE)</f>
        <v>96</v>
      </c>
      <c r="F300" s="65" t="str">
        <f>VLOOKUP(B300,'Player Data'!A1:B667,2,FALSE)</f>
        <v>DET</v>
      </c>
      <c r="G300" s="63">
        <f>VLOOKUP(B300,'Player Data'!A1:D667,3,FALSE)</f>
        <v>33</v>
      </c>
      <c r="H300" s="50">
        <f>IFERROR(VLOOKUP(B300,ADP!A1:G665,7,FALSE)/1000000,VLOOKUP(B300,ADP!A1:G665,7,FALSE))</f>
        <v>4.75</v>
      </c>
      <c r="I300" s="51">
        <f>IF(Settings!$E$15="POINTS",((R300*Q300)*Settings!$B$12)+(S300*Settings!$B$2)+(T300*Settings!$B$3)+(U300*Settings!$B$4)+(V300*Settings!$B$5)+(X300*Settings!$B$9)+(AA300*Settings!$B$6)+(W300*Settings!$B$8)+(AB300*Settings!$B$7)+(AC300*Settings!$B$14)+(AD300*Settings!$B$15)+(AE300*Settings!$B$16)+(AF300*Settings!$B$17)+(AG300*Settings!$B$18)+(U300*Settings!$B$13)+(Y300*Settings!$B$10)+(Z300*Settings!$B$11),VLOOKUP(B300,'Standard Deviations'!A1:C666,3,FALSE))</f>
        <v>185.69234807287174</v>
      </c>
      <c r="J300" s="52">
        <f>IF(D300="G",I300/AJ300,I300/Q300)</f>
        <v>2.3352387596802182</v>
      </c>
      <c r="K300" s="51">
        <f>VLOOKUP(B300,D!A1:F213,6,FALSE)</f>
        <v>-150.54177697272317</v>
      </c>
      <c r="L300" s="53">
        <f>IFERROR(K300/H300,"N/A")</f>
        <v>-31.693005678468037</v>
      </c>
      <c r="M300" s="83" t="str">
        <f>IF(Settings!$E$9="YAHOO",VLOOKUP(B300,ADP!A1:E665,2,FALSE),IF(Settings!$E$9="ESPN",VLOOKUP(B300,ADP!A1:E665,3,FALSE),IF(Settings!$E$9="FANTRAX",VLOOKUP(B300,ADP!A1:E665,4,FALSE),VLOOKUP(B300,ADP!A1:E665,5,FALSE))))</f>
        <v>—</v>
      </c>
      <c r="N300" s="83" t="str">
        <f>IFERROR(M300-A300,"N/A")</f>
        <v>N/A</v>
      </c>
      <c r="O300" s="54"/>
      <c r="P300" s="55" t="str">
        <f>IF(Settings!$E$27="ON",VLOOKUP(B300,ADP!A1:H665,8,FALSE)," ")</f>
        <v xml:space="preserve"> </v>
      </c>
      <c r="Q300" s="56">
        <f>IF(Settings!$E$12="YES",VLOOKUP(B300,'Player Data'!A1:E667,5,FALSE),82)</f>
        <v>79.517499999999998</v>
      </c>
      <c r="R300" s="54">
        <f>VLOOKUP(B300,'Player Data'!$A1:$AE667,6,FALSE)</f>
        <v>19.136304255854299</v>
      </c>
      <c r="S300" s="56">
        <f>VLOOKUP(B300,'Player Data'!$A1:$AE667,7,FALSE)*$Q300*IFERROR((VLOOKUP(P300,Settings!$E$28:$F$33,2,FALSE)+1),1)</f>
        <v>4.5809109272929289</v>
      </c>
      <c r="T300" s="56">
        <f>VLOOKUP(B300,'Player Data'!$A1:$AE667,8,FALSE)*$Q300*IFERROR((VLOOKUP(P300,Settings!$E$28:$F$33,2,FALSE)+1),1)</f>
        <v>13.652651336323098</v>
      </c>
      <c r="U300" s="56">
        <f>SUM(S300:T300)</f>
        <v>18.233562263616026</v>
      </c>
      <c r="V300" s="56">
        <f>VLOOKUP(B300,'Player Data'!$A1:$AE667,10,FALSE)*$Q300*IFERROR(((VLOOKUP(P300,Settings!$E$28:$F$33,2,FALSE)/2)+1),1)</f>
        <v>104.1818834351553</v>
      </c>
      <c r="W300" s="56">
        <f>VLOOKUP(B300,'Player Data'!$A1:$AE667,11,FALSE)*$Q300*IFERROR((VLOOKUP(P300,Settings!$E$28:$F$33,2,FALSE)+1),1)</f>
        <v>4.2466896245769735E-2</v>
      </c>
      <c r="X300" s="56">
        <f>VLOOKUP(B300,'Player Data'!$A1:$AE667,12,FALSE)*$Q300*IFERROR((VLOOKUP(P300,Settings!$E$28:$F$33,2,FALSE)+1),1)</f>
        <v>0.11876485379072824</v>
      </c>
      <c r="Y300" s="56">
        <f>VLOOKUP(B300,'Player Data'!$A1:$AE667,13,FALSE)*$Q300</f>
        <v>2.5029435160759332E-2</v>
      </c>
      <c r="Z300" s="56">
        <f>VLOOKUP(B300,'Player Data'!$A1:$AE667,14,FALSE)*$Q300</f>
        <v>0.10979465797839574</v>
      </c>
      <c r="AA300" s="56">
        <f>VLOOKUP(B300,'Player Data'!$A1:$AE667,15,FALSE)*$Q300</f>
        <v>157.34432010535377</v>
      </c>
      <c r="AB300" s="56">
        <f>VLOOKUP(B300,'Player Data'!$A1:$AE667,16,FALSE)*$Q300</f>
        <v>148.96454652610643</v>
      </c>
      <c r="AC300" s="56">
        <f>VLOOKUP(B300,'Player Data'!$A1:$AE667,17,FALSE)*$Q300*IFERROR((VLOOKUP(P300,Settings!$E$28:$F$33,2,FALSE)+1),1)</f>
        <v>-5.2643685073233817</v>
      </c>
      <c r="AD300" s="56">
        <f>VLOOKUP(B300,'Player Data'!$A1:$AE667,18,FALSE)*$Q300</f>
        <v>48.119938691287416</v>
      </c>
      <c r="AE300" s="56">
        <f>VLOOKUP(B300,'Player Data'!$A1:$AE667,19,FALSE)*$Q300*IFERROR((VLOOKUP(P300,Settings!$E$28:$F$33,2,FALSE)+1),1)</f>
        <v>0.62915451545836998</v>
      </c>
      <c r="AF300" s="56">
        <f>VLOOKUP(B300,'Player Data'!$A1:$AE667,20,FALSE)*$Q300</f>
        <v>0</v>
      </c>
      <c r="AG300" s="56">
        <f>VLOOKUP(B300,'Player Data'!$A1:$AE667,21,FALSE)*$Q300</f>
        <v>0</v>
      </c>
      <c r="AH300" s="58">
        <f>VLOOKUP(B300,'Player Data'!$A1:$AE667,22,FALSE)</f>
        <v>0</v>
      </c>
      <c r="AI300" s="54"/>
      <c r="AJ300" s="64"/>
      <c r="AK300" s="56"/>
      <c r="AL300" s="56"/>
      <c r="AM300" s="56"/>
      <c r="AN300" s="56"/>
      <c r="AO300" s="56"/>
      <c r="AP300" s="56"/>
      <c r="AQ300" s="59"/>
      <c r="AR300" s="60"/>
      <c r="AS300" s="54"/>
    </row>
    <row r="301" spans="1:45" ht="21.25" customHeight="1" x14ac:dyDescent="0.15">
      <c r="A301" s="45">
        <f>RANK(K301,K$1:K$665)</f>
        <v>300</v>
      </c>
      <c r="B301" s="9" t="s">
        <v>426</v>
      </c>
      <c r="C301" s="46" t="s">
        <v>127</v>
      </c>
      <c r="D301" s="47" t="str">
        <f>VLOOKUP(B301,'Player Data'!A1:D667,4,FALSE)</f>
        <v>D</v>
      </c>
      <c r="E301" s="66">
        <f>VLOOKUP(B301,D!A1:C213,3,FALSE)</f>
        <v>97</v>
      </c>
      <c r="F301" s="55" t="str">
        <f>VLOOKUP(B301,'Player Data'!A1:B667,2,FALSE)</f>
        <v>COL</v>
      </c>
      <c r="G301" s="10">
        <f>VLOOKUP(B301,'Player Data'!A1:D667,3,FALSE)</f>
        <v>26</v>
      </c>
      <c r="H301" s="50">
        <f>IFERROR(VLOOKUP(B301,ADP!A1:G665,7,FALSE)/1000000,VLOOKUP(B301,ADP!A1:G665,7,FALSE))</f>
        <v>5</v>
      </c>
      <c r="I301" s="51">
        <f>IF(Settings!$E$15="POINTS",((R301*Q301)*Settings!$B$12)+(S301*Settings!$B$2)+(T301*Settings!$B$3)+(U301*Settings!$B$4)+(V301*Settings!$B$5)+(X301*Settings!$B$9)+(AA301*Settings!$B$6)+(W301*Settings!$B$8)+(AB301*Settings!$B$7)+(AC301*Settings!$B$14)+(AD301*Settings!$B$15)+(AE301*Settings!$B$16)+(AF301*Settings!$B$17)+(AG301*Settings!$B$18)+(U301*Settings!$B$13)+(Y301*Settings!$B$10)+(Z301*Settings!$B$11),VLOOKUP(B301,'Standard Deviations'!A1:C666,3,FALSE))</f>
        <v>185.61996146000072</v>
      </c>
      <c r="J301" s="52">
        <f>IF(D301="G",I301/AJ301,I301/Q301)</f>
        <v>2.4545599717015532</v>
      </c>
      <c r="K301" s="51">
        <f>VLOOKUP(B301,D!A1:F213,6,FALSE)</f>
        <v>-150.61416358559418</v>
      </c>
      <c r="L301" s="53">
        <f>IFERROR(K301/H301,"N/A")</f>
        <v>-30.122832717118836</v>
      </c>
      <c r="M301" s="83" t="str">
        <f>IF(Settings!$E$9="YAHOO",VLOOKUP(B301,ADP!A1:E665,2,FALSE),IF(Settings!$E$9="ESPN",VLOOKUP(B301,ADP!A1:E665,3,FALSE),IF(Settings!$E$9="FANTRAX",VLOOKUP(B301,ADP!A1:E665,4,FALSE),VLOOKUP(B301,ADP!A1:E665,5,FALSE))))</f>
        <v>—</v>
      </c>
      <c r="N301" s="83" t="str">
        <f>IFERROR(M301-A301,"N/A")</f>
        <v>N/A</v>
      </c>
      <c r="O301" s="54"/>
      <c r="P301" s="55" t="str">
        <f>IF(Settings!$E$27="ON",VLOOKUP(B301,ADP!A1:H665,8,FALSE)," ")</f>
        <v xml:space="preserve"> </v>
      </c>
      <c r="Q301" s="56">
        <f>IF(Settings!$E$12="YES",VLOOKUP(B301,'Player Data'!A1:E667,5,FALSE),82)</f>
        <v>75.622500000000002</v>
      </c>
      <c r="R301" s="54">
        <f>VLOOKUP(B301,'Player Data'!$A1:$AE667,6,FALSE)</f>
        <v>19.058959640253399</v>
      </c>
      <c r="S301" s="56">
        <f>VLOOKUP(B301,'Player Data'!$A1:$AE667,7,FALSE)*$Q301*IFERROR((VLOOKUP(P301,Settings!$E$28:$F$33,2,FALSE)+1),1)</f>
        <v>4.5678208428258982</v>
      </c>
      <c r="T301" s="56">
        <f>VLOOKUP(B301,'Player Data'!$A1:$AE667,8,FALSE)*$Q301*IFERROR((VLOOKUP(P301,Settings!$E$28:$F$33,2,FALSE)+1),1)</f>
        <v>21.058037269755662</v>
      </c>
      <c r="U301" s="56">
        <f>SUM(S301:T301)</f>
        <v>25.625858112581561</v>
      </c>
      <c r="V301" s="56">
        <f>VLOOKUP(B301,'Player Data'!$A1:$AE667,10,FALSE)*$Q301*IFERROR(((VLOOKUP(P301,Settings!$E$28:$F$33,2,FALSE)/2)+1),1)</f>
        <v>92.847678906097244</v>
      </c>
      <c r="W301" s="56">
        <f>VLOOKUP(B301,'Player Data'!$A1:$AE667,11,FALSE)*$Q301*IFERROR((VLOOKUP(P301,Settings!$E$28:$F$33,2,FALSE)+1),1)</f>
        <v>0.259609778970181</v>
      </c>
      <c r="X301" s="56">
        <f>VLOOKUP(B301,'Player Data'!$A1:$AE667,12,FALSE)*$Q301*IFERROR((VLOOKUP(P301,Settings!$E$28:$F$33,2,FALSE)+1),1)</f>
        <v>3.1237056218086154</v>
      </c>
      <c r="Y301" s="56">
        <f>VLOOKUP(B301,'Player Data'!$A1:$AE667,13,FALSE)*$Q301</f>
        <v>3.7152572079931487E-2</v>
      </c>
      <c r="Z301" s="56">
        <f>VLOOKUP(B301,'Player Data'!$A1:$AE667,14,FALSE)*$Q301</f>
        <v>0.45470916706661713</v>
      </c>
      <c r="AA301" s="56">
        <f>VLOOKUP(B301,'Player Data'!$A1:$AE667,15,FALSE)*$Q301</f>
        <v>117.48026576066437</v>
      </c>
      <c r="AB301" s="56">
        <f>VLOOKUP(B301,'Player Data'!$A1:$AE667,16,FALSE)*$Q301</f>
        <v>90.666504784939121</v>
      </c>
      <c r="AC301" s="56">
        <f>VLOOKUP(B301,'Player Data'!$A1:$AE667,17,FALSE)*$Q301*IFERROR((VLOOKUP(P301,Settings!$E$28:$F$33,2,FALSE)+1),1)</f>
        <v>1.5907705423896756</v>
      </c>
      <c r="AD301" s="56">
        <f>VLOOKUP(B301,'Player Data'!$A1:$AE667,18,FALSE)*$Q301</f>
        <v>19.347986981094795</v>
      </c>
      <c r="AE301" s="56">
        <f>VLOOKUP(B301,'Player Data'!$A1:$AE667,19,FALSE)*$Q301*IFERROR((VLOOKUP(P301,Settings!$E$28:$F$33,2,FALSE)+1),1)</f>
        <v>0.68248110237460979</v>
      </c>
      <c r="AF301" s="56">
        <f>VLOOKUP(B301,'Player Data'!$A1:$AE667,20,FALSE)*$Q301</f>
        <v>0</v>
      </c>
      <c r="AG301" s="56">
        <f>VLOOKUP(B301,'Player Data'!$A1:$AE667,21,FALSE)*$Q301</f>
        <v>0</v>
      </c>
      <c r="AH301" s="58">
        <f>VLOOKUP(B301,'Player Data'!$A1:$AE667,22,FALSE)</f>
        <v>0</v>
      </c>
      <c r="AI301" s="54"/>
      <c r="AJ301" s="56"/>
      <c r="AK301" s="56"/>
      <c r="AL301" s="56"/>
      <c r="AM301" s="56"/>
      <c r="AN301" s="56"/>
      <c r="AO301" s="56"/>
      <c r="AP301" s="56"/>
      <c r="AQ301" s="59"/>
      <c r="AR301" s="60"/>
      <c r="AS301" s="54"/>
    </row>
    <row r="302" spans="1:45" ht="21.25" customHeight="1" x14ac:dyDescent="0.15">
      <c r="A302" s="45">
        <f>RANK(K302,K$1:K$665)</f>
        <v>301</v>
      </c>
      <c r="B302" s="9" t="s">
        <v>427</v>
      </c>
      <c r="C302" s="46" t="s">
        <v>127</v>
      </c>
      <c r="D302" s="47" t="str">
        <f>VLOOKUP(B302,'Player Data'!A1:D667,4,FALSE)</f>
        <v>D</v>
      </c>
      <c r="E302" s="66">
        <f>VLOOKUP(B302,D!A1:C213,3,FALSE)</f>
        <v>98</v>
      </c>
      <c r="F302" s="82" t="str">
        <f>VLOOKUP(B302,'Player Data'!A1:B667,2,FALSE)</f>
        <v>ANA</v>
      </c>
      <c r="G302" s="63">
        <f>VLOOKUP(B302,'Player Data'!A1:D667,3,FALSE)</f>
        <v>34</v>
      </c>
      <c r="H302" s="50">
        <f>IFERROR(VLOOKUP(B302,ADP!A1:G665,7,FALSE)/1000000,VLOOKUP(B302,ADP!A1:G665,7,FALSE))</f>
        <v>4</v>
      </c>
      <c r="I302" s="51">
        <f>IF(Settings!$E$15="POINTS",((R302*Q302)*Settings!$B$12)+(S302*Settings!$B$2)+(T302*Settings!$B$3)+(U302*Settings!$B$4)+(V302*Settings!$B$5)+(X302*Settings!$B$9)+(AA302*Settings!$B$6)+(W302*Settings!$B$8)+(AB302*Settings!$B$7)+(AC302*Settings!$B$14)+(AD302*Settings!$B$15)+(AE302*Settings!$B$16)+(AF302*Settings!$B$17)+(AG302*Settings!$B$18)+(U302*Settings!$B$13)+(Y302*Settings!$B$10)+(Z302*Settings!$B$11),VLOOKUP(B302,'Standard Deviations'!A1:C666,3,FALSE))</f>
        <v>184.19582661929502</v>
      </c>
      <c r="J302" s="52">
        <f>IF(D302="G",I302/AJ302,I302/Q302)</f>
        <v>2.3824073804474555</v>
      </c>
      <c r="K302" s="51">
        <f>VLOOKUP(B302,D!A1:F213,6,FALSE)</f>
        <v>-152.03829842629989</v>
      </c>
      <c r="L302" s="53">
        <f>IFERROR(K302/H302,"N/A")</f>
        <v>-38.009574606574972</v>
      </c>
      <c r="M302" s="54">
        <f>IF(Settings!$E$9="YAHOO",VLOOKUP(B302,ADP!A1:E665,2,FALSE),IF(Settings!$E$9="ESPN",VLOOKUP(B302,ADP!A1:E665,3,FALSE),IF(Settings!$E$9="FANTRAX",VLOOKUP(B302,ADP!A1:E665,4,FALSE),VLOOKUP(B302,ADP!A1:E665,5,FALSE))))</f>
        <v>158.9</v>
      </c>
      <c r="N302" s="54">
        <f>IFERROR(M302-A302,"N/A")</f>
        <v>-142.1</v>
      </c>
      <c r="O302" s="54"/>
      <c r="P302" s="55" t="str">
        <f>IF(Settings!$E$27="ON",VLOOKUP(B302,ADP!A1:H665,8,FALSE)," ")</f>
        <v xml:space="preserve"> </v>
      </c>
      <c r="Q302" s="56">
        <f>IF(Settings!$E$12="YES",VLOOKUP(B302,'Player Data'!A1:E667,5,FALSE),82)</f>
        <v>77.314999999999998</v>
      </c>
      <c r="R302" s="54">
        <f>VLOOKUP(B302,'Player Data'!$A1:$AE667,6,FALSE)</f>
        <v>19.123214692955202</v>
      </c>
      <c r="S302" s="56">
        <f>VLOOKUP(B302,'Player Data'!$A1:$AE667,7,FALSE)*$Q302*IFERROR((VLOOKUP(P302,Settings!$E$28:$F$33,2,FALSE)+1),1)</f>
        <v>3.5373964652004486</v>
      </c>
      <c r="T302" s="56">
        <f>VLOOKUP(B302,'Player Data'!$A1:$AE667,8,FALSE)*$Q302*IFERROR((VLOOKUP(P302,Settings!$E$28:$F$33,2,FALSE)+1),1)</f>
        <v>14.206181361330469</v>
      </c>
      <c r="U302" s="56">
        <f>SUM(S302:T302)</f>
        <v>17.743577826530917</v>
      </c>
      <c r="V302" s="56">
        <f>VLOOKUP(B302,'Player Data'!$A1:$AE667,10,FALSE)*$Q302*IFERROR(((VLOOKUP(P302,Settings!$E$28:$F$33,2,FALSE)/2)+1),1)</f>
        <v>102.93293926568505</v>
      </c>
      <c r="W302" s="56">
        <f>VLOOKUP(B302,'Player Data'!$A1:$AE667,11,FALSE)*$Q302*IFERROR((VLOOKUP(P302,Settings!$E$28:$F$33,2,FALSE)+1),1)</f>
        <v>2.5298707096528747E-2</v>
      </c>
      <c r="X302" s="56">
        <f>VLOOKUP(B302,'Player Data'!$A1:$AE667,12,FALSE)*$Q302*IFERROR((VLOOKUP(P302,Settings!$E$28:$F$33,2,FALSE)+1),1)</f>
        <v>0.17224464974810424</v>
      </c>
      <c r="Y302" s="56">
        <f>VLOOKUP(B302,'Player Data'!$A1:$AE667,13,FALSE)*$Q302</f>
        <v>0.16318524577021648</v>
      </c>
      <c r="Z302" s="56">
        <f>VLOOKUP(B302,'Player Data'!$A1:$AE667,14,FALSE)*$Q302</f>
        <v>0.69339339298323099</v>
      </c>
      <c r="AA302" s="56">
        <f>VLOOKUP(B302,'Player Data'!$A1:$AE667,15,FALSE)*$Q302</f>
        <v>157.26597092825679</v>
      </c>
      <c r="AB302" s="56">
        <f>VLOOKUP(B302,'Player Data'!$A1:$AE667,16,FALSE)*$Q302</f>
        <v>256.62304596623903</v>
      </c>
      <c r="AC302" s="56">
        <f>VLOOKUP(B302,'Player Data'!$A1:$AE667,17,FALSE)*$Q302*IFERROR((VLOOKUP(P302,Settings!$E$28:$F$33,2,FALSE)+1),1)</f>
        <v>-3.8225718907968314</v>
      </c>
      <c r="AD302" s="56">
        <f>VLOOKUP(B302,'Player Data'!$A1:$AE667,18,FALSE)*$Q302</f>
        <v>89.275091599948794</v>
      </c>
      <c r="AE302" s="56">
        <f>VLOOKUP(B302,'Player Data'!$A1:$AE667,19,FALSE)*$Q302*IFERROR((VLOOKUP(P302,Settings!$E$28:$F$33,2,FALSE)+1),1)</f>
        <v>0.41231733778570839</v>
      </c>
      <c r="AF302" s="56">
        <f>VLOOKUP(B302,'Player Data'!$A1:$AE667,20,FALSE)*$Q302</f>
        <v>0</v>
      </c>
      <c r="AG302" s="56">
        <f>VLOOKUP(B302,'Player Data'!$A1:$AE667,21,FALSE)*$Q302</f>
        <v>0</v>
      </c>
      <c r="AH302" s="58">
        <f>VLOOKUP(B302,'Player Data'!$A1:$AE667,22,FALSE)</f>
        <v>0</v>
      </c>
      <c r="AI302" s="54"/>
      <c r="AJ302" s="56"/>
      <c r="AK302" s="56"/>
      <c r="AL302" s="56"/>
      <c r="AM302" s="56"/>
      <c r="AN302" s="56"/>
      <c r="AO302" s="56"/>
      <c r="AP302" s="56"/>
      <c r="AQ302" s="59"/>
      <c r="AR302" s="60"/>
      <c r="AS302" s="64"/>
    </row>
    <row r="303" spans="1:45" ht="21.25" customHeight="1" x14ac:dyDescent="0.15">
      <c r="A303" s="45">
        <f>RANK(K303,K$1:K$665)</f>
        <v>302</v>
      </c>
      <c r="B303" s="9" t="s">
        <v>428</v>
      </c>
      <c r="C303" s="46" t="s">
        <v>127</v>
      </c>
      <c r="D303" s="47" t="str">
        <f>VLOOKUP(B303,'Player Data'!A1:D667,4,FALSE)</f>
        <v>D</v>
      </c>
      <c r="E303" s="66">
        <f>VLOOKUP(B303,D!A1:C213,3,FALSE)</f>
        <v>99</v>
      </c>
      <c r="F303" s="62" t="str">
        <f>VLOOKUP(B303,'Player Data'!A1:B667,2,FALSE)</f>
        <v>SEA</v>
      </c>
      <c r="G303" s="63">
        <f>VLOOKUP(B303,'Player Data'!A1:D667,3,FALSE)</f>
        <v>31</v>
      </c>
      <c r="H303" s="50">
        <f>IFERROR(VLOOKUP(B303,ADP!A1:G665,7,FALSE)/1000000,VLOOKUP(B303,ADP!A1:G665,7,FALSE))</f>
        <v>4.5999999999999996</v>
      </c>
      <c r="I303" s="51">
        <f>IF(Settings!$E$15="POINTS",((R303*Q303)*Settings!$B$12)+(S303*Settings!$B$2)+(T303*Settings!$B$3)+(U303*Settings!$B$4)+(V303*Settings!$B$5)+(X303*Settings!$B$9)+(AA303*Settings!$B$6)+(W303*Settings!$B$8)+(AB303*Settings!$B$7)+(AC303*Settings!$B$14)+(AD303*Settings!$B$15)+(AE303*Settings!$B$16)+(AF303*Settings!$B$17)+(AG303*Settings!$B$18)+(U303*Settings!$B$13)+(Y303*Settings!$B$10)+(Z303*Settings!$B$11),VLOOKUP(B303,'Standard Deviations'!A1:C666,3,FALSE))</f>
        <v>183.91780941849049</v>
      </c>
      <c r="J303" s="52">
        <f>IF(D303="G",I303/AJ303,I303/Q303)</f>
        <v>2.2970344948760797</v>
      </c>
      <c r="K303" s="51">
        <f>VLOOKUP(B303,D!A1:F213,6,FALSE)</f>
        <v>-152.31631562710442</v>
      </c>
      <c r="L303" s="53">
        <f>IFERROR(K303/H303,"N/A")</f>
        <v>-33.112242527631395</v>
      </c>
      <c r="M303" s="83" t="str">
        <f>IF(Settings!$E$9="YAHOO",VLOOKUP(B303,ADP!A1:E665,2,FALSE),IF(Settings!$E$9="ESPN",VLOOKUP(B303,ADP!A1:E665,3,FALSE),IF(Settings!$E$9="FANTRAX",VLOOKUP(B303,ADP!A1:E665,4,FALSE),VLOOKUP(B303,ADP!A1:E665,5,FALSE))))</f>
        <v>—</v>
      </c>
      <c r="N303" s="83" t="str">
        <f>IFERROR(M303-A303,"N/A")</f>
        <v>N/A</v>
      </c>
      <c r="O303" s="54"/>
      <c r="P303" s="55" t="str">
        <f>IF(Settings!$E$27="ON",VLOOKUP(B303,ADP!A1:H665,8,FALSE)," ")</f>
        <v xml:space="preserve"> </v>
      </c>
      <c r="Q303" s="56">
        <f>IF(Settings!$E$12="YES",VLOOKUP(B303,'Player Data'!A1:E667,5,FALSE),82)</f>
        <v>80.067499999999995</v>
      </c>
      <c r="R303" s="54">
        <f>VLOOKUP(B303,'Player Data'!$A1:$AE667,6,FALSE)</f>
        <v>19.844814404697999</v>
      </c>
      <c r="S303" s="56">
        <f>VLOOKUP(B303,'Player Data'!$A1:$AE667,7,FALSE)*$Q303*IFERROR((VLOOKUP(P303,Settings!$E$28:$F$33,2,FALSE)+1),1)</f>
        <v>3.9217958118185736</v>
      </c>
      <c r="T303" s="56">
        <f>VLOOKUP(B303,'Player Data'!$A1:$AE667,8,FALSE)*$Q303*IFERROR((VLOOKUP(P303,Settings!$E$28:$F$33,2,FALSE)+1),1)</f>
        <v>14.851854460270223</v>
      </c>
      <c r="U303" s="56">
        <f>SUM(S303:T303)</f>
        <v>18.773650272088798</v>
      </c>
      <c r="V303" s="56">
        <f>VLOOKUP(B303,'Player Data'!$A1:$AE667,10,FALSE)*$Q303*IFERROR(((VLOOKUP(P303,Settings!$E$28:$F$33,2,FALSE)/2)+1),1)</f>
        <v>95.883110693894579</v>
      </c>
      <c r="W303" s="56">
        <f>VLOOKUP(B303,'Player Data'!$A1:$AE667,11,FALSE)*$Q303*IFERROR((VLOOKUP(P303,Settings!$E$28:$F$33,2,FALSE)+1),1)</f>
        <v>1.0290019666316883E-2</v>
      </c>
      <c r="X303" s="56">
        <f>VLOOKUP(B303,'Player Data'!$A1:$AE667,12,FALSE)*$Q303*IFERROR((VLOOKUP(P303,Settings!$E$28:$F$33,2,FALSE)+1),1)</f>
        <v>6.8271594525663212E-2</v>
      </c>
      <c r="Y303" s="56">
        <f>VLOOKUP(B303,'Player Data'!$A1:$AE667,13,FALSE)*$Q303</f>
        <v>2.9456440131841465E-2</v>
      </c>
      <c r="Z303" s="56">
        <f>VLOOKUP(B303,'Player Data'!$A1:$AE667,14,FALSE)*$Q303</f>
        <v>0.80132574536611045</v>
      </c>
      <c r="AA303" s="56">
        <f>VLOOKUP(B303,'Player Data'!$A1:$AE667,15,FALSE)*$Q303</f>
        <v>157.57141183077007</v>
      </c>
      <c r="AB303" s="56">
        <f>VLOOKUP(B303,'Player Data'!$A1:$AE667,16,FALSE)*$Q303</f>
        <v>122.98169264858987</v>
      </c>
      <c r="AC303" s="56">
        <f>VLOOKUP(B303,'Player Data'!$A1:$AE667,17,FALSE)*$Q303*IFERROR((VLOOKUP(P303,Settings!$E$28:$F$33,2,FALSE)+1),1)</f>
        <v>-1.2272625834039912</v>
      </c>
      <c r="AD303" s="56">
        <f>VLOOKUP(B303,'Player Data'!$A1:$AE667,18,FALSE)*$Q303</f>
        <v>48.068017889467299</v>
      </c>
      <c r="AE303" s="56">
        <f>VLOOKUP(B303,'Player Data'!$A1:$AE667,19,FALSE)*$Q303*IFERROR((VLOOKUP(P303,Settings!$E$28:$F$33,2,FALSE)+1),1)</f>
        <v>0.59551555957971813</v>
      </c>
      <c r="AF303" s="56">
        <f>VLOOKUP(B303,'Player Data'!$A1:$AE667,20,FALSE)*$Q303</f>
        <v>0</v>
      </c>
      <c r="AG303" s="56">
        <f>VLOOKUP(B303,'Player Data'!$A1:$AE667,21,FALSE)*$Q303</f>
        <v>0</v>
      </c>
      <c r="AH303" s="58">
        <f>VLOOKUP(B303,'Player Data'!$A1:$AE667,22,FALSE)</f>
        <v>0</v>
      </c>
      <c r="AI303" s="54"/>
      <c r="AJ303" s="64"/>
      <c r="AK303" s="56"/>
      <c r="AL303" s="56"/>
      <c r="AM303" s="56"/>
      <c r="AN303" s="56"/>
      <c r="AO303" s="56"/>
      <c r="AP303" s="56"/>
      <c r="AQ303" s="59"/>
      <c r="AR303" s="60"/>
      <c r="AS303" s="54"/>
    </row>
    <row r="304" spans="1:45" ht="21.25" customHeight="1" x14ac:dyDescent="0.15">
      <c r="A304" s="45">
        <f>RANK(K304,K$1:K$665)</f>
        <v>303</v>
      </c>
      <c r="B304" s="9" t="s">
        <v>429</v>
      </c>
      <c r="C304" s="46" t="s">
        <v>127</v>
      </c>
      <c r="D304" s="47" t="str">
        <f>VLOOKUP(B304,'Player Data'!A1:D667,4,FALSE)</f>
        <v>LW/RW</v>
      </c>
      <c r="E304" s="68">
        <f>VLOOKUP(B304,RW!A1:C136,3,FALSE)</f>
        <v>74</v>
      </c>
      <c r="F304" s="55" t="str">
        <f>VLOOKUP(B304,'Player Data'!A1:B667,2,FALSE)</f>
        <v>WPG</v>
      </c>
      <c r="G304" s="63">
        <f>VLOOKUP(B304,'Player Data'!A1:D667,3,FALSE)</f>
        <v>31</v>
      </c>
      <c r="H304" s="50">
        <f>IFERROR(VLOOKUP(B304,ADP!A1:G665,7,FALSE)/1000000,VLOOKUP(B304,ADP!A1:G665,7,FALSE))</f>
        <v>4</v>
      </c>
      <c r="I304" s="51">
        <f>IF(Settings!$E$15="POINTS",((R304*Q304)*Settings!$B$12)+(S304*Settings!$B$2)+(T304*Settings!$B$3)+(U304*Settings!$B$4)+(V304*Settings!$B$5)+(X304*Settings!$B$9)+(AA304*Settings!$B$6)+(W304*Settings!$B$8)+(AB304*Settings!$B$7)+(AC304*Settings!$B$14)+(AD304*Settings!$B$15)+(AE304*Settings!$B$16)+(AF304*Settings!$B$17)+(AG304*Settings!$B$18)+(Y304*Settings!$B$10)+(Z304*Settings!$B$11),VLOOKUP(B304,'Standard Deviations'!A1:C666,3,FALSE))</f>
        <v>216.40650237008342</v>
      </c>
      <c r="J304" s="52">
        <f>IF(D304="G",I304/AJ304,I304/Q304)</f>
        <v>2.7087211236359283</v>
      </c>
      <c r="K304" s="51">
        <f>IF(Settings!$E$18="C/LW/RW",VLOOKUP(B304,RW!A1:F136,6,FALSE),VLOOKUP(B304,F!A1:F392,6,FALSE))</f>
        <v>-152.44122073620898</v>
      </c>
      <c r="L304" s="53">
        <f>IFERROR(K304/H304,"N/A")</f>
        <v>-38.110305184052244</v>
      </c>
      <c r="M304" s="83" t="str">
        <f>IF(Settings!$E$9="YAHOO",VLOOKUP(B304,ADP!A1:E665,2,FALSE),IF(Settings!$E$9="ESPN",VLOOKUP(B304,ADP!A1:E665,3,FALSE),IF(Settings!$E$9="FANTRAX",VLOOKUP(B304,ADP!A1:E665,4,FALSE),VLOOKUP(B304,ADP!A1:E665,5,FALSE))))</f>
        <v>—</v>
      </c>
      <c r="N304" s="83" t="str">
        <f>IFERROR(M304-A304,"N/A")</f>
        <v>N/A</v>
      </c>
      <c r="O304" s="54"/>
      <c r="P304" s="55" t="str">
        <f>IF(Settings!$E$27="ON",VLOOKUP(B304,ADP!A1:H665,8,FALSE)," ")</f>
        <v xml:space="preserve"> </v>
      </c>
      <c r="Q304" s="56">
        <f>IF(Settings!$E$12="YES",VLOOKUP(B304,'Player Data'!A1:E667,5,FALSE),82)</f>
        <v>79.892499999999998</v>
      </c>
      <c r="R304" s="54">
        <f>VLOOKUP(B304,'Player Data'!$A1:$AE667,6,FALSE)</f>
        <v>14.9112795157056</v>
      </c>
      <c r="S304" s="56">
        <f>VLOOKUP(B304,'Player Data'!$A1:$AE667,7,FALSE)*$Q304*IFERROR((VLOOKUP(P304,Settings!$E$28:$F$33,2,FALSE)+1),1)</f>
        <v>19.034246113888042</v>
      </c>
      <c r="T304" s="56">
        <f>VLOOKUP(B304,'Player Data'!$A1:$AE667,8,FALSE)*$Q304*IFERROR((VLOOKUP(P304,Settings!$E$28:$F$33,2,FALSE)+1),1)</f>
        <v>17.048972778546513</v>
      </c>
      <c r="U304" s="56">
        <f>SUM(S304:T304)</f>
        <v>36.083218892434559</v>
      </c>
      <c r="V304" s="56">
        <f>VLOOKUP(B304,'Player Data'!$A1:$AE667,10,FALSE)*$Q304*IFERROR(((VLOOKUP(P304,Settings!$E$28:$F$33,2,FALSE)/2)+1),1)</f>
        <v>168.03610724859894</v>
      </c>
      <c r="W304" s="56">
        <f>VLOOKUP(B304,'Player Data'!$A1:$AE667,11,FALSE)*$Q304*IFERROR((VLOOKUP(P304,Settings!$E$28:$F$33,2,FALSE)+1),1)</f>
        <v>2.8286696463880836</v>
      </c>
      <c r="X304" s="56">
        <f>VLOOKUP(B304,'Player Data'!$A1:$AE667,12,FALSE)*$Q304*IFERROR((VLOOKUP(P304,Settings!$E$28:$F$33,2,FALSE)+1),1)</f>
        <v>4.8361591037140723</v>
      </c>
      <c r="Y304" s="56">
        <f>VLOOKUP(B304,'Player Data'!$A1:$AE667,13,FALSE)*$Q304</f>
        <v>6.7183877830920193E-3</v>
      </c>
      <c r="Z304" s="56">
        <f>VLOOKUP(B304,'Player Data'!$A1:$AE667,14,FALSE)*$Q304</f>
        <v>1.1324975511039337E-2</v>
      </c>
      <c r="AA304" s="56">
        <f>VLOOKUP(B304,'Player Data'!$A1:$AE667,15,FALSE)*$Q304</f>
        <v>38.582615978510361</v>
      </c>
      <c r="AB304" s="56">
        <f>VLOOKUP(B304,'Player Data'!$A1:$AE667,16,FALSE)*$Q304</f>
        <v>124.36957640690909</v>
      </c>
      <c r="AC304" s="56">
        <f>VLOOKUP(B304,'Player Data'!$A1:$AE667,17,FALSE)*$Q304*IFERROR((VLOOKUP(P304,Settings!$E$28:$F$33,2,FALSE)+1),1)</f>
        <v>4.896141898144089</v>
      </c>
      <c r="AD304" s="56">
        <f>VLOOKUP(B304,'Player Data'!$A1:$AE667,18,FALSE)*$Q304</f>
        <v>28.775087325776852</v>
      </c>
      <c r="AE304" s="56">
        <f>VLOOKUP(B304,'Player Data'!$A1:$AE667,19,FALSE)*$Q304*IFERROR((VLOOKUP(P304,Settings!$E$28:$F$33,2,FALSE)+1),1)</f>
        <v>3.1639972130453153</v>
      </c>
      <c r="AF304" s="56">
        <f>VLOOKUP(B304,'Player Data'!$A1:$AE667,20,FALSE)*$Q304</f>
        <v>25.621650809327132</v>
      </c>
      <c r="AG304" s="56">
        <f>VLOOKUP(B304,'Player Data'!$A1:$AE667,21,FALSE)*$Q304</f>
        <v>23.471544727411782</v>
      </c>
      <c r="AH304" s="58">
        <f>VLOOKUP(B304,'Player Data'!$A1:$AE667,22,FALSE)</f>
        <v>0.52189820868664205</v>
      </c>
      <c r="AI304" s="54"/>
      <c r="AJ304" s="64"/>
      <c r="AK304" s="56"/>
      <c r="AL304" s="56"/>
      <c r="AM304" s="56"/>
      <c r="AN304" s="56"/>
      <c r="AO304" s="56"/>
      <c r="AP304" s="56"/>
      <c r="AQ304" s="59"/>
      <c r="AR304" s="60"/>
      <c r="AS304" s="64"/>
    </row>
    <row r="305" spans="1:45" ht="21.25" customHeight="1" x14ac:dyDescent="0.15">
      <c r="A305" s="45">
        <f>RANK(K305,K$1:K$665)</f>
        <v>304</v>
      </c>
      <c r="B305" s="9" t="s">
        <v>430</v>
      </c>
      <c r="C305" s="46" t="s">
        <v>127</v>
      </c>
      <c r="D305" s="47" t="str">
        <f>VLOOKUP(B305,'Player Data'!A1:D667,4,FALSE)</f>
        <v>D</v>
      </c>
      <c r="E305" s="66">
        <f>VLOOKUP(B305,D!A1:C213,3,FALSE)</f>
        <v>100</v>
      </c>
      <c r="F305" s="62" t="str">
        <f>VLOOKUP(B305,'Player Data'!A1:B667,2,FALSE)</f>
        <v>MTL</v>
      </c>
      <c r="G305" s="63">
        <f>VLOOKUP(B305,'Player Data'!A1:D667,3,FALSE)</f>
        <v>33</v>
      </c>
      <c r="H305" s="67">
        <f>IFERROR(VLOOKUP(B305,ADP!A1:G665,7,FALSE)/1000000,VLOOKUP(B305,ADP!A1:G665,7,FALSE))</f>
        <v>3.5</v>
      </c>
      <c r="I305" s="51">
        <f>IF(Settings!$E$15="POINTS",((R305*Q305)*Settings!$B$12)+(S305*Settings!$B$2)+(T305*Settings!$B$3)+(U305*Settings!$B$4)+(V305*Settings!$B$5)+(X305*Settings!$B$9)+(AA305*Settings!$B$6)+(W305*Settings!$B$8)+(AB305*Settings!$B$7)+(AC305*Settings!$B$14)+(AD305*Settings!$B$15)+(AE305*Settings!$B$16)+(AF305*Settings!$B$17)+(AG305*Settings!$B$18)+(U305*Settings!$B$13)+(Y305*Settings!$B$10)+(Z305*Settings!$B$11),VLOOKUP(B305,'Standard Deviations'!A1:C666,3,FALSE))</f>
        <v>183.74707950861497</v>
      </c>
      <c r="J305" s="52">
        <f>IF(D305="G",I305/AJ305,I305/Q305)</f>
        <v>2.5042191415143438</v>
      </c>
      <c r="K305" s="51">
        <f>VLOOKUP(B305,D!A1:F213,6,FALSE)</f>
        <v>-152.48704553697993</v>
      </c>
      <c r="L305" s="53">
        <f>IFERROR(K305/H305,"N/A")</f>
        <v>-43.567727296279983</v>
      </c>
      <c r="M305" s="83" t="str">
        <f>IF(Settings!$E$9="YAHOO",VLOOKUP(B305,ADP!A1:E665,2,FALSE),IF(Settings!$E$9="ESPN",VLOOKUP(B305,ADP!A1:E665,3,FALSE),IF(Settings!$E$9="FANTRAX",VLOOKUP(B305,ADP!A1:E665,4,FALSE),VLOOKUP(B305,ADP!A1:E665,5,FALSE))))</f>
        <v>—</v>
      </c>
      <c r="N305" s="83" t="str">
        <f>IFERROR(M305-A305,"N/A")</f>
        <v>N/A</v>
      </c>
      <c r="O305" s="54"/>
      <c r="P305" s="55" t="str">
        <f>IF(Settings!$E$27="ON",VLOOKUP(B305,ADP!A1:H665,8,FALSE)," ")</f>
        <v xml:space="preserve"> </v>
      </c>
      <c r="Q305" s="56">
        <f>IF(Settings!$E$12="YES",VLOOKUP(B305,'Player Data'!A1:E667,5,FALSE),82)</f>
        <v>73.375</v>
      </c>
      <c r="R305" s="54">
        <f>VLOOKUP(B305,'Player Data'!$A1:$AE667,6,FALSE)</f>
        <v>20.027419225819401</v>
      </c>
      <c r="S305" s="56">
        <f>VLOOKUP(B305,'Player Data'!$A1:$AE667,7,FALSE)*$Q305*IFERROR((VLOOKUP(P305,Settings!$E$28:$F$33,2,FALSE)+1),1)</f>
        <v>3.8829593889771425</v>
      </c>
      <c r="T305" s="56">
        <f>VLOOKUP(B305,'Player Data'!$A1:$AE667,8,FALSE)*$Q305*IFERROR((VLOOKUP(P305,Settings!$E$28:$F$33,2,FALSE)+1),1)</f>
        <v>16.719344793553862</v>
      </c>
      <c r="U305" s="56">
        <f>SUM(S305:T305)</f>
        <v>20.602304182531004</v>
      </c>
      <c r="V305" s="56">
        <f>VLOOKUP(B305,'Player Data'!$A1:$AE667,10,FALSE)*$Q305*IFERROR(((VLOOKUP(P305,Settings!$E$28:$F$33,2,FALSE)/2)+1),1)</f>
        <v>66.175527926207096</v>
      </c>
      <c r="W305" s="56">
        <f>VLOOKUP(B305,'Player Data'!$A1:$AE667,11,FALSE)*$Q305*IFERROR((VLOOKUP(P305,Settings!$E$28:$F$33,2,FALSE)+1),1)</f>
        <v>1.8686808714158908E-2</v>
      </c>
      <c r="X305" s="56">
        <f>VLOOKUP(B305,'Player Data'!$A1:$AE667,12,FALSE)*$Q305*IFERROR((VLOOKUP(P305,Settings!$E$28:$F$33,2,FALSE)+1),1)</f>
        <v>0.12660337390505572</v>
      </c>
      <c r="Y305" s="56">
        <f>VLOOKUP(B305,'Player Data'!$A1:$AE667,13,FALSE)*$Q305</f>
        <v>2.7710753631858983E-2</v>
      </c>
      <c r="Z305" s="56">
        <f>VLOOKUP(B305,'Player Data'!$A1:$AE667,14,FALSE)*$Q305</f>
        <v>0.56482403552884941</v>
      </c>
      <c r="AA305" s="56">
        <f>VLOOKUP(B305,'Player Data'!$A1:$AE667,15,FALSE)*$Q305</f>
        <v>176.32195117696901</v>
      </c>
      <c r="AB305" s="56">
        <f>VLOOKUP(B305,'Player Data'!$A1:$AE667,16,FALSE)*$Q305</f>
        <v>90.152139095730206</v>
      </c>
      <c r="AC305" s="56">
        <f>VLOOKUP(B305,'Player Data'!$A1:$AE667,17,FALSE)*$Q305*IFERROR((VLOOKUP(P305,Settings!$E$28:$F$33,2,FALSE)+1),1)</f>
        <v>-5.3668014581404178</v>
      </c>
      <c r="AD305" s="56">
        <f>VLOOKUP(B305,'Player Data'!$A1:$AE667,18,FALSE)*$Q305</f>
        <v>29.507748496550256</v>
      </c>
      <c r="AE305" s="56">
        <f>VLOOKUP(B305,'Player Data'!$A1:$AE667,19,FALSE)*$Q305*IFERROR((VLOOKUP(P305,Settings!$E$28:$F$33,2,FALSE)+1),1)</f>
        <v>0.45003993488823629</v>
      </c>
      <c r="AF305" s="56">
        <f>VLOOKUP(B305,'Player Data'!$A1:$AE667,20,FALSE)*$Q305</f>
        <v>0</v>
      </c>
      <c r="AG305" s="56">
        <f>VLOOKUP(B305,'Player Data'!$A1:$AE667,21,FALSE)*$Q305</f>
        <v>0</v>
      </c>
      <c r="AH305" s="58">
        <f>VLOOKUP(B305,'Player Data'!$A1:$AE667,22,FALSE)</f>
        <v>0</v>
      </c>
      <c r="AI305" s="54"/>
      <c r="AJ305" s="64"/>
      <c r="AK305" s="56"/>
      <c r="AL305" s="56"/>
      <c r="AM305" s="56"/>
      <c r="AN305" s="56"/>
      <c r="AO305" s="56"/>
      <c r="AP305" s="56"/>
      <c r="AQ305" s="59"/>
      <c r="AR305" s="60"/>
      <c r="AS305" s="54"/>
    </row>
    <row r="306" spans="1:45" ht="21.25" customHeight="1" x14ac:dyDescent="0.15">
      <c r="A306" s="45">
        <f>RANK(K306,K$1:K$665)</f>
        <v>305</v>
      </c>
      <c r="B306" s="9" t="s">
        <v>431</v>
      </c>
      <c r="C306" s="46" t="s">
        <v>127</v>
      </c>
      <c r="D306" s="47" t="str">
        <f>VLOOKUP(B306,'Player Data'!A1:D667,4,FALSE)</f>
        <v>C</v>
      </c>
      <c r="E306" s="48">
        <f>VLOOKUP(B306,'C'!A1:C206,3,FALSE)</f>
        <v>88</v>
      </c>
      <c r="F306" s="62" t="str">
        <f>VLOOKUP(B306,'Player Data'!A1:B667,2,FALSE)</f>
        <v>SEA</v>
      </c>
      <c r="G306" s="63">
        <f>VLOOKUP(B306,'Player Data'!A1:D667,3,FALSE)</f>
        <v>30</v>
      </c>
      <c r="H306" s="50">
        <f>IFERROR(VLOOKUP(B306,ADP!A1:G665,7,FALSE)/1000000,VLOOKUP(B306,ADP!A1:G665,7,FALSE))</f>
        <v>6.25</v>
      </c>
      <c r="I306" s="51">
        <f>IF(Settings!$E$15="POINTS",((R306*Q306)*Settings!$B$12)+(S306*Settings!$B$2)+(T306*Settings!$B$3)+(U306*Settings!$B$4)+(V306*Settings!$B$5)+(X306*Settings!$B$9)+(AA306*Settings!$B$6)+(W306*Settings!$B$8)+(AB306*Settings!$B$7)+(AC306*Settings!$B$14)+(AD306*Settings!$B$15)+(AE306*Settings!$B$16)+(AF306*Settings!$B$17)+(AG306*Settings!$B$18)+(Y306*Settings!$B$10)+(Z306*Settings!$B$11),VLOOKUP(B306,'Standard Deviations'!A1:C666,3,FALSE))</f>
        <v>237.43196688355482</v>
      </c>
      <c r="J306" s="52">
        <f>IF(D306="G",I306/AJ306,I306/Q306)</f>
        <v>2.9549715853584919</v>
      </c>
      <c r="K306" s="51">
        <f>IF(Settings!$E$18="C/LW/RW",VLOOKUP(B306,'C'!A1:F206,6,FALSE),VLOOKUP(B306,F!A1:F392,6,FALSE))</f>
        <v>-152.50519089452627</v>
      </c>
      <c r="L306" s="53">
        <f>IFERROR(K306/H306,"N/A")</f>
        <v>-24.400830543124201</v>
      </c>
      <c r="M306" s="83" t="str">
        <f>IF(Settings!$E$9="YAHOO",VLOOKUP(B306,ADP!A1:E665,2,FALSE),IF(Settings!$E$9="ESPN",VLOOKUP(B306,ADP!A1:E665,3,FALSE),IF(Settings!$E$9="FANTRAX",VLOOKUP(B306,ADP!A1:E665,4,FALSE),VLOOKUP(B306,ADP!A1:E665,5,FALSE))))</f>
        <v>—</v>
      </c>
      <c r="N306" s="83" t="str">
        <f>IFERROR(M306-A306,"N/A")</f>
        <v>N/A</v>
      </c>
      <c r="O306" s="54"/>
      <c r="P306" s="55" t="str">
        <f>IF(Settings!$E$27="ON",VLOOKUP(B306,ADP!A1:H665,8,FALSE)," ")</f>
        <v xml:space="preserve"> </v>
      </c>
      <c r="Q306" s="56">
        <f>IF(Settings!$E$12="YES",VLOOKUP(B306,'Player Data'!A1:E667,5,FALSE),82)</f>
        <v>80.349999999999994</v>
      </c>
      <c r="R306" s="54">
        <f>VLOOKUP(B306,'Player Data'!$A1:$AE667,6,FALSE)</f>
        <v>17.653765721850299</v>
      </c>
      <c r="S306" s="56">
        <f>VLOOKUP(B306,'Player Data'!$A1:$AE667,7,FALSE)*$Q306*IFERROR((VLOOKUP(P306,Settings!$E$28:$F$33,2,FALSE)+1),1)</f>
        <v>14.835282978413824</v>
      </c>
      <c r="T306" s="56">
        <f>VLOOKUP(B306,'Player Data'!$A1:$AE667,8,FALSE)*$Q306*IFERROR((VLOOKUP(P306,Settings!$E$28:$F$33,2,FALSE)+1),1)</f>
        <v>34.8864306739938</v>
      </c>
      <c r="U306" s="56">
        <f>SUM(S306:T306)</f>
        <v>49.721713652407622</v>
      </c>
      <c r="V306" s="56">
        <f>VLOOKUP(B306,'Player Data'!$A1:$AE667,10,FALSE)*$Q306*IFERROR(((VLOOKUP(P306,Settings!$E$28:$F$33,2,FALSE)/2)+1),1)</f>
        <v>107.13449914061886</v>
      </c>
      <c r="W306" s="56">
        <f>VLOOKUP(B306,'Player Data'!$A1:$AE667,11,FALSE)*$Q306*IFERROR((VLOOKUP(P306,Settings!$E$28:$F$33,2,FALSE)+1),1)</f>
        <v>2.8533737249018061</v>
      </c>
      <c r="X306" s="56">
        <f>VLOOKUP(B306,'Player Data'!$A1:$AE667,12,FALSE)*$Q306*IFERROR((VLOOKUP(P306,Settings!$E$28:$F$33,2,FALSE)+1),1)</f>
        <v>9.0098175148017479</v>
      </c>
      <c r="Y306" s="56">
        <f>VLOOKUP(B306,'Player Data'!$A1:$AE667,13,FALSE)*$Q306</f>
        <v>1.5066406922954825</v>
      </c>
      <c r="Z306" s="56">
        <f>VLOOKUP(B306,'Player Data'!$A1:$AE667,14,FALSE)*$Q306</f>
        <v>2.9043416900689021</v>
      </c>
      <c r="AA306" s="56">
        <f>VLOOKUP(B306,'Player Data'!$A1:$AE667,15,FALSE)*$Q306</f>
        <v>45.570834302303751</v>
      </c>
      <c r="AB306" s="56">
        <f>VLOOKUP(B306,'Player Data'!$A1:$AE667,16,FALSE)*$Q306</f>
        <v>57.088279947652907</v>
      </c>
      <c r="AC306" s="56">
        <f>VLOOKUP(B306,'Player Data'!$A1:$AE667,17,FALSE)*$Q306*IFERROR((VLOOKUP(P306,Settings!$E$28:$F$33,2,FALSE)+1),1)</f>
        <v>-0.45541467166832417</v>
      </c>
      <c r="AD306" s="56">
        <f>VLOOKUP(B306,'Player Data'!$A1:$AE667,18,FALSE)*$Q306</f>
        <v>20.852498791814519</v>
      </c>
      <c r="AE306" s="56">
        <f>VLOOKUP(B306,'Player Data'!$A1:$AE667,19,FALSE)*$Q306*IFERROR((VLOOKUP(P306,Settings!$E$28:$F$33,2,FALSE)+1),1)</f>
        <v>2.2527031666946611</v>
      </c>
      <c r="AF306" s="56">
        <f>VLOOKUP(B306,'Player Data'!$A1:$AE667,20,FALSE)*$Q306</f>
        <v>592.08697812076036</v>
      </c>
      <c r="AG306" s="56">
        <f>VLOOKUP(B306,'Player Data'!$A1:$AE667,21,FALSE)*$Q306</f>
        <v>496.01529652229004</v>
      </c>
      <c r="AH306" s="58">
        <f>VLOOKUP(B306,'Player Data'!$A1:$AE667,22,FALSE)</f>
        <v>0.54414643909736604</v>
      </c>
      <c r="AI306" s="54"/>
      <c r="AJ306" s="56"/>
      <c r="AK306" s="56"/>
      <c r="AL306" s="56"/>
      <c r="AM306" s="56"/>
      <c r="AN306" s="56"/>
      <c r="AO306" s="56"/>
      <c r="AP306" s="56"/>
      <c r="AQ306" s="59"/>
      <c r="AR306" s="60"/>
      <c r="AS306" s="54"/>
    </row>
    <row r="307" spans="1:45" ht="21.25" customHeight="1" x14ac:dyDescent="0.15">
      <c r="A307" s="45">
        <f>RANK(K307,K$1:K$665)</f>
        <v>306</v>
      </c>
      <c r="B307" s="9" t="s">
        <v>432</v>
      </c>
      <c r="C307" s="46" t="s">
        <v>127</v>
      </c>
      <c r="D307" s="47" t="str">
        <f>VLOOKUP(B307,'Player Data'!A1:D667,4,FALSE)</f>
        <v>RW</v>
      </c>
      <c r="E307" s="61">
        <f>VLOOKUP(B307,RW!A1:F136,3,FALSE)</f>
        <v>75</v>
      </c>
      <c r="F307" s="55" t="str">
        <f>VLOOKUP(B307,'Player Data'!A1:B667,2,FALSE)</f>
        <v>COL</v>
      </c>
      <c r="G307" s="10">
        <f>VLOOKUP(B307,'Player Data'!A1:D667,3,FALSE)</f>
        <v>29</v>
      </c>
      <c r="H307" s="50">
        <f>IFERROR(VLOOKUP(B307,ADP!A1:G665,7,FALSE)/1000000,VLOOKUP(B307,ADP!A1:G665,7,FALSE))</f>
        <v>6.125</v>
      </c>
      <c r="I307" s="51">
        <f>IF(Settings!$E$15="POINTS",((R307*Q307)*Settings!$B$12)+(S307*Settings!$B$2)+(T307*Settings!$B$3)+(U307*Settings!$B$4)+(V307*Settings!$B$5)+(X307*Settings!$B$9)+(AA307*Settings!$B$6)+(W307*Settings!$B$8)+(AB307*Settings!$B$7)+(AC307*Settings!$B$14)+(AD307*Settings!$B$15)+(AE307*Settings!$B$16)+(AF307*Settings!$B$17)+(AG307*Settings!$B$18)+(Y307*Settings!$B$10)+(Z307*Settings!$B$11),VLOOKUP(B307,'Standard Deviations'!A1:C666,3,FALSE))</f>
        <v>215.45343983853476</v>
      </c>
      <c r="J307" s="52">
        <f>IF(D307="G",I307/AJ307,I307/Q307)</f>
        <v>4.1433353815102842</v>
      </c>
      <c r="K307" s="51">
        <f>IF(Settings!$E$18="C/LW/RW",VLOOKUP(B307,RW!A1:F136,6,FALSE),VLOOKUP(B307,F!A1:F392,6,FALSE))</f>
        <v>-153.39428326775763</v>
      </c>
      <c r="L307" s="53">
        <f>IFERROR(K307/H307,"N/A")</f>
        <v>-25.043964615144102</v>
      </c>
      <c r="M307" s="54">
        <f>IF(Settings!$E$9="YAHOO",VLOOKUP(B307,ADP!A1:E665,2,FALSE),IF(Settings!$E$9="ESPN",VLOOKUP(B307,ADP!A1:E665,3,FALSE),IF(Settings!$E$9="FANTRAX",VLOOKUP(B307,ADP!A1:E665,4,FALSE),VLOOKUP(B307,ADP!A1:E665,5,FALSE))))</f>
        <v>0</v>
      </c>
      <c r="N307" s="54">
        <f>IFERROR(M307-A307,"N/A")</f>
        <v>-306</v>
      </c>
      <c r="O307" s="54"/>
      <c r="P307" s="85">
        <f>IF(Settings!$E$27="ON",VLOOKUP(B307,ADP!A1:H665,8,FALSE)," ")</f>
        <v>0</v>
      </c>
      <c r="Q307" s="56">
        <f>IF(Settings!$E$12="YES",VLOOKUP(B307,'Player Data'!A1:E667,5,FALSE),82)</f>
        <v>52</v>
      </c>
      <c r="R307" s="81">
        <f>VLOOKUP(B307,'Player Data'!$A1:$AE667,6,FALSE)</f>
        <v>18.495539537852899</v>
      </c>
      <c r="S307" s="56">
        <f>VLOOKUP(B307,'Player Data'!$A1:$AE667,7,FALSE)*$Q307*IFERROR((VLOOKUP(P307,Settings!$E$28:$F$33,2,FALSE)+1),1)</f>
        <v>18.488627397238805</v>
      </c>
      <c r="T307" s="56">
        <f>VLOOKUP(B307,'Player Data'!$A1:$AE667,8,FALSE)*$Q307*IFERROR((VLOOKUP(P307,Settings!$E$28:$F$33,2,FALSE)+1),1)</f>
        <v>22.45188272934417</v>
      </c>
      <c r="U307" s="56">
        <f>SUM(S307:T307)</f>
        <v>40.940510126582979</v>
      </c>
      <c r="V307" s="56">
        <f>VLOOKUP(B307,'Player Data'!$A1:$AE667,10,FALSE)*$Q307*IFERROR(((VLOOKUP(P307,Settings!$E$28:$F$33,2,FALSE)/2)+1),1)</f>
        <v>133.63461956959972</v>
      </c>
      <c r="W307" s="56">
        <f>VLOOKUP(B307,'Player Data'!$A1:$AE667,11,FALSE)*$Q307*IFERROR((VLOOKUP(P307,Settings!$E$28:$F$33,2,FALSE)+1),1)</f>
        <v>8.0895112087673002</v>
      </c>
      <c r="X307" s="78">
        <f>VLOOKUP(B307,'Player Data'!$A1:$AE667,12,FALSE)*$Q307*IFERROR((VLOOKUP(P307,Settings!$E$28:$F$33,2,FALSE)+1),1)</f>
        <v>12.398531527740539</v>
      </c>
      <c r="Y307" s="56">
        <f>VLOOKUP(B307,'Player Data'!$A1:$AE667,13,FALSE)*$Q307</f>
        <v>0.25375584516604349</v>
      </c>
      <c r="Z307" s="56">
        <f>VLOOKUP(B307,'Player Data'!$A1:$AE667,14,FALSE)*$Q307</f>
        <v>1.1715795805723777</v>
      </c>
      <c r="AA307" s="56">
        <f>VLOOKUP(B307,'Player Data'!$A1:$AE667,15,FALSE)*$Q307</f>
        <v>24.488977131346054</v>
      </c>
      <c r="AB307" s="56">
        <f>VLOOKUP(B307,'Player Data'!$A1:$AE667,16,FALSE)*$Q307</f>
        <v>60.555525599523243</v>
      </c>
      <c r="AC307" s="56">
        <f>VLOOKUP(B307,'Player Data'!$A1:$AE667,17,FALSE)*$Q307*IFERROR((VLOOKUP(P307,Settings!$E$28:$F$33,2,FALSE)+1),1)</f>
        <v>2.9803155470969087</v>
      </c>
      <c r="AD307" s="56">
        <f>VLOOKUP(B307,'Player Data'!$A1:$AE667,18,FALSE)*$Q307</f>
        <v>18.2</v>
      </c>
      <c r="AE307" s="56">
        <f>VLOOKUP(B307,'Player Data'!$A1:$AE667,19,FALSE)*$Q307*IFERROR((VLOOKUP(P307,Settings!$E$28:$F$33,2,FALSE)+1),1)</f>
        <v>2.7623979226940718</v>
      </c>
      <c r="AF307" s="56">
        <f>VLOOKUP(B307,'Player Data'!$A1:$AE667,20,FALSE)*$Q307</f>
        <v>0.63369805777676846</v>
      </c>
      <c r="AG307" s="56">
        <f>VLOOKUP(B307,'Player Data'!$A1:$AE667,21,FALSE)*$Q307</f>
        <v>4.6335149410488272</v>
      </c>
      <c r="AH307" s="58">
        <f>VLOOKUP(B307,'Player Data'!$A1:$AE667,22,FALSE)</f>
        <v>0.12030993580818899</v>
      </c>
      <c r="AI307" s="54"/>
      <c r="AJ307" s="64"/>
      <c r="AK307" s="56"/>
      <c r="AL307" s="56"/>
      <c r="AM307" s="56"/>
      <c r="AN307" s="56"/>
      <c r="AO307" s="56"/>
      <c r="AP307" s="56"/>
      <c r="AQ307" s="59"/>
      <c r="AR307" s="60"/>
      <c r="AS307" s="54"/>
    </row>
    <row r="308" spans="1:45" ht="21.25" customHeight="1" x14ac:dyDescent="0.15">
      <c r="A308" s="45">
        <f>RANK(K308,K$1:K$665)</f>
        <v>307</v>
      </c>
      <c r="B308" s="9" t="s">
        <v>433</v>
      </c>
      <c r="C308" s="46" t="s">
        <v>127</v>
      </c>
      <c r="D308" s="47" t="str">
        <f>VLOOKUP(B308,'Player Data'!A1:D667,4,FALSE)</f>
        <v>C/RW</v>
      </c>
      <c r="E308" s="68">
        <f>VLOOKUP(B308,RW!A1:C136,3,FALSE)</f>
        <v>76</v>
      </c>
      <c r="F308" s="55" t="str">
        <f>VLOOKUP(B308,'Player Data'!A1:B667,2,FALSE)</f>
        <v>CHI</v>
      </c>
      <c r="G308" s="10">
        <f>VLOOKUP(B308,'Player Data'!A1:D667,3,FALSE)</f>
        <v>24</v>
      </c>
      <c r="H308" s="67">
        <f>IFERROR(VLOOKUP(B308,ADP!A1:G665,7,FALSE)/1000000,VLOOKUP(B308,ADP!A1:G665,7,FALSE))</f>
        <v>2.25</v>
      </c>
      <c r="I308" s="51">
        <f>IF(Settings!$E$15="POINTS",((R308*Q308)*Settings!$B$12)+(S308*Settings!$B$2)+(T308*Settings!$B$3)+(U308*Settings!$B$4)+(V308*Settings!$B$5)+(X308*Settings!$B$9)+(AA308*Settings!$B$6)+(W308*Settings!$B$8)+(AB308*Settings!$B$7)+(AC308*Settings!$B$14)+(AD308*Settings!$B$15)+(AE308*Settings!$B$16)+(AF308*Settings!$B$17)+(AG308*Settings!$B$18)+(Y308*Settings!$B$10)+(Z308*Settings!$B$11),VLOOKUP(B308,'Standard Deviations'!A1:C666,3,FALSE))</f>
        <v>215.22441208905792</v>
      </c>
      <c r="J308" s="52">
        <f>IF(D308="G",I308/AJ308,I308/Q308)</f>
        <v>2.7721708206608651</v>
      </c>
      <c r="K308" s="51">
        <f>IF(Settings!$E$18="C/LW/RW",VLOOKUP(B308,RW!A1:F136,6,FALSE),VLOOKUP(B308,F!A1:F392,6,FALSE))</f>
        <v>-153.62331101723447</v>
      </c>
      <c r="L308" s="53">
        <f>IFERROR(K308/H308,"N/A")</f>
        <v>-68.277027118770874</v>
      </c>
      <c r="M308" s="83" t="str">
        <f>IF(Settings!$E$9="YAHOO",VLOOKUP(B308,ADP!A1:E665,2,FALSE),IF(Settings!$E$9="ESPN",VLOOKUP(B308,ADP!A1:E665,3,FALSE),IF(Settings!$E$9="FANTRAX",VLOOKUP(B308,ADP!A1:E665,4,FALSE),VLOOKUP(B308,ADP!A1:E665,5,FALSE))))</f>
        <v>—</v>
      </c>
      <c r="N308" s="83" t="str">
        <f>IFERROR(M308-A308,"N/A")</f>
        <v>N/A</v>
      </c>
      <c r="O308" s="54"/>
      <c r="P308" s="55" t="str">
        <f>IF(Settings!$E$27="ON",VLOOKUP(B308,ADP!A1:H665,8,FALSE)," ")</f>
        <v xml:space="preserve"> </v>
      </c>
      <c r="Q308" s="56">
        <f>IF(Settings!$E$12="YES",VLOOKUP(B308,'Player Data'!A1:E667,5,FALSE),82)</f>
        <v>77.637500000000003</v>
      </c>
      <c r="R308" s="81">
        <f>VLOOKUP(B308,'Player Data'!$A1:$AE667,6,FALSE)</f>
        <v>16.886741470253099</v>
      </c>
      <c r="S308" s="56">
        <f>VLOOKUP(B308,'Player Data'!$A1:$AE667,7,FALSE)*$Q308*IFERROR((VLOOKUP(P308,Settings!$E$28:$F$33,2,FALSE)+1),1)</f>
        <v>14.07832041758515</v>
      </c>
      <c r="T308" s="56">
        <f>VLOOKUP(B308,'Player Data'!$A1:$AE667,8,FALSE)*$Q308*IFERROR((VLOOKUP(P308,Settings!$E$28:$F$33,2,FALSE)+1),1)</f>
        <v>25.826248578946718</v>
      </c>
      <c r="U308" s="56">
        <f>SUM(S308:T308)</f>
        <v>39.904568996531864</v>
      </c>
      <c r="V308" s="56">
        <f>VLOOKUP(B308,'Player Data'!$A1:$AE667,10,FALSE)*$Q308*IFERROR(((VLOOKUP(P308,Settings!$E$28:$F$33,2,FALSE)/2)+1),1)</f>
        <v>125.08522736359959</v>
      </c>
      <c r="W308" s="56">
        <f>VLOOKUP(B308,'Player Data'!$A1:$AE667,11,FALSE)*$Q308*IFERROR((VLOOKUP(P308,Settings!$E$28:$F$33,2,FALSE)+1),1)</f>
        <v>3.5088302282763277</v>
      </c>
      <c r="X308" s="56">
        <f>VLOOKUP(B308,'Player Data'!$A1:$AE667,12,FALSE)*$Q308*IFERROR((VLOOKUP(P308,Settings!$E$28:$F$33,2,FALSE)+1),1)</f>
        <v>11.50434675935643</v>
      </c>
      <c r="Y308" s="56">
        <f>VLOOKUP(B308,'Player Data'!$A1:$AE667,13,FALSE)*$Q308</f>
        <v>6.3670977789345579E-2</v>
      </c>
      <c r="Z308" s="56">
        <f>VLOOKUP(B308,'Player Data'!$A1:$AE667,14,FALSE)*$Q308</f>
        <v>0.10710064350623845</v>
      </c>
      <c r="AA308" s="56">
        <f>VLOOKUP(B308,'Player Data'!$A1:$AE667,15,FALSE)*$Q308</f>
        <v>42.713288029599696</v>
      </c>
      <c r="AB308" s="56">
        <f>VLOOKUP(B308,'Player Data'!$A1:$AE667,16,FALSE)*$Q308</f>
        <v>35.353099497662811</v>
      </c>
      <c r="AC308" s="56">
        <f>VLOOKUP(B308,'Player Data'!$A1:$AE667,17,FALSE)*$Q308*IFERROR((VLOOKUP(P308,Settings!$E$28:$F$33,2,FALSE)+1),1)</f>
        <v>-10.313614329123341</v>
      </c>
      <c r="AD308" s="56">
        <f>VLOOKUP(B308,'Player Data'!$A1:$AE667,18,FALSE)*$Q308</f>
        <v>21.886248201400804</v>
      </c>
      <c r="AE308" s="56">
        <f>VLOOKUP(B308,'Player Data'!$A1:$AE667,19,FALSE)*$Q308*IFERROR((VLOOKUP(P308,Settings!$E$28:$F$33,2,FALSE)+1),1)</f>
        <v>1.8194151929259796</v>
      </c>
      <c r="AF308" s="56">
        <f>VLOOKUP(B308,'Player Data'!$A1:$AE667,20,FALSE)*$Q308</f>
        <v>107.69807401039424</v>
      </c>
      <c r="AG308" s="56">
        <f>VLOOKUP(B308,'Player Data'!$A1:$AE667,21,FALSE)*$Q308</f>
        <v>131.24209354567179</v>
      </c>
      <c r="AH308" s="58">
        <f>VLOOKUP(B308,'Player Data'!$A1:$AE667,22,FALSE)</f>
        <v>0.45073239510943103</v>
      </c>
      <c r="AI308" s="54"/>
      <c r="AJ308" s="64"/>
      <c r="AK308" s="56"/>
      <c r="AL308" s="56"/>
      <c r="AM308" s="56"/>
      <c r="AN308" s="56"/>
      <c r="AO308" s="56"/>
      <c r="AP308" s="56"/>
      <c r="AQ308" s="59"/>
      <c r="AR308" s="60"/>
      <c r="AS308" s="54"/>
    </row>
    <row r="309" spans="1:45" ht="21.25" customHeight="1" x14ac:dyDescent="0.15">
      <c r="A309" s="45">
        <f>RANK(K309,K$1:K$665)</f>
        <v>308</v>
      </c>
      <c r="B309" s="9" t="s">
        <v>434</v>
      </c>
      <c r="C309" s="46" t="s">
        <v>127</v>
      </c>
      <c r="D309" s="47" t="str">
        <f>VLOOKUP(B309,'Player Data'!A1:D667,4,FALSE)</f>
        <v>RW</v>
      </c>
      <c r="E309" s="61">
        <f>VLOOKUP(B309,RW!A1:F136,3,FALSE)</f>
        <v>77</v>
      </c>
      <c r="F309" s="71" t="str">
        <f>VLOOKUP(B309,'Player Data'!A1:B667,2,FALSE)</f>
        <v>VAN</v>
      </c>
      <c r="G309" s="10">
        <f>VLOOKUP(B309,'Player Data'!A1:D667,3,FALSE)</f>
        <v>27</v>
      </c>
      <c r="H309" s="50">
        <f>IFERROR(VLOOKUP(B309,ADP!A1:G665,7,FALSE)/1000000,VLOOKUP(B309,ADP!A1:G665,7,FALSE))</f>
        <v>0.97499999999999998</v>
      </c>
      <c r="I309" s="51">
        <f>IF(Settings!$E$15="POINTS",((R309*Q309)*Settings!$B$12)+(S309*Settings!$B$2)+(T309*Settings!$B$3)+(U309*Settings!$B$4)+(V309*Settings!$B$5)+(X309*Settings!$B$9)+(AA309*Settings!$B$6)+(W309*Settings!$B$8)+(AB309*Settings!$B$7)+(AC309*Settings!$B$14)+(AD309*Settings!$B$15)+(AE309*Settings!$B$16)+(AF309*Settings!$B$17)+(AG309*Settings!$B$18)+(Y309*Settings!$B$10)+(Z309*Settings!$B$11),VLOOKUP(B309,'Standard Deviations'!A1:C666,3,FALSE))</f>
        <v>215.01081741753075</v>
      </c>
      <c r="J309" s="52">
        <f>IF(D309="G",I309/AJ309,I309/Q309)</f>
        <v>2.7972525521047391</v>
      </c>
      <c r="K309" s="51">
        <f>IF(Settings!$E$18="C/LW/RW",VLOOKUP(B309,RW!A1:F136,6,FALSE),VLOOKUP(B309,F!A1:F392,6,FALSE))</f>
        <v>-153.83690568876165</v>
      </c>
      <c r="L309" s="53">
        <f>IFERROR(K309/H309,"N/A")</f>
        <v>-157.78144173206323</v>
      </c>
      <c r="M309" s="83" t="str">
        <f>IF(Settings!$E$9="YAHOO",VLOOKUP(B309,ADP!A1:E665,2,FALSE),IF(Settings!$E$9="ESPN",VLOOKUP(B309,ADP!A1:E665,3,FALSE),IF(Settings!$E$9="FANTRAX",VLOOKUP(B309,ADP!A1:E665,4,FALSE),VLOOKUP(B309,ADP!A1:E665,5,FALSE))))</f>
        <v>—</v>
      </c>
      <c r="N309" s="83" t="str">
        <f>IFERROR(M309-A309,"N/A")</f>
        <v>N/A</v>
      </c>
      <c r="O309" s="54"/>
      <c r="P309" s="55" t="str">
        <f>IF(Settings!$E$27="ON",VLOOKUP(B309,ADP!A1:H665,8,FALSE)," ")</f>
        <v xml:space="preserve"> </v>
      </c>
      <c r="Q309" s="56">
        <f>IF(Settings!$E$12="YES",VLOOKUP(B309,'Player Data'!A1:E667,5,FALSE),82)</f>
        <v>76.864999999999995</v>
      </c>
      <c r="R309" s="54">
        <f>VLOOKUP(B309,'Player Data'!$A1:$AE667,6,FALSE)</f>
        <v>12.371670890021701</v>
      </c>
      <c r="S309" s="56">
        <f>VLOOKUP(B309,'Player Data'!$A1:$AE667,7,FALSE)*$Q309*IFERROR((VLOOKUP(P309,Settings!$E$28:$F$33,2,FALSE)+1),1)</f>
        <v>17.970357420285506</v>
      </c>
      <c r="T309" s="56">
        <f>VLOOKUP(B309,'Player Data'!$A1:$AE667,8,FALSE)*$Q309*IFERROR((VLOOKUP(P309,Settings!$E$28:$F$33,2,FALSE)+1),1)</f>
        <v>21.067613113549484</v>
      </c>
      <c r="U309" s="56">
        <f>SUM(S309:T309)</f>
        <v>39.037970533834994</v>
      </c>
      <c r="V309" s="56">
        <f>VLOOKUP(B309,'Player Data'!$A1:$AE667,10,FALSE)*$Q309*IFERROR(((VLOOKUP(P309,Settings!$E$28:$F$33,2,FALSE)/2)+1),1)</f>
        <v>160.53375482128078</v>
      </c>
      <c r="W309" s="56">
        <f>VLOOKUP(B309,'Player Data'!$A1:$AE667,11,FALSE)*$Q309*IFERROR((VLOOKUP(P309,Settings!$E$28:$F$33,2,FALSE)+1),1)</f>
        <v>2.5868556292586096</v>
      </c>
      <c r="X309" s="56">
        <f>VLOOKUP(B309,'Player Data'!$A1:$AE667,12,FALSE)*$Q309*IFERROR((VLOOKUP(P309,Settings!$E$28:$F$33,2,FALSE)+1),1)</f>
        <v>7.3410603821611415</v>
      </c>
      <c r="Y309" s="56">
        <f>VLOOKUP(B309,'Player Data'!$A1:$AE667,13,FALSE)*$Q309</f>
        <v>2.4246691358762985E-3</v>
      </c>
      <c r="Z309" s="56">
        <f>VLOOKUP(B309,'Player Data'!$A1:$AE667,14,FALSE)*$Q309</f>
        <v>4.1017231446728794E-3</v>
      </c>
      <c r="AA309" s="56">
        <f>VLOOKUP(B309,'Player Data'!$A1:$AE667,15,FALSE)*$Q309</f>
        <v>20.569732600159099</v>
      </c>
      <c r="AB309" s="56">
        <f>VLOOKUP(B309,'Player Data'!$A1:$AE667,16,FALSE)*$Q309</f>
        <v>46.769765054853259</v>
      </c>
      <c r="AC309" s="56">
        <f>VLOOKUP(B309,'Player Data'!$A1:$AE667,17,FALSE)*$Q309*IFERROR((VLOOKUP(P309,Settings!$E$28:$F$33,2,FALSE)+1),1)</f>
        <v>-1.5747497757074107</v>
      </c>
      <c r="AD309" s="56">
        <f>VLOOKUP(B309,'Player Data'!$A1:$AE667,18,FALSE)*$Q309</f>
        <v>20.000788540014039</v>
      </c>
      <c r="AE309" s="56">
        <f>VLOOKUP(B309,'Player Data'!$A1:$AE667,19,FALSE)*$Q309*IFERROR((VLOOKUP(P309,Settings!$E$28:$F$33,2,FALSE)+1),1)</f>
        <v>3.0688734739417494</v>
      </c>
      <c r="AF309" s="56">
        <f>VLOOKUP(B309,'Player Data'!$A1:$AE667,20,FALSE)*$Q309</f>
        <v>4.5322776349397058</v>
      </c>
      <c r="AG309" s="56">
        <f>VLOOKUP(B309,'Player Data'!$A1:$AE667,21,FALSE)*$Q309</f>
        <v>6.1290262093651213</v>
      </c>
      <c r="AH309" s="58">
        <f>VLOOKUP(B309,'Player Data'!$A1:$AE667,22,FALSE)</f>
        <v>0.425114760926808</v>
      </c>
      <c r="AI309" s="54"/>
      <c r="AJ309" s="56"/>
      <c r="AK309" s="56"/>
      <c r="AL309" s="56"/>
      <c r="AM309" s="56"/>
      <c r="AN309" s="56"/>
      <c r="AO309" s="56"/>
      <c r="AP309" s="56"/>
      <c r="AQ309" s="59"/>
      <c r="AR309" s="60"/>
      <c r="AS309" s="54"/>
    </row>
    <row r="310" spans="1:45" ht="21.25" customHeight="1" x14ac:dyDescent="0.15">
      <c r="A310" s="45">
        <f>RANK(K310,K$1:K$665)</f>
        <v>309</v>
      </c>
      <c r="B310" s="9" t="s">
        <v>435</v>
      </c>
      <c r="C310" s="46" t="s">
        <v>127</v>
      </c>
      <c r="D310" s="47" t="str">
        <f>VLOOKUP(B310,'Player Data'!A1:D667,4,FALSE)</f>
        <v>C</v>
      </c>
      <c r="E310" s="48">
        <f>VLOOKUP(B310,'C'!A1:C206,3,FALSE)</f>
        <v>91</v>
      </c>
      <c r="F310" s="55" t="str">
        <f>VLOOKUP(B310,'Player Data'!A1:B667,2,FALSE)</f>
        <v>DAL</v>
      </c>
      <c r="G310" s="69">
        <f>VLOOKUP(B310,'Player Data'!A1:D667,3,FALSE)</f>
        <v>21</v>
      </c>
      <c r="H310" s="50">
        <f>IFERROR(VLOOKUP(B310,ADP!A1:G665,7,FALSE)/1000000,VLOOKUP(B310,ADP!A1:G665,7,FALSE))</f>
        <v>0.81399999999999995</v>
      </c>
      <c r="I310" s="51">
        <f>IF(Settings!$E$15="POINTS",((R310*Q310)*Settings!$B$12)+(S310*Settings!$B$2)+(T310*Settings!$B$3)+(U310*Settings!$B$4)+(V310*Settings!$B$5)+(X310*Settings!$B$9)+(AA310*Settings!$B$6)+(W310*Settings!$B$8)+(AB310*Settings!$B$7)+(AC310*Settings!$B$14)+(AD310*Settings!$B$15)+(AE310*Settings!$B$16)+(AF310*Settings!$B$17)+(AG310*Settings!$B$18)+(Y310*Settings!$B$10)+(Z310*Settings!$B$11),VLOOKUP(B310,'Standard Deviations'!A1:C666,3,FALSE))</f>
        <v>235.88393303528773</v>
      </c>
      <c r="J310" s="52">
        <f>IF(D310="G",I310/AJ310,I310/Q310)</f>
        <v>3.3553902280979764</v>
      </c>
      <c r="K310" s="51">
        <f>IF(Settings!$E$18="C/LW/RW",VLOOKUP(B310,'C'!A1:F206,6,FALSE),VLOOKUP(B310,F!A1:F392,6,FALSE))</f>
        <v>-154.05322474279336</v>
      </c>
      <c r="L310" s="53">
        <f>IFERROR(K310/H310,"N/A")</f>
        <v>-189.25457585109751</v>
      </c>
      <c r="M310" s="54">
        <f>IF(Settings!$E$9="YAHOO",VLOOKUP(B310,ADP!A1:E665,2,FALSE),IF(Settings!$E$9="ESPN",VLOOKUP(B310,ADP!A1:E665,3,FALSE),IF(Settings!$E$9="FANTRAX",VLOOKUP(B310,ADP!A1:E665,4,FALSE),VLOOKUP(B310,ADP!A1:E665,5,FALSE))))</f>
        <v>183</v>
      </c>
      <c r="N310" s="54">
        <f>IFERROR(M310-A310,"N/A")</f>
        <v>-126</v>
      </c>
      <c r="O310" s="54"/>
      <c r="P310" s="55" t="str">
        <f>IF(Settings!$E$27="ON",VLOOKUP(B310,ADP!A1:H665,8,FALSE)," ")</f>
        <v xml:space="preserve"> </v>
      </c>
      <c r="Q310" s="56">
        <f>IF(Settings!$E$12="YES",VLOOKUP(B310,'Player Data'!A1:E667,5,FALSE),82)</f>
        <v>70.3</v>
      </c>
      <c r="R310" s="54">
        <f>VLOOKUP(B310,'Player Data'!$A1:$AE667,6,FALSE)</f>
        <v>15.1005459136322</v>
      </c>
      <c r="S310" s="56">
        <f>VLOOKUP(B310,'Player Data'!$A1:$AE667,7,FALSE)*$Q310*IFERROR((VLOOKUP(P310,Settings!$E$28:$F$33,2,FALSE)+1),1)</f>
        <v>19.404018897849845</v>
      </c>
      <c r="T310" s="56">
        <f>VLOOKUP(B310,'Player Data'!$A1:$AE667,8,FALSE)*$Q310*IFERROR((VLOOKUP(P310,Settings!$E$28:$F$33,2,FALSE)+1),1)</f>
        <v>26.222761449612676</v>
      </c>
      <c r="U310" s="56">
        <f>SUM(S310:T310)</f>
        <v>45.626780347462521</v>
      </c>
      <c r="V310" s="56">
        <f>VLOOKUP(B310,'Player Data'!$A1:$AE667,10,FALSE)*$Q310*IFERROR(((VLOOKUP(P310,Settings!$E$28:$F$33,2,FALSE)/2)+1),1)</f>
        <v>147.6986677491978</v>
      </c>
      <c r="W310" s="56">
        <f>VLOOKUP(B310,'Player Data'!$A1:$AE667,11,FALSE)*$Q310*IFERROR((VLOOKUP(P310,Settings!$E$28:$F$33,2,FALSE)+1),1)</f>
        <v>3.7783275018081435</v>
      </c>
      <c r="X310" s="56">
        <f>VLOOKUP(B310,'Player Data'!$A1:$AE667,12,FALSE)*$Q310*IFERROR((VLOOKUP(P310,Settings!$E$28:$F$33,2,FALSE)+1),1)</f>
        <v>8.7315300120911754</v>
      </c>
      <c r="Y310" s="56">
        <f>VLOOKUP(B310,'Player Data'!$A1:$AE667,13,FALSE)*$Q310</f>
        <v>4.9522116990086016E-3</v>
      </c>
      <c r="Z310" s="56">
        <f>VLOOKUP(B310,'Player Data'!$A1:$AE667,14,FALSE)*$Q310</f>
        <v>8.319252878719232E-3</v>
      </c>
      <c r="AA310" s="56">
        <f>VLOOKUP(B310,'Player Data'!$A1:$AE667,15,FALSE)*$Q310</f>
        <v>32.828817706662754</v>
      </c>
      <c r="AB310" s="56">
        <f>VLOOKUP(B310,'Player Data'!$A1:$AE667,16,FALSE)*$Q310</f>
        <v>69.312872888541222</v>
      </c>
      <c r="AC310" s="56">
        <f>VLOOKUP(B310,'Player Data'!$A1:$AE667,17,FALSE)*$Q310*IFERROR((VLOOKUP(P310,Settings!$E$28:$F$33,2,FALSE)+1),1)</f>
        <v>5.6745732918612104</v>
      </c>
      <c r="AD310" s="56">
        <f>VLOOKUP(B310,'Player Data'!$A1:$AE667,18,FALSE)*$Q310</f>
        <v>22.753653730335397</v>
      </c>
      <c r="AE310" s="56">
        <f>VLOOKUP(B310,'Player Data'!$A1:$AE667,19,FALSE)*$Q310*IFERROR((VLOOKUP(P310,Settings!$E$28:$F$33,2,FALSE)+1),1)</f>
        <v>3.1030657442611691</v>
      </c>
      <c r="AF310" s="56">
        <f>VLOOKUP(B310,'Player Data'!$A1:$AE667,20,FALSE)*$Q310</f>
        <v>33.161764561417009</v>
      </c>
      <c r="AG310" s="56">
        <f>VLOOKUP(B310,'Player Data'!$A1:$AE667,21,FALSE)*$Q310</f>
        <v>18.088235215318356</v>
      </c>
      <c r="AH310" s="58">
        <f>VLOOKUP(B310,'Player Data'!$A1:$AE667,22,FALSE)</f>
        <v>0.64705882352941202</v>
      </c>
      <c r="AI310" s="54"/>
      <c r="AJ310" s="56"/>
      <c r="AK310" s="56"/>
      <c r="AL310" s="56"/>
      <c r="AM310" s="56"/>
      <c r="AN310" s="56"/>
      <c r="AO310" s="56"/>
      <c r="AP310" s="56"/>
      <c r="AQ310" s="59"/>
      <c r="AR310" s="60"/>
      <c r="AS310" s="54"/>
    </row>
    <row r="311" spans="1:45" ht="21.25" customHeight="1" x14ac:dyDescent="0.15">
      <c r="A311" s="45">
        <f>RANK(K311,K$1:K$665)</f>
        <v>310</v>
      </c>
      <c r="B311" s="9" t="s">
        <v>436</v>
      </c>
      <c r="C311" s="46" t="s">
        <v>127</v>
      </c>
      <c r="D311" s="47" t="str">
        <f>VLOOKUP(B311,'Player Data'!A1:D667,4,FALSE)</f>
        <v>RW</v>
      </c>
      <c r="E311" s="61">
        <f>VLOOKUP(B311,RW!A1:F136,3,FALSE)</f>
        <v>78</v>
      </c>
      <c r="F311" s="55" t="str">
        <f>VLOOKUP(B311,'Player Data'!A1:B667,2,FALSE)</f>
        <v>VGK</v>
      </c>
      <c r="G311" s="69">
        <f>VLOOKUP(B311,'Player Data'!A1:D667,3,FALSE)</f>
        <v>22</v>
      </c>
      <c r="H311" s="67">
        <f>IFERROR(VLOOKUP(B311,ADP!A1:G665,7,FALSE)/1000000,VLOOKUP(B311,ADP!A1:G665,7,FALSE))</f>
        <v>0.89416700000000005</v>
      </c>
      <c r="I311" s="51">
        <f>IF(Settings!$E$15="POINTS",((R311*Q311)*Settings!$B$12)+(S311*Settings!$B$2)+(T311*Settings!$B$3)+(U311*Settings!$B$4)+(V311*Settings!$B$5)+(X311*Settings!$B$9)+(AA311*Settings!$B$6)+(W311*Settings!$B$8)+(AB311*Settings!$B$7)+(AC311*Settings!$B$14)+(AD311*Settings!$B$15)+(AE311*Settings!$B$16)+(AF311*Settings!$B$17)+(AG311*Settings!$B$18)+(Y311*Settings!$B$10)+(Z311*Settings!$B$11),VLOOKUP(B311,'Standard Deviations'!A1:C666,3,FALSE))</f>
        <v>214.65069947853513</v>
      </c>
      <c r="J311" s="52">
        <f>IF(D311="G",I311/AJ311,I311/Q311)</f>
        <v>2.7924766576060769</v>
      </c>
      <c r="K311" s="51">
        <f>IF(Settings!$E$18="C/LW/RW",VLOOKUP(B311,RW!A1:F136,6,FALSE),VLOOKUP(B311,F!A1:F392,6,FALSE))</f>
        <v>-154.19702362775726</v>
      </c>
      <c r="L311" s="53">
        <f>IFERROR(K311/H311,"N/A")</f>
        <v>-172.44767882035151</v>
      </c>
      <c r="M311" s="83" t="str">
        <f>IF(Settings!$E$9="YAHOO",VLOOKUP(B311,ADP!A1:E665,2,FALSE),IF(Settings!$E$9="ESPN",VLOOKUP(B311,ADP!A1:E665,3,FALSE),IF(Settings!$E$9="FANTRAX",VLOOKUP(B311,ADP!A1:E665,4,FALSE),VLOOKUP(B311,ADP!A1:E665,5,FALSE))))</f>
        <v>—</v>
      </c>
      <c r="N311" s="83" t="str">
        <f>IFERROR(M311-A311,"N/A")</f>
        <v>N/A</v>
      </c>
      <c r="O311" s="54"/>
      <c r="P311" s="55" t="str">
        <f>IF(Settings!$E$27="ON",VLOOKUP(B311,ADP!A1:H665,8,FALSE)," ")</f>
        <v xml:space="preserve"> </v>
      </c>
      <c r="Q311" s="56">
        <f>IF(Settings!$E$12="YES",VLOOKUP(B311,'Player Data'!A1:E667,5,FALSE),82)</f>
        <v>76.867500000000007</v>
      </c>
      <c r="R311" s="75">
        <f>VLOOKUP(B311,'Player Data'!$A1:$AE667,6,FALSE)</f>
        <v>15.099181923965901</v>
      </c>
      <c r="S311" s="56">
        <f>VLOOKUP(B311,'Player Data'!$A1:$AE667,7,FALSE)*$Q311*IFERROR((VLOOKUP(P311,Settings!$E$28:$F$33,2,FALSE)+1),1)</f>
        <v>21.699623944240585</v>
      </c>
      <c r="T311" s="56">
        <f>VLOOKUP(B311,'Player Data'!$A1:$AE667,8,FALSE)*$Q311*IFERROR((VLOOKUP(P311,Settings!$E$28:$F$33,2,FALSE)+1),1)</f>
        <v>20.064458872613219</v>
      </c>
      <c r="U311" s="56">
        <f>SUM(S311:T311)</f>
        <v>41.764082816853801</v>
      </c>
      <c r="V311" s="56">
        <f>VLOOKUP(B311,'Player Data'!$A1:$AE667,10,FALSE)*$Q311*IFERROR(((VLOOKUP(P311,Settings!$E$28:$F$33,2,FALSE)/2)+1),1)</f>
        <v>147.76504857551012</v>
      </c>
      <c r="W311" s="56">
        <f>VLOOKUP(B311,'Player Data'!$A1:$AE667,11,FALSE)*$Q311*IFERROR((VLOOKUP(P311,Settings!$E$28:$F$33,2,FALSE)+1),1)</f>
        <v>1.6256299066058033</v>
      </c>
      <c r="X311" s="56">
        <f>VLOOKUP(B311,'Player Data'!$A1:$AE667,12,FALSE)*$Q311*IFERROR((VLOOKUP(P311,Settings!$E$28:$F$33,2,FALSE)+1),1)</f>
        <v>3.0785467572937804</v>
      </c>
      <c r="Y311" s="56">
        <f>VLOOKUP(B311,'Player Data'!$A1:$AE667,13,FALSE)*$Q311</f>
        <v>1.5869346605717584E-3</v>
      </c>
      <c r="Z311" s="56">
        <f>VLOOKUP(B311,'Player Data'!$A1:$AE667,14,FALSE)*$Q311</f>
        <v>2.6929887901665389E-3</v>
      </c>
      <c r="AA311" s="56">
        <f>VLOOKUP(B311,'Player Data'!$A1:$AE667,15,FALSE)*$Q311</f>
        <v>24.789373988269418</v>
      </c>
      <c r="AB311" s="56">
        <f>VLOOKUP(B311,'Player Data'!$A1:$AE667,16,FALSE)*$Q311</f>
        <v>57.863701988896359</v>
      </c>
      <c r="AC311" s="56">
        <f>VLOOKUP(B311,'Player Data'!$A1:$AE667,17,FALSE)*$Q311*IFERROR((VLOOKUP(P311,Settings!$E$28:$F$33,2,FALSE)+1),1)</f>
        <v>0.63478392856345178</v>
      </c>
      <c r="AD311" s="56">
        <f>VLOOKUP(B311,'Player Data'!$A1:$AE667,18,FALSE)*$Q311</f>
        <v>23.718600056987892</v>
      </c>
      <c r="AE311" s="56">
        <f>VLOOKUP(B311,'Player Data'!$A1:$AE667,19,FALSE)*$Q311*IFERROR((VLOOKUP(P311,Settings!$E$28:$F$33,2,FALSE)+1),1)</f>
        <v>3.3005407718663493</v>
      </c>
      <c r="AF311" s="56">
        <f>VLOOKUP(B311,'Player Data'!$A1:$AE667,20,FALSE)*$Q311</f>
        <v>7.3766919230704904</v>
      </c>
      <c r="AG311" s="56">
        <f>VLOOKUP(B311,'Player Data'!$A1:$AE667,21,FALSE)*$Q311</f>
        <v>23.439022177041537</v>
      </c>
      <c r="AH311" s="58">
        <f>VLOOKUP(B311,'Player Data'!$A1:$AE667,22,FALSE)</f>
        <v>0.23938085286959701</v>
      </c>
      <c r="AI311" s="54"/>
      <c r="AJ311" s="64"/>
      <c r="AK311" s="56"/>
      <c r="AL311" s="56"/>
      <c r="AM311" s="56"/>
      <c r="AN311" s="56"/>
      <c r="AO311" s="56"/>
      <c r="AP311" s="56"/>
      <c r="AQ311" s="59"/>
      <c r="AR311" s="60"/>
      <c r="AS311" s="54"/>
    </row>
    <row r="312" spans="1:45" ht="21.25" customHeight="1" x14ac:dyDescent="0.15">
      <c r="A312" s="45">
        <f>RANK(K312,K$1:K$665)</f>
        <v>311</v>
      </c>
      <c r="B312" s="9" t="s">
        <v>437</v>
      </c>
      <c r="C312" s="46" t="s">
        <v>127</v>
      </c>
      <c r="D312" s="47" t="str">
        <f>VLOOKUP(B312,'Player Data'!A1:D667,4,FALSE)</f>
        <v>D</v>
      </c>
      <c r="E312" s="66">
        <f>VLOOKUP(B312,D!A1:C213,3,FALSE)</f>
        <v>101</v>
      </c>
      <c r="F312" s="77" t="str">
        <f>VLOOKUP(B312,'Player Data'!A1:B667,2,FALSE)</f>
        <v>S.J</v>
      </c>
      <c r="G312" s="10">
        <f>VLOOKUP(B312,'Player Data'!A1:D667,3,FALSE)</f>
        <v>30</v>
      </c>
      <c r="H312" s="67">
        <f>IFERROR(VLOOKUP(B312,ADP!A1:G665,7,FALSE)/1000000,VLOOKUP(B312,ADP!A1:G665,7,FALSE))</f>
        <v>3.25</v>
      </c>
      <c r="I312" s="51">
        <f>IF(Settings!$E$15="POINTS",((R312*Q312)*Settings!$B$12)+(S312*Settings!$B$2)+(T312*Settings!$B$3)+(U312*Settings!$B$4)+(V312*Settings!$B$5)+(X312*Settings!$B$9)+(AA312*Settings!$B$6)+(W312*Settings!$B$8)+(AB312*Settings!$B$7)+(AC312*Settings!$B$14)+(AD312*Settings!$B$15)+(AE312*Settings!$B$16)+(AF312*Settings!$B$17)+(AG312*Settings!$B$18)+(U312*Settings!$B$13)+(Y312*Settings!$B$10)+(Z312*Settings!$B$11),VLOOKUP(B312,'Standard Deviations'!A1:C666,3,FALSE))</f>
        <v>180.98257560161807</v>
      </c>
      <c r="J312" s="52">
        <f>IF(D312="G",I312/AJ312,I312/Q312)</f>
        <v>2.2392598051485422</v>
      </c>
      <c r="K312" s="51">
        <f>VLOOKUP(B312,D!A1:F213,6,FALSE)</f>
        <v>-155.25154944397684</v>
      </c>
      <c r="L312" s="53">
        <f>IFERROR(K312/H312,"N/A")</f>
        <v>-47.769707521223644</v>
      </c>
      <c r="M312" s="83" t="str">
        <f>IF(Settings!$E$9="YAHOO",VLOOKUP(B312,ADP!A1:E665,2,FALSE),IF(Settings!$E$9="ESPN",VLOOKUP(B312,ADP!A1:E665,3,FALSE),IF(Settings!$E$9="FANTRAX",VLOOKUP(B312,ADP!A1:E665,4,FALSE),VLOOKUP(B312,ADP!A1:E665,5,FALSE))))</f>
        <v>—</v>
      </c>
      <c r="N312" s="83" t="str">
        <f>IFERROR(M312-A312,"N/A")</f>
        <v>N/A</v>
      </c>
      <c r="O312" s="54"/>
      <c r="P312" s="55" t="str">
        <f>IF(Settings!$E$27="ON",VLOOKUP(B312,ADP!A1:H665,8,FALSE)," ")</f>
        <v xml:space="preserve"> </v>
      </c>
      <c r="Q312" s="56">
        <f>IF(Settings!$E$12="YES",VLOOKUP(B312,'Player Data'!A1:E667,5,FALSE),82)</f>
        <v>80.822500000000005</v>
      </c>
      <c r="R312" s="54">
        <f>VLOOKUP(B312,'Player Data'!$A1:$AE667,6,FALSE)</f>
        <v>20.963692799753101</v>
      </c>
      <c r="S312" s="56">
        <f>VLOOKUP(B312,'Player Data'!$A1:$AE667,7,FALSE)*$Q312*IFERROR((VLOOKUP(P312,Settings!$E$28:$F$33,2,FALSE)+1),1)</f>
        <v>3.7634376784927821</v>
      </c>
      <c r="T312" s="56">
        <f>VLOOKUP(B312,'Player Data'!$A1:$AE667,8,FALSE)*$Q312*IFERROR((VLOOKUP(P312,Settings!$E$28:$F$33,2,FALSE)+1),1)</f>
        <v>19.282711319715176</v>
      </c>
      <c r="U312" s="56">
        <f>SUM(S312:T312)</f>
        <v>23.046148998207958</v>
      </c>
      <c r="V312" s="56">
        <f>VLOOKUP(B312,'Player Data'!$A1:$AE667,10,FALSE)*$Q312*IFERROR(((VLOOKUP(P312,Settings!$E$28:$F$33,2,FALSE)/2)+1),1)</f>
        <v>100.53363497535048</v>
      </c>
      <c r="W312" s="56">
        <f>VLOOKUP(B312,'Player Data'!$A1:$AE667,11,FALSE)*$Q312*IFERROR((VLOOKUP(P312,Settings!$E$28:$F$33,2,FALSE)+1),1)</f>
        <v>2.2172710384047327E-2</v>
      </c>
      <c r="X312" s="56">
        <f>VLOOKUP(B312,'Player Data'!$A1:$AE667,12,FALSE)*$Q312*IFERROR((VLOOKUP(P312,Settings!$E$28:$F$33,2,FALSE)+1),1)</f>
        <v>0.14825053956096615</v>
      </c>
      <c r="Y312" s="56">
        <f>VLOOKUP(B312,'Player Data'!$A1:$AE667,13,FALSE)*$Q312</f>
        <v>2.5020529061144783E-2</v>
      </c>
      <c r="Z312" s="56">
        <f>VLOOKUP(B312,'Player Data'!$A1:$AE667,14,FALSE)*$Q312</f>
        <v>0.98161010643487012</v>
      </c>
      <c r="AA312" s="56">
        <f>VLOOKUP(B312,'Player Data'!$A1:$AE667,15,FALSE)*$Q312</f>
        <v>120.89490094664625</v>
      </c>
      <c r="AB312" s="56">
        <f>VLOOKUP(B312,'Player Data'!$A1:$AE667,16,FALSE)*$Q312</f>
        <v>114.82955367519136</v>
      </c>
      <c r="AC312" s="56">
        <f>VLOOKUP(B312,'Player Data'!$A1:$AE667,17,FALSE)*$Q312*IFERROR((VLOOKUP(P312,Settings!$E$28:$F$33,2,FALSE)+1),1)</f>
        <v>5.6954393478014422</v>
      </c>
      <c r="AD312" s="56">
        <f>VLOOKUP(B312,'Player Data'!$A1:$AE667,18,FALSE)*$Q312</f>
        <v>18.849082010089308</v>
      </c>
      <c r="AE312" s="56">
        <f>VLOOKUP(B312,'Player Data'!$A1:$AE667,19,FALSE)*$Q312*IFERROR((VLOOKUP(P312,Settings!$E$28:$F$33,2,FALSE)+1),1)</f>
        <v>0.40197324856172034</v>
      </c>
      <c r="AF312" s="56">
        <f>VLOOKUP(B312,'Player Data'!$A1:$AE667,20,FALSE)*$Q312</f>
        <v>0</v>
      </c>
      <c r="AG312" s="56">
        <f>VLOOKUP(B312,'Player Data'!$A1:$AE667,21,FALSE)*$Q312</f>
        <v>0</v>
      </c>
      <c r="AH312" s="58">
        <f>VLOOKUP(B312,'Player Data'!$A1:$AE667,22,FALSE)</f>
        <v>0</v>
      </c>
      <c r="AI312" s="54"/>
      <c r="AJ312" s="64"/>
      <c r="AK312" s="56"/>
      <c r="AL312" s="56"/>
      <c r="AM312" s="56"/>
      <c r="AN312" s="56"/>
      <c r="AO312" s="56"/>
      <c r="AP312" s="56"/>
      <c r="AQ312" s="59"/>
      <c r="AR312" s="60"/>
      <c r="AS312" s="54"/>
    </row>
    <row r="313" spans="1:45" ht="21.25" customHeight="1" x14ac:dyDescent="0.15">
      <c r="A313" s="45">
        <f>RANK(K313,K$1:K$665)</f>
        <v>312</v>
      </c>
      <c r="B313" s="9" t="s">
        <v>438</v>
      </c>
      <c r="C313" s="46" t="s">
        <v>127</v>
      </c>
      <c r="D313" s="47" t="str">
        <f>VLOOKUP(B313,'Player Data'!A1:D667,4,FALSE)</f>
        <v>G</v>
      </c>
      <c r="E313" s="73">
        <f>VLOOKUP(B313,G!A1:D65,3,FALSE)</f>
        <v>34</v>
      </c>
      <c r="F313" s="82" t="str">
        <f>VLOOKUP(B313,'Player Data'!A1:B667,2,FALSE)</f>
        <v>CHI</v>
      </c>
      <c r="G313" s="63">
        <f>VLOOKUP(B313,'Player Data'!A1:D667,3,FALSE)</f>
        <v>32</v>
      </c>
      <c r="H313" s="50">
        <f>IFERROR(VLOOKUP(B313,ADP!A1:G665,7,FALSE)/1000000,VLOOKUP(B313,ADP!A1:G665,7,FALSE))</f>
        <v>4.25</v>
      </c>
      <c r="I313" s="51">
        <f>IF(Settings!$E$15="POINTS",(AJ313*Settings!$B$29)+(AK313*Settings!$B$21)+(AL313*Settings!$B$22)+(AN313*Settings!$B$24)+(AO313*Settings!$B$25)+(AP313*Settings!$B$27)+(AM313*Settings!$B$23),VLOOKUP(B313,'Standard Deviations'!A1:C666,3,FALSE))</f>
        <v>254.96335697612358</v>
      </c>
      <c r="J313" s="52">
        <f>IF(D313="G",I313/AJ313,I313/Q313)</f>
        <v>6.3740839244030898</v>
      </c>
      <c r="K313" s="51">
        <f>VLOOKUP(B313,G!A1:F65,6,FALSE)</f>
        <v>-155.6963857932966</v>
      </c>
      <c r="L313" s="53">
        <f>IFERROR(K313/H313,"N/A")</f>
        <v>-36.634443716069789</v>
      </c>
      <c r="M313" s="83" t="str">
        <f>IF(Settings!$E$9="YAHOO",VLOOKUP(B313,ADP!A1:E665,2,FALSE),IF(Settings!$E$9="ESPN",VLOOKUP(B313,ADP!A1:E665,3,FALSE),IF(Settings!$E$9="FANTRAX",VLOOKUP(B313,ADP!A1:E665,4,FALSE),VLOOKUP(B313,ADP!A1:E665,5,FALSE))))</f>
        <v>—</v>
      </c>
      <c r="N313" s="83" t="str">
        <f>IFERROR(M313-A313,"N/A")</f>
        <v>N/A</v>
      </c>
      <c r="O313" s="54"/>
      <c r="P313" s="55" t="str">
        <f>IF(Settings!$E$27="ON",VLOOKUP(B313,ADP!A1:H665,8,FALSE)," ")</f>
        <v xml:space="preserve"> </v>
      </c>
      <c r="Q313" s="56"/>
      <c r="R313" s="54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8"/>
      <c r="AI313" s="54"/>
      <c r="AJ313" s="64">
        <f>VLOOKUP(B313,'Player Data'!$A1:$AE667,24,FALSE)</f>
        <v>40</v>
      </c>
      <c r="AK313" s="56">
        <f>VLOOKUP(B313,'Player Data'!$A1:$AE667,25,FALSE)*$AJ313*IFERROR((VLOOKUP(P313,Settings!$E$28:$F$33,2,FALSE)+1),1)</f>
        <v>15.68582125534604</v>
      </c>
      <c r="AL313" s="56">
        <f>AJ313-AK313-AM313</f>
        <v>19.314178744653958</v>
      </c>
      <c r="AM313" s="56">
        <f>VLOOKUP(B313,'Player Data'!$A1:$AE667,27,FALSE)*$AJ313</f>
        <v>5</v>
      </c>
      <c r="AN313" s="56">
        <f>VLOOKUP(B313,'Player Data'!$A1:$AE667,28,FALSE)*AJ313</f>
        <v>1.916470154429424</v>
      </c>
      <c r="AO313" s="56">
        <f>VLOOKUP(B313,'Player Data'!$A1:$AE667,29,FALSE)*$AJ313*IFERROR((VLOOKUP(P313,Settings!$E$28:$F$33,2,FALSE)/4)+1,1)</f>
        <v>1110.5120569913761</v>
      </c>
      <c r="AP313" s="56">
        <f>VLOOKUP(B313,'Player Data'!$A1:$AE667,31,FALSE)*$AJ313*(IFERROR(1-(VLOOKUP(P313,Settings!$E$28:$F$33,2,FALSE)/4),1))</f>
        <v>116.422201813344</v>
      </c>
      <c r="AQ313" s="59">
        <f>1-(AP313/(AO313+AP313))</f>
        <v>0.90511129591673267</v>
      </c>
      <c r="AR313" s="60">
        <f>AP313/AJ313</f>
        <v>2.9105550453336</v>
      </c>
      <c r="AS313" s="54"/>
    </row>
    <row r="314" spans="1:45" ht="21.25" customHeight="1" x14ac:dyDescent="0.15">
      <c r="A314" s="45">
        <f>RANK(K314,K$1:K$665)</f>
        <v>313</v>
      </c>
      <c r="B314" s="9" t="s">
        <v>439</v>
      </c>
      <c r="C314" s="46" t="s">
        <v>127</v>
      </c>
      <c r="D314" s="47" t="str">
        <f>VLOOKUP(B314,'Player Data'!A1:D667,4,FALSE)</f>
        <v>D</v>
      </c>
      <c r="E314" s="66">
        <f>VLOOKUP(B314,D!A1:C213,3,FALSE)</f>
        <v>102</v>
      </c>
      <c r="F314" s="71" t="str">
        <f>VLOOKUP(B314,'Player Data'!A1:B667,2,FALSE)</f>
        <v>VAN</v>
      </c>
      <c r="G314" s="63">
        <f>VLOOKUP(B314,'Player Data'!A1:D667,3,FALSE)</f>
        <v>34</v>
      </c>
      <c r="H314" s="50">
        <f>IFERROR(VLOOKUP(B314,ADP!A1:G665,7,FALSE)/1000000,VLOOKUP(B314,ADP!A1:G665,7,FALSE))</f>
        <v>3</v>
      </c>
      <c r="I314" s="51">
        <f>IF(Settings!$E$15="POINTS",((R314*Q314)*Settings!$B$12)+(S314*Settings!$B$2)+(T314*Settings!$B$3)+(U314*Settings!$B$4)+(V314*Settings!$B$5)+(X314*Settings!$B$9)+(AA314*Settings!$B$6)+(W314*Settings!$B$8)+(AB314*Settings!$B$7)+(AC314*Settings!$B$14)+(AD314*Settings!$B$15)+(AE314*Settings!$B$16)+(AF314*Settings!$B$17)+(AG314*Settings!$B$18)+(U314*Settings!$B$13)+(Y314*Settings!$B$10)+(Z314*Settings!$B$11),VLOOKUP(B314,'Standard Deviations'!A1:C666,3,FALSE))</f>
        <v>179.71789645998516</v>
      </c>
      <c r="J314" s="52">
        <f>IF(D314="G",I314/AJ314,I314/Q314)</f>
        <v>2.2299580787292261</v>
      </c>
      <c r="K314" s="51">
        <f>VLOOKUP(B314,D!A1:F213,6,FALSE)</f>
        <v>-156.51622858560975</v>
      </c>
      <c r="L314" s="53">
        <f>IFERROR(K314/H314,"N/A")</f>
        <v>-52.172076195203253</v>
      </c>
      <c r="M314" s="83" t="str">
        <f>IF(Settings!$E$9="YAHOO",VLOOKUP(B314,ADP!A1:E665,2,FALSE),IF(Settings!$E$9="ESPN",VLOOKUP(B314,ADP!A1:E665,3,FALSE),IF(Settings!$E$9="FANTRAX",VLOOKUP(B314,ADP!A1:E665,4,FALSE),VLOOKUP(B314,ADP!A1:E665,5,FALSE))))</f>
        <v>—</v>
      </c>
      <c r="N314" s="83" t="str">
        <f>IFERROR(M314-A314,"N/A")</f>
        <v>N/A</v>
      </c>
      <c r="O314" s="54"/>
      <c r="P314" s="55" t="str">
        <f>IF(Settings!$E$27="ON",VLOOKUP(B314,ADP!A1:H665,8,FALSE)," ")</f>
        <v xml:space="preserve"> </v>
      </c>
      <c r="Q314" s="56">
        <f>IF(Settings!$E$12="YES",VLOOKUP(B314,'Player Data'!A1:E667,5,FALSE),82)</f>
        <v>80.592500000000001</v>
      </c>
      <c r="R314" s="54">
        <f>VLOOKUP(B314,'Player Data'!$A1:$AE667,6,FALSE)</f>
        <v>19.444353964108</v>
      </c>
      <c r="S314" s="56">
        <f>VLOOKUP(B314,'Player Data'!$A1:$AE667,7,FALSE)*$Q314*IFERROR((VLOOKUP(P314,Settings!$E$28:$F$33,2,FALSE)+1),1)</f>
        <v>2.4512459979226393</v>
      </c>
      <c r="T314" s="56">
        <f>VLOOKUP(B314,'Player Data'!$A1:$AE667,8,FALSE)*$Q314*IFERROR((VLOOKUP(P314,Settings!$E$28:$F$33,2,FALSE)+1),1)</f>
        <v>17.681747588344955</v>
      </c>
      <c r="U314" s="56">
        <f>SUM(S314:T314)</f>
        <v>20.132993586267595</v>
      </c>
      <c r="V314" s="56">
        <f>VLOOKUP(B314,'Player Data'!$A1:$AE667,10,FALSE)*$Q314*IFERROR(((VLOOKUP(P314,Settings!$E$28:$F$33,2,FALSE)/2)+1),1)</f>
        <v>95.349483085641538</v>
      </c>
      <c r="W314" s="56">
        <f>VLOOKUP(B314,'Player Data'!$A1:$AE667,11,FALSE)*$Q314*IFERROR((VLOOKUP(P314,Settings!$E$28:$F$33,2,FALSE)+1),1)</f>
        <v>2.1737749967737925E-2</v>
      </c>
      <c r="X314" s="56">
        <f>VLOOKUP(B314,'Player Data'!$A1:$AE667,12,FALSE)*$Q314*IFERROR((VLOOKUP(P314,Settings!$E$28:$F$33,2,FALSE)+1),1)</f>
        <v>0.20198077911371118</v>
      </c>
      <c r="Y314" s="56">
        <f>VLOOKUP(B314,'Player Data'!$A1:$AE667,13,FALSE)*$Q314</f>
        <v>0.6280116589636221</v>
      </c>
      <c r="Z314" s="56">
        <f>VLOOKUP(B314,'Player Data'!$A1:$AE667,14,FALSE)*$Q314</f>
        <v>1.0381809300961897</v>
      </c>
      <c r="AA314" s="56">
        <f>VLOOKUP(B314,'Player Data'!$A1:$AE667,15,FALSE)*$Q314</f>
        <v>140.80802489830342</v>
      </c>
      <c r="AB314" s="56">
        <f>VLOOKUP(B314,'Player Data'!$A1:$AE667,16,FALSE)*$Q314</f>
        <v>110.8617752098563</v>
      </c>
      <c r="AC314" s="56">
        <f>VLOOKUP(B314,'Player Data'!$A1:$AE667,17,FALSE)*$Q314*IFERROR((VLOOKUP(P314,Settings!$E$28:$F$33,2,FALSE)+1),1)</f>
        <v>-0.23782842712967825</v>
      </c>
      <c r="AD314" s="56">
        <f>VLOOKUP(B314,'Player Data'!$A1:$AE667,18,FALSE)*$Q314</f>
        <v>59.686586062004302</v>
      </c>
      <c r="AE314" s="56">
        <f>VLOOKUP(B314,'Player Data'!$A1:$AE667,19,FALSE)*$Q314*IFERROR((VLOOKUP(P314,Settings!$E$28:$F$33,2,FALSE)+1),1)</f>
        <v>0.41860958272532511</v>
      </c>
      <c r="AF314" s="56">
        <f>VLOOKUP(B314,'Player Data'!$A1:$AE667,20,FALSE)*$Q314</f>
        <v>0</v>
      </c>
      <c r="AG314" s="56">
        <f>VLOOKUP(B314,'Player Data'!$A1:$AE667,21,FALSE)*$Q314</f>
        <v>0</v>
      </c>
      <c r="AH314" s="58">
        <f>VLOOKUP(B314,'Player Data'!$A1:$AE667,22,FALSE)</f>
        <v>0</v>
      </c>
      <c r="AI314" s="54"/>
      <c r="AJ314" s="56"/>
      <c r="AK314" s="56"/>
      <c r="AL314" s="56"/>
      <c r="AM314" s="56"/>
      <c r="AN314" s="56"/>
      <c r="AO314" s="56"/>
      <c r="AP314" s="56"/>
      <c r="AQ314" s="59"/>
      <c r="AR314" s="60"/>
      <c r="AS314" s="54"/>
    </row>
    <row r="315" spans="1:45" ht="21.25" customHeight="1" x14ac:dyDescent="0.15">
      <c r="A315" s="45">
        <f>RANK(K315,K$1:K$665)</f>
        <v>314</v>
      </c>
      <c r="B315" s="9" t="s">
        <v>440</v>
      </c>
      <c r="C315" s="46" t="s">
        <v>127</v>
      </c>
      <c r="D315" s="47" t="str">
        <f>VLOOKUP(B315,'Player Data'!A1:D667,4,FALSE)</f>
        <v>C</v>
      </c>
      <c r="E315" s="48">
        <f>VLOOKUP(B315,'C'!A1:C206,3,FALSE)</f>
        <v>93</v>
      </c>
      <c r="F315" s="65" t="str">
        <f>VLOOKUP(B315,'Player Data'!A1:B667,2,FALSE)</f>
        <v>NSH</v>
      </c>
      <c r="G315" s="10">
        <f>VLOOKUP(B315,'Player Data'!A1:D667,3,FALSE)</f>
        <v>27</v>
      </c>
      <c r="H315" s="50">
        <f>IFERROR(VLOOKUP(B315,ADP!A1:G665,7,FALSE)/1000000,VLOOKUP(B315,ADP!A1:G665,7,FALSE))</f>
        <v>3.5</v>
      </c>
      <c r="I315" s="51">
        <f>IF(Settings!$E$15="POINTS",((R315*Q315)*Settings!$B$12)+(S315*Settings!$B$2)+(T315*Settings!$B$3)+(U315*Settings!$B$4)+(V315*Settings!$B$5)+(X315*Settings!$B$9)+(AA315*Settings!$B$6)+(W315*Settings!$B$8)+(AB315*Settings!$B$7)+(AC315*Settings!$B$14)+(AD315*Settings!$B$15)+(AE315*Settings!$B$16)+(AF315*Settings!$B$17)+(AG315*Settings!$B$18)+(Y315*Settings!$B$10)+(Z315*Settings!$B$11),VLOOKUP(B315,'Standard Deviations'!A1:C666,3,FALSE))</f>
        <v>233.24268674505404</v>
      </c>
      <c r="J315" s="52">
        <f>IF(D315="G",I315/AJ315,I315/Q315)</f>
        <v>3.3171113808583383</v>
      </c>
      <c r="K315" s="51">
        <f>IF(Settings!$E$18="C/LW/RW",VLOOKUP(B315,'C'!A1:F206,6,FALSE),VLOOKUP(B315,F!A1:F392,6,FALSE))</f>
        <v>-156.69447103302704</v>
      </c>
      <c r="L315" s="53">
        <f>IFERROR(K315/H315,"N/A")</f>
        <v>-44.769848866579153</v>
      </c>
      <c r="M315" s="83" t="str">
        <f>IF(Settings!$E$9="YAHOO",VLOOKUP(B315,ADP!A1:E665,2,FALSE),IF(Settings!$E$9="ESPN",VLOOKUP(B315,ADP!A1:E665,3,FALSE),IF(Settings!$E$9="FANTRAX",VLOOKUP(B315,ADP!A1:E665,4,FALSE),VLOOKUP(B315,ADP!A1:E665,5,FALSE))))</f>
        <v>—</v>
      </c>
      <c r="N315" s="83" t="str">
        <f>IFERROR(M315-A315,"N/A")</f>
        <v>N/A</v>
      </c>
      <c r="O315" s="54"/>
      <c r="P315" s="55" t="str">
        <f>IF(Settings!$E$27="ON",VLOOKUP(B315,ADP!A1:H665,8,FALSE)," ")</f>
        <v>+</v>
      </c>
      <c r="Q315" s="56">
        <f>IF(Settings!$E$12="YES",VLOOKUP(B315,'Player Data'!A1:E667,5,FALSE),82)</f>
        <v>70.314999999999998</v>
      </c>
      <c r="R315" s="75">
        <f>VLOOKUP(B315,'Player Data'!$A1:$AE667,6,FALSE)</f>
        <v>15.432554031023599</v>
      </c>
      <c r="S315" s="56">
        <f>VLOOKUP(B315,'Player Data'!$A1:$AE667,7,FALSE)*$Q315*IFERROR((VLOOKUP(P315,Settings!$E$28:$F$33,2,FALSE)+1),1)</f>
        <v>18.580888364672358</v>
      </c>
      <c r="T315" s="56">
        <f>VLOOKUP(B315,'Player Data'!$A1:$AE667,8,FALSE)*$Q315*IFERROR((VLOOKUP(P315,Settings!$E$28:$F$33,2,FALSE)+1),1)</f>
        <v>29.325916220527755</v>
      </c>
      <c r="U315" s="56">
        <f>SUM(S315:T315)</f>
        <v>47.906804585200113</v>
      </c>
      <c r="V315" s="56">
        <f>VLOOKUP(B315,'Player Data'!$A1:$AE667,10,FALSE)*$Q315*IFERROR(((VLOOKUP(P315,Settings!$E$28:$F$33,2,FALSE)/2)+1),1)</f>
        <v>123.91040913894554</v>
      </c>
      <c r="W315" s="56">
        <f>VLOOKUP(B315,'Player Data'!$A1:$AE667,11,FALSE)*$Q315*IFERROR((VLOOKUP(P315,Settings!$E$28:$F$33,2,FALSE)+1),1)</f>
        <v>4.6518233518712453</v>
      </c>
      <c r="X315" s="56">
        <f>VLOOKUP(B315,'Player Data'!$A1:$AE667,12,FALSE)*$Q315*IFERROR((VLOOKUP(P315,Settings!$E$28:$F$33,2,FALSE)+1),1)</f>
        <v>10.547916731074874</v>
      </c>
      <c r="Y315" s="56">
        <f>VLOOKUP(B315,'Player Data'!$A1:$AE667,13,FALSE)*$Q315</f>
        <v>1.0173055036316369E-2</v>
      </c>
      <c r="Z315" s="56">
        <f>VLOOKUP(B315,'Player Data'!$A1:$AE667,14,FALSE)*$Q315</f>
        <v>1.7246020739056803E-2</v>
      </c>
      <c r="AA315" s="56">
        <f>VLOOKUP(B315,'Player Data'!$A1:$AE667,15,FALSE)*$Q315</f>
        <v>34.003811336333975</v>
      </c>
      <c r="AB315" s="56">
        <f>VLOOKUP(B315,'Player Data'!$A1:$AE667,16,FALSE)*$Q315</f>
        <v>17.576847374886174</v>
      </c>
      <c r="AC315" s="56">
        <f>VLOOKUP(B315,'Player Data'!$A1:$AE667,17,FALSE)*$Q315*IFERROR((VLOOKUP(P315,Settings!$E$28:$F$33,2,FALSE)+1),1)</f>
        <v>2.8933308910894078</v>
      </c>
      <c r="AD315" s="56">
        <f>VLOOKUP(B315,'Player Data'!$A1:$AE667,18,FALSE)*$Q315</f>
        <v>13.903581898849454</v>
      </c>
      <c r="AE315" s="56">
        <f>VLOOKUP(B315,'Player Data'!$A1:$AE667,19,FALSE)*$Q315*IFERROR((VLOOKUP(P315,Settings!$E$28:$F$33,2,FALSE)+1),1)</f>
        <v>2.6309203820927949</v>
      </c>
      <c r="AF315" s="56">
        <f>VLOOKUP(B315,'Player Data'!$A1:$AE667,20,FALSE)*$Q315</f>
        <v>233.49545838572098</v>
      </c>
      <c r="AG315" s="56">
        <f>VLOOKUP(B315,'Player Data'!$A1:$AE667,21,FALSE)*$Q315</f>
        <v>307.28537652049704</v>
      </c>
      <c r="AH315" s="58">
        <f>VLOOKUP(B315,'Player Data'!$A1:$AE667,22,FALSE)</f>
        <v>0.43177465493246198</v>
      </c>
      <c r="AI315" s="54"/>
      <c r="AJ315" s="64"/>
      <c r="AK315" s="56"/>
      <c r="AL315" s="56"/>
      <c r="AM315" s="56"/>
      <c r="AN315" s="56"/>
      <c r="AO315" s="56"/>
      <c r="AP315" s="56"/>
      <c r="AQ315" s="59"/>
      <c r="AR315" s="60"/>
      <c r="AS315" s="54"/>
    </row>
    <row r="316" spans="1:45" ht="21.25" customHeight="1" x14ac:dyDescent="0.15">
      <c r="A316" s="45">
        <f>RANK(K316,K$1:K$665)</f>
        <v>315</v>
      </c>
      <c r="B316" s="9" t="s">
        <v>441</v>
      </c>
      <c r="C316" s="46" t="s">
        <v>127</v>
      </c>
      <c r="D316" s="47" t="str">
        <f>VLOOKUP(B316,'Player Data'!A1:D667,4,FALSE)</f>
        <v>D</v>
      </c>
      <c r="E316" s="66">
        <f>VLOOKUP(B316,D!A1:C213,3,FALSE)</f>
        <v>103</v>
      </c>
      <c r="F316" s="65" t="str">
        <f>VLOOKUP(B316,'Player Data'!A1:B667,2,FALSE)</f>
        <v>DET</v>
      </c>
      <c r="G316" s="63">
        <f>VLOOKUP(B316,'Player Data'!A1:D667,3,FALSE)</f>
        <v>36</v>
      </c>
      <c r="H316" s="67">
        <f>IFERROR(VLOOKUP(B316,ADP!A1:G665,7,FALSE)/1000000,VLOOKUP(B316,ADP!A1:G665,7,FALSE))</f>
        <v>2.34375</v>
      </c>
      <c r="I316" s="51">
        <f>IF(Settings!$E$15="POINTS",((R316*Q316)*Settings!$B$12)+(S316*Settings!$B$2)+(T316*Settings!$B$3)+(U316*Settings!$B$4)+(V316*Settings!$B$5)+(X316*Settings!$B$9)+(AA316*Settings!$B$6)+(W316*Settings!$B$8)+(AB316*Settings!$B$7)+(AC316*Settings!$B$14)+(AD316*Settings!$B$15)+(AE316*Settings!$B$16)+(AF316*Settings!$B$17)+(AG316*Settings!$B$18)+(U316*Settings!$B$13)+(Y316*Settings!$B$10)+(Z316*Settings!$B$11),VLOOKUP(B316,'Standard Deviations'!A1:C666,3,FALSE))</f>
        <v>178.78140073184369</v>
      </c>
      <c r="J316" s="52">
        <f>IF(D316="G",I316/AJ316,I316/Q316)</f>
        <v>2.3479072917702237</v>
      </c>
      <c r="K316" s="51">
        <f>VLOOKUP(B316,D!A1:F213,6,FALSE)</f>
        <v>-157.45272431375122</v>
      </c>
      <c r="L316" s="53">
        <f>IFERROR(K316/H316,"N/A")</f>
        <v>-67.179829040533846</v>
      </c>
      <c r="M316" s="83" t="str">
        <f>IF(Settings!$E$9="YAHOO",VLOOKUP(B316,ADP!A1:E665,2,FALSE),IF(Settings!$E$9="ESPN",VLOOKUP(B316,ADP!A1:E665,3,FALSE),IF(Settings!$E$9="FANTRAX",VLOOKUP(B316,ADP!A1:E665,4,FALSE),VLOOKUP(B316,ADP!A1:E665,5,FALSE))))</f>
        <v>—</v>
      </c>
      <c r="N316" s="83" t="str">
        <f>IFERROR(M316-A316,"N/A")</f>
        <v>N/A</v>
      </c>
      <c r="O316" s="54"/>
      <c r="P316" s="55" t="str">
        <f>IF(Settings!$E$27="ON",VLOOKUP(B316,ADP!A1:H665,8,FALSE)," ")</f>
        <v xml:space="preserve"> </v>
      </c>
      <c r="Q316" s="56">
        <f>IF(Settings!$E$12="YES",VLOOKUP(B316,'Player Data'!A1:E667,5,FALSE),82)</f>
        <v>76.144999999999996</v>
      </c>
      <c r="R316" s="54">
        <f>VLOOKUP(B316,'Player Data'!$A1:$AE667,6,FALSE)</f>
        <v>18.630384158496501</v>
      </c>
      <c r="S316" s="56">
        <f>VLOOKUP(B316,'Player Data'!$A1:$AE667,7,FALSE)*$Q316*IFERROR((VLOOKUP(P316,Settings!$E$28:$F$33,2,FALSE)+1),1)</f>
        <v>3.3162995624001188</v>
      </c>
      <c r="T316" s="56">
        <f>VLOOKUP(B316,'Player Data'!$A1:$AE667,8,FALSE)*$Q316*IFERROR((VLOOKUP(P316,Settings!$E$28:$F$33,2,FALSE)+1),1)</f>
        <v>19.138800879604229</v>
      </c>
      <c r="U316" s="56">
        <f>SUM(S316:T316)</f>
        <v>22.455100442004348</v>
      </c>
      <c r="V316" s="56">
        <f>VLOOKUP(B316,'Player Data'!$A1:$AE667,10,FALSE)*$Q316*IFERROR(((VLOOKUP(P316,Settings!$E$28:$F$33,2,FALSE)/2)+1),1)</f>
        <v>92.225310322587973</v>
      </c>
      <c r="W316" s="56">
        <f>VLOOKUP(B316,'Player Data'!$A1:$AE667,11,FALSE)*$Q316*IFERROR((VLOOKUP(P316,Settings!$E$28:$F$33,2,FALSE)+1),1)</f>
        <v>0.11811081101427619</v>
      </c>
      <c r="X316" s="56">
        <f>VLOOKUP(B316,'Player Data'!$A1:$AE667,12,FALSE)*$Q316*IFERROR((VLOOKUP(P316,Settings!$E$28:$F$33,2,FALSE)+1),1)</f>
        <v>0.77686792302839858</v>
      </c>
      <c r="Y316" s="56">
        <f>VLOOKUP(B316,'Player Data'!$A1:$AE667,13,FALSE)*$Q316</f>
        <v>1.4669621775491774E-2</v>
      </c>
      <c r="Z316" s="56">
        <f>VLOOKUP(B316,'Player Data'!$A1:$AE667,14,FALSE)*$Q316</f>
        <v>0.49662618947768744</v>
      </c>
      <c r="AA316" s="56">
        <f>VLOOKUP(B316,'Player Data'!$A1:$AE667,15,FALSE)*$Q316</f>
        <v>128.05990026406116</v>
      </c>
      <c r="AB316" s="56">
        <f>VLOOKUP(B316,'Player Data'!$A1:$AE667,16,FALSE)*$Q316</f>
        <v>154.41518942959894</v>
      </c>
      <c r="AC316" s="56">
        <f>VLOOKUP(B316,'Player Data'!$A1:$AE667,17,FALSE)*$Q316*IFERROR((VLOOKUP(P316,Settings!$E$28:$F$33,2,FALSE)+1),1)</f>
        <v>-2.3379016132893709</v>
      </c>
      <c r="AD316" s="56">
        <f>VLOOKUP(B316,'Player Data'!$A1:$AE667,18,FALSE)*$Q316</f>
        <v>34.646748416095754</v>
      </c>
      <c r="AE316" s="56">
        <f>VLOOKUP(B316,'Player Data'!$A1:$AE667,19,FALSE)*$Q316*IFERROR((VLOOKUP(P316,Settings!$E$28:$F$33,2,FALSE)+1),1)</f>
        <v>0.45546942025559917</v>
      </c>
      <c r="AF316" s="56">
        <f>VLOOKUP(B316,'Player Data'!$A1:$AE667,20,FALSE)*$Q316</f>
        <v>0</v>
      </c>
      <c r="AG316" s="56">
        <f>VLOOKUP(B316,'Player Data'!$A1:$AE667,21,FALSE)*$Q316</f>
        <v>0</v>
      </c>
      <c r="AH316" s="58">
        <f>VLOOKUP(B316,'Player Data'!$A1:$AE667,22,FALSE)</f>
        <v>0</v>
      </c>
      <c r="AI316" s="54"/>
      <c r="AJ316" s="56"/>
      <c r="AK316" s="56"/>
      <c r="AL316" s="56"/>
      <c r="AM316" s="56"/>
      <c r="AN316" s="56"/>
      <c r="AO316" s="56"/>
      <c r="AP316" s="56"/>
      <c r="AQ316" s="59"/>
      <c r="AR316" s="60"/>
      <c r="AS316" s="54"/>
    </row>
    <row r="317" spans="1:45" ht="21.25" customHeight="1" x14ac:dyDescent="0.15">
      <c r="A317" s="45">
        <f>RANK(K317,K$1:K$665)</f>
        <v>316</v>
      </c>
      <c r="B317" s="9" t="s">
        <v>442</v>
      </c>
      <c r="C317" s="46" t="s">
        <v>127</v>
      </c>
      <c r="D317" s="47" t="str">
        <f>VLOOKUP(B317,'Player Data'!A1:D667,4,FALSE)</f>
        <v>C/LW</v>
      </c>
      <c r="E317" s="68">
        <f>VLOOKUP(B317,LW!A1:C152,3,FALSE)</f>
        <v>74</v>
      </c>
      <c r="F317" s="65" t="str">
        <f>VLOOKUP(B317,'Player Data'!A1:B667,2,FALSE)</f>
        <v>FLA</v>
      </c>
      <c r="G317" s="63">
        <f>VLOOKUP(B317,'Player Data'!A1:D667,3,FALSE)</f>
        <v>31</v>
      </c>
      <c r="H317" s="50">
        <f>IFERROR(VLOOKUP(B317,ADP!A1:G665,7,FALSE)/1000000,VLOOKUP(B317,ADP!A1:G665,7,FALSE))</f>
        <v>3</v>
      </c>
      <c r="I317" s="51">
        <f>IF(Settings!$E$15="POINTS",((R317*Q317)*Settings!$B$12)+(S317*Settings!$B$2)+(T317*Settings!$B$3)+(U317*Settings!$B$4)+(V317*Settings!$B$5)+(X317*Settings!$B$9)+(AA317*Settings!$B$6)+(W317*Settings!$B$8)+(AB317*Settings!$B$7)+(AC317*Settings!$B$14)+(AD317*Settings!$B$15)+(AE317*Settings!$B$16)+(AF317*Settings!$B$17)+(AG317*Settings!$B$18)+(Y317*Settings!$B$10)+(Z317*Settings!$B$11),VLOOKUP(B317,'Standard Deviations'!A1:C666,3,FALSE))</f>
        <v>223.58496623127732</v>
      </c>
      <c r="J317" s="52">
        <f>IF(D317="G",I317/AJ317,I317/Q317)</f>
        <v>2.7987478170086346</v>
      </c>
      <c r="K317" s="51">
        <f>IF(Settings!$E$18="C/LW/RW",VLOOKUP(B317,LW!A1:F152,6,FALSE),VLOOKUP(B317,F!A1:F392,6,FALSE))</f>
        <v>-157.47654607122243</v>
      </c>
      <c r="L317" s="53">
        <f>IFERROR(K317/H317,"N/A")</f>
        <v>-52.49218202374081</v>
      </c>
      <c r="M317" s="54">
        <f>IF(Settings!$E$9="YAHOO",VLOOKUP(B317,ADP!A1:E665,2,FALSE),IF(Settings!$E$9="ESPN",VLOOKUP(B317,ADP!A1:E665,3,FALSE),IF(Settings!$E$9="FANTRAX",VLOOKUP(B317,ADP!A1:E665,4,FALSE),VLOOKUP(B317,ADP!A1:E665,5,FALSE))))</f>
        <v>187</v>
      </c>
      <c r="N317" s="54">
        <f>IFERROR(M317-A317,"N/A")</f>
        <v>-129</v>
      </c>
      <c r="O317" s="54"/>
      <c r="P317" s="55" t="str">
        <f>IF(Settings!$E$27="ON",VLOOKUP(B317,ADP!A1:H665,8,FALSE)," ")</f>
        <v xml:space="preserve"> </v>
      </c>
      <c r="Q317" s="56">
        <f>IF(Settings!$E$12="YES",VLOOKUP(B317,'Player Data'!A1:E667,5,FALSE),82)</f>
        <v>79.887500000000003</v>
      </c>
      <c r="R317" s="54">
        <f>VLOOKUP(B317,'Player Data'!$A1:$AE667,6,FALSE)</f>
        <v>14.8915787678441</v>
      </c>
      <c r="S317" s="56">
        <f>VLOOKUP(B317,'Player Data'!$A1:$AE667,7,FALSE)*$Q317*IFERROR((VLOOKUP(P317,Settings!$E$28:$F$33,2,FALSE)+1),1)</f>
        <v>13.158677979365915</v>
      </c>
      <c r="T317" s="56">
        <f>VLOOKUP(B317,'Player Data'!$A1:$AE667,8,FALSE)*$Q317*IFERROR((VLOOKUP(P317,Settings!$E$28:$F$33,2,FALSE)+1),1)</f>
        <v>23.459594045935816</v>
      </c>
      <c r="U317" s="56">
        <f>SUM(S317:T317)</f>
        <v>36.618272025301735</v>
      </c>
      <c r="V317" s="56">
        <f>VLOOKUP(B317,'Player Data'!$A1:$AE667,10,FALSE)*$Q317*IFERROR(((VLOOKUP(P317,Settings!$E$28:$F$33,2,FALSE)/2)+1),1)</f>
        <v>182.49834651239851</v>
      </c>
      <c r="W317" s="56">
        <f>VLOOKUP(B317,'Player Data'!$A1:$AE667,11,FALSE)*$Q317*IFERROR((VLOOKUP(P317,Settings!$E$28:$F$33,2,FALSE)+1),1)</f>
        <v>3.4317857071048885</v>
      </c>
      <c r="X317" s="56">
        <f>VLOOKUP(B317,'Player Data'!$A1:$AE667,12,FALSE)*$Q317*IFERROR((VLOOKUP(P317,Settings!$E$28:$F$33,2,FALSE)+1),1)</f>
        <v>7.9691220350253138</v>
      </c>
      <c r="Y317" s="56">
        <f>VLOOKUP(B317,'Player Data'!$A1:$AE667,13,FALSE)*$Q317</f>
        <v>1.4390833987220289E-2</v>
      </c>
      <c r="Z317" s="56">
        <f>VLOOKUP(B317,'Player Data'!$A1:$AE667,14,FALSE)*$Q317</f>
        <v>2.495558125118898E-2</v>
      </c>
      <c r="AA317" s="56">
        <f>VLOOKUP(B317,'Player Data'!$A1:$AE667,15,FALSE)*$Q317</f>
        <v>28.973798565792727</v>
      </c>
      <c r="AB317" s="56">
        <f>VLOOKUP(B317,'Player Data'!$A1:$AE667,16,FALSE)*$Q317</f>
        <v>82.031248877020573</v>
      </c>
      <c r="AC317" s="56">
        <f>VLOOKUP(B317,'Player Data'!$A1:$AE667,17,FALSE)*$Q317*IFERROR((VLOOKUP(P317,Settings!$E$28:$F$33,2,FALSE)+1),1)</f>
        <v>6.4688416042042265</v>
      </c>
      <c r="AD317" s="56">
        <f>VLOOKUP(B317,'Player Data'!$A1:$AE667,18,FALSE)*$Q317</f>
        <v>27.941736429663763</v>
      </c>
      <c r="AE317" s="56">
        <f>VLOOKUP(B317,'Player Data'!$A1:$AE667,19,FALSE)*$Q317*IFERROR((VLOOKUP(P317,Settings!$E$28:$F$33,2,FALSE)+1),1)</f>
        <v>2.2417351523025668</v>
      </c>
      <c r="AF317" s="56">
        <f>VLOOKUP(B317,'Player Data'!$A1:$AE667,20,FALSE)*$Q317</f>
        <v>63.043341136853712</v>
      </c>
      <c r="AG317" s="56">
        <f>VLOOKUP(B317,'Player Data'!$A1:$AE667,21,FALSE)*$Q317</f>
        <v>65.28103250760887</v>
      </c>
      <c r="AH317" s="58">
        <f>VLOOKUP(B317,'Player Data'!$A1:$AE667,22,FALSE)</f>
        <v>0.49128111321643803</v>
      </c>
      <c r="AI317" s="54"/>
      <c r="AJ317" s="56"/>
      <c r="AK317" s="56"/>
      <c r="AL317" s="56"/>
      <c r="AM317" s="56"/>
      <c r="AN317" s="56"/>
      <c r="AO317" s="56"/>
      <c r="AP317" s="56"/>
      <c r="AQ317" s="59"/>
      <c r="AR317" s="60"/>
      <c r="AS317" s="54"/>
    </row>
    <row r="318" spans="1:45" ht="21.25" customHeight="1" x14ac:dyDescent="0.15">
      <c r="A318" s="45">
        <f>RANK(K318,K$1:K$665)</f>
        <v>317</v>
      </c>
      <c r="B318" s="9" t="s">
        <v>443</v>
      </c>
      <c r="C318" s="46" t="s">
        <v>127</v>
      </c>
      <c r="D318" s="47" t="str">
        <f>VLOOKUP(B318,'Player Data'!A1:D667,4,FALSE)</f>
        <v>D</v>
      </c>
      <c r="E318" s="66">
        <f>VLOOKUP(B318,D!A1:C213,3,FALSE)</f>
        <v>104</v>
      </c>
      <c r="F318" s="55" t="str">
        <f>VLOOKUP(B318,'Player Data'!A1:B667,2,FALSE)</f>
        <v>CHI</v>
      </c>
      <c r="G318" s="69">
        <f>VLOOKUP(B318,'Player Data'!A1:D667,3,FALSE)</f>
        <v>23</v>
      </c>
      <c r="H318" s="50">
        <f>IFERROR(VLOOKUP(B318,ADP!A1:G665,7,FALSE)/1000000,VLOOKUP(B318,ADP!A1:G665,7,FALSE))</f>
        <v>4.5999999999999996</v>
      </c>
      <c r="I318" s="51">
        <f>IF(Settings!$E$15="POINTS",((R318*Q318)*Settings!$B$12)+(S318*Settings!$B$2)+(T318*Settings!$B$3)+(U318*Settings!$B$4)+(V318*Settings!$B$5)+(X318*Settings!$B$9)+(AA318*Settings!$B$6)+(W318*Settings!$B$8)+(AB318*Settings!$B$7)+(AC318*Settings!$B$14)+(AD318*Settings!$B$15)+(AE318*Settings!$B$16)+(AF318*Settings!$B$17)+(AG318*Settings!$B$18)+(U318*Settings!$B$13)+(Y318*Settings!$B$10)+(Z318*Settings!$B$11),VLOOKUP(B318,'Standard Deviations'!A1:C666,3,FALSE))</f>
        <v>177.92240141125376</v>
      </c>
      <c r="J318" s="52">
        <f>IF(D318="G",I318/AJ318,I318/Q318)</f>
        <v>2.3889416456144974</v>
      </c>
      <c r="K318" s="51">
        <f>VLOOKUP(B318,D!A1:F213,6,FALSE)</f>
        <v>-158.31172363434115</v>
      </c>
      <c r="L318" s="53">
        <f>IFERROR(K318/H318,"N/A")</f>
        <v>-34.415592094421989</v>
      </c>
      <c r="M318" s="83" t="str">
        <f>IF(Settings!$E$9="YAHOO",VLOOKUP(B318,ADP!A1:E665,2,FALSE),IF(Settings!$E$9="ESPN",VLOOKUP(B318,ADP!A1:E665,3,FALSE),IF(Settings!$E$9="FANTRAX",VLOOKUP(B318,ADP!A1:E665,4,FALSE),VLOOKUP(B318,ADP!A1:E665,5,FALSE))))</f>
        <v>—</v>
      </c>
      <c r="N318" s="83" t="str">
        <f>IFERROR(M318-A318,"N/A")</f>
        <v>N/A</v>
      </c>
      <c r="O318" s="54"/>
      <c r="P318" s="55" t="str">
        <f>IF(Settings!$E$27="ON",VLOOKUP(B318,ADP!A1:H665,8,FALSE)," ")</f>
        <v xml:space="preserve"> </v>
      </c>
      <c r="Q318" s="56">
        <f>IF(Settings!$E$12="YES",VLOOKUP(B318,'Player Data'!A1:E667,5,FALSE),82)</f>
        <v>74.477500000000006</v>
      </c>
      <c r="R318" s="54">
        <f>VLOOKUP(B318,'Player Data'!$A1:$AE667,6,FALSE)</f>
        <v>21.721877226742901</v>
      </c>
      <c r="S318" s="56">
        <f>VLOOKUP(B318,'Player Data'!$A1:$AE667,7,FALSE)*$Q318*IFERROR((VLOOKUP(P318,Settings!$E$28:$F$33,2,FALSE)+1),1)</f>
        <v>3.6694486236444153</v>
      </c>
      <c r="T318" s="56">
        <f>VLOOKUP(B318,'Player Data'!$A1:$AE667,8,FALSE)*$Q318*IFERROR((VLOOKUP(P318,Settings!$E$28:$F$33,2,FALSE)+1),1)</f>
        <v>17.545427375172533</v>
      </c>
      <c r="U318" s="56">
        <f>SUM(S318:T318)</f>
        <v>21.21487599881695</v>
      </c>
      <c r="V318" s="56">
        <f>VLOOKUP(B318,'Player Data'!$A1:$AE667,10,FALSE)*$Q318*IFERROR(((VLOOKUP(P318,Settings!$E$28:$F$33,2,FALSE)/2)+1),1)</f>
        <v>79.519343844433791</v>
      </c>
      <c r="W318" s="56">
        <f>VLOOKUP(B318,'Player Data'!$A1:$AE667,11,FALSE)*$Q318*IFERROR((VLOOKUP(P318,Settings!$E$28:$F$33,2,FALSE)+1),1)</f>
        <v>0.21860312811655941</v>
      </c>
      <c r="X318" s="56">
        <f>VLOOKUP(B318,'Player Data'!$A1:$AE667,12,FALSE)*$Q318*IFERROR((VLOOKUP(P318,Settings!$E$28:$F$33,2,FALSE)+1),1)</f>
        <v>2.6606781783838191</v>
      </c>
      <c r="Y318" s="56">
        <f>VLOOKUP(B318,'Player Data'!$A1:$AE667,13,FALSE)*$Q318</f>
        <v>5.3413555086719286E-2</v>
      </c>
      <c r="Z318" s="56">
        <f>VLOOKUP(B318,'Player Data'!$A1:$AE667,14,FALSE)*$Q318</f>
        <v>0.22388755658779227</v>
      </c>
      <c r="AA318" s="56">
        <f>VLOOKUP(B318,'Player Data'!$A1:$AE667,15,FALSE)*$Q318</f>
        <v>143.26707151522885</v>
      </c>
      <c r="AB318" s="56">
        <f>VLOOKUP(B318,'Player Data'!$A1:$AE667,16,FALSE)*$Q318</f>
        <v>68.790756008139169</v>
      </c>
      <c r="AC318" s="56">
        <f>VLOOKUP(B318,'Player Data'!$A1:$AE667,17,FALSE)*$Q318*IFERROR((VLOOKUP(P318,Settings!$E$28:$F$33,2,FALSE)+1),1)</f>
        <v>-4.5033691820392319</v>
      </c>
      <c r="AD318" s="56">
        <f>VLOOKUP(B318,'Player Data'!$A1:$AE667,18,FALSE)*$Q318</f>
        <v>34.258737531201824</v>
      </c>
      <c r="AE318" s="56">
        <f>VLOOKUP(B318,'Player Data'!$A1:$AE667,19,FALSE)*$Q318*IFERROR((VLOOKUP(P318,Settings!$E$28:$F$33,2,FALSE)+1),1)</f>
        <v>0.47422209308297186</v>
      </c>
      <c r="AF318" s="56">
        <f>VLOOKUP(B318,'Player Data'!$A1:$AE667,20,FALSE)*$Q318</f>
        <v>0</v>
      </c>
      <c r="AG318" s="56">
        <f>VLOOKUP(B318,'Player Data'!$A1:$AE667,21,FALSE)*$Q318</f>
        <v>0</v>
      </c>
      <c r="AH318" s="58">
        <f>VLOOKUP(B318,'Player Data'!$A1:$AE667,22,FALSE)</f>
        <v>0</v>
      </c>
      <c r="AI318" s="54"/>
      <c r="AJ318" s="56"/>
      <c r="AK318" s="56"/>
      <c r="AL318" s="56"/>
      <c r="AM318" s="56"/>
      <c r="AN318" s="56"/>
      <c r="AO318" s="56"/>
      <c r="AP318" s="56"/>
      <c r="AQ318" s="59"/>
      <c r="AR318" s="60"/>
      <c r="AS318" s="54"/>
    </row>
    <row r="319" spans="1:45" ht="21.25" customHeight="1" x14ac:dyDescent="0.15">
      <c r="A319" s="45">
        <f>RANK(K319,K$1:K$665)</f>
        <v>318</v>
      </c>
      <c r="B319" s="9" t="s">
        <v>444</v>
      </c>
      <c r="C319" s="46" t="s">
        <v>127</v>
      </c>
      <c r="D319" s="47" t="str">
        <f>VLOOKUP(B319,'Player Data'!A1:D667,4,FALSE)</f>
        <v>D</v>
      </c>
      <c r="E319" s="66">
        <f>VLOOKUP(B319,D!A1:C213,3,FALSE)</f>
        <v>105</v>
      </c>
      <c r="F319" s="77" t="str">
        <f>VLOOKUP(B319,'Player Data'!A1:B667,2,FALSE)</f>
        <v>S.J</v>
      </c>
      <c r="G319" s="69">
        <f>VLOOKUP(B319,'Player Data'!A1:D667,3,FALSE)</f>
        <v>23</v>
      </c>
      <c r="H319" s="50">
        <f>IFERROR(VLOOKUP(B319,ADP!A1:G665,7,FALSE)/1000000,VLOOKUP(B319,ADP!A1:G665,7,FALSE))</f>
        <v>1</v>
      </c>
      <c r="I319" s="51">
        <f>IF(Settings!$E$15="POINTS",((R319*Q319)*Settings!$B$12)+(S319*Settings!$B$2)+(T319*Settings!$B$3)+(U319*Settings!$B$4)+(V319*Settings!$B$5)+(X319*Settings!$B$9)+(AA319*Settings!$B$6)+(W319*Settings!$B$8)+(AB319*Settings!$B$7)+(AC319*Settings!$B$14)+(AD319*Settings!$B$15)+(AE319*Settings!$B$16)+(AF319*Settings!$B$17)+(AG319*Settings!$B$18)+(U319*Settings!$B$13)+(Y319*Settings!$B$10)+(Z319*Settings!$B$11),VLOOKUP(B319,'Standard Deviations'!A1:C666,3,FALSE))</f>
        <v>177.18194352419883</v>
      </c>
      <c r="J319" s="52">
        <f>IF(D319="G",I319/AJ319,I319/Q319)</f>
        <v>2.6931439964158508</v>
      </c>
      <c r="K319" s="51">
        <f>VLOOKUP(B319,D!A1:F213,6,FALSE)</f>
        <v>-159.05218152139608</v>
      </c>
      <c r="L319" s="53">
        <f>IFERROR(K319/H319,"N/A")</f>
        <v>-159.05218152139608</v>
      </c>
      <c r="M319" s="83" t="str">
        <f>IF(Settings!$E$9="YAHOO",VLOOKUP(B319,ADP!A1:E665,2,FALSE),IF(Settings!$E$9="ESPN",VLOOKUP(B319,ADP!A1:E665,3,FALSE),IF(Settings!$E$9="FANTRAX",VLOOKUP(B319,ADP!A1:E665,4,FALSE),VLOOKUP(B319,ADP!A1:E665,5,FALSE))))</f>
        <v>—</v>
      </c>
      <c r="N319" s="83" t="str">
        <f>IFERROR(M319-A319,"N/A")</f>
        <v>N/A</v>
      </c>
      <c r="O319" s="54"/>
      <c r="P319" s="55" t="str">
        <f>IF(Settings!$E$27="ON",VLOOKUP(B319,ADP!A1:H665,8,FALSE)," ")</f>
        <v xml:space="preserve"> </v>
      </c>
      <c r="Q319" s="56">
        <f>IF(Settings!$E$12="YES",VLOOKUP(B319,'Player Data'!A1:E667,5,FALSE),82)</f>
        <v>65.790000000000006</v>
      </c>
      <c r="R319" s="54">
        <f>VLOOKUP(B319,'Player Data'!$A1:$AE667,6,FALSE)</f>
        <v>19.895240378052598</v>
      </c>
      <c r="S319" s="56">
        <f>VLOOKUP(B319,'Player Data'!$A1:$AE667,7,FALSE)*$Q319*IFERROR((VLOOKUP(P319,Settings!$E$28:$F$33,2,FALSE)+1),1)</f>
        <v>6.8392948656891095</v>
      </c>
      <c r="T319" s="56">
        <f>VLOOKUP(B319,'Player Data'!$A1:$AE667,8,FALSE)*$Q319*IFERROR((VLOOKUP(P319,Settings!$E$28:$F$33,2,FALSE)+1),1)</f>
        <v>19.869880321872955</v>
      </c>
      <c r="U319" s="56">
        <f>SUM(S319:T319)</f>
        <v>26.709175187562064</v>
      </c>
      <c r="V319" s="56">
        <f>VLOOKUP(B319,'Player Data'!$A1:$AE667,10,FALSE)*$Q319*IFERROR(((VLOOKUP(P319,Settings!$E$28:$F$33,2,FALSE)/2)+1),1)</f>
        <v>76.164196410222473</v>
      </c>
      <c r="W319" s="56">
        <f>VLOOKUP(B319,'Player Data'!$A1:$AE667,11,FALSE)*$Q319*IFERROR((VLOOKUP(P319,Settings!$E$28:$F$33,2,FALSE)+1),1)</f>
        <v>4.9259785418135422</v>
      </c>
      <c r="X319" s="78">
        <f>VLOOKUP(B319,'Player Data'!$A1:$AE667,12,FALSE)*$Q319*IFERROR((VLOOKUP(P319,Settings!$E$28:$F$33,2,FALSE)+1),1)</f>
        <v>14.979622885013276</v>
      </c>
      <c r="Y319" s="56">
        <f>VLOOKUP(B319,'Player Data'!$A1:$AE667,13,FALSE)*$Q319</f>
        <v>1.8360800197633014E-2</v>
      </c>
      <c r="Z319" s="56">
        <f>VLOOKUP(B319,'Player Data'!$A1:$AE667,14,FALSE)*$Q319</f>
        <v>9.0325445886623154E-2</v>
      </c>
      <c r="AA319" s="56">
        <f>VLOOKUP(B319,'Player Data'!$A1:$AE667,15,FALSE)*$Q319</f>
        <v>87.804742851002956</v>
      </c>
      <c r="AB319" s="56">
        <f>VLOOKUP(B319,'Player Data'!$A1:$AE667,16,FALSE)*$Q319</f>
        <v>54.699530462557703</v>
      </c>
      <c r="AC319" s="56">
        <f>VLOOKUP(B319,'Player Data'!$A1:$AE667,17,FALSE)*$Q319*IFERROR((VLOOKUP(P319,Settings!$E$28:$F$33,2,FALSE)+1),1)</f>
        <v>-9.1881491426985935</v>
      </c>
      <c r="AD319" s="56">
        <f>VLOOKUP(B319,'Player Data'!$A1:$AE667,18,FALSE)*$Q319</f>
        <v>25.145763337772255</v>
      </c>
      <c r="AE319" s="56">
        <f>VLOOKUP(B319,'Player Data'!$A1:$AE667,19,FALSE)*$Q319*IFERROR((VLOOKUP(P319,Settings!$E$28:$F$33,2,FALSE)+1),1)</f>
        <v>0.73050593895673988</v>
      </c>
      <c r="AF319" s="56">
        <f>VLOOKUP(B319,'Player Data'!$A1:$AE667,20,FALSE)*$Q319</f>
        <v>0</v>
      </c>
      <c r="AG319" s="56">
        <f>VLOOKUP(B319,'Player Data'!$A1:$AE667,21,FALSE)*$Q319</f>
        <v>0</v>
      </c>
      <c r="AH319" s="58">
        <f>VLOOKUP(B319,'Player Data'!$A1:$AE667,22,FALSE)</f>
        <v>0</v>
      </c>
      <c r="AI319" s="54"/>
      <c r="AJ319" s="56"/>
      <c r="AK319" s="56"/>
      <c r="AL319" s="56"/>
      <c r="AM319" s="56"/>
      <c r="AN319" s="56"/>
      <c r="AO319" s="56"/>
      <c r="AP319" s="56"/>
      <c r="AQ319" s="59"/>
      <c r="AR319" s="60"/>
      <c r="AS319" s="54"/>
    </row>
    <row r="320" spans="1:45" ht="21.25" customHeight="1" x14ac:dyDescent="0.15">
      <c r="A320" s="45">
        <f>RANK(K320,K$1:K$665)</f>
        <v>319</v>
      </c>
      <c r="B320" s="9" t="s">
        <v>445</v>
      </c>
      <c r="C320" s="46" t="s">
        <v>127</v>
      </c>
      <c r="D320" s="47" t="str">
        <f>VLOOKUP(B320,'Player Data'!A1:D667,4,FALSE)</f>
        <v>D</v>
      </c>
      <c r="E320" s="66">
        <f>VLOOKUP(B320,D!A1:C213,3,FALSE)</f>
        <v>106</v>
      </c>
      <c r="F320" s="55" t="str">
        <f>VLOOKUP(B320,'Player Data'!A1:B667,2,FALSE)</f>
        <v>N.J</v>
      </c>
      <c r="G320" s="69">
        <f>VLOOKUP(B320,'Player Data'!A1:D667,3,FALSE)</f>
        <v>20</v>
      </c>
      <c r="H320" s="50">
        <f>IFERROR(VLOOKUP(B320,ADP!A1:G665,7,FALSE)/1000000,VLOOKUP(B320,ADP!A1:G665,7,FALSE))</f>
        <v>0.91833299999999995</v>
      </c>
      <c r="I320" s="51">
        <f>IF(Settings!$E$15="POINTS",((R320*Q320)*Settings!$B$12)+(S320*Settings!$B$2)+(T320*Settings!$B$3)+(U320*Settings!$B$4)+(V320*Settings!$B$5)+(X320*Settings!$B$9)+(AA320*Settings!$B$6)+(W320*Settings!$B$8)+(AB320*Settings!$B$7)+(AC320*Settings!$B$14)+(AD320*Settings!$B$15)+(AE320*Settings!$B$16)+(AF320*Settings!$B$17)+(AG320*Settings!$B$18)+(U320*Settings!$B$13)+(Y320*Settings!$B$10)+(Z320*Settings!$B$11),VLOOKUP(B320,'Standard Deviations'!A1:C666,3,FALSE))</f>
        <v>175.19511915637472</v>
      </c>
      <c r="J320" s="52">
        <f>IF(D320="G",I320/AJ320,I320/Q320)</f>
        <v>2.29688782899213</v>
      </c>
      <c r="K320" s="51">
        <f>VLOOKUP(B320,D!A1:F213,6,FALSE)</f>
        <v>-161.03900588922019</v>
      </c>
      <c r="L320" s="53">
        <f>IFERROR(K320/H320,"N/A")</f>
        <v>-175.3601426598197</v>
      </c>
      <c r="M320" s="83" t="str">
        <f>IF(Settings!$E$9="YAHOO",VLOOKUP(B320,ADP!A1:E665,2,FALSE),IF(Settings!$E$9="ESPN",VLOOKUP(B320,ADP!A1:E665,3,FALSE),IF(Settings!$E$9="FANTRAX",VLOOKUP(B320,ADP!A1:E665,4,FALSE),VLOOKUP(B320,ADP!A1:E665,5,FALSE))))</f>
        <v>—</v>
      </c>
      <c r="N320" s="83" t="str">
        <f>IFERROR(M320-A320,"N/A")</f>
        <v>N/A</v>
      </c>
      <c r="O320" s="54"/>
      <c r="P320" s="55" t="str">
        <f>IF(Settings!$E$27="ON",VLOOKUP(B320,ADP!A1:H665,8,FALSE)," ")</f>
        <v xml:space="preserve"> </v>
      </c>
      <c r="Q320" s="56">
        <f>IF(Settings!$E$12="YES",VLOOKUP(B320,'Player Data'!A1:E667,5,FALSE),82)</f>
        <v>76.275000000000006</v>
      </c>
      <c r="R320" s="81">
        <f>VLOOKUP(B320,'Player Data'!$A1:$AE667,6,FALSE)</f>
        <v>18.587845484889399</v>
      </c>
      <c r="S320" s="56">
        <f>VLOOKUP(B320,'Player Data'!$A1:$AE667,7,FALSE)*$Q320*IFERROR((VLOOKUP(P320,Settings!$E$28:$F$33,2,FALSE)+1),1)</f>
        <v>4.1393616139728842</v>
      </c>
      <c r="T320" s="56">
        <f>VLOOKUP(B320,'Player Data'!$A1:$AE667,8,FALSE)*$Q320*IFERROR((VLOOKUP(P320,Settings!$E$28:$F$33,2,FALSE)+1),1)</f>
        <v>18.885282169340343</v>
      </c>
      <c r="U320" s="56">
        <f>SUM(S320:T320)</f>
        <v>23.024643783313227</v>
      </c>
      <c r="V320" s="56">
        <f>VLOOKUP(B320,'Player Data'!$A1:$AE667,10,FALSE)*$Q320*IFERROR(((VLOOKUP(P320,Settings!$E$28:$F$33,2,FALSE)/2)+1),1)</f>
        <v>85.186307854256412</v>
      </c>
      <c r="W320" s="56">
        <f>VLOOKUP(B320,'Player Data'!$A1:$AE667,11,FALSE)*$Q320*IFERROR((VLOOKUP(P320,Settings!$E$28:$F$33,2,FALSE)+1),1)</f>
        <v>0.17360572133159388</v>
      </c>
      <c r="X320" s="56">
        <f>VLOOKUP(B320,'Player Data'!$A1:$AE667,12,FALSE)*$Q320*IFERROR((VLOOKUP(P320,Settings!$E$28:$F$33,2,FALSE)+1),1)</f>
        <v>2.1102124726548181</v>
      </c>
      <c r="Y320" s="56">
        <f>VLOOKUP(B320,'Player Data'!$A1:$AE667,13,FALSE)*$Q320</f>
        <v>3.6803162802014948E-2</v>
      </c>
      <c r="Z320" s="56">
        <f>VLOOKUP(B320,'Player Data'!$A1:$AE667,14,FALSE)*$Q320</f>
        <v>0.1779225916923898</v>
      </c>
      <c r="AA320" s="56">
        <f>VLOOKUP(B320,'Player Data'!$A1:$AE667,15,FALSE)*$Q320</f>
        <v>122.47979762991926</v>
      </c>
      <c r="AB320" s="56">
        <f>VLOOKUP(B320,'Player Data'!$A1:$AE667,16,FALSE)*$Q320</f>
        <v>56.637854285456243</v>
      </c>
      <c r="AC320" s="56">
        <f>VLOOKUP(B320,'Player Data'!$A1:$AE667,17,FALSE)*$Q320*IFERROR((VLOOKUP(P320,Settings!$E$28:$F$33,2,FALSE)+1),1)</f>
        <v>2.9095940045849078</v>
      </c>
      <c r="AD320" s="56">
        <f>VLOOKUP(B320,'Player Data'!$A1:$AE667,18,FALSE)*$Q320</f>
        <v>37.482695842037295</v>
      </c>
      <c r="AE320" s="56">
        <f>VLOOKUP(B320,'Player Data'!$A1:$AE667,19,FALSE)*$Q320*IFERROR((VLOOKUP(P320,Settings!$E$28:$F$33,2,FALSE)+1),1)</f>
        <v>0.6245316519005264</v>
      </c>
      <c r="AF320" s="56">
        <f>VLOOKUP(B320,'Player Data'!$A1:$AE667,20,FALSE)*$Q320</f>
        <v>0</v>
      </c>
      <c r="AG320" s="56">
        <f>VLOOKUP(B320,'Player Data'!$A1:$AE667,21,FALSE)*$Q320</f>
        <v>0</v>
      </c>
      <c r="AH320" s="58">
        <f>VLOOKUP(B320,'Player Data'!$A1:$AE667,22,FALSE)</f>
        <v>0</v>
      </c>
      <c r="AI320" s="54"/>
      <c r="AJ320" s="56"/>
      <c r="AK320" s="56"/>
      <c r="AL320" s="56"/>
      <c r="AM320" s="56"/>
      <c r="AN320" s="56"/>
      <c r="AO320" s="56"/>
      <c r="AP320" s="56"/>
      <c r="AQ320" s="59"/>
      <c r="AR320" s="60"/>
      <c r="AS320" s="54"/>
    </row>
    <row r="321" spans="1:45" ht="21.25" customHeight="1" x14ac:dyDescent="0.15">
      <c r="A321" s="45">
        <f>RANK(K321,K$1:K$665)</f>
        <v>320</v>
      </c>
      <c r="B321" s="9" t="s">
        <v>446</v>
      </c>
      <c r="C321" s="46" t="s">
        <v>127</v>
      </c>
      <c r="D321" s="47" t="str">
        <f>VLOOKUP(B321,'Player Data'!A1:D667,4,FALSE)</f>
        <v>D</v>
      </c>
      <c r="E321" s="66">
        <f>VLOOKUP(B321,D!A1:C213,3,FALSE)</f>
        <v>107</v>
      </c>
      <c r="F321" s="77" t="str">
        <f>VLOOKUP(B321,'Player Data'!A1:B667,2,FALSE)</f>
        <v>CBJ</v>
      </c>
      <c r="G321" s="63">
        <f>VLOOKUP(B321,'Player Data'!A1:D667,3,FALSE)</f>
        <v>32</v>
      </c>
      <c r="H321" s="50">
        <f>IFERROR(VLOOKUP(B321,ADP!A1:G665,7,FALSE)/1000000,VLOOKUP(B321,ADP!A1:G665,7,FALSE))</f>
        <v>4</v>
      </c>
      <c r="I321" s="51">
        <f>IF(Settings!$E$15="POINTS",((R321*Q321)*Settings!$B$12)+(S321*Settings!$B$2)+(T321*Settings!$B$3)+(U321*Settings!$B$4)+(V321*Settings!$B$5)+(X321*Settings!$B$9)+(AA321*Settings!$B$6)+(W321*Settings!$B$8)+(AB321*Settings!$B$7)+(AC321*Settings!$B$14)+(AD321*Settings!$B$15)+(AE321*Settings!$B$16)+(AF321*Settings!$B$17)+(AG321*Settings!$B$18)+(U321*Settings!$B$13)+(Y321*Settings!$B$10)+(Z321*Settings!$B$11),VLOOKUP(B321,'Standard Deviations'!A1:C666,3,FALSE))</f>
        <v>175.04919157573968</v>
      </c>
      <c r="J321" s="52">
        <f>IF(D321="G",I321/AJ321,I321/Q321)</f>
        <v>2.2082653157025316</v>
      </c>
      <c r="K321" s="51">
        <f>VLOOKUP(B321,D!A1:F213,6,FALSE)</f>
        <v>-161.18493346985522</v>
      </c>
      <c r="L321" s="53">
        <f>IFERROR(K321/H321,"N/A")</f>
        <v>-40.296233367463806</v>
      </c>
      <c r="M321" s="83" t="str">
        <f>IF(Settings!$E$9="YAHOO",VLOOKUP(B321,ADP!A1:E665,2,FALSE),IF(Settings!$E$9="ESPN",VLOOKUP(B321,ADP!A1:E665,3,FALSE),IF(Settings!$E$9="FANTRAX",VLOOKUP(B321,ADP!A1:E665,4,FALSE),VLOOKUP(B321,ADP!A1:E665,5,FALSE))))</f>
        <v>—</v>
      </c>
      <c r="N321" s="83" t="str">
        <f>IFERROR(M321-A321,"N/A")</f>
        <v>N/A</v>
      </c>
      <c r="O321" s="54"/>
      <c r="P321" s="55" t="str">
        <f>IF(Settings!$E$27="ON",VLOOKUP(B321,ADP!A1:H665,8,FALSE)," ")</f>
        <v xml:space="preserve"> </v>
      </c>
      <c r="Q321" s="56">
        <f>IF(Settings!$E$12="YES",VLOOKUP(B321,'Player Data'!A1:E667,5,FALSE),82)</f>
        <v>79.27</v>
      </c>
      <c r="R321" s="54">
        <f>VLOOKUP(B321,'Player Data'!$A1:$AE667,6,FALSE)</f>
        <v>18.756767288055901</v>
      </c>
      <c r="S321" s="56">
        <f>VLOOKUP(B321,'Player Data'!$A1:$AE667,7,FALSE)*$Q321*IFERROR((VLOOKUP(P321,Settings!$E$28:$F$33,2,FALSE)+1),1)</f>
        <v>3.487607232919852</v>
      </c>
      <c r="T321" s="56">
        <f>VLOOKUP(B321,'Player Data'!$A1:$AE667,8,FALSE)*$Q321*IFERROR((VLOOKUP(P321,Settings!$E$28:$F$33,2,FALSE)+1),1)</f>
        <v>13.818637036120702</v>
      </c>
      <c r="U321" s="56">
        <f>SUM(S321:T321)</f>
        <v>17.306244269040555</v>
      </c>
      <c r="V321" s="56">
        <f>VLOOKUP(B321,'Player Data'!$A1:$AE667,10,FALSE)*$Q321*IFERROR(((VLOOKUP(P321,Settings!$E$28:$F$33,2,FALSE)/2)+1),1)</f>
        <v>92.568826016401445</v>
      </c>
      <c r="W321" s="56">
        <f>VLOOKUP(B321,'Player Data'!$A1:$AE667,11,FALSE)*$Q321*IFERROR((VLOOKUP(P321,Settings!$E$28:$F$33,2,FALSE)+1),1)</f>
        <v>1.7542775843384102E-2</v>
      </c>
      <c r="X321" s="56">
        <f>VLOOKUP(B321,'Player Data'!$A1:$AE667,12,FALSE)*$Q321*IFERROR((VLOOKUP(P321,Settings!$E$28:$F$33,2,FALSE)+1),1)</f>
        <v>0.11784959671826892</v>
      </c>
      <c r="Y321" s="56">
        <f>VLOOKUP(B321,'Player Data'!$A1:$AE667,13,FALSE)*$Q321</f>
        <v>2.7166535164600658E-2</v>
      </c>
      <c r="Z321" s="56">
        <f>VLOOKUP(B321,'Player Data'!$A1:$AE667,14,FALSE)*$Q321</f>
        <v>0.5870071196109341</v>
      </c>
      <c r="AA321" s="56">
        <f>VLOOKUP(B321,'Player Data'!$A1:$AE667,15,FALSE)*$Q321</f>
        <v>152.28237808817613</v>
      </c>
      <c r="AB321" s="56">
        <f>VLOOKUP(B321,'Player Data'!$A1:$AE667,16,FALSE)*$Q321</f>
        <v>101.55795752588739</v>
      </c>
      <c r="AC321" s="56">
        <f>VLOOKUP(B321,'Player Data'!$A1:$AE667,17,FALSE)*$Q321*IFERROR((VLOOKUP(P321,Settings!$E$28:$F$33,2,FALSE)+1),1)</f>
        <v>-9.2119036272992663</v>
      </c>
      <c r="AD321" s="56">
        <f>VLOOKUP(B321,'Player Data'!$A1:$AE667,18,FALSE)*$Q321</f>
        <v>54.666378439413521</v>
      </c>
      <c r="AE321" s="56">
        <f>VLOOKUP(B321,'Player Data'!$A1:$AE667,19,FALSE)*$Q321*IFERROR((VLOOKUP(P321,Settings!$E$28:$F$33,2,FALSE)+1),1)</f>
        <v>0.38567477587980897</v>
      </c>
      <c r="AF321" s="56">
        <f>VLOOKUP(B321,'Player Data'!$A1:$AE667,20,FALSE)*$Q321</f>
        <v>0</v>
      </c>
      <c r="AG321" s="56">
        <f>VLOOKUP(B321,'Player Data'!$A1:$AE667,21,FALSE)*$Q321</f>
        <v>0</v>
      </c>
      <c r="AH321" s="58">
        <f>VLOOKUP(B321,'Player Data'!$A1:$AE667,22,FALSE)</f>
        <v>0</v>
      </c>
      <c r="AI321" s="54"/>
      <c r="AJ321" s="64"/>
      <c r="AK321" s="56"/>
      <c r="AL321" s="56"/>
      <c r="AM321" s="56"/>
      <c r="AN321" s="56"/>
      <c r="AO321" s="56"/>
      <c r="AP321" s="56"/>
      <c r="AQ321" s="59"/>
      <c r="AR321" s="60"/>
      <c r="AS321" s="54"/>
    </row>
    <row r="322" spans="1:45" ht="21.25" customHeight="1" x14ac:dyDescent="0.15">
      <c r="A322" s="45">
        <f>RANK(K322,K$1:K$665)</f>
        <v>321</v>
      </c>
      <c r="B322" s="9" t="s">
        <v>447</v>
      </c>
      <c r="C322" s="46" t="s">
        <v>127</v>
      </c>
      <c r="D322" s="47" t="str">
        <f>VLOOKUP(B322,'Player Data'!A1:D667,4,FALSE)</f>
        <v>D</v>
      </c>
      <c r="E322" s="66">
        <f>VLOOKUP(B322,D!A1:C213,3,FALSE)</f>
        <v>108</v>
      </c>
      <c r="F322" s="65" t="str">
        <f>VLOOKUP(B322,'Player Data'!A1:B667,2,FALSE)</f>
        <v>DET</v>
      </c>
      <c r="G322" s="69">
        <f>VLOOKUP(B322,'Player Data'!A1:D667,3,FALSE)</f>
        <v>21</v>
      </c>
      <c r="H322" s="50">
        <f>IFERROR(VLOOKUP(B322,ADP!A1:G665,7,FALSE)/1000000,VLOOKUP(B322,ADP!A1:G665,7,FALSE))</f>
        <v>0.89416700000000005</v>
      </c>
      <c r="I322" s="51">
        <f>IF(Settings!$E$15="POINTS",((R322*Q322)*Settings!$B$12)+(S322*Settings!$B$2)+(T322*Settings!$B$3)+(U322*Settings!$B$4)+(V322*Settings!$B$5)+(X322*Settings!$B$9)+(AA322*Settings!$B$6)+(W322*Settings!$B$8)+(AB322*Settings!$B$7)+(AC322*Settings!$B$14)+(AD322*Settings!$B$15)+(AE322*Settings!$B$16)+(AF322*Settings!$B$17)+(AG322*Settings!$B$18)+(U322*Settings!$B$13)+(Y322*Settings!$B$10)+(Z322*Settings!$B$11),VLOOKUP(B322,'Standard Deviations'!A1:C666,3,FALSE))</f>
        <v>174.60927565291564</v>
      </c>
      <c r="J322" s="52">
        <f>IF(D322="G",I322/AJ322,I322/Q322)</f>
        <v>2.3281236753722085</v>
      </c>
      <c r="K322" s="51">
        <f>VLOOKUP(B322,D!A1:F213,6,FALSE)</f>
        <v>-161.62484939267927</v>
      </c>
      <c r="L322" s="53">
        <f>IFERROR(K322/H322,"N/A")</f>
        <v>-180.75465700778406</v>
      </c>
      <c r="M322" s="83" t="str">
        <f>IF(Settings!$E$9="YAHOO",VLOOKUP(B322,ADP!A1:E665,2,FALSE),IF(Settings!$E$9="ESPN",VLOOKUP(B322,ADP!A1:E665,3,FALSE),IF(Settings!$E$9="FANTRAX",VLOOKUP(B322,ADP!A1:E665,4,FALSE),VLOOKUP(B322,ADP!A1:E665,5,FALSE))))</f>
        <v>—</v>
      </c>
      <c r="N322" s="83" t="str">
        <f>IFERROR(M322-A322,"N/A")</f>
        <v>N/A</v>
      </c>
      <c r="O322" s="54"/>
      <c r="P322" s="55" t="str">
        <f>IF(Settings!$E$27="ON",VLOOKUP(B322,ADP!A1:H665,8,FALSE)," ")</f>
        <v xml:space="preserve"> </v>
      </c>
      <c r="Q322" s="56">
        <f>IF(Settings!$E$12="YES",VLOOKUP(B322,'Player Data'!A1:E667,5,FALSE),82)</f>
        <v>75</v>
      </c>
      <c r="R322" s="75">
        <f>VLOOKUP(B322,'Player Data'!$A1:$AE667,6,FALSE)</f>
        <v>20.108933054684499</v>
      </c>
      <c r="S322" s="56">
        <f>VLOOKUP(B322,'Player Data'!$A1:$AE667,7,FALSE)*$Q322*IFERROR((VLOOKUP(P322,Settings!$E$28:$F$33,2,FALSE)+1),1)</f>
        <v>7.9183235358304502</v>
      </c>
      <c r="T322" s="56">
        <f>VLOOKUP(B322,'Player Data'!$A1:$AE667,8,FALSE)*$Q322*IFERROR((VLOOKUP(P322,Settings!$E$28:$F$33,2,FALSE)+1),1)</f>
        <v>15.93298039273815</v>
      </c>
      <c r="U322" s="56">
        <f>SUM(S322:T322)</f>
        <v>23.851303928568601</v>
      </c>
      <c r="V322" s="56">
        <f>VLOOKUP(B322,'Player Data'!$A1:$AE667,10,FALSE)*$Q322*IFERROR(((VLOOKUP(P322,Settings!$E$28:$F$33,2,FALSE)/2)+1),1)</f>
        <v>90.72772650725625</v>
      </c>
      <c r="W322" s="56">
        <f>VLOOKUP(B322,'Player Data'!$A1:$AE667,11,FALSE)*$Q322*IFERROR((VLOOKUP(P322,Settings!$E$28:$F$33,2,FALSE)+1),1)</f>
        <v>1.5434918479184099E-2</v>
      </c>
      <c r="X322" s="56">
        <f>VLOOKUP(B322,'Player Data'!$A1:$AE667,12,FALSE)*$Q322*IFERROR((VLOOKUP(P322,Settings!$E$28:$F$33,2,FALSE)+1),1)</f>
        <v>9.9577647954558743E-2</v>
      </c>
      <c r="Y322" s="56">
        <f>VLOOKUP(B322,'Player Data'!$A1:$AE667,13,FALSE)*$Q322</f>
        <v>5.8230944117391902E-2</v>
      </c>
      <c r="Z322" s="56">
        <f>VLOOKUP(B322,'Player Data'!$A1:$AE667,14,FALSE)*$Q322</f>
        <v>0.29036067135279076</v>
      </c>
      <c r="AA322" s="56">
        <f>VLOOKUP(B322,'Player Data'!$A1:$AE667,15,FALSE)*$Q322</f>
        <v>114.60312458854875</v>
      </c>
      <c r="AB322" s="56">
        <f>VLOOKUP(B322,'Player Data'!$A1:$AE667,16,FALSE)*$Q322</f>
        <v>100.83069941454001</v>
      </c>
      <c r="AC322" s="56">
        <f>VLOOKUP(B322,'Player Data'!$A1:$AE667,17,FALSE)*$Q322*IFERROR((VLOOKUP(P322,Settings!$E$28:$F$33,2,FALSE)+1),1)</f>
        <v>-2.1540236077046777</v>
      </c>
      <c r="AD322" s="56">
        <f>VLOOKUP(B322,'Player Data'!$A1:$AE667,18,FALSE)*$Q322</f>
        <v>40.509575706823277</v>
      </c>
      <c r="AE322" s="56">
        <f>VLOOKUP(B322,'Player Data'!$A1:$AE667,19,FALSE)*$Q322*IFERROR((VLOOKUP(P322,Settings!$E$28:$F$33,2,FALSE)+1),1)</f>
        <v>1.087523657739405</v>
      </c>
      <c r="AF322" s="56">
        <f>VLOOKUP(B322,'Player Data'!$A1:$AE667,20,FALSE)*$Q322</f>
        <v>0</v>
      </c>
      <c r="AG322" s="56">
        <f>VLOOKUP(B322,'Player Data'!$A1:$AE667,21,FALSE)*$Q322</f>
        <v>0</v>
      </c>
      <c r="AH322" s="58">
        <f>VLOOKUP(B322,'Player Data'!$A1:$AE667,22,FALSE)</f>
        <v>0</v>
      </c>
      <c r="AI322" s="54"/>
      <c r="AJ322" s="56"/>
      <c r="AK322" s="56"/>
      <c r="AL322" s="56"/>
      <c r="AM322" s="56"/>
      <c r="AN322" s="56"/>
      <c r="AO322" s="56"/>
      <c r="AP322" s="56"/>
      <c r="AQ322" s="59"/>
      <c r="AR322" s="60"/>
      <c r="AS322" s="54"/>
    </row>
    <row r="323" spans="1:45" ht="21.25" customHeight="1" x14ac:dyDescent="0.15">
      <c r="A323" s="45">
        <f>RANK(K323,K$1:K$665)</f>
        <v>322</v>
      </c>
      <c r="B323" s="9" t="s">
        <v>448</v>
      </c>
      <c r="C323" s="46" t="s">
        <v>127</v>
      </c>
      <c r="D323" s="47" t="str">
        <f>VLOOKUP(B323,'Player Data'!A1:D667,4,FALSE)</f>
        <v>RW</v>
      </c>
      <c r="E323" s="61">
        <f>VLOOKUP(B323,RW!A1:F136,3,FALSE)</f>
        <v>79</v>
      </c>
      <c r="F323" s="72" t="str">
        <f>VLOOKUP(B323,'Player Data'!A1:B667,2,FALSE)</f>
        <v>CAR</v>
      </c>
      <c r="G323" s="10">
        <f>VLOOKUP(B323,'Player Data'!A1:D667,3,FALSE)</f>
        <v>27</v>
      </c>
      <c r="H323" s="67">
        <f>IFERROR(VLOOKUP(B323,ADP!A1:G665,7,FALSE)/1000000,VLOOKUP(B323,ADP!A1:G665,7,FALSE))</f>
        <v>2.8</v>
      </c>
      <c r="I323" s="51">
        <f>IF(Settings!$E$15="POINTS",((R323*Q323)*Settings!$B$12)+(S323*Settings!$B$2)+(T323*Settings!$B$3)+(U323*Settings!$B$4)+(V323*Settings!$B$5)+(X323*Settings!$B$9)+(AA323*Settings!$B$6)+(W323*Settings!$B$8)+(AB323*Settings!$B$7)+(AC323*Settings!$B$14)+(AD323*Settings!$B$15)+(AE323*Settings!$B$16)+(AF323*Settings!$B$17)+(AG323*Settings!$B$18)+(Y323*Settings!$B$10)+(Z323*Settings!$B$11),VLOOKUP(B323,'Standard Deviations'!A1:C666,3,FALSE))</f>
        <v>207.14970013963574</v>
      </c>
      <c r="J323" s="52">
        <f>IF(D323="G",I323/AJ323,I323/Q323)</f>
        <v>2.6846772957443719</v>
      </c>
      <c r="K323" s="51">
        <f>IF(Settings!$E$18="C/LW/RW",VLOOKUP(B323,RW!A1:F136,6,FALSE),VLOOKUP(B323,F!A1:F392,6,FALSE))</f>
        <v>-161.69802296665665</v>
      </c>
      <c r="L323" s="53">
        <f>IFERROR(K323/H323,"N/A")</f>
        <v>-57.749293916663092</v>
      </c>
      <c r="M323" s="83" t="str">
        <f>IF(Settings!$E$9="YAHOO",VLOOKUP(B323,ADP!A1:E665,2,FALSE),IF(Settings!$E$9="ESPN",VLOOKUP(B323,ADP!A1:E665,3,FALSE),IF(Settings!$E$9="FANTRAX",VLOOKUP(B323,ADP!A1:E665,4,FALSE),VLOOKUP(B323,ADP!A1:E665,5,FALSE))))</f>
        <v>—</v>
      </c>
      <c r="N323" s="83" t="str">
        <f>IFERROR(M323-A323,"N/A")</f>
        <v>N/A</v>
      </c>
      <c r="O323" s="54"/>
      <c r="P323" s="55" t="str">
        <f>IF(Settings!$E$27="ON",VLOOKUP(B323,ADP!A1:H665,8,FALSE)," ")</f>
        <v xml:space="preserve"> </v>
      </c>
      <c r="Q323" s="56">
        <f>IF(Settings!$E$12="YES",VLOOKUP(B323,'Player Data'!A1:E667,5,FALSE),82)</f>
        <v>77.16</v>
      </c>
      <c r="R323" s="54">
        <f>VLOOKUP(B323,'Player Data'!$A1:$AE667,6,FALSE)</f>
        <v>15.1235895865437</v>
      </c>
      <c r="S323" s="56">
        <f>VLOOKUP(B323,'Player Data'!$A1:$AE667,7,FALSE)*$Q323*IFERROR((VLOOKUP(P323,Settings!$E$28:$F$33,2,FALSE)+1),1)</f>
        <v>12.322605278717004</v>
      </c>
      <c r="T323" s="56">
        <f>VLOOKUP(B323,'Player Data'!$A1:$AE667,8,FALSE)*$Q323*IFERROR((VLOOKUP(P323,Settings!$E$28:$F$33,2,FALSE)+1),1)</f>
        <v>25.286419441634617</v>
      </c>
      <c r="U323" s="56">
        <f>SUM(S323:T323)</f>
        <v>37.60902472035162</v>
      </c>
      <c r="V323" s="56">
        <f>VLOOKUP(B323,'Player Data'!$A1:$AE667,10,FALSE)*$Q323*IFERROR(((VLOOKUP(P323,Settings!$E$28:$F$33,2,FALSE)/2)+1),1)</f>
        <v>138.70712909030885</v>
      </c>
      <c r="W323" s="56">
        <f>VLOOKUP(B323,'Player Data'!$A1:$AE667,11,FALSE)*$Q323*IFERROR((VLOOKUP(P323,Settings!$E$28:$F$33,2,FALSE)+1),1)</f>
        <v>1.609230100900946</v>
      </c>
      <c r="X323" s="56">
        <f>VLOOKUP(B323,'Player Data'!$A1:$AE667,12,FALSE)*$Q323*IFERROR((VLOOKUP(P323,Settings!$E$28:$F$33,2,FALSE)+1),1)</f>
        <v>6.2435405125993721</v>
      </c>
      <c r="Y323" s="56">
        <f>VLOOKUP(B323,'Player Data'!$A1:$AE667,13,FALSE)*$Q323</f>
        <v>0.7022293773935715</v>
      </c>
      <c r="Z323" s="56">
        <f>VLOOKUP(B323,'Player Data'!$A1:$AE667,14,FALSE)*$Q323</f>
        <v>0.93543341921508527</v>
      </c>
      <c r="AA323" s="56">
        <f>VLOOKUP(B323,'Player Data'!$A1:$AE667,15,FALSE)*$Q323</f>
        <v>35.580175003223992</v>
      </c>
      <c r="AB323" s="56">
        <f>VLOOKUP(B323,'Player Data'!$A1:$AE667,16,FALSE)*$Q323</f>
        <v>46.562229405695128</v>
      </c>
      <c r="AC323" s="56">
        <f>VLOOKUP(B323,'Player Data'!$A1:$AE667,17,FALSE)*$Q323*IFERROR((VLOOKUP(P323,Settings!$E$28:$F$33,2,FALSE)+1),1)</f>
        <v>0.29521276068726121</v>
      </c>
      <c r="AD323" s="56">
        <f>VLOOKUP(B323,'Player Data'!$A1:$AE667,18,FALSE)*$Q323</f>
        <v>18.370577950784607</v>
      </c>
      <c r="AE323" s="56">
        <f>VLOOKUP(B323,'Player Data'!$A1:$AE667,19,FALSE)*$Q323*IFERROR((VLOOKUP(P323,Settings!$E$28:$F$33,2,FALSE)+1),1)</f>
        <v>2.1353298787941206</v>
      </c>
      <c r="AF323" s="56">
        <f>VLOOKUP(B323,'Player Data'!$A1:$AE667,20,FALSE)*$Q323</f>
        <v>175.13441255012779</v>
      </c>
      <c r="AG323" s="56">
        <f>VLOOKUP(B323,'Player Data'!$A1:$AE667,21,FALSE)*$Q323</f>
        <v>224.46451262392046</v>
      </c>
      <c r="AH323" s="58">
        <f>VLOOKUP(B323,'Player Data'!$A1:$AE667,22,FALSE)</f>
        <v>0.43827548453451698</v>
      </c>
      <c r="AI323" s="54"/>
      <c r="AJ323" s="56"/>
      <c r="AK323" s="56"/>
      <c r="AL323" s="56"/>
      <c r="AM323" s="56"/>
      <c r="AN323" s="56"/>
      <c r="AO323" s="56"/>
      <c r="AP323" s="56"/>
      <c r="AQ323" s="59"/>
      <c r="AR323" s="60"/>
      <c r="AS323" s="54"/>
    </row>
    <row r="324" spans="1:45" ht="21.25" customHeight="1" x14ac:dyDescent="0.15">
      <c r="A324" s="45">
        <f>RANK(K324,K$1:K$665)</f>
        <v>323</v>
      </c>
      <c r="B324" s="9" t="s">
        <v>449</v>
      </c>
      <c r="C324" s="46" t="s">
        <v>127</v>
      </c>
      <c r="D324" s="47" t="str">
        <f>VLOOKUP(B324,'Player Data'!A1:D667,4,FALSE)</f>
        <v>D</v>
      </c>
      <c r="E324" s="66">
        <f>VLOOKUP(B324,D!A1:C213,3,FALSE)</f>
        <v>109</v>
      </c>
      <c r="F324" s="65" t="str">
        <f>VLOOKUP(B324,'Player Data'!A1:B667,2,FALSE)</f>
        <v>TOR</v>
      </c>
      <c r="G324" s="63">
        <f>VLOOKUP(B324,'Player Data'!A1:D667,3,FALSE)</f>
        <v>33</v>
      </c>
      <c r="H324" s="50">
        <f>IFERROR(VLOOKUP(B324,ADP!A1:G665,7,FALSE)/1000000,VLOOKUP(B324,ADP!A1:G665,7,FALSE))</f>
        <v>3.5</v>
      </c>
      <c r="I324" s="51">
        <f>IF(Settings!$E$15="POINTS",((R324*Q324)*Settings!$B$12)+(S324*Settings!$B$2)+(T324*Settings!$B$3)+(U324*Settings!$B$4)+(V324*Settings!$B$5)+(X324*Settings!$B$9)+(AA324*Settings!$B$6)+(W324*Settings!$B$8)+(AB324*Settings!$B$7)+(AC324*Settings!$B$14)+(AD324*Settings!$B$15)+(AE324*Settings!$B$16)+(AF324*Settings!$B$17)+(AG324*Settings!$B$18)+(U324*Settings!$B$13)+(Y324*Settings!$B$10)+(Z324*Settings!$B$11),VLOOKUP(B324,'Standard Deviations'!A1:C666,3,FALSE))</f>
        <v>173.80193435184842</v>
      </c>
      <c r="J324" s="52">
        <f>IF(D324="G",I324/AJ324,I324/Q324)</f>
        <v>2.2418824166636364</v>
      </c>
      <c r="K324" s="51">
        <f>VLOOKUP(B324,D!A1:F213,6,FALSE)</f>
        <v>-162.43219069374649</v>
      </c>
      <c r="L324" s="53">
        <f>IFERROR(K324/H324,"N/A")</f>
        <v>-46.409197341070424</v>
      </c>
      <c r="M324" s="54">
        <f>IF(Settings!$E$9="YAHOO",VLOOKUP(B324,ADP!A1:E665,2,FALSE),IF(Settings!$E$9="ESPN",VLOOKUP(B324,ADP!A1:E665,3,FALSE),IF(Settings!$E$9="FANTRAX",VLOOKUP(B324,ADP!A1:E665,4,FALSE),VLOOKUP(B324,ADP!A1:E665,5,FALSE))))</f>
        <v>177.7</v>
      </c>
      <c r="N324" s="54">
        <f>IFERROR(M324-A324,"N/A")</f>
        <v>-145.30000000000001</v>
      </c>
      <c r="O324" s="54"/>
      <c r="P324" s="55" t="str">
        <f>IF(Settings!$E$27="ON",VLOOKUP(B324,ADP!A1:H665,8,FALSE)," ")</f>
        <v xml:space="preserve"> </v>
      </c>
      <c r="Q324" s="56">
        <f>IF(Settings!$E$12="YES",VLOOKUP(B324,'Player Data'!A1:E667,5,FALSE),82)</f>
        <v>77.525000000000006</v>
      </c>
      <c r="R324" s="54">
        <f>VLOOKUP(B324,'Player Data'!$A1:$AE667,6,FALSE)</f>
        <v>17.442476463919999</v>
      </c>
      <c r="S324" s="56">
        <f>VLOOKUP(B324,'Player Data'!$A1:$AE667,7,FALSE)*$Q324*IFERROR((VLOOKUP(P324,Settings!$E$28:$F$33,2,FALSE)+1),1)</f>
        <v>4.6601601785662821</v>
      </c>
      <c r="T324" s="56">
        <f>VLOOKUP(B324,'Player Data'!$A1:$AE667,8,FALSE)*$Q324*IFERROR((VLOOKUP(P324,Settings!$E$28:$F$33,2,FALSE)+1),1)</f>
        <v>20.278436232240765</v>
      </c>
      <c r="U324" s="56">
        <f>SUM(S324:T324)</f>
        <v>24.938596410807047</v>
      </c>
      <c r="V324" s="56">
        <f>VLOOKUP(B324,'Player Data'!$A1:$AE667,10,FALSE)*$Q324*IFERROR(((VLOOKUP(P324,Settings!$E$28:$F$33,2,FALSE)/2)+1),1)</f>
        <v>110.97370147742413</v>
      </c>
      <c r="W324" s="56">
        <f>VLOOKUP(B324,'Player Data'!$A1:$AE667,11,FALSE)*$Q324*IFERROR((VLOOKUP(P324,Settings!$E$28:$F$33,2,FALSE)+1),1)</f>
        <v>0.95302063717261554</v>
      </c>
      <c r="X324" s="56">
        <f>VLOOKUP(B324,'Player Data'!$A1:$AE667,12,FALSE)*$Q324*IFERROR((VLOOKUP(P324,Settings!$E$28:$F$33,2,FALSE)+1),1)</f>
        <v>7.3882799951508868</v>
      </c>
      <c r="Y324" s="56">
        <f>VLOOKUP(B324,'Player Data'!$A1:$AE667,13,FALSE)*$Q324</f>
        <v>1.3390414800721222E-2</v>
      </c>
      <c r="Z324" s="56">
        <f>VLOOKUP(B324,'Player Data'!$A1:$AE667,14,FALSE)*$Q324</f>
        <v>0.21661761333739971</v>
      </c>
      <c r="AA324" s="56">
        <f>VLOOKUP(B324,'Player Data'!$A1:$AE667,15,FALSE)*$Q324</f>
        <v>71.788793544453824</v>
      </c>
      <c r="AB324" s="56">
        <f>VLOOKUP(B324,'Player Data'!$A1:$AE667,16,FALSE)*$Q324</f>
        <v>93.966210139512967</v>
      </c>
      <c r="AC324" s="56">
        <f>VLOOKUP(B324,'Player Data'!$A1:$AE667,17,FALSE)*$Q324*IFERROR((VLOOKUP(P324,Settings!$E$28:$F$33,2,FALSE)+1),1)</f>
        <v>-0.13738788212347444</v>
      </c>
      <c r="AD324" s="56">
        <f>VLOOKUP(B324,'Player Data'!$A1:$AE667,18,FALSE)*$Q324</f>
        <v>41.713715221458173</v>
      </c>
      <c r="AE324" s="56">
        <f>VLOOKUP(B324,'Player Data'!$A1:$AE667,19,FALSE)*$Q324*IFERROR((VLOOKUP(P324,Settings!$E$28:$F$33,2,FALSE)+1),1)</f>
        <v>0.74554209239685287</v>
      </c>
      <c r="AF324" s="56">
        <f>VLOOKUP(B324,'Player Data'!$A1:$AE667,20,FALSE)*$Q324</f>
        <v>0</v>
      </c>
      <c r="AG324" s="56">
        <f>VLOOKUP(B324,'Player Data'!$A1:$AE667,21,FALSE)*$Q324</f>
        <v>0</v>
      </c>
      <c r="AH324" s="58">
        <f>VLOOKUP(B324,'Player Data'!$A1:$AE667,22,FALSE)</f>
        <v>0</v>
      </c>
      <c r="AI324" s="54"/>
      <c r="AJ324" s="56"/>
      <c r="AK324" s="56"/>
      <c r="AL324" s="56"/>
      <c r="AM324" s="56"/>
      <c r="AN324" s="56"/>
      <c r="AO324" s="56"/>
      <c r="AP324" s="56"/>
      <c r="AQ324" s="59"/>
      <c r="AR324" s="60"/>
      <c r="AS324" s="54"/>
    </row>
    <row r="325" spans="1:45" ht="21.25" customHeight="1" x14ac:dyDescent="0.15">
      <c r="A325" s="45">
        <f>RANK(K325,K$1:K$665)</f>
        <v>324</v>
      </c>
      <c r="B325" s="9" t="s">
        <v>450</v>
      </c>
      <c r="C325" s="46" t="s">
        <v>127</v>
      </c>
      <c r="D325" s="47" t="str">
        <f>VLOOKUP(B325,'Player Data'!A1:D667,4,FALSE)</f>
        <v>C</v>
      </c>
      <c r="E325" s="48">
        <f>VLOOKUP(B325,'C'!A1:C206,3,FALSE)</f>
        <v>95</v>
      </c>
      <c r="F325" s="77" t="str">
        <f>VLOOKUP(B325,'Player Data'!A1:B667,2,FALSE)</f>
        <v>S.J</v>
      </c>
      <c r="G325" s="69">
        <f>VLOOKUP(B325,'Player Data'!A1:D667,3,FALSE)</f>
        <v>19</v>
      </c>
      <c r="H325" s="50">
        <f>IFERROR(VLOOKUP(B325,ADP!A1:G665,7,FALSE)/1000000,VLOOKUP(B325,ADP!A1:G665,7,FALSE))</f>
        <v>0.95</v>
      </c>
      <c r="I325" s="51">
        <f>IF(Settings!$E$15="POINTS",((R325*Q325)*Settings!$B$12)+(S325*Settings!$B$2)+(T325*Settings!$B$3)+(U325*Settings!$B$4)+(V325*Settings!$B$5)+(X325*Settings!$B$9)+(AA325*Settings!$B$6)+(W325*Settings!$B$8)+(AB325*Settings!$B$7)+(AC325*Settings!$B$14)+(AD325*Settings!$B$15)+(AE325*Settings!$B$16)+(AF325*Settings!$B$17)+(AG325*Settings!$B$18)+(Y325*Settings!$B$10)+(Z325*Settings!$B$11),VLOOKUP(B325,'Standard Deviations'!A1:C666,3,FALSE))</f>
        <v>227.39117073170729</v>
      </c>
      <c r="J325" s="52">
        <f>IF(D325="G",I325/AJ325,I325/Q325)</f>
        <v>3.0728536585365851</v>
      </c>
      <c r="K325" s="51">
        <f>IF(Settings!$E$18="C/LW/RW",VLOOKUP(B325,'C'!A1:F206,6,FALSE),VLOOKUP(B325,F!A1:F392,6,FALSE))</f>
        <v>-162.5459870463738</v>
      </c>
      <c r="L325" s="53">
        <f>IFERROR(K325/H325,"N/A")</f>
        <v>-171.10103899618295</v>
      </c>
      <c r="M325" s="54">
        <f>IF(Settings!$E$9="YAHOO",VLOOKUP(B325,ADP!A1:E665,2,FALSE),IF(Settings!$E$9="ESPN",VLOOKUP(B325,ADP!A1:E665,3,FALSE),IF(Settings!$E$9="FANTRAX",VLOOKUP(B325,ADP!A1:E665,4,FALSE),VLOOKUP(B325,ADP!A1:E665,5,FALSE))))</f>
        <v>0</v>
      </c>
      <c r="N325" s="54">
        <f>IFERROR(M325-A325,"N/A")</f>
        <v>-324</v>
      </c>
      <c r="O325" s="54"/>
      <c r="P325" s="85">
        <f>IF(Settings!$E$27="ON",VLOOKUP(B325,ADP!A1:H665,8,FALSE)," ")</f>
        <v>0</v>
      </c>
      <c r="Q325" s="56">
        <f>IF(Settings!$E$12="YES",VLOOKUP(B325,'Player Data'!A1:E667,5,FALSE),82)</f>
        <v>74</v>
      </c>
      <c r="R325" s="54">
        <f>VLOOKUP(B325,'Player Data'!$A1:$AE667,6,FALSE)</f>
        <v>16</v>
      </c>
      <c r="S325" s="56">
        <f>VLOOKUP(B325,'Player Data'!$A1:$AE667,7,FALSE)*$Q325*IFERROR((VLOOKUP(P325,Settings!$E$28:$F$33,2,FALSE)+1),1)</f>
        <v>16.28</v>
      </c>
      <c r="T325" s="56">
        <f>VLOOKUP(B325,'Player Data'!$A1:$AE667,8,FALSE)*$Q325*IFERROR((VLOOKUP(P325,Settings!$E$28:$F$33,2,FALSE)+1),1)</f>
        <v>28.12</v>
      </c>
      <c r="U325" s="56">
        <f>SUM(S325:T325)</f>
        <v>44.400000000000006</v>
      </c>
      <c r="V325" s="56">
        <f>VLOOKUP(B325,'Player Data'!$A1:$AE667,10,FALSE)*$Q325*IFERROR(((VLOOKUP(P325,Settings!$E$28:$F$33,2,FALSE)/2)+1),1)</f>
        <v>133.3696585365854</v>
      </c>
      <c r="W325" s="56">
        <f>VLOOKUP(B325,'Player Data'!$A1:$AE667,11,FALSE)*$Q325*IFERROR((VLOOKUP(P325,Settings!$E$28:$F$33,2,FALSE)+1),1)</f>
        <v>4.1957398373983725</v>
      </c>
      <c r="X325" s="56">
        <f>VLOOKUP(B325,'Player Data'!$A1:$AE667,12,FALSE)*$Q325*IFERROR((VLOOKUP(P325,Settings!$E$28:$F$33,2,FALSE)+1),1)</f>
        <v>11.442926829268261</v>
      </c>
      <c r="Y325" s="56">
        <f>VLOOKUP(B325,'Player Data'!$A1:$AE667,13,FALSE)*$Q325</f>
        <v>0</v>
      </c>
      <c r="Z325" s="56">
        <f>VLOOKUP(B325,'Player Data'!$A1:$AE667,14,FALSE)*$Q325</f>
        <v>0</v>
      </c>
      <c r="AA325" s="56">
        <f>VLOOKUP(B325,'Player Data'!$A1:$AE667,15,FALSE)*$Q325</f>
        <v>32.12682926829271</v>
      </c>
      <c r="AB325" s="56">
        <f>VLOOKUP(B325,'Player Data'!$A1:$AE667,16,FALSE)*$Q325</f>
        <v>87.548837841777242</v>
      </c>
      <c r="AC325" s="56">
        <f>VLOOKUP(B325,'Player Data'!$A1:$AE667,17,FALSE)*$Q325*IFERROR((VLOOKUP(P325,Settings!$E$28:$F$33,2,FALSE)+1),1)</f>
        <v>-5.5540257782416917</v>
      </c>
      <c r="AD325" s="56">
        <f>VLOOKUP(B325,'Player Data'!$A1:$AE667,18,FALSE)*$Q325</f>
        <v>29.900950480379297</v>
      </c>
      <c r="AE325" s="56">
        <f>VLOOKUP(B325,'Player Data'!$A1:$AE667,19,FALSE)*$Q325*IFERROR((VLOOKUP(P325,Settings!$E$28:$F$33,2,FALSE)+1),1)</f>
        <v>1.7388688336684957</v>
      </c>
      <c r="AF325" s="56">
        <f>VLOOKUP(B325,'Player Data'!$A1:$AE667,20,FALSE)*$Q325</f>
        <v>144.39024390243887</v>
      </c>
      <c r="AG325" s="56">
        <f>VLOOKUP(B325,'Player Data'!$A1:$AE667,21,FALSE)*$Q325</f>
        <v>216.58536585365835</v>
      </c>
      <c r="AH325" s="58">
        <f>VLOOKUP(B325,'Player Data'!$A1:$AE667,22,FALSE)</f>
        <v>0.4</v>
      </c>
      <c r="AI325" s="54"/>
      <c r="AJ325" s="56"/>
      <c r="AK325" s="56"/>
      <c r="AL325" s="56"/>
      <c r="AM325" s="56"/>
      <c r="AN325" s="56"/>
      <c r="AO325" s="56"/>
      <c r="AP325" s="56"/>
      <c r="AQ325" s="59"/>
      <c r="AR325" s="60"/>
      <c r="AS325" s="54"/>
    </row>
    <row r="326" spans="1:45" ht="21.25" customHeight="1" x14ac:dyDescent="0.15">
      <c r="A326" s="45">
        <f>RANK(K326,K$1:K$665)</f>
        <v>325</v>
      </c>
      <c r="B326" s="9" t="s">
        <v>451</v>
      </c>
      <c r="C326" s="46" t="s">
        <v>127</v>
      </c>
      <c r="D326" s="47" t="str">
        <f>VLOOKUP(B326,'Player Data'!A1:D667,4,FALSE)</f>
        <v>D</v>
      </c>
      <c r="E326" s="66">
        <f>VLOOKUP(B326,D!A1:C213,3,FALSE)</f>
        <v>110</v>
      </c>
      <c r="F326" s="55" t="str">
        <f>VLOOKUP(B326,'Player Data'!A1:B667,2,FALSE)</f>
        <v>UTA</v>
      </c>
      <c r="G326" s="10">
        <f>VLOOKUP(B326,'Player Data'!A1:D667,3,FALSE)</f>
        <v>27</v>
      </c>
      <c r="H326" s="50">
        <f>IFERROR(VLOOKUP(B326,ADP!A1:G665,7,FALSE)/1000000,VLOOKUP(B326,ADP!A1:G665,7,FALSE))</f>
        <v>4.4000000000000004</v>
      </c>
      <c r="I326" s="51">
        <f>IF(Settings!$E$15="POINTS",((R326*Q326)*Settings!$B$12)+(S326*Settings!$B$2)+(T326*Settings!$B$3)+(U326*Settings!$B$4)+(V326*Settings!$B$5)+(X326*Settings!$B$9)+(AA326*Settings!$B$6)+(W326*Settings!$B$8)+(AB326*Settings!$B$7)+(AC326*Settings!$B$14)+(AD326*Settings!$B$15)+(AE326*Settings!$B$16)+(AF326*Settings!$B$17)+(AG326*Settings!$B$18)+(U326*Settings!$B$13)+(Y326*Settings!$B$10)+(Z326*Settings!$B$11),VLOOKUP(B326,'Standard Deviations'!A1:C666,3,FALSE))</f>
        <v>172.23982350053029</v>
      </c>
      <c r="J326" s="52">
        <f>IF(D326="G",I326/AJ326,I326/Q326)</f>
        <v>2.2022032731408698</v>
      </c>
      <c r="K326" s="51">
        <f>VLOOKUP(B326,D!A1:F213,6,FALSE)</f>
        <v>-163.99430154506462</v>
      </c>
      <c r="L326" s="53">
        <f>IFERROR(K326/H326,"N/A")</f>
        <v>-37.271432169332861</v>
      </c>
      <c r="M326" s="83" t="str">
        <f>IF(Settings!$E$9="YAHOO",VLOOKUP(B326,ADP!A1:E665,2,FALSE),IF(Settings!$E$9="ESPN",VLOOKUP(B326,ADP!A1:E665,3,FALSE),IF(Settings!$E$9="FANTRAX",VLOOKUP(B326,ADP!A1:E665,4,FALSE),VLOOKUP(B326,ADP!A1:E665,5,FALSE))))</f>
        <v>—</v>
      </c>
      <c r="N326" s="83" t="str">
        <f>IFERROR(M326-A326,"N/A")</f>
        <v>N/A</v>
      </c>
      <c r="O326" s="54"/>
      <c r="P326" s="55" t="str">
        <f>IF(Settings!$E$27="ON",VLOOKUP(B326,ADP!A1:H665,8,FALSE)," ")</f>
        <v xml:space="preserve"> </v>
      </c>
      <c r="Q326" s="56">
        <f>IF(Settings!$E$12="YES",VLOOKUP(B326,'Player Data'!A1:E667,5,FALSE),82)</f>
        <v>78.212500000000006</v>
      </c>
      <c r="R326" s="75">
        <f>VLOOKUP(B326,'Player Data'!$A1:$AE667,6,FALSE)</f>
        <v>22.031770898711301</v>
      </c>
      <c r="S326" s="56">
        <f>VLOOKUP(B326,'Player Data'!$A1:$AE667,7,FALSE)*$Q326*IFERROR((VLOOKUP(P326,Settings!$E$28:$F$33,2,FALSE)+1),1)</f>
        <v>4.2870741920954867</v>
      </c>
      <c r="T326" s="56">
        <f>VLOOKUP(B326,'Player Data'!$A1:$AE667,8,FALSE)*$Q326*IFERROR((VLOOKUP(P326,Settings!$E$28:$F$33,2,FALSE)+1),1)</f>
        <v>21.908269885744023</v>
      </c>
      <c r="U326" s="56">
        <f>SUM(S326:T326)</f>
        <v>26.195344077839508</v>
      </c>
      <c r="V326" s="56">
        <f>VLOOKUP(B326,'Player Data'!$A1:$AE667,10,FALSE)*$Q326*IFERROR(((VLOOKUP(P326,Settings!$E$28:$F$33,2,FALSE)/2)+1),1)</f>
        <v>78.115017948520162</v>
      </c>
      <c r="W326" s="56">
        <f>VLOOKUP(B326,'Player Data'!$A1:$AE667,11,FALSE)*$Q326*IFERROR((VLOOKUP(P326,Settings!$E$28:$F$33,2,FALSE)+1),1)</f>
        <v>3.6130965472673818E-2</v>
      </c>
      <c r="X326" s="56">
        <f>VLOOKUP(B326,'Player Data'!$A1:$AE667,12,FALSE)*$Q326*IFERROR((VLOOKUP(P326,Settings!$E$28:$F$33,2,FALSE)+1),1)</f>
        <v>0.34420921957881495</v>
      </c>
      <c r="Y326" s="56">
        <f>VLOOKUP(B326,'Player Data'!$A1:$AE667,13,FALSE)*$Q326</f>
        <v>3.1669132790589069E-2</v>
      </c>
      <c r="Z326" s="56">
        <f>VLOOKUP(B326,'Player Data'!$A1:$AE667,14,FALSE)*$Q326</f>
        <v>0.79230580516940796</v>
      </c>
      <c r="AA326" s="56">
        <f>VLOOKUP(B326,'Player Data'!$A1:$AE667,15,FALSE)*$Q326</f>
        <v>106.91953453600695</v>
      </c>
      <c r="AB326" s="56">
        <f>VLOOKUP(B326,'Player Data'!$A1:$AE667,16,FALSE)*$Q326</f>
        <v>58.421338202001877</v>
      </c>
      <c r="AC326" s="56">
        <f>VLOOKUP(B326,'Player Data'!$A1:$AE667,17,FALSE)*$Q326*IFERROR((VLOOKUP(P326,Settings!$E$28:$F$33,2,FALSE)+1),1)</f>
        <v>0.23618095860457072</v>
      </c>
      <c r="AD326" s="56">
        <f>VLOOKUP(B326,'Player Data'!$A1:$AE667,18,FALSE)*$Q326</f>
        <v>31.395819880821382</v>
      </c>
      <c r="AE326" s="56">
        <f>VLOOKUP(B326,'Player Data'!$A1:$AE667,19,FALSE)*$Q326*IFERROR((VLOOKUP(P326,Settings!$E$28:$F$33,2,FALSE)+1),1)</f>
        <v>0.62732496360111567</v>
      </c>
      <c r="AF326" s="56">
        <f>VLOOKUP(B326,'Player Data'!$A1:$AE667,20,FALSE)*$Q326</f>
        <v>0</v>
      </c>
      <c r="AG326" s="56">
        <f>VLOOKUP(B326,'Player Data'!$A1:$AE667,21,FALSE)*$Q326</f>
        <v>0</v>
      </c>
      <c r="AH326" s="58">
        <f>VLOOKUP(B326,'Player Data'!$A1:$AE667,22,FALSE)</f>
        <v>0</v>
      </c>
      <c r="AI326" s="54"/>
      <c r="AJ326" s="56"/>
      <c r="AK326" s="56"/>
      <c r="AL326" s="56"/>
      <c r="AM326" s="56"/>
      <c r="AN326" s="56"/>
      <c r="AO326" s="56"/>
      <c r="AP326" s="56"/>
      <c r="AQ326" s="59"/>
      <c r="AR326" s="60"/>
      <c r="AS326" s="54"/>
    </row>
    <row r="327" spans="1:45" ht="21.25" customHeight="1" x14ac:dyDescent="0.15">
      <c r="A327" s="45">
        <f>RANK(K327,K$1:K$665)</f>
        <v>326</v>
      </c>
      <c r="B327" s="9" t="s">
        <v>452</v>
      </c>
      <c r="C327" s="46" t="s">
        <v>127</v>
      </c>
      <c r="D327" s="47" t="str">
        <f>VLOOKUP(B327,'Player Data'!A1:D667,4,FALSE)</f>
        <v>D</v>
      </c>
      <c r="E327" s="66">
        <f>VLOOKUP(B327,D!A1:C213,3,FALSE)</f>
        <v>111</v>
      </c>
      <c r="F327" s="65" t="str">
        <f>VLOOKUP(B327,'Player Data'!A1:B667,2,FALSE)</f>
        <v>NSH</v>
      </c>
      <c r="G327" s="10">
        <f>VLOOKUP(B327,'Player Data'!A1:D667,3,FALSE)</f>
        <v>26</v>
      </c>
      <c r="H327" s="67">
        <f>IFERROR(VLOOKUP(B327,ADP!A1:G665,7,FALSE)/1000000,VLOOKUP(B327,ADP!A1:G665,7,FALSE))</f>
        <v>2.5</v>
      </c>
      <c r="I327" s="51">
        <f>IF(Settings!$E$15="POINTS",((R327*Q327)*Settings!$B$12)+(S327*Settings!$B$2)+(T327*Settings!$B$3)+(U327*Settings!$B$4)+(V327*Settings!$B$5)+(X327*Settings!$B$9)+(AA327*Settings!$B$6)+(W327*Settings!$B$8)+(AB327*Settings!$B$7)+(AC327*Settings!$B$14)+(AD327*Settings!$B$15)+(AE327*Settings!$B$16)+(AF327*Settings!$B$17)+(AG327*Settings!$B$18)+(U327*Settings!$B$13)+(Y327*Settings!$B$10)+(Z327*Settings!$B$11),VLOOKUP(B327,'Standard Deviations'!A1:C666,3,FALSE))</f>
        <v>172.15639623898232</v>
      </c>
      <c r="J327" s="52">
        <f>IF(D327="G",I327/AJ327,I327/Q327)</f>
        <v>2.2831656276513685</v>
      </c>
      <c r="K327" s="51">
        <f>VLOOKUP(B327,D!A1:F213,6,FALSE)</f>
        <v>-164.07772880661258</v>
      </c>
      <c r="L327" s="53">
        <f>IFERROR(K327/H327,"N/A")</f>
        <v>-65.631091522645036</v>
      </c>
      <c r="M327" s="83" t="str">
        <f>IF(Settings!$E$9="YAHOO",VLOOKUP(B327,ADP!A1:E665,2,FALSE),IF(Settings!$E$9="ESPN",VLOOKUP(B327,ADP!A1:E665,3,FALSE),IF(Settings!$E$9="FANTRAX",VLOOKUP(B327,ADP!A1:E665,4,FALSE),VLOOKUP(B327,ADP!A1:E665,5,FALSE))))</f>
        <v>—</v>
      </c>
      <c r="N327" s="83" t="str">
        <f>IFERROR(M327-A327,"N/A")</f>
        <v>N/A</v>
      </c>
      <c r="O327" s="54"/>
      <c r="P327" s="55" t="str">
        <f>IF(Settings!$E$27="ON",VLOOKUP(B327,ADP!A1:H665,8,FALSE)," ")</f>
        <v xml:space="preserve"> </v>
      </c>
      <c r="Q327" s="56">
        <f>IF(Settings!$E$12="YES",VLOOKUP(B327,'Player Data'!A1:E667,5,FALSE),82)</f>
        <v>75.402500000000003</v>
      </c>
      <c r="R327" s="75">
        <f>VLOOKUP(B327,'Player Data'!$A1:$AE667,6,FALSE)</f>
        <v>18.353776439912899</v>
      </c>
      <c r="S327" s="56">
        <f>VLOOKUP(B327,'Player Data'!$A1:$AE667,7,FALSE)*$Q327*IFERROR((VLOOKUP(P327,Settings!$E$28:$F$33,2,FALSE)+1),1)</f>
        <v>3.7483271427632165</v>
      </c>
      <c r="T327" s="56">
        <f>VLOOKUP(B327,'Player Data'!$A1:$AE667,8,FALSE)*$Q327*IFERROR((VLOOKUP(P327,Settings!$E$28:$F$33,2,FALSE)+1),1)</f>
        <v>16.22376558934624</v>
      </c>
      <c r="U327" s="56">
        <f>SUM(S327:T327)</f>
        <v>19.972092732109456</v>
      </c>
      <c r="V327" s="56">
        <f>VLOOKUP(B327,'Player Data'!$A1:$AE667,10,FALSE)*$Q327*IFERROR(((VLOOKUP(P327,Settings!$E$28:$F$33,2,FALSE)/2)+1),1)</f>
        <v>99.531830687811535</v>
      </c>
      <c r="W327" s="56">
        <f>VLOOKUP(B327,'Player Data'!$A1:$AE667,11,FALSE)*$Q327*IFERROR((VLOOKUP(P327,Settings!$E$28:$F$33,2,FALSE)+1),1)</f>
        <v>1.9224487059138137E-2</v>
      </c>
      <c r="X327" s="56">
        <f>VLOOKUP(B327,'Player Data'!$A1:$AE667,12,FALSE)*$Q327*IFERROR((VLOOKUP(P327,Settings!$E$28:$F$33,2,FALSE)+1),1)</f>
        <v>0.16273987275675791</v>
      </c>
      <c r="Y327" s="56">
        <f>VLOOKUP(B327,'Player Data'!$A1:$AE667,13,FALSE)*$Q327</f>
        <v>2.316266356369398E-2</v>
      </c>
      <c r="Z327" s="56">
        <f>VLOOKUP(B327,'Player Data'!$A1:$AE667,14,FALSE)*$Q327</f>
        <v>0.11438390344553041</v>
      </c>
      <c r="AA327" s="56">
        <f>VLOOKUP(B327,'Player Data'!$A1:$AE667,15,FALSE)*$Q327</f>
        <v>124.39415784509181</v>
      </c>
      <c r="AB327" s="56">
        <f>VLOOKUP(B327,'Player Data'!$A1:$AE667,16,FALSE)*$Q327</f>
        <v>86.331575536028609</v>
      </c>
      <c r="AC327" s="56">
        <f>VLOOKUP(B327,'Player Data'!$A1:$AE667,17,FALSE)*$Q327*IFERROR((VLOOKUP(P327,Settings!$E$28:$F$33,2,FALSE)+1),1)</f>
        <v>2.2533055656228811</v>
      </c>
      <c r="AD327" s="56">
        <f>VLOOKUP(B327,'Player Data'!$A1:$AE667,18,FALSE)*$Q327</f>
        <v>35.908415363622439</v>
      </c>
      <c r="AE327" s="56">
        <f>VLOOKUP(B327,'Player Data'!$A1:$AE667,19,FALSE)*$Q327*IFERROR((VLOOKUP(P327,Settings!$E$28:$F$33,2,FALSE)+1),1)</f>
        <v>0.53073621051386677</v>
      </c>
      <c r="AF327" s="56">
        <f>VLOOKUP(B327,'Player Data'!$A1:$AE667,20,FALSE)*$Q327</f>
        <v>0</v>
      </c>
      <c r="AG327" s="56">
        <f>VLOOKUP(B327,'Player Data'!$A1:$AE667,21,FALSE)*$Q327</f>
        <v>0</v>
      </c>
      <c r="AH327" s="58">
        <f>VLOOKUP(B327,'Player Data'!$A1:$AE667,22,FALSE)</f>
        <v>0</v>
      </c>
      <c r="AI327" s="54"/>
      <c r="AJ327" s="64"/>
      <c r="AK327" s="56"/>
      <c r="AL327" s="56"/>
      <c r="AM327" s="56"/>
      <c r="AN327" s="56"/>
      <c r="AO327" s="56"/>
      <c r="AP327" s="56"/>
      <c r="AQ327" s="59"/>
      <c r="AR327" s="60"/>
      <c r="AS327" s="54"/>
    </row>
    <row r="328" spans="1:45" ht="21.25" customHeight="1" x14ac:dyDescent="0.15">
      <c r="A328" s="45">
        <f>RANK(K328,K$1:K$665)</f>
        <v>327</v>
      </c>
      <c r="B328" s="9" t="s">
        <v>453</v>
      </c>
      <c r="C328" s="46" t="s">
        <v>127</v>
      </c>
      <c r="D328" s="47" t="str">
        <f>VLOOKUP(B328,'Player Data'!A1:D667,4,FALSE)</f>
        <v>RW</v>
      </c>
      <c r="E328" s="61">
        <f>VLOOKUP(B328,RW!A1:F136,3,FALSE)</f>
        <v>80</v>
      </c>
      <c r="F328" s="65" t="str">
        <f>VLOOKUP(B328,'Player Data'!A1:B667,2,FALSE)</f>
        <v>NSH</v>
      </c>
      <c r="G328" s="69">
        <f>VLOOKUP(B328,'Player Data'!A1:D667,3,FALSE)</f>
        <v>22</v>
      </c>
      <c r="H328" s="67">
        <f>IFERROR(VLOOKUP(B328,ADP!A1:G665,7,FALSE)/1000000,VLOOKUP(B328,ADP!A1:G665,7,FALSE))</f>
        <v>0.79749999999999999</v>
      </c>
      <c r="I328" s="51">
        <f>IF(Settings!$E$15="POINTS",((R328*Q328)*Settings!$B$12)+(S328*Settings!$B$2)+(T328*Settings!$B$3)+(U328*Settings!$B$4)+(V328*Settings!$B$5)+(X328*Settings!$B$9)+(AA328*Settings!$B$6)+(W328*Settings!$B$8)+(AB328*Settings!$B$7)+(AC328*Settings!$B$14)+(AD328*Settings!$B$15)+(AE328*Settings!$B$16)+(AF328*Settings!$B$17)+(AG328*Settings!$B$18)+(Y328*Settings!$B$10)+(Z328*Settings!$B$11),VLOOKUP(B328,'Standard Deviations'!A1:C666,3,FALSE))</f>
        <v>204.59759719813539</v>
      </c>
      <c r="J328" s="52">
        <f>IF(D328="G",I328/AJ328,I328/Q328)</f>
        <v>2.8515344557231415</v>
      </c>
      <c r="K328" s="51">
        <f>IF(Settings!$E$18="C/LW/RW",VLOOKUP(B328,RW!A1:F136,6,FALSE),VLOOKUP(B328,F!A1:F392,6,FALSE))</f>
        <v>-164.250125908157</v>
      </c>
      <c r="L328" s="53">
        <f>IFERROR(K328/H328,"N/A")</f>
        <v>-205.95627073123134</v>
      </c>
      <c r="M328" s="83" t="str">
        <f>IF(Settings!$E$9="YAHOO",VLOOKUP(B328,ADP!A1:E665,2,FALSE),IF(Settings!$E$9="ESPN",VLOOKUP(B328,ADP!A1:E665,3,FALSE),IF(Settings!$E$9="FANTRAX",VLOOKUP(B328,ADP!A1:E665,4,FALSE),VLOOKUP(B328,ADP!A1:E665,5,FALSE))))</f>
        <v>—</v>
      </c>
      <c r="N328" s="83" t="str">
        <f>IFERROR(M328-A328,"N/A")</f>
        <v>N/A</v>
      </c>
      <c r="O328" s="54"/>
      <c r="P328" s="55" t="str">
        <f>IF(Settings!$E$27="ON",VLOOKUP(B328,ADP!A1:H665,8,FALSE)," ")</f>
        <v xml:space="preserve"> </v>
      </c>
      <c r="Q328" s="56">
        <f>IF(Settings!$E$12="YES",VLOOKUP(B328,'Player Data'!A1:E667,5,FALSE),82)</f>
        <v>71.75</v>
      </c>
      <c r="R328" s="54">
        <f>VLOOKUP(B328,'Player Data'!$A1:$AE667,6,FALSE)</f>
        <v>14.064879839258101</v>
      </c>
      <c r="S328" s="56">
        <f>VLOOKUP(B328,'Player Data'!$A1:$AE667,7,FALSE)*$Q328*IFERROR((VLOOKUP(P328,Settings!$E$28:$F$33,2,FALSE)+1),1)</f>
        <v>15.924586824869147</v>
      </c>
      <c r="T328" s="56">
        <f>VLOOKUP(B328,'Player Data'!$A1:$AE667,8,FALSE)*$Q328*IFERROR((VLOOKUP(P328,Settings!$E$28:$F$33,2,FALSE)+1),1)</f>
        <v>21.188913302884536</v>
      </c>
      <c r="U328" s="56">
        <f>SUM(S328:T328)</f>
        <v>37.113500127753682</v>
      </c>
      <c r="V328" s="56">
        <f>VLOOKUP(B328,'Player Data'!$A1:$AE667,10,FALSE)*$Q328*IFERROR(((VLOOKUP(P328,Settings!$E$28:$F$33,2,FALSE)/2)+1),1)</f>
        <v>149.16453422504435</v>
      </c>
      <c r="W328" s="56">
        <f>VLOOKUP(B328,'Player Data'!$A1:$AE667,11,FALSE)*$Q328*IFERROR((VLOOKUP(P328,Settings!$E$28:$F$33,2,FALSE)+1),1)</f>
        <v>2.2151807416491116</v>
      </c>
      <c r="X328" s="56">
        <f>VLOOKUP(B328,'Player Data'!$A1:$AE667,12,FALSE)*$Q328*IFERROR((VLOOKUP(P328,Settings!$E$28:$F$33,2,FALSE)+1),1)</f>
        <v>7.3629668800413999</v>
      </c>
      <c r="Y328" s="56">
        <f>VLOOKUP(B328,'Player Data'!$A1:$AE667,13,FALSE)*$Q328</f>
        <v>8.3866061824866426E-4</v>
      </c>
      <c r="Z328" s="56">
        <f>VLOOKUP(B328,'Player Data'!$A1:$AE667,14,FALSE)*$Q328</f>
        <v>1.4111109842328971E-3</v>
      </c>
      <c r="AA328" s="56">
        <f>VLOOKUP(B328,'Player Data'!$A1:$AE667,15,FALSE)*$Q328</f>
        <v>22.620903422653026</v>
      </c>
      <c r="AB328" s="56">
        <f>VLOOKUP(B328,'Player Data'!$A1:$AE667,16,FALSE)*$Q328</f>
        <v>35.649888421895731</v>
      </c>
      <c r="AC328" s="56">
        <f>VLOOKUP(B328,'Player Data'!$A1:$AE667,17,FALSE)*$Q328*IFERROR((VLOOKUP(P328,Settings!$E$28:$F$33,2,FALSE)+1),1)</f>
        <v>2.8019880180395424</v>
      </c>
      <c r="AD328" s="56">
        <f>VLOOKUP(B328,'Player Data'!$A1:$AE667,18,FALSE)*$Q328</f>
        <v>19.603392599773883</v>
      </c>
      <c r="AE328" s="56">
        <f>VLOOKUP(B328,'Player Data'!$A1:$AE667,19,FALSE)*$Q328*IFERROR((VLOOKUP(P328,Settings!$E$28:$F$33,2,FALSE)+1),1)</f>
        <v>2.2548071562397261</v>
      </c>
      <c r="AF328" s="56">
        <f>VLOOKUP(B328,'Player Data'!$A1:$AE667,20,FALSE)*$Q328</f>
        <v>0.65003994324873837</v>
      </c>
      <c r="AG328" s="56">
        <f>VLOOKUP(B328,'Player Data'!$A1:$AE667,21,FALSE)*$Q328</f>
        <v>2.7184779772972654</v>
      </c>
      <c r="AH328" s="58">
        <f>VLOOKUP(B328,'Player Data'!$A1:$AE667,22,FALSE)</f>
        <v>0.19297505864044001</v>
      </c>
      <c r="AI328" s="54"/>
      <c r="AJ328" s="56"/>
      <c r="AK328" s="56"/>
      <c r="AL328" s="56"/>
      <c r="AM328" s="56"/>
      <c r="AN328" s="56"/>
      <c r="AO328" s="56"/>
      <c r="AP328" s="56"/>
      <c r="AQ328" s="59"/>
      <c r="AR328" s="60"/>
      <c r="AS328" s="54"/>
    </row>
    <row r="329" spans="1:45" ht="21.25" customHeight="1" x14ac:dyDescent="0.15">
      <c r="A329" s="45">
        <f>RANK(K329,K$1:K$665)</f>
        <v>328</v>
      </c>
      <c r="B329" s="9" t="s">
        <v>454</v>
      </c>
      <c r="C329" s="46" t="s">
        <v>127</v>
      </c>
      <c r="D329" s="47" t="str">
        <f>VLOOKUP(B329,'Player Data'!A1:D667,4,FALSE)</f>
        <v>D</v>
      </c>
      <c r="E329" s="66">
        <f>VLOOKUP(B329,D!A1:C213,3,FALSE)</f>
        <v>112</v>
      </c>
      <c r="F329" s="55" t="str">
        <f>VLOOKUP(B329,'Player Data'!A1:B667,2,FALSE)</f>
        <v>COL</v>
      </c>
      <c r="G329" s="63">
        <f>VLOOKUP(B329,'Player Data'!A1:D667,3,FALSE)</f>
        <v>32</v>
      </c>
      <c r="H329" s="50">
        <f>IFERROR(VLOOKUP(B329,ADP!A1:G665,7,FALSE)/1000000,VLOOKUP(B329,ADP!A1:G665,7,FALSE))</f>
        <v>4.5</v>
      </c>
      <c r="I329" s="51">
        <f>IF(Settings!$E$15="POINTS",((R329*Q329)*Settings!$B$12)+(S329*Settings!$B$2)+(T329*Settings!$B$3)+(U329*Settings!$B$4)+(V329*Settings!$B$5)+(X329*Settings!$B$9)+(AA329*Settings!$B$6)+(W329*Settings!$B$8)+(AB329*Settings!$B$7)+(AC329*Settings!$B$14)+(AD329*Settings!$B$15)+(AE329*Settings!$B$16)+(AF329*Settings!$B$17)+(AG329*Settings!$B$18)+(U329*Settings!$B$13)+(Y329*Settings!$B$10)+(Z329*Settings!$B$11),VLOOKUP(B329,'Standard Deviations'!A1:C666,3,FALSE))</f>
        <v>171.90095777902127</v>
      </c>
      <c r="J329" s="52">
        <f>IF(D329="G",I329/AJ329,I329/Q329)</f>
        <v>2.3907507774976011</v>
      </c>
      <c r="K329" s="51">
        <f>VLOOKUP(B329,D!A1:F213,6,FALSE)</f>
        <v>-164.33316726657364</v>
      </c>
      <c r="L329" s="53">
        <f>IFERROR(K329/H329,"N/A")</f>
        <v>-36.51848161479414</v>
      </c>
      <c r="M329" s="83" t="str">
        <f>IF(Settings!$E$9="YAHOO",VLOOKUP(B329,ADP!A1:E665,2,FALSE),IF(Settings!$E$9="ESPN",VLOOKUP(B329,ADP!A1:E665,3,FALSE),IF(Settings!$E$9="FANTRAX",VLOOKUP(B329,ADP!A1:E665,4,FALSE),VLOOKUP(B329,ADP!A1:E665,5,FALSE))))</f>
        <v>—</v>
      </c>
      <c r="N329" s="83" t="str">
        <f>IFERROR(M329-A329,"N/A")</f>
        <v>N/A</v>
      </c>
      <c r="O329" s="54"/>
      <c r="P329" s="55" t="str">
        <f>IF(Settings!$E$27="ON",VLOOKUP(B329,ADP!A1:H665,8,FALSE)," ")</f>
        <v xml:space="preserve"> </v>
      </c>
      <c r="Q329" s="56">
        <f>IF(Settings!$E$12="YES",VLOOKUP(B329,'Player Data'!A1:E667,5,FALSE),82)</f>
        <v>71.902500000000003</v>
      </c>
      <c r="R329" s="54">
        <f>VLOOKUP(B329,'Player Data'!$A1:$AE667,6,FALSE)</f>
        <v>18.6244521953179</v>
      </c>
      <c r="S329" s="56">
        <f>VLOOKUP(B329,'Player Data'!$A1:$AE667,7,FALSE)*$Q329*IFERROR((VLOOKUP(P329,Settings!$E$28:$F$33,2,FALSE)+1),1)</f>
        <v>5.7849867326751143</v>
      </c>
      <c r="T329" s="56">
        <f>VLOOKUP(B329,'Player Data'!$A1:$AE667,8,FALSE)*$Q329*IFERROR((VLOOKUP(P329,Settings!$E$28:$F$33,2,FALSE)+1),1)</f>
        <v>14.749676715214926</v>
      </c>
      <c r="U329" s="56">
        <f>SUM(S329:T329)</f>
        <v>20.53466344789004</v>
      </c>
      <c r="V329" s="56">
        <f>VLOOKUP(B329,'Player Data'!$A1:$AE667,10,FALSE)*$Q329*IFERROR(((VLOOKUP(P329,Settings!$E$28:$F$33,2,FALSE)/2)+1),1)</f>
        <v>110.81488754495116</v>
      </c>
      <c r="W329" s="56">
        <f>VLOOKUP(B329,'Player Data'!$A1:$AE667,11,FALSE)*$Q329*IFERROR((VLOOKUP(P329,Settings!$E$28:$F$33,2,FALSE)+1),1)</f>
        <v>1.5966589672221893E-2</v>
      </c>
      <c r="X329" s="56">
        <f>VLOOKUP(B329,'Player Data'!$A1:$AE667,12,FALSE)*$Q329*IFERROR((VLOOKUP(P329,Settings!$E$28:$F$33,2,FALSE)+1),1)</f>
        <v>0.10269702447284591</v>
      </c>
      <c r="Y329" s="56">
        <f>VLOOKUP(B329,'Player Data'!$A1:$AE667,13,FALSE)*$Q329</f>
        <v>3.1328558582623491E-2</v>
      </c>
      <c r="Z329" s="56">
        <f>VLOOKUP(B329,'Player Data'!$A1:$AE667,14,FALSE)*$Q329</f>
        <v>0.57479844194426444</v>
      </c>
      <c r="AA329" s="56">
        <f>VLOOKUP(B329,'Player Data'!$A1:$AE667,15,FALSE)*$Q329</f>
        <v>108.42405639291692</v>
      </c>
      <c r="AB329" s="56">
        <f>VLOOKUP(B329,'Player Data'!$A1:$AE667,16,FALSE)*$Q329</f>
        <v>180.20552869074575</v>
      </c>
      <c r="AC329" s="56">
        <f>VLOOKUP(B329,'Player Data'!$A1:$AE667,17,FALSE)*$Q329*IFERROR((VLOOKUP(P329,Settings!$E$28:$F$33,2,FALSE)+1),1)</f>
        <v>3.1303047800729367</v>
      </c>
      <c r="AD329" s="56">
        <f>VLOOKUP(B329,'Player Data'!$A1:$AE667,18,FALSE)*$Q329</f>
        <v>68.016412673965803</v>
      </c>
      <c r="AE329" s="56">
        <f>VLOOKUP(B329,'Player Data'!$A1:$AE667,19,FALSE)*$Q329*IFERROR((VLOOKUP(P329,Settings!$E$28:$F$33,2,FALSE)+1),1)</f>
        <v>0.8643386547744013</v>
      </c>
      <c r="AF329" s="56">
        <f>VLOOKUP(B329,'Player Data'!$A1:$AE667,20,FALSE)*$Q329</f>
        <v>0</v>
      </c>
      <c r="AG329" s="56">
        <f>VLOOKUP(B329,'Player Data'!$A1:$AE667,21,FALSE)*$Q329</f>
        <v>0.78237540717873666</v>
      </c>
      <c r="AH329" s="58">
        <f>VLOOKUP(B329,'Player Data'!$A1:$AE667,22,FALSE)</f>
        <v>0</v>
      </c>
      <c r="AI329" s="54"/>
      <c r="AJ329" s="56"/>
      <c r="AK329" s="56"/>
      <c r="AL329" s="56"/>
      <c r="AM329" s="56"/>
      <c r="AN329" s="56"/>
      <c r="AO329" s="56"/>
      <c r="AP329" s="56"/>
      <c r="AQ329" s="59"/>
      <c r="AR329" s="60"/>
      <c r="AS329" s="54"/>
    </row>
    <row r="330" spans="1:45" ht="21.25" customHeight="1" x14ac:dyDescent="0.15">
      <c r="A330" s="45">
        <f>RANK(K330,K$1:K$665)</f>
        <v>329</v>
      </c>
      <c r="B330" s="9" t="s">
        <v>455</v>
      </c>
      <c r="C330" s="46" t="s">
        <v>127</v>
      </c>
      <c r="D330" s="47" t="str">
        <f>VLOOKUP(B330,'Player Data'!A1:D667,4,FALSE)</f>
        <v>D</v>
      </c>
      <c r="E330" s="66">
        <f>VLOOKUP(B330,D!A1:C213,3,FALSE)</f>
        <v>113</v>
      </c>
      <c r="F330" s="62" t="str">
        <f>VLOOKUP(B330,'Player Data'!A1:B667,2,FALSE)</f>
        <v>OTT</v>
      </c>
      <c r="G330" s="10">
        <f>VLOOKUP(B330,'Player Data'!A1:D667,3,FALSE)</f>
        <v>28</v>
      </c>
      <c r="H330" s="50">
        <f>IFERROR(VLOOKUP(B330,ADP!A1:G665,7,FALSE)/1000000,VLOOKUP(B330,ADP!A1:G665,7,FALSE))</f>
        <v>4.5999999999999996</v>
      </c>
      <c r="I330" s="51">
        <f>IF(Settings!$E$15="POINTS",((R330*Q330)*Settings!$B$12)+(S330*Settings!$B$2)+(T330*Settings!$B$3)+(U330*Settings!$B$4)+(V330*Settings!$B$5)+(X330*Settings!$B$9)+(AA330*Settings!$B$6)+(W330*Settings!$B$8)+(AB330*Settings!$B$7)+(AC330*Settings!$B$14)+(AD330*Settings!$B$15)+(AE330*Settings!$B$16)+(AF330*Settings!$B$17)+(AG330*Settings!$B$18)+(U330*Settings!$B$13)+(Y330*Settings!$B$10)+(Z330*Settings!$B$11),VLOOKUP(B330,'Standard Deviations'!A1:C666,3,FALSE))</f>
        <v>170.90305538469028</v>
      </c>
      <c r="J330" s="52">
        <f>IF(D330="G",I330/AJ330,I330/Q330)</f>
        <v>2.2595763255726879</v>
      </c>
      <c r="K330" s="51">
        <f>VLOOKUP(B330,D!A1:F213,6,FALSE)</f>
        <v>-165.33106966090463</v>
      </c>
      <c r="L330" s="53">
        <f>IFERROR(K330/H330,"N/A")</f>
        <v>-35.941536882805359</v>
      </c>
      <c r="M330" s="83" t="str">
        <f>IF(Settings!$E$9="YAHOO",VLOOKUP(B330,ADP!A1:E665,2,FALSE),IF(Settings!$E$9="ESPN",VLOOKUP(B330,ADP!A1:E665,3,FALSE),IF(Settings!$E$9="FANTRAX",VLOOKUP(B330,ADP!A1:E665,4,FALSE),VLOOKUP(B330,ADP!A1:E665,5,FALSE))))</f>
        <v>—</v>
      </c>
      <c r="N330" s="83" t="str">
        <f>IFERROR(M330-A330,"N/A")</f>
        <v>N/A</v>
      </c>
      <c r="O330" s="54"/>
      <c r="P330" s="55" t="str">
        <f>IF(Settings!$E$27="ON",VLOOKUP(B330,ADP!A1:H665,8,FALSE)," ")</f>
        <v xml:space="preserve"> </v>
      </c>
      <c r="Q330" s="56">
        <f>IF(Settings!$E$12="YES",VLOOKUP(B330,'Player Data'!A1:E667,5,FALSE),82)</f>
        <v>75.635000000000005</v>
      </c>
      <c r="R330" s="54">
        <f>VLOOKUP(B330,'Player Data'!$A1:$AE667,6,FALSE)</f>
        <v>20.752939636100901</v>
      </c>
      <c r="S330" s="56">
        <f>VLOOKUP(B330,'Player Data'!$A1:$AE667,7,FALSE)*$Q330*IFERROR((VLOOKUP(P330,Settings!$E$28:$F$33,2,FALSE)+1),1)</f>
        <v>4.9748889063755533</v>
      </c>
      <c r="T330" s="56">
        <f>VLOOKUP(B330,'Player Data'!$A1:$AE667,8,FALSE)*$Q330*IFERROR((VLOOKUP(P330,Settings!$E$28:$F$33,2,FALSE)+1),1)</f>
        <v>16.415820095431847</v>
      </c>
      <c r="U330" s="56">
        <f>SUM(S330:T330)</f>
        <v>21.390709001807402</v>
      </c>
      <c r="V330" s="56">
        <f>VLOOKUP(B330,'Player Data'!$A1:$AE667,10,FALSE)*$Q330*IFERROR(((VLOOKUP(P330,Settings!$E$28:$F$33,2,FALSE)/2)+1),1)</f>
        <v>85.529320684737115</v>
      </c>
      <c r="W330" s="56">
        <f>VLOOKUP(B330,'Player Data'!$A1:$AE667,11,FALSE)*$Q330*IFERROR((VLOOKUP(P330,Settings!$E$28:$F$33,2,FALSE)+1),1)</f>
        <v>3.4920610087464603E-2</v>
      </c>
      <c r="X330" s="56">
        <f>VLOOKUP(B330,'Player Data'!$A1:$AE667,12,FALSE)*$Q330*IFERROR((VLOOKUP(P330,Settings!$E$28:$F$33,2,FALSE)+1),1)</f>
        <v>0.22544794492689577</v>
      </c>
      <c r="Y330" s="56">
        <f>VLOOKUP(B330,'Player Data'!$A1:$AE667,13,FALSE)*$Q330</f>
        <v>3.2549695717039487E-2</v>
      </c>
      <c r="Z330" s="56">
        <f>VLOOKUP(B330,'Player Data'!$A1:$AE667,14,FALSE)*$Q330</f>
        <v>0.1406360056769633</v>
      </c>
      <c r="AA330" s="56">
        <f>VLOOKUP(B330,'Player Data'!$A1:$AE667,15,FALSE)*$Q330</f>
        <v>127.20036817259133</v>
      </c>
      <c r="AB330" s="56">
        <f>VLOOKUP(B330,'Player Data'!$A1:$AE667,16,FALSE)*$Q330</f>
        <v>143.50188106055037</v>
      </c>
      <c r="AC330" s="56">
        <f>VLOOKUP(B330,'Player Data'!$A1:$AE667,17,FALSE)*$Q330*IFERROR((VLOOKUP(P330,Settings!$E$28:$F$33,2,FALSE)+1),1)</f>
        <v>-0.15760539755679695</v>
      </c>
      <c r="AD330" s="56">
        <f>VLOOKUP(B330,'Player Data'!$A1:$AE667,18,FALSE)*$Q330</f>
        <v>44.830698149114795</v>
      </c>
      <c r="AE330" s="56">
        <f>VLOOKUP(B330,'Player Data'!$A1:$AE667,19,FALSE)*$Q330*IFERROR((VLOOKUP(P330,Settings!$E$28:$F$33,2,FALSE)+1),1)</f>
        <v>0.77242234142623722</v>
      </c>
      <c r="AF330" s="56">
        <f>VLOOKUP(B330,'Player Data'!$A1:$AE667,20,FALSE)*$Q330</f>
        <v>0</v>
      </c>
      <c r="AG330" s="56">
        <f>VLOOKUP(B330,'Player Data'!$A1:$AE667,21,FALSE)*$Q330</f>
        <v>0</v>
      </c>
      <c r="AH330" s="58">
        <f>VLOOKUP(B330,'Player Data'!$A1:$AE667,22,FALSE)</f>
        <v>0</v>
      </c>
      <c r="AI330" s="54"/>
      <c r="AJ330" s="56"/>
      <c r="AK330" s="56"/>
      <c r="AL330" s="56"/>
      <c r="AM330" s="56"/>
      <c r="AN330" s="56"/>
      <c r="AO330" s="56"/>
      <c r="AP330" s="56"/>
      <c r="AQ330" s="59"/>
      <c r="AR330" s="60"/>
      <c r="AS330" s="54"/>
    </row>
    <row r="331" spans="1:45" ht="21.25" customHeight="1" x14ac:dyDescent="0.15">
      <c r="A331" s="45">
        <f>RANK(K331,K$1:K$665)</f>
        <v>330</v>
      </c>
      <c r="B331" s="9" t="s">
        <v>456</v>
      </c>
      <c r="C331" s="46" t="s">
        <v>127</v>
      </c>
      <c r="D331" s="47" t="str">
        <f>VLOOKUP(B331,'Player Data'!A1:D667,4,FALSE)</f>
        <v>D</v>
      </c>
      <c r="E331" s="66">
        <f>VLOOKUP(B331,D!A1:C213,3,FALSE)</f>
        <v>114</v>
      </c>
      <c r="F331" s="62" t="str">
        <f>VLOOKUP(B331,'Player Data'!A1:B667,2,FALSE)</f>
        <v>T.B</v>
      </c>
      <c r="G331" s="69">
        <f>VLOOKUP(B331,'Player Data'!A1:D667,3,FALSE)</f>
        <v>24</v>
      </c>
      <c r="H331" s="50">
        <f>IFERROR(VLOOKUP(B331,ADP!A1:G665,7,FALSE)/1000000,VLOOKUP(B331,ADP!A1:G665,7,FALSE))</f>
        <v>3.375</v>
      </c>
      <c r="I331" s="51">
        <f>IF(Settings!$E$15="POINTS",((R331*Q331)*Settings!$B$12)+(S331*Settings!$B$2)+(T331*Settings!$B$3)+(U331*Settings!$B$4)+(V331*Settings!$B$5)+(X331*Settings!$B$9)+(AA331*Settings!$B$6)+(W331*Settings!$B$8)+(AB331*Settings!$B$7)+(AC331*Settings!$B$14)+(AD331*Settings!$B$15)+(AE331*Settings!$B$16)+(AF331*Settings!$B$17)+(AG331*Settings!$B$18)+(U331*Settings!$B$13)+(Y331*Settings!$B$10)+(Z331*Settings!$B$11),VLOOKUP(B331,'Standard Deviations'!A1:C666,3,FALSE))</f>
        <v>170.81169777682274</v>
      </c>
      <c r="J331" s="52">
        <f>IF(D331="G",I331/AJ331,I331/Q331)</f>
        <v>2.1962288367318896</v>
      </c>
      <c r="K331" s="51">
        <f>VLOOKUP(B331,D!A1:F213,6,FALSE)</f>
        <v>-165.42242726877217</v>
      </c>
      <c r="L331" s="53">
        <f>IFERROR(K331/H331,"N/A")</f>
        <v>-49.01405252408064</v>
      </c>
      <c r="M331" s="83" t="str">
        <f>IF(Settings!$E$9="YAHOO",VLOOKUP(B331,ADP!A1:E665,2,FALSE),IF(Settings!$E$9="ESPN",VLOOKUP(B331,ADP!A1:E665,3,FALSE),IF(Settings!$E$9="FANTRAX",VLOOKUP(B331,ADP!A1:E665,4,FALSE),VLOOKUP(B331,ADP!A1:E665,5,FALSE))))</f>
        <v>—</v>
      </c>
      <c r="N331" s="83" t="str">
        <f>IFERROR(M331-A331,"N/A")</f>
        <v>N/A</v>
      </c>
      <c r="O331" s="54"/>
      <c r="P331" s="55" t="str">
        <f>IF(Settings!$E$27="ON",VLOOKUP(B331,ADP!A1:H665,8,FALSE)," ")</f>
        <v xml:space="preserve"> </v>
      </c>
      <c r="Q331" s="56">
        <f>IF(Settings!$E$12="YES",VLOOKUP(B331,'Player Data'!A1:E667,5,FALSE),82)</f>
        <v>77.775000000000006</v>
      </c>
      <c r="R331" s="81">
        <f>VLOOKUP(B331,'Player Data'!$A1:$AE667,6,FALSE)</f>
        <v>19.303113971518101</v>
      </c>
      <c r="S331" s="56">
        <f>VLOOKUP(B331,'Player Data'!$A1:$AE667,7,FALSE)*$Q331*IFERROR((VLOOKUP(P331,Settings!$E$28:$F$33,2,FALSE)+1),1)</f>
        <v>5.1779169558369595</v>
      </c>
      <c r="T331" s="56">
        <f>VLOOKUP(B331,'Player Data'!$A1:$AE667,8,FALSE)*$Q331*IFERROR((VLOOKUP(P331,Settings!$E$28:$F$33,2,FALSE)+1),1)</f>
        <v>19.179776747097833</v>
      </c>
      <c r="U331" s="56">
        <f>SUM(S331:T331)</f>
        <v>24.357693702934792</v>
      </c>
      <c r="V331" s="56">
        <f>VLOOKUP(B331,'Player Data'!$A1:$AE667,10,FALSE)*$Q331*IFERROR(((VLOOKUP(P331,Settings!$E$28:$F$33,2,FALSE)/2)+1),1)</f>
        <v>76.106301037984139</v>
      </c>
      <c r="W331" s="56">
        <f>VLOOKUP(B331,'Player Data'!$A1:$AE667,11,FALSE)*$Q331*IFERROR((VLOOKUP(P331,Settings!$E$28:$F$33,2,FALSE)+1),1)</f>
        <v>0.64100182403019546</v>
      </c>
      <c r="X331" s="56">
        <f>VLOOKUP(B331,'Player Data'!$A1:$AE667,12,FALSE)*$Q331*IFERROR((VLOOKUP(P331,Settings!$E$28:$F$33,2,FALSE)+1),1)</f>
        <v>3.0390665739788001</v>
      </c>
      <c r="Y331" s="56">
        <f>VLOOKUP(B331,'Player Data'!$A1:$AE667,13,FALSE)*$Q331</f>
        <v>2.5694633570442948E-2</v>
      </c>
      <c r="Z331" s="56">
        <f>VLOOKUP(B331,'Player Data'!$A1:$AE667,14,FALSE)*$Q331</f>
        <v>0.93994211148385709</v>
      </c>
      <c r="AA331" s="56">
        <f>VLOOKUP(B331,'Player Data'!$A1:$AE667,15,FALSE)*$Q331</f>
        <v>111.41291492712732</v>
      </c>
      <c r="AB331" s="56">
        <f>VLOOKUP(B331,'Player Data'!$A1:$AE667,16,FALSE)*$Q331</f>
        <v>92.389438343927239</v>
      </c>
      <c r="AC331" s="56">
        <f>VLOOKUP(B331,'Player Data'!$A1:$AE667,17,FALSE)*$Q331*IFERROR((VLOOKUP(P331,Settings!$E$28:$F$33,2,FALSE)+1),1)</f>
        <v>-1.5988565222060849</v>
      </c>
      <c r="AD331" s="56">
        <f>VLOOKUP(B331,'Player Data'!$A1:$AE667,18,FALSE)*$Q331</f>
        <v>32.662831773819306</v>
      </c>
      <c r="AE331" s="56">
        <f>VLOOKUP(B331,'Player Data'!$A1:$AE667,19,FALSE)*$Q331*IFERROR((VLOOKUP(P331,Settings!$E$28:$F$33,2,FALSE)+1),1)</f>
        <v>0.81584099404002963</v>
      </c>
      <c r="AF331" s="56">
        <f>VLOOKUP(B331,'Player Data'!$A1:$AE667,20,FALSE)*$Q331</f>
        <v>0</v>
      </c>
      <c r="AG331" s="56">
        <f>VLOOKUP(B331,'Player Data'!$A1:$AE667,21,FALSE)*$Q331</f>
        <v>0</v>
      </c>
      <c r="AH331" s="58">
        <f>VLOOKUP(B331,'Player Data'!$A1:$AE667,22,FALSE)</f>
        <v>0</v>
      </c>
      <c r="AI331" s="54"/>
      <c r="AJ331" s="56"/>
      <c r="AK331" s="56"/>
      <c r="AL331" s="56"/>
      <c r="AM331" s="56"/>
      <c r="AN331" s="56"/>
      <c r="AO331" s="56"/>
      <c r="AP331" s="56"/>
      <c r="AQ331" s="59"/>
      <c r="AR331" s="60"/>
      <c r="AS331" s="54"/>
    </row>
    <row r="332" spans="1:45" ht="21.25" customHeight="1" x14ac:dyDescent="0.15">
      <c r="A332" s="45">
        <f>RANK(K332,K$1:K$665)</f>
        <v>331</v>
      </c>
      <c r="B332" s="9" t="s">
        <v>457</v>
      </c>
      <c r="C332" s="46" t="s">
        <v>127</v>
      </c>
      <c r="D332" s="47" t="str">
        <f>VLOOKUP(B332,'Player Data'!A1:D667,4,FALSE)</f>
        <v>LW</v>
      </c>
      <c r="E332" s="70">
        <f>VLOOKUP(B332,LW!A1:C152,3,FALSE)</f>
        <v>78</v>
      </c>
      <c r="F332" s="77" t="str">
        <f>VLOOKUP(B332,'Player Data'!A1:B667,2,FALSE)</f>
        <v>STL</v>
      </c>
      <c r="G332" s="63">
        <f>VLOOKUP(B332,'Player Data'!A1:D667,3,FALSE)</f>
        <v>31</v>
      </c>
      <c r="H332" s="50">
        <f>IFERROR(VLOOKUP(B332,ADP!A1:G665,7,FALSE)/1000000,VLOOKUP(B332,ADP!A1:G665,7,FALSE))</f>
        <v>4.5</v>
      </c>
      <c r="I332" s="51">
        <f>IF(Settings!$E$15="POINTS",((R332*Q332)*Settings!$B$12)+(S332*Settings!$B$2)+(T332*Settings!$B$3)+(U332*Settings!$B$4)+(V332*Settings!$B$5)+(X332*Settings!$B$9)+(AA332*Settings!$B$6)+(W332*Settings!$B$8)+(AB332*Settings!$B$7)+(AC332*Settings!$B$14)+(AD332*Settings!$B$15)+(AE332*Settings!$B$16)+(AF332*Settings!$B$17)+(AG332*Settings!$B$18)+(Y332*Settings!$B$10)+(Z332*Settings!$B$11),VLOOKUP(B332,'Standard Deviations'!A1:C666,3,FALSE))</f>
        <v>215.44765408915742</v>
      </c>
      <c r="J332" s="52">
        <f>IF(D332="G",I332/AJ332,I332/Q332)</f>
        <v>2.6891459929373407</v>
      </c>
      <c r="K332" s="51">
        <f>IF(Settings!$E$18="C/LW/RW",VLOOKUP(B332,LW!A1:F152,6,FALSE),VLOOKUP(B332,F!A1:F392,6,FALSE))</f>
        <v>-165.61385821334233</v>
      </c>
      <c r="L332" s="53">
        <f>IFERROR(K332/H332,"N/A")</f>
        <v>-36.803079602964964</v>
      </c>
      <c r="M332" s="83" t="str">
        <f>IF(Settings!$E$9="YAHOO",VLOOKUP(B332,ADP!A1:E665,2,FALSE),IF(Settings!$E$9="ESPN",VLOOKUP(B332,ADP!A1:E665,3,FALSE),IF(Settings!$E$9="FANTRAX",VLOOKUP(B332,ADP!A1:E665,4,FALSE),VLOOKUP(B332,ADP!A1:E665,5,FALSE))))</f>
        <v>—</v>
      </c>
      <c r="N332" s="83" t="str">
        <f>IFERROR(M332-A332,"N/A")</f>
        <v>N/A</v>
      </c>
      <c r="O332" s="54"/>
      <c r="P332" s="55" t="str">
        <f>IF(Settings!$E$27="ON",VLOOKUP(B332,ADP!A1:H665,8,FALSE)," ")</f>
        <v xml:space="preserve"> </v>
      </c>
      <c r="Q332" s="56">
        <f>IF(Settings!$E$12="YES",VLOOKUP(B332,'Player Data'!A1:E667,5,FALSE),82)</f>
        <v>80.117500000000007</v>
      </c>
      <c r="R332" s="54">
        <f>VLOOKUP(B332,'Player Data'!$A1:$AE667,6,FALSE)</f>
        <v>16.078215872559198</v>
      </c>
      <c r="S332" s="56">
        <f>VLOOKUP(B332,'Player Data'!$A1:$AE667,7,FALSE)*$Q332*IFERROR((VLOOKUP(P332,Settings!$E$28:$F$33,2,FALSE)+1),1)</f>
        <v>22.011137853869855</v>
      </c>
      <c r="T332" s="56">
        <f>VLOOKUP(B332,'Player Data'!$A1:$AE667,8,FALSE)*$Q332*IFERROR((VLOOKUP(P332,Settings!$E$28:$F$33,2,FALSE)+1),1)</f>
        <v>19.250792977523769</v>
      </c>
      <c r="U332" s="56">
        <f>SUM(S332:T332)</f>
        <v>41.261930831393627</v>
      </c>
      <c r="V332" s="56">
        <f>VLOOKUP(B332,'Player Data'!$A1:$AE667,10,FALSE)*$Q332*IFERROR(((VLOOKUP(P332,Settings!$E$28:$F$33,2,FALSE)/2)+1),1)</f>
        <v>146.26579312997109</v>
      </c>
      <c r="W332" s="56">
        <f>VLOOKUP(B332,'Player Data'!$A1:$AE667,11,FALSE)*$Q332*IFERROR((VLOOKUP(P332,Settings!$E$28:$F$33,2,FALSE)+1),1)</f>
        <v>3.9408237036003579</v>
      </c>
      <c r="X332" s="56">
        <f>VLOOKUP(B332,'Player Data'!$A1:$AE667,12,FALSE)*$Q332*IFERROR((VLOOKUP(P332,Settings!$E$28:$F$33,2,FALSE)+1),1)</f>
        <v>5.9121660003027827</v>
      </c>
      <c r="Y332" s="56">
        <f>VLOOKUP(B332,'Player Data'!$A1:$AE667,13,FALSE)*$Q332</f>
        <v>0.44576540307929291</v>
      </c>
      <c r="Z332" s="56">
        <f>VLOOKUP(B332,'Player Data'!$A1:$AE667,14,FALSE)*$Q332</f>
        <v>0.81748637716061023</v>
      </c>
      <c r="AA332" s="56">
        <f>VLOOKUP(B332,'Player Data'!$A1:$AE667,15,FALSE)*$Q332</f>
        <v>23.598625305055265</v>
      </c>
      <c r="AB332" s="56">
        <f>VLOOKUP(B332,'Player Data'!$A1:$AE667,16,FALSE)*$Q332</f>
        <v>27.211765907318103</v>
      </c>
      <c r="AC332" s="56">
        <f>VLOOKUP(B332,'Player Data'!$A1:$AE667,17,FALSE)*$Q332*IFERROR((VLOOKUP(P332,Settings!$E$28:$F$33,2,FALSE)+1),1)</f>
        <v>-4.4006707574404693</v>
      </c>
      <c r="AD332" s="56">
        <f>VLOOKUP(B332,'Player Data'!$A1:$AE667,18,FALSE)*$Q332</f>
        <v>19.994275851706917</v>
      </c>
      <c r="AE332" s="56">
        <f>VLOOKUP(B332,'Player Data'!$A1:$AE667,19,FALSE)*$Q332*IFERROR((VLOOKUP(P332,Settings!$E$28:$F$33,2,FALSE)+1),1)</f>
        <v>2.6500109853937195</v>
      </c>
      <c r="AF332" s="56">
        <f>VLOOKUP(B332,'Player Data'!$A1:$AE667,20,FALSE)*$Q332</f>
        <v>10.954759856092696</v>
      </c>
      <c r="AG332" s="56">
        <f>VLOOKUP(B332,'Player Data'!$A1:$AE667,21,FALSE)*$Q332</f>
        <v>13.385350493198436</v>
      </c>
      <c r="AH332" s="58">
        <f>VLOOKUP(B332,'Player Data'!$A1:$AE667,22,FALSE)</f>
        <v>0.45007026257840099</v>
      </c>
      <c r="AI332" s="54"/>
      <c r="AJ332" s="56"/>
      <c r="AK332" s="56"/>
      <c r="AL332" s="56"/>
      <c r="AM332" s="56"/>
      <c r="AN332" s="56"/>
      <c r="AO332" s="56"/>
      <c r="AP332" s="56"/>
      <c r="AQ332" s="59"/>
      <c r="AR332" s="60"/>
      <c r="AS332" s="54"/>
    </row>
    <row r="333" spans="1:45" ht="21.25" customHeight="1" x14ac:dyDescent="0.15">
      <c r="A333" s="45">
        <f>RANK(K333,K$1:K$665)</f>
        <v>332</v>
      </c>
      <c r="B333" s="9" t="s">
        <v>458</v>
      </c>
      <c r="C333" s="46" t="s">
        <v>127</v>
      </c>
      <c r="D333" s="47" t="str">
        <f>VLOOKUP(B333,'Player Data'!A1:D667,4,FALSE)</f>
        <v>D</v>
      </c>
      <c r="E333" s="66">
        <f>VLOOKUP(B333,D!A1:C213,3,FALSE)</f>
        <v>115</v>
      </c>
      <c r="F333" s="72" t="str">
        <f>VLOOKUP(B333,'Player Data'!A1:B667,2,FALSE)</f>
        <v>MIN</v>
      </c>
      <c r="G333" s="10">
        <f>VLOOKUP(B333,'Player Data'!A1:D667,3,FALSE)</f>
        <v>28</v>
      </c>
      <c r="H333" s="50">
        <f>IFERROR(VLOOKUP(B333,ADP!A1:G665,7,FALSE)/1000000,VLOOKUP(B333,ADP!A1:G665,7,FALSE))</f>
        <v>2.4500000000000002</v>
      </c>
      <c r="I333" s="51">
        <f>IF(Settings!$E$15="POINTS",((R333*Q333)*Settings!$B$12)+(S333*Settings!$B$2)+(T333*Settings!$B$3)+(U333*Settings!$B$4)+(V333*Settings!$B$5)+(X333*Settings!$B$9)+(AA333*Settings!$B$6)+(W333*Settings!$B$8)+(AB333*Settings!$B$7)+(AC333*Settings!$B$14)+(AD333*Settings!$B$15)+(AE333*Settings!$B$16)+(AF333*Settings!$B$17)+(AG333*Settings!$B$18)+(U333*Settings!$B$13)+(Y333*Settings!$B$10)+(Z333*Settings!$B$11),VLOOKUP(B333,'Standard Deviations'!A1:C666,3,FALSE))</f>
        <v>170.55947995926539</v>
      </c>
      <c r="J333" s="52">
        <f>IF(D333="G",I333/AJ333,I333/Q333)</f>
        <v>2.1410259527288926</v>
      </c>
      <c r="K333" s="51">
        <f>VLOOKUP(B333,D!A1:F213,6,FALSE)</f>
        <v>-165.67464508632952</v>
      </c>
      <c r="L333" s="53">
        <f>IFERROR(K333/H333,"N/A")</f>
        <v>-67.622304116869188</v>
      </c>
      <c r="M333" s="83" t="str">
        <f>IF(Settings!$E$9="YAHOO",VLOOKUP(B333,ADP!A1:E665,2,FALSE),IF(Settings!$E$9="ESPN",VLOOKUP(B333,ADP!A1:E665,3,FALSE),IF(Settings!$E$9="FANTRAX",VLOOKUP(B333,ADP!A1:E665,4,FALSE),VLOOKUP(B333,ADP!A1:E665,5,FALSE))))</f>
        <v>—</v>
      </c>
      <c r="N333" s="83" t="str">
        <f>IFERROR(M333-A333,"N/A")</f>
        <v>N/A</v>
      </c>
      <c r="O333" s="54"/>
      <c r="P333" s="55" t="str">
        <f>IF(Settings!$E$27="ON",VLOOKUP(B333,ADP!A1:H665,8,FALSE)," ")</f>
        <v xml:space="preserve"> </v>
      </c>
      <c r="Q333" s="56">
        <f>IF(Settings!$E$12="YES",VLOOKUP(B333,'Player Data'!A1:E667,5,FALSE),82)</f>
        <v>79.662499999999994</v>
      </c>
      <c r="R333" s="81">
        <f>VLOOKUP(B333,'Player Data'!$A1:$AE667,6,FALSE)</f>
        <v>18.727395642989102</v>
      </c>
      <c r="S333" s="56">
        <f>VLOOKUP(B333,'Player Data'!$A1:$AE667,7,FALSE)*$Q333*IFERROR((VLOOKUP(P333,Settings!$E$28:$F$33,2,FALSE)+1),1)</f>
        <v>4.5962743763831027</v>
      </c>
      <c r="T333" s="56">
        <f>VLOOKUP(B333,'Player Data'!$A1:$AE667,8,FALSE)*$Q333*IFERROR((VLOOKUP(P333,Settings!$E$28:$F$33,2,FALSE)+1),1)</f>
        <v>13.994493936493011</v>
      </c>
      <c r="U333" s="56">
        <f>SUM(S333:T333)</f>
        <v>18.590768312876115</v>
      </c>
      <c r="V333" s="56">
        <f>VLOOKUP(B333,'Player Data'!$A1:$AE667,10,FALSE)*$Q333*IFERROR(((VLOOKUP(P333,Settings!$E$28:$F$33,2,FALSE)/2)+1),1)</f>
        <v>80.106409796480591</v>
      </c>
      <c r="W333" s="56">
        <f>VLOOKUP(B333,'Player Data'!$A1:$AE667,11,FALSE)*$Q333*IFERROR((VLOOKUP(P333,Settings!$E$28:$F$33,2,FALSE)+1),1)</f>
        <v>1.3670053186631656E-2</v>
      </c>
      <c r="X333" s="56">
        <f>VLOOKUP(B333,'Player Data'!$A1:$AE667,12,FALSE)*$Q333*IFERROR((VLOOKUP(P333,Settings!$E$28:$F$33,2,FALSE)+1),1)</f>
        <v>0.10944546997637992</v>
      </c>
      <c r="Y333" s="56">
        <f>VLOOKUP(B333,'Player Data'!$A1:$AE667,13,FALSE)*$Q333</f>
        <v>2.6083166972215105E-2</v>
      </c>
      <c r="Z333" s="56">
        <f>VLOOKUP(B333,'Player Data'!$A1:$AE667,14,FALSE)*$Q333</f>
        <v>0.93483556532892198</v>
      </c>
      <c r="AA333" s="56">
        <f>VLOOKUP(B333,'Player Data'!$A1:$AE667,15,FALSE)*$Q333</f>
        <v>147.37937817418296</v>
      </c>
      <c r="AB333" s="56">
        <f>VLOOKUP(B333,'Player Data'!$A1:$AE667,16,FALSE)*$Q333</f>
        <v>128.3277965383655</v>
      </c>
      <c r="AC333" s="56">
        <f>VLOOKUP(B333,'Player Data'!$A1:$AE667,17,FALSE)*$Q333*IFERROR((VLOOKUP(P333,Settings!$E$28:$F$33,2,FALSE)+1),1)</f>
        <v>-1.7572661109850798</v>
      </c>
      <c r="AD333" s="56">
        <f>VLOOKUP(B333,'Player Data'!$A1:$AE667,18,FALSE)*$Q333</f>
        <v>64.694848227937712</v>
      </c>
      <c r="AE333" s="56">
        <f>VLOOKUP(B333,'Player Data'!$A1:$AE667,19,FALSE)*$Q333*IFERROR((VLOOKUP(P333,Settings!$E$28:$F$33,2,FALSE)+1),1)</f>
        <v>0.75874896172091666</v>
      </c>
      <c r="AF333" s="56">
        <f>VLOOKUP(B333,'Player Data'!$A1:$AE667,20,FALSE)*$Q333</f>
        <v>0</v>
      </c>
      <c r="AG333" s="56">
        <f>VLOOKUP(B333,'Player Data'!$A1:$AE667,21,FALSE)*$Q333</f>
        <v>0</v>
      </c>
      <c r="AH333" s="58">
        <f>VLOOKUP(B333,'Player Data'!$A1:$AE667,22,FALSE)</f>
        <v>0</v>
      </c>
      <c r="AI333" s="54"/>
      <c r="AJ333" s="56"/>
      <c r="AK333" s="56"/>
      <c r="AL333" s="56"/>
      <c r="AM333" s="56"/>
      <c r="AN333" s="56"/>
      <c r="AO333" s="56"/>
      <c r="AP333" s="56"/>
      <c r="AQ333" s="59"/>
      <c r="AR333" s="60"/>
      <c r="AS333" s="54"/>
    </row>
    <row r="334" spans="1:45" ht="21.25" customHeight="1" x14ac:dyDescent="0.15">
      <c r="A334" s="45">
        <f>RANK(K334,K$1:K$665)</f>
        <v>333</v>
      </c>
      <c r="B334" s="9" t="s">
        <v>459</v>
      </c>
      <c r="C334" s="46" t="s">
        <v>127</v>
      </c>
      <c r="D334" s="47" t="str">
        <f>VLOOKUP(B334,'Player Data'!A1:D667,4,FALSE)</f>
        <v>D</v>
      </c>
      <c r="E334" s="66">
        <f>VLOOKUP(B334,D!A1:C213,3,FALSE)</f>
        <v>116</v>
      </c>
      <c r="F334" s="62" t="str">
        <f>VLOOKUP(B334,'Player Data'!A1:B667,2,FALSE)</f>
        <v>T.B</v>
      </c>
      <c r="G334" s="10">
        <f>VLOOKUP(B334,'Player Data'!A1:D667,3,FALSE)</f>
        <v>28</v>
      </c>
      <c r="H334" s="50">
        <f>IFERROR(VLOOKUP(B334,ADP!A1:G665,7,FALSE)/1000000,VLOOKUP(B334,ADP!A1:G665,7,FALSE))</f>
        <v>0.97499999999999998</v>
      </c>
      <c r="I334" s="51">
        <f>IF(Settings!$E$15="POINTS",((R334*Q334)*Settings!$B$12)+(S334*Settings!$B$2)+(T334*Settings!$B$3)+(U334*Settings!$B$4)+(V334*Settings!$B$5)+(X334*Settings!$B$9)+(AA334*Settings!$B$6)+(W334*Settings!$B$8)+(AB334*Settings!$B$7)+(AC334*Settings!$B$14)+(AD334*Settings!$B$15)+(AE334*Settings!$B$16)+(AF334*Settings!$B$17)+(AG334*Settings!$B$18)+(U334*Settings!$B$13)+(Y334*Settings!$B$10)+(Z334*Settings!$B$11),VLOOKUP(B334,'Standard Deviations'!A1:C666,3,FALSE))</f>
        <v>170.10383976216346</v>
      </c>
      <c r="J334" s="52">
        <f>IF(D334="G",I334/AJ334,I334/Q334)</f>
        <v>2.1626576792595951</v>
      </c>
      <c r="K334" s="51">
        <f>VLOOKUP(B334,D!A1:F213,6,FALSE)</f>
        <v>-166.13028528343145</v>
      </c>
      <c r="L334" s="53">
        <f>IFERROR(K334/H334,"N/A")</f>
        <v>-170.39003618813481</v>
      </c>
      <c r="M334" s="83" t="str">
        <f>IF(Settings!$E$9="YAHOO",VLOOKUP(B334,ADP!A1:E665,2,FALSE),IF(Settings!$E$9="ESPN",VLOOKUP(B334,ADP!A1:E665,3,FALSE),IF(Settings!$E$9="FANTRAX",VLOOKUP(B334,ADP!A1:E665,4,FALSE),VLOOKUP(B334,ADP!A1:E665,5,FALSE))))</f>
        <v>—</v>
      </c>
      <c r="N334" s="83" t="str">
        <f>IFERROR(M334-A334,"N/A")</f>
        <v>N/A</v>
      </c>
      <c r="O334" s="54"/>
      <c r="P334" s="55" t="str">
        <f>IF(Settings!$E$27="ON",VLOOKUP(B334,ADP!A1:H665,8,FALSE)," ")</f>
        <v xml:space="preserve"> </v>
      </c>
      <c r="Q334" s="56">
        <f>IF(Settings!$E$12="YES",VLOOKUP(B334,'Player Data'!A1:E667,5,FALSE),82)</f>
        <v>78.655000000000001</v>
      </c>
      <c r="R334" s="81">
        <f>VLOOKUP(B334,'Player Data'!$A1:$AE667,6,FALSE)</f>
        <v>17.213277473168901</v>
      </c>
      <c r="S334" s="56">
        <f>VLOOKUP(B334,'Player Data'!$A1:$AE667,7,FALSE)*$Q334*IFERROR((VLOOKUP(P334,Settings!$E$28:$F$33,2,FALSE)+1),1)</f>
        <v>4.6945465712672876</v>
      </c>
      <c r="T334" s="56">
        <f>VLOOKUP(B334,'Player Data'!$A1:$AE667,8,FALSE)*$Q334*IFERROR((VLOOKUP(P334,Settings!$E$28:$F$33,2,FALSE)+1),1)</f>
        <v>19.738163988440469</v>
      </c>
      <c r="U334" s="56">
        <f>SUM(S334:T334)</f>
        <v>24.432710559707758</v>
      </c>
      <c r="V334" s="56">
        <f>VLOOKUP(B334,'Player Data'!$A1:$AE667,10,FALSE)*$Q334*IFERROR(((VLOOKUP(P334,Settings!$E$28:$F$33,2,FALSE)/2)+1),1)</f>
        <v>89.063575031189472</v>
      </c>
      <c r="W334" s="56">
        <f>VLOOKUP(B334,'Player Data'!$A1:$AE667,11,FALSE)*$Q334*IFERROR((VLOOKUP(P334,Settings!$E$28:$F$33,2,FALSE)+1),1)</f>
        <v>0.67772922464330976</v>
      </c>
      <c r="X334" s="56">
        <f>VLOOKUP(B334,'Player Data'!$A1:$AE667,12,FALSE)*$Q334*IFERROR((VLOOKUP(P334,Settings!$E$28:$F$33,2,FALSE)+1),1)</f>
        <v>4.726585964778657</v>
      </c>
      <c r="Y334" s="56">
        <f>VLOOKUP(B334,'Player Data'!$A1:$AE667,13,FALSE)*$Q334</f>
        <v>2.1658946326026718E-2</v>
      </c>
      <c r="Z334" s="56">
        <f>VLOOKUP(B334,'Player Data'!$A1:$AE667,14,FALSE)*$Q334</f>
        <v>0.10782223960454125</v>
      </c>
      <c r="AA334" s="56">
        <f>VLOOKUP(B334,'Player Data'!$A1:$AE667,15,FALSE)*$Q334</f>
        <v>94.87902472612457</v>
      </c>
      <c r="AB334" s="56">
        <f>VLOOKUP(B334,'Player Data'!$A1:$AE667,16,FALSE)*$Q334</f>
        <v>80.176794892532357</v>
      </c>
      <c r="AC334" s="56">
        <f>VLOOKUP(B334,'Player Data'!$A1:$AE667,17,FALSE)*$Q334*IFERROR((VLOOKUP(P334,Settings!$E$28:$F$33,2,FALSE)+1),1)</f>
        <v>1.3682656425193882</v>
      </c>
      <c r="AD334" s="56">
        <f>VLOOKUP(B334,'Player Data'!$A1:$AE667,18,FALSE)*$Q334</f>
        <v>22.21558747662872</v>
      </c>
      <c r="AE334" s="56">
        <f>VLOOKUP(B334,'Player Data'!$A1:$AE667,19,FALSE)*$Q334*IFERROR((VLOOKUP(P334,Settings!$E$28:$F$33,2,FALSE)+1),1)</f>
        <v>0.73968037223007654</v>
      </c>
      <c r="AF334" s="56">
        <f>VLOOKUP(B334,'Player Data'!$A1:$AE667,20,FALSE)*$Q334</f>
        <v>0</v>
      </c>
      <c r="AG334" s="56">
        <f>VLOOKUP(B334,'Player Data'!$A1:$AE667,21,FALSE)*$Q334</f>
        <v>0</v>
      </c>
      <c r="AH334" s="58">
        <f>VLOOKUP(B334,'Player Data'!$A1:$AE667,22,FALSE)</f>
        <v>0</v>
      </c>
      <c r="AI334" s="54"/>
      <c r="AJ334" s="64"/>
      <c r="AK334" s="56"/>
      <c r="AL334" s="56"/>
      <c r="AM334" s="56"/>
      <c r="AN334" s="56"/>
      <c r="AO334" s="56"/>
      <c r="AP334" s="56"/>
      <c r="AQ334" s="59"/>
      <c r="AR334" s="60"/>
      <c r="AS334" s="54"/>
    </row>
    <row r="335" spans="1:45" ht="21.25" customHeight="1" x14ac:dyDescent="0.15">
      <c r="A335" s="45">
        <f>RANK(K335,K$1:K$665)</f>
        <v>334</v>
      </c>
      <c r="B335" s="9" t="s">
        <v>460</v>
      </c>
      <c r="C335" s="46" t="s">
        <v>127</v>
      </c>
      <c r="D335" s="47" t="str">
        <f>VLOOKUP(B335,'Player Data'!A1:D667,4,FALSE)</f>
        <v>C</v>
      </c>
      <c r="E335" s="48">
        <f>VLOOKUP(B335,'C'!A1:C206,3,FALSE)</f>
        <v>97</v>
      </c>
      <c r="F335" s="72" t="str">
        <f>VLOOKUP(B335,'Player Data'!A1:B667,2,FALSE)</f>
        <v>MIN</v>
      </c>
      <c r="G335" s="69">
        <f>VLOOKUP(B335,'Player Data'!A1:D667,3,FALSE)</f>
        <v>22</v>
      </c>
      <c r="H335" s="67">
        <f>IFERROR(VLOOKUP(B335,ADP!A1:G665,7,FALSE)/1000000,VLOOKUP(B335,ADP!A1:G665,7,FALSE))</f>
        <v>0.86333300000000002</v>
      </c>
      <c r="I335" s="51">
        <f>IF(Settings!$E$15="POINTS",((R335*Q335)*Settings!$B$12)+(S335*Settings!$B$2)+(T335*Settings!$B$3)+(U335*Settings!$B$4)+(V335*Settings!$B$5)+(X335*Settings!$B$9)+(AA335*Settings!$B$6)+(W335*Settings!$B$8)+(AB335*Settings!$B$7)+(AC335*Settings!$B$14)+(AD335*Settings!$B$15)+(AE335*Settings!$B$16)+(AF335*Settings!$B$17)+(AG335*Settings!$B$18)+(Y335*Settings!$B$10)+(Z335*Settings!$B$11),VLOOKUP(B335,'Standard Deviations'!A1:C666,3,FALSE))</f>
        <v>223.70754298518369</v>
      </c>
      <c r="J335" s="52">
        <f>IF(D335="G",I335/AJ335,I335/Q335)</f>
        <v>3.0295228761916739</v>
      </c>
      <c r="K335" s="51">
        <f>IF(Settings!$E$18="C/LW/RW",VLOOKUP(B335,'C'!A1:F206,6,FALSE),VLOOKUP(B335,F!A1:F392,6,FALSE))</f>
        <v>-166.22961479289739</v>
      </c>
      <c r="L335" s="53">
        <f>IFERROR(K335/H335,"N/A")</f>
        <v>-192.5440296998926</v>
      </c>
      <c r="M335" s="83" t="str">
        <f>IF(Settings!$E$9="YAHOO",VLOOKUP(B335,ADP!A1:E665,2,FALSE),IF(Settings!$E$9="ESPN",VLOOKUP(B335,ADP!A1:E665,3,FALSE),IF(Settings!$E$9="FANTRAX",VLOOKUP(B335,ADP!A1:E665,4,FALSE),VLOOKUP(B335,ADP!A1:E665,5,FALSE))))</f>
        <v>—</v>
      </c>
      <c r="N335" s="83" t="str">
        <f>IFERROR(M335-A335,"N/A")</f>
        <v>N/A</v>
      </c>
      <c r="O335" s="54"/>
      <c r="P335" s="55" t="str">
        <f>IF(Settings!$E$27="ON",VLOOKUP(B335,ADP!A1:H665,8,FALSE)," ")</f>
        <v>+ +</v>
      </c>
      <c r="Q335" s="56">
        <f>IF(Settings!$E$12="YES",VLOOKUP(B335,'Player Data'!A1:E667,5,FALSE),82)</f>
        <v>73.842500000000001</v>
      </c>
      <c r="R335" s="54">
        <f>VLOOKUP(B335,'Player Data'!$A1:$AE667,6,FALSE)</f>
        <v>16.822153385644501</v>
      </c>
      <c r="S335" s="56">
        <f>VLOOKUP(B335,'Player Data'!$A1:$AE667,7,FALSE)*$Q335*IFERROR((VLOOKUP(P335,Settings!$E$28:$F$33,2,FALSE)+1),1)</f>
        <v>19.37696178949999</v>
      </c>
      <c r="T335" s="56">
        <f>VLOOKUP(B335,'Player Data'!$A1:$AE667,8,FALSE)*$Q335*IFERROR((VLOOKUP(P335,Settings!$E$28:$F$33,2,FALSE)+1),1)</f>
        <v>20.738151509425169</v>
      </c>
      <c r="U335" s="56">
        <f>SUM(S335:T335)</f>
        <v>40.115113298925159</v>
      </c>
      <c r="V335" s="56">
        <f>VLOOKUP(B335,'Player Data'!$A1:$AE667,10,FALSE)*$Q335*IFERROR(((VLOOKUP(P335,Settings!$E$28:$F$33,2,FALSE)/2)+1),1)</f>
        <v>157.85548609296791</v>
      </c>
      <c r="W335" s="56">
        <f>VLOOKUP(B335,'Player Data'!$A1:$AE667,11,FALSE)*$Q335*IFERROR((VLOOKUP(P335,Settings!$E$28:$F$33,2,FALSE)+1),1)</f>
        <v>2.5190568295705993</v>
      </c>
      <c r="X335" s="56">
        <f>VLOOKUP(B335,'Player Data'!$A1:$AE667,12,FALSE)*$Q335*IFERROR((VLOOKUP(P335,Settings!$E$28:$F$33,2,FALSE)+1),1)</f>
        <v>7.1084775732732099</v>
      </c>
      <c r="Y335" s="56">
        <f>VLOOKUP(B335,'Player Data'!$A1:$AE667,13,FALSE)*$Q335</f>
        <v>3.6760671881520927E-2</v>
      </c>
      <c r="Z335" s="56">
        <f>VLOOKUP(B335,'Player Data'!$A1:$AE667,14,FALSE)*$Q335</f>
        <v>6.2343920438634001E-2</v>
      </c>
      <c r="AA335" s="56">
        <f>VLOOKUP(B335,'Player Data'!$A1:$AE667,15,FALSE)*$Q335</f>
        <v>34.527277096424847</v>
      </c>
      <c r="AB335" s="56">
        <f>VLOOKUP(B335,'Player Data'!$A1:$AE667,16,FALSE)*$Q335</f>
        <v>37.353123934575208</v>
      </c>
      <c r="AC335" s="56">
        <f>VLOOKUP(B335,'Player Data'!$A1:$AE667,17,FALSE)*$Q335*IFERROR((VLOOKUP(P335,Settings!$E$28:$F$33,2,FALSE)+1),1)</f>
        <v>0.54399762710633925</v>
      </c>
      <c r="AD335" s="56">
        <f>VLOOKUP(B335,'Player Data'!$A1:$AE667,18,FALSE)*$Q335</f>
        <v>35.057745172292684</v>
      </c>
      <c r="AE335" s="56">
        <f>VLOOKUP(B335,'Player Data'!$A1:$AE667,19,FALSE)*$Q335*IFERROR((VLOOKUP(P335,Settings!$E$28:$F$33,2,FALSE)+1),1)</f>
        <v>3.1987319370299367</v>
      </c>
      <c r="AF335" s="56">
        <f>VLOOKUP(B335,'Player Data'!$A1:$AE667,20,FALSE)*$Q335</f>
        <v>306.15353974725627</v>
      </c>
      <c r="AG335" s="56">
        <f>VLOOKUP(B335,'Player Data'!$A1:$AE667,21,FALSE)*$Q335</f>
        <v>375.82071136255928</v>
      </c>
      <c r="AH335" s="58">
        <f>VLOOKUP(B335,'Player Data'!$A1:$AE667,22,FALSE)</f>
        <v>0.44892243255377301</v>
      </c>
      <c r="AI335" s="54"/>
      <c r="AJ335" s="56"/>
      <c r="AK335" s="56"/>
      <c r="AL335" s="56"/>
      <c r="AM335" s="56"/>
      <c r="AN335" s="56"/>
      <c r="AO335" s="56"/>
      <c r="AP335" s="56"/>
      <c r="AQ335" s="59"/>
      <c r="AR335" s="60"/>
      <c r="AS335" s="54"/>
    </row>
    <row r="336" spans="1:45" ht="21.25" customHeight="1" x14ac:dyDescent="0.15">
      <c r="A336" s="45">
        <f>RANK(K336,K$1:K$665)</f>
        <v>335</v>
      </c>
      <c r="B336" s="9" t="s">
        <v>461</v>
      </c>
      <c r="C336" s="46" t="s">
        <v>127</v>
      </c>
      <c r="D336" s="47" t="str">
        <f>VLOOKUP(B336,'Player Data'!A1:D667,4,FALSE)</f>
        <v>D</v>
      </c>
      <c r="E336" s="66">
        <f>VLOOKUP(B336,D!A1:C213,3,FALSE)</f>
        <v>117</v>
      </c>
      <c r="F336" s="72" t="str">
        <f>VLOOKUP(B336,'Player Data'!A1:B667,2,FALSE)</f>
        <v>L.A</v>
      </c>
      <c r="G336" s="10">
        <f>VLOOKUP(B336,'Player Data'!A1:D667,3,FALSE)</f>
        <v>25</v>
      </c>
      <c r="H336" s="50">
        <f>IFERROR(VLOOKUP(B336,ADP!A1:G665,7,FALSE)/1000000,VLOOKUP(B336,ADP!A1:G665,7,FALSE))</f>
        <v>4.125</v>
      </c>
      <c r="I336" s="51">
        <f>IF(Settings!$E$15="POINTS",((R336*Q336)*Settings!$B$12)+(S336*Settings!$B$2)+(T336*Settings!$B$3)+(U336*Settings!$B$4)+(V336*Settings!$B$5)+(X336*Settings!$B$9)+(AA336*Settings!$B$6)+(W336*Settings!$B$8)+(AB336*Settings!$B$7)+(AC336*Settings!$B$14)+(AD336*Settings!$B$15)+(AE336*Settings!$B$16)+(AF336*Settings!$B$17)+(AG336*Settings!$B$18)+(U336*Settings!$B$13)+(Y336*Settings!$B$10)+(Z336*Settings!$B$11),VLOOKUP(B336,'Standard Deviations'!A1:C666,3,FALSE))</f>
        <v>169.76288650104428</v>
      </c>
      <c r="J336" s="52">
        <f>IF(D336="G",I336/AJ336,I336/Q336)</f>
        <v>2.1926815396176083</v>
      </c>
      <c r="K336" s="51">
        <f>VLOOKUP(B336,D!A1:F213,6,FALSE)</f>
        <v>-166.47123854455063</v>
      </c>
      <c r="L336" s="53">
        <f>IFERROR(K336/H336,"N/A")</f>
        <v>-40.356663889588035</v>
      </c>
      <c r="M336" s="83" t="str">
        <f>IF(Settings!$E$9="YAHOO",VLOOKUP(B336,ADP!A1:E665,2,FALSE),IF(Settings!$E$9="ESPN",VLOOKUP(B336,ADP!A1:E665,3,FALSE),IF(Settings!$E$9="FANTRAX",VLOOKUP(B336,ADP!A1:E665,4,FALSE),VLOOKUP(B336,ADP!A1:E665,5,FALSE))))</f>
        <v>—</v>
      </c>
      <c r="N336" s="83" t="str">
        <f>IFERROR(M336-A336,"N/A")</f>
        <v>N/A</v>
      </c>
      <c r="O336" s="54"/>
      <c r="P336" s="55" t="str">
        <f>IF(Settings!$E$27="ON",VLOOKUP(B336,ADP!A1:H665,8,FALSE)," ")</f>
        <v xml:space="preserve"> </v>
      </c>
      <c r="Q336" s="56">
        <f>IF(Settings!$E$12="YES",VLOOKUP(B336,'Player Data'!A1:E667,5,FALSE),82)</f>
        <v>77.422499999999999</v>
      </c>
      <c r="R336" s="54">
        <f>VLOOKUP(B336,'Player Data'!$A1:$AE667,6,FALSE)</f>
        <v>20.5479144384649</v>
      </c>
      <c r="S336" s="56">
        <f>VLOOKUP(B336,'Player Data'!$A1:$AE667,7,FALSE)*$Q336*IFERROR((VLOOKUP(P336,Settings!$E$28:$F$33,2,FALSE)+1),1)</f>
        <v>3.4009366449847707</v>
      </c>
      <c r="T336" s="56">
        <f>VLOOKUP(B336,'Player Data'!$A1:$AE667,8,FALSE)*$Q336*IFERROR((VLOOKUP(P336,Settings!$E$28:$F$33,2,FALSE)+1),1)</f>
        <v>15.840209249026419</v>
      </c>
      <c r="U336" s="56">
        <f>SUM(S336:T336)</f>
        <v>19.24114589401119</v>
      </c>
      <c r="V336" s="56">
        <f>VLOOKUP(B336,'Player Data'!$A1:$AE667,10,FALSE)*$Q336*IFERROR(((VLOOKUP(P336,Settings!$E$28:$F$33,2,FALSE)/2)+1),1)</f>
        <v>92.38008007586329</v>
      </c>
      <c r="W336" s="56">
        <f>VLOOKUP(B336,'Player Data'!$A1:$AE667,11,FALSE)*$Q336*IFERROR((VLOOKUP(P336,Settings!$E$28:$F$33,2,FALSE)+1),1)</f>
        <v>3.1493145472045826E-2</v>
      </c>
      <c r="X336" s="56">
        <f>VLOOKUP(B336,'Player Data'!$A1:$AE667,12,FALSE)*$Q336*IFERROR((VLOOKUP(P336,Settings!$E$28:$F$33,2,FALSE)+1),1)</f>
        <v>8.6903722316113499E-2</v>
      </c>
      <c r="Y336" s="56">
        <f>VLOOKUP(B336,'Player Data'!$A1:$AE667,13,FALSE)*$Q336</f>
        <v>2.9554037015869672E-2</v>
      </c>
      <c r="Z336" s="56">
        <f>VLOOKUP(B336,'Player Data'!$A1:$AE667,14,FALSE)*$Q336</f>
        <v>0.39862133135537492</v>
      </c>
      <c r="AA336" s="56">
        <f>VLOOKUP(B336,'Player Data'!$A1:$AE667,15,FALSE)*$Q336</f>
        <v>130.72776745481517</v>
      </c>
      <c r="AB336" s="56">
        <f>VLOOKUP(B336,'Player Data'!$A1:$AE667,16,FALSE)*$Q336</f>
        <v>133.71516224815124</v>
      </c>
      <c r="AC336" s="56">
        <f>VLOOKUP(B336,'Player Data'!$A1:$AE667,17,FALSE)*$Q336*IFERROR((VLOOKUP(P336,Settings!$E$28:$F$33,2,FALSE)+1),1)</f>
        <v>3.0966902711402429</v>
      </c>
      <c r="AD336" s="56">
        <f>VLOOKUP(B336,'Player Data'!$A1:$AE667,18,FALSE)*$Q336</f>
        <v>24.340703670913651</v>
      </c>
      <c r="AE336" s="56">
        <f>VLOOKUP(B336,'Player Data'!$A1:$AE667,19,FALSE)*$Q336*IFERROR((VLOOKUP(P336,Settings!$E$28:$F$33,2,FALSE)+1),1)</f>
        <v>0.60608660028949279</v>
      </c>
      <c r="AF336" s="56">
        <f>VLOOKUP(B336,'Player Data'!$A1:$AE667,20,FALSE)*$Q336</f>
        <v>0</v>
      </c>
      <c r="AG336" s="56">
        <f>VLOOKUP(B336,'Player Data'!$A1:$AE667,21,FALSE)*$Q336</f>
        <v>0</v>
      </c>
      <c r="AH336" s="58">
        <f>VLOOKUP(B336,'Player Data'!$A1:$AE667,22,FALSE)</f>
        <v>0</v>
      </c>
      <c r="AI336" s="54"/>
      <c r="AJ336" s="64"/>
      <c r="AK336" s="56"/>
      <c r="AL336" s="56"/>
      <c r="AM336" s="56"/>
      <c r="AN336" s="56"/>
      <c r="AO336" s="56"/>
      <c r="AP336" s="56"/>
      <c r="AQ336" s="59"/>
      <c r="AR336" s="60"/>
      <c r="AS336" s="54"/>
    </row>
    <row r="337" spans="1:45" ht="21.25" customHeight="1" x14ac:dyDescent="0.15">
      <c r="A337" s="45">
        <f>RANK(K337,K$1:K$665)</f>
        <v>336</v>
      </c>
      <c r="B337" s="9" t="s">
        <v>462</v>
      </c>
      <c r="C337" s="46" t="s">
        <v>127</v>
      </c>
      <c r="D337" s="47" t="str">
        <f>VLOOKUP(B337,'Player Data'!A1:D667,4,FALSE)</f>
        <v>G</v>
      </c>
      <c r="E337" s="73">
        <f>VLOOKUP(B337,G!A1:D65,3,FALSE)</f>
        <v>35</v>
      </c>
      <c r="F337" s="82" t="str">
        <f>VLOOKUP(B337,'Player Data'!A1:B667,2,FALSE)</f>
        <v>CHI</v>
      </c>
      <c r="G337" s="10">
        <f>VLOOKUP(B337,'Player Data'!A1:D667,3,FALSE)</f>
        <v>31</v>
      </c>
      <c r="H337" s="50">
        <f>IFERROR(VLOOKUP(B337,ADP!A1:G665,7,FALSE)/1000000,VLOOKUP(B337,ADP!A1:G665,7,FALSE))</f>
        <v>3.3</v>
      </c>
      <c r="I337" s="51">
        <f>IF(Settings!$E$15="POINTS",(AJ337*Settings!$B$29)+(AK337*Settings!$B$21)+(AL337*Settings!$B$22)+(AN337*Settings!$B$24)+(AO337*Settings!$B$25)+(AP337*Settings!$B$27)+(AM337*Settings!$B$23),VLOOKUP(B337,'Standard Deviations'!A1:C666,3,FALSE))</f>
        <v>244.0919819926612</v>
      </c>
      <c r="J337" s="52">
        <f>IF(D337="G",I337/AJ337,I337/Q337)</f>
        <v>6.7803328331294779</v>
      </c>
      <c r="K337" s="51">
        <f>VLOOKUP(B337,G!A1:F65,6,FALSE)</f>
        <v>-166.56776077675897</v>
      </c>
      <c r="L337" s="53">
        <f>IFERROR(K337/H337,"N/A")</f>
        <v>-50.475079023260299</v>
      </c>
      <c r="M337" s="83" t="str">
        <f>IF(Settings!$E$9="YAHOO",VLOOKUP(B337,ADP!A1:E665,2,FALSE),IF(Settings!$E$9="ESPN",VLOOKUP(B337,ADP!A1:E665,3,FALSE),IF(Settings!$E$9="FANTRAX",VLOOKUP(B337,ADP!A1:E665,4,FALSE),VLOOKUP(B337,ADP!A1:E665,5,FALSE))))</f>
        <v>—</v>
      </c>
      <c r="N337" s="83" t="str">
        <f>IFERROR(M337-A337,"N/A")</f>
        <v>N/A</v>
      </c>
      <c r="O337" s="54"/>
      <c r="P337" s="55" t="str">
        <f>IF(Settings!$E$27="ON",VLOOKUP(B337,ADP!A1:H665,8,FALSE)," ")</f>
        <v>-</v>
      </c>
      <c r="Q337" s="56"/>
      <c r="R337" s="54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8"/>
      <c r="AI337" s="54"/>
      <c r="AJ337" s="64">
        <f>VLOOKUP(B337,'Player Data'!$A1:$AE667,24,FALSE)</f>
        <v>36</v>
      </c>
      <c r="AK337" s="56">
        <f>VLOOKUP(B337,'Player Data'!$A1:$AE667,25,FALSE)*$AJ337*IFERROR((VLOOKUP(P337,Settings!$E$28:$F$33,2,FALSE)+1),1)</f>
        <v>14.615732790998816</v>
      </c>
      <c r="AL337" s="56">
        <f>AJ337-AK337-AM337</f>
        <v>16.884267209001184</v>
      </c>
      <c r="AM337" s="56">
        <f>VLOOKUP(B337,'Player Data'!$A1:$AE667,27,FALSE)*$AJ337</f>
        <v>4.5</v>
      </c>
      <c r="AN337" s="56">
        <f>VLOOKUP(B337,'Player Data'!$A1:$AE667,28,FALSE)*AJ337</f>
        <v>2.2194995182216486</v>
      </c>
      <c r="AO337" s="56">
        <f>VLOOKUP(B337,'Player Data'!$A1:$AE667,29,FALSE)*$AJ337*IFERROR((VLOOKUP(P337,Settings!$E$28:$F$33,2,FALSE)/4)+1,1)</f>
        <v>993.34650730831459</v>
      </c>
      <c r="AP337" s="56">
        <f>VLOOKUP(B337,'Player Data'!$A1:$AE667,31,FALSE)*$AJ337*(IFERROR(1-(VLOOKUP(P337,Settings!$E$28:$F$33,2,FALSE)/4),1))</f>
        <v>99.549323184238048</v>
      </c>
      <c r="AQ337" s="59">
        <f>1-(AP337/(AO337+AP337))</f>
        <v>0.90891234058476322</v>
      </c>
      <c r="AR337" s="60">
        <f>AP337/AJ337</f>
        <v>2.7652589773399456</v>
      </c>
      <c r="AS337" s="64"/>
    </row>
    <row r="338" spans="1:45" ht="21.25" customHeight="1" x14ac:dyDescent="0.15">
      <c r="A338" s="45">
        <f>RANK(K338,K$1:K$665)</f>
        <v>337</v>
      </c>
      <c r="B338" s="9" t="s">
        <v>463</v>
      </c>
      <c r="C338" s="46" t="s">
        <v>127</v>
      </c>
      <c r="D338" s="47" t="str">
        <f>VLOOKUP(B338,'Player Data'!A1:D667,4,FALSE)</f>
        <v>LW</v>
      </c>
      <c r="E338" s="70">
        <f>VLOOKUP(B338,LW!A1:C152,3,FALSE)</f>
        <v>79</v>
      </c>
      <c r="F338" s="72" t="str">
        <f>VLOOKUP(B338,'Player Data'!A1:B667,2,FALSE)</f>
        <v>NYI</v>
      </c>
      <c r="G338" s="63">
        <f>VLOOKUP(B338,'Player Data'!A1:D667,3,FALSE)</f>
        <v>34</v>
      </c>
      <c r="H338" s="50">
        <f>IFERROR(VLOOKUP(B338,ADP!A1:G665,7,FALSE)/1000000,VLOOKUP(B338,ADP!A1:G665,7,FALSE))</f>
        <v>7</v>
      </c>
      <c r="I338" s="51">
        <f>IF(Settings!$E$15="POINTS",((R338*Q338)*Settings!$B$12)+(S338*Settings!$B$2)+(T338*Settings!$B$3)+(U338*Settings!$B$4)+(V338*Settings!$B$5)+(X338*Settings!$B$9)+(AA338*Settings!$B$6)+(W338*Settings!$B$8)+(AB338*Settings!$B$7)+(AC338*Settings!$B$14)+(AD338*Settings!$B$15)+(AE338*Settings!$B$16)+(AF338*Settings!$B$17)+(AG338*Settings!$B$18)+(Y338*Settings!$B$10)+(Z338*Settings!$B$11),VLOOKUP(B338,'Standard Deviations'!A1:C666,3,FALSE))</f>
        <v>214.09980224262682</v>
      </c>
      <c r="J338" s="52">
        <f>IF(D338="G",I338/AJ338,I338/Q338)</f>
        <v>2.6349934124196404</v>
      </c>
      <c r="K338" s="51">
        <f>IF(Settings!$E$18="C/LW/RW",VLOOKUP(B338,LW!A1:F152,6,FALSE),VLOOKUP(B338,F!A1:F392,6,FALSE))</f>
        <v>-166.96171005987293</v>
      </c>
      <c r="L338" s="53">
        <f>IFERROR(K338/H338,"N/A")</f>
        <v>-23.851672865696134</v>
      </c>
      <c r="M338" s="83" t="str">
        <f>IF(Settings!$E$9="YAHOO",VLOOKUP(B338,ADP!A1:E665,2,FALSE),IF(Settings!$E$9="ESPN",VLOOKUP(B338,ADP!A1:E665,3,FALSE),IF(Settings!$E$9="FANTRAX",VLOOKUP(B338,ADP!A1:E665,4,FALSE),VLOOKUP(B338,ADP!A1:E665,5,FALSE))))</f>
        <v>—</v>
      </c>
      <c r="N338" s="83" t="str">
        <f>IFERROR(M338-A338,"N/A")</f>
        <v>N/A</v>
      </c>
      <c r="O338" s="54"/>
      <c r="P338" s="55" t="str">
        <f>IF(Settings!$E$27="ON",VLOOKUP(B338,ADP!A1:H665,8,FALSE)," ")</f>
        <v xml:space="preserve"> </v>
      </c>
      <c r="Q338" s="56">
        <f>IF(Settings!$E$12="YES",VLOOKUP(B338,'Player Data'!A1:E667,5,FALSE),82)</f>
        <v>81.252499999999998</v>
      </c>
      <c r="R338" s="81">
        <f>VLOOKUP(B338,'Player Data'!$A1:$AE667,6,FALSE)</f>
        <v>14.432751726882</v>
      </c>
      <c r="S338" s="56">
        <f>VLOOKUP(B338,'Player Data'!$A1:$AE667,7,FALSE)*$Q338*IFERROR((VLOOKUP(P338,Settings!$E$28:$F$33,2,FALSE)+1),1)</f>
        <v>18.240400379845084</v>
      </c>
      <c r="T338" s="56">
        <f>VLOOKUP(B338,'Player Data'!$A1:$AE667,8,FALSE)*$Q338*IFERROR((VLOOKUP(P338,Settings!$E$28:$F$33,2,FALSE)+1),1)</f>
        <v>15.909466762933414</v>
      </c>
      <c r="U338" s="56">
        <f>SUM(S338:T338)</f>
        <v>34.149867142778497</v>
      </c>
      <c r="V338" s="56">
        <f>VLOOKUP(B338,'Player Data'!$A1:$AE667,10,FALSE)*$Q338*IFERROR(((VLOOKUP(P338,Settings!$E$28:$F$33,2,FALSE)/2)+1),1)</f>
        <v>164.20131487512228</v>
      </c>
      <c r="W338" s="56">
        <f>VLOOKUP(B338,'Player Data'!$A1:$AE667,11,FALSE)*$Q338*IFERROR((VLOOKUP(P338,Settings!$E$28:$F$33,2,FALSE)+1),1)</f>
        <v>3.5252639477600471</v>
      </c>
      <c r="X338" s="56">
        <f>VLOOKUP(B338,'Player Data'!$A1:$AE667,12,FALSE)*$Q338*IFERROR((VLOOKUP(P338,Settings!$E$28:$F$33,2,FALSE)+1),1)</f>
        <v>5.6018674986093551</v>
      </c>
      <c r="Y338" s="56">
        <f>VLOOKUP(B338,'Player Data'!$A1:$AE667,13,FALSE)*$Q338</f>
        <v>4.1740929107854669E-3</v>
      </c>
      <c r="Z338" s="56">
        <f>VLOOKUP(B338,'Player Data'!$A1:$AE667,14,FALSE)*$Q338</f>
        <v>7.0114568275589963E-3</v>
      </c>
      <c r="AA338" s="56">
        <f>VLOOKUP(B338,'Player Data'!$A1:$AE667,15,FALSE)*$Q338</f>
        <v>47.881328842586534</v>
      </c>
      <c r="AB338" s="56">
        <f>VLOOKUP(B338,'Player Data'!$A1:$AE667,16,FALSE)*$Q338</f>
        <v>136.19518178905153</v>
      </c>
      <c r="AC338" s="56">
        <f>VLOOKUP(B338,'Player Data'!$A1:$AE667,17,FALSE)*$Q338*IFERROR((VLOOKUP(P338,Settings!$E$28:$F$33,2,FALSE)+1),1)</f>
        <v>4.3724110306617376</v>
      </c>
      <c r="AD338" s="56">
        <f>VLOOKUP(B338,'Player Data'!$A1:$AE667,18,FALSE)*$Q338</f>
        <v>43.93344352538</v>
      </c>
      <c r="AE338" s="56">
        <f>VLOOKUP(B338,'Player Data'!$A1:$AE667,19,FALSE)*$Q338*IFERROR((VLOOKUP(P338,Settings!$E$28:$F$33,2,FALSE)+1),1)</f>
        <v>2.8666419570371624</v>
      </c>
      <c r="AF338" s="56">
        <f>VLOOKUP(B338,'Player Data'!$A1:$AE667,20,FALSE)*$Q338</f>
        <v>25.66147060499388</v>
      </c>
      <c r="AG338" s="56">
        <f>VLOOKUP(B338,'Player Data'!$A1:$AE667,21,FALSE)*$Q338</f>
        <v>27.337418016209199</v>
      </c>
      <c r="AH338" s="58">
        <f>VLOOKUP(B338,'Player Data'!$A1:$AE667,22,FALSE)</f>
        <v>0.48418884381525701</v>
      </c>
      <c r="AI338" s="54"/>
      <c r="AJ338" s="56"/>
      <c r="AK338" s="56"/>
      <c r="AL338" s="56"/>
      <c r="AM338" s="56"/>
      <c r="AN338" s="56"/>
      <c r="AO338" s="56"/>
      <c r="AP338" s="56"/>
      <c r="AQ338" s="59"/>
      <c r="AR338" s="60"/>
      <c r="AS338" s="54"/>
    </row>
    <row r="339" spans="1:45" ht="21.25" customHeight="1" x14ac:dyDescent="0.15">
      <c r="A339" s="45">
        <f>RANK(K339,K$1:K$665)</f>
        <v>338</v>
      </c>
      <c r="B339" s="9" t="s">
        <v>464</v>
      </c>
      <c r="C339" s="46" t="s">
        <v>127</v>
      </c>
      <c r="D339" s="47" t="str">
        <f>VLOOKUP(B339,'Player Data'!A1:D667,4,FALSE)</f>
        <v>C/LW</v>
      </c>
      <c r="E339" s="68">
        <f>VLOOKUP(B339,LW!A1:C152,3,FALSE)</f>
        <v>80</v>
      </c>
      <c r="F339" s="65" t="str">
        <f>VLOOKUP(B339,'Player Data'!A1:B667,2,FALSE)</f>
        <v>EDM</v>
      </c>
      <c r="G339" s="63">
        <f>VLOOKUP(B339,'Player Data'!A1:D667,3,FALSE)</f>
        <v>34</v>
      </c>
      <c r="H339" s="50">
        <f>IFERROR(VLOOKUP(B339,ADP!A1:G665,7,FALSE)/1000000,VLOOKUP(B339,ADP!A1:G665,7,FALSE))</f>
        <v>3</v>
      </c>
      <c r="I339" s="51">
        <f>IF(Settings!$E$15="POINTS",((R339*Q339)*Settings!$B$12)+(S339*Settings!$B$2)+(T339*Settings!$B$3)+(U339*Settings!$B$4)+(V339*Settings!$B$5)+(X339*Settings!$B$9)+(AA339*Settings!$B$6)+(W339*Settings!$B$8)+(AB339*Settings!$B$7)+(AC339*Settings!$B$14)+(AD339*Settings!$B$15)+(AE339*Settings!$B$16)+(AF339*Settings!$B$17)+(AG339*Settings!$B$18)+(Y339*Settings!$B$10)+(Z339*Settings!$B$11),VLOOKUP(B339,'Standard Deviations'!A1:C666,3,FALSE))</f>
        <v>214.07090462123315</v>
      </c>
      <c r="J339" s="52">
        <f>IF(D339="G",I339/AJ339,I339/Q339)</f>
        <v>2.7844810694749373</v>
      </c>
      <c r="K339" s="51">
        <f>IF(Settings!$E$18="C/LW/RW",VLOOKUP(B339,LW!A1:F152,6,FALSE),VLOOKUP(B339,F!A1:F392,6,FALSE))</f>
        <v>-166.9906076812666</v>
      </c>
      <c r="L339" s="53">
        <f>IFERROR(K339/H339,"N/A")</f>
        <v>-55.66353589375553</v>
      </c>
      <c r="M339" s="83" t="str">
        <f>IF(Settings!$E$9="YAHOO",VLOOKUP(B339,ADP!A1:E665,2,FALSE),IF(Settings!$E$9="ESPN",VLOOKUP(B339,ADP!A1:E665,3,FALSE),IF(Settings!$E$9="FANTRAX",VLOOKUP(B339,ADP!A1:E665,4,FALSE),VLOOKUP(B339,ADP!A1:E665,5,FALSE))))</f>
        <v>—</v>
      </c>
      <c r="N339" s="83" t="str">
        <f>IFERROR(M339-A339,"N/A")</f>
        <v>N/A</v>
      </c>
      <c r="O339" s="54"/>
      <c r="P339" s="55" t="str">
        <f>IF(Settings!$E$27="ON",VLOOKUP(B339,ADP!A1:H665,8,FALSE)," ")</f>
        <v xml:space="preserve"> </v>
      </c>
      <c r="Q339" s="56">
        <f>IF(Settings!$E$12="YES",VLOOKUP(B339,'Player Data'!A1:E667,5,FALSE),82)</f>
        <v>76.88</v>
      </c>
      <c r="R339" s="54">
        <f>VLOOKUP(B339,'Player Data'!$A1:$AE667,6,FALSE)</f>
        <v>15.941269520968801</v>
      </c>
      <c r="S339" s="56">
        <f>VLOOKUP(B339,'Player Data'!$A1:$AE667,7,FALSE)*$Q339*IFERROR((VLOOKUP(P339,Settings!$E$28:$F$33,2,FALSE)+1),1)</f>
        <v>18.138949735222749</v>
      </c>
      <c r="T339" s="56">
        <f>VLOOKUP(B339,'Player Data'!$A1:$AE667,8,FALSE)*$Q339*IFERROR((VLOOKUP(P339,Settings!$E$28:$F$33,2,FALSE)+1),1)</f>
        <v>18.800069654707308</v>
      </c>
      <c r="U339" s="56">
        <f>SUM(S339:T339)</f>
        <v>36.939019389930053</v>
      </c>
      <c r="V339" s="56">
        <f>VLOOKUP(B339,'Player Data'!$A1:$AE667,10,FALSE)*$Q339*IFERROR(((VLOOKUP(P339,Settings!$E$28:$F$33,2,FALSE)/2)+1),1)</f>
        <v>128.31814064292217</v>
      </c>
      <c r="W339" s="56">
        <f>VLOOKUP(B339,'Player Data'!$A1:$AE667,11,FALSE)*$Q339*IFERROR((VLOOKUP(P339,Settings!$E$28:$F$33,2,FALSE)+1),1)</f>
        <v>2.3285034217592822</v>
      </c>
      <c r="X339" s="56">
        <f>VLOOKUP(B339,'Player Data'!$A1:$AE667,12,FALSE)*$Q339*IFERROR((VLOOKUP(P339,Settings!$E$28:$F$33,2,FALSE)+1),1)</f>
        <v>4.9542934943962038</v>
      </c>
      <c r="Y339" s="56">
        <f>VLOOKUP(B339,'Player Data'!$A1:$AE667,13,FALSE)*$Q339</f>
        <v>0.56023557356776243</v>
      </c>
      <c r="Z339" s="56">
        <f>VLOOKUP(B339,'Player Data'!$A1:$AE667,14,FALSE)*$Q339</f>
        <v>1.9945925175708605</v>
      </c>
      <c r="AA339" s="56">
        <f>VLOOKUP(B339,'Player Data'!$A1:$AE667,15,FALSE)*$Q339</f>
        <v>64.291780236029695</v>
      </c>
      <c r="AB339" s="56">
        <f>VLOOKUP(B339,'Player Data'!$A1:$AE667,16,FALSE)*$Q339</f>
        <v>76.977504035339649</v>
      </c>
      <c r="AC339" s="56">
        <f>VLOOKUP(B339,'Player Data'!$A1:$AE667,17,FALSE)*$Q339*IFERROR((VLOOKUP(P339,Settings!$E$28:$F$33,2,FALSE)+1),1)</f>
        <v>0.79181848712213077</v>
      </c>
      <c r="AD339" s="56">
        <f>VLOOKUP(B339,'Player Data'!$A1:$AE667,18,FALSE)*$Q339</f>
        <v>24.328374849682284</v>
      </c>
      <c r="AE339" s="56">
        <f>VLOOKUP(B339,'Player Data'!$A1:$AE667,19,FALSE)*$Q339*IFERROR((VLOOKUP(P339,Settings!$E$28:$F$33,2,FALSE)+1),1)</f>
        <v>2.9289897655660884</v>
      </c>
      <c r="AF339" s="56">
        <f>VLOOKUP(B339,'Player Data'!$A1:$AE667,20,FALSE)*$Q339</f>
        <v>471.3516963116333</v>
      </c>
      <c r="AG339" s="56">
        <f>VLOOKUP(B339,'Player Data'!$A1:$AE667,21,FALSE)*$Q339</f>
        <v>417.96029415336648</v>
      </c>
      <c r="AH339" s="58">
        <f>VLOOKUP(B339,'Player Data'!$A1:$AE667,22,FALSE)</f>
        <v>0.530018375289391</v>
      </c>
      <c r="AI339" s="54"/>
      <c r="AJ339" s="56"/>
      <c r="AK339" s="56"/>
      <c r="AL339" s="56"/>
      <c r="AM339" s="56"/>
      <c r="AN339" s="56"/>
      <c r="AO339" s="56"/>
      <c r="AP339" s="56"/>
      <c r="AQ339" s="59"/>
      <c r="AR339" s="60"/>
      <c r="AS339" s="54"/>
    </row>
    <row r="340" spans="1:45" ht="21.25" customHeight="1" x14ac:dyDescent="0.15">
      <c r="A340" s="45">
        <f>RANK(K340,K$1:K$665)</f>
        <v>339</v>
      </c>
      <c r="B340" s="9" t="s">
        <v>465</v>
      </c>
      <c r="C340" s="46" t="s">
        <v>127</v>
      </c>
      <c r="D340" s="47" t="str">
        <f>VLOOKUP(B340,'Player Data'!A1:D667,4,FALSE)</f>
        <v>LW/RW</v>
      </c>
      <c r="E340" s="68">
        <f>VLOOKUP(B340,RW!A1:C136,3,FALSE)</f>
        <v>81</v>
      </c>
      <c r="F340" s="55" t="str">
        <f>VLOOKUP(B340,'Player Data'!A1:B667,2,FALSE)</f>
        <v>UTA</v>
      </c>
      <c r="G340" s="69">
        <f>VLOOKUP(B340,'Player Data'!A1:D667,3,FALSE)</f>
        <v>22</v>
      </c>
      <c r="H340" s="50">
        <f>IFERROR(VLOOKUP(B340,ADP!A1:G665,7,FALSE)/1000000,VLOOKUP(B340,ADP!A1:G665,7,FALSE))</f>
        <v>0.92500000000000004</v>
      </c>
      <c r="I340" s="51">
        <f>IF(Settings!$E$15="POINTS",((R340*Q340)*Settings!$B$12)+(S340*Settings!$B$2)+(T340*Settings!$B$3)+(U340*Settings!$B$4)+(V340*Settings!$B$5)+(X340*Settings!$B$9)+(AA340*Settings!$B$6)+(W340*Settings!$B$8)+(AB340*Settings!$B$7)+(AC340*Settings!$B$14)+(AD340*Settings!$B$15)+(AE340*Settings!$B$16)+(AF340*Settings!$B$17)+(AG340*Settings!$B$18)+(Y340*Settings!$B$10)+(Z340*Settings!$B$11),VLOOKUP(B340,'Standard Deviations'!A1:C666,3,FALSE))</f>
        <v>201.65756224576916</v>
      </c>
      <c r="J340" s="52">
        <f>IF(D340="G",I340/AJ340,I340/Q340)</f>
        <v>2.9655523859671935</v>
      </c>
      <c r="K340" s="51">
        <f>IF(Settings!$E$18="C/LW/RW",VLOOKUP(B340,RW!A1:F136,6,FALSE),VLOOKUP(B340,F!A1:F392,6,FALSE))</f>
        <v>-167.19016086052324</v>
      </c>
      <c r="L340" s="53">
        <f>IFERROR(K340/H340,"N/A")</f>
        <v>-180.7461198492143</v>
      </c>
      <c r="M340" s="83" t="str">
        <f>IF(Settings!$E$9="YAHOO",VLOOKUP(B340,ADP!A1:E665,2,FALSE),IF(Settings!$E$9="ESPN",VLOOKUP(B340,ADP!A1:E665,3,FALSE),IF(Settings!$E$9="FANTRAX",VLOOKUP(B340,ADP!A1:E665,4,FALSE),VLOOKUP(B340,ADP!A1:E665,5,FALSE))))</f>
        <v>—</v>
      </c>
      <c r="N340" s="83" t="str">
        <f>IFERROR(M340-A340,"N/A")</f>
        <v>N/A</v>
      </c>
      <c r="O340" s="54"/>
      <c r="P340" s="55" t="str">
        <f>IF(Settings!$E$27="ON",VLOOKUP(B340,ADP!A1:H665,8,FALSE)," ")</f>
        <v xml:space="preserve"> </v>
      </c>
      <c r="Q340" s="56">
        <f>IF(Settings!$E$12="YES",VLOOKUP(B340,'Player Data'!A1:E667,5,FALSE),82)</f>
        <v>68</v>
      </c>
      <c r="R340" s="75">
        <f>VLOOKUP(B340,'Player Data'!$A1:$AE667,6,FALSE)</f>
        <v>13.420804933541101</v>
      </c>
      <c r="S340" s="56">
        <f>VLOOKUP(B340,'Player Data'!$A1:$AE667,7,FALSE)*$Q340*IFERROR((VLOOKUP(P340,Settings!$E$28:$F$33,2,FALSE)+1),1)</f>
        <v>18.654009370373569</v>
      </c>
      <c r="T340" s="56">
        <f>VLOOKUP(B340,'Player Data'!$A1:$AE667,8,FALSE)*$Q340*IFERROR((VLOOKUP(P340,Settings!$E$28:$F$33,2,FALSE)+1),1)</f>
        <v>20.077999946565605</v>
      </c>
      <c r="U340" s="56">
        <f>SUM(S340:T340)</f>
        <v>38.73200931693917</v>
      </c>
      <c r="V340" s="56">
        <f>VLOOKUP(B340,'Player Data'!$A1:$AE667,10,FALSE)*$Q340*IFERROR(((VLOOKUP(P340,Settings!$E$28:$F$33,2,FALSE)/2)+1),1)</f>
        <v>130.15856345584328</v>
      </c>
      <c r="W340" s="56">
        <f>VLOOKUP(B340,'Player Data'!$A1:$AE667,11,FALSE)*$Q340*IFERROR((VLOOKUP(P340,Settings!$E$28:$F$33,2,FALSE)+1),1)</f>
        <v>1.0417576873973773</v>
      </c>
      <c r="X340" s="56">
        <f>VLOOKUP(B340,'Player Data'!$A1:$AE667,12,FALSE)*$Q340*IFERROR((VLOOKUP(P340,Settings!$E$28:$F$33,2,FALSE)+1),1)</f>
        <v>2.4028825207062936</v>
      </c>
      <c r="Y340" s="56">
        <f>VLOOKUP(B340,'Player Data'!$A1:$AE667,13,FALSE)*$Q340</f>
        <v>0</v>
      </c>
      <c r="Z340" s="56">
        <f>VLOOKUP(B340,'Player Data'!$A1:$AE667,14,FALSE)*$Q340</f>
        <v>0</v>
      </c>
      <c r="AA340" s="56">
        <f>VLOOKUP(B340,'Player Data'!$A1:$AE667,15,FALSE)*$Q340</f>
        <v>35.958740092647346</v>
      </c>
      <c r="AB340" s="56">
        <f>VLOOKUP(B340,'Player Data'!$A1:$AE667,16,FALSE)*$Q340</f>
        <v>64.85363387236238</v>
      </c>
      <c r="AC340" s="56">
        <f>VLOOKUP(B340,'Player Data'!$A1:$AE667,17,FALSE)*$Q340*IFERROR((VLOOKUP(P340,Settings!$E$28:$F$33,2,FALSE)+1),1)</f>
        <v>1.4260084592255464</v>
      </c>
      <c r="AD340" s="56">
        <f>VLOOKUP(B340,'Player Data'!$A1:$AE667,18,FALSE)*$Q340</f>
        <v>20.27915273755066</v>
      </c>
      <c r="AE340" s="56">
        <f>VLOOKUP(B340,'Player Data'!$A1:$AE667,19,FALSE)*$Q340*IFERROR((VLOOKUP(P340,Settings!$E$28:$F$33,2,FALSE)+1),1)</f>
        <v>2.7296298652495596</v>
      </c>
      <c r="AF340" s="56">
        <f>VLOOKUP(B340,'Player Data'!$A1:$AE667,20,FALSE)*$Q340</f>
        <v>33.705670537774949</v>
      </c>
      <c r="AG340" s="56">
        <f>VLOOKUP(B340,'Player Data'!$A1:$AE667,21,FALSE)*$Q340</f>
        <v>47.187938752884889</v>
      </c>
      <c r="AH340" s="58">
        <f>VLOOKUP(B340,'Player Data'!$A1:$AE667,22,FALSE)</f>
        <v>0.41666666666666702</v>
      </c>
      <c r="AI340" s="54"/>
      <c r="AJ340" s="64"/>
      <c r="AK340" s="56"/>
      <c r="AL340" s="56"/>
      <c r="AM340" s="56"/>
      <c r="AN340" s="56"/>
      <c r="AO340" s="56"/>
      <c r="AP340" s="56"/>
      <c r="AQ340" s="59"/>
      <c r="AR340" s="60"/>
      <c r="AS340" s="54"/>
    </row>
    <row r="341" spans="1:45" ht="21.25" customHeight="1" x14ac:dyDescent="0.15">
      <c r="A341" s="45">
        <f>RANK(K341,K$1:K$665)</f>
        <v>340</v>
      </c>
      <c r="B341" s="9" t="s">
        <v>466</v>
      </c>
      <c r="C341" s="46" t="s">
        <v>127</v>
      </c>
      <c r="D341" s="47" t="str">
        <f>VLOOKUP(B341,'Player Data'!A1:D667,4,FALSE)</f>
        <v>LW</v>
      </c>
      <c r="E341" s="70">
        <f>VLOOKUP(B341,LW!A1:C152,3,FALSE)</f>
        <v>81</v>
      </c>
      <c r="F341" s="77" t="str">
        <f>VLOOKUP(B341,'Player Data'!A1:B667,2,FALSE)</f>
        <v>CBJ</v>
      </c>
      <c r="G341" s="69">
        <f>VLOOKUP(B341,'Player Data'!A1:D667,3,FALSE)</f>
        <v>23</v>
      </c>
      <c r="H341" s="67">
        <f>IFERROR(VLOOKUP(B341,ADP!A1:G665,7,FALSE)/1000000,VLOOKUP(B341,ADP!A1:G665,7,FALSE))</f>
        <v>0.92500000000000004</v>
      </c>
      <c r="I341" s="51">
        <f>IF(Settings!$E$15="POINTS",((R341*Q341)*Settings!$B$12)+(S341*Settings!$B$2)+(T341*Settings!$B$3)+(U341*Settings!$B$4)+(V341*Settings!$B$5)+(X341*Settings!$B$9)+(AA341*Settings!$B$6)+(W341*Settings!$B$8)+(AB341*Settings!$B$7)+(AC341*Settings!$B$14)+(AD341*Settings!$B$15)+(AE341*Settings!$B$16)+(AF341*Settings!$B$17)+(AG341*Settings!$B$18)+(Y341*Settings!$B$10)+(Z341*Settings!$B$11),VLOOKUP(B341,'Standard Deviations'!A1:C666,3,FALSE))</f>
        <v>213.7926580212345</v>
      </c>
      <c r="J341" s="52">
        <f>IF(D341="G",I341/AJ341,I341/Q341)</f>
        <v>2.7019609228592039</v>
      </c>
      <c r="K341" s="51">
        <f>IF(Settings!$E$18="C/LW/RW",VLOOKUP(B341,LW!A1:F152,6,FALSE),VLOOKUP(B341,F!A1:F392,6,FALSE))</f>
        <v>-167.26885428126525</v>
      </c>
      <c r="L341" s="53">
        <f>IFERROR(K341/H341,"N/A")</f>
        <v>-180.83119381758405</v>
      </c>
      <c r="M341" s="83" t="str">
        <f>IF(Settings!$E$9="YAHOO",VLOOKUP(B341,ADP!A1:E665,2,FALSE),IF(Settings!$E$9="ESPN",VLOOKUP(B341,ADP!A1:E665,3,FALSE),IF(Settings!$E$9="FANTRAX",VLOOKUP(B341,ADP!A1:E665,4,FALSE),VLOOKUP(B341,ADP!A1:E665,5,FALSE))))</f>
        <v>—</v>
      </c>
      <c r="N341" s="83" t="str">
        <f>IFERROR(M341-A341,"N/A")</f>
        <v>N/A</v>
      </c>
      <c r="O341" s="54"/>
      <c r="P341" s="55" t="str">
        <f>IF(Settings!$E$27="ON",VLOOKUP(B341,ADP!A1:H665,8,FALSE)," ")</f>
        <v xml:space="preserve"> </v>
      </c>
      <c r="Q341" s="56">
        <f>IF(Settings!$E$12="YES",VLOOKUP(B341,'Player Data'!A1:E667,5,FALSE),82)</f>
        <v>79.125</v>
      </c>
      <c r="R341" s="54">
        <f>VLOOKUP(B341,'Player Data'!$A1:$AE667,6,FALSE)</f>
        <v>13.8449896019333</v>
      </c>
      <c r="S341" s="56">
        <f>VLOOKUP(B341,'Player Data'!$A1:$AE667,7,FALSE)*$Q341*IFERROR((VLOOKUP(P341,Settings!$E$28:$F$33,2,FALSE)+1),1)</f>
        <v>17.350317983071626</v>
      </c>
      <c r="T341" s="56">
        <f>VLOOKUP(B341,'Player Data'!$A1:$AE667,8,FALSE)*$Q341*IFERROR((VLOOKUP(P341,Settings!$E$28:$F$33,2,FALSE)+1),1)</f>
        <v>18.333648615520442</v>
      </c>
      <c r="U341" s="56">
        <f>SUM(S341:T341)</f>
        <v>35.683966598592065</v>
      </c>
      <c r="V341" s="56">
        <f>VLOOKUP(B341,'Player Data'!$A1:$AE667,10,FALSE)*$Q341*IFERROR(((VLOOKUP(P341,Settings!$E$28:$F$33,2,FALSE)/2)+1),1)</f>
        <v>148.05079142685901</v>
      </c>
      <c r="W341" s="56">
        <f>VLOOKUP(B341,'Player Data'!$A1:$AE667,11,FALSE)*$Q341*IFERROR((VLOOKUP(P341,Settings!$E$28:$F$33,2,FALSE)+1),1)</f>
        <v>4.7392909345302225</v>
      </c>
      <c r="X341" s="56">
        <f>VLOOKUP(B341,'Player Data'!$A1:$AE667,12,FALSE)*$Q341*IFERROR((VLOOKUP(P341,Settings!$E$28:$F$33,2,FALSE)+1),1)</f>
        <v>7.5106997539357705</v>
      </c>
      <c r="Y341" s="56">
        <f>VLOOKUP(B341,'Player Data'!$A1:$AE667,13,FALSE)*$Q341</f>
        <v>5.2119676465492608E-3</v>
      </c>
      <c r="Z341" s="56">
        <f>VLOOKUP(B341,'Player Data'!$A1:$AE667,14,FALSE)*$Q341</f>
        <v>8.8284334051459273E-3</v>
      </c>
      <c r="AA341" s="56">
        <f>VLOOKUP(B341,'Player Data'!$A1:$AE667,15,FALSE)*$Q341</f>
        <v>50.391668649375781</v>
      </c>
      <c r="AB341" s="56">
        <f>VLOOKUP(B341,'Player Data'!$A1:$AE667,16,FALSE)*$Q341</f>
        <v>88.655836536019549</v>
      </c>
      <c r="AC341" s="56">
        <f>VLOOKUP(B341,'Player Data'!$A1:$AE667,17,FALSE)*$Q341*IFERROR((VLOOKUP(P341,Settings!$E$28:$F$33,2,FALSE)+1),1)</f>
        <v>-6.1228442650486903</v>
      </c>
      <c r="AD341" s="56">
        <f>VLOOKUP(B341,'Player Data'!$A1:$AE667,18,FALSE)*$Q341</f>
        <v>45.695492077948643</v>
      </c>
      <c r="AE341" s="56">
        <f>VLOOKUP(B341,'Player Data'!$A1:$AE667,19,FALSE)*$Q341*IFERROR((VLOOKUP(P341,Settings!$E$28:$F$33,2,FALSE)+1),1)</f>
        <v>1.9186736213877902</v>
      </c>
      <c r="AF341" s="56">
        <f>VLOOKUP(B341,'Player Data'!$A1:$AE667,20,FALSE)*$Q341</f>
        <v>300.66215207434442</v>
      </c>
      <c r="AG341" s="56">
        <f>VLOOKUP(B341,'Player Data'!$A1:$AE667,21,FALSE)*$Q341</f>
        <v>412.46071403700608</v>
      </c>
      <c r="AH341" s="58">
        <f>VLOOKUP(B341,'Player Data'!$A1:$AE667,22,FALSE)</f>
        <v>0.42161339421613397</v>
      </c>
      <c r="AI341" s="54"/>
      <c r="AJ341" s="56"/>
      <c r="AK341" s="56"/>
      <c r="AL341" s="56"/>
      <c r="AM341" s="56"/>
      <c r="AN341" s="56"/>
      <c r="AO341" s="56"/>
      <c r="AP341" s="56"/>
      <c r="AQ341" s="59"/>
      <c r="AR341" s="60"/>
      <c r="AS341" s="54"/>
    </row>
    <row r="342" spans="1:45" ht="21.25" customHeight="1" x14ac:dyDescent="0.15">
      <c r="A342" s="45">
        <f>RANK(K342,K$1:K$665)</f>
        <v>341</v>
      </c>
      <c r="B342" s="9" t="s">
        <v>467</v>
      </c>
      <c r="C342" s="46" t="s">
        <v>127</v>
      </c>
      <c r="D342" s="47" t="str">
        <f>VLOOKUP(B342,'Player Data'!A1:D667,4,FALSE)</f>
        <v>LW/RW</v>
      </c>
      <c r="E342" s="68">
        <f>VLOOKUP(B342,RW!A1:C136,3,FALSE)</f>
        <v>82</v>
      </c>
      <c r="F342" s="72" t="str">
        <f>VLOOKUP(B342,'Player Data'!A1:B667,2,FALSE)</f>
        <v>L.A</v>
      </c>
      <c r="G342" s="10">
        <f>VLOOKUP(B342,'Player Data'!A1:D667,3,FALSE)</f>
        <v>28</v>
      </c>
      <c r="H342" s="50">
        <f>IFERROR(VLOOKUP(B342,ADP!A1:G665,7,FALSE)/1000000,VLOOKUP(B342,ADP!A1:G665,7,FALSE))</f>
        <v>3.5</v>
      </c>
      <c r="I342" s="51">
        <f>IF(Settings!$E$15="POINTS",((R342*Q342)*Settings!$B$12)+(S342*Settings!$B$2)+(T342*Settings!$B$3)+(U342*Settings!$B$4)+(V342*Settings!$B$5)+(X342*Settings!$B$9)+(AA342*Settings!$B$6)+(W342*Settings!$B$8)+(AB342*Settings!$B$7)+(AC342*Settings!$B$14)+(AD342*Settings!$B$15)+(AE342*Settings!$B$16)+(AF342*Settings!$B$17)+(AG342*Settings!$B$18)+(Y342*Settings!$B$10)+(Z342*Settings!$B$11),VLOOKUP(B342,'Standard Deviations'!A1:C666,3,FALSE))</f>
        <v>200.10505816891566</v>
      </c>
      <c r="J342" s="52">
        <f>IF(D342="G",I342/AJ342,I342/Q342)</f>
        <v>2.5023297985921236</v>
      </c>
      <c r="K342" s="51">
        <f>IF(Settings!$E$18="C/LW/RW",VLOOKUP(B342,RW!A1:F136,6,FALSE),VLOOKUP(B342,F!A1:F392,6,FALSE))</f>
        <v>-168.74266493737673</v>
      </c>
      <c r="L342" s="53">
        <f>IFERROR(K342/H342,"N/A")</f>
        <v>-48.212189982107638</v>
      </c>
      <c r="M342" s="83" t="str">
        <f>IF(Settings!$E$9="YAHOO",VLOOKUP(B342,ADP!A1:E665,2,FALSE),IF(Settings!$E$9="ESPN",VLOOKUP(B342,ADP!A1:E665,3,FALSE),IF(Settings!$E$9="FANTRAX",VLOOKUP(B342,ADP!A1:E665,4,FALSE),VLOOKUP(B342,ADP!A1:E665,5,FALSE))))</f>
        <v>—</v>
      </c>
      <c r="N342" s="83" t="str">
        <f>IFERROR(M342-A342,"N/A")</f>
        <v>N/A</v>
      </c>
      <c r="O342" s="54"/>
      <c r="P342" s="55" t="str">
        <f>IF(Settings!$E$27="ON",VLOOKUP(B342,ADP!A1:H665,8,FALSE)," ")</f>
        <v xml:space="preserve"> </v>
      </c>
      <c r="Q342" s="56">
        <f>IF(Settings!$E$12="YES",VLOOKUP(B342,'Player Data'!A1:E667,5,FALSE),82)</f>
        <v>79.967500000000001</v>
      </c>
      <c r="R342" s="54">
        <f>VLOOKUP(B342,'Player Data'!$A1:$AE667,6,FALSE)</f>
        <v>14.264014803440899</v>
      </c>
      <c r="S342" s="56">
        <f>VLOOKUP(B342,'Player Data'!$A1:$AE667,7,FALSE)*$Q342*IFERROR((VLOOKUP(P342,Settings!$E$28:$F$33,2,FALSE)+1),1)</f>
        <v>14.058651499550828</v>
      </c>
      <c r="T342" s="56">
        <f>VLOOKUP(B342,'Player Data'!$A1:$AE667,8,FALSE)*$Q342*IFERROR((VLOOKUP(P342,Settings!$E$28:$F$33,2,FALSE)+1),1)</f>
        <v>16.212765549964001</v>
      </c>
      <c r="U342" s="56">
        <f>SUM(S342:T342)</f>
        <v>30.271417049514831</v>
      </c>
      <c r="V342" s="56">
        <f>VLOOKUP(B342,'Player Data'!$A1:$AE667,10,FALSE)*$Q342*IFERROR(((VLOOKUP(P342,Settings!$E$28:$F$33,2,FALSE)/2)+1),1)</f>
        <v>179.51856221237691</v>
      </c>
      <c r="W342" s="56">
        <f>VLOOKUP(B342,'Player Data'!$A1:$AE667,11,FALSE)*$Q342*IFERROR((VLOOKUP(P342,Settings!$E$28:$F$33,2,FALSE)+1),1)</f>
        <v>0.65720483759642656</v>
      </c>
      <c r="X342" s="56">
        <f>VLOOKUP(B342,'Player Data'!$A1:$AE667,12,FALSE)*$Q342*IFERROR((VLOOKUP(P342,Settings!$E$28:$F$33,2,FALSE)+1),1)</f>
        <v>1.1094049336246803</v>
      </c>
      <c r="Y342" s="56">
        <f>VLOOKUP(B342,'Player Data'!$A1:$AE667,13,FALSE)*$Q342</f>
        <v>1.1104164043925127</v>
      </c>
      <c r="Z342" s="56">
        <f>VLOOKUP(B342,'Player Data'!$A1:$AE667,14,FALSE)*$Q342</f>
        <v>1.8483096021852941</v>
      </c>
      <c r="AA342" s="56">
        <f>VLOOKUP(B342,'Player Data'!$A1:$AE667,15,FALSE)*$Q342</f>
        <v>33.147622756745534</v>
      </c>
      <c r="AB342" s="56">
        <f>VLOOKUP(B342,'Player Data'!$A1:$AE667,16,FALSE)*$Q342</f>
        <v>97.367732809319207</v>
      </c>
      <c r="AC342" s="56">
        <f>VLOOKUP(B342,'Player Data'!$A1:$AE667,17,FALSE)*$Q342*IFERROR((VLOOKUP(P342,Settings!$E$28:$F$33,2,FALSE)+1),1)</f>
        <v>7.1299281663492291</v>
      </c>
      <c r="AD342" s="56">
        <f>VLOOKUP(B342,'Player Data'!$A1:$AE667,18,FALSE)*$Q342</f>
        <v>33.495332985725433</v>
      </c>
      <c r="AE342" s="56">
        <f>VLOOKUP(B342,'Player Data'!$A1:$AE667,19,FALSE)*$Q342*IFERROR((VLOOKUP(P342,Settings!$E$28:$F$33,2,FALSE)+1),1)</f>
        <v>2.5054157667367249</v>
      </c>
      <c r="AF342" s="56">
        <f>VLOOKUP(B342,'Player Data'!$A1:$AE667,20,FALSE)*$Q342</f>
        <v>6.9536277543879486</v>
      </c>
      <c r="AG342" s="56">
        <f>VLOOKUP(B342,'Player Data'!$A1:$AE667,21,FALSE)*$Q342</f>
        <v>7.5021003225525691</v>
      </c>
      <c r="AH342" s="58">
        <f>VLOOKUP(B342,'Player Data'!$A1:$AE667,22,FALSE)</f>
        <v>0.48102923058439601</v>
      </c>
      <c r="AI342" s="54"/>
      <c r="AJ342" s="56"/>
      <c r="AK342" s="56"/>
      <c r="AL342" s="56"/>
      <c r="AM342" s="56"/>
      <c r="AN342" s="56"/>
      <c r="AO342" s="56"/>
      <c r="AP342" s="56"/>
      <c r="AQ342" s="59"/>
      <c r="AR342" s="60"/>
      <c r="AS342" s="64"/>
    </row>
    <row r="343" spans="1:45" ht="21.25" customHeight="1" x14ac:dyDescent="0.15">
      <c r="A343" s="45">
        <f>RANK(K343,K$1:K$665)</f>
        <v>342</v>
      </c>
      <c r="B343" s="9" t="s">
        <v>468</v>
      </c>
      <c r="C343" s="46" t="s">
        <v>127</v>
      </c>
      <c r="D343" s="47" t="str">
        <f>VLOOKUP(B343,'Player Data'!A1:D667,4,FALSE)</f>
        <v>LW</v>
      </c>
      <c r="E343" s="70">
        <f>VLOOKUP(B343,LW!A1:C152,3,FALSE)</f>
        <v>82</v>
      </c>
      <c r="F343" s="65" t="str">
        <f>VLOOKUP(B343,'Player Data'!A1:B667,2,FALSE)</f>
        <v>BUF</v>
      </c>
      <c r="G343" s="69">
        <f>VLOOKUP(B343,'Player Data'!A1:D667,3,FALSE)</f>
        <v>19</v>
      </c>
      <c r="H343" s="50">
        <f>IFERROR(VLOOKUP(B343,ADP!A1:G665,7,FALSE)/1000000,VLOOKUP(B343,ADP!A1:G665,7,FALSE))</f>
        <v>0.95</v>
      </c>
      <c r="I343" s="51">
        <f>IF(Settings!$E$15="POINTS",((R343*Q343)*Settings!$B$12)+(S343*Settings!$B$2)+(T343*Settings!$B$3)+(U343*Settings!$B$4)+(V343*Settings!$B$5)+(X343*Settings!$B$9)+(AA343*Settings!$B$6)+(W343*Settings!$B$8)+(AB343*Settings!$B$7)+(AC343*Settings!$B$14)+(AD343*Settings!$B$15)+(AE343*Settings!$B$16)+(AF343*Settings!$B$17)+(AG343*Settings!$B$18)+(Y343*Settings!$B$10)+(Z343*Settings!$B$11),VLOOKUP(B343,'Standard Deviations'!A1:C666,3,FALSE))</f>
        <v>211.79045893320122</v>
      </c>
      <c r="J343" s="52">
        <f>IF(D343="G",I343/AJ343,I343/Q343)</f>
        <v>2.7340148316426931</v>
      </c>
      <c r="K343" s="51">
        <f>IF(Settings!$E$18="C/LW/RW",VLOOKUP(B343,LW!A1:F152,6,FALSE),VLOOKUP(B343,F!A1:F392,6,FALSE))</f>
        <v>-169.27105336929853</v>
      </c>
      <c r="L343" s="53">
        <f>IFERROR(K343/H343,"N/A")</f>
        <v>-178.18005617820899</v>
      </c>
      <c r="M343" s="83" t="str">
        <f>IF(Settings!$E$9="YAHOO",VLOOKUP(B343,ADP!A1:E665,2,FALSE),IF(Settings!$E$9="ESPN",VLOOKUP(B343,ADP!A1:E665,3,FALSE),IF(Settings!$E$9="FANTRAX",VLOOKUP(B343,ADP!A1:E665,4,FALSE),VLOOKUP(B343,ADP!A1:E665,5,FALSE))))</f>
        <v>—</v>
      </c>
      <c r="N343" s="83" t="str">
        <f>IFERROR(M343-A343,"N/A")</f>
        <v>N/A</v>
      </c>
      <c r="O343" s="54"/>
      <c r="P343" s="55" t="str">
        <f>IF(Settings!$E$27="ON",VLOOKUP(B343,ADP!A1:H665,8,FALSE)," ")</f>
        <v xml:space="preserve"> </v>
      </c>
      <c r="Q343" s="56">
        <f>IF(Settings!$E$12="YES",VLOOKUP(B343,'Player Data'!A1:E667,5,FALSE),82)</f>
        <v>77.465000000000003</v>
      </c>
      <c r="R343" s="54">
        <f>VLOOKUP(B343,'Player Data'!$A1:$AE667,6,FALSE)</f>
        <v>15.201005681121501</v>
      </c>
      <c r="S343" s="56">
        <f>VLOOKUP(B343,'Player Data'!$A1:$AE667,7,FALSE)*$Q343*IFERROR((VLOOKUP(P343,Settings!$E$28:$F$33,2,FALSE)+1),1)</f>
        <v>16.243738160257966</v>
      </c>
      <c r="T343" s="56">
        <f>VLOOKUP(B343,'Player Data'!$A1:$AE667,8,FALSE)*$Q343*IFERROR((VLOOKUP(P343,Settings!$E$28:$F$33,2,FALSE)+1),1)</f>
        <v>25.535804589445469</v>
      </c>
      <c r="U343" s="56">
        <f>SUM(S343:T343)</f>
        <v>41.779542749703438</v>
      </c>
      <c r="V343" s="56">
        <f>VLOOKUP(B343,'Player Data'!$A1:$AE667,10,FALSE)*$Q343*IFERROR(((VLOOKUP(P343,Settings!$E$28:$F$33,2,FALSE)/2)+1),1)</f>
        <v>123.08191574739817</v>
      </c>
      <c r="W343" s="56">
        <f>VLOOKUP(B343,'Player Data'!$A1:$AE667,11,FALSE)*$Q343*IFERROR((VLOOKUP(P343,Settings!$E$28:$F$33,2,FALSE)+1),1)</f>
        <v>1.4142611090201334</v>
      </c>
      <c r="X343" s="56">
        <f>VLOOKUP(B343,'Player Data'!$A1:$AE667,12,FALSE)*$Q343*IFERROR((VLOOKUP(P343,Settings!$E$28:$F$33,2,FALSE)+1),1)</f>
        <v>5.4004219812331655</v>
      </c>
      <c r="Y343" s="56">
        <f>VLOOKUP(B343,'Player Data'!$A1:$AE667,13,FALSE)*$Q343</f>
        <v>0.11640041340221172</v>
      </c>
      <c r="Z343" s="56">
        <f>VLOOKUP(B343,'Player Data'!$A1:$AE667,14,FALSE)*$Q343</f>
        <v>0.19392256541828465</v>
      </c>
      <c r="AA343" s="56">
        <f>VLOOKUP(B343,'Player Data'!$A1:$AE667,15,FALSE)*$Q343</f>
        <v>38.633056527480711</v>
      </c>
      <c r="AB343" s="56">
        <f>VLOOKUP(B343,'Player Data'!$A1:$AE667,16,FALSE)*$Q343</f>
        <v>48.85853443628389</v>
      </c>
      <c r="AC343" s="56">
        <f>VLOOKUP(B343,'Player Data'!$A1:$AE667,17,FALSE)*$Q343*IFERROR((VLOOKUP(P343,Settings!$E$28:$F$33,2,FALSE)+1),1)</f>
        <v>-0.51477676460372523</v>
      </c>
      <c r="AD343" s="56">
        <f>VLOOKUP(B343,'Player Data'!$A1:$AE667,18,FALSE)*$Q343</f>
        <v>37.633244690922666</v>
      </c>
      <c r="AE343" s="56">
        <f>VLOOKUP(B343,'Player Data'!$A1:$AE667,19,FALSE)*$Q343*IFERROR((VLOOKUP(P343,Settings!$E$28:$F$33,2,FALSE)+1),1)</f>
        <v>2.2977650616634286</v>
      </c>
      <c r="AF343" s="56">
        <f>VLOOKUP(B343,'Player Data'!$A1:$AE667,20,FALSE)*$Q343</f>
        <v>5.7121938096692748</v>
      </c>
      <c r="AG343" s="56">
        <f>VLOOKUP(B343,'Player Data'!$A1:$AE667,21,FALSE)*$Q343</f>
        <v>13.709265143206236</v>
      </c>
      <c r="AH343" s="58">
        <f>VLOOKUP(B343,'Player Data'!$A1:$AE667,22,FALSE)</f>
        <v>0.29411764705882398</v>
      </c>
      <c r="AI343" s="54"/>
      <c r="AJ343" s="56"/>
      <c r="AK343" s="56"/>
      <c r="AL343" s="56"/>
      <c r="AM343" s="56"/>
      <c r="AN343" s="56"/>
      <c r="AO343" s="56"/>
      <c r="AP343" s="56"/>
      <c r="AQ343" s="59"/>
      <c r="AR343" s="60"/>
      <c r="AS343" s="54"/>
    </row>
    <row r="344" spans="1:45" ht="21.25" customHeight="1" x14ac:dyDescent="0.15">
      <c r="A344" s="45">
        <f>RANK(K344,K$1:K$665)</f>
        <v>343</v>
      </c>
      <c r="B344" s="9" t="s">
        <v>469</v>
      </c>
      <c r="C344" s="46" t="s">
        <v>127</v>
      </c>
      <c r="D344" s="47" t="str">
        <f>VLOOKUP(B344,'Player Data'!A1:D667,4,FALSE)</f>
        <v>C</v>
      </c>
      <c r="E344" s="48">
        <f>VLOOKUP(B344,'C'!A1:C206,3,FALSE)</f>
        <v>99</v>
      </c>
      <c r="F344" s="80" t="str">
        <f>VLOOKUP(B344,'Player Data'!A1:B667,2,FALSE)</f>
        <v>PHI</v>
      </c>
      <c r="G344" s="63">
        <f>VLOOKUP(B344,'Player Data'!A1:D667,3,FALSE)</f>
        <v>31</v>
      </c>
      <c r="H344" s="50">
        <f>IFERROR(VLOOKUP(B344,ADP!A1:G665,7,FALSE)/1000000,VLOOKUP(B344,ADP!A1:G665,7,FALSE))</f>
        <v>7.75</v>
      </c>
      <c r="I344" s="51">
        <f>IF(Settings!$E$15="POINTS",((R344*Q344)*Settings!$B$12)+(S344*Settings!$B$2)+(T344*Settings!$B$3)+(U344*Settings!$B$4)+(V344*Settings!$B$5)+(X344*Settings!$B$9)+(AA344*Settings!$B$6)+(W344*Settings!$B$8)+(AB344*Settings!$B$7)+(AC344*Settings!$B$14)+(AD344*Settings!$B$15)+(AE344*Settings!$B$16)+(AF344*Settings!$B$17)+(AG344*Settings!$B$18)+(Y344*Settings!$B$10)+(Z344*Settings!$B$11),VLOOKUP(B344,'Standard Deviations'!A1:C666,3,FALSE))</f>
        <v>219.82712491198868</v>
      </c>
      <c r="J344" s="52">
        <f>IF(D344="G",I344/AJ344,I344/Q344)</f>
        <v>3.2316825302214518</v>
      </c>
      <c r="K344" s="51">
        <f>IF(Settings!$E$18="C/LW/RW",VLOOKUP(B344,'C'!A1:F206,6,FALSE),VLOOKUP(B344,F!A1:F392,6,FALSE))</f>
        <v>-170.11003286609241</v>
      </c>
      <c r="L344" s="53">
        <f>IFERROR(K344/H344,"N/A")</f>
        <v>-21.949681660140957</v>
      </c>
      <c r="M344" s="83" t="str">
        <f>IF(Settings!$E$9="YAHOO",VLOOKUP(B344,ADP!A1:E665,2,FALSE),IF(Settings!$E$9="ESPN",VLOOKUP(B344,ADP!A1:E665,3,FALSE),IF(Settings!$E$9="FANTRAX",VLOOKUP(B344,ADP!A1:E665,4,FALSE),VLOOKUP(B344,ADP!A1:E665,5,FALSE))))</f>
        <v>—</v>
      </c>
      <c r="N344" s="83" t="str">
        <f>IFERROR(M344-A344,"N/A")</f>
        <v>N/A</v>
      </c>
      <c r="O344" s="54"/>
      <c r="P344" s="55" t="str">
        <f>IF(Settings!$E$27="ON",VLOOKUP(B344,ADP!A1:H665,8,FALSE)," ")</f>
        <v>+</v>
      </c>
      <c r="Q344" s="56">
        <f>IF(Settings!$E$12="YES",VLOOKUP(B344,'Player Data'!A1:E667,5,FALSE),82)</f>
        <v>68.022499999999994</v>
      </c>
      <c r="R344" s="54">
        <f>VLOOKUP(B344,'Player Data'!$A1:$AE667,6,FALSE)</f>
        <v>17.710429290092101</v>
      </c>
      <c r="S344" s="56">
        <f>VLOOKUP(B344,'Player Data'!$A1:$AE667,7,FALSE)*$Q344*IFERROR((VLOOKUP(P344,Settings!$E$28:$F$33,2,FALSE)+1),1)</f>
        <v>11.20676316148554</v>
      </c>
      <c r="T344" s="56">
        <f>VLOOKUP(B344,'Player Data'!$A1:$AE667,8,FALSE)*$Q344*IFERROR((VLOOKUP(P344,Settings!$E$28:$F$33,2,FALSE)+1),1)</f>
        <v>24.88932932647397</v>
      </c>
      <c r="U344" s="56">
        <f>SUM(S344:T344)</f>
        <v>36.09609248795951</v>
      </c>
      <c r="V344" s="56">
        <f>VLOOKUP(B344,'Player Data'!$A1:$AE667,10,FALSE)*$Q344*IFERROR(((VLOOKUP(P344,Settings!$E$28:$F$33,2,FALSE)/2)+1),1)</f>
        <v>170.30960782686336</v>
      </c>
      <c r="W344" s="56">
        <f>VLOOKUP(B344,'Player Data'!$A1:$AE667,11,FALSE)*$Q344*IFERROR((VLOOKUP(P344,Settings!$E$28:$F$33,2,FALSE)+1),1)</f>
        <v>2.2631419496214344</v>
      </c>
      <c r="X344" s="56">
        <f>VLOOKUP(B344,'Player Data'!$A1:$AE667,12,FALSE)*$Q344*IFERROR((VLOOKUP(P344,Settings!$E$28:$F$33,2,FALSE)+1),1)</f>
        <v>5.3270969593790456</v>
      </c>
      <c r="Y344" s="56">
        <f>VLOOKUP(B344,'Player Data'!$A1:$AE667,13,FALSE)*$Q344</f>
        <v>0.15121736866327026</v>
      </c>
      <c r="Z344" s="56">
        <f>VLOOKUP(B344,'Player Data'!$A1:$AE667,14,FALSE)*$Q344</f>
        <v>1.8936677416962537</v>
      </c>
      <c r="AA344" s="56">
        <f>VLOOKUP(B344,'Player Data'!$A1:$AE667,15,FALSE)*$Q344</f>
        <v>38.32655766720638</v>
      </c>
      <c r="AB344" s="56">
        <f>VLOOKUP(B344,'Player Data'!$A1:$AE667,16,FALSE)*$Q344</f>
        <v>52.68889371246982</v>
      </c>
      <c r="AC344" s="56">
        <f>VLOOKUP(B344,'Player Data'!$A1:$AE667,17,FALSE)*$Q344*IFERROR((VLOOKUP(P344,Settings!$E$28:$F$33,2,FALSE)+1),1)</f>
        <v>-1.9133538798447129</v>
      </c>
      <c r="AD344" s="56">
        <f>VLOOKUP(B344,'Player Data'!$A1:$AE667,18,FALSE)*$Q344</f>
        <v>29.496942936723318</v>
      </c>
      <c r="AE344" s="56">
        <f>VLOOKUP(B344,'Player Data'!$A1:$AE667,19,FALSE)*$Q344*IFERROR((VLOOKUP(P344,Settings!$E$28:$F$33,2,FALSE)+1),1)</f>
        <v>1.624415019520175</v>
      </c>
      <c r="AF344" s="56">
        <f>VLOOKUP(B344,'Player Data'!$A1:$AE667,20,FALSE)*$Q344</f>
        <v>623.4041595053443</v>
      </c>
      <c r="AG344" s="56">
        <f>VLOOKUP(B344,'Player Data'!$A1:$AE667,21,FALSE)*$Q344</f>
        <v>532.71148004078304</v>
      </c>
      <c r="AH344" s="58">
        <f>VLOOKUP(B344,'Player Data'!$A1:$AE667,22,FALSE)</f>
        <v>0.53922301384148996</v>
      </c>
      <c r="AI344" s="54"/>
      <c r="AJ344" s="56"/>
      <c r="AK344" s="56"/>
      <c r="AL344" s="56"/>
      <c r="AM344" s="56"/>
      <c r="AN344" s="56"/>
      <c r="AO344" s="56"/>
      <c r="AP344" s="56"/>
      <c r="AQ344" s="59"/>
      <c r="AR344" s="60"/>
      <c r="AS344" s="54"/>
    </row>
    <row r="345" spans="1:45" ht="21.25" customHeight="1" x14ac:dyDescent="0.15">
      <c r="A345" s="45">
        <f>RANK(K345,K$1:K$665)</f>
        <v>344</v>
      </c>
      <c r="B345" s="9" t="s">
        <v>470</v>
      </c>
      <c r="C345" s="46" t="s">
        <v>127</v>
      </c>
      <c r="D345" s="47" t="str">
        <f>VLOOKUP(B345,'Player Data'!A1:D667,4,FALSE)</f>
        <v>D</v>
      </c>
      <c r="E345" s="66">
        <f>VLOOKUP(B345,D!A1:C213,3,FALSE)</f>
        <v>118</v>
      </c>
      <c r="F345" s="55" t="str">
        <f>VLOOKUP(B345,'Player Data'!A1:B667,2,FALSE)</f>
        <v>VGK</v>
      </c>
      <c r="G345" s="10">
        <f>VLOOKUP(B345,'Player Data'!A1:D667,3,FALSE)</f>
        <v>25</v>
      </c>
      <c r="H345" s="67">
        <f>IFERROR(VLOOKUP(B345,ADP!A1:G665,7,FALSE)/1000000,VLOOKUP(B345,ADP!A1:G665,7,FALSE))</f>
        <v>2.2941500000000001</v>
      </c>
      <c r="I345" s="51">
        <f>IF(Settings!$E$15="POINTS",((R345*Q345)*Settings!$B$12)+(S345*Settings!$B$2)+(T345*Settings!$B$3)+(U345*Settings!$B$4)+(V345*Settings!$B$5)+(X345*Settings!$B$9)+(AA345*Settings!$B$6)+(W345*Settings!$B$8)+(AB345*Settings!$B$7)+(AC345*Settings!$B$14)+(AD345*Settings!$B$15)+(AE345*Settings!$B$16)+(AF345*Settings!$B$17)+(AG345*Settings!$B$18)+(U345*Settings!$B$13)+(Y345*Settings!$B$10)+(Z345*Settings!$B$11),VLOOKUP(B345,'Standard Deviations'!A1:C666,3,FALSE))</f>
        <v>165.67245450616761</v>
      </c>
      <c r="J345" s="52">
        <f>IF(D345="G",I345/AJ345,I345/Q345)</f>
        <v>2.1433786726976858</v>
      </c>
      <c r="K345" s="51">
        <f>VLOOKUP(B345,D!A1:F213,6,FALSE)</f>
        <v>-170.5616705394273</v>
      </c>
      <c r="L345" s="53">
        <f>IFERROR(K345/H345,"N/A")</f>
        <v>-74.346346376404028</v>
      </c>
      <c r="M345" s="83" t="str">
        <f>IF(Settings!$E$9="YAHOO",VLOOKUP(B345,ADP!A1:E665,2,FALSE),IF(Settings!$E$9="ESPN",VLOOKUP(B345,ADP!A1:E665,3,FALSE),IF(Settings!$E$9="FANTRAX",VLOOKUP(B345,ADP!A1:E665,4,FALSE),VLOOKUP(B345,ADP!A1:E665,5,FALSE))))</f>
        <v>—</v>
      </c>
      <c r="N345" s="83" t="str">
        <f>IFERROR(M345-A345,"N/A")</f>
        <v>N/A</v>
      </c>
      <c r="O345" s="54"/>
      <c r="P345" s="55" t="str">
        <f>IF(Settings!$E$27="ON",VLOOKUP(B345,ADP!A1:H665,8,FALSE)," ")</f>
        <v xml:space="preserve"> </v>
      </c>
      <c r="Q345" s="56">
        <f>IF(Settings!$E$12="YES",VLOOKUP(B345,'Player Data'!A1:E667,5,FALSE),82)</f>
        <v>77.295000000000002</v>
      </c>
      <c r="R345" s="54">
        <f>VLOOKUP(B345,'Player Data'!$A1:$AE667,6,FALSE)</f>
        <v>18.568042616831399</v>
      </c>
      <c r="S345" s="56">
        <f>VLOOKUP(B345,'Player Data'!$A1:$AE667,7,FALSE)*$Q345*IFERROR((VLOOKUP(P345,Settings!$E$28:$F$33,2,FALSE)+1),1)</f>
        <v>3.2451953677615046</v>
      </c>
      <c r="T345" s="56">
        <f>VLOOKUP(B345,'Player Data'!$A1:$AE667,8,FALSE)*$Q345*IFERROR((VLOOKUP(P345,Settings!$E$28:$F$33,2,FALSE)+1),1)</f>
        <v>13.226038118558485</v>
      </c>
      <c r="U345" s="56">
        <f>SUM(S345:T345)</f>
        <v>16.471233486319989</v>
      </c>
      <c r="V345" s="56">
        <f>VLOOKUP(B345,'Player Data'!$A1:$AE667,10,FALSE)*$Q345*IFERROR(((VLOOKUP(P345,Settings!$E$28:$F$33,2,FALSE)/2)+1),1)</f>
        <v>109.41982597722733</v>
      </c>
      <c r="W345" s="56">
        <f>VLOOKUP(B345,'Player Data'!$A1:$AE667,11,FALSE)*$Q345*IFERROR((VLOOKUP(P345,Settings!$E$28:$F$33,2,FALSE)+1),1)</f>
        <v>1.9887374550054217E-2</v>
      </c>
      <c r="X345" s="56">
        <f>VLOOKUP(B345,'Player Data'!$A1:$AE667,12,FALSE)*$Q345*IFERROR((VLOOKUP(P345,Settings!$E$28:$F$33,2,FALSE)+1),1)</f>
        <v>0.12711556279850381</v>
      </c>
      <c r="Y345" s="56">
        <f>VLOOKUP(B345,'Player Data'!$A1:$AE667,13,FALSE)*$Q345</f>
        <v>3.8845451226133781E-2</v>
      </c>
      <c r="Z345" s="56">
        <f>VLOOKUP(B345,'Player Data'!$A1:$AE667,14,FALSE)*$Q345</f>
        <v>0.16905477397610905</v>
      </c>
      <c r="AA345" s="56">
        <f>VLOOKUP(B345,'Player Data'!$A1:$AE667,15,FALSE)*$Q345</f>
        <v>122.50534144363873</v>
      </c>
      <c r="AB345" s="56">
        <f>VLOOKUP(B345,'Player Data'!$A1:$AE667,16,FALSE)*$Q345</f>
        <v>137.99817112911222</v>
      </c>
      <c r="AC345" s="56">
        <f>VLOOKUP(B345,'Player Data'!$A1:$AE667,17,FALSE)*$Q345*IFERROR((VLOOKUP(P345,Settings!$E$28:$F$33,2,FALSE)+1),1)</f>
        <v>1.3143276223929914</v>
      </c>
      <c r="AD345" s="56">
        <f>VLOOKUP(B345,'Player Data'!$A1:$AE667,18,FALSE)*$Q345</f>
        <v>40.71159085723626</v>
      </c>
      <c r="AE345" s="56">
        <f>VLOOKUP(B345,'Player Data'!$A1:$AE667,19,FALSE)*$Q345*IFERROR((VLOOKUP(P345,Settings!$E$28:$F$33,2,FALSE)+1),1)</f>
        <v>0.49359839836355812</v>
      </c>
      <c r="AF345" s="56">
        <f>VLOOKUP(B345,'Player Data'!$A1:$AE667,20,FALSE)*$Q345</f>
        <v>0</v>
      </c>
      <c r="AG345" s="56">
        <f>VLOOKUP(B345,'Player Data'!$A1:$AE667,21,FALSE)*$Q345</f>
        <v>0</v>
      </c>
      <c r="AH345" s="58">
        <f>VLOOKUP(B345,'Player Data'!$A1:$AE667,22,FALSE)</f>
        <v>0</v>
      </c>
      <c r="AI345" s="54"/>
      <c r="AJ345" s="56"/>
      <c r="AK345" s="56"/>
      <c r="AL345" s="56"/>
      <c r="AM345" s="56"/>
      <c r="AN345" s="56"/>
      <c r="AO345" s="56"/>
      <c r="AP345" s="56"/>
      <c r="AQ345" s="59"/>
      <c r="AR345" s="60"/>
      <c r="AS345" s="54"/>
    </row>
    <row r="346" spans="1:45" ht="21.25" customHeight="1" x14ac:dyDescent="0.15">
      <c r="A346" s="45">
        <f>RANK(K346,K$1:K$665)</f>
        <v>345</v>
      </c>
      <c r="B346" s="9" t="s">
        <v>471</v>
      </c>
      <c r="C346" s="46" t="s">
        <v>127</v>
      </c>
      <c r="D346" s="47" t="str">
        <f>VLOOKUP(B346,'Player Data'!A1:D667,4,FALSE)</f>
        <v>D</v>
      </c>
      <c r="E346" s="66">
        <f>VLOOKUP(B346,D!A1:C213,3,FALSE)</f>
        <v>119</v>
      </c>
      <c r="F346" s="55" t="str">
        <f>VLOOKUP(B346,'Player Data'!A1:B667,2,FALSE)</f>
        <v>WPG</v>
      </c>
      <c r="G346" s="10">
        <f>VLOOKUP(B346,'Player Data'!A1:D667,3,FALSE)</f>
        <v>25</v>
      </c>
      <c r="H346" s="67">
        <f>IFERROR(VLOOKUP(B346,ADP!A1:G665,7,FALSE)/1000000,VLOOKUP(B346,ADP!A1:G665,7,FALSE))</f>
        <v>1.4</v>
      </c>
      <c r="I346" s="51">
        <f>IF(Settings!$E$15="POINTS",((R346*Q346)*Settings!$B$12)+(S346*Settings!$B$2)+(T346*Settings!$B$3)+(U346*Settings!$B$4)+(V346*Settings!$B$5)+(X346*Settings!$B$9)+(AA346*Settings!$B$6)+(W346*Settings!$B$8)+(AB346*Settings!$B$7)+(AC346*Settings!$B$14)+(AD346*Settings!$B$15)+(AE346*Settings!$B$16)+(AF346*Settings!$B$17)+(AG346*Settings!$B$18)+(U346*Settings!$B$13)+(Y346*Settings!$B$10)+(Z346*Settings!$B$11),VLOOKUP(B346,'Standard Deviations'!A1:C666,3,FALSE))</f>
        <v>165.6144897696156</v>
      </c>
      <c r="J346" s="52">
        <f>IF(D346="G",I346/AJ346,I346/Q346)</f>
        <v>2.2999616674598564</v>
      </c>
      <c r="K346" s="51">
        <f>VLOOKUP(B346,D!A1:F213,6,FALSE)</f>
        <v>-170.61963527597931</v>
      </c>
      <c r="L346" s="53">
        <f>IFERROR(K346/H346,"N/A")</f>
        <v>-121.87116805427094</v>
      </c>
      <c r="M346" s="83" t="str">
        <f>IF(Settings!$E$9="YAHOO",VLOOKUP(B346,ADP!A1:E665,2,FALSE),IF(Settings!$E$9="ESPN",VLOOKUP(B346,ADP!A1:E665,3,FALSE),IF(Settings!$E$9="FANTRAX",VLOOKUP(B346,ADP!A1:E665,4,FALSE),VLOOKUP(B346,ADP!A1:E665,5,FALSE))))</f>
        <v>—</v>
      </c>
      <c r="N346" s="83" t="str">
        <f>IFERROR(M346-A346,"N/A")</f>
        <v>N/A</v>
      </c>
      <c r="O346" s="54"/>
      <c r="P346" s="55" t="str">
        <f>IF(Settings!$E$27="ON",VLOOKUP(B346,ADP!A1:H665,8,FALSE)," ")</f>
        <v xml:space="preserve"> </v>
      </c>
      <c r="Q346" s="56">
        <f>IF(Settings!$E$12="YES",VLOOKUP(B346,'Player Data'!A1:E667,5,FALSE),82)</f>
        <v>72.007499999999993</v>
      </c>
      <c r="R346" s="75">
        <f>VLOOKUP(B346,'Player Data'!$A1:$AE667,6,FALSE)</f>
        <v>19.431215078085899</v>
      </c>
      <c r="S346" s="56">
        <f>VLOOKUP(B346,'Player Data'!$A1:$AE667,7,FALSE)*$Q346*IFERROR((VLOOKUP(P346,Settings!$E$28:$F$33,2,FALSE)+1),1)</f>
        <v>2.552566910363081</v>
      </c>
      <c r="T346" s="56">
        <f>VLOOKUP(B346,'Player Data'!$A1:$AE667,8,FALSE)*$Q346*IFERROR((VLOOKUP(P346,Settings!$E$28:$F$33,2,FALSE)+1),1)</f>
        <v>16.805973211688144</v>
      </c>
      <c r="U346" s="56">
        <f>SUM(S346:T346)</f>
        <v>19.358540122051224</v>
      </c>
      <c r="V346" s="56">
        <f>VLOOKUP(B346,'Player Data'!$A1:$AE667,10,FALSE)*$Q346*IFERROR(((VLOOKUP(P346,Settings!$E$28:$F$33,2,FALSE)/2)+1),1)</f>
        <v>87.944451652144096</v>
      </c>
      <c r="W346" s="56">
        <f>VLOOKUP(B346,'Player Data'!$A1:$AE667,11,FALSE)*$Q346*IFERROR((VLOOKUP(P346,Settings!$E$28:$F$33,2,FALSE)+1),1)</f>
        <v>1.0808036105466988E-2</v>
      </c>
      <c r="X346" s="56">
        <f>VLOOKUP(B346,'Player Data'!$A1:$AE667,12,FALSE)*$Q346*IFERROR((VLOOKUP(P346,Settings!$E$28:$F$33,2,FALSE)+1),1)</f>
        <v>0.10027370271180422</v>
      </c>
      <c r="Y346" s="56">
        <f>VLOOKUP(B346,'Player Data'!$A1:$AE667,13,FALSE)*$Q346</f>
        <v>3.4228788363173487E-2</v>
      </c>
      <c r="Z346" s="56">
        <f>VLOOKUP(B346,'Player Data'!$A1:$AE667,14,FALSE)*$Q346</f>
        <v>0.45850463270405001</v>
      </c>
      <c r="AA346" s="56">
        <f>VLOOKUP(B346,'Player Data'!$A1:$AE667,15,FALSE)*$Q346</f>
        <v>126.01573048394799</v>
      </c>
      <c r="AB346" s="56">
        <f>VLOOKUP(B346,'Player Data'!$A1:$AE667,16,FALSE)*$Q346</f>
        <v>89.581250380101736</v>
      </c>
      <c r="AC346" s="56">
        <f>VLOOKUP(B346,'Player Data'!$A1:$AE667,17,FALSE)*$Q346*IFERROR((VLOOKUP(P346,Settings!$E$28:$F$33,2,FALSE)+1),1)</f>
        <v>3.480956995339985</v>
      </c>
      <c r="AD346" s="56">
        <f>VLOOKUP(B346,'Player Data'!$A1:$AE667,18,FALSE)*$Q346</f>
        <v>36.155121814378681</v>
      </c>
      <c r="AE346" s="56">
        <f>VLOOKUP(B346,'Player Data'!$A1:$AE667,19,FALSE)*$Q346*IFERROR((VLOOKUP(P346,Settings!$E$28:$F$33,2,FALSE)+1),1)</f>
        <v>0.4243044112268628</v>
      </c>
      <c r="AF346" s="56">
        <f>VLOOKUP(B346,'Player Data'!$A1:$AE667,20,FALSE)*$Q346</f>
        <v>0</v>
      </c>
      <c r="AG346" s="56">
        <f>VLOOKUP(B346,'Player Data'!$A1:$AE667,21,FALSE)*$Q346</f>
        <v>0</v>
      </c>
      <c r="AH346" s="58">
        <f>VLOOKUP(B346,'Player Data'!$A1:$AE667,22,FALSE)</f>
        <v>0</v>
      </c>
      <c r="AI346" s="54"/>
      <c r="AJ346" s="56"/>
      <c r="AK346" s="56"/>
      <c r="AL346" s="56"/>
      <c r="AM346" s="56"/>
      <c r="AN346" s="56"/>
      <c r="AO346" s="56"/>
      <c r="AP346" s="56"/>
      <c r="AQ346" s="59"/>
      <c r="AR346" s="60"/>
      <c r="AS346" s="54"/>
    </row>
    <row r="347" spans="1:45" ht="21.25" customHeight="1" x14ac:dyDescent="0.15">
      <c r="A347" s="45">
        <f>RANK(K347,K$1:K$665)</f>
        <v>346</v>
      </c>
      <c r="B347" s="9" t="s">
        <v>472</v>
      </c>
      <c r="C347" s="46" t="s">
        <v>127</v>
      </c>
      <c r="D347" s="47" t="str">
        <f>VLOOKUP(B347,'Player Data'!A1:D667,4,FALSE)</f>
        <v>D</v>
      </c>
      <c r="E347" s="66">
        <f>VLOOKUP(B347,D!A1:C213,3,FALSE)</f>
        <v>120</v>
      </c>
      <c r="F347" s="65" t="str">
        <f>VLOOKUP(B347,'Player Data'!A1:B667,2,FALSE)</f>
        <v>WSH</v>
      </c>
      <c r="G347" s="69">
        <f>VLOOKUP(B347,'Player Data'!A1:D667,3,FALSE)</f>
        <v>24</v>
      </c>
      <c r="H347" s="50">
        <f>IFERROR(VLOOKUP(B347,ADP!A1:G665,7,FALSE)/1000000,VLOOKUP(B347,ADP!A1:G665,7,FALSE))</f>
        <v>4.5999999999999996</v>
      </c>
      <c r="I347" s="51">
        <f>IF(Settings!$E$15="POINTS",((R347*Q347)*Settings!$B$12)+(S347*Settings!$B$2)+(T347*Settings!$B$3)+(U347*Settings!$B$4)+(V347*Settings!$B$5)+(X347*Settings!$B$9)+(AA347*Settings!$B$6)+(W347*Settings!$B$8)+(AB347*Settings!$B$7)+(AC347*Settings!$B$14)+(AD347*Settings!$B$15)+(AE347*Settings!$B$16)+(AF347*Settings!$B$17)+(AG347*Settings!$B$18)+(U347*Settings!$B$13)+(Y347*Settings!$B$10)+(Z347*Settings!$B$11),VLOOKUP(B347,'Standard Deviations'!A1:C666,3,FALSE))</f>
        <v>165.58541800619432</v>
      </c>
      <c r="J347" s="52">
        <f>IF(D347="G",I347/AJ347,I347/Q347)</f>
        <v>2.2097943883654532</v>
      </c>
      <c r="K347" s="51">
        <f>VLOOKUP(B347,D!A1:F213,6,FALSE)</f>
        <v>-170.64870703940059</v>
      </c>
      <c r="L347" s="53">
        <f>IFERROR(K347/H347,"N/A")</f>
        <v>-37.097545008565348</v>
      </c>
      <c r="M347" s="83" t="str">
        <f>IF(Settings!$E$9="YAHOO",VLOOKUP(B347,ADP!A1:E665,2,FALSE),IF(Settings!$E$9="ESPN",VLOOKUP(B347,ADP!A1:E665,3,FALSE),IF(Settings!$E$9="FANTRAX",VLOOKUP(B347,ADP!A1:E665,4,FALSE),VLOOKUP(B347,ADP!A1:E665,5,FALSE))))</f>
        <v>—</v>
      </c>
      <c r="N347" s="83" t="str">
        <f>IFERROR(M347-A347,"N/A")</f>
        <v>N/A</v>
      </c>
      <c r="O347" s="54"/>
      <c r="P347" s="55" t="str">
        <f>IF(Settings!$E$27="ON",VLOOKUP(B347,ADP!A1:H665,8,FALSE)," ")</f>
        <v xml:space="preserve"> </v>
      </c>
      <c r="Q347" s="56">
        <f>IF(Settings!$E$12="YES",VLOOKUP(B347,'Player Data'!A1:E667,5,FALSE),82)</f>
        <v>74.932500000000005</v>
      </c>
      <c r="R347" s="81">
        <f>VLOOKUP(B347,'Player Data'!$A1:$AE667,6,FALSE)</f>
        <v>18.0999414194841</v>
      </c>
      <c r="S347" s="56">
        <f>VLOOKUP(B347,'Player Data'!$A1:$AE667,7,FALSE)*$Q347*IFERROR((VLOOKUP(P347,Settings!$E$28:$F$33,2,FALSE)+1),1)</f>
        <v>5.2953546185054359</v>
      </c>
      <c r="T347" s="56">
        <f>VLOOKUP(B347,'Player Data'!$A1:$AE667,8,FALSE)*$Q347*IFERROR((VLOOKUP(P347,Settings!$E$28:$F$33,2,FALSE)+1),1)</f>
        <v>19.490604382569565</v>
      </c>
      <c r="U347" s="56">
        <f>SUM(S347:T347)</f>
        <v>24.785959001075</v>
      </c>
      <c r="V347" s="56">
        <f>VLOOKUP(B347,'Player Data'!$A1:$AE667,10,FALSE)*$Q347*IFERROR(((VLOOKUP(P347,Settings!$E$28:$F$33,2,FALSE)/2)+1),1)</f>
        <v>78.847338248842078</v>
      </c>
      <c r="W347" s="56">
        <f>VLOOKUP(B347,'Player Data'!$A1:$AE667,11,FALSE)*$Q347*IFERROR((VLOOKUP(P347,Settings!$E$28:$F$33,2,FALSE)+1),1)</f>
        <v>6.5901198855181614E-2</v>
      </c>
      <c r="X347" s="56">
        <f>VLOOKUP(B347,'Player Data'!$A1:$AE667,12,FALSE)*$Q347*IFERROR((VLOOKUP(P347,Settings!$E$28:$F$33,2,FALSE)+1),1)</f>
        <v>3.0656718493477788</v>
      </c>
      <c r="Y347" s="56">
        <f>VLOOKUP(B347,'Player Data'!$A1:$AE667,13,FALSE)*$Q347</f>
        <v>1.1108890110343651E-2</v>
      </c>
      <c r="Z347" s="56">
        <f>VLOOKUP(B347,'Player Data'!$A1:$AE667,14,FALSE)*$Q347</f>
        <v>5.4486073015002502E-2</v>
      </c>
      <c r="AA347" s="56">
        <f>VLOOKUP(B347,'Player Data'!$A1:$AE667,15,FALSE)*$Q347</f>
        <v>97.367427912370971</v>
      </c>
      <c r="AB347" s="56">
        <f>VLOOKUP(B347,'Player Data'!$A1:$AE667,16,FALSE)*$Q347</f>
        <v>92.251017193426918</v>
      </c>
      <c r="AC347" s="56">
        <f>VLOOKUP(B347,'Player Data'!$A1:$AE667,17,FALSE)*$Q347*IFERROR((VLOOKUP(P347,Settings!$E$28:$F$33,2,FALSE)+1),1)</f>
        <v>-2.4404994535578588</v>
      </c>
      <c r="AD347" s="56">
        <f>VLOOKUP(B347,'Player Data'!$A1:$AE667,18,FALSE)*$Q347</f>
        <v>27.001209182659856</v>
      </c>
      <c r="AE347" s="56">
        <f>VLOOKUP(B347,'Player Data'!$A1:$AE667,19,FALSE)*$Q347*IFERROR((VLOOKUP(P347,Settings!$E$28:$F$33,2,FALSE)+1),1)</f>
        <v>0.75147719781687927</v>
      </c>
      <c r="AF347" s="56">
        <f>VLOOKUP(B347,'Player Data'!$A1:$AE667,20,FALSE)*$Q347</f>
        <v>0</v>
      </c>
      <c r="AG347" s="56">
        <f>VLOOKUP(B347,'Player Data'!$A1:$AE667,21,FALSE)*$Q347</f>
        <v>0</v>
      </c>
      <c r="AH347" s="58">
        <f>VLOOKUP(B347,'Player Data'!$A1:$AE667,22,FALSE)</f>
        <v>0</v>
      </c>
      <c r="AI347" s="54"/>
      <c r="AJ347" s="64"/>
      <c r="AK347" s="56"/>
      <c r="AL347" s="56"/>
      <c r="AM347" s="56"/>
      <c r="AN347" s="56"/>
      <c r="AO347" s="56"/>
      <c r="AP347" s="56"/>
      <c r="AQ347" s="59"/>
      <c r="AR347" s="60"/>
      <c r="AS347" s="54"/>
    </row>
    <row r="348" spans="1:45" ht="21.25" customHeight="1" x14ac:dyDescent="0.15">
      <c r="A348" s="45">
        <f>RANK(K348,K$1:K$665)</f>
        <v>347</v>
      </c>
      <c r="B348" s="9" t="s">
        <v>473</v>
      </c>
      <c r="C348" s="46" t="s">
        <v>127</v>
      </c>
      <c r="D348" s="47" t="str">
        <f>VLOOKUP(B348,'Player Data'!A1:D667,4,FALSE)</f>
        <v>D</v>
      </c>
      <c r="E348" s="66">
        <f>VLOOKUP(B348,D!A1:C213,3,FALSE)</f>
        <v>121</v>
      </c>
      <c r="F348" s="72" t="str">
        <f>VLOOKUP(B348,'Player Data'!A1:B667,2,FALSE)</f>
        <v>L.A</v>
      </c>
      <c r="G348" s="69">
        <f>VLOOKUP(B348,'Player Data'!A1:D667,3,FALSE)</f>
        <v>23</v>
      </c>
      <c r="H348" s="50">
        <f>IFERROR(VLOOKUP(B348,ADP!A1:G665,7,FALSE)/1000000,VLOOKUP(B348,ADP!A1:G665,7,FALSE))</f>
        <v>1.5</v>
      </c>
      <c r="I348" s="51">
        <f>IF(Settings!$E$15="POINTS",((R348*Q348)*Settings!$B$12)+(S348*Settings!$B$2)+(T348*Settings!$B$3)+(U348*Settings!$B$4)+(V348*Settings!$B$5)+(X348*Settings!$B$9)+(AA348*Settings!$B$6)+(W348*Settings!$B$8)+(AB348*Settings!$B$7)+(AC348*Settings!$B$14)+(AD348*Settings!$B$15)+(AE348*Settings!$B$16)+(AF348*Settings!$B$17)+(AG348*Settings!$B$18)+(U348*Settings!$B$13)+(Y348*Settings!$B$10)+(Z348*Settings!$B$11),VLOOKUP(B348,'Standard Deviations'!A1:C666,3,FALSE))</f>
        <v>165.47519190443518</v>
      </c>
      <c r="J348" s="52">
        <f>IF(D348="G",I348/AJ348,I348/Q348)</f>
        <v>2.3774317288090967</v>
      </c>
      <c r="K348" s="51">
        <f>VLOOKUP(B348,D!A1:F213,6,FALSE)</f>
        <v>-170.75893314115973</v>
      </c>
      <c r="L348" s="53">
        <f>IFERROR(K348/H348,"N/A")</f>
        <v>-113.83928876077316</v>
      </c>
      <c r="M348" s="83" t="str">
        <f>IF(Settings!$E$9="YAHOO",VLOOKUP(B348,ADP!A1:E665,2,FALSE),IF(Settings!$E$9="ESPN",VLOOKUP(B348,ADP!A1:E665,3,FALSE),IF(Settings!$E$9="FANTRAX",VLOOKUP(B348,ADP!A1:E665,4,FALSE),VLOOKUP(B348,ADP!A1:E665,5,FALSE))))</f>
        <v>—</v>
      </c>
      <c r="N348" s="83" t="str">
        <f>IFERROR(M348-A348,"N/A")</f>
        <v>N/A</v>
      </c>
      <c r="O348" s="54"/>
      <c r="P348" s="55" t="str">
        <f>IF(Settings!$E$27="ON",VLOOKUP(B348,ADP!A1:H665,8,FALSE)," ")</f>
        <v xml:space="preserve"> </v>
      </c>
      <c r="Q348" s="56">
        <f>IF(Settings!$E$12="YES",VLOOKUP(B348,'Player Data'!A1:E667,5,FALSE),82)</f>
        <v>69.602500000000006</v>
      </c>
      <c r="R348" s="75">
        <f>VLOOKUP(B348,'Player Data'!$A1:$AE667,6,FALSE)</f>
        <v>17.627791751980801</v>
      </c>
      <c r="S348" s="56">
        <f>VLOOKUP(B348,'Player Data'!$A1:$AE667,7,FALSE)*$Q348*IFERROR((VLOOKUP(P348,Settings!$E$28:$F$33,2,FALSE)+1),1)</f>
        <v>3.199856500173222</v>
      </c>
      <c r="T348" s="56">
        <f>VLOOKUP(B348,'Player Data'!$A1:$AE667,8,FALSE)*$Q348*IFERROR((VLOOKUP(P348,Settings!$E$28:$F$33,2,FALSE)+1),1)</f>
        <v>21.576600725696995</v>
      </c>
      <c r="U348" s="56">
        <f>SUM(S348:T348)</f>
        <v>24.776457225870217</v>
      </c>
      <c r="V348" s="56">
        <f>VLOOKUP(B348,'Player Data'!$A1:$AE667,10,FALSE)*$Q348*IFERROR(((VLOOKUP(P348,Settings!$E$28:$F$33,2,FALSE)/2)+1),1)</f>
        <v>91.445255014735736</v>
      </c>
      <c r="W348" s="56">
        <f>VLOOKUP(B348,'Player Data'!$A1:$AE667,11,FALSE)*$Q348*IFERROR((VLOOKUP(P348,Settings!$E$28:$F$33,2,FALSE)+1),1)</f>
        <v>0.80085248821257626</v>
      </c>
      <c r="X348" s="56">
        <f>VLOOKUP(B348,'Player Data'!$A1:$AE667,12,FALSE)*$Q348*IFERROR((VLOOKUP(P348,Settings!$E$28:$F$33,2,FALSE)+1),1)</f>
        <v>5.4947373032405018</v>
      </c>
      <c r="Y348" s="56">
        <f>VLOOKUP(B348,'Player Data'!$A1:$AE667,13,FALSE)*$Q348</f>
        <v>3.9961897524258008E-2</v>
      </c>
      <c r="Z348" s="56">
        <f>VLOOKUP(B348,'Player Data'!$A1:$AE667,14,FALSE)*$Q348</f>
        <v>0.1914029965770874</v>
      </c>
      <c r="AA348" s="56">
        <f>VLOOKUP(B348,'Player Data'!$A1:$AE667,15,FALSE)*$Q348</f>
        <v>79.474104839278127</v>
      </c>
      <c r="AB348" s="56">
        <f>VLOOKUP(B348,'Player Data'!$A1:$AE667,16,FALSE)*$Q348</f>
        <v>85.96495393573133</v>
      </c>
      <c r="AC348" s="56">
        <f>VLOOKUP(B348,'Player Data'!$A1:$AE667,17,FALSE)*$Q348*IFERROR((VLOOKUP(P348,Settings!$E$28:$F$33,2,FALSE)+1),1)</f>
        <v>2.0851566777986243</v>
      </c>
      <c r="AD348" s="56">
        <f>VLOOKUP(B348,'Player Data'!$A1:$AE667,18,FALSE)*$Q348</f>
        <v>18.781093014524249</v>
      </c>
      <c r="AE348" s="56">
        <f>VLOOKUP(B348,'Player Data'!$A1:$AE667,19,FALSE)*$Q348*IFERROR((VLOOKUP(P348,Settings!$E$28:$F$33,2,FALSE)+1),1)</f>
        <v>0.57025177180650077</v>
      </c>
      <c r="AF348" s="56">
        <f>VLOOKUP(B348,'Player Data'!$A1:$AE667,20,FALSE)*$Q348</f>
        <v>0</v>
      </c>
      <c r="AG348" s="56">
        <f>VLOOKUP(B348,'Player Data'!$A1:$AE667,21,FALSE)*$Q348</f>
        <v>0</v>
      </c>
      <c r="AH348" s="58">
        <f>VLOOKUP(B348,'Player Data'!$A1:$AE667,22,FALSE)</f>
        <v>0</v>
      </c>
      <c r="AI348" s="54"/>
      <c r="AJ348" s="56"/>
      <c r="AK348" s="56"/>
      <c r="AL348" s="56"/>
      <c r="AM348" s="56"/>
      <c r="AN348" s="56"/>
      <c r="AO348" s="56"/>
      <c r="AP348" s="56"/>
      <c r="AQ348" s="59"/>
      <c r="AR348" s="60"/>
      <c r="AS348" s="54"/>
    </row>
    <row r="349" spans="1:45" ht="21.25" customHeight="1" x14ac:dyDescent="0.15">
      <c r="A349" s="45">
        <f>RANK(K349,K$1:K$665)</f>
        <v>348</v>
      </c>
      <c r="B349" s="9" t="s">
        <v>474</v>
      </c>
      <c r="C349" s="46" t="s">
        <v>127</v>
      </c>
      <c r="D349" s="47" t="str">
        <f>VLOOKUP(B349,'Player Data'!A1:D667,4,FALSE)</f>
        <v>C/RW</v>
      </c>
      <c r="E349" s="68">
        <f>VLOOKUP(B349,RW!A1:C136,3,FALSE)</f>
        <v>83</v>
      </c>
      <c r="F349" s="65" t="str">
        <f>VLOOKUP(B349,'Player Data'!A1:B667,2,FALSE)</f>
        <v>CGY</v>
      </c>
      <c r="G349" s="69">
        <f>VLOOKUP(B349,'Player Data'!A1:D667,3,FALSE)</f>
        <v>22</v>
      </c>
      <c r="H349" s="67">
        <f>IFERROR(VLOOKUP(B349,ADP!A1:G665,7,FALSE)/1000000,VLOOKUP(B349,ADP!A1:G665,7,FALSE))</f>
        <v>0.86333300000000002</v>
      </c>
      <c r="I349" s="51">
        <f>IF(Settings!$E$15="POINTS",((R349*Q349)*Settings!$B$12)+(S349*Settings!$B$2)+(T349*Settings!$B$3)+(U349*Settings!$B$4)+(V349*Settings!$B$5)+(X349*Settings!$B$9)+(AA349*Settings!$B$6)+(W349*Settings!$B$8)+(AB349*Settings!$B$7)+(AC349*Settings!$B$14)+(AD349*Settings!$B$15)+(AE349*Settings!$B$16)+(AF349*Settings!$B$17)+(AG349*Settings!$B$18)+(Y349*Settings!$B$10)+(Z349*Settings!$B$11),VLOOKUP(B349,'Standard Deviations'!A1:C666,3,FALSE))</f>
        <v>196.50186182487352</v>
      </c>
      <c r="J349" s="52">
        <f>IF(D349="G",I349/AJ349,I349/Q349)</f>
        <v>2.6502375321987124</v>
      </c>
      <c r="K349" s="51">
        <f>IF(Settings!$E$18="C/LW/RW",VLOOKUP(B349,RW!A1:F136,6,FALSE),VLOOKUP(B349,F!A1:F392,6,FALSE))</f>
        <v>-172.34586128141888</v>
      </c>
      <c r="L349" s="53">
        <f>IFERROR(K349/H349,"N/A")</f>
        <v>-199.62848782731447</v>
      </c>
      <c r="M349" s="83" t="str">
        <f>IF(Settings!$E$9="YAHOO",VLOOKUP(B349,ADP!A1:E665,2,FALSE),IF(Settings!$E$9="ESPN",VLOOKUP(B349,ADP!A1:E665,3,FALSE),IF(Settings!$E$9="FANTRAX",VLOOKUP(B349,ADP!A1:E665,4,FALSE),VLOOKUP(B349,ADP!A1:E665,5,FALSE))))</f>
        <v>—</v>
      </c>
      <c r="N349" s="83" t="str">
        <f>IFERROR(M349-A349,"N/A")</f>
        <v>N/A</v>
      </c>
      <c r="O349" s="54"/>
      <c r="P349" s="55" t="str">
        <f>IF(Settings!$E$27="ON",VLOOKUP(B349,ADP!A1:H665,8,FALSE)," ")</f>
        <v xml:space="preserve"> </v>
      </c>
      <c r="Q349" s="56">
        <f>IF(Settings!$E$12="YES",VLOOKUP(B349,'Player Data'!A1:E667,5,FALSE),82)</f>
        <v>74.144999999999996</v>
      </c>
      <c r="R349" s="54">
        <f>VLOOKUP(B349,'Player Data'!$A1:$AE667,6,FALSE)</f>
        <v>15.0506128312774</v>
      </c>
      <c r="S349" s="56">
        <f>VLOOKUP(B349,'Player Data'!$A1:$AE667,7,FALSE)*$Q349*IFERROR((VLOOKUP(P349,Settings!$E$28:$F$33,2,FALSE)+1),1)</f>
        <v>16.370409391709281</v>
      </c>
      <c r="T349" s="56">
        <f>VLOOKUP(B349,'Player Data'!$A1:$AE667,8,FALSE)*$Q349*IFERROR((VLOOKUP(P349,Settings!$E$28:$F$33,2,FALSE)+1),1)</f>
        <v>22.972029116631159</v>
      </c>
      <c r="U349" s="56">
        <f>SUM(S349:T349)</f>
        <v>39.342438508340436</v>
      </c>
      <c r="V349" s="56">
        <f>VLOOKUP(B349,'Player Data'!$A1:$AE667,10,FALSE)*$Q349*IFERROR(((VLOOKUP(P349,Settings!$E$28:$F$33,2,FALSE)/2)+1),1)</f>
        <v>111.34053647629705</v>
      </c>
      <c r="W349" s="56">
        <f>VLOOKUP(B349,'Player Data'!$A1:$AE667,11,FALSE)*$Q349*IFERROR((VLOOKUP(P349,Settings!$E$28:$F$33,2,FALSE)+1),1)</f>
        <v>1.8228711883021631</v>
      </c>
      <c r="X349" s="56">
        <f>VLOOKUP(B349,'Player Data'!$A1:$AE667,12,FALSE)*$Q349*IFERROR((VLOOKUP(P349,Settings!$E$28:$F$33,2,FALSE)+1),1)</f>
        <v>5.6765851268462315</v>
      </c>
      <c r="Y349" s="56">
        <f>VLOOKUP(B349,'Player Data'!$A1:$AE667,13,FALSE)*$Q349</f>
        <v>1.0333469718701845E-3</v>
      </c>
      <c r="Z349" s="56">
        <f>VLOOKUP(B349,'Player Data'!$A1:$AE667,14,FALSE)*$Q349</f>
        <v>1.7371674972010362E-3</v>
      </c>
      <c r="AA349" s="56">
        <f>VLOOKUP(B349,'Player Data'!$A1:$AE667,15,FALSE)*$Q349</f>
        <v>34.251911534720485</v>
      </c>
      <c r="AB349" s="56">
        <f>VLOOKUP(B349,'Player Data'!$A1:$AE667,16,FALSE)*$Q349</f>
        <v>42.396229444789135</v>
      </c>
      <c r="AC349" s="56">
        <f>VLOOKUP(B349,'Player Data'!$A1:$AE667,17,FALSE)*$Q349*IFERROR((VLOOKUP(P349,Settings!$E$28:$F$33,2,FALSE)+1),1)</f>
        <v>-0.53777394483786645</v>
      </c>
      <c r="AD349" s="56">
        <f>VLOOKUP(B349,'Player Data'!$A1:$AE667,18,FALSE)*$Q349</f>
        <v>28.708859660969292</v>
      </c>
      <c r="AE349" s="56">
        <f>VLOOKUP(B349,'Player Data'!$A1:$AE667,19,FALSE)*$Q349*IFERROR((VLOOKUP(P349,Settings!$E$28:$F$33,2,FALSE)+1),1)</f>
        <v>2.3783549295027941</v>
      </c>
      <c r="AF349" s="56">
        <f>VLOOKUP(B349,'Player Data'!$A1:$AE667,20,FALSE)*$Q349</f>
        <v>56.826805161321431</v>
      </c>
      <c r="AG349" s="56">
        <f>VLOOKUP(B349,'Player Data'!$A1:$AE667,21,FALSE)*$Q349</f>
        <v>69.583843054679164</v>
      </c>
      <c r="AH349" s="58">
        <f>VLOOKUP(B349,'Player Data'!$A1:$AE667,22,FALSE)</f>
        <v>0.44954128440367003</v>
      </c>
      <c r="AI349" s="54"/>
      <c r="AJ349" s="56"/>
      <c r="AK349" s="56"/>
      <c r="AL349" s="56"/>
      <c r="AM349" s="56"/>
      <c r="AN349" s="56"/>
      <c r="AO349" s="56"/>
      <c r="AP349" s="56"/>
      <c r="AQ349" s="59"/>
      <c r="AR349" s="60"/>
      <c r="AS349" s="54"/>
    </row>
    <row r="350" spans="1:45" ht="21.25" customHeight="1" x14ac:dyDescent="0.15">
      <c r="A350" s="45">
        <f>RANK(K350,K$1:K$665)</f>
        <v>349</v>
      </c>
      <c r="B350" s="9" t="s">
        <v>475</v>
      </c>
      <c r="C350" s="46" t="s">
        <v>127</v>
      </c>
      <c r="D350" s="47" t="str">
        <f>VLOOKUP(B350,'Player Data'!A1:D667,4,FALSE)</f>
        <v>D</v>
      </c>
      <c r="E350" s="66">
        <f>VLOOKUP(B350,D!A1:C213,3,FALSE)</f>
        <v>122</v>
      </c>
      <c r="F350" s="62" t="str">
        <f>VLOOKUP(B350,'Player Data'!A1:B667,2,FALSE)</f>
        <v>T.B</v>
      </c>
      <c r="G350" s="10">
        <f>VLOOKUP(B350,'Player Data'!A1:D667,3,FALSE)</f>
        <v>27</v>
      </c>
      <c r="H350" s="50">
        <f>IFERROR(VLOOKUP(B350,ADP!A1:G665,7,FALSE)/1000000,VLOOKUP(B350,ADP!A1:G665,7,FALSE))</f>
        <v>5.2</v>
      </c>
      <c r="I350" s="51">
        <f>IF(Settings!$E$15="POINTS",((R350*Q350)*Settings!$B$12)+(S350*Settings!$B$2)+(T350*Settings!$B$3)+(U350*Settings!$B$4)+(V350*Settings!$B$5)+(X350*Settings!$B$9)+(AA350*Settings!$B$6)+(W350*Settings!$B$8)+(AB350*Settings!$B$7)+(AC350*Settings!$B$14)+(AD350*Settings!$B$15)+(AE350*Settings!$B$16)+(AF350*Settings!$B$17)+(AG350*Settings!$B$18)+(U350*Settings!$B$13)+(Y350*Settings!$B$10)+(Z350*Settings!$B$11),VLOOKUP(B350,'Standard Deviations'!A1:C666,3,FALSE))</f>
        <v>163.84058786755733</v>
      </c>
      <c r="J350" s="52">
        <f>IF(D350="G",I350/AJ350,I350/Q350)</f>
        <v>2.1737449052049134</v>
      </c>
      <c r="K350" s="51">
        <f>VLOOKUP(B350,D!A1:F213,6,FALSE)</f>
        <v>-172.39353717803758</v>
      </c>
      <c r="L350" s="53">
        <f>IFERROR(K350/H350,"N/A")</f>
        <v>-33.152603303468766</v>
      </c>
      <c r="M350" s="83" t="str">
        <f>IF(Settings!$E$9="YAHOO",VLOOKUP(B350,ADP!A1:E665,2,FALSE),IF(Settings!$E$9="ESPN",VLOOKUP(B350,ADP!A1:E665,3,FALSE),IF(Settings!$E$9="FANTRAX",VLOOKUP(B350,ADP!A1:E665,4,FALSE),VLOOKUP(B350,ADP!A1:E665,5,FALSE))))</f>
        <v>—</v>
      </c>
      <c r="N350" s="83" t="str">
        <f>IFERROR(M350-A350,"N/A")</f>
        <v>N/A</v>
      </c>
      <c r="O350" s="54"/>
      <c r="P350" s="55" t="str">
        <f>IF(Settings!$E$27="ON",VLOOKUP(B350,ADP!A1:H665,8,FALSE)," ")</f>
        <v xml:space="preserve"> </v>
      </c>
      <c r="Q350" s="56">
        <f>IF(Settings!$E$12="YES",VLOOKUP(B350,'Player Data'!A1:E667,5,FALSE),82)</f>
        <v>75.372500000000002</v>
      </c>
      <c r="R350" s="75">
        <f>VLOOKUP(B350,'Player Data'!$A1:$AE667,6,FALSE)</f>
        <v>20.800590530898798</v>
      </c>
      <c r="S350" s="56">
        <f>VLOOKUP(B350,'Player Data'!$A1:$AE667,7,FALSE)*$Q350*IFERROR((VLOOKUP(P350,Settings!$E$28:$F$33,2,FALSE)+1),1)</f>
        <v>2.8326288295501048</v>
      </c>
      <c r="T350" s="56">
        <f>VLOOKUP(B350,'Player Data'!$A1:$AE667,8,FALSE)*$Q350*IFERROR((VLOOKUP(P350,Settings!$E$28:$F$33,2,FALSE)+1),1)</f>
        <v>16.460463553487468</v>
      </c>
      <c r="U350" s="56">
        <f>SUM(S350:T350)</f>
        <v>19.293092383037575</v>
      </c>
      <c r="V350" s="56">
        <f>VLOOKUP(B350,'Player Data'!$A1:$AE667,10,FALSE)*$Q350*IFERROR(((VLOOKUP(P350,Settings!$E$28:$F$33,2,FALSE)/2)+1),1)</f>
        <v>85.187503117278993</v>
      </c>
      <c r="W350" s="56">
        <f>VLOOKUP(B350,'Player Data'!$A1:$AE667,11,FALSE)*$Q350*IFERROR((VLOOKUP(P350,Settings!$E$28:$F$33,2,FALSE)+1),1)</f>
        <v>1.9934213381313584E-2</v>
      </c>
      <c r="X350" s="56">
        <f>VLOOKUP(B350,'Player Data'!$A1:$AE667,12,FALSE)*$Q350*IFERROR((VLOOKUP(P350,Settings!$E$28:$F$33,2,FALSE)+1),1)</f>
        <v>0.12886552833437473</v>
      </c>
      <c r="Y350" s="56">
        <f>VLOOKUP(B350,'Player Data'!$A1:$AE667,13,FALSE)*$Q350</f>
        <v>2.8257689673770136E-2</v>
      </c>
      <c r="Z350" s="56">
        <f>VLOOKUP(B350,'Player Data'!$A1:$AE667,14,FALSE)*$Q350</f>
        <v>0.38814376778244453</v>
      </c>
      <c r="AA350" s="56">
        <f>VLOOKUP(B350,'Player Data'!$A1:$AE667,15,FALSE)*$Q350</f>
        <v>125.70109972737663</v>
      </c>
      <c r="AB350" s="56">
        <f>VLOOKUP(B350,'Player Data'!$A1:$AE667,16,FALSE)*$Q350</f>
        <v>203.68604070722975</v>
      </c>
      <c r="AC350" s="56">
        <f>VLOOKUP(B350,'Player Data'!$A1:$AE667,17,FALSE)*$Q350*IFERROR((VLOOKUP(P350,Settings!$E$28:$F$33,2,FALSE)+1),1)</f>
        <v>0.55414735867302101</v>
      </c>
      <c r="AD350" s="56">
        <f>VLOOKUP(B350,'Player Data'!$A1:$AE667,18,FALSE)*$Q350</f>
        <v>52.723579756980037</v>
      </c>
      <c r="AE350" s="56">
        <f>VLOOKUP(B350,'Player Data'!$A1:$AE667,19,FALSE)*$Q350*IFERROR((VLOOKUP(P350,Settings!$E$28:$F$33,2,FALSE)+1),1)</f>
        <v>0.4463135928515588</v>
      </c>
      <c r="AF350" s="56">
        <f>VLOOKUP(B350,'Player Data'!$A1:$AE667,20,FALSE)*$Q350</f>
        <v>0</v>
      </c>
      <c r="AG350" s="56">
        <f>VLOOKUP(B350,'Player Data'!$A1:$AE667,21,FALSE)*$Q350</f>
        <v>0</v>
      </c>
      <c r="AH350" s="58">
        <f>VLOOKUP(B350,'Player Data'!$A1:$AE667,22,FALSE)</f>
        <v>0</v>
      </c>
      <c r="AI350" s="54"/>
      <c r="AJ350" s="64"/>
      <c r="AK350" s="56"/>
      <c r="AL350" s="56"/>
      <c r="AM350" s="56"/>
      <c r="AN350" s="56"/>
      <c r="AO350" s="56"/>
      <c r="AP350" s="56"/>
      <c r="AQ350" s="59"/>
      <c r="AR350" s="60"/>
      <c r="AS350" s="54"/>
    </row>
    <row r="351" spans="1:45" ht="21.25" customHeight="1" x14ac:dyDescent="0.15">
      <c r="A351" s="45">
        <f>RANK(K351,K$1:K$665)</f>
        <v>350</v>
      </c>
      <c r="B351" s="9" t="s">
        <v>476</v>
      </c>
      <c r="C351" s="46" t="s">
        <v>127</v>
      </c>
      <c r="D351" s="47" t="str">
        <f>VLOOKUP(B351,'Player Data'!A1:D667,4,FALSE)</f>
        <v>D</v>
      </c>
      <c r="E351" s="66">
        <f>VLOOKUP(B351,D!A1:C213,3,FALSE)</f>
        <v>123</v>
      </c>
      <c r="F351" s="62" t="str">
        <f>VLOOKUP(B351,'Player Data'!A1:B667,2,FALSE)</f>
        <v>BOS</v>
      </c>
      <c r="G351" s="10">
        <f>VLOOKUP(B351,'Player Data'!A1:D667,3,FALSE)</f>
        <v>27</v>
      </c>
      <c r="H351" s="50">
        <f>IFERROR(VLOOKUP(B351,ADP!A1:G665,7,FALSE)/1000000,VLOOKUP(B351,ADP!A1:G665,7,FALSE))</f>
        <v>4.0999999999999996</v>
      </c>
      <c r="I351" s="51">
        <f>IF(Settings!$E$15="POINTS",((R351*Q351)*Settings!$B$12)+(S351*Settings!$B$2)+(T351*Settings!$B$3)+(U351*Settings!$B$4)+(V351*Settings!$B$5)+(X351*Settings!$B$9)+(AA351*Settings!$B$6)+(W351*Settings!$B$8)+(AB351*Settings!$B$7)+(AC351*Settings!$B$14)+(AD351*Settings!$B$15)+(AE351*Settings!$B$16)+(AF351*Settings!$B$17)+(AG351*Settings!$B$18)+(U351*Settings!$B$13)+(Y351*Settings!$B$10)+(Z351*Settings!$B$11),VLOOKUP(B351,'Standard Deviations'!A1:C666,3,FALSE))</f>
        <v>163.82691852897821</v>
      </c>
      <c r="J351" s="52">
        <f>IF(D351="G",I351/AJ351,I351/Q351)</f>
        <v>2.0554802989740373</v>
      </c>
      <c r="K351" s="51">
        <f>VLOOKUP(B351,D!A1:F213,6,FALSE)</f>
        <v>-172.4072065166167</v>
      </c>
      <c r="L351" s="53">
        <f>IFERROR(K351/H351,"N/A")</f>
        <v>-42.050538174784563</v>
      </c>
      <c r="M351" s="54">
        <f>IF(Settings!$E$9="YAHOO",VLOOKUP(B351,ADP!A1:E665,2,FALSE),IF(Settings!$E$9="ESPN",VLOOKUP(B351,ADP!A1:E665,3,FALSE),IF(Settings!$E$9="FANTRAX",VLOOKUP(B351,ADP!A1:E665,4,FALSE),VLOOKUP(B351,ADP!A1:E665,5,FALSE))))</f>
        <v>191</v>
      </c>
      <c r="N351" s="54">
        <f>IFERROR(M351-A351,"N/A")</f>
        <v>-159</v>
      </c>
      <c r="O351" s="54"/>
      <c r="P351" s="55" t="str">
        <f>IF(Settings!$E$27="ON",VLOOKUP(B351,ADP!A1:H665,8,FALSE)," ")</f>
        <v xml:space="preserve"> </v>
      </c>
      <c r="Q351" s="56">
        <f>IF(Settings!$E$12="YES",VLOOKUP(B351,'Player Data'!A1:E667,5,FALSE),82)</f>
        <v>79.702500000000001</v>
      </c>
      <c r="R351" s="54">
        <f>VLOOKUP(B351,'Player Data'!$A1:$AE667,6,FALSE)</f>
        <v>19.408374462682101</v>
      </c>
      <c r="S351" s="56">
        <f>VLOOKUP(B351,'Player Data'!$A1:$AE667,7,FALSE)*$Q351*IFERROR((VLOOKUP(P351,Settings!$E$28:$F$33,2,FALSE)+1),1)</f>
        <v>4.2390529511796196</v>
      </c>
      <c r="T351" s="56">
        <f>VLOOKUP(B351,'Player Data'!$A1:$AE667,8,FALSE)*$Q351*IFERROR((VLOOKUP(P351,Settings!$E$28:$F$33,2,FALSE)+1),1)</f>
        <v>12.254228000325833</v>
      </c>
      <c r="U351" s="56">
        <f>SUM(S351:T351)</f>
        <v>16.493280951505454</v>
      </c>
      <c r="V351" s="56">
        <f>VLOOKUP(B351,'Player Data'!$A1:$AE667,10,FALSE)*$Q351*IFERROR(((VLOOKUP(P351,Settings!$E$28:$F$33,2,FALSE)/2)+1),1)</f>
        <v>93.089159285890332</v>
      </c>
      <c r="W351" s="56">
        <f>VLOOKUP(B351,'Player Data'!$A1:$AE667,11,FALSE)*$Q351*IFERROR((VLOOKUP(P351,Settings!$E$28:$F$33,2,FALSE)+1),1)</f>
        <v>1.9863569749505879E-2</v>
      </c>
      <c r="X351" s="56">
        <f>VLOOKUP(B351,'Player Data'!$A1:$AE667,12,FALSE)*$Q351*IFERROR((VLOOKUP(P351,Settings!$E$28:$F$33,2,FALSE)+1),1)</f>
        <v>0.15912780271335258</v>
      </c>
      <c r="Y351" s="56">
        <f>VLOOKUP(B351,'Player Data'!$A1:$AE667,13,FALSE)*$Q351</f>
        <v>0.15817700764590065</v>
      </c>
      <c r="Z351" s="56">
        <f>VLOOKUP(B351,'Player Data'!$A1:$AE667,14,FALSE)*$Q351</f>
        <v>0.24135005075744728</v>
      </c>
      <c r="AA351" s="56">
        <f>VLOOKUP(B351,'Player Data'!$A1:$AE667,15,FALSE)*$Q351</f>
        <v>134.80403635609176</v>
      </c>
      <c r="AB351" s="56">
        <f>VLOOKUP(B351,'Player Data'!$A1:$AE667,16,FALSE)*$Q351</f>
        <v>141.38862206370979</v>
      </c>
      <c r="AC351" s="56">
        <f>VLOOKUP(B351,'Player Data'!$A1:$AE667,17,FALSE)*$Q351*IFERROR((VLOOKUP(P351,Settings!$E$28:$F$33,2,FALSE)+1),1)</f>
        <v>2.910436785812371</v>
      </c>
      <c r="AD351" s="56">
        <f>VLOOKUP(B351,'Player Data'!$A1:$AE667,18,FALSE)*$Q351</f>
        <v>39.119946881900056</v>
      </c>
      <c r="AE351" s="56">
        <f>VLOOKUP(B351,'Player Data'!$A1:$AE667,19,FALSE)*$Q351*IFERROR((VLOOKUP(P351,Settings!$E$28:$F$33,2,FALSE)+1),1)</f>
        <v>0.66024825780722229</v>
      </c>
      <c r="AF351" s="56">
        <f>VLOOKUP(B351,'Player Data'!$A1:$AE667,20,FALSE)*$Q351</f>
        <v>0</v>
      </c>
      <c r="AG351" s="56">
        <f>VLOOKUP(B351,'Player Data'!$A1:$AE667,21,FALSE)*$Q351</f>
        <v>0</v>
      </c>
      <c r="AH351" s="58">
        <f>VLOOKUP(B351,'Player Data'!$A1:$AE667,22,FALSE)</f>
        <v>0</v>
      </c>
      <c r="AI351" s="54"/>
      <c r="AJ351" s="64"/>
      <c r="AK351" s="56"/>
      <c r="AL351" s="56"/>
      <c r="AM351" s="56"/>
      <c r="AN351" s="56"/>
      <c r="AO351" s="56"/>
      <c r="AP351" s="56"/>
      <c r="AQ351" s="59"/>
      <c r="AR351" s="60"/>
      <c r="AS351" s="54"/>
    </row>
    <row r="352" spans="1:45" ht="21.25" customHeight="1" x14ac:dyDescent="0.15">
      <c r="A352" s="45">
        <f>RANK(K352,K$1:K$665)</f>
        <v>351</v>
      </c>
      <c r="B352" s="9" t="s">
        <v>477</v>
      </c>
      <c r="C352" s="46" t="s">
        <v>127</v>
      </c>
      <c r="D352" s="47" t="str">
        <f>VLOOKUP(B352,'Player Data'!A1:D667,4,FALSE)</f>
        <v>C</v>
      </c>
      <c r="E352" s="48">
        <f>VLOOKUP(B352,'C'!A1:C206,3,FALSE)</f>
        <v>100</v>
      </c>
      <c r="F352" s="62" t="str">
        <f>VLOOKUP(B352,'Player Data'!A1:B667,2,FALSE)</f>
        <v>OTT</v>
      </c>
      <c r="G352" s="10">
        <f>VLOOKUP(B352,'Player Data'!A1:D667,3,FALSE)</f>
        <v>25</v>
      </c>
      <c r="H352" s="50">
        <f>IFERROR(VLOOKUP(B352,ADP!A1:G665,7,FALSE)/1000000,VLOOKUP(B352,ADP!A1:G665,7,FALSE))</f>
        <v>7.95</v>
      </c>
      <c r="I352" s="51">
        <f>IF(Settings!$E$15="POINTS",((R352*Q352)*Settings!$B$12)+(S352*Settings!$B$2)+(T352*Settings!$B$3)+(U352*Settings!$B$4)+(V352*Settings!$B$5)+(X352*Settings!$B$9)+(AA352*Settings!$B$6)+(W352*Settings!$B$8)+(AB352*Settings!$B$7)+(AC352*Settings!$B$14)+(AD352*Settings!$B$15)+(AE352*Settings!$B$16)+(AF352*Settings!$B$17)+(AG352*Settings!$B$18)+(Y352*Settings!$B$10)+(Z352*Settings!$B$11),VLOOKUP(B352,'Standard Deviations'!A1:C666,3,FALSE))</f>
        <v>217.38479242124404</v>
      </c>
      <c r="J352" s="52">
        <f>IF(D352="G",I352/AJ352,I352/Q352)</f>
        <v>3.2157513671781666</v>
      </c>
      <c r="K352" s="51">
        <f>IF(Settings!$E$18="C/LW/RW",VLOOKUP(B352,'C'!A1:F206,6,FALSE),VLOOKUP(B352,F!A1:F392,6,FALSE))</f>
        <v>-172.55236535683704</v>
      </c>
      <c r="L352" s="53">
        <f>IFERROR(K352/H352,"N/A")</f>
        <v>-21.704700044885161</v>
      </c>
      <c r="M352" s="83" t="str">
        <f>IF(Settings!$E$9="YAHOO",VLOOKUP(B352,ADP!A1:E665,2,FALSE),IF(Settings!$E$9="ESPN",VLOOKUP(B352,ADP!A1:E665,3,FALSE),IF(Settings!$E$9="FANTRAX",VLOOKUP(B352,ADP!A1:E665,4,FALSE),VLOOKUP(B352,ADP!A1:E665,5,FALSE))))</f>
        <v>—</v>
      </c>
      <c r="N352" s="83" t="str">
        <f>IFERROR(M352-A352,"N/A")</f>
        <v>N/A</v>
      </c>
      <c r="O352" s="54"/>
      <c r="P352" s="55" t="str">
        <f>IF(Settings!$E$27="ON",VLOOKUP(B352,ADP!A1:H665,8,FALSE)," ")</f>
        <v xml:space="preserve"> </v>
      </c>
      <c r="Q352" s="56">
        <f>IF(Settings!$E$12="YES",VLOOKUP(B352,'Player Data'!A1:E667,5,FALSE),82)</f>
        <v>67.599999999999994</v>
      </c>
      <c r="R352" s="54">
        <f>VLOOKUP(B352,'Player Data'!$A1:$AE667,6,FALSE)</f>
        <v>16.782174827908701</v>
      </c>
      <c r="S352" s="56">
        <f>VLOOKUP(B352,'Player Data'!$A1:$AE667,7,FALSE)*$Q352*IFERROR((VLOOKUP(P352,Settings!$E$28:$F$33,2,FALSE)+1),1)</f>
        <v>20.105531465598371</v>
      </c>
      <c r="T352" s="56">
        <f>VLOOKUP(B352,'Player Data'!$A1:$AE667,8,FALSE)*$Q352*IFERROR((VLOOKUP(P352,Settings!$E$28:$F$33,2,FALSE)+1),1)</f>
        <v>17.298113741948654</v>
      </c>
      <c r="U352" s="56">
        <f>SUM(S352:T352)</f>
        <v>37.403645207547029</v>
      </c>
      <c r="V352" s="56">
        <f>VLOOKUP(B352,'Player Data'!$A1:$AE667,10,FALSE)*$Q352*IFERROR(((VLOOKUP(P352,Settings!$E$28:$F$33,2,FALSE)/2)+1),1)</f>
        <v>144.14562581076191</v>
      </c>
      <c r="W352" s="56">
        <f>VLOOKUP(B352,'Player Data'!$A1:$AE667,11,FALSE)*$Q352*IFERROR((VLOOKUP(P352,Settings!$E$28:$F$33,2,FALSE)+1),1)</f>
        <v>6.1543212791332813</v>
      </c>
      <c r="X352" s="78">
        <f>VLOOKUP(B352,'Player Data'!$A1:$AE667,12,FALSE)*$Q352*IFERROR((VLOOKUP(P352,Settings!$E$28:$F$33,2,FALSE)+1),1)</f>
        <v>12.257551374972451</v>
      </c>
      <c r="Y352" s="56">
        <f>VLOOKUP(B352,'Player Data'!$A1:$AE667,13,FALSE)*$Q352</f>
        <v>0.15626197383943283</v>
      </c>
      <c r="Z352" s="56">
        <f>VLOOKUP(B352,'Player Data'!$A1:$AE667,14,FALSE)*$Q352</f>
        <v>0.95041148328830438</v>
      </c>
      <c r="AA352" s="56">
        <f>VLOOKUP(B352,'Player Data'!$A1:$AE667,15,FALSE)*$Q352</f>
        <v>39.786162069922504</v>
      </c>
      <c r="AB352" s="56">
        <f>VLOOKUP(B352,'Player Data'!$A1:$AE667,16,FALSE)*$Q352</f>
        <v>100.31309390364163</v>
      </c>
      <c r="AC352" s="56">
        <f>VLOOKUP(B352,'Player Data'!$A1:$AE667,17,FALSE)*$Q352*IFERROR((VLOOKUP(P352,Settings!$E$28:$F$33,2,FALSE)+1),1)</f>
        <v>-1.8838282714648773</v>
      </c>
      <c r="AD352" s="56">
        <f>VLOOKUP(B352,'Player Data'!$A1:$AE667,18,FALSE)*$Q352</f>
        <v>25.642473296420317</v>
      </c>
      <c r="AE352" s="56">
        <f>VLOOKUP(B352,'Player Data'!$A1:$AE667,19,FALSE)*$Q352*IFERROR((VLOOKUP(P352,Settings!$E$28:$F$33,2,FALSE)+1),1)</f>
        <v>3.12167004782239</v>
      </c>
      <c r="AF352" s="56">
        <f>VLOOKUP(B352,'Player Data'!$A1:$AE667,20,FALSE)*$Q352</f>
        <v>433.6008403958395</v>
      </c>
      <c r="AG352" s="56">
        <f>VLOOKUP(B352,'Player Data'!$A1:$AE667,21,FALSE)*$Q352</f>
        <v>398.7989329189989</v>
      </c>
      <c r="AH352" s="58">
        <f>VLOOKUP(B352,'Player Data'!$A1:$AE667,22,FALSE)</f>
        <v>0.520904563283487</v>
      </c>
      <c r="AI352" s="54"/>
      <c r="AJ352" s="64"/>
      <c r="AK352" s="56"/>
      <c r="AL352" s="56"/>
      <c r="AM352" s="56"/>
      <c r="AN352" s="56"/>
      <c r="AO352" s="56"/>
      <c r="AP352" s="56"/>
      <c r="AQ352" s="59"/>
      <c r="AR352" s="60"/>
      <c r="AS352" s="54"/>
    </row>
    <row r="353" spans="1:45" ht="21.25" customHeight="1" x14ac:dyDescent="0.15">
      <c r="A353" s="45">
        <f>RANK(K353,K$1:K$665)</f>
        <v>352</v>
      </c>
      <c r="B353" s="9" t="s">
        <v>478</v>
      </c>
      <c r="C353" s="46" t="s">
        <v>127</v>
      </c>
      <c r="D353" s="47" t="str">
        <f>VLOOKUP(B353,'Player Data'!A1:D667,4,FALSE)</f>
        <v>D</v>
      </c>
      <c r="E353" s="66">
        <f>VLOOKUP(B353,D!A1:C213,3,FALSE)</f>
        <v>124</v>
      </c>
      <c r="F353" s="55" t="str">
        <f>VLOOKUP(B353,'Player Data'!A1:B667,2,FALSE)</f>
        <v>CHI</v>
      </c>
      <c r="G353" s="63">
        <f>VLOOKUP(B353,'Player Data'!A1:D667,3,FALSE)</f>
        <v>34</v>
      </c>
      <c r="H353" s="50">
        <f>IFERROR(VLOOKUP(B353,ADP!A1:G665,7,FALSE)/1000000,VLOOKUP(B353,ADP!A1:G665,7,FALSE))</f>
        <v>3.75</v>
      </c>
      <c r="I353" s="51">
        <f>IF(Settings!$E$15="POINTS",((R353*Q353)*Settings!$B$12)+(S353*Settings!$B$2)+(T353*Settings!$B$3)+(U353*Settings!$B$4)+(V353*Settings!$B$5)+(X353*Settings!$B$9)+(AA353*Settings!$B$6)+(W353*Settings!$B$8)+(AB353*Settings!$B$7)+(AC353*Settings!$B$14)+(AD353*Settings!$B$15)+(AE353*Settings!$B$16)+(AF353*Settings!$B$17)+(AG353*Settings!$B$18)+(U353*Settings!$B$13)+(Y353*Settings!$B$10)+(Z353*Settings!$B$11),VLOOKUP(B353,'Standard Deviations'!A1:C666,3,FALSE))</f>
        <v>163.25942930086038</v>
      </c>
      <c r="J353" s="52">
        <f>IF(D353="G",I353/AJ353,I353/Q353)</f>
        <v>2.0925330594829581</v>
      </c>
      <c r="K353" s="51">
        <f>VLOOKUP(B353,D!A1:F213,6,FALSE)</f>
        <v>-172.97469574473453</v>
      </c>
      <c r="L353" s="53">
        <f>IFERROR(K353/H353,"N/A")</f>
        <v>-46.126585531929209</v>
      </c>
      <c r="M353" s="83" t="str">
        <f>IF(Settings!$E$9="YAHOO",VLOOKUP(B353,ADP!A1:E665,2,FALSE),IF(Settings!$E$9="ESPN",VLOOKUP(B353,ADP!A1:E665,3,FALSE),IF(Settings!$E$9="FANTRAX",VLOOKUP(B353,ADP!A1:E665,4,FALSE),VLOOKUP(B353,ADP!A1:E665,5,FALSE))))</f>
        <v>—</v>
      </c>
      <c r="N353" s="83" t="str">
        <f>IFERROR(M353-A353,"N/A")</f>
        <v>N/A</v>
      </c>
      <c r="O353" s="54"/>
      <c r="P353" s="55" t="str">
        <f>IF(Settings!$E$27="ON",VLOOKUP(B353,ADP!A1:H665,8,FALSE)," ")</f>
        <v xml:space="preserve"> </v>
      </c>
      <c r="Q353" s="56">
        <f>IF(Settings!$E$12="YES",VLOOKUP(B353,'Player Data'!A1:E667,5,FALSE),82)</f>
        <v>78.02</v>
      </c>
      <c r="R353" s="81">
        <f>VLOOKUP(B353,'Player Data'!$A1:$AE667,6,FALSE)</f>
        <v>20.523287286737698</v>
      </c>
      <c r="S353" s="56">
        <f>VLOOKUP(B353,'Player Data'!$A1:$AE667,7,FALSE)*$Q353*IFERROR((VLOOKUP(P353,Settings!$E$28:$F$33,2,FALSE)+1),1)</f>
        <v>2.0641503650180675</v>
      </c>
      <c r="T353" s="56">
        <f>VLOOKUP(B353,'Player Data'!$A1:$AE667,8,FALSE)*$Q353*IFERROR((VLOOKUP(P353,Settings!$E$28:$F$33,2,FALSE)+1),1)</f>
        <v>18.940465372528337</v>
      </c>
      <c r="U353" s="56">
        <f>SUM(S353:T353)</f>
        <v>21.004615737546406</v>
      </c>
      <c r="V353" s="56">
        <f>VLOOKUP(B353,'Player Data'!$A1:$AE667,10,FALSE)*$Q353*IFERROR(((VLOOKUP(P353,Settings!$E$28:$F$33,2,FALSE)/2)+1),1)</f>
        <v>55.351585800117469</v>
      </c>
      <c r="W353" s="56">
        <f>VLOOKUP(B353,'Player Data'!$A1:$AE667,11,FALSE)*$Q353*IFERROR((VLOOKUP(P353,Settings!$E$28:$F$33,2,FALSE)+1),1)</f>
        <v>1.579982796106404E-2</v>
      </c>
      <c r="X353" s="56">
        <f>VLOOKUP(B353,'Player Data'!$A1:$AE667,12,FALSE)*$Q353*IFERROR((VLOOKUP(P353,Settings!$E$28:$F$33,2,FALSE)+1),1)</f>
        <v>0.15321726808563221</v>
      </c>
      <c r="Y353" s="56">
        <f>VLOOKUP(B353,'Player Data'!$A1:$AE667,13,FALSE)*$Q353</f>
        <v>2.026108710460555E-2</v>
      </c>
      <c r="Z353" s="56">
        <f>VLOOKUP(B353,'Player Data'!$A1:$AE667,14,FALSE)*$Q353</f>
        <v>0.61620389227988015</v>
      </c>
      <c r="AA353" s="56">
        <f>VLOOKUP(B353,'Player Data'!$A1:$AE667,15,FALSE)*$Q353</f>
        <v>143.60073605559384</v>
      </c>
      <c r="AB353" s="56">
        <f>VLOOKUP(B353,'Player Data'!$A1:$AE667,16,FALSE)*$Q353</f>
        <v>58.230111410650849</v>
      </c>
      <c r="AC353" s="56">
        <f>VLOOKUP(B353,'Player Data'!$A1:$AE667,17,FALSE)*$Q353*IFERROR((VLOOKUP(P353,Settings!$E$28:$F$33,2,FALSE)+1),1)</f>
        <v>5.6185870205108026</v>
      </c>
      <c r="AD353" s="56">
        <f>VLOOKUP(B353,'Player Data'!$A1:$AE667,18,FALSE)*$Q353</f>
        <v>29.550739059294269</v>
      </c>
      <c r="AE353" s="56">
        <f>VLOOKUP(B353,'Player Data'!$A1:$AE667,19,FALSE)*$Q353*IFERROR((VLOOKUP(P353,Settings!$E$28:$F$33,2,FALSE)+1),1)</f>
        <v>0.2667609788101245</v>
      </c>
      <c r="AF353" s="56">
        <f>VLOOKUP(B353,'Player Data'!$A1:$AE667,20,FALSE)*$Q353</f>
        <v>0</v>
      </c>
      <c r="AG353" s="56">
        <f>VLOOKUP(B353,'Player Data'!$A1:$AE667,21,FALSE)*$Q353</f>
        <v>0</v>
      </c>
      <c r="AH353" s="58">
        <f>VLOOKUP(B353,'Player Data'!$A1:$AE667,22,FALSE)</f>
        <v>0</v>
      </c>
      <c r="AI353" s="54"/>
      <c r="AJ353" s="56"/>
      <c r="AK353" s="56"/>
      <c r="AL353" s="56"/>
      <c r="AM353" s="56"/>
      <c r="AN353" s="56"/>
      <c r="AO353" s="56"/>
      <c r="AP353" s="56"/>
      <c r="AQ353" s="59"/>
      <c r="AR353" s="60"/>
      <c r="AS353" s="54"/>
    </row>
    <row r="354" spans="1:45" ht="21.25" customHeight="1" x14ac:dyDescent="0.15">
      <c r="A354" s="45">
        <f>RANK(K354,K$1:K$665)</f>
        <v>353</v>
      </c>
      <c r="B354" s="9" t="s">
        <v>479</v>
      </c>
      <c r="C354" s="46" t="s">
        <v>127</v>
      </c>
      <c r="D354" s="47" t="str">
        <f>VLOOKUP(B354,'Player Data'!A1:D667,4,FALSE)</f>
        <v>C</v>
      </c>
      <c r="E354" s="48">
        <f>VLOOKUP(B354,'C'!A1:C206,3,FALSE)</f>
        <v>101</v>
      </c>
      <c r="F354" s="72" t="str">
        <f>VLOOKUP(B354,'Player Data'!A1:B667,2,FALSE)</f>
        <v>CAR</v>
      </c>
      <c r="G354" s="10">
        <f>VLOOKUP(B354,'Player Data'!A1:D667,3,FALSE)</f>
        <v>24</v>
      </c>
      <c r="H354" s="50">
        <f>IFERROR(VLOOKUP(B354,ADP!A1:G665,7,FALSE)/1000000,VLOOKUP(B354,ADP!A1:G665,7,FALSE))</f>
        <v>4.82</v>
      </c>
      <c r="I354" s="51">
        <f>IF(Settings!$E$15="POINTS",((R354*Q354)*Settings!$B$12)+(S354*Settings!$B$2)+(T354*Settings!$B$3)+(U354*Settings!$B$4)+(V354*Settings!$B$5)+(X354*Settings!$B$9)+(AA354*Settings!$B$6)+(W354*Settings!$B$8)+(AB354*Settings!$B$7)+(AC354*Settings!$B$14)+(AD354*Settings!$B$15)+(AE354*Settings!$B$16)+(AF354*Settings!$B$17)+(AG354*Settings!$B$18)+(Y354*Settings!$B$10)+(Z354*Settings!$B$11),VLOOKUP(B354,'Standard Deviations'!A1:C666,3,FALSE))</f>
        <v>216.72598347871539</v>
      </c>
      <c r="J354" s="52">
        <f>IF(D354="G",I354/AJ354,I354/Q354)</f>
        <v>2.7125502484898201</v>
      </c>
      <c r="K354" s="51">
        <f>IF(Settings!$E$18="C/LW/RW",VLOOKUP(B354,'C'!A1:F206,6,FALSE),VLOOKUP(B354,F!A1:F392,6,FALSE))</f>
        <v>-173.21117429936569</v>
      </c>
      <c r="L354" s="53">
        <f>IFERROR(K354/H354,"N/A")</f>
        <v>-35.935928277876698</v>
      </c>
      <c r="M354" s="83" t="str">
        <f>IF(Settings!$E$9="YAHOO",VLOOKUP(B354,ADP!A1:E665,2,FALSE),IF(Settings!$E$9="ESPN",VLOOKUP(B354,ADP!A1:E665,3,FALSE),IF(Settings!$E$9="FANTRAX",VLOOKUP(B354,ADP!A1:E665,4,FALSE),VLOOKUP(B354,ADP!A1:E665,5,FALSE))))</f>
        <v>—</v>
      </c>
      <c r="N354" s="83" t="str">
        <f>IFERROR(M354-A354,"N/A")</f>
        <v>N/A</v>
      </c>
      <c r="O354" s="54"/>
      <c r="P354" s="55" t="str">
        <f>IF(Settings!$E$27="ON",VLOOKUP(B354,ADP!A1:H665,8,FALSE)," ")</f>
        <v xml:space="preserve"> </v>
      </c>
      <c r="Q354" s="56">
        <f>IF(Settings!$E$12="YES",VLOOKUP(B354,'Player Data'!A1:E667,5,FALSE),82)</f>
        <v>79.897499999999994</v>
      </c>
      <c r="R354" s="75">
        <f>VLOOKUP(B354,'Player Data'!$A1:$AE667,6,FALSE)</f>
        <v>15.2328253859641</v>
      </c>
      <c r="S354" s="56">
        <f>VLOOKUP(B354,'Player Data'!$A1:$AE667,7,FALSE)*$Q354*IFERROR((VLOOKUP(P354,Settings!$E$28:$F$33,2,FALSE)+1),1)</f>
        <v>16.993532726353937</v>
      </c>
      <c r="T354" s="56">
        <f>VLOOKUP(B354,'Player Data'!$A1:$AE667,8,FALSE)*$Q354*IFERROR((VLOOKUP(P354,Settings!$E$28:$F$33,2,FALSE)+1),1)</f>
        <v>22.913111212399723</v>
      </c>
      <c r="U354" s="56">
        <f>SUM(S354:T354)</f>
        <v>39.90664393875366</v>
      </c>
      <c r="V354" s="56">
        <f>VLOOKUP(B354,'Player Data'!$A1:$AE667,10,FALSE)*$Q354*IFERROR(((VLOOKUP(P354,Settings!$E$28:$F$33,2,FALSE)/2)+1),1)</f>
        <v>145.61537286829963</v>
      </c>
      <c r="W354" s="56">
        <f>VLOOKUP(B354,'Player Data'!$A1:$AE667,11,FALSE)*$Q354*IFERROR((VLOOKUP(P354,Settings!$E$28:$F$33,2,FALSE)+1),1)</f>
        <v>2.2314137999157908</v>
      </c>
      <c r="X354" s="56">
        <f>VLOOKUP(B354,'Player Data'!$A1:$AE667,12,FALSE)*$Q354*IFERROR((VLOOKUP(P354,Settings!$E$28:$F$33,2,FALSE)+1),1)</f>
        <v>7.1565603304476344</v>
      </c>
      <c r="Y354" s="56">
        <f>VLOOKUP(B354,'Player Data'!$A1:$AE667,13,FALSE)*$Q354</f>
        <v>0.16917906236838981</v>
      </c>
      <c r="Z354" s="56">
        <f>VLOOKUP(B354,'Player Data'!$A1:$AE667,14,FALSE)*$Q354</f>
        <v>0.41541084436340325</v>
      </c>
      <c r="AA354" s="56">
        <f>VLOOKUP(B354,'Player Data'!$A1:$AE667,15,FALSE)*$Q354</f>
        <v>33.252788106987104</v>
      </c>
      <c r="AB354" s="56">
        <f>VLOOKUP(B354,'Player Data'!$A1:$AE667,16,FALSE)*$Q354</f>
        <v>82.386100989685687</v>
      </c>
      <c r="AC354" s="56">
        <f>VLOOKUP(B354,'Player Data'!$A1:$AE667,17,FALSE)*$Q354*IFERROR((VLOOKUP(P354,Settings!$E$28:$F$33,2,FALSE)+1),1)</f>
        <v>5.4210394181038239</v>
      </c>
      <c r="AD354" s="56">
        <f>VLOOKUP(B354,'Player Data'!$A1:$AE667,18,FALSE)*$Q354</f>
        <v>42.434988302936695</v>
      </c>
      <c r="AE354" s="56">
        <f>VLOOKUP(B354,'Player Data'!$A1:$AE667,19,FALSE)*$Q354*IFERROR((VLOOKUP(P354,Settings!$E$28:$F$33,2,FALSE)+1),1)</f>
        <v>2.9447342794889351</v>
      </c>
      <c r="AF354" s="56">
        <f>VLOOKUP(B354,'Player Data'!$A1:$AE667,20,FALSE)*$Q354</f>
        <v>374.97495561071094</v>
      </c>
      <c r="AG354" s="56">
        <f>VLOOKUP(B354,'Player Data'!$A1:$AE667,21,FALSE)*$Q354</f>
        <v>354.19719841939775</v>
      </c>
      <c r="AH354" s="58">
        <f>VLOOKUP(B354,'Player Data'!$A1:$AE667,22,FALSE)</f>
        <v>0.51424749771125799</v>
      </c>
      <c r="AI354" s="54"/>
      <c r="AJ354" s="56"/>
      <c r="AK354" s="56"/>
      <c r="AL354" s="56"/>
      <c r="AM354" s="56"/>
      <c r="AN354" s="56"/>
      <c r="AO354" s="56"/>
      <c r="AP354" s="56"/>
      <c r="AQ354" s="59"/>
      <c r="AR354" s="60"/>
      <c r="AS354" s="54"/>
    </row>
    <row r="355" spans="1:45" ht="21.25" customHeight="1" x14ac:dyDescent="0.15">
      <c r="A355" s="45">
        <f>RANK(K355,K$1:K$665)</f>
        <v>354</v>
      </c>
      <c r="B355" s="9" t="s">
        <v>480</v>
      </c>
      <c r="C355" s="46" t="s">
        <v>127</v>
      </c>
      <c r="D355" s="47" t="str">
        <f>VLOOKUP(B355,'Player Data'!A1:D667,4,FALSE)</f>
        <v>D</v>
      </c>
      <c r="E355" s="66">
        <f>VLOOKUP(B355,D!A1:C213,3,FALSE)</f>
        <v>125</v>
      </c>
      <c r="F355" s="62" t="str">
        <f>VLOOKUP(B355,'Player Data'!A1:B667,2,FALSE)</f>
        <v>OTT</v>
      </c>
      <c r="G355" s="63">
        <f>VLOOKUP(B355,'Player Data'!A1:D667,3,FALSE)</f>
        <v>33</v>
      </c>
      <c r="H355" s="50">
        <f>IFERROR(VLOOKUP(B355,ADP!A1:G665,7,FALSE)/1000000,VLOOKUP(B355,ADP!A1:G665,7,FALSE))</f>
        <v>4.05</v>
      </c>
      <c r="I355" s="51">
        <f>IF(Settings!$E$15="POINTS",((R355*Q355)*Settings!$B$12)+(S355*Settings!$B$2)+(T355*Settings!$B$3)+(U355*Settings!$B$4)+(V355*Settings!$B$5)+(X355*Settings!$B$9)+(AA355*Settings!$B$6)+(W355*Settings!$B$8)+(AB355*Settings!$B$7)+(AC355*Settings!$B$14)+(AD355*Settings!$B$15)+(AE355*Settings!$B$16)+(AF355*Settings!$B$17)+(AG355*Settings!$B$18)+(U355*Settings!$B$13)+(Y355*Settings!$B$10)+(Z355*Settings!$B$11),VLOOKUP(B355,'Standard Deviations'!A1:C666,3,FALSE))</f>
        <v>162.8432771139245</v>
      </c>
      <c r="J355" s="52">
        <f>IF(D355="G",I355/AJ355,I355/Q355)</f>
        <v>2.0347143612148129</v>
      </c>
      <c r="K355" s="51">
        <f>VLOOKUP(B355,D!A1:F213,6,FALSE)</f>
        <v>-173.39084793167041</v>
      </c>
      <c r="L355" s="53">
        <f>IFERROR(K355/H355,"N/A")</f>
        <v>-42.812555044856893</v>
      </c>
      <c r="M355" s="83" t="str">
        <f>IF(Settings!$E$9="YAHOO",VLOOKUP(B355,ADP!A1:E665,2,FALSE),IF(Settings!$E$9="ESPN",VLOOKUP(B355,ADP!A1:E665,3,FALSE),IF(Settings!$E$9="FANTRAX",VLOOKUP(B355,ADP!A1:E665,4,FALSE),VLOOKUP(B355,ADP!A1:E665,5,FALSE))))</f>
        <v>—</v>
      </c>
      <c r="N355" s="83" t="str">
        <f>IFERROR(M355-A355,"N/A")</f>
        <v>N/A</v>
      </c>
      <c r="O355" s="54"/>
      <c r="P355" s="55" t="str">
        <f>IF(Settings!$E$27="ON",VLOOKUP(B355,ADP!A1:H665,8,FALSE)," ")</f>
        <v xml:space="preserve"> </v>
      </c>
      <c r="Q355" s="56">
        <f>IF(Settings!$E$12="YES",VLOOKUP(B355,'Player Data'!A1:E667,5,FALSE),82)</f>
        <v>80.032499999999999</v>
      </c>
      <c r="R355" s="54">
        <f>VLOOKUP(B355,'Player Data'!$A1:$AE667,6,FALSE)</f>
        <v>19.2553396794824</v>
      </c>
      <c r="S355" s="56">
        <f>VLOOKUP(B355,'Player Data'!$A1:$AE667,7,FALSE)*$Q355*IFERROR((VLOOKUP(P355,Settings!$E$28:$F$33,2,FALSE)+1),1)</f>
        <v>3.0897878612220548</v>
      </c>
      <c r="T355" s="56">
        <f>VLOOKUP(B355,'Player Data'!$A1:$AE667,8,FALSE)*$Q355*IFERROR((VLOOKUP(P355,Settings!$E$28:$F$33,2,FALSE)+1),1)</f>
        <v>17.063624881969169</v>
      </c>
      <c r="U355" s="56">
        <f>SUM(S355:T355)</f>
        <v>20.153412743191225</v>
      </c>
      <c r="V355" s="56">
        <f>VLOOKUP(B355,'Player Data'!$A1:$AE667,10,FALSE)*$Q355*IFERROR(((VLOOKUP(P355,Settings!$E$28:$F$33,2,FALSE)/2)+1),1)</f>
        <v>79.758240588412534</v>
      </c>
      <c r="W355" s="56">
        <f>VLOOKUP(B355,'Player Data'!$A1:$AE667,11,FALSE)*$Q355*IFERROR((VLOOKUP(P355,Settings!$E$28:$F$33,2,FALSE)+1),1)</f>
        <v>2.1122376582176659E-2</v>
      </c>
      <c r="X355" s="56">
        <f>VLOOKUP(B355,'Player Data'!$A1:$AE667,12,FALSE)*$Q355*IFERROR((VLOOKUP(P355,Settings!$E$28:$F$33,2,FALSE)+1),1)</f>
        <v>0.14887503994092696</v>
      </c>
      <c r="Y355" s="56">
        <f>VLOOKUP(B355,'Player Data'!$A1:$AE667,13,FALSE)*$Q355</f>
        <v>2.1819250326442021E-2</v>
      </c>
      <c r="Z355" s="56">
        <f>VLOOKUP(B355,'Player Data'!$A1:$AE667,14,FALSE)*$Q355</f>
        <v>0.32676628803265922</v>
      </c>
      <c r="AA355" s="56">
        <f>VLOOKUP(B355,'Player Data'!$A1:$AE667,15,FALSE)*$Q355</f>
        <v>124.05655452434192</v>
      </c>
      <c r="AB355" s="56">
        <f>VLOOKUP(B355,'Player Data'!$A1:$AE667,16,FALSE)*$Q355</f>
        <v>88.266464323414866</v>
      </c>
      <c r="AC355" s="56">
        <f>VLOOKUP(B355,'Player Data'!$A1:$AE667,17,FALSE)*$Q355*IFERROR((VLOOKUP(P355,Settings!$E$28:$F$33,2,FALSE)+1),1)</f>
        <v>-2.456826872523711</v>
      </c>
      <c r="AD355" s="56">
        <f>VLOOKUP(B355,'Player Data'!$A1:$AE667,18,FALSE)*$Q355</f>
        <v>19.631483345579316</v>
      </c>
      <c r="AE355" s="56">
        <f>VLOOKUP(B355,'Player Data'!$A1:$AE667,19,FALSE)*$Q355*IFERROR((VLOOKUP(P355,Settings!$E$28:$F$33,2,FALSE)+1),1)</f>
        <v>0.47973356173179033</v>
      </c>
      <c r="AF355" s="56">
        <f>VLOOKUP(B355,'Player Data'!$A1:$AE667,20,FALSE)*$Q355</f>
        <v>0</v>
      </c>
      <c r="AG355" s="56">
        <f>VLOOKUP(B355,'Player Data'!$A1:$AE667,21,FALSE)*$Q355</f>
        <v>0</v>
      </c>
      <c r="AH355" s="58">
        <f>VLOOKUP(B355,'Player Data'!$A1:$AE667,22,FALSE)</f>
        <v>0</v>
      </c>
      <c r="AI355" s="54"/>
      <c r="AJ355" s="56"/>
      <c r="AK355" s="56"/>
      <c r="AL355" s="56"/>
      <c r="AM355" s="56"/>
      <c r="AN355" s="56"/>
      <c r="AO355" s="56"/>
      <c r="AP355" s="56"/>
      <c r="AQ355" s="59"/>
      <c r="AR355" s="60"/>
      <c r="AS355" s="54"/>
    </row>
    <row r="356" spans="1:45" ht="21.25" customHeight="1" x14ac:dyDescent="0.15">
      <c r="A356" s="45">
        <f>RANK(K356,K$1:K$665)</f>
        <v>355</v>
      </c>
      <c r="B356" s="9" t="s">
        <v>481</v>
      </c>
      <c r="C356" s="46" t="s">
        <v>127</v>
      </c>
      <c r="D356" s="47" t="str">
        <f>VLOOKUP(B356,'Player Data'!A1:D667,4,FALSE)</f>
        <v>D</v>
      </c>
      <c r="E356" s="66">
        <f>VLOOKUP(B356,D!A1:C213,3,FALSE)</f>
        <v>126</v>
      </c>
      <c r="F356" s="55" t="str">
        <f>VLOOKUP(B356,'Player Data'!A1:B667,2,FALSE)</f>
        <v>CHI</v>
      </c>
      <c r="G356" s="69">
        <f>VLOOKUP(B356,'Player Data'!A1:D667,3,FALSE)</f>
        <v>20</v>
      </c>
      <c r="H356" s="50">
        <f>IFERROR(VLOOKUP(B356,ADP!A1:G665,7,FALSE)/1000000,VLOOKUP(B356,ADP!A1:G665,7,FALSE))</f>
        <v>0.91833299999999995</v>
      </c>
      <c r="I356" s="51">
        <f>IF(Settings!$E$15="POINTS",((R356*Q356)*Settings!$B$12)+(S356*Settings!$B$2)+(T356*Settings!$B$3)+(U356*Settings!$B$4)+(V356*Settings!$B$5)+(X356*Settings!$B$9)+(AA356*Settings!$B$6)+(W356*Settings!$B$8)+(AB356*Settings!$B$7)+(AC356*Settings!$B$14)+(AD356*Settings!$B$15)+(AE356*Settings!$B$16)+(AF356*Settings!$B$17)+(AG356*Settings!$B$18)+(U356*Settings!$B$13)+(Y356*Settings!$B$10)+(Z356*Settings!$B$11),VLOOKUP(B356,'Standard Deviations'!A1:C666,3,FALSE))</f>
        <v>162.28055328460243</v>
      </c>
      <c r="J356" s="52">
        <f>IF(D356="G",I356/AJ356,I356/Q356)</f>
        <v>2.0402382862031985</v>
      </c>
      <c r="K356" s="51">
        <f>VLOOKUP(B356,D!A1:F213,6,FALSE)</f>
        <v>-173.95357176099247</v>
      </c>
      <c r="L356" s="53">
        <f>IFERROR(K356/H356,"N/A")</f>
        <v>-189.4231959006074</v>
      </c>
      <c r="M356" s="83" t="str">
        <f>IF(Settings!$E$9="YAHOO",VLOOKUP(B356,ADP!A1:E665,2,FALSE),IF(Settings!$E$9="ESPN",VLOOKUP(B356,ADP!A1:E665,3,FALSE),IF(Settings!$E$9="FANTRAX",VLOOKUP(B356,ADP!A1:E665,4,FALSE),VLOOKUP(B356,ADP!A1:E665,5,FALSE))))</f>
        <v>—</v>
      </c>
      <c r="N356" s="83" t="str">
        <f>IFERROR(M356-A356,"N/A")</f>
        <v>N/A</v>
      </c>
      <c r="O356" s="54"/>
      <c r="P356" s="55" t="str">
        <f>IF(Settings!$E$27="ON",VLOOKUP(B356,ADP!A1:H665,8,FALSE)," ")</f>
        <v xml:space="preserve"> </v>
      </c>
      <c r="Q356" s="56">
        <f>IF(Settings!$E$12="YES",VLOOKUP(B356,'Player Data'!A1:E667,5,FALSE),82)</f>
        <v>79.540000000000006</v>
      </c>
      <c r="R356" s="54">
        <f>VLOOKUP(B356,'Player Data'!$A1:$AE667,6,FALSE)</f>
        <v>18.694854585782601</v>
      </c>
      <c r="S356" s="56">
        <f>VLOOKUP(B356,'Player Data'!$A1:$AE667,7,FALSE)*$Q356*IFERROR((VLOOKUP(P356,Settings!$E$28:$F$33,2,FALSE)+1),1)</f>
        <v>5.3242014133306759</v>
      </c>
      <c r="T356" s="56">
        <f>VLOOKUP(B356,'Player Data'!$A1:$AE667,8,FALSE)*$Q356*IFERROR((VLOOKUP(P356,Settings!$E$28:$F$33,2,FALSE)+1),1)</f>
        <v>14.880733757863588</v>
      </c>
      <c r="U356" s="56">
        <f>SUM(S356:T356)</f>
        <v>20.204935171194265</v>
      </c>
      <c r="V356" s="56">
        <f>VLOOKUP(B356,'Player Data'!$A1:$AE667,10,FALSE)*$Q356*IFERROR(((VLOOKUP(P356,Settings!$E$28:$F$33,2,FALSE)/2)+1),1)</f>
        <v>96.0879383404273</v>
      </c>
      <c r="W356" s="56">
        <f>VLOOKUP(B356,'Player Data'!$A1:$AE667,11,FALSE)*$Q356*IFERROR((VLOOKUP(P356,Settings!$E$28:$F$33,2,FALSE)+1),1)</f>
        <v>0.38147165459133836</v>
      </c>
      <c r="X356" s="56">
        <f>VLOOKUP(B356,'Player Data'!$A1:$AE667,12,FALSE)*$Q356*IFERROR((VLOOKUP(P356,Settings!$E$28:$F$33,2,FALSE)+1),1)</f>
        <v>8.4476767888412532</v>
      </c>
      <c r="Y356" s="56">
        <f>VLOOKUP(B356,'Player Data'!$A1:$AE667,13,FALSE)*$Q356</f>
        <v>9.8213359844896778E-3</v>
      </c>
      <c r="Z356" s="56">
        <f>VLOOKUP(B356,'Player Data'!$A1:$AE667,14,FALSE)*$Q356</f>
        <v>4.8673043656614179E-2</v>
      </c>
      <c r="AA356" s="56">
        <f>VLOOKUP(B356,'Player Data'!$A1:$AE667,15,FALSE)*$Q356</f>
        <v>90.250857536616266</v>
      </c>
      <c r="AB356" s="56">
        <f>VLOOKUP(B356,'Player Data'!$A1:$AE667,16,FALSE)*$Q356</f>
        <v>50.104660929485938</v>
      </c>
      <c r="AC356" s="56">
        <f>VLOOKUP(B356,'Player Data'!$A1:$AE667,17,FALSE)*$Q356*IFERROR((VLOOKUP(P356,Settings!$E$28:$F$33,2,FALSE)+1),1)</f>
        <v>-10.261162652259337</v>
      </c>
      <c r="AD356" s="56">
        <f>VLOOKUP(B356,'Player Data'!$A1:$AE667,18,FALSE)*$Q356</f>
        <v>25.882340730458925</v>
      </c>
      <c r="AE356" s="56">
        <f>VLOOKUP(B356,'Player Data'!$A1:$AE667,19,FALSE)*$Q356*IFERROR((VLOOKUP(P356,Settings!$E$28:$F$33,2,FALSE)+1),1)</f>
        <v>0.68807447580976411</v>
      </c>
      <c r="AF356" s="56">
        <f>VLOOKUP(B356,'Player Data'!$A1:$AE667,20,FALSE)*$Q356</f>
        <v>0</v>
      </c>
      <c r="AG356" s="56">
        <f>VLOOKUP(B356,'Player Data'!$A1:$AE667,21,FALSE)*$Q356</f>
        <v>0</v>
      </c>
      <c r="AH356" s="58">
        <f>VLOOKUP(B356,'Player Data'!$A1:$AE667,22,FALSE)</f>
        <v>0</v>
      </c>
      <c r="AI356" s="54"/>
      <c r="AJ356" s="56"/>
      <c r="AK356" s="56"/>
      <c r="AL356" s="56"/>
      <c r="AM356" s="56"/>
      <c r="AN356" s="56"/>
      <c r="AO356" s="56"/>
      <c r="AP356" s="56"/>
      <c r="AQ356" s="59"/>
      <c r="AR356" s="60"/>
      <c r="AS356" s="54"/>
    </row>
    <row r="357" spans="1:45" ht="21.25" customHeight="1" x14ac:dyDescent="0.15">
      <c r="A357" s="45">
        <f>RANK(K357,K$1:K$665)</f>
        <v>356</v>
      </c>
      <c r="B357" s="9" t="s">
        <v>482</v>
      </c>
      <c r="C357" s="46" t="s">
        <v>127</v>
      </c>
      <c r="D357" s="47" t="str">
        <f>VLOOKUP(B357,'Player Data'!A1:D667,4,FALSE)</f>
        <v>C</v>
      </c>
      <c r="E357" s="48">
        <f>VLOOKUP(B357,'C'!A1:C206,3,FALSE)</f>
        <v>102</v>
      </c>
      <c r="F357" s="62" t="str">
        <f>VLOOKUP(B357,'Player Data'!A1:B667,2,FALSE)</f>
        <v>SEA</v>
      </c>
      <c r="G357" s="69">
        <f>VLOOKUP(B357,'Player Data'!A1:D667,3,FALSE)</f>
        <v>20</v>
      </c>
      <c r="H357" s="50">
        <f>IFERROR(VLOOKUP(B357,ADP!A1:G665,7,FALSE)/1000000,VLOOKUP(B357,ADP!A1:G665,7,FALSE))</f>
        <v>0.88666699999999998</v>
      </c>
      <c r="I357" s="51">
        <f>IF(Settings!$E$15="POINTS",((R357*Q357)*Settings!$B$12)+(S357*Settings!$B$2)+(T357*Settings!$B$3)+(U357*Settings!$B$4)+(V357*Settings!$B$5)+(X357*Settings!$B$9)+(AA357*Settings!$B$6)+(W357*Settings!$B$8)+(AB357*Settings!$B$7)+(AC357*Settings!$B$14)+(AD357*Settings!$B$15)+(AE357*Settings!$B$16)+(AF357*Settings!$B$17)+(AG357*Settings!$B$18)+(Y357*Settings!$B$10)+(Z357*Settings!$B$11),VLOOKUP(B357,'Standard Deviations'!A1:C666,3,FALSE))</f>
        <v>215.95860990116714</v>
      </c>
      <c r="J357" s="52">
        <f>IF(D357="G",I357/AJ357,I357/Q357)</f>
        <v>2.8794481320155616</v>
      </c>
      <c r="K357" s="51">
        <f>IF(Settings!$E$18="C/LW/RW",VLOOKUP(B357,'C'!A1:F206,6,FALSE),VLOOKUP(B357,F!A1:F392,6,FALSE))</f>
        <v>-173.97854787691395</v>
      </c>
      <c r="L357" s="53">
        <f>IFERROR(K357/H357,"N/A")</f>
        <v>-196.21633361443918</v>
      </c>
      <c r="M357" s="83" t="str">
        <f>IF(Settings!$E$9="YAHOO",VLOOKUP(B357,ADP!A1:E665,2,FALSE),IF(Settings!$E$9="ESPN",VLOOKUP(B357,ADP!A1:E665,3,FALSE),IF(Settings!$E$9="FANTRAX",VLOOKUP(B357,ADP!A1:E665,4,FALSE),VLOOKUP(B357,ADP!A1:E665,5,FALSE))))</f>
        <v>—</v>
      </c>
      <c r="N357" s="83" t="str">
        <f>IFERROR(M357-A357,"N/A")</f>
        <v>N/A</v>
      </c>
      <c r="O357" s="54"/>
      <c r="P357" s="55" t="str">
        <f>IF(Settings!$E$27="ON",VLOOKUP(B357,ADP!A1:H665,8,FALSE)," ")</f>
        <v xml:space="preserve"> </v>
      </c>
      <c r="Q357" s="56">
        <f>IF(Settings!$E$12="YES",VLOOKUP(B357,'Player Data'!A1:E667,5,FALSE),82)</f>
        <v>75</v>
      </c>
      <c r="R357" s="54">
        <f>VLOOKUP(B357,'Player Data'!$A1:$AE667,6,FALSE)</f>
        <v>14.045917753686799</v>
      </c>
      <c r="S357" s="56">
        <f>VLOOKUP(B357,'Player Data'!$A1:$AE667,7,FALSE)*$Q357*IFERROR((VLOOKUP(P357,Settings!$E$28:$F$33,2,FALSE)+1),1)</f>
        <v>21.071758568697973</v>
      </c>
      <c r="T357" s="56">
        <f>VLOOKUP(B357,'Player Data'!$A1:$AE667,8,FALSE)*$Q357*IFERROR((VLOOKUP(P357,Settings!$E$28:$F$33,2,FALSE)+1),1)</f>
        <v>19.800729543111903</v>
      </c>
      <c r="U357" s="56">
        <f>SUM(S357:T357)</f>
        <v>40.872488111809872</v>
      </c>
      <c r="V357" s="56">
        <f>VLOOKUP(B357,'Player Data'!$A1:$AE667,10,FALSE)*$Q357*IFERROR(((VLOOKUP(P357,Settings!$E$28:$F$33,2,FALSE)/2)+1),1)</f>
        <v>125.34396999492226</v>
      </c>
      <c r="W357" s="56">
        <f>VLOOKUP(B357,'Player Data'!$A1:$AE667,11,FALSE)*$Q357*IFERROR((VLOOKUP(P357,Settings!$E$28:$F$33,2,FALSE)+1),1)</f>
        <v>2.6765490432201151</v>
      </c>
      <c r="X357" s="56">
        <f>VLOOKUP(B357,'Player Data'!$A1:$AE667,12,FALSE)*$Q357*IFERROR((VLOOKUP(P357,Settings!$E$28:$F$33,2,FALSE)+1),1)</f>
        <v>8.6221492515514502</v>
      </c>
      <c r="Y357" s="56">
        <f>VLOOKUP(B357,'Player Data'!$A1:$AE667,13,FALSE)*$Q357</f>
        <v>4.3634429857261955E-3</v>
      </c>
      <c r="Z357" s="56">
        <f>VLOOKUP(B357,'Player Data'!$A1:$AE667,14,FALSE)*$Q357</f>
        <v>7.4180615523345896E-3</v>
      </c>
      <c r="AA357" s="56">
        <f>VLOOKUP(B357,'Player Data'!$A1:$AE667,15,FALSE)*$Q357</f>
        <v>44.079186510345153</v>
      </c>
      <c r="AB357" s="56">
        <f>VLOOKUP(B357,'Player Data'!$A1:$AE667,16,FALSE)*$Q357</f>
        <v>57.638670225823724</v>
      </c>
      <c r="AC357" s="56">
        <f>VLOOKUP(B357,'Player Data'!$A1:$AE667,17,FALSE)*$Q357*IFERROR((VLOOKUP(P357,Settings!$E$28:$F$33,2,FALSE)+1),1)</f>
        <v>0.24453888724878903</v>
      </c>
      <c r="AD357" s="56">
        <f>VLOOKUP(B357,'Player Data'!$A1:$AE667,18,FALSE)*$Q357</f>
        <v>24.851028975452103</v>
      </c>
      <c r="AE357" s="56">
        <f>VLOOKUP(B357,'Player Data'!$A1:$AE667,19,FALSE)*$Q357*IFERROR((VLOOKUP(P357,Settings!$E$28:$F$33,2,FALSE)+1),1)</f>
        <v>3.1996974594013872</v>
      </c>
      <c r="AF357" s="56">
        <f>VLOOKUP(B357,'Player Data'!$A1:$AE667,20,FALSE)*$Q357</f>
        <v>333.84169843144423</v>
      </c>
      <c r="AG357" s="56">
        <f>VLOOKUP(B357,'Player Data'!$A1:$AE667,21,FALSE)*$Q357</f>
        <v>419.11659057926772</v>
      </c>
      <c r="AH357" s="58">
        <f>VLOOKUP(B357,'Player Data'!$A1:$AE667,22,FALSE)</f>
        <v>0.44337342891871001</v>
      </c>
      <c r="AI357" s="54"/>
      <c r="AJ357" s="56"/>
      <c r="AK357" s="56"/>
      <c r="AL357" s="56"/>
      <c r="AM357" s="56"/>
      <c r="AN357" s="56"/>
      <c r="AO357" s="56"/>
      <c r="AP357" s="56"/>
      <c r="AQ357" s="59"/>
      <c r="AR357" s="60"/>
      <c r="AS357" s="54"/>
    </row>
    <row r="358" spans="1:45" ht="21.25" customHeight="1" x14ac:dyDescent="0.15">
      <c r="A358" s="45">
        <f>RANK(K358,K$1:K$665)</f>
        <v>357</v>
      </c>
      <c r="B358" s="9" t="s">
        <v>483</v>
      </c>
      <c r="C358" s="46" t="s">
        <v>127</v>
      </c>
      <c r="D358" s="47" t="str">
        <f>VLOOKUP(B358,'Player Data'!A1:D667,4,FALSE)</f>
        <v>C</v>
      </c>
      <c r="E358" s="48">
        <f>VLOOKUP(B358,'C'!A1:C206,3,FALSE)</f>
        <v>103</v>
      </c>
      <c r="F358" s="65" t="str">
        <f>VLOOKUP(B358,'Player Data'!A1:B667,2,FALSE)</f>
        <v>WSH</v>
      </c>
      <c r="G358" s="69">
        <f>VLOOKUP(B358,'Player Data'!A1:D667,3,FALSE)</f>
        <v>23</v>
      </c>
      <c r="H358" s="50">
        <f>IFERROR(VLOOKUP(B358,ADP!A1:G665,7,FALSE)/1000000,VLOOKUP(B358,ADP!A1:G665,7,FALSE))</f>
        <v>2.1</v>
      </c>
      <c r="I358" s="51">
        <f>IF(Settings!$E$15="POINTS",((R358*Q358)*Settings!$B$12)+(S358*Settings!$B$2)+(T358*Settings!$B$3)+(U358*Settings!$B$4)+(V358*Settings!$B$5)+(X358*Settings!$B$9)+(AA358*Settings!$B$6)+(W358*Settings!$B$8)+(AB358*Settings!$B$7)+(AC358*Settings!$B$14)+(AD358*Settings!$B$15)+(AE358*Settings!$B$16)+(AF358*Settings!$B$17)+(AG358*Settings!$B$18)+(Y358*Settings!$B$10)+(Z358*Settings!$B$11),VLOOKUP(B358,'Standard Deviations'!A1:C666,3,FALSE))</f>
        <v>215.81630697074493</v>
      </c>
      <c r="J358" s="52">
        <f>IF(D358="G",I358/AJ358,I358/Q358)</f>
        <v>2.725813791862898</v>
      </c>
      <c r="K358" s="51">
        <f>IF(Settings!$E$18="C/LW/RW",VLOOKUP(B358,'C'!A1:F206,6,FALSE),VLOOKUP(B358,F!A1:F392,6,FALSE))</f>
        <v>-174.12085080733615</v>
      </c>
      <c r="L358" s="53">
        <f>IFERROR(K358/H358,"N/A")</f>
        <v>-82.914690860636256</v>
      </c>
      <c r="M358" s="83" t="str">
        <f>IF(Settings!$E$9="YAHOO",VLOOKUP(B358,ADP!A1:E665,2,FALSE),IF(Settings!$E$9="ESPN",VLOOKUP(B358,ADP!A1:E665,3,FALSE),IF(Settings!$E$9="FANTRAX",VLOOKUP(B358,ADP!A1:E665,4,FALSE),VLOOKUP(B358,ADP!A1:E665,5,FALSE))))</f>
        <v>—</v>
      </c>
      <c r="N358" s="83" t="str">
        <f>IFERROR(M358-A358,"N/A")</f>
        <v>N/A</v>
      </c>
      <c r="O358" s="54"/>
      <c r="P358" s="55" t="str">
        <f>IF(Settings!$E$27="ON",VLOOKUP(B358,ADP!A1:H665,8,FALSE)," ")</f>
        <v>+</v>
      </c>
      <c r="Q358" s="56">
        <f>IF(Settings!$E$12="YES",VLOOKUP(B358,'Player Data'!A1:E667,5,FALSE),82)</f>
        <v>79.174999999999997</v>
      </c>
      <c r="R358" s="54">
        <f>VLOOKUP(B358,'Player Data'!$A1:$AE667,6,FALSE)</f>
        <v>16.3700698458297</v>
      </c>
      <c r="S358" s="56">
        <f>VLOOKUP(B358,'Player Data'!$A1:$AE667,7,FALSE)*$Q358*IFERROR((VLOOKUP(P358,Settings!$E$28:$F$33,2,FALSE)+1),1)</f>
        <v>18.955961905371392</v>
      </c>
      <c r="T358" s="56">
        <f>VLOOKUP(B358,'Player Data'!$A1:$AE667,8,FALSE)*$Q358*IFERROR((VLOOKUP(P358,Settings!$E$28:$F$33,2,FALSE)+1),1)</f>
        <v>18.727343592140027</v>
      </c>
      <c r="U358" s="56">
        <f>SUM(S358:T358)</f>
        <v>37.683305497511419</v>
      </c>
      <c r="V358" s="56">
        <f>VLOOKUP(B358,'Player Data'!$A1:$AE667,10,FALSE)*$Q358*IFERROR(((VLOOKUP(P358,Settings!$E$28:$F$33,2,FALSE)/2)+1),1)</f>
        <v>147.59143449521844</v>
      </c>
      <c r="W358" s="56">
        <f>VLOOKUP(B358,'Player Data'!$A1:$AE667,11,FALSE)*$Q358*IFERROR((VLOOKUP(P358,Settings!$E$28:$F$33,2,FALSE)+1),1)</f>
        <v>2.149888798628667</v>
      </c>
      <c r="X358" s="56">
        <f>VLOOKUP(B358,'Player Data'!$A1:$AE667,12,FALSE)*$Q358*IFERROR((VLOOKUP(P358,Settings!$E$28:$F$33,2,FALSE)+1),1)</f>
        <v>5.9407344056559097</v>
      </c>
      <c r="Y358" s="56">
        <f>VLOOKUP(B358,'Player Data'!$A1:$AE667,13,FALSE)*$Q358</f>
        <v>1.2191573213430551</v>
      </c>
      <c r="Z358" s="56">
        <f>VLOOKUP(B358,'Player Data'!$A1:$AE667,14,FALSE)*$Q358</f>
        <v>2.4259263863808811</v>
      </c>
      <c r="AA358" s="56">
        <f>VLOOKUP(B358,'Player Data'!$A1:$AE667,15,FALSE)*$Q358</f>
        <v>41.208024877129347</v>
      </c>
      <c r="AB358" s="56">
        <f>VLOOKUP(B358,'Player Data'!$A1:$AE667,16,FALSE)*$Q358</f>
        <v>50.432032005584446</v>
      </c>
      <c r="AC358" s="56">
        <f>VLOOKUP(B358,'Player Data'!$A1:$AE667,17,FALSE)*$Q358*IFERROR((VLOOKUP(P358,Settings!$E$28:$F$33,2,FALSE)+1),1)</f>
        <v>-3.4667468690777237</v>
      </c>
      <c r="AD358" s="56">
        <f>VLOOKUP(B358,'Player Data'!$A1:$AE667,18,FALSE)*$Q358</f>
        <v>32.973787347341123</v>
      </c>
      <c r="AE358" s="56">
        <f>VLOOKUP(B358,'Player Data'!$A1:$AE667,19,FALSE)*$Q358*IFERROR((VLOOKUP(P358,Settings!$E$28:$F$33,2,FALSE)+1),1)</f>
        <v>2.6900886080019606</v>
      </c>
      <c r="AF358" s="56">
        <f>VLOOKUP(B358,'Player Data'!$A1:$AE667,20,FALSE)*$Q358</f>
        <v>367.46428954874898</v>
      </c>
      <c r="AG358" s="56">
        <f>VLOOKUP(B358,'Player Data'!$A1:$AE667,21,FALSE)*$Q358</f>
        <v>483.99566705441998</v>
      </c>
      <c r="AH358" s="58">
        <f>VLOOKUP(B358,'Player Data'!$A1:$AE667,22,FALSE)</f>
        <v>0.43156966654629098</v>
      </c>
      <c r="AI358" s="54"/>
      <c r="AJ358" s="64"/>
      <c r="AK358" s="56"/>
      <c r="AL358" s="56"/>
      <c r="AM358" s="56"/>
      <c r="AN358" s="56"/>
      <c r="AO358" s="56"/>
      <c r="AP358" s="56"/>
      <c r="AQ358" s="59"/>
      <c r="AR358" s="60"/>
      <c r="AS358" s="54"/>
    </row>
    <row r="359" spans="1:45" ht="21.25" customHeight="1" x14ac:dyDescent="0.15">
      <c r="A359" s="45">
        <f>RANK(K359,K$1:K$665)</f>
        <v>358</v>
      </c>
      <c r="B359" s="9" t="s">
        <v>484</v>
      </c>
      <c r="C359" s="46" t="s">
        <v>127</v>
      </c>
      <c r="D359" s="47" t="str">
        <f>VLOOKUP(B359,'Player Data'!A1:D667,4,FALSE)</f>
        <v>D</v>
      </c>
      <c r="E359" s="66">
        <f>VLOOKUP(B359,D!A1:C213,3,FALSE)</f>
        <v>127</v>
      </c>
      <c r="F359" s="55" t="str">
        <f>VLOOKUP(B359,'Player Data'!A1:B667,2,FALSE)</f>
        <v>CHI</v>
      </c>
      <c r="G359" s="63">
        <f>VLOOKUP(B359,'Player Data'!A1:D667,3,FALSE)</f>
        <v>37</v>
      </c>
      <c r="H359" s="67">
        <f>IFERROR(VLOOKUP(B359,ADP!A1:G665,7,FALSE)/1000000,VLOOKUP(B359,ADP!A1:G665,7,FALSE))</f>
        <v>4</v>
      </c>
      <c r="I359" s="51">
        <f>IF(Settings!$E$15="POINTS",((R359*Q359)*Settings!$B$12)+(S359*Settings!$B$2)+(T359*Settings!$B$3)+(U359*Settings!$B$4)+(V359*Settings!$B$5)+(X359*Settings!$B$9)+(AA359*Settings!$B$6)+(W359*Settings!$B$8)+(AB359*Settings!$B$7)+(AC359*Settings!$B$14)+(AD359*Settings!$B$15)+(AE359*Settings!$B$16)+(AF359*Settings!$B$17)+(AG359*Settings!$B$18)+(U359*Settings!$B$13)+(Y359*Settings!$B$10)+(Z359*Settings!$B$11),VLOOKUP(B359,'Standard Deviations'!A1:C666,3,FALSE))</f>
        <v>161.38021424450167</v>
      </c>
      <c r="J359" s="52">
        <f>IF(D359="G",I359/AJ359,I359/Q359)</f>
        <v>2.2745625686328634</v>
      </c>
      <c r="K359" s="51">
        <f>VLOOKUP(B359,D!A1:F213,6,FALSE)</f>
        <v>-174.85391080109324</v>
      </c>
      <c r="L359" s="53">
        <f>IFERROR(K359/H359,"N/A")</f>
        <v>-43.713477700273309</v>
      </c>
      <c r="M359" s="83" t="str">
        <f>IF(Settings!$E$9="YAHOO",VLOOKUP(B359,ADP!A1:E665,2,FALSE),IF(Settings!$E$9="ESPN",VLOOKUP(B359,ADP!A1:E665,3,FALSE),IF(Settings!$E$9="FANTRAX",VLOOKUP(B359,ADP!A1:E665,4,FALSE),VLOOKUP(B359,ADP!A1:E665,5,FALSE))))</f>
        <v>—</v>
      </c>
      <c r="N359" s="83" t="str">
        <f>IFERROR(M359-A359,"N/A")</f>
        <v>N/A</v>
      </c>
      <c r="O359" s="54"/>
      <c r="P359" s="55" t="str">
        <f>IF(Settings!$E$27="ON",VLOOKUP(B359,ADP!A1:H665,8,FALSE)," ")</f>
        <v xml:space="preserve"> </v>
      </c>
      <c r="Q359" s="56">
        <f>IF(Settings!$E$12="YES",VLOOKUP(B359,'Player Data'!A1:E667,5,FALSE),82)</f>
        <v>70.95</v>
      </c>
      <c r="R359" s="81">
        <f>VLOOKUP(B359,'Player Data'!$A1:$AE667,6,FALSE)</f>
        <v>17.312243831906699</v>
      </c>
      <c r="S359" s="56">
        <f>VLOOKUP(B359,'Player Data'!$A1:$AE667,7,FALSE)*$Q359*IFERROR((VLOOKUP(P359,Settings!$E$28:$F$33,2,FALSE)+1),1)</f>
        <v>3.0996079722137218</v>
      </c>
      <c r="T359" s="56">
        <f>VLOOKUP(B359,'Player Data'!$A1:$AE667,8,FALSE)*$Q359*IFERROR((VLOOKUP(P359,Settings!$E$28:$F$33,2,FALSE)+1),1)</f>
        <v>10.079177707891565</v>
      </c>
      <c r="U359" s="56">
        <f>SUM(S359:T359)</f>
        <v>13.178785680105287</v>
      </c>
      <c r="V359" s="56">
        <f>VLOOKUP(B359,'Player Data'!$A1:$AE667,10,FALSE)*$Q359*IFERROR(((VLOOKUP(P359,Settings!$E$28:$F$33,2,FALSE)/2)+1),1)</f>
        <v>72.497371180141769</v>
      </c>
      <c r="W359" s="56">
        <f>VLOOKUP(B359,'Player Data'!$A1:$AE667,11,FALSE)*$Q359*IFERROR((VLOOKUP(P359,Settings!$E$28:$F$33,2,FALSE)+1),1)</f>
        <v>9.9403644978853078E-3</v>
      </c>
      <c r="X359" s="56">
        <f>VLOOKUP(B359,'Player Data'!$A1:$AE667,12,FALSE)*$Q359*IFERROR((VLOOKUP(P359,Settings!$E$28:$F$33,2,FALSE)+1),1)</f>
        <v>0.16345043561977937</v>
      </c>
      <c r="Y359" s="56">
        <f>VLOOKUP(B359,'Player Data'!$A1:$AE667,13,FALSE)*$Q359</f>
        <v>1.4091701293988864E-2</v>
      </c>
      <c r="Z359" s="56">
        <f>VLOOKUP(B359,'Player Data'!$A1:$AE667,14,FALSE)*$Q359</f>
        <v>7.4158709066708989E-2</v>
      </c>
      <c r="AA359" s="56">
        <f>VLOOKUP(B359,'Player Data'!$A1:$AE667,15,FALSE)*$Q359</f>
        <v>170.7151249388568</v>
      </c>
      <c r="AB359" s="56">
        <f>VLOOKUP(B359,'Player Data'!$A1:$AE667,16,FALSE)*$Q359</f>
        <v>56.457325391011501</v>
      </c>
      <c r="AC359" s="56">
        <f>VLOOKUP(B359,'Player Data'!$A1:$AE667,17,FALSE)*$Q359*IFERROR((VLOOKUP(P359,Settings!$E$28:$F$33,2,FALSE)+1),1)</f>
        <v>-0.10817481034162539</v>
      </c>
      <c r="AD359" s="56">
        <f>VLOOKUP(B359,'Player Data'!$A1:$AE667,18,FALSE)*$Q359</f>
        <v>18.803996532058793</v>
      </c>
      <c r="AE359" s="56">
        <f>VLOOKUP(B359,'Player Data'!$A1:$AE667,19,FALSE)*$Q359*IFERROR((VLOOKUP(P359,Settings!$E$28:$F$33,2,FALSE)+1),1)</f>
        <v>0.40057859669935464</v>
      </c>
      <c r="AF359" s="56">
        <f>VLOOKUP(B359,'Player Data'!$A1:$AE667,20,FALSE)*$Q359</f>
        <v>0</v>
      </c>
      <c r="AG359" s="56">
        <f>VLOOKUP(B359,'Player Data'!$A1:$AE667,21,FALSE)*$Q359</f>
        <v>0</v>
      </c>
      <c r="AH359" s="58">
        <f>VLOOKUP(B359,'Player Data'!$A1:$AE667,22,FALSE)</f>
        <v>0</v>
      </c>
      <c r="AI359" s="54"/>
      <c r="AJ359" s="64"/>
      <c r="AK359" s="56"/>
      <c r="AL359" s="56"/>
      <c r="AM359" s="56"/>
      <c r="AN359" s="56"/>
      <c r="AO359" s="56"/>
      <c r="AP359" s="56"/>
      <c r="AQ359" s="59"/>
      <c r="AR359" s="60"/>
      <c r="AS359" s="54"/>
    </row>
    <row r="360" spans="1:45" ht="21.25" customHeight="1" x14ac:dyDescent="0.15">
      <c r="A360" s="45">
        <f>RANK(K360,K$1:K$665)</f>
        <v>359</v>
      </c>
      <c r="B360" s="9" t="s">
        <v>485</v>
      </c>
      <c r="C360" s="46" t="s">
        <v>127</v>
      </c>
      <c r="D360" s="47" t="str">
        <f>VLOOKUP(B360,'Player Data'!A1:D667,4,FALSE)</f>
        <v>D</v>
      </c>
      <c r="E360" s="66">
        <f>VLOOKUP(B360,D!A1:C213,3,FALSE)</f>
        <v>128</v>
      </c>
      <c r="F360" s="62" t="str">
        <f>VLOOKUP(B360,'Player Data'!A1:B667,2,FALSE)</f>
        <v>SEA</v>
      </c>
      <c r="G360" s="10">
        <f>VLOOKUP(B360,'Player Data'!A1:D667,3,FALSE)</f>
        <v>27</v>
      </c>
      <c r="H360" s="67">
        <f>IFERROR(VLOOKUP(B360,ADP!A1:G665,7,FALSE)/1000000,VLOOKUP(B360,ADP!A1:G665,7,FALSE))</f>
        <v>2.7</v>
      </c>
      <c r="I360" s="51">
        <f>IF(Settings!$E$15="POINTS",((R360*Q360)*Settings!$B$12)+(S360*Settings!$B$2)+(T360*Settings!$B$3)+(U360*Settings!$B$4)+(V360*Settings!$B$5)+(X360*Settings!$B$9)+(AA360*Settings!$B$6)+(W360*Settings!$B$8)+(AB360*Settings!$B$7)+(AC360*Settings!$B$14)+(AD360*Settings!$B$15)+(AE360*Settings!$B$16)+(AF360*Settings!$B$17)+(AG360*Settings!$B$18)+(U360*Settings!$B$13)+(Y360*Settings!$B$10)+(Z360*Settings!$B$11),VLOOKUP(B360,'Standard Deviations'!A1:C666,3,FALSE))</f>
        <v>160.83510870935072</v>
      </c>
      <c r="J360" s="52">
        <f>IF(D360="G",I360/AJ360,I360/Q360)</f>
        <v>2.0771678769127044</v>
      </c>
      <c r="K360" s="51">
        <f>VLOOKUP(B360,D!A1:F213,6,FALSE)</f>
        <v>-175.39901633624419</v>
      </c>
      <c r="L360" s="53">
        <f>IFERROR(K360/H360,"N/A")</f>
        <v>-64.962598643053397</v>
      </c>
      <c r="M360" s="83" t="str">
        <f>IF(Settings!$E$9="YAHOO",VLOOKUP(B360,ADP!A1:E665,2,FALSE),IF(Settings!$E$9="ESPN",VLOOKUP(B360,ADP!A1:E665,3,FALSE),IF(Settings!$E$9="FANTRAX",VLOOKUP(B360,ADP!A1:E665,4,FALSE),VLOOKUP(B360,ADP!A1:E665,5,FALSE))))</f>
        <v>—</v>
      </c>
      <c r="N360" s="83" t="str">
        <f>IFERROR(M360-A360,"N/A")</f>
        <v>N/A</v>
      </c>
      <c r="O360" s="54"/>
      <c r="P360" s="55" t="str">
        <f>IF(Settings!$E$27="ON",VLOOKUP(B360,ADP!A1:H665,8,FALSE)," ")</f>
        <v xml:space="preserve"> </v>
      </c>
      <c r="Q360" s="56">
        <f>IF(Settings!$E$12="YES",VLOOKUP(B360,'Player Data'!A1:E667,5,FALSE),82)</f>
        <v>77.430000000000007</v>
      </c>
      <c r="R360" s="54">
        <f>VLOOKUP(B360,'Player Data'!$A1:$AE667,6,FALSE)</f>
        <v>17.679212607033499</v>
      </c>
      <c r="S360" s="56">
        <f>VLOOKUP(B360,'Player Data'!$A1:$AE667,7,FALSE)*$Q360*IFERROR((VLOOKUP(P360,Settings!$E$28:$F$33,2,FALSE)+1),1)</f>
        <v>3.2723872470238713</v>
      </c>
      <c r="T360" s="56">
        <f>VLOOKUP(B360,'Player Data'!$A1:$AE667,8,FALSE)*$Q360*IFERROR((VLOOKUP(P360,Settings!$E$28:$F$33,2,FALSE)+1),1)</f>
        <v>18.020309229296032</v>
      </c>
      <c r="U360" s="56">
        <f>SUM(S360:T360)</f>
        <v>21.292696476319904</v>
      </c>
      <c r="V360" s="56">
        <f>VLOOKUP(B360,'Player Data'!$A1:$AE667,10,FALSE)*$Q360*IFERROR(((VLOOKUP(P360,Settings!$E$28:$F$33,2,FALSE)/2)+1),1)</f>
        <v>88.206559667801628</v>
      </c>
      <c r="W360" s="56">
        <f>VLOOKUP(B360,'Player Data'!$A1:$AE667,11,FALSE)*$Q360*IFERROR((VLOOKUP(P360,Settings!$E$28:$F$33,2,FALSE)+1),1)</f>
        <v>1.5693596593758897E-2</v>
      </c>
      <c r="X360" s="56">
        <f>VLOOKUP(B360,'Player Data'!$A1:$AE667,12,FALSE)*$Q360*IFERROR((VLOOKUP(P360,Settings!$E$28:$F$33,2,FALSE)+1),1)</f>
        <v>0.10132323324932516</v>
      </c>
      <c r="Y360" s="56">
        <f>VLOOKUP(B360,'Player Data'!$A1:$AE667,13,FALSE)*$Q360</f>
        <v>3.1289168241930614E-2</v>
      </c>
      <c r="Z360" s="56">
        <f>VLOOKUP(B360,'Player Data'!$A1:$AE667,14,FALSE)*$Q360</f>
        <v>0.13754555841184715</v>
      </c>
      <c r="AA360" s="56">
        <f>VLOOKUP(B360,'Player Data'!$A1:$AE667,15,FALSE)*$Q360</f>
        <v>105.22974130965801</v>
      </c>
      <c r="AB360" s="56">
        <f>VLOOKUP(B360,'Player Data'!$A1:$AE667,16,FALSE)*$Q360</f>
        <v>171.894891945887</v>
      </c>
      <c r="AC360" s="56">
        <f>VLOOKUP(B360,'Player Data'!$A1:$AE667,17,FALSE)*$Q360*IFERROR((VLOOKUP(P360,Settings!$E$28:$F$33,2,FALSE)+1),1)</f>
        <v>-1.811305398557679</v>
      </c>
      <c r="AD360" s="56">
        <f>VLOOKUP(B360,'Player Data'!$A1:$AE667,18,FALSE)*$Q360</f>
        <v>48.358940915040712</v>
      </c>
      <c r="AE360" s="56">
        <f>VLOOKUP(B360,'Player Data'!$A1:$AE667,19,FALSE)*$Q360*IFERROR((VLOOKUP(P360,Settings!$E$28:$F$33,2,FALSE)+1),1)</f>
        <v>0.49690438158464367</v>
      </c>
      <c r="AF360" s="56">
        <f>VLOOKUP(B360,'Player Data'!$A1:$AE667,20,FALSE)*$Q360</f>
        <v>0</v>
      </c>
      <c r="AG360" s="56">
        <f>VLOOKUP(B360,'Player Data'!$A1:$AE667,21,FALSE)*$Q360</f>
        <v>0</v>
      </c>
      <c r="AH360" s="58">
        <f>VLOOKUP(B360,'Player Data'!$A1:$AE667,22,FALSE)</f>
        <v>0</v>
      </c>
      <c r="AI360" s="54"/>
      <c r="AJ360" s="56"/>
      <c r="AK360" s="56"/>
      <c r="AL360" s="56"/>
      <c r="AM360" s="56"/>
      <c r="AN360" s="56"/>
      <c r="AO360" s="56"/>
      <c r="AP360" s="56"/>
      <c r="AQ360" s="59"/>
      <c r="AR360" s="60"/>
      <c r="AS360" s="64"/>
    </row>
    <row r="361" spans="1:45" ht="21.25" customHeight="1" x14ac:dyDescent="0.15">
      <c r="A361" s="45">
        <f>RANK(K361,K$1:K$665)</f>
        <v>360</v>
      </c>
      <c r="B361" s="9" t="s">
        <v>486</v>
      </c>
      <c r="C361" s="46" t="s">
        <v>127</v>
      </c>
      <c r="D361" s="47" t="str">
        <f>VLOOKUP(B361,'Player Data'!A1:D667,4,FALSE)</f>
        <v>D</v>
      </c>
      <c r="E361" s="66">
        <f>VLOOKUP(B361,D!A1:C213,3,FALSE)</f>
        <v>129</v>
      </c>
      <c r="F361" s="62" t="str">
        <f>VLOOKUP(B361,'Player Data'!A1:B667,2,FALSE)</f>
        <v>T.B</v>
      </c>
      <c r="G361" s="10">
        <f>VLOOKUP(B361,'Player Data'!A1:D667,3,FALSE)</f>
        <v>26</v>
      </c>
      <c r="H361" s="67">
        <f>IFERROR(VLOOKUP(B361,ADP!A1:G665,7,FALSE)/1000000,VLOOKUP(B361,ADP!A1:G665,7,FALSE))</f>
        <v>1.125</v>
      </c>
      <c r="I361" s="51">
        <f>IF(Settings!$E$15="POINTS",((R361*Q361)*Settings!$B$12)+(S361*Settings!$B$2)+(T361*Settings!$B$3)+(U361*Settings!$B$4)+(V361*Settings!$B$5)+(X361*Settings!$B$9)+(AA361*Settings!$B$6)+(W361*Settings!$B$8)+(AB361*Settings!$B$7)+(AC361*Settings!$B$14)+(AD361*Settings!$B$15)+(AE361*Settings!$B$16)+(AF361*Settings!$B$17)+(AG361*Settings!$B$18)+(U361*Settings!$B$13)+(Y361*Settings!$B$10)+(Z361*Settings!$B$11),VLOOKUP(B361,'Standard Deviations'!A1:C666,3,FALSE))</f>
        <v>160.81234176560474</v>
      </c>
      <c r="J361" s="52">
        <f>IF(D361="G",I361/AJ361,I361/Q361)</f>
        <v>2.0602439531817915</v>
      </c>
      <c r="K361" s="51">
        <f>VLOOKUP(B361,D!A1:F213,6,FALSE)</f>
        <v>-175.42178327999017</v>
      </c>
      <c r="L361" s="53">
        <f>IFERROR(K361/H361,"N/A")</f>
        <v>-155.93047402665792</v>
      </c>
      <c r="M361" s="83" t="str">
        <f>IF(Settings!$E$9="YAHOO",VLOOKUP(B361,ADP!A1:E665,2,FALSE),IF(Settings!$E$9="ESPN",VLOOKUP(B361,ADP!A1:E665,3,FALSE),IF(Settings!$E$9="FANTRAX",VLOOKUP(B361,ADP!A1:E665,4,FALSE),VLOOKUP(B361,ADP!A1:E665,5,FALSE))))</f>
        <v>—</v>
      </c>
      <c r="N361" s="83" t="str">
        <f>IFERROR(M361-A361,"N/A")</f>
        <v>N/A</v>
      </c>
      <c r="O361" s="54"/>
      <c r="P361" s="55" t="str">
        <f>IF(Settings!$E$27="ON",VLOOKUP(B361,ADP!A1:H665,8,FALSE)," ")</f>
        <v xml:space="preserve"> </v>
      </c>
      <c r="Q361" s="56">
        <f>IF(Settings!$E$12="YES",VLOOKUP(B361,'Player Data'!A1:E667,5,FALSE),82)</f>
        <v>78.055000000000007</v>
      </c>
      <c r="R361" s="54">
        <f>VLOOKUP(B361,'Player Data'!$A1:$AE667,6,FALSE)</f>
        <v>16.088421848688</v>
      </c>
      <c r="S361" s="56">
        <f>VLOOKUP(B361,'Player Data'!$A1:$AE667,7,FALSE)*$Q361*IFERROR((VLOOKUP(P361,Settings!$E$28:$F$33,2,FALSE)+1),1)</f>
        <v>3.9459464729413174</v>
      </c>
      <c r="T361" s="56">
        <f>VLOOKUP(B361,'Player Data'!$A1:$AE667,8,FALSE)*$Q361*IFERROR((VLOOKUP(P361,Settings!$E$28:$F$33,2,FALSE)+1),1)</f>
        <v>19.819210626635481</v>
      </c>
      <c r="U361" s="56">
        <f>SUM(S361:T361)</f>
        <v>23.765157099576797</v>
      </c>
      <c r="V361" s="56">
        <f>VLOOKUP(B361,'Player Data'!$A1:$AE667,10,FALSE)*$Q361*IFERROR(((VLOOKUP(P361,Settings!$E$28:$F$33,2,FALSE)/2)+1),1)</f>
        <v>76.322351673040828</v>
      </c>
      <c r="W361" s="56">
        <f>VLOOKUP(B361,'Player Data'!$A1:$AE667,11,FALSE)*$Q361*IFERROR((VLOOKUP(P361,Settings!$E$28:$F$33,2,FALSE)+1),1)</f>
        <v>1.3575050341708939E-2</v>
      </c>
      <c r="X361" s="56">
        <f>VLOOKUP(B361,'Player Data'!$A1:$AE667,12,FALSE)*$Q361*IFERROR((VLOOKUP(P361,Settings!$E$28:$F$33,2,FALSE)+1),1)</f>
        <v>8.6291020445665473E-2</v>
      </c>
      <c r="Y361" s="56">
        <f>VLOOKUP(B361,'Player Data'!$A1:$AE667,13,FALSE)*$Q361</f>
        <v>1.9445949467552161E-2</v>
      </c>
      <c r="Z361" s="56">
        <f>VLOOKUP(B361,'Player Data'!$A1:$AE667,14,FALSE)*$Q361</f>
        <v>9.5538791919940316E-2</v>
      </c>
      <c r="AA361" s="56">
        <f>VLOOKUP(B361,'Player Data'!$A1:$AE667,15,FALSE)*$Q361</f>
        <v>102.34772963597665</v>
      </c>
      <c r="AB361" s="56">
        <f>VLOOKUP(B361,'Player Data'!$A1:$AE667,16,FALSE)*$Q361</f>
        <v>87.460479793662799</v>
      </c>
      <c r="AC361" s="56">
        <f>VLOOKUP(B361,'Player Data'!$A1:$AE667,17,FALSE)*$Q361*IFERROR((VLOOKUP(P361,Settings!$E$28:$F$33,2,FALSE)+1),1)</f>
        <v>1.3282945427479285</v>
      </c>
      <c r="AD361" s="56">
        <f>VLOOKUP(B361,'Player Data'!$A1:$AE667,18,FALSE)*$Q361</f>
        <v>19.955742660800407</v>
      </c>
      <c r="AE361" s="56">
        <f>VLOOKUP(B361,'Player Data'!$A1:$AE667,19,FALSE)*$Q361*IFERROR((VLOOKUP(P361,Settings!$E$28:$F$33,2,FALSE)+1),1)</f>
        <v>0.62172972652336078</v>
      </c>
      <c r="AF361" s="56">
        <f>VLOOKUP(B361,'Player Data'!$A1:$AE667,20,FALSE)*$Q361</f>
        <v>0</v>
      </c>
      <c r="AG361" s="56">
        <f>VLOOKUP(B361,'Player Data'!$A1:$AE667,21,FALSE)*$Q361</f>
        <v>0</v>
      </c>
      <c r="AH361" s="58">
        <f>VLOOKUP(B361,'Player Data'!$A1:$AE667,22,FALSE)</f>
        <v>0</v>
      </c>
      <c r="AI361" s="54"/>
      <c r="AJ361" s="56"/>
      <c r="AK361" s="56"/>
      <c r="AL361" s="56"/>
      <c r="AM361" s="56"/>
      <c r="AN361" s="56"/>
      <c r="AO361" s="56"/>
      <c r="AP361" s="56"/>
      <c r="AQ361" s="59"/>
      <c r="AR361" s="60"/>
      <c r="AS361" s="54"/>
    </row>
    <row r="362" spans="1:45" ht="21.25" customHeight="1" x14ac:dyDescent="0.15">
      <c r="A362" s="45">
        <f>RANK(K362,K$1:K$665)</f>
        <v>361</v>
      </c>
      <c r="B362" s="9" t="s">
        <v>487</v>
      </c>
      <c r="C362" s="46" t="s">
        <v>127</v>
      </c>
      <c r="D362" s="47" t="str">
        <f>VLOOKUP(B362,'Player Data'!A1:D667,4,FALSE)</f>
        <v>C/RW</v>
      </c>
      <c r="E362" s="68">
        <f>VLOOKUP(B362,RW!A1:C136,3,FALSE)</f>
        <v>84</v>
      </c>
      <c r="F362" s="62" t="str">
        <f>VLOOKUP(B362,'Player Data'!A1:B667,2,FALSE)</f>
        <v>BOS</v>
      </c>
      <c r="G362" s="10">
        <f>VLOOKUP(B362,'Player Data'!A1:D667,3,FALSE)</f>
        <v>26</v>
      </c>
      <c r="H362" s="67">
        <f>IFERROR(VLOOKUP(B362,ADP!A1:G665,7,FALSE)/1000000,VLOOKUP(B362,ADP!A1:G665,7,FALSE))</f>
        <v>2.2999999999999998</v>
      </c>
      <c r="I362" s="51">
        <f>IF(Settings!$E$15="POINTS",((R362*Q362)*Settings!$B$12)+(S362*Settings!$B$2)+(T362*Settings!$B$3)+(U362*Settings!$B$4)+(V362*Settings!$B$5)+(X362*Settings!$B$9)+(AA362*Settings!$B$6)+(W362*Settings!$B$8)+(AB362*Settings!$B$7)+(AC362*Settings!$B$14)+(AD362*Settings!$B$15)+(AE362*Settings!$B$16)+(AF362*Settings!$B$17)+(AG362*Settings!$B$18)+(Y362*Settings!$B$10)+(Z362*Settings!$B$11),VLOOKUP(B362,'Standard Deviations'!A1:C666,3,FALSE))</f>
        <v>193.26650481507252</v>
      </c>
      <c r="J362" s="52">
        <f>IF(D362="G",I362/AJ362,I362/Q362)</f>
        <v>2.4335506004982848</v>
      </c>
      <c r="K362" s="51">
        <f>IF(Settings!$E$18="C/LW/RW",VLOOKUP(B362,RW!A1:F136,6,FALSE),VLOOKUP(B362,F!A1:F392,6,FALSE))</f>
        <v>-175.58121829121987</v>
      </c>
      <c r="L362" s="53">
        <f>IFERROR(K362/H362,"N/A")</f>
        <v>-76.339660126617346</v>
      </c>
      <c r="M362" s="83" t="str">
        <f>IF(Settings!$E$9="YAHOO",VLOOKUP(B362,ADP!A1:E665,2,FALSE),IF(Settings!$E$9="ESPN",VLOOKUP(B362,ADP!A1:E665,3,FALSE),IF(Settings!$E$9="FANTRAX",VLOOKUP(B362,ADP!A1:E665,4,FALSE),VLOOKUP(B362,ADP!A1:E665,5,FALSE))))</f>
        <v>—</v>
      </c>
      <c r="N362" s="83" t="str">
        <f>IFERROR(M362-A362,"N/A")</f>
        <v>N/A</v>
      </c>
      <c r="O362" s="54"/>
      <c r="P362" s="55" t="str">
        <f>IF(Settings!$E$27="ON",VLOOKUP(B362,ADP!A1:H665,8,FALSE)," ")</f>
        <v xml:space="preserve"> </v>
      </c>
      <c r="Q362" s="56">
        <f>IF(Settings!$E$12="YES",VLOOKUP(B362,'Player Data'!A1:E667,5,FALSE),82)</f>
        <v>79.417500000000004</v>
      </c>
      <c r="R362" s="54">
        <f>VLOOKUP(B362,'Player Data'!$A1:$AE667,6,FALSE)</f>
        <v>13.565607806467799</v>
      </c>
      <c r="S362" s="56">
        <f>VLOOKUP(B362,'Player Data'!$A1:$AE667,7,FALSE)*$Q362*IFERROR((VLOOKUP(P362,Settings!$E$28:$F$33,2,FALSE)+1),1)</f>
        <v>16.355679640718474</v>
      </c>
      <c r="T362" s="56">
        <f>VLOOKUP(B362,'Player Data'!$A1:$AE667,8,FALSE)*$Q362*IFERROR((VLOOKUP(P362,Settings!$E$28:$F$33,2,FALSE)+1),1)</f>
        <v>19.107809386567663</v>
      </c>
      <c r="U362" s="56">
        <f>SUM(S362:T362)</f>
        <v>35.463489027286137</v>
      </c>
      <c r="V362" s="56">
        <f>VLOOKUP(B362,'Player Data'!$A1:$AE667,10,FALSE)*$Q362*IFERROR(((VLOOKUP(P362,Settings!$E$28:$F$33,2,FALSE)/2)+1),1)</f>
        <v>126.07400100471885</v>
      </c>
      <c r="W362" s="56">
        <f>VLOOKUP(B362,'Player Data'!$A1:$AE667,11,FALSE)*$Q362*IFERROR((VLOOKUP(P362,Settings!$E$28:$F$33,2,FALSE)+1),1)</f>
        <v>0.67118199129137657</v>
      </c>
      <c r="X362" s="56">
        <f>VLOOKUP(B362,'Player Data'!$A1:$AE667,12,FALSE)*$Q362*IFERROR((VLOOKUP(P362,Settings!$E$28:$F$33,2,FALSE)+1),1)</f>
        <v>1.0135161739039833</v>
      </c>
      <c r="Y362" s="56">
        <f>VLOOKUP(B362,'Player Data'!$A1:$AE667,13,FALSE)*$Q362</f>
        <v>8.0110542685683003E-2</v>
      </c>
      <c r="Z362" s="56">
        <f>VLOOKUP(B362,'Player Data'!$A1:$AE667,14,FALSE)*$Q362</f>
        <v>0.3363486800455705</v>
      </c>
      <c r="AA362" s="56">
        <f>VLOOKUP(B362,'Player Data'!$A1:$AE667,15,FALSE)*$Q362</f>
        <v>44.978344753810305</v>
      </c>
      <c r="AB362" s="56">
        <f>VLOOKUP(B362,'Player Data'!$A1:$AE667,16,FALSE)*$Q362</f>
        <v>163.30743912862621</v>
      </c>
      <c r="AC362" s="56">
        <f>VLOOKUP(B362,'Player Data'!$A1:$AE667,17,FALSE)*$Q362*IFERROR((VLOOKUP(P362,Settings!$E$28:$F$33,2,FALSE)+1),1)</f>
        <v>3.3456605152978862</v>
      </c>
      <c r="AD362" s="56">
        <f>VLOOKUP(B362,'Player Data'!$A1:$AE667,18,FALSE)*$Q362</f>
        <v>60.134841252144795</v>
      </c>
      <c r="AE362" s="56">
        <f>VLOOKUP(B362,'Player Data'!$A1:$AE667,19,FALSE)*$Q362*IFERROR((VLOOKUP(P362,Settings!$E$28:$F$33,2,FALSE)+1),1)</f>
        <v>2.5474579139268334</v>
      </c>
      <c r="AF362" s="56">
        <f>VLOOKUP(B362,'Player Data'!$A1:$AE667,20,FALSE)*$Q362</f>
        <v>95.881234524985203</v>
      </c>
      <c r="AG362" s="56">
        <f>VLOOKUP(B362,'Player Data'!$A1:$AE667,21,FALSE)*$Q362</f>
        <v>142.36923761748074</v>
      </c>
      <c r="AH362" s="58">
        <f>VLOOKUP(B362,'Player Data'!$A1:$AE667,22,FALSE)</f>
        <v>0.40243880174831698</v>
      </c>
      <c r="AI362" s="54"/>
      <c r="AJ362" s="64"/>
      <c r="AK362" s="56"/>
      <c r="AL362" s="56"/>
      <c r="AM362" s="56"/>
      <c r="AN362" s="56"/>
      <c r="AO362" s="56"/>
      <c r="AP362" s="56"/>
      <c r="AQ362" s="59"/>
      <c r="AR362" s="60"/>
      <c r="AS362" s="54"/>
    </row>
    <row r="363" spans="1:45" ht="21.25" customHeight="1" x14ac:dyDescent="0.15">
      <c r="A363" s="45">
        <f>RANK(K363,K$1:K$665)</f>
        <v>362</v>
      </c>
      <c r="B363" s="9" t="s">
        <v>488</v>
      </c>
      <c r="C363" s="46" t="s">
        <v>127</v>
      </c>
      <c r="D363" s="47" t="str">
        <f>VLOOKUP(B363,'Player Data'!A1:D667,4,FALSE)</f>
        <v>RW</v>
      </c>
      <c r="E363" s="61">
        <f>VLOOKUP(B363,RW!A1:F136,3,FALSE)</f>
        <v>85</v>
      </c>
      <c r="F363" s="74" t="str">
        <f>VLOOKUP(B363,'Player Data'!A1:B667,2,FALSE)</f>
        <v>PIT</v>
      </c>
      <c r="G363" s="69">
        <f>VLOOKUP(B363,'Player Data'!A1:D667,3,FALSE)</f>
        <v>20</v>
      </c>
      <c r="H363" s="50">
        <f>IFERROR(VLOOKUP(B363,ADP!A1:G665,7,FALSE)/1000000,VLOOKUP(B363,ADP!A1:G665,7,FALSE))</f>
        <v>0.95</v>
      </c>
      <c r="I363" s="51">
        <f>IF(Settings!$E$15="POINTS",((R363*Q363)*Settings!$B$12)+(S363*Settings!$B$2)+(T363*Settings!$B$3)+(U363*Settings!$B$4)+(V363*Settings!$B$5)+(X363*Settings!$B$9)+(AA363*Settings!$B$6)+(W363*Settings!$B$8)+(AB363*Settings!$B$7)+(AC363*Settings!$B$14)+(AD363*Settings!$B$15)+(AE363*Settings!$B$16)+(AF363*Settings!$B$17)+(AG363*Settings!$B$18)+(Y363*Settings!$B$10)+(Z363*Settings!$B$11),VLOOKUP(B363,'Standard Deviations'!A1:C666,3,FALSE))</f>
        <v>193.05789367640895</v>
      </c>
      <c r="J363" s="52">
        <f>IF(D363="G",I363/AJ363,I363/Q363)</f>
        <v>2.5741052490187859</v>
      </c>
      <c r="K363" s="51">
        <f>IF(Settings!$E$18="C/LW/RW",VLOOKUP(B363,RW!A1:F136,6,FALSE),VLOOKUP(B363,F!A1:F392,6,FALSE))</f>
        <v>-175.78982942988344</v>
      </c>
      <c r="L363" s="53">
        <f>IFERROR(K363/H363,"N/A")</f>
        <v>-185.04192571566679</v>
      </c>
      <c r="M363" s="54">
        <f>IF(Settings!$E$9="YAHOO",VLOOKUP(B363,ADP!A1:E665,2,FALSE),IF(Settings!$E$9="ESPN",VLOOKUP(B363,ADP!A1:E665,3,FALSE),IF(Settings!$E$9="FANTRAX",VLOOKUP(B363,ADP!A1:E665,4,FALSE),VLOOKUP(B363,ADP!A1:E665,5,FALSE))))</f>
        <v>0</v>
      </c>
      <c r="N363" s="54">
        <f>IFERROR(M363-A363,"N/A")</f>
        <v>-362</v>
      </c>
      <c r="O363" s="54"/>
      <c r="P363" s="85">
        <f>IF(Settings!$E$27="ON",VLOOKUP(B363,ADP!A1:H665,8,FALSE)," ")</f>
        <v>0</v>
      </c>
      <c r="Q363" s="56">
        <f>IF(Settings!$E$12="YES",VLOOKUP(B363,'Player Data'!A1:E667,5,FALSE),82)</f>
        <v>75</v>
      </c>
      <c r="R363" s="54">
        <f>VLOOKUP(B363,'Player Data'!$A1:$AE667,6,FALSE)</f>
        <v>15</v>
      </c>
      <c r="S363" s="56">
        <f>VLOOKUP(B363,'Player Data'!$A1:$AE667,7,FALSE)*$Q363*IFERROR((VLOOKUP(P363,Settings!$E$28:$F$33,2,FALSE)+1),1)</f>
        <v>13.434712586184224</v>
      </c>
      <c r="T363" s="56">
        <f>VLOOKUP(B363,'Player Data'!$A1:$AE667,8,FALSE)*$Q363*IFERROR((VLOOKUP(P363,Settings!$E$28:$F$33,2,FALSE)+1),1)</f>
        <v>22.762841811620024</v>
      </c>
      <c r="U363" s="56">
        <f>SUM(S363:T363)</f>
        <v>36.197554397804247</v>
      </c>
      <c r="V363" s="56">
        <f>VLOOKUP(B363,'Player Data'!$A1:$AE667,10,FALSE)*$Q363*IFERROR(((VLOOKUP(P363,Settings!$E$28:$F$33,2,FALSE)/2)+1),1)</f>
        <v>120.76510037457825</v>
      </c>
      <c r="W363" s="56">
        <f>VLOOKUP(B363,'Player Data'!$A1:$AE667,11,FALSE)*$Q363*IFERROR((VLOOKUP(P363,Settings!$E$28:$F$33,2,FALSE)+1),1)</f>
        <v>2.9976215113095375</v>
      </c>
      <c r="X363" s="56">
        <f>VLOOKUP(B363,'Player Data'!$A1:$AE667,12,FALSE)*$Q363*IFERROR((VLOOKUP(P363,Settings!$E$28:$F$33,2,FALSE)+1),1)</f>
        <v>8.0765827347315007</v>
      </c>
      <c r="Y363" s="56">
        <f>VLOOKUP(B363,'Player Data'!$A1:$AE667,13,FALSE)*$Q363</f>
        <v>0</v>
      </c>
      <c r="Z363" s="56">
        <f>VLOOKUP(B363,'Player Data'!$A1:$AE667,14,FALSE)*$Q363</f>
        <v>0</v>
      </c>
      <c r="AA363" s="56">
        <f>VLOOKUP(B363,'Player Data'!$A1:$AE667,15,FALSE)*$Q363</f>
        <v>32.012195121951223</v>
      </c>
      <c r="AB363" s="56">
        <f>VLOOKUP(B363,'Player Data'!$A1:$AE667,16,FALSE)*$Q363</f>
        <v>88.731930245044509</v>
      </c>
      <c r="AC363" s="56">
        <f>VLOOKUP(B363,'Player Data'!$A1:$AE667,17,FALSE)*$Q363*IFERROR((VLOOKUP(P363,Settings!$E$28:$F$33,2,FALSE)+1),1)</f>
        <v>0.6765420049041031</v>
      </c>
      <c r="AD363" s="56">
        <f>VLOOKUP(B363,'Player Data'!$A1:$AE667,18,FALSE)*$Q363</f>
        <v>30.305017378762802</v>
      </c>
      <c r="AE363" s="56">
        <f>VLOOKUP(B363,'Player Data'!$A1:$AE667,19,FALSE)*$Q363*IFERROR((VLOOKUP(P363,Settings!$E$28:$F$33,2,FALSE)+1),1)</f>
        <v>1.9916007841305601</v>
      </c>
      <c r="AF363" s="56">
        <f>VLOOKUP(B363,'Player Data'!$A1:$AE667,20,FALSE)*$Q363</f>
        <v>0</v>
      </c>
      <c r="AG363" s="56">
        <f>VLOOKUP(B363,'Player Data'!$A1:$AE667,21,FALSE)*$Q363</f>
        <v>0</v>
      </c>
      <c r="AH363" s="58">
        <f>VLOOKUP(B363,'Player Data'!$A1:$AE667,22,FALSE)</f>
        <v>0</v>
      </c>
      <c r="AI363" s="54"/>
      <c r="AJ363" s="56"/>
      <c r="AK363" s="56"/>
      <c r="AL363" s="56"/>
      <c r="AM363" s="56"/>
      <c r="AN363" s="56"/>
      <c r="AO363" s="56"/>
      <c r="AP363" s="56"/>
      <c r="AQ363" s="59"/>
      <c r="AR363" s="60"/>
      <c r="AS363" s="54"/>
    </row>
    <row r="364" spans="1:45" ht="21.25" customHeight="1" x14ac:dyDescent="0.15">
      <c r="A364" s="45">
        <f>RANK(K364,K$1:K$665)</f>
        <v>363</v>
      </c>
      <c r="B364" s="9" t="s">
        <v>489</v>
      </c>
      <c r="C364" s="46" t="s">
        <v>127</v>
      </c>
      <c r="D364" s="47" t="str">
        <f>VLOOKUP(B364,'Player Data'!A1:D667,4,FALSE)</f>
        <v>D</v>
      </c>
      <c r="E364" s="66">
        <f>VLOOKUP(B364,D!A1:C213,3,FALSE)</f>
        <v>130</v>
      </c>
      <c r="F364" s="77" t="str">
        <f>VLOOKUP(B364,'Player Data'!A1:B667,2,FALSE)</f>
        <v>STL</v>
      </c>
      <c r="G364" s="63">
        <f>VLOOKUP(B364,'Player Data'!A1:D667,3,FALSE)</f>
        <v>33</v>
      </c>
      <c r="H364" s="50">
        <f>IFERROR(VLOOKUP(B364,ADP!A1:G665,7,FALSE)/1000000,VLOOKUP(B364,ADP!A1:G665,7,FALSE))</f>
        <v>4</v>
      </c>
      <c r="I364" s="51">
        <f>IF(Settings!$E$15="POINTS",((R364*Q364)*Settings!$B$12)+(S364*Settings!$B$2)+(T364*Settings!$B$3)+(U364*Settings!$B$4)+(V364*Settings!$B$5)+(X364*Settings!$B$9)+(AA364*Settings!$B$6)+(W364*Settings!$B$8)+(AB364*Settings!$B$7)+(AC364*Settings!$B$14)+(AD364*Settings!$B$15)+(AE364*Settings!$B$16)+(AF364*Settings!$B$17)+(AG364*Settings!$B$18)+(U364*Settings!$B$13)+(Y364*Settings!$B$10)+(Z364*Settings!$B$11),VLOOKUP(B364,'Standard Deviations'!A1:C666,3,FALSE))</f>
        <v>160.42409499195426</v>
      </c>
      <c r="J364" s="52">
        <f>IF(D364="G",I364/AJ364,I364/Q364)</f>
        <v>1.9859382890808897</v>
      </c>
      <c r="K364" s="51">
        <f>VLOOKUP(B364,D!A1:F213,6,FALSE)</f>
        <v>-175.81003005364065</v>
      </c>
      <c r="L364" s="53">
        <f>IFERROR(K364/H364,"N/A")</f>
        <v>-43.952507513410161</v>
      </c>
      <c r="M364" s="83" t="str">
        <f>IF(Settings!$E$9="YAHOO",VLOOKUP(B364,ADP!A1:E665,2,FALSE),IF(Settings!$E$9="ESPN",VLOOKUP(B364,ADP!A1:E665,3,FALSE),IF(Settings!$E$9="FANTRAX",VLOOKUP(B364,ADP!A1:E665,4,FALSE),VLOOKUP(B364,ADP!A1:E665,5,FALSE))))</f>
        <v>—</v>
      </c>
      <c r="N364" s="83" t="str">
        <f>IFERROR(M364-A364,"N/A")</f>
        <v>N/A</v>
      </c>
      <c r="O364" s="54"/>
      <c r="P364" s="55" t="str">
        <f>IF(Settings!$E$27="ON",VLOOKUP(B364,ADP!A1:H665,8,FALSE)," ")</f>
        <v xml:space="preserve"> </v>
      </c>
      <c r="Q364" s="56">
        <f>IF(Settings!$E$12="YES",VLOOKUP(B364,'Player Data'!A1:E667,5,FALSE),82)</f>
        <v>80.78</v>
      </c>
      <c r="R364" s="81">
        <f>VLOOKUP(B364,'Player Data'!$A1:$AE667,6,FALSE)</f>
        <v>20.5916946877764</v>
      </c>
      <c r="S364" s="56">
        <f>VLOOKUP(B364,'Player Data'!$A1:$AE667,7,FALSE)*$Q364*IFERROR((VLOOKUP(P364,Settings!$E$28:$F$33,2,FALSE)+1),1)</f>
        <v>2.6282697633964998</v>
      </c>
      <c r="T364" s="56">
        <f>VLOOKUP(B364,'Player Data'!$A1:$AE667,8,FALSE)*$Q364*IFERROR((VLOOKUP(P364,Settings!$E$28:$F$33,2,FALSE)+1),1)</f>
        <v>18.751145490922102</v>
      </c>
      <c r="U364" s="56">
        <f>SUM(S364:T364)</f>
        <v>21.379415254318602</v>
      </c>
      <c r="V364" s="56">
        <f>VLOOKUP(B364,'Player Data'!$A1:$AE667,10,FALSE)*$Q364*IFERROR(((VLOOKUP(P364,Settings!$E$28:$F$33,2,FALSE)/2)+1),1)</f>
        <v>72.579560807907228</v>
      </c>
      <c r="W364" s="56">
        <f>VLOOKUP(B364,'Player Data'!$A1:$AE667,11,FALSE)*$Q364*IFERROR((VLOOKUP(P364,Settings!$E$28:$F$33,2,FALSE)+1),1)</f>
        <v>7.7687144208894504E-3</v>
      </c>
      <c r="X364" s="56">
        <f>VLOOKUP(B364,'Player Data'!$A1:$AE667,12,FALSE)*$Q364*IFERROR((VLOOKUP(P364,Settings!$E$28:$F$33,2,FALSE)+1),1)</f>
        <v>0.16572671004107095</v>
      </c>
      <c r="Y364" s="56">
        <f>VLOOKUP(B364,'Player Data'!$A1:$AE667,13,FALSE)*$Q364</f>
        <v>0.52748600186458616</v>
      </c>
      <c r="Z364" s="56">
        <f>VLOOKUP(B364,'Player Data'!$A1:$AE667,14,FALSE)*$Q364</f>
        <v>1.3032523608535596</v>
      </c>
      <c r="AA364" s="56">
        <f>VLOOKUP(B364,'Player Data'!$A1:$AE667,15,FALSE)*$Q364</f>
        <v>117.05417950830045</v>
      </c>
      <c r="AB364" s="56">
        <f>VLOOKUP(B364,'Player Data'!$A1:$AE667,16,FALSE)*$Q364</f>
        <v>58.372835198332467</v>
      </c>
      <c r="AC364" s="56">
        <f>VLOOKUP(B364,'Player Data'!$A1:$AE667,17,FALSE)*$Q364*IFERROR((VLOOKUP(P364,Settings!$E$28:$F$33,2,FALSE)+1),1)</f>
        <v>-4.8151788882636177</v>
      </c>
      <c r="AD364" s="56">
        <f>VLOOKUP(B364,'Player Data'!$A1:$AE667,18,FALSE)*$Q364</f>
        <v>22.32231492725418</v>
      </c>
      <c r="AE364" s="56">
        <f>VLOOKUP(B364,'Player Data'!$A1:$AE667,19,FALSE)*$Q364*IFERROR((VLOOKUP(P364,Settings!$E$28:$F$33,2,FALSE)+1),1)</f>
        <v>0.31642815522843809</v>
      </c>
      <c r="AF364" s="56">
        <f>VLOOKUP(B364,'Player Data'!$A1:$AE667,20,FALSE)*$Q364</f>
        <v>0</v>
      </c>
      <c r="AG364" s="56">
        <f>VLOOKUP(B364,'Player Data'!$A1:$AE667,21,FALSE)*$Q364</f>
        <v>0</v>
      </c>
      <c r="AH364" s="58">
        <f>VLOOKUP(B364,'Player Data'!$A1:$AE667,22,FALSE)</f>
        <v>0</v>
      </c>
      <c r="AI364" s="54"/>
      <c r="AJ364" s="64"/>
      <c r="AK364" s="56"/>
      <c r="AL364" s="56"/>
      <c r="AM364" s="56"/>
      <c r="AN364" s="56"/>
      <c r="AO364" s="56"/>
      <c r="AP364" s="56"/>
      <c r="AQ364" s="59"/>
      <c r="AR364" s="60"/>
      <c r="AS364" s="54"/>
    </row>
    <row r="365" spans="1:45" ht="21.25" customHeight="1" x14ac:dyDescent="0.15">
      <c r="A365" s="45">
        <f>RANK(K365,K$1:K$665)</f>
        <v>364</v>
      </c>
      <c r="B365" s="9" t="s">
        <v>490</v>
      </c>
      <c r="C365" s="46" t="s">
        <v>127</v>
      </c>
      <c r="D365" s="47" t="str">
        <f>VLOOKUP(B365,'Player Data'!A1:D667,4,FALSE)</f>
        <v>C</v>
      </c>
      <c r="E365" s="48">
        <f>VLOOKUP(B365,'C'!A1:C206,3,FALSE)</f>
        <v>106</v>
      </c>
      <c r="F365" s="65" t="str">
        <f>VLOOKUP(B365,'Player Data'!A1:B667,2,FALSE)</f>
        <v>TOR</v>
      </c>
      <c r="G365" s="10">
        <f>VLOOKUP(B365,'Player Data'!A1:D667,3,FALSE)</f>
        <v>29</v>
      </c>
      <c r="H365" s="50">
        <f>IFERROR(VLOOKUP(B365,ADP!A1:G665,7,FALSE)/1000000,VLOOKUP(B365,ADP!A1:G665,7,FALSE))</f>
        <v>3.75</v>
      </c>
      <c r="I365" s="51">
        <f>IF(Settings!$E$15="POINTS",((R365*Q365)*Settings!$B$12)+(S365*Settings!$B$2)+(T365*Settings!$B$3)+(U365*Settings!$B$4)+(V365*Settings!$B$5)+(X365*Settings!$B$9)+(AA365*Settings!$B$6)+(W365*Settings!$B$8)+(AB365*Settings!$B$7)+(AC365*Settings!$B$14)+(AD365*Settings!$B$15)+(AE365*Settings!$B$16)+(AF365*Settings!$B$17)+(AG365*Settings!$B$18)+(Y365*Settings!$B$10)+(Z365*Settings!$B$11),VLOOKUP(B365,'Standard Deviations'!A1:C666,3,FALSE))</f>
        <v>213.0783786879806</v>
      </c>
      <c r="J365" s="52">
        <f>IF(D365="G",I365/AJ365,I365/Q365)</f>
        <v>2.6502285906465248</v>
      </c>
      <c r="K365" s="51">
        <f>IF(Settings!$E$18="C/LW/RW",VLOOKUP(B365,'C'!A1:F206,6,FALSE),VLOOKUP(B365,F!A1:F392,6,FALSE))</f>
        <v>-176.85877909010048</v>
      </c>
      <c r="L365" s="53">
        <f>IFERROR(K365/H365,"N/A")</f>
        <v>-47.162341090693459</v>
      </c>
      <c r="M365" s="83" t="str">
        <f>IF(Settings!$E$9="YAHOO",VLOOKUP(B365,ADP!A1:E665,2,FALSE),IF(Settings!$E$9="ESPN",VLOOKUP(B365,ADP!A1:E665,3,FALSE),IF(Settings!$E$9="FANTRAX",VLOOKUP(B365,ADP!A1:E665,4,FALSE),VLOOKUP(B365,ADP!A1:E665,5,FALSE))))</f>
        <v>—</v>
      </c>
      <c r="N365" s="83" t="str">
        <f>IFERROR(M365-A365,"N/A")</f>
        <v>N/A</v>
      </c>
      <c r="O365" s="54"/>
      <c r="P365" s="55" t="str">
        <f>IF(Settings!$E$27="ON",VLOOKUP(B365,ADP!A1:H665,8,FALSE)," ")</f>
        <v xml:space="preserve"> </v>
      </c>
      <c r="Q365" s="56">
        <f>IF(Settings!$E$12="YES",VLOOKUP(B365,'Player Data'!A1:E667,5,FALSE),82)</f>
        <v>80.400000000000006</v>
      </c>
      <c r="R365" s="54">
        <f>VLOOKUP(B365,'Player Data'!$A1:$AE667,6,FALSE)</f>
        <v>13.847202317791499</v>
      </c>
      <c r="S365" s="56">
        <f>VLOOKUP(B365,'Player Data'!$A1:$AE667,7,FALSE)*$Q365*IFERROR((VLOOKUP(P365,Settings!$E$28:$F$33,2,FALSE)+1),1)</f>
        <v>11.741320037491873</v>
      </c>
      <c r="T365" s="56">
        <f>VLOOKUP(B365,'Player Data'!$A1:$AE667,8,FALSE)*$Q365*IFERROR((VLOOKUP(P365,Settings!$E$28:$F$33,2,FALSE)+1),1)</f>
        <v>31.275387135587074</v>
      </c>
      <c r="U365" s="56">
        <f>SUM(S365:T365)</f>
        <v>43.016707173078949</v>
      </c>
      <c r="V365" s="56">
        <f>VLOOKUP(B365,'Player Data'!$A1:$AE667,10,FALSE)*$Q365*IFERROR(((VLOOKUP(P365,Settings!$E$28:$F$33,2,FALSE)/2)+1),1)</f>
        <v>134.58164266202346</v>
      </c>
      <c r="W365" s="56">
        <f>VLOOKUP(B365,'Player Data'!$A1:$AE667,11,FALSE)*$Q365*IFERROR((VLOOKUP(P365,Settings!$E$28:$F$33,2,FALSE)+1),1)</f>
        <v>2.0121065620925567</v>
      </c>
      <c r="X365" s="56">
        <f>VLOOKUP(B365,'Player Data'!$A1:$AE667,12,FALSE)*$Q365*IFERROR((VLOOKUP(P365,Settings!$E$28:$F$33,2,FALSE)+1),1)</f>
        <v>5.417404686214832</v>
      </c>
      <c r="Y365" s="56">
        <f>VLOOKUP(B365,'Player Data'!$A1:$AE667,13,FALSE)*$Q365</f>
        <v>2.2386591577468647E-3</v>
      </c>
      <c r="Z365" s="56">
        <f>VLOOKUP(B365,'Player Data'!$A1:$AE667,14,FALSE)*$Q365</f>
        <v>3.8951382309689439E-3</v>
      </c>
      <c r="AA365" s="56">
        <f>VLOOKUP(B365,'Player Data'!$A1:$AE667,15,FALSE)*$Q365</f>
        <v>22.632272026572444</v>
      </c>
      <c r="AB365" s="56">
        <f>VLOOKUP(B365,'Player Data'!$A1:$AE667,16,FALSE)*$Q365</f>
        <v>50.645452207863727</v>
      </c>
      <c r="AC365" s="56">
        <f>VLOOKUP(B365,'Player Data'!$A1:$AE667,17,FALSE)*$Q365*IFERROR((VLOOKUP(P365,Settings!$E$28:$F$33,2,FALSE)+1),1)</f>
        <v>6.4852085164450566</v>
      </c>
      <c r="AD365" s="56">
        <f>VLOOKUP(B365,'Player Data'!$A1:$AE667,18,FALSE)*$Q365</f>
        <v>56.710201622165457</v>
      </c>
      <c r="AE365" s="56">
        <f>VLOOKUP(B365,'Player Data'!$A1:$AE667,19,FALSE)*$Q365*IFERROR((VLOOKUP(P365,Settings!$E$28:$F$33,2,FALSE)+1),1)</f>
        <v>1.8784007357759698</v>
      </c>
      <c r="AF365" s="56">
        <f>VLOOKUP(B365,'Player Data'!$A1:$AE667,20,FALSE)*$Q365</f>
        <v>235.62011167969533</v>
      </c>
      <c r="AG365" s="56">
        <f>VLOOKUP(B365,'Player Data'!$A1:$AE667,21,FALSE)*$Q365</f>
        <v>230.59033635406036</v>
      </c>
      <c r="AH365" s="58">
        <f>VLOOKUP(B365,'Player Data'!$A1:$AE667,22,FALSE)</f>
        <v>0.505394318538814</v>
      </c>
      <c r="AI365" s="54"/>
      <c r="AJ365" s="56"/>
      <c r="AK365" s="56"/>
      <c r="AL365" s="56"/>
      <c r="AM365" s="56"/>
      <c r="AN365" s="56"/>
      <c r="AO365" s="56"/>
      <c r="AP365" s="56"/>
      <c r="AQ365" s="59"/>
      <c r="AR365" s="60"/>
      <c r="AS365" s="54"/>
    </row>
    <row r="366" spans="1:45" ht="21.25" customHeight="1" x14ac:dyDescent="0.15">
      <c r="A366" s="45">
        <f>RANK(K366,K$1:K$665)</f>
        <v>365</v>
      </c>
      <c r="B366" s="9" t="s">
        <v>491</v>
      </c>
      <c r="C366" s="46" t="s">
        <v>127</v>
      </c>
      <c r="D366" s="47" t="str">
        <f>VLOOKUP(B366,'Player Data'!A1:D667,4,FALSE)</f>
        <v>C/RW</v>
      </c>
      <c r="E366" s="68">
        <f>VLOOKUP(B366,RW!A1:C136,3,FALSE)</f>
        <v>86</v>
      </c>
      <c r="F366" s="55" t="str">
        <f>VLOOKUP(B366,'Player Data'!A1:B667,2,FALSE)</f>
        <v>VGK</v>
      </c>
      <c r="G366" s="10">
        <f>VLOOKUP(B366,'Player Data'!A1:D667,3,FALSE)</f>
        <v>27</v>
      </c>
      <c r="H366" s="50">
        <f>IFERROR(VLOOKUP(B366,ADP!A1:G665,7,FALSE)/1000000,VLOOKUP(B366,ADP!A1:G665,7,FALSE))</f>
        <v>3</v>
      </c>
      <c r="I366" s="51">
        <f>IF(Settings!$E$15="POINTS",((R366*Q366)*Settings!$B$12)+(S366*Settings!$B$2)+(T366*Settings!$B$3)+(U366*Settings!$B$4)+(V366*Settings!$B$5)+(X366*Settings!$B$9)+(AA366*Settings!$B$6)+(W366*Settings!$B$8)+(AB366*Settings!$B$7)+(AC366*Settings!$B$14)+(AD366*Settings!$B$15)+(AE366*Settings!$B$16)+(AF366*Settings!$B$17)+(AG366*Settings!$B$18)+(Y366*Settings!$B$10)+(Z366*Settings!$B$11),VLOOKUP(B366,'Standard Deviations'!A1:C666,3,FALSE))</f>
        <v>190.08164207359994</v>
      </c>
      <c r="J366" s="52">
        <f>IF(D366="G",I366/AJ366,I366/Q366)</f>
        <v>2.4633940330289965</v>
      </c>
      <c r="K366" s="51">
        <f>IF(Settings!$E$18="C/LW/RW",VLOOKUP(B366,RW!A1:F136,6,FALSE),VLOOKUP(B366,F!A1:F392,6,FALSE))</f>
        <v>-178.76608103269245</v>
      </c>
      <c r="L366" s="53">
        <f>IFERROR(K366/H366,"N/A")</f>
        <v>-59.588693677564152</v>
      </c>
      <c r="M366" s="83" t="str">
        <f>IF(Settings!$E$9="YAHOO",VLOOKUP(B366,ADP!A1:E665,2,FALSE),IF(Settings!$E$9="ESPN",VLOOKUP(B366,ADP!A1:E665,3,FALSE),IF(Settings!$E$9="FANTRAX",VLOOKUP(B366,ADP!A1:E665,4,FALSE),VLOOKUP(B366,ADP!A1:E665,5,FALSE))))</f>
        <v>—</v>
      </c>
      <c r="N366" s="83" t="str">
        <f>IFERROR(M366-A366,"N/A")</f>
        <v>N/A</v>
      </c>
      <c r="O366" s="54"/>
      <c r="P366" s="55" t="str">
        <f>IF(Settings!$E$27="ON",VLOOKUP(B366,ADP!A1:H665,8,FALSE)," ")</f>
        <v xml:space="preserve"> </v>
      </c>
      <c r="Q366" s="56">
        <f>IF(Settings!$E$12="YES",VLOOKUP(B366,'Player Data'!A1:E667,5,FALSE),82)</f>
        <v>77.162499999999994</v>
      </c>
      <c r="R366" s="54">
        <f>VLOOKUP(B366,'Player Data'!$A1:$AE667,6,FALSE)</f>
        <v>14.653999081503001</v>
      </c>
      <c r="S366" s="56">
        <f>VLOOKUP(B366,'Player Data'!$A1:$AE667,7,FALSE)*$Q366*IFERROR((VLOOKUP(P366,Settings!$E$28:$F$33,2,FALSE)+1),1)</f>
        <v>13.545316399838208</v>
      </c>
      <c r="T366" s="56">
        <f>VLOOKUP(B366,'Player Data'!$A1:$AE667,8,FALSE)*$Q366*IFERROR((VLOOKUP(P366,Settings!$E$28:$F$33,2,FALSE)+1),1)</f>
        <v>22.127508701281464</v>
      </c>
      <c r="U366" s="56">
        <f>SUM(S366:T366)</f>
        <v>35.67282510111967</v>
      </c>
      <c r="V366" s="56">
        <f>VLOOKUP(B366,'Player Data'!$A1:$AE667,10,FALSE)*$Q366*IFERROR(((VLOOKUP(P366,Settings!$E$28:$F$33,2,FALSE)/2)+1),1)</f>
        <v>116.53404735356501</v>
      </c>
      <c r="W366" s="56">
        <f>VLOOKUP(B366,'Player Data'!$A1:$AE667,11,FALSE)*$Q366*IFERROR((VLOOKUP(P366,Settings!$E$28:$F$33,2,FALSE)+1),1)</f>
        <v>1.1924150025668314</v>
      </c>
      <c r="X366" s="56">
        <f>VLOOKUP(B366,'Player Data'!$A1:$AE667,12,FALSE)*$Q366*IFERROR((VLOOKUP(P366,Settings!$E$28:$F$33,2,FALSE)+1),1)</f>
        <v>3.996496126080078</v>
      </c>
      <c r="Y366" s="56">
        <f>VLOOKUP(B366,'Player Data'!$A1:$AE667,13,FALSE)*$Q366</f>
        <v>0.53311809643781261</v>
      </c>
      <c r="Z366" s="56">
        <f>VLOOKUP(B366,'Player Data'!$A1:$AE667,14,FALSE)*$Q366</f>
        <v>1.014090698848735</v>
      </c>
      <c r="AA366" s="56">
        <f>VLOOKUP(B366,'Player Data'!$A1:$AE667,15,FALSE)*$Q366</f>
        <v>39.571112537059221</v>
      </c>
      <c r="AB366" s="56">
        <f>VLOOKUP(B366,'Player Data'!$A1:$AE667,16,FALSE)*$Q366</f>
        <v>84.361988615016273</v>
      </c>
      <c r="AC366" s="56">
        <f>VLOOKUP(B366,'Player Data'!$A1:$AE667,17,FALSE)*$Q366*IFERROR((VLOOKUP(P366,Settings!$E$28:$F$33,2,FALSE)+1),1)</f>
        <v>2.6541174070431994</v>
      </c>
      <c r="AD366" s="56">
        <f>VLOOKUP(B366,'Player Data'!$A1:$AE667,18,FALSE)*$Q366</f>
        <v>32.02625868425654</v>
      </c>
      <c r="AE366" s="56">
        <f>VLOOKUP(B366,'Player Data'!$A1:$AE667,19,FALSE)*$Q366*IFERROR((VLOOKUP(P366,Settings!$E$28:$F$33,2,FALSE)+1),1)</f>
        <v>2.0602600837864693</v>
      </c>
      <c r="AF366" s="56">
        <f>VLOOKUP(B366,'Player Data'!$A1:$AE667,20,FALSE)*$Q366</f>
        <v>386.35658333347936</v>
      </c>
      <c r="AG366" s="56">
        <f>VLOOKUP(B366,'Player Data'!$A1:$AE667,21,FALSE)*$Q366</f>
        <v>422.79214173377153</v>
      </c>
      <c r="AH366" s="58">
        <f>VLOOKUP(B366,'Player Data'!$A1:$AE667,22,FALSE)</f>
        <v>0.477485252542872</v>
      </c>
      <c r="AI366" s="54"/>
      <c r="AJ366" s="56"/>
      <c r="AK366" s="56"/>
      <c r="AL366" s="56"/>
      <c r="AM366" s="56"/>
      <c r="AN366" s="56"/>
      <c r="AO366" s="56"/>
      <c r="AP366" s="56"/>
      <c r="AQ366" s="59"/>
      <c r="AR366" s="60"/>
      <c r="AS366" s="54"/>
    </row>
    <row r="367" spans="1:45" ht="21.25" customHeight="1" x14ac:dyDescent="0.15">
      <c r="A367" s="45">
        <f>RANK(K367,K$1:K$665)</f>
        <v>366</v>
      </c>
      <c r="B367" s="9" t="s">
        <v>492</v>
      </c>
      <c r="C367" s="46" t="s">
        <v>127</v>
      </c>
      <c r="D367" s="47" t="str">
        <f>VLOOKUP(B367,'Player Data'!A1:D667,4,FALSE)</f>
        <v>C/LW</v>
      </c>
      <c r="E367" s="68">
        <f>VLOOKUP(B367,LW!A1:C152,3,FALSE)</f>
        <v>83</v>
      </c>
      <c r="F367" s="62" t="str">
        <f>VLOOKUP(B367,'Player Data'!A1:B667,2,FALSE)</f>
        <v>T.B</v>
      </c>
      <c r="G367" s="10">
        <f>VLOOKUP(B367,'Player Data'!A1:D667,3,FALSE)</f>
        <v>29</v>
      </c>
      <c r="H367" s="50">
        <f>IFERROR(VLOOKUP(B367,ADP!A1:G665,7,FALSE)/1000000,VLOOKUP(B367,ADP!A1:G665,7,FALSE))</f>
        <v>3.15</v>
      </c>
      <c r="I367" s="51">
        <f>IF(Settings!$E$15="POINTS",((R367*Q367)*Settings!$B$12)+(S367*Settings!$B$2)+(T367*Settings!$B$3)+(U367*Settings!$B$4)+(V367*Settings!$B$5)+(X367*Settings!$B$9)+(AA367*Settings!$B$6)+(W367*Settings!$B$8)+(AB367*Settings!$B$7)+(AC367*Settings!$B$14)+(AD367*Settings!$B$15)+(AE367*Settings!$B$16)+(AF367*Settings!$B$17)+(AG367*Settings!$B$18)+(Y367*Settings!$B$10)+(Z367*Settings!$B$11),VLOOKUP(B367,'Standard Deviations'!A1:C666,3,FALSE))</f>
        <v>202.27305733619326</v>
      </c>
      <c r="J367" s="52">
        <f>IF(D367="G",I367/AJ367,I367/Q367)</f>
        <v>2.4802042466580008</v>
      </c>
      <c r="K367" s="51">
        <f>IF(Settings!$E$18="C/LW/RW",VLOOKUP(B367,LW!A1:F152,6,FALSE),VLOOKUP(B367,F!A1:F392,6,FALSE))</f>
        <v>-178.78845496630649</v>
      </c>
      <c r="L367" s="53">
        <f>IFERROR(K367/H367,"N/A")</f>
        <v>-56.758239671843334</v>
      </c>
      <c r="M367" s="83" t="str">
        <f>IF(Settings!$E$9="YAHOO",VLOOKUP(B367,ADP!A1:E665,2,FALSE),IF(Settings!$E$9="ESPN",VLOOKUP(B367,ADP!A1:E665,3,FALSE),IF(Settings!$E$9="FANTRAX",VLOOKUP(B367,ADP!A1:E665,4,FALSE),VLOOKUP(B367,ADP!A1:E665,5,FALSE))))</f>
        <v>—</v>
      </c>
      <c r="N367" s="83" t="str">
        <f>IFERROR(M367-A367,"N/A")</f>
        <v>N/A</v>
      </c>
      <c r="O367" s="54"/>
      <c r="P367" s="55" t="str">
        <f>IF(Settings!$E$27="ON",VLOOKUP(B367,ADP!A1:H665,8,FALSE)," ")</f>
        <v xml:space="preserve"> </v>
      </c>
      <c r="Q367" s="56">
        <f>IF(Settings!$E$12="YES",VLOOKUP(B367,'Player Data'!A1:E667,5,FALSE),82)</f>
        <v>81.555000000000007</v>
      </c>
      <c r="R367" s="81">
        <f>VLOOKUP(B367,'Player Data'!$A1:$AE667,6,FALSE)</f>
        <v>15.914891211111501</v>
      </c>
      <c r="S367" s="56">
        <f>VLOOKUP(B367,'Player Data'!$A1:$AE667,7,FALSE)*$Q367*IFERROR((VLOOKUP(P367,Settings!$E$28:$F$33,2,FALSE)+1),1)</f>
        <v>16.917296948353197</v>
      </c>
      <c r="T367" s="56">
        <f>VLOOKUP(B367,'Player Data'!$A1:$AE667,8,FALSE)*$Q367*IFERROR((VLOOKUP(P367,Settings!$E$28:$F$33,2,FALSE)+1),1)</f>
        <v>17.608094436324802</v>
      </c>
      <c r="U367" s="56">
        <f>SUM(S367:T367)</f>
        <v>34.525391384678002</v>
      </c>
      <c r="V367" s="56">
        <f>VLOOKUP(B367,'Player Data'!$A1:$AE667,10,FALSE)*$Q367*IFERROR(((VLOOKUP(P367,Settings!$E$28:$F$33,2,FALSE)/2)+1),1)</f>
        <v>140.82318070900112</v>
      </c>
      <c r="W367" s="56">
        <f>VLOOKUP(B367,'Player Data'!$A1:$AE667,11,FALSE)*$Q367*IFERROR((VLOOKUP(P367,Settings!$E$28:$F$33,2,FALSE)+1),1)</f>
        <v>4.2393319049013583</v>
      </c>
      <c r="X367" s="56">
        <f>VLOOKUP(B367,'Player Data'!$A1:$AE667,12,FALSE)*$Q367*IFERROR((VLOOKUP(P367,Settings!$E$28:$F$33,2,FALSE)+1),1)</f>
        <v>6.6180618996547409</v>
      </c>
      <c r="Y367" s="56">
        <f>VLOOKUP(B367,'Player Data'!$A1:$AE667,13,FALSE)*$Q367</f>
        <v>0.13199069081009965</v>
      </c>
      <c r="Z367" s="56">
        <f>VLOOKUP(B367,'Player Data'!$A1:$AE667,14,FALSE)*$Q367</f>
        <v>0.25048622945128918</v>
      </c>
      <c r="AA367" s="56">
        <f>VLOOKUP(B367,'Player Data'!$A1:$AE667,15,FALSE)*$Q367</f>
        <v>42.833489397105332</v>
      </c>
      <c r="AB367" s="56">
        <f>VLOOKUP(B367,'Player Data'!$A1:$AE667,16,FALSE)*$Q367</f>
        <v>100.18696631391229</v>
      </c>
      <c r="AC367" s="56">
        <f>VLOOKUP(B367,'Player Data'!$A1:$AE667,17,FALSE)*$Q367*IFERROR((VLOOKUP(P367,Settings!$E$28:$F$33,2,FALSE)+1),1)</f>
        <v>0.52403681176653805</v>
      </c>
      <c r="AD367" s="56">
        <f>VLOOKUP(B367,'Player Data'!$A1:$AE667,18,FALSE)*$Q367</f>
        <v>30.68707655002903</v>
      </c>
      <c r="AE367" s="56">
        <f>VLOOKUP(B367,'Player Data'!$A1:$AE667,19,FALSE)*$Q367*IFERROR((VLOOKUP(P367,Settings!$E$28:$F$33,2,FALSE)+1),1)</f>
        <v>2.6655167467018348</v>
      </c>
      <c r="AF367" s="56">
        <f>VLOOKUP(B367,'Player Data'!$A1:$AE667,20,FALSE)*$Q367</f>
        <v>474.29179595417168</v>
      </c>
      <c r="AG367" s="56">
        <f>VLOOKUP(B367,'Player Data'!$A1:$AE667,21,FALSE)*$Q367</f>
        <v>417.39280120444062</v>
      </c>
      <c r="AH367" s="58">
        <f>VLOOKUP(B367,'Player Data'!$A1:$AE667,22,FALSE)</f>
        <v>0.53190533678110097</v>
      </c>
      <c r="AI367" s="54"/>
      <c r="AJ367" s="56"/>
      <c r="AK367" s="56"/>
      <c r="AL367" s="56"/>
      <c r="AM367" s="56"/>
      <c r="AN367" s="56"/>
      <c r="AO367" s="56"/>
      <c r="AP367" s="56"/>
      <c r="AQ367" s="59"/>
      <c r="AR367" s="60"/>
      <c r="AS367" s="54"/>
    </row>
    <row r="368" spans="1:45" ht="21.25" customHeight="1" x14ac:dyDescent="0.15">
      <c r="A368" s="45">
        <f>RANK(K368,K$1:K$665)</f>
        <v>367</v>
      </c>
      <c r="B368" s="9" t="s">
        <v>493</v>
      </c>
      <c r="C368" s="46" t="s">
        <v>127</v>
      </c>
      <c r="D368" s="47" t="str">
        <f>VLOOKUP(B368,'Player Data'!A1:D667,4,FALSE)</f>
        <v>LW</v>
      </c>
      <c r="E368" s="70">
        <f>VLOOKUP(B368,LW!A1:C152,3,FALSE)</f>
        <v>84</v>
      </c>
      <c r="F368" s="82" t="str">
        <f>VLOOKUP(B368,'Player Data'!A1:B667,2,FALSE)</f>
        <v>ANA</v>
      </c>
      <c r="G368" s="69">
        <f>VLOOKUP(B368,'Player Data'!A1:D667,3,FALSE)</f>
        <v>20</v>
      </c>
      <c r="H368" s="50">
        <f>IFERROR(VLOOKUP(B368,ADP!A1:G665,7,FALSE)/1000000,VLOOKUP(B368,ADP!A1:G665,7,FALSE))</f>
        <v>0.95</v>
      </c>
      <c r="I368" s="51">
        <f>IF(Settings!$E$15="POINTS",((R368*Q368)*Settings!$B$12)+(S368*Settings!$B$2)+(T368*Settings!$B$3)+(U368*Settings!$B$4)+(V368*Settings!$B$5)+(X368*Settings!$B$9)+(AA368*Settings!$B$6)+(W368*Settings!$B$8)+(AB368*Settings!$B$7)+(AC368*Settings!$B$14)+(AD368*Settings!$B$15)+(AE368*Settings!$B$16)+(AF368*Settings!$B$17)+(AG368*Settings!$B$18)+(Y368*Settings!$B$10)+(Z368*Settings!$B$11),VLOOKUP(B368,'Standard Deviations'!A1:C666,3,FALSE))</f>
        <v>201.97628212547417</v>
      </c>
      <c r="J368" s="52">
        <f>IF(D368="G",I368/AJ368,I368/Q368)</f>
        <v>2.8052261406315857</v>
      </c>
      <c r="K368" s="51">
        <f>IF(Settings!$E$18="C/LW/RW",VLOOKUP(B368,LW!A1:F152,6,FALSE),VLOOKUP(B368,F!A1:F392,6,FALSE))</f>
        <v>-179.08523017702558</v>
      </c>
      <c r="L368" s="53">
        <f>IFERROR(K368/H368,"N/A")</f>
        <v>-188.51076860739536</v>
      </c>
      <c r="M368" s="83" t="str">
        <f>IF(Settings!$E$9="YAHOO",VLOOKUP(B368,ADP!A1:E665,2,FALSE),IF(Settings!$E$9="ESPN",VLOOKUP(B368,ADP!A1:E665,3,FALSE),IF(Settings!$E$9="FANTRAX",VLOOKUP(B368,ADP!A1:E665,4,FALSE),VLOOKUP(B368,ADP!A1:E665,5,FALSE))))</f>
        <v>—</v>
      </c>
      <c r="N368" s="83" t="str">
        <f>IFERROR(M368-A368,"N/A")</f>
        <v>N/A</v>
      </c>
      <c r="O368" s="54"/>
      <c r="P368" s="55" t="str">
        <f>IF(Settings!$E$27="ON",VLOOKUP(B368,ADP!A1:H665,8,FALSE)," ")</f>
        <v xml:space="preserve"> </v>
      </c>
      <c r="Q368" s="56">
        <f>IF(Settings!$E$12="YES",VLOOKUP(B368,'Player Data'!A1:E667,5,FALSE),82)</f>
        <v>72</v>
      </c>
      <c r="R368" s="54">
        <f>VLOOKUP(B368,'Player Data'!$A1:$AE667,6,FALSE)</f>
        <v>16</v>
      </c>
      <c r="S368" s="56">
        <f>VLOOKUP(B368,'Player Data'!$A1:$AE667,7,FALSE)*$Q368*IFERROR((VLOOKUP(P368,Settings!$E$28:$F$33,2,FALSE)+1),1)</f>
        <v>16.97366303421768</v>
      </c>
      <c r="T368" s="56">
        <f>VLOOKUP(B368,'Player Data'!$A1:$AE667,8,FALSE)*$Q368*IFERROR((VLOOKUP(P368,Settings!$E$28:$F$33,2,FALSE)+1),1)</f>
        <v>19.775369489437654</v>
      </c>
      <c r="U368" s="56">
        <f>SUM(S368:T368)</f>
        <v>36.74903252365533</v>
      </c>
      <c r="V368" s="56">
        <f>VLOOKUP(B368,'Player Data'!$A1:$AE667,10,FALSE)*$Q368*IFERROR(((VLOOKUP(P368,Settings!$E$28:$F$33,2,FALSE)/2)+1),1)</f>
        <v>135.09328943155538</v>
      </c>
      <c r="W368" s="56">
        <f>VLOOKUP(B368,'Player Data'!$A1:$AE667,11,FALSE)*$Q368*IFERROR((VLOOKUP(P368,Settings!$E$28:$F$33,2,FALSE)+1),1)</f>
        <v>3.9505896915604488</v>
      </c>
      <c r="X368" s="56">
        <f>VLOOKUP(B368,'Player Data'!$A1:$AE667,12,FALSE)*$Q368*IFERROR((VLOOKUP(P368,Settings!$E$28:$F$33,2,FALSE)+1),1)</f>
        <v>8.5532715460475277</v>
      </c>
      <c r="Y368" s="56">
        <f>VLOOKUP(B368,'Player Data'!$A1:$AE667,13,FALSE)*$Q368</f>
        <v>0</v>
      </c>
      <c r="Z368" s="56">
        <f>VLOOKUP(B368,'Player Data'!$A1:$AE667,14,FALSE)*$Q368</f>
        <v>0</v>
      </c>
      <c r="AA368" s="56">
        <f>VLOOKUP(B368,'Player Data'!$A1:$AE667,15,FALSE)*$Q368</f>
        <v>31.258536585365881</v>
      </c>
      <c r="AB368" s="56">
        <f>VLOOKUP(B368,'Player Data'!$A1:$AE667,16,FALSE)*$Q368</f>
        <v>85.182653035242723</v>
      </c>
      <c r="AC368" s="56">
        <f>VLOOKUP(B368,'Player Data'!$A1:$AE667,17,FALSE)*$Q368*IFERROR((VLOOKUP(P368,Settings!$E$28:$F$33,2,FALSE)+1),1)</f>
        <v>-6.054863297797354</v>
      </c>
      <c r="AD368" s="56">
        <f>VLOOKUP(B368,'Player Data'!$A1:$AE667,18,FALSE)*$Q368</f>
        <v>29.092816683612288</v>
      </c>
      <c r="AE368" s="56">
        <f>VLOOKUP(B368,'Player Data'!$A1:$AE667,19,FALSE)*$Q368*IFERROR((VLOOKUP(P368,Settings!$E$28:$F$33,2,FALSE)+1),1)</f>
        <v>1.978442513749656</v>
      </c>
      <c r="AF368" s="56">
        <f>VLOOKUP(B368,'Player Data'!$A1:$AE667,20,FALSE)*$Q368</f>
        <v>0</v>
      </c>
      <c r="AG368" s="56">
        <f>VLOOKUP(B368,'Player Data'!$A1:$AE667,21,FALSE)*$Q368</f>
        <v>0</v>
      </c>
      <c r="AH368" s="58">
        <f>VLOOKUP(B368,'Player Data'!$A1:$AE667,22,FALSE)</f>
        <v>0</v>
      </c>
      <c r="AI368" s="54"/>
      <c r="AJ368" s="56"/>
      <c r="AK368" s="56"/>
      <c r="AL368" s="56"/>
      <c r="AM368" s="56"/>
      <c r="AN368" s="56"/>
      <c r="AO368" s="56"/>
      <c r="AP368" s="56"/>
      <c r="AQ368" s="59"/>
      <c r="AR368" s="60"/>
      <c r="AS368" s="54"/>
    </row>
    <row r="369" spans="1:45" ht="21.25" customHeight="1" x14ac:dyDescent="0.15">
      <c r="A369" s="45">
        <f>RANK(K369,K$1:K$665)</f>
        <v>368</v>
      </c>
      <c r="B369" s="9" t="s">
        <v>494</v>
      </c>
      <c r="C369" s="46" t="s">
        <v>127</v>
      </c>
      <c r="D369" s="47" t="str">
        <f>VLOOKUP(B369,'Player Data'!A1:D667,4,FALSE)</f>
        <v>G</v>
      </c>
      <c r="E369" s="73">
        <f>VLOOKUP(B369,G!A1:D65,3,FALSE)</f>
        <v>36</v>
      </c>
      <c r="F369" s="65" t="str">
        <f>VLOOKUP(B369,'Player Data'!A1:B667,2,FALSE)</f>
        <v>CGY</v>
      </c>
      <c r="G369" s="69">
        <f>VLOOKUP(B369,'Player Data'!A1:D667,3,FALSE)</f>
        <v>26</v>
      </c>
      <c r="H369" s="67">
        <f>IFERROR(VLOOKUP(B369,ADP!A1:G665,7,FALSE)/1000000,VLOOKUP(B369,ADP!A1:G665,7,FALSE))</f>
        <v>2.2000000000000002</v>
      </c>
      <c r="I369" s="51">
        <f>IF(Settings!$E$15="POINTS",(AJ369*Settings!$B$29)+(AK369*Settings!$B$21)+(AL369*Settings!$B$22)+(AN369*Settings!$B$24)+(AO369*Settings!$B$25)+(AP369*Settings!$B$27)+(AM369*Settings!$B$23),VLOOKUP(B369,'Standard Deviations'!A1:C666,3,FALSE))</f>
        <v>231.36786141956401</v>
      </c>
      <c r="J369" s="52">
        <f>IF(D369="G",I369/AJ369,I369/Q369)</f>
        <v>5.7841965354890998</v>
      </c>
      <c r="K369" s="51">
        <f>VLOOKUP(B369,G!A1:F65,6,FALSE)</f>
        <v>-179.29188134985617</v>
      </c>
      <c r="L369" s="53">
        <f>IFERROR(K369/H369,"N/A")</f>
        <v>-81.496309704480069</v>
      </c>
      <c r="M369" s="83" t="str">
        <f>IF(Settings!$E$9="YAHOO",VLOOKUP(B369,ADP!A1:E665,2,FALSE),IF(Settings!$E$9="ESPN",VLOOKUP(B369,ADP!A1:E665,3,FALSE),IF(Settings!$E$9="FANTRAX",VLOOKUP(B369,ADP!A1:E665,4,FALSE),VLOOKUP(B369,ADP!A1:E665,5,FALSE))))</f>
        <v>—</v>
      </c>
      <c r="N369" s="83" t="str">
        <f>IFERROR(M369-A369,"N/A")</f>
        <v>N/A</v>
      </c>
      <c r="O369" s="54"/>
      <c r="P369" s="55" t="str">
        <f>IF(Settings!$E$27="ON",VLOOKUP(B369,ADP!A1:H665,8,FALSE)," ")</f>
        <v xml:space="preserve"> </v>
      </c>
      <c r="Q369" s="56"/>
      <c r="R369" s="54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8"/>
      <c r="AI369" s="54"/>
      <c r="AJ369" s="64">
        <f>VLOOKUP(B369,'Player Data'!$A1:$AE667,24,FALSE)</f>
        <v>40</v>
      </c>
      <c r="AK369" s="56">
        <f>VLOOKUP(B369,'Player Data'!$A1:$AE667,25,FALSE)*$AJ369*IFERROR((VLOOKUP(P369,Settings!$E$28:$F$33,2,FALSE)+1),1)</f>
        <v>17.33771999589208</v>
      </c>
      <c r="AL369" s="56">
        <f>AJ369-AK369-AM369</f>
        <v>17.66228000410792</v>
      </c>
      <c r="AM369" s="56">
        <f>VLOOKUP(B369,'Player Data'!$A1:$AE667,27,FALSE)*$AJ369</f>
        <v>5</v>
      </c>
      <c r="AN369" s="56">
        <f>VLOOKUP(B369,'Player Data'!$A1:$AE667,28,FALSE)*AJ369</f>
        <v>1.301343686653784</v>
      </c>
      <c r="AO369" s="56">
        <f>VLOOKUP(B369,'Player Data'!$A1:$AE667,29,FALSE)*$AJ369*IFERROR((VLOOKUP(P369,Settings!$E$28:$F$33,2,FALSE)/4)+1,1)</f>
        <v>1104.717052585172</v>
      </c>
      <c r="AP369" s="56">
        <f>VLOOKUP(B369,'Player Data'!$A1:$AE667,31,FALSE)*$AJ369*(IFERROR(1-(VLOOKUP(P369,Settings!$E$28:$F$33,2,FALSE)/4),1))</f>
        <v>124.76838951578401</v>
      </c>
      <c r="AQ369" s="59">
        <f>1-(AP369/(AO369+AP369))</f>
        <v>0.89851983175776473</v>
      </c>
      <c r="AR369" s="60">
        <f>AP369/AJ369</f>
        <v>3.1192097378946002</v>
      </c>
      <c r="AS369" s="54"/>
    </row>
    <row r="370" spans="1:45" ht="21.25" customHeight="1" x14ac:dyDescent="0.15">
      <c r="A370" s="45">
        <f>RANK(K370,K$1:K$665)</f>
        <v>369</v>
      </c>
      <c r="B370" s="9" t="s">
        <v>495</v>
      </c>
      <c r="C370" s="46" t="s">
        <v>127</v>
      </c>
      <c r="D370" s="47" t="str">
        <f>VLOOKUP(B370,'Player Data'!A1:D667,4,FALSE)</f>
        <v>C</v>
      </c>
      <c r="E370" s="48">
        <f>VLOOKUP(B370,'C'!A1:C206,3,FALSE)</f>
        <v>107</v>
      </c>
      <c r="F370" s="71" t="str">
        <f>VLOOKUP(B370,'Player Data'!A1:B667,2,FALSE)</f>
        <v>NYR</v>
      </c>
      <c r="G370" s="10">
        <f>VLOOKUP(B370,'Player Data'!A1:D667,3,FALSE)</f>
        <v>24</v>
      </c>
      <c r="H370" s="50">
        <f>IFERROR(VLOOKUP(B370,ADP!A1:G665,7,FALSE)/1000000,VLOOKUP(B370,ADP!A1:G665,7,FALSE))</f>
        <v>4.4375</v>
      </c>
      <c r="I370" s="51">
        <f>IF(Settings!$E$15="POINTS",((R370*Q370)*Settings!$B$12)+(S370*Settings!$B$2)+(T370*Settings!$B$3)+(U370*Settings!$B$4)+(V370*Settings!$B$5)+(X370*Settings!$B$9)+(AA370*Settings!$B$6)+(W370*Settings!$B$8)+(AB370*Settings!$B$7)+(AC370*Settings!$B$14)+(AD370*Settings!$B$15)+(AE370*Settings!$B$16)+(AF370*Settings!$B$17)+(AG370*Settings!$B$18)+(Y370*Settings!$B$10)+(Z370*Settings!$B$11),VLOOKUP(B370,'Standard Deviations'!A1:C666,3,FALSE))</f>
        <v>210.44619824116654</v>
      </c>
      <c r="J370" s="52">
        <f>IF(D370="G",I370/AJ370,I370/Q370)</f>
        <v>3.1574823442035487</v>
      </c>
      <c r="K370" s="51">
        <f>IF(Settings!$E$18="C/LW/RW",VLOOKUP(B370,'C'!A1:F206,6,FALSE),VLOOKUP(B370,F!A1:F392,6,FALSE))</f>
        <v>-179.49095953691454</v>
      </c>
      <c r="L370" s="53">
        <f>IFERROR(K370/H370,"N/A")</f>
        <v>-40.448666937896235</v>
      </c>
      <c r="M370" s="83" t="str">
        <f>IF(Settings!$E$9="YAHOO",VLOOKUP(B370,ADP!A1:E665,2,FALSE),IF(Settings!$E$9="ESPN",VLOOKUP(B370,ADP!A1:E665,3,FALSE),IF(Settings!$E$9="FANTRAX",VLOOKUP(B370,ADP!A1:E665,4,FALSE),VLOOKUP(B370,ADP!A1:E665,5,FALSE))))</f>
        <v>—</v>
      </c>
      <c r="N370" s="83" t="str">
        <f>IFERROR(M370-A370,"N/A")</f>
        <v>N/A</v>
      </c>
      <c r="O370" s="54"/>
      <c r="P370" s="55" t="str">
        <f>IF(Settings!$E$27="ON",VLOOKUP(B370,ADP!A1:H665,8,FALSE)," ")</f>
        <v xml:space="preserve"> </v>
      </c>
      <c r="Q370" s="56">
        <f>IF(Settings!$E$12="YES",VLOOKUP(B370,'Player Data'!A1:E667,5,FALSE),82)</f>
        <v>66.650000000000006</v>
      </c>
      <c r="R370" s="54">
        <f>VLOOKUP(B370,'Player Data'!$A1:$AE667,6,FALSE)</f>
        <v>15.6686962623154</v>
      </c>
      <c r="S370" s="56">
        <f>VLOOKUP(B370,'Player Data'!$A1:$AE667,7,FALSE)*$Q370*IFERROR((VLOOKUP(P370,Settings!$E$28:$F$33,2,FALSE)+1),1)</f>
        <v>15.886178829133591</v>
      </c>
      <c r="T370" s="56">
        <f>VLOOKUP(B370,'Player Data'!$A1:$AE667,8,FALSE)*$Q370*IFERROR((VLOOKUP(P370,Settings!$E$28:$F$33,2,FALSE)+1),1)</f>
        <v>22.273511748505346</v>
      </c>
      <c r="U370" s="56">
        <f>SUM(S370:T370)</f>
        <v>38.159690577638941</v>
      </c>
      <c r="V370" s="56">
        <f>VLOOKUP(B370,'Player Data'!$A1:$AE667,10,FALSE)*$Q370*IFERROR(((VLOOKUP(P370,Settings!$E$28:$F$33,2,FALSE)/2)+1),1)</f>
        <v>149.78483410749803</v>
      </c>
      <c r="W370" s="56">
        <f>VLOOKUP(B370,'Player Data'!$A1:$AE667,11,FALSE)*$Q370*IFERROR((VLOOKUP(P370,Settings!$E$28:$F$33,2,FALSE)+1),1)</f>
        <v>0.92431163606181477</v>
      </c>
      <c r="X370" s="56">
        <f>VLOOKUP(B370,'Player Data'!$A1:$AE667,12,FALSE)*$Q370*IFERROR((VLOOKUP(P370,Settings!$E$28:$F$33,2,FALSE)+1),1)</f>
        <v>3.0249799133760811</v>
      </c>
      <c r="Y370" s="56">
        <f>VLOOKUP(B370,'Player Data'!$A1:$AE667,13,FALSE)*$Q370</f>
        <v>0.4370324802895893</v>
      </c>
      <c r="Z370" s="56">
        <f>VLOOKUP(B370,'Player Data'!$A1:$AE667,14,FALSE)*$Q370</f>
        <v>0.73740375188826868</v>
      </c>
      <c r="AA370" s="56">
        <f>VLOOKUP(B370,'Player Data'!$A1:$AE667,15,FALSE)*$Q370</f>
        <v>34.624651578472651</v>
      </c>
      <c r="AB370" s="56">
        <f>VLOOKUP(B370,'Player Data'!$A1:$AE667,16,FALSE)*$Q370</f>
        <v>40.444045136794891</v>
      </c>
      <c r="AC370" s="56">
        <f>VLOOKUP(B370,'Player Data'!$A1:$AE667,17,FALSE)*$Q370*IFERROR((VLOOKUP(P370,Settings!$E$28:$F$33,2,FALSE)+1),1)</f>
        <v>3.3841508450372491</v>
      </c>
      <c r="AD370" s="56">
        <f>VLOOKUP(B370,'Player Data'!$A1:$AE667,18,FALSE)*$Q370</f>
        <v>25.36770927075235</v>
      </c>
      <c r="AE370" s="56">
        <f>VLOOKUP(B370,'Player Data'!$A1:$AE667,19,FALSE)*$Q370*IFERROR((VLOOKUP(P370,Settings!$E$28:$F$33,2,FALSE)+1),1)</f>
        <v>2.5967278460087573</v>
      </c>
      <c r="AF370" s="56">
        <f>VLOOKUP(B370,'Player Data'!$A1:$AE667,20,FALSE)*$Q370</f>
        <v>199.40780595582399</v>
      </c>
      <c r="AG370" s="56">
        <f>VLOOKUP(B370,'Player Data'!$A1:$AE667,21,FALSE)*$Q370</f>
        <v>283.13033355530166</v>
      </c>
      <c r="AH370" s="58">
        <f>VLOOKUP(B370,'Player Data'!$A1:$AE667,22,FALSE)</f>
        <v>0.41324776142638198</v>
      </c>
      <c r="AI370" s="54"/>
      <c r="AJ370" s="56"/>
      <c r="AK370" s="56"/>
      <c r="AL370" s="56"/>
      <c r="AM370" s="56"/>
      <c r="AN370" s="56"/>
      <c r="AO370" s="56"/>
      <c r="AP370" s="56"/>
      <c r="AQ370" s="59"/>
      <c r="AR370" s="60"/>
      <c r="AS370" s="54"/>
    </row>
    <row r="371" spans="1:45" ht="21.25" customHeight="1" x14ac:dyDescent="0.15">
      <c r="A371" s="45">
        <f>RANK(K371,K$1:K$665)</f>
        <v>370</v>
      </c>
      <c r="B371" s="9" t="s">
        <v>496</v>
      </c>
      <c r="C371" s="46" t="s">
        <v>127</v>
      </c>
      <c r="D371" s="47" t="str">
        <f>VLOOKUP(B371,'Player Data'!A1:D667,4,FALSE)</f>
        <v>D</v>
      </c>
      <c r="E371" s="66">
        <f>VLOOKUP(B371,D!A1:C213,3,FALSE)</f>
        <v>131</v>
      </c>
      <c r="F371" s="55" t="str">
        <f>VLOOKUP(B371,'Player Data'!A1:B667,2,FALSE)</f>
        <v>COL</v>
      </c>
      <c r="G371" s="10">
        <f>VLOOKUP(B371,'Player Data'!A1:D667,3,FALSE)</f>
        <v>25</v>
      </c>
      <c r="H371" s="67">
        <f>IFERROR(VLOOKUP(B371,ADP!A1:G665,7,FALSE)/1000000,VLOOKUP(B371,ADP!A1:G665,7,FALSE))</f>
        <v>0.9</v>
      </c>
      <c r="I371" s="51">
        <f>IF(Settings!$E$15="POINTS",((R371*Q371)*Settings!$B$12)+(S371*Settings!$B$2)+(T371*Settings!$B$3)+(U371*Settings!$B$4)+(V371*Settings!$B$5)+(X371*Settings!$B$9)+(AA371*Settings!$B$6)+(W371*Settings!$B$8)+(AB371*Settings!$B$7)+(AC371*Settings!$B$14)+(AD371*Settings!$B$15)+(AE371*Settings!$B$16)+(AF371*Settings!$B$17)+(AG371*Settings!$B$18)+(U371*Settings!$B$13)+(Y371*Settings!$B$10)+(Z371*Settings!$B$11),VLOOKUP(B371,'Standard Deviations'!A1:C666,3,FALSE))</f>
        <v>156.39088393318085</v>
      </c>
      <c r="J371" s="52">
        <f>IF(D371="G",I371/AJ371,I371/Q371)</f>
        <v>2.0319740652657812</v>
      </c>
      <c r="K371" s="51">
        <f>VLOOKUP(B371,D!A1:F213,6,FALSE)</f>
        <v>-179.84324111241406</v>
      </c>
      <c r="L371" s="53">
        <f>IFERROR(K371/H371,"N/A")</f>
        <v>-199.82582345823783</v>
      </c>
      <c r="M371" s="83" t="str">
        <f>IF(Settings!$E$9="YAHOO",VLOOKUP(B371,ADP!A1:E665,2,FALSE),IF(Settings!$E$9="ESPN",VLOOKUP(B371,ADP!A1:E665,3,FALSE),IF(Settings!$E$9="FANTRAX",VLOOKUP(B371,ADP!A1:E665,4,FALSE),VLOOKUP(B371,ADP!A1:E665,5,FALSE))))</f>
        <v>—</v>
      </c>
      <c r="N371" s="83" t="str">
        <f>IFERROR(M371-A371,"N/A")</f>
        <v>N/A</v>
      </c>
      <c r="O371" s="54"/>
      <c r="P371" s="55" t="str">
        <f>IF(Settings!$E$27="ON",VLOOKUP(B371,ADP!A1:H665,8,FALSE)," ")</f>
        <v xml:space="preserve"> </v>
      </c>
      <c r="Q371" s="56">
        <f>IF(Settings!$E$12="YES",VLOOKUP(B371,'Player Data'!A1:E667,5,FALSE),82)</f>
        <v>76.965000000000003</v>
      </c>
      <c r="R371" s="54">
        <f>VLOOKUP(B371,'Player Data'!$A1:$AE667,6,FALSE)</f>
        <v>16.687507264226401</v>
      </c>
      <c r="S371" s="56">
        <f>VLOOKUP(B371,'Player Data'!$A1:$AE667,7,FALSE)*$Q371*IFERROR((VLOOKUP(P371,Settings!$E$28:$F$33,2,FALSE)+1),1)</f>
        <v>2.7670284545051267</v>
      </c>
      <c r="T371" s="56">
        <f>VLOOKUP(B371,'Player Data'!$A1:$AE667,8,FALSE)*$Q371*IFERROR((VLOOKUP(P371,Settings!$E$28:$F$33,2,FALSE)+1),1)</f>
        <v>17.072478924482571</v>
      </c>
      <c r="U371" s="56">
        <f>SUM(S371:T371)</f>
        <v>19.839507378987697</v>
      </c>
      <c r="V371" s="56">
        <f>VLOOKUP(B371,'Player Data'!$A1:$AE667,10,FALSE)*$Q371*IFERROR(((VLOOKUP(P371,Settings!$E$28:$F$33,2,FALSE)/2)+1),1)</f>
        <v>84.237822894130687</v>
      </c>
      <c r="W371" s="56">
        <f>VLOOKUP(B371,'Player Data'!$A1:$AE667,11,FALSE)*$Q371*IFERROR((VLOOKUP(P371,Settings!$E$28:$F$33,2,FALSE)+1),1)</f>
        <v>3.5636034249936326E-2</v>
      </c>
      <c r="X371" s="56">
        <f>VLOOKUP(B371,'Player Data'!$A1:$AE667,12,FALSE)*$Q371*IFERROR((VLOOKUP(P371,Settings!$E$28:$F$33,2,FALSE)+1),1)</f>
        <v>0.61970300539704826</v>
      </c>
      <c r="Y371" s="56">
        <f>VLOOKUP(B371,'Player Data'!$A1:$AE667,13,FALSE)*$Q371</f>
        <v>1.2346590496722772E-2</v>
      </c>
      <c r="Z371" s="56">
        <f>VLOOKUP(B371,'Player Data'!$A1:$AE667,14,FALSE)*$Q371</f>
        <v>0.28542929235878511</v>
      </c>
      <c r="AA371" s="56">
        <f>VLOOKUP(B371,'Player Data'!$A1:$AE667,15,FALSE)*$Q371</f>
        <v>107.69663610279314</v>
      </c>
      <c r="AB371" s="56">
        <f>VLOOKUP(B371,'Player Data'!$A1:$AE667,16,FALSE)*$Q371</f>
        <v>63.761227441897447</v>
      </c>
      <c r="AC371" s="56">
        <f>VLOOKUP(B371,'Player Data'!$A1:$AE667,17,FALSE)*$Q371*IFERROR((VLOOKUP(P371,Settings!$E$28:$F$33,2,FALSE)+1),1)</f>
        <v>2.3503295345877584E-2</v>
      </c>
      <c r="AD371" s="56">
        <f>VLOOKUP(B371,'Player Data'!$A1:$AE667,18,FALSE)*$Q371</f>
        <v>33.633959637638384</v>
      </c>
      <c r="AE371" s="56">
        <f>VLOOKUP(B371,'Player Data'!$A1:$AE667,19,FALSE)*$Q371*IFERROR((VLOOKUP(P371,Settings!$E$28:$F$33,2,FALSE)+1),1)</f>
        <v>0.41342353277679733</v>
      </c>
      <c r="AF371" s="56">
        <f>VLOOKUP(B371,'Player Data'!$A1:$AE667,20,FALSE)*$Q371</f>
        <v>0</v>
      </c>
      <c r="AG371" s="56">
        <f>VLOOKUP(B371,'Player Data'!$A1:$AE667,21,FALSE)*$Q371</f>
        <v>0</v>
      </c>
      <c r="AH371" s="58">
        <f>VLOOKUP(B371,'Player Data'!$A1:$AE667,22,FALSE)</f>
        <v>0</v>
      </c>
      <c r="AI371" s="54"/>
      <c r="AJ371" s="56"/>
      <c r="AK371" s="56"/>
      <c r="AL371" s="56"/>
      <c r="AM371" s="56"/>
      <c r="AN371" s="56"/>
      <c r="AO371" s="56"/>
      <c r="AP371" s="56"/>
      <c r="AQ371" s="59"/>
      <c r="AR371" s="60"/>
      <c r="AS371" s="54"/>
    </row>
    <row r="372" spans="1:45" ht="21.25" customHeight="1" x14ac:dyDescent="0.15">
      <c r="A372" s="45">
        <f>RANK(K372,K$1:K$665)</f>
        <v>371</v>
      </c>
      <c r="B372" s="9" t="s">
        <v>497</v>
      </c>
      <c r="C372" s="46" t="s">
        <v>127</v>
      </c>
      <c r="D372" s="47" t="str">
        <f>VLOOKUP(B372,'Player Data'!A1:D667,4,FALSE)</f>
        <v>G</v>
      </c>
      <c r="E372" s="73">
        <f>VLOOKUP(B372,G!A1:D65,3,FALSE)</f>
        <v>37</v>
      </c>
      <c r="F372" s="82" t="str">
        <f>VLOOKUP(B372,'Player Data'!A1:B667,2,FALSE)</f>
        <v>ANA</v>
      </c>
      <c r="G372" s="69">
        <f>VLOOKUP(B372,'Player Data'!A1:D667,3,FALSE)</f>
        <v>24</v>
      </c>
      <c r="H372" s="67">
        <f>IFERROR(VLOOKUP(B372,ADP!A1:G665,7,FALSE)/1000000,VLOOKUP(B372,ADP!A1:G665,7,FALSE))</f>
        <v>0.8125</v>
      </c>
      <c r="I372" s="51">
        <f>IF(Settings!$E$15="POINTS",(AJ372*Settings!$B$29)+(AK372*Settings!$B$21)+(AL372*Settings!$B$22)+(AN372*Settings!$B$24)+(AO372*Settings!$B$25)+(AP372*Settings!$B$27)+(AM372*Settings!$B$23),VLOOKUP(B372,'Standard Deviations'!A1:C666,3,FALSE))</f>
        <v>230.79636114794891</v>
      </c>
      <c r="J372" s="52">
        <f>IF(D372="G",I372/AJ372,I372/Q372)</f>
        <v>6.4110100318874697</v>
      </c>
      <c r="K372" s="51">
        <f>VLOOKUP(B372,G!A1:F65,6,FALSE)</f>
        <v>-179.86338162147126</v>
      </c>
      <c r="L372" s="53">
        <f>IFERROR(K372/H372,"N/A")</f>
        <v>-221.37031584181079</v>
      </c>
      <c r="M372" s="83" t="str">
        <f>IF(Settings!$E$9="YAHOO",VLOOKUP(B372,ADP!A1:E665,2,FALSE),IF(Settings!$E$9="ESPN",VLOOKUP(B372,ADP!A1:E665,3,FALSE),IF(Settings!$E$9="FANTRAX",VLOOKUP(B372,ADP!A1:E665,4,FALSE),VLOOKUP(B372,ADP!A1:E665,5,FALSE))))</f>
        <v>—</v>
      </c>
      <c r="N372" s="83" t="str">
        <f>IFERROR(M372-A372,"N/A")</f>
        <v>N/A</v>
      </c>
      <c r="O372" s="54"/>
      <c r="P372" s="55" t="str">
        <f>IF(Settings!$E$27="ON",VLOOKUP(B372,ADP!A1:H665,8,FALSE)," ")</f>
        <v xml:space="preserve"> </v>
      </c>
      <c r="Q372" s="56"/>
      <c r="R372" s="79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8"/>
      <c r="AI372" s="54"/>
      <c r="AJ372" s="64">
        <f>VLOOKUP(B372,'Player Data'!$A1:$AE667,24,FALSE)</f>
        <v>36</v>
      </c>
      <c r="AK372" s="56">
        <f>VLOOKUP(B372,'Player Data'!$A1:$AE667,25,FALSE)*$AJ372*IFERROR((VLOOKUP(P372,Settings!$E$28:$F$33,2,FALSE)+1),1)</f>
        <v>13.97670989115492</v>
      </c>
      <c r="AL372" s="56">
        <f>AJ372-AK372-AM372</f>
        <v>17.523290108845082</v>
      </c>
      <c r="AM372" s="56">
        <f>VLOOKUP(B372,'Player Data'!$A1:$AE667,27,FALSE)*$AJ372</f>
        <v>4.5</v>
      </c>
      <c r="AN372" s="56">
        <f>VLOOKUP(B372,'Player Data'!$A1:$AE667,28,FALSE)*AJ372</f>
        <v>1.3054716578038212</v>
      </c>
      <c r="AO372" s="56">
        <f>VLOOKUP(B372,'Player Data'!$A1:$AE667,29,FALSE)*$AJ372*IFERROR((VLOOKUP(P372,Settings!$E$28:$F$33,2,FALSE)/4)+1,1)</f>
        <v>1039.4470350718921</v>
      </c>
      <c r="AP372" s="56">
        <f>VLOOKUP(B372,'Player Data'!$A1:$AE667,31,FALSE)*$AJ372*(IFERROR(1-(VLOOKUP(P372,Settings!$E$28:$F$33,2,FALSE)/4),1))</f>
        <v>110.7209192397552</v>
      </c>
      <c r="AQ372" s="59">
        <f>1-(AP372/(AO372+AP372))</f>
        <v>0.90373499902801635</v>
      </c>
      <c r="AR372" s="60">
        <f>AP372/AJ372</f>
        <v>3.0755810899932001</v>
      </c>
      <c r="AS372" s="54"/>
    </row>
    <row r="373" spans="1:45" ht="21.25" customHeight="1" x14ac:dyDescent="0.15">
      <c r="A373" s="45">
        <f>RANK(K373,K$1:K$665)</f>
        <v>372</v>
      </c>
      <c r="B373" s="9" t="s">
        <v>498</v>
      </c>
      <c r="C373" s="46" t="s">
        <v>127</v>
      </c>
      <c r="D373" s="47" t="str">
        <f>VLOOKUP(B373,'Player Data'!A1:D667,4,FALSE)</f>
        <v>D</v>
      </c>
      <c r="E373" s="66">
        <f>VLOOKUP(B373,D!A1:C213,3,FALSE)</f>
        <v>132</v>
      </c>
      <c r="F373" s="82" t="str">
        <f>VLOOKUP(B373,'Player Data'!A1:B667,2,FALSE)</f>
        <v>ANA</v>
      </c>
      <c r="G373" s="69">
        <f>VLOOKUP(B373,'Player Data'!A1:D667,3,FALSE)</f>
        <v>23</v>
      </c>
      <c r="H373" s="50">
        <f>IFERROR(VLOOKUP(B373,ADP!A1:G665,7,FALSE)/1000000,VLOOKUP(B373,ADP!A1:G665,7,FALSE))</f>
        <v>0.92500000000000004</v>
      </c>
      <c r="I373" s="51">
        <f>IF(Settings!$E$15="POINTS",((R373*Q373)*Settings!$B$12)+(S373*Settings!$B$2)+(T373*Settings!$B$3)+(U373*Settings!$B$4)+(V373*Settings!$B$5)+(X373*Settings!$B$9)+(AA373*Settings!$B$6)+(W373*Settings!$B$8)+(AB373*Settings!$B$7)+(AC373*Settings!$B$14)+(AD373*Settings!$B$15)+(AE373*Settings!$B$16)+(AF373*Settings!$B$17)+(AG373*Settings!$B$18)+(U373*Settings!$B$13)+(Y373*Settings!$B$10)+(Z373*Settings!$B$11),VLOOKUP(B373,'Standard Deviations'!A1:C666,3,FALSE))</f>
        <v>155.61436811630131</v>
      </c>
      <c r="J373" s="52">
        <f>IF(D373="G",I373/AJ373,I373/Q373)</f>
        <v>2.0088345461344002</v>
      </c>
      <c r="K373" s="51">
        <f>VLOOKUP(B373,D!A1:F213,6,FALSE)</f>
        <v>-180.6197569292936</v>
      </c>
      <c r="L373" s="53">
        <f>IFERROR(K373/H373,"N/A")</f>
        <v>-195.2646020857228</v>
      </c>
      <c r="M373" s="83" t="str">
        <f>IF(Settings!$E$9="YAHOO",VLOOKUP(B373,ADP!A1:E665,2,FALSE),IF(Settings!$E$9="ESPN",VLOOKUP(B373,ADP!A1:E665,3,FALSE),IF(Settings!$E$9="FANTRAX",VLOOKUP(B373,ADP!A1:E665,4,FALSE),VLOOKUP(B373,ADP!A1:E665,5,FALSE))))</f>
        <v>—</v>
      </c>
      <c r="N373" s="83" t="str">
        <f>IFERROR(M373-A373,"N/A")</f>
        <v>N/A</v>
      </c>
      <c r="O373" s="54"/>
      <c r="P373" s="55" t="str">
        <f>IF(Settings!$E$27="ON",VLOOKUP(B373,ADP!A1:H665,8,FALSE)," ")</f>
        <v xml:space="preserve"> </v>
      </c>
      <c r="Q373" s="56">
        <f>IF(Settings!$E$12="YES",VLOOKUP(B373,'Player Data'!A1:E667,5,FALSE),82)</f>
        <v>77.465000000000003</v>
      </c>
      <c r="R373" s="54">
        <f>VLOOKUP(B373,'Player Data'!$A1:$AE667,6,FALSE)</f>
        <v>18.470452955143699</v>
      </c>
      <c r="S373" s="56">
        <f>VLOOKUP(B373,'Player Data'!$A1:$AE667,7,FALSE)*$Q373*IFERROR((VLOOKUP(P373,Settings!$E$28:$F$33,2,FALSE)+1),1)</f>
        <v>2.9431980907291089</v>
      </c>
      <c r="T373" s="56">
        <f>VLOOKUP(B373,'Player Data'!$A1:$AE667,8,FALSE)*$Q373*IFERROR((VLOOKUP(P373,Settings!$E$28:$F$33,2,FALSE)+1),1)</f>
        <v>15.61946162077481</v>
      </c>
      <c r="U373" s="56">
        <f>SUM(S373:T373)</f>
        <v>18.562659711503919</v>
      </c>
      <c r="V373" s="56">
        <f>VLOOKUP(B373,'Player Data'!$A1:$AE667,10,FALSE)*$Q373*IFERROR(((VLOOKUP(P373,Settings!$E$28:$F$33,2,FALSE)/2)+1),1)</f>
        <v>65.497841440924589</v>
      </c>
      <c r="W373" s="56">
        <f>VLOOKUP(B373,'Player Data'!$A1:$AE667,11,FALSE)*$Q373*IFERROR((VLOOKUP(P373,Settings!$E$28:$F$33,2,FALSE)+1),1)</f>
        <v>7.6300592507637072E-2</v>
      </c>
      <c r="X373" s="56">
        <f>VLOOKUP(B373,'Player Data'!$A1:$AE667,12,FALSE)*$Q373*IFERROR((VLOOKUP(P373,Settings!$E$28:$F$33,2,FALSE)+1),1)</f>
        <v>0.92519522656046738</v>
      </c>
      <c r="Y373" s="56">
        <f>VLOOKUP(B373,'Player Data'!$A1:$AE667,13,FALSE)*$Q373</f>
        <v>4.5943755242976718E-2</v>
      </c>
      <c r="Z373" s="56">
        <f>VLOOKUP(B373,'Player Data'!$A1:$AE667,14,FALSE)*$Q373</f>
        <v>0.19518899354682923</v>
      </c>
      <c r="AA373" s="56">
        <f>VLOOKUP(B373,'Player Data'!$A1:$AE667,15,FALSE)*$Q373</f>
        <v>132.1141680824399</v>
      </c>
      <c r="AB373" s="56">
        <f>VLOOKUP(B373,'Player Data'!$A1:$AE667,16,FALSE)*$Q373</f>
        <v>73.198592991416447</v>
      </c>
      <c r="AC373" s="56">
        <f>VLOOKUP(B373,'Player Data'!$A1:$AE667,17,FALSE)*$Q373*IFERROR((VLOOKUP(P373,Settings!$E$28:$F$33,2,FALSE)+1),1)</f>
        <v>-7.804073436444753</v>
      </c>
      <c r="AD373" s="56">
        <f>VLOOKUP(B373,'Player Data'!$A1:$AE667,18,FALSE)*$Q373</f>
        <v>28.461761204797639</v>
      </c>
      <c r="AE373" s="56">
        <f>VLOOKUP(B373,'Player Data'!$A1:$AE667,19,FALSE)*$Q373*IFERROR((VLOOKUP(P373,Settings!$E$28:$F$33,2,FALSE)+1),1)</f>
        <v>0.34305784304464221</v>
      </c>
      <c r="AF373" s="56">
        <f>VLOOKUP(B373,'Player Data'!$A1:$AE667,20,FALSE)*$Q373</f>
        <v>0</v>
      </c>
      <c r="AG373" s="56">
        <f>VLOOKUP(B373,'Player Data'!$A1:$AE667,21,FALSE)*$Q373</f>
        <v>0</v>
      </c>
      <c r="AH373" s="58">
        <f>VLOOKUP(B373,'Player Data'!$A1:$AE667,22,FALSE)</f>
        <v>0</v>
      </c>
      <c r="AI373" s="54"/>
      <c r="AJ373" s="56"/>
      <c r="AK373" s="56"/>
      <c r="AL373" s="56"/>
      <c r="AM373" s="56"/>
      <c r="AN373" s="56"/>
      <c r="AO373" s="56"/>
      <c r="AP373" s="56"/>
      <c r="AQ373" s="59"/>
      <c r="AR373" s="60"/>
      <c r="AS373" s="54"/>
    </row>
    <row r="374" spans="1:45" ht="21.25" customHeight="1" x14ac:dyDescent="0.15">
      <c r="A374" s="45">
        <f>RANK(K374,K$1:K$665)</f>
        <v>373</v>
      </c>
      <c r="B374" s="9" t="s">
        <v>499</v>
      </c>
      <c r="C374" s="46" t="s">
        <v>127</v>
      </c>
      <c r="D374" s="47" t="str">
        <f>VLOOKUP(B374,'Player Data'!A1:D667,4,FALSE)</f>
        <v>D</v>
      </c>
      <c r="E374" s="66">
        <f>VLOOKUP(B374,D!A1:C213,3,FALSE)</f>
        <v>133</v>
      </c>
      <c r="F374" s="71" t="str">
        <f>VLOOKUP(B374,'Player Data'!A1:B667,2,FALSE)</f>
        <v>VAN</v>
      </c>
      <c r="G374" s="10">
        <f>VLOOKUP(B374,'Player Data'!A1:D667,3,FALSE)</f>
        <v>30</v>
      </c>
      <c r="H374" s="50">
        <f>IFERROR(VLOOKUP(B374,ADP!A1:G665,7,FALSE)/1000000,VLOOKUP(B374,ADP!A1:G665,7,FALSE))</f>
        <v>3.25</v>
      </c>
      <c r="I374" s="51">
        <f>IF(Settings!$E$15="POINTS",((R374*Q374)*Settings!$B$12)+(S374*Settings!$B$2)+(T374*Settings!$B$3)+(U374*Settings!$B$4)+(V374*Settings!$B$5)+(X374*Settings!$B$9)+(AA374*Settings!$B$6)+(W374*Settings!$B$8)+(AB374*Settings!$B$7)+(AC374*Settings!$B$14)+(AD374*Settings!$B$15)+(AE374*Settings!$B$16)+(AF374*Settings!$B$17)+(AG374*Settings!$B$18)+(U374*Settings!$B$13)+(Y374*Settings!$B$10)+(Z374*Settings!$B$11),VLOOKUP(B374,'Standard Deviations'!A1:C666,3,FALSE))</f>
        <v>155.35261196991397</v>
      </c>
      <c r="J374" s="52">
        <f>IF(D374="G",I374/AJ374,I374/Q374)</f>
        <v>2.1509534367589338</v>
      </c>
      <c r="K374" s="51">
        <f>VLOOKUP(B374,D!A1:F213,6,FALSE)</f>
        <v>-180.88151307568094</v>
      </c>
      <c r="L374" s="53">
        <f>IFERROR(K374/H374,"N/A")</f>
        <v>-55.655850177132599</v>
      </c>
      <c r="M374" s="83" t="str">
        <f>IF(Settings!$E$9="YAHOO",VLOOKUP(B374,ADP!A1:E665,2,FALSE),IF(Settings!$E$9="ESPN",VLOOKUP(B374,ADP!A1:E665,3,FALSE),IF(Settings!$E$9="FANTRAX",VLOOKUP(B374,ADP!A1:E665,4,FALSE),VLOOKUP(B374,ADP!A1:E665,5,FALSE))))</f>
        <v>—</v>
      </c>
      <c r="N374" s="83" t="str">
        <f>IFERROR(M374-A374,"N/A")</f>
        <v>N/A</v>
      </c>
      <c r="O374" s="54"/>
      <c r="P374" s="55" t="str">
        <f>IF(Settings!$E$27="ON",VLOOKUP(B374,ADP!A1:H665,8,FALSE)," ")</f>
        <v xml:space="preserve"> </v>
      </c>
      <c r="Q374" s="56">
        <f>IF(Settings!$E$12="YES",VLOOKUP(B374,'Player Data'!A1:E667,5,FALSE),82)</f>
        <v>72.224999999999994</v>
      </c>
      <c r="R374" s="75">
        <f>VLOOKUP(B374,'Player Data'!$A1:$AE667,6,FALSE)</f>
        <v>19.374827858825402</v>
      </c>
      <c r="S374" s="56">
        <f>VLOOKUP(B374,'Player Data'!$A1:$AE667,7,FALSE)*$Q374*IFERROR((VLOOKUP(P374,Settings!$E$28:$F$33,2,FALSE)+1),1)</f>
        <v>5.3934563509270914</v>
      </c>
      <c r="T374" s="56">
        <f>VLOOKUP(B374,'Player Data'!$A1:$AE667,8,FALSE)*$Q374*IFERROR((VLOOKUP(P374,Settings!$E$28:$F$33,2,FALSE)+1),1)</f>
        <v>12.528243262678501</v>
      </c>
      <c r="U374" s="56">
        <f>SUM(S374:T374)</f>
        <v>17.921699613605593</v>
      </c>
      <c r="V374" s="56">
        <f>VLOOKUP(B374,'Player Data'!$A1:$AE667,10,FALSE)*$Q374*IFERROR(((VLOOKUP(P374,Settings!$E$28:$F$33,2,FALSE)/2)+1),1)</f>
        <v>83.907262612102485</v>
      </c>
      <c r="W374" s="56">
        <f>VLOOKUP(B374,'Player Data'!$A1:$AE667,11,FALSE)*$Q374*IFERROR((VLOOKUP(P374,Settings!$E$28:$F$33,2,FALSE)+1),1)</f>
        <v>0.23842154012196839</v>
      </c>
      <c r="X374" s="56">
        <f>VLOOKUP(B374,'Player Data'!$A1:$AE667,12,FALSE)*$Q374*IFERROR((VLOOKUP(P374,Settings!$E$28:$F$33,2,FALSE)+1),1)</f>
        <v>0.9328279060534973</v>
      </c>
      <c r="Y374" s="56">
        <f>VLOOKUP(B374,'Player Data'!$A1:$AE667,13,FALSE)*$Q374</f>
        <v>0.20600483177525908</v>
      </c>
      <c r="Z374" s="56">
        <f>VLOOKUP(B374,'Player Data'!$A1:$AE667,14,FALSE)*$Q374</f>
        <v>0.50240858353912177</v>
      </c>
      <c r="AA374" s="56">
        <f>VLOOKUP(B374,'Player Data'!$A1:$AE667,15,FALSE)*$Q374</f>
        <v>116.39729066690668</v>
      </c>
      <c r="AB374" s="56">
        <f>VLOOKUP(B374,'Player Data'!$A1:$AE667,16,FALSE)*$Q374</f>
        <v>126.74590826969801</v>
      </c>
      <c r="AC374" s="56">
        <f>VLOOKUP(B374,'Player Data'!$A1:$AE667,17,FALSE)*$Q374*IFERROR((VLOOKUP(P374,Settings!$E$28:$F$33,2,FALSE)+1),1)</f>
        <v>4.359826779539806</v>
      </c>
      <c r="AD374" s="56">
        <f>VLOOKUP(B374,'Player Data'!$A1:$AE667,18,FALSE)*$Q374</f>
        <v>45.767770878167106</v>
      </c>
      <c r="AE374" s="56">
        <f>VLOOKUP(B374,'Player Data'!$A1:$AE667,19,FALSE)*$Q374*IFERROR((VLOOKUP(P374,Settings!$E$28:$F$33,2,FALSE)+1),1)</f>
        <v>0.92106321210610065</v>
      </c>
      <c r="AF374" s="56">
        <f>VLOOKUP(B374,'Player Data'!$A1:$AE667,20,FALSE)*$Q374</f>
        <v>0</v>
      </c>
      <c r="AG374" s="56">
        <f>VLOOKUP(B374,'Player Data'!$A1:$AE667,21,FALSE)*$Q374</f>
        <v>0</v>
      </c>
      <c r="AH374" s="58">
        <f>VLOOKUP(B374,'Player Data'!$A1:$AE667,22,FALSE)</f>
        <v>0</v>
      </c>
      <c r="AI374" s="54"/>
      <c r="AJ374" s="56"/>
      <c r="AK374" s="56"/>
      <c r="AL374" s="56"/>
      <c r="AM374" s="56"/>
      <c r="AN374" s="56"/>
      <c r="AO374" s="56"/>
      <c r="AP374" s="56"/>
      <c r="AQ374" s="59"/>
      <c r="AR374" s="60"/>
      <c r="AS374" s="54"/>
    </row>
    <row r="375" spans="1:45" ht="21.25" customHeight="1" x14ac:dyDescent="0.15">
      <c r="A375" s="45">
        <f>RANK(K375,K$1:K$665)</f>
        <v>374</v>
      </c>
      <c r="B375" s="9" t="s">
        <v>500</v>
      </c>
      <c r="C375" s="46" t="s">
        <v>127</v>
      </c>
      <c r="D375" s="47" t="str">
        <f>VLOOKUP(B375,'Player Data'!A1:D667,4,FALSE)</f>
        <v>RW</v>
      </c>
      <c r="E375" s="61">
        <f>VLOOKUP(B375,RW!A1:F136,3,FALSE)</f>
        <v>87</v>
      </c>
      <c r="F375" s="77" t="str">
        <f>VLOOKUP(B375,'Player Data'!A1:B667,2,FALSE)</f>
        <v>CBJ</v>
      </c>
      <c r="G375" s="69">
        <f>VLOOKUP(B375,'Player Data'!A1:D667,3,FALSE)</f>
        <v>23</v>
      </c>
      <c r="H375" s="50">
        <f>IFERROR(VLOOKUP(B375,ADP!A1:G665,7,FALSE)/1000000,VLOOKUP(B375,ADP!A1:G665,7,FALSE))</f>
        <v>2.1</v>
      </c>
      <c r="I375" s="51">
        <f>IF(Settings!$E$15="POINTS",((R375*Q375)*Settings!$B$12)+(S375*Settings!$B$2)+(T375*Settings!$B$3)+(U375*Settings!$B$4)+(V375*Settings!$B$5)+(X375*Settings!$B$9)+(AA375*Settings!$B$6)+(W375*Settings!$B$8)+(AB375*Settings!$B$7)+(AC375*Settings!$B$14)+(AD375*Settings!$B$15)+(AE375*Settings!$B$16)+(AF375*Settings!$B$17)+(AG375*Settings!$B$18)+(Y375*Settings!$B$10)+(Z375*Settings!$B$11),VLOOKUP(B375,'Standard Deviations'!A1:C666,3,FALSE))</f>
        <v>187.94516285727246</v>
      </c>
      <c r="J375" s="52">
        <f>IF(D375="G",I375/AJ375,I375/Q375)</f>
        <v>2.7748150866610928</v>
      </c>
      <c r="K375" s="51">
        <f>IF(Settings!$E$18="C/LW/RW",VLOOKUP(B375,RW!A1:F136,6,FALSE),VLOOKUP(B375,F!A1:F392,6,FALSE))</f>
        <v>-180.90256024901993</v>
      </c>
      <c r="L375" s="53">
        <f>IFERROR(K375/H375,"N/A")</f>
        <v>-86.144076309057098</v>
      </c>
      <c r="M375" s="83" t="str">
        <f>IF(Settings!$E$9="YAHOO",VLOOKUP(B375,ADP!A1:E665,2,FALSE),IF(Settings!$E$9="ESPN",VLOOKUP(B375,ADP!A1:E665,3,FALSE),IF(Settings!$E$9="FANTRAX",VLOOKUP(B375,ADP!A1:E665,4,FALSE),VLOOKUP(B375,ADP!A1:E665,5,FALSE))))</f>
        <v>—</v>
      </c>
      <c r="N375" s="83" t="str">
        <f>IFERROR(M375-A375,"N/A")</f>
        <v>N/A</v>
      </c>
      <c r="O375" s="54"/>
      <c r="P375" s="55" t="str">
        <f>IF(Settings!$E$27="ON",VLOOKUP(B375,ADP!A1:H665,8,FALSE)," ")</f>
        <v xml:space="preserve"> </v>
      </c>
      <c r="Q375" s="56">
        <f>IF(Settings!$E$12="YES",VLOOKUP(B375,'Player Data'!A1:E667,5,FALSE),82)</f>
        <v>67.732500000000002</v>
      </c>
      <c r="R375" s="54">
        <f>VLOOKUP(B375,'Player Data'!$A1:$AE667,6,FALSE)</f>
        <v>14.759752232643599</v>
      </c>
      <c r="S375" s="56">
        <f>VLOOKUP(B375,'Player Data'!$A1:$AE667,7,FALSE)*$Q375*IFERROR((VLOOKUP(P375,Settings!$E$28:$F$33,2,FALSE)+1),1)</f>
        <v>16.049644712858267</v>
      </c>
      <c r="T375" s="56">
        <f>VLOOKUP(B375,'Player Data'!$A1:$AE667,8,FALSE)*$Q375*IFERROR((VLOOKUP(P375,Settings!$E$28:$F$33,2,FALSE)+1),1)</f>
        <v>17.789799515852238</v>
      </c>
      <c r="U375" s="56">
        <f>SUM(S375:T375)</f>
        <v>33.839444228710505</v>
      </c>
      <c r="V375" s="56">
        <f>VLOOKUP(B375,'Player Data'!$A1:$AE667,10,FALSE)*$Q375*IFERROR(((VLOOKUP(P375,Settings!$E$28:$F$33,2,FALSE)/2)+1),1)</f>
        <v>129.96042268837974</v>
      </c>
      <c r="W375" s="56">
        <f>VLOOKUP(B375,'Player Data'!$A1:$AE667,11,FALSE)*$Q375*IFERROR((VLOOKUP(P375,Settings!$E$28:$F$33,2,FALSE)+1),1)</f>
        <v>1.6486913892408948</v>
      </c>
      <c r="X375" s="56">
        <f>VLOOKUP(B375,'Player Data'!$A1:$AE667,12,FALSE)*$Q375*IFERROR((VLOOKUP(P375,Settings!$E$28:$F$33,2,FALSE)+1),1)</f>
        <v>3.8087348815570077</v>
      </c>
      <c r="Y375" s="56">
        <f>VLOOKUP(B375,'Player Data'!$A1:$AE667,13,FALSE)*$Q375</f>
        <v>0.12220207590340358</v>
      </c>
      <c r="Z375" s="56">
        <f>VLOOKUP(B375,'Player Data'!$A1:$AE667,14,FALSE)*$Q375</f>
        <v>0.20672941856066687</v>
      </c>
      <c r="AA375" s="56">
        <f>VLOOKUP(B375,'Player Data'!$A1:$AE667,15,FALSE)*$Q375</f>
        <v>34.862309053666827</v>
      </c>
      <c r="AB375" s="56">
        <f>VLOOKUP(B375,'Player Data'!$A1:$AE667,16,FALSE)*$Q375</f>
        <v>61.793572077739618</v>
      </c>
      <c r="AC375" s="56">
        <f>VLOOKUP(B375,'Player Data'!$A1:$AE667,17,FALSE)*$Q375*IFERROR((VLOOKUP(P375,Settings!$E$28:$F$33,2,FALSE)+1),1)</f>
        <v>-7.3890120775848596</v>
      </c>
      <c r="AD375" s="56">
        <f>VLOOKUP(B375,'Player Data'!$A1:$AE667,18,FALSE)*$Q375</f>
        <v>18.213901004112202</v>
      </c>
      <c r="AE375" s="56">
        <f>VLOOKUP(B375,'Player Data'!$A1:$AE667,19,FALSE)*$Q375*IFERROR((VLOOKUP(P375,Settings!$E$28:$F$33,2,FALSE)+1),1)</f>
        <v>1.7748395143681119</v>
      </c>
      <c r="AF375" s="56">
        <f>VLOOKUP(B375,'Player Data'!$A1:$AE667,20,FALSE)*$Q375</f>
        <v>1.5972257058686965</v>
      </c>
      <c r="AG375" s="56">
        <f>VLOOKUP(B375,'Player Data'!$A1:$AE667,21,FALSE)*$Q375</f>
        <v>13.573412221949102</v>
      </c>
      <c r="AH375" s="58">
        <f>VLOOKUP(B375,'Player Data'!$A1:$AE667,22,FALSE)</f>
        <v>0.10528401728841801</v>
      </c>
      <c r="AI375" s="54"/>
      <c r="AJ375" s="56"/>
      <c r="AK375" s="56"/>
      <c r="AL375" s="56"/>
      <c r="AM375" s="56"/>
      <c r="AN375" s="56"/>
      <c r="AO375" s="56"/>
      <c r="AP375" s="56"/>
      <c r="AQ375" s="59"/>
      <c r="AR375" s="60"/>
      <c r="AS375" s="54"/>
    </row>
    <row r="376" spans="1:45" ht="21.25" customHeight="1" x14ac:dyDescent="0.15">
      <c r="A376" s="45">
        <f>RANK(K376,K$1:K$665)</f>
        <v>375</v>
      </c>
      <c r="B376" s="9" t="s">
        <v>501</v>
      </c>
      <c r="C376" s="46" t="s">
        <v>127</v>
      </c>
      <c r="D376" s="47" t="str">
        <f>VLOOKUP(B376,'Player Data'!A1:D667,4,FALSE)</f>
        <v>D</v>
      </c>
      <c r="E376" s="66">
        <f>VLOOKUP(B376,D!A1:C213,3,FALSE)</f>
        <v>134</v>
      </c>
      <c r="F376" s="65" t="str">
        <f>VLOOKUP(B376,'Player Data'!A1:B667,2,FALSE)</f>
        <v>FLA</v>
      </c>
      <c r="G376" s="63">
        <f>VLOOKUP(B376,'Player Data'!A1:D667,3,FALSE)</f>
        <v>33</v>
      </c>
      <c r="H376" s="50">
        <f>IFERROR(VLOOKUP(B376,ADP!A1:G665,7,FALSE)/1000000,VLOOKUP(B376,ADP!A1:G665,7,FALSE))</f>
        <v>1.1499999999999999</v>
      </c>
      <c r="I376" s="51">
        <f>IF(Settings!$E$15="POINTS",((R376*Q376)*Settings!$B$12)+(S376*Settings!$B$2)+(T376*Settings!$B$3)+(U376*Settings!$B$4)+(V376*Settings!$B$5)+(X376*Settings!$B$9)+(AA376*Settings!$B$6)+(W376*Settings!$B$8)+(AB376*Settings!$B$7)+(AC376*Settings!$B$14)+(AD376*Settings!$B$15)+(AE376*Settings!$B$16)+(AF376*Settings!$B$17)+(AG376*Settings!$B$18)+(U376*Settings!$B$13)+(Y376*Settings!$B$10)+(Z376*Settings!$B$11),VLOOKUP(B376,'Standard Deviations'!A1:C666,3,FALSE))</f>
        <v>154.52237664979364</v>
      </c>
      <c r="J376" s="52">
        <f>IF(D376="G",I376/AJ376,I376/Q376)</f>
        <v>1.9633731666693388</v>
      </c>
      <c r="K376" s="51">
        <f>VLOOKUP(B376,D!A1:F213,6,FALSE)</f>
        <v>-181.71174839580127</v>
      </c>
      <c r="L376" s="53">
        <f>IFERROR(K376/H376,"N/A")</f>
        <v>-158.01021599634893</v>
      </c>
      <c r="M376" s="83" t="str">
        <f>IF(Settings!$E$9="YAHOO",VLOOKUP(B376,ADP!A1:E665,2,FALSE),IF(Settings!$E$9="ESPN",VLOOKUP(B376,ADP!A1:E665,3,FALSE),IF(Settings!$E$9="FANTRAX",VLOOKUP(B376,ADP!A1:E665,4,FALSE),VLOOKUP(B376,ADP!A1:E665,5,FALSE))))</f>
        <v>—</v>
      </c>
      <c r="N376" s="83" t="str">
        <f>IFERROR(M376-A376,"N/A")</f>
        <v>N/A</v>
      </c>
      <c r="O376" s="54"/>
      <c r="P376" s="55" t="str">
        <f>IF(Settings!$E$27="ON",VLOOKUP(B376,ADP!A1:H665,8,FALSE)," ")</f>
        <v xml:space="preserve"> </v>
      </c>
      <c r="Q376" s="56">
        <f>IF(Settings!$E$12="YES",VLOOKUP(B376,'Player Data'!A1:E667,5,FALSE),82)</f>
        <v>78.702500000000001</v>
      </c>
      <c r="R376" s="75">
        <f>VLOOKUP(B376,'Player Data'!$A1:$AE667,6,FALSE)</f>
        <v>18.367598648103201</v>
      </c>
      <c r="S376" s="56">
        <f>VLOOKUP(B376,'Player Data'!$A1:$AE667,7,FALSE)*$Q376*IFERROR((VLOOKUP(P376,Settings!$E$28:$F$33,2,FALSE)+1),1)</f>
        <v>3.0492981413508891</v>
      </c>
      <c r="T376" s="56">
        <f>VLOOKUP(B376,'Player Data'!$A1:$AE667,8,FALSE)*$Q376*IFERROR((VLOOKUP(P376,Settings!$E$28:$F$33,2,FALSE)+1),1)</f>
        <v>16.587959477675852</v>
      </c>
      <c r="U376" s="56">
        <f>SUM(S376:T376)</f>
        <v>19.637257619026741</v>
      </c>
      <c r="V376" s="56">
        <f>VLOOKUP(B376,'Player Data'!$A1:$AE667,10,FALSE)*$Q376*IFERROR(((VLOOKUP(P376,Settings!$E$28:$F$33,2,FALSE)/2)+1),1)</f>
        <v>82.941678300907938</v>
      </c>
      <c r="W376" s="56">
        <f>VLOOKUP(B376,'Player Data'!$A1:$AE667,11,FALSE)*$Q376*IFERROR((VLOOKUP(P376,Settings!$E$28:$F$33,2,FALSE)+1),1)</f>
        <v>1.8267329743723977E-2</v>
      </c>
      <c r="X376" s="56">
        <f>VLOOKUP(B376,'Player Data'!$A1:$AE667,12,FALSE)*$Q376*IFERROR((VLOOKUP(P376,Settings!$E$28:$F$33,2,FALSE)+1),1)</f>
        <v>0.12785198554010055</v>
      </c>
      <c r="Y376" s="56">
        <f>VLOOKUP(B376,'Player Data'!$A1:$AE667,13,FALSE)*$Q376</f>
        <v>2.0465269980538155E-2</v>
      </c>
      <c r="Z376" s="56">
        <f>VLOOKUP(B376,'Player Data'!$A1:$AE667,14,FALSE)*$Q376</f>
        <v>0.4607116743295131</v>
      </c>
      <c r="AA376" s="56">
        <f>VLOOKUP(B376,'Player Data'!$A1:$AE667,15,FALSE)*$Q376</f>
        <v>107.10240196477969</v>
      </c>
      <c r="AB376" s="56">
        <f>VLOOKUP(B376,'Player Data'!$A1:$AE667,16,FALSE)*$Q376</f>
        <v>136.88884902398453</v>
      </c>
      <c r="AC376" s="56">
        <f>VLOOKUP(B376,'Player Data'!$A1:$AE667,17,FALSE)*$Q376*IFERROR((VLOOKUP(P376,Settings!$E$28:$F$33,2,FALSE)+1),1)</f>
        <v>0.13591271437267177</v>
      </c>
      <c r="AD376" s="56">
        <f>VLOOKUP(B376,'Player Data'!$A1:$AE667,18,FALSE)*$Q376</f>
        <v>41.315484597422589</v>
      </c>
      <c r="AE376" s="56">
        <f>VLOOKUP(B376,'Player Data'!$A1:$AE667,19,FALSE)*$Q376*IFERROR((VLOOKUP(P376,Settings!$E$28:$F$33,2,FALSE)+1),1)</f>
        <v>0.51948370832056512</v>
      </c>
      <c r="AF376" s="56">
        <f>VLOOKUP(B376,'Player Data'!$A1:$AE667,20,FALSE)*$Q376</f>
        <v>0</v>
      </c>
      <c r="AG376" s="56">
        <f>VLOOKUP(B376,'Player Data'!$A1:$AE667,21,FALSE)*$Q376</f>
        <v>0</v>
      </c>
      <c r="AH376" s="58">
        <f>VLOOKUP(B376,'Player Data'!$A1:$AE667,22,FALSE)</f>
        <v>0</v>
      </c>
      <c r="AI376" s="54"/>
      <c r="AJ376" s="64"/>
      <c r="AK376" s="56"/>
      <c r="AL376" s="56"/>
      <c r="AM376" s="56"/>
      <c r="AN376" s="56"/>
      <c r="AO376" s="56"/>
      <c r="AP376" s="56"/>
      <c r="AQ376" s="59"/>
      <c r="AR376" s="60"/>
      <c r="AS376" s="54"/>
    </row>
    <row r="377" spans="1:45" ht="21.25" customHeight="1" x14ac:dyDescent="0.15">
      <c r="A377" s="45">
        <f>RANK(K377,K$1:K$665)</f>
        <v>376</v>
      </c>
      <c r="B377" s="9" t="s">
        <v>502</v>
      </c>
      <c r="C377" s="46" t="s">
        <v>127</v>
      </c>
      <c r="D377" s="47" t="str">
        <f>VLOOKUP(B377,'Player Data'!A1:D667,4,FALSE)</f>
        <v>LW</v>
      </c>
      <c r="E377" s="70">
        <f>VLOOKUP(B377,LW!A1:C152,3,FALSE)</f>
        <v>87</v>
      </c>
      <c r="F377" s="71" t="str">
        <f>VLOOKUP(B377,'Player Data'!A1:B667,2,FALSE)</f>
        <v>VAN</v>
      </c>
      <c r="G377" s="10">
        <f>VLOOKUP(B377,'Player Data'!A1:D667,3,FALSE)</f>
        <v>29</v>
      </c>
      <c r="H377" s="50">
        <f>IFERROR(VLOOKUP(B377,ADP!A1:G665,7,FALSE)/1000000,VLOOKUP(B377,ADP!A1:G665,7,FALSE))</f>
        <v>2.25</v>
      </c>
      <c r="I377" s="51">
        <f>IF(Settings!$E$15="POINTS",((R377*Q377)*Settings!$B$12)+(S377*Settings!$B$2)+(T377*Settings!$B$3)+(U377*Settings!$B$4)+(V377*Settings!$B$5)+(X377*Settings!$B$9)+(AA377*Settings!$B$6)+(W377*Settings!$B$8)+(AB377*Settings!$B$7)+(AC377*Settings!$B$14)+(AD377*Settings!$B$15)+(AE377*Settings!$B$16)+(AF377*Settings!$B$17)+(AG377*Settings!$B$18)+(Y377*Settings!$B$10)+(Z377*Settings!$B$11),VLOOKUP(B377,'Standard Deviations'!A1:C666,3,FALSE))</f>
        <v>198.73479093968027</v>
      </c>
      <c r="J377" s="52">
        <f>IF(D377="G",I377/AJ377,I377/Q377)</f>
        <v>2.5586248793289808</v>
      </c>
      <c r="K377" s="51">
        <f>IF(Settings!$E$18="C/LW/RW",VLOOKUP(B377,LW!A1:F152,6,FALSE),VLOOKUP(B377,F!A1:F392,6,FALSE))</f>
        <v>-182.32672136281948</v>
      </c>
      <c r="L377" s="53">
        <f>IFERROR(K377/H377,"N/A")</f>
        <v>-81.034098383475325</v>
      </c>
      <c r="M377" s="83" t="str">
        <f>IF(Settings!$E$9="YAHOO",VLOOKUP(B377,ADP!A1:E665,2,FALSE),IF(Settings!$E$9="ESPN",VLOOKUP(B377,ADP!A1:E665,3,FALSE),IF(Settings!$E$9="FANTRAX",VLOOKUP(B377,ADP!A1:E665,4,FALSE),VLOOKUP(B377,ADP!A1:E665,5,FALSE))))</f>
        <v>—</v>
      </c>
      <c r="N377" s="83" t="str">
        <f>IFERROR(M377-A377,"N/A")</f>
        <v>N/A</v>
      </c>
      <c r="O377" s="54"/>
      <c r="P377" s="55" t="str">
        <f>IF(Settings!$E$27="ON",VLOOKUP(B377,ADP!A1:H665,8,FALSE)," ")</f>
        <v xml:space="preserve"> </v>
      </c>
      <c r="Q377" s="56">
        <f>IF(Settings!$E$12="YES",VLOOKUP(B377,'Player Data'!A1:E667,5,FALSE),82)</f>
        <v>77.672499999999999</v>
      </c>
      <c r="R377" s="54">
        <f>VLOOKUP(B377,'Player Data'!$A1:$AE667,6,FALSE)</f>
        <v>14.2847206261425</v>
      </c>
      <c r="S377" s="56">
        <f>VLOOKUP(B377,'Player Data'!$A1:$AE667,7,FALSE)*$Q377*IFERROR((VLOOKUP(P377,Settings!$E$28:$F$33,2,FALSE)+1),1)</f>
        <v>16.083630470369712</v>
      </c>
      <c r="T377" s="56">
        <f>VLOOKUP(B377,'Player Data'!$A1:$AE667,8,FALSE)*$Q377*IFERROR((VLOOKUP(P377,Settings!$E$28:$F$33,2,FALSE)+1),1)</f>
        <v>20.110417364564054</v>
      </c>
      <c r="U377" s="56">
        <f>SUM(S377:T377)</f>
        <v>36.19404783493377</v>
      </c>
      <c r="V377" s="56">
        <f>VLOOKUP(B377,'Player Data'!$A1:$AE667,10,FALSE)*$Q377*IFERROR(((VLOOKUP(P377,Settings!$E$28:$F$33,2,FALSE)/2)+1),1)</f>
        <v>131.12563759362786</v>
      </c>
      <c r="W377" s="56">
        <f>VLOOKUP(B377,'Player Data'!$A1:$AE667,11,FALSE)*$Q377*IFERROR((VLOOKUP(P377,Settings!$E$28:$F$33,2,FALSE)+1),1)</f>
        <v>0.54249006046781079</v>
      </c>
      <c r="X377" s="56">
        <f>VLOOKUP(B377,'Player Data'!$A1:$AE667,12,FALSE)*$Q377*IFERROR((VLOOKUP(P377,Settings!$E$28:$F$33,2,FALSE)+1),1)</f>
        <v>0.91009698375715231</v>
      </c>
      <c r="Y377" s="56">
        <f>VLOOKUP(B377,'Player Data'!$A1:$AE667,13,FALSE)*$Q377</f>
        <v>0.78020597883176512</v>
      </c>
      <c r="Z377" s="56">
        <f>VLOOKUP(B377,'Player Data'!$A1:$AE667,14,FALSE)*$Q377</f>
        <v>0.89133678175068387</v>
      </c>
      <c r="AA377" s="56">
        <f>VLOOKUP(B377,'Player Data'!$A1:$AE667,15,FALSE)*$Q377</f>
        <v>45.576789745114425</v>
      </c>
      <c r="AB377" s="56">
        <f>VLOOKUP(B377,'Player Data'!$A1:$AE667,16,FALSE)*$Q377</f>
        <v>96.793420435485928</v>
      </c>
      <c r="AC377" s="56">
        <f>VLOOKUP(B377,'Player Data'!$A1:$AE667,17,FALSE)*$Q377*IFERROR((VLOOKUP(P377,Settings!$E$28:$F$33,2,FALSE)+1),1)</f>
        <v>2.8154478704848325</v>
      </c>
      <c r="AD377" s="56">
        <f>VLOOKUP(B377,'Player Data'!$A1:$AE667,18,FALSE)*$Q377</f>
        <v>25.200690822644589</v>
      </c>
      <c r="AE377" s="56">
        <f>VLOOKUP(B377,'Player Data'!$A1:$AE667,19,FALSE)*$Q377*IFERROR((VLOOKUP(P377,Settings!$E$28:$F$33,2,FALSE)+1),1)</f>
        <v>2.74666918196526</v>
      </c>
      <c r="AF377" s="56">
        <f>VLOOKUP(B377,'Player Data'!$A1:$AE667,20,FALSE)*$Q377</f>
        <v>7.5132100510810416</v>
      </c>
      <c r="AG377" s="56">
        <f>VLOOKUP(B377,'Player Data'!$A1:$AE667,21,FALSE)*$Q377</f>
        <v>18.27765011187584</v>
      </c>
      <c r="AH377" s="58">
        <f>VLOOKUP(B377,'Player Data'!$A1:$AE667,22,FALSE)</f>
        <v>0.29131289160615798</v>
      </c>
      <c r="AI377" s="54"/>
      <c r="AJ377" s="56"/>
      <c r="AK377" s="56"/>
      <c r="AL377" s="56"/>
      <c r="AM377" s="56"/>
      <c r="AN377" s="56"/>
      <c r="AO377" s="56"/>
      <c r="AP377" s="56"/>
      <c r="AQ377" s="59"/>
      <c r="AR377" s="60"/>
      <c r="AS377" s="54"/>
    </row>
    <row r="378" spans="1:45" ht="21.25" customHeight="1" x14ac:dyDescent="0.15">
      <c r="A378" s="45">
        <f>RANK(K378,K$1:K$665)</f>
        <v>377</v>
      </c>
      <c r="B378" s="9" t="s">
        <v>503</v>
      </c>
      <c r="C378" s="46" t="s">
        <v>127</v>
      </c>
      <c r="D378" s="47" t="str">
        <f>VLOOKUP(B378,'Player Data'!A1:D667,4,FALSE)</f>
        <v>D</v>
      </c>
      <c r="E378" s="66">
        <f>VLOOKUP(B378,D!A1:C213,3,FALSE)</f>
        <v>135</v>
      </c>
      <c r="F378" s="71" t="str">
        <f>VLOOKUP(B378,'Player Data'!A1:B667,2,FALSE)</f>
        <v>NYR</v>
      </c>
      <c r="G378" s="10">
        <f>VLOOKUP(B378,'Player Data'!A1:D667,3,FALSE)</f>
        <v>26</v>
      </c>
      <c r="H378" s="50">
        <f>IFERROR(VLOOKUP(B378,ADP!A1:G665,7,FALSE)/1000000,VLOOKUP(B378,ADP!A1:G665,7,FALSE))</f>
        <v>4.5</v>
      </c>
      <c r="I378" s="51">
        <f>IF(Settings!$E$15="POINTS",((R378*Q378)*Settings!$B$12)+(S378*Settings!$B$2)+(T378*Settings!$B$3)+(U378*Settings!$B$4)+(V378*Settings!$B$5)+(X378*Settings!$B$9)+(AA378*Settings!$B$6)+(W378*Settings!$B$8)+(AB378*Settings!$B$7)+(AC378*Settings!$B$14)+(AD378*Settings!$B$15)+(AE378*Settings!$B$16)+(AF378*Settings!$B$17)+(AG378*Settings!$B$18)+(U378*Settings!$B$13)+(Y378*Settings!$B$10)+(Z378*Settings!$B$11),VLOOKUP(B378,'Standard Deviations'!A1:C666,3,FALSE))</f>
        <v>153.87123653967973</v>
      </c>
      <c r="J378" s="52">
        <f>IF(D378="G",I378/AJ378,I378/Q378)</f>
        <v>1.9739102214769215</v>
      </c>
      <c r="K378" s="51">
        <f>VLOOKUP(B378,D!A1:F213,6,FALSE)</f>
        <v>-182.36288850591518</v>
      </c>
      <c r="L378" s="53">
        <f>IFERROR(K378/H378,"N/A")</f>
        <v>-40.525086334647817</v>
      </c>
      <c r="M378" s="83" t="str">
        <f>IF(Settings!$E$9="YAHOO",VLOOKUP(B378,ADP!A1:E665,2,FALSE),IF(Settings!$E$9="ESPN",VLOOKUP(B378,ADP!A1:E665,3,FALSE),IF(Settings!$E$9="FANTRAX",VLOOKUP(B378,ADP!A1:E665,4,FALSE),VLOOKUP(B378,ADP!A1:E665,5,FALSE))))</f>
        <v>—</v>
      </c>
      <c r="N378" s="83" t="str">
        <f>IFERROR(M378-A378,"N/A")</f>
        <v>N/A</v>
      </c>
      <c r="O378" s="54"/>
      <c r="P378" s="55" t="str">
        <f>IF(Settings!$E$27="ON",VLOOKUP(B378,ADP!A1:H665,8,FALSE)," ")</f>
        <v xml:space="preserve"> </v>
      </c>
      <c r="Q378" s="56">
        <f>IF(Settings!$E$12="YES",VLOOKUP(B378,'Player Data'!A1:E667,5,FALSE),82)</f>
        <v>77.952500000000001</v>
      </c>
      <c r="R378" s="54">
        <f>VLOOKUP(B378,'Player Data'!$A1:$AE667,6,FALSE)</f>
        <v>19.3274127760988</v>
      </c>
      <c r="S378" s="56">
        <f>VLOOKUP(B378,'Player Data'!$A1:$AE667,7,FALSE)*$Q378*IFERROR((VLOOKUP(P378,Settings!$E$28:$F$33,2,FALSE)+1),1)</f>
        <v>2.9536289083475071</v>
      </c>
      <c r="T378" s="56">
        <f>VLOOKUP(B378,'Player Data'!$A1:$AE667,8,FALSE)*$Q378*IFERROR((VLOOKUP(P378,Settings!$E$28:$F$33,2,FALSE)+1),1)</f>
        <v>15.504030187468356</v>
      </c>
      <c r="U378" s="56">
        <f>SUM(S378:T378)</f>
        <v>18.457659095815863</v>
      </c>
      <c r="V378" s="56">
        <f>VLOOKUP(B378,'Player Data'!$A1:$AE667,10,FALSE)*$Q378*IFERROR(((VLOOKUP(P378,Settings!$E$28:$F$33,2,FALSE)/2)+1),1)</f>
        <v>79.48833984041265</v>
      </c>
      <c r="W378" s="56">
        <f>VLOOKUP(B378,'Player Data'!$A1:$AE667,11,FALSE)*$Q378*IFERROR((VLOOKUP(P378,Settings!$E$28:$F$33,2,FALSE)+1),1)</f>
        <v>1.117306214270731E-2</v>
      </c>
      <c r="X378" s="56">
        <f>VLOOKUP(B378,'Player Data'!$A1:$AE667,12,FALSE)*$Q378*IFERROR((VLOOKUP(P378,Settings!$E$28:$F$33,2,FALSE)+1),1)</f>
        <v>7.1591130341467885E-2</v>
      </c>
      <c r="Y378" s="56">
        <f>VLOOKUP(B378,'Player Data'!$A1:$AE667,13,FALSE)*$Q378</f>
        <v>3.2341406159488294E-2</v>
      </c>
      <c r="Z378" s="56">
        <f>VLOOKUP(B378,'Player Data'!$A1:$AE667,14,FALSE)*$Q378</f>
        <v>0.44031574332012652</v>
      </c>
      <c r="AA378" s="56">
        <f>VLOOKUP(B378,'Player Data'!$A1:$AE667,15,FALSE)*$Q378</f>
        <v>116.48436491672845</v>
      </c>
      <c r="AB378" s="56">
        <f>VLOOKUP(B378,'Player Data'!$A1:$AE667,16,FALSE)*$Q378</f>
        <v>113.5028614752468</v>
      </c>
      <c r="AC378" s="56">
        <f>VLOOKUP(B378,'Player Data'!$A1:$AE667,17,FALSE)*$Q378*IFERROR((VLOOKUP(P378,Settings!$E$28:$F$33,2,FALSE)+1),1)</f>
        <v>3.7125868122482362</v>
      </c>
      <c r="AD378" s="56">
        <f>VLOOKUP(B378,'Player Data'!$A1:$AE667,18,FALSE)*$Q378</f>
        <v>43.281665885461251</v>
      </c>
      <c r="AE378" s="56">
        <f>VLOOKUP(B378,'Player Data'!$A1:$AE667,19,FALSE)*$Q378*IFERROR((VLOOKUP(P378,Settings!$E$28:$F$33,2,FALSE)+1),1)</f>
        <v>0.48279517154980411</v>
      </c>
      <c r="AF378" s="56">
        <f>VLOOKUP(B378,'Player Data'!$A1:$AE667,20,FALSE)*$Q378</f>
        <v>0</v>
      </c>
      <c r="AG378" s="56">
        <f>VLOOKUP(B378,'Player Data'!$A1:$AE667,21,FALSE)*$Q378</f>
        <v>0</v>
      </c>
      <c r="AH378" s="58">
        <f>VLOOKUP(B378,'Player Data'!$A1:$AE667,22,FALSE)</f>
        <v>0</v>
      </c>
      <c r="AI378" s="54"/>
      <c r="AJ378" s="56"/>
      <c r="AK378" s="56"/>
      <c r="AL378" s="56"/>
      <c r="AM378" s="56"/>
      <c r="AN378" s="56"/>
      <c r="AO378" s="56"/>
      <c r="AP378" s="56"/>
      <c r="AQ378" s="59"/>
      <c r="AR378" s="60"/>
      <c r="AS378" s="54"/>
    </row>
    <row r="379" spans="1:45" ht="21.25" customHeight="1" x14ac:dyDescent="0.15">
      <c r="A379" s="45">
        <f>RANK(K379,K$1:K$665)</f>
        <v>378</v>
      </c>
      <c r="B379" s="9" t="s">
        <v>504</v>
      </c>
      <c r="C379" s="46" t="s">
        <v>127</v>
      </c>
      <c r="D379" s="47" t="str">
        <f>VLOOKUP(B379,'Player Data'!A1:D667,4,FALSE)</f>
        <v>D</v>
      </c>
      <c r="E379" s="66">
        <f>VLOOKUP(B379,D!A1:C213,3,FALSE)</f>
        <v>136</v>
      </c>
      <c r="F379" s="65" t="str">
        <f>VLOOKUP(B379,'Player Data'!A1:B667,2,FALSE)</f>
        <v>WSH</v>
      </c>
      <c r="G379" s="69">
        <f>VLOOKUP(B379,'Player Data'!A1:D667,3,FALSE)</f>
        <v>24</v>
      </c>
      <c r="H379" s="67">
        <f>IFERROR(VLOOKUP(B379,ADP!A1:G665,7,FALSE)/1000000,VLOOKUP(B379,ADP!A1:G665,7,FALSE))</f>
        <v>2.6749999999999998</v>
      </c>
      <c r="I379" s="51">
        <f>IF(Settings!$E$15="POINTS",((R379*Q379)*Settings!$B$12)+(S379*Settings!$B$2)+(T379*Settings!$B$3)+(U379*Settings!$B$4)+(V379*Settings!$B$5)+(X379*Settings!$B$9)+(AA379*Settings!$B$6)+(W379*Settings!$B$8)+(AB379*Settings!$B$7)+(AC379*Settings!$B$14)+(AD379*Settings!$B$15)+(AE379*Settings!$B$16)+(AF379*Settings!$B$17)+(AG379*Settings!$B$18)+(U379*Settings!$B$13)+(Y379*Settings!$B$10)+(Z379*Settings!$B$11),VLOOKUP(B379,'Standard Deviations'!A1:C666,3,FALSE))</f>
        <v>153.23314676646245</v>
      </c>
      <c r="J379" s="52">
        <f>IF(D379="G",I379/AJ379,I379/Q379)</f>
        <v>1.994509085502749</v>
      </c>
      <c r="K379" s="51">
        <f>VLOOKUP(B379,D!A1:F213,6,FALSE)</f>
        <v>-183.00097827913245</v>
      </c>
      <c r="L379" s="53">
        <f>IFERROR(K379/H379,"N/A")</f>
        <v>-68.411580665096253</v>
      </c>
      <c r="M379" s="83" t="str">
        <f>IF(Settings!$E$9="YAHOO",VLOOKUP(B379,ADP!A1:E665,2,FALSE),IF(Settings!$E$9="ESPN",VLOOKUP(B379,ADP!A1:E665,3,FALSE),IF(Settings!$E$9="FANTRAX",VLOOKUP(B379,ADP!A1:E665,4,FALSE),VLOOKUP(B379,ADP!A1:E665,5,FALSE))))</f>
        <v>—</v>
      </c>
      <c r="N379" s="83" t="str">
        <f>IFERROR(M379-A379,"N/A")</f>
        <v>N/A</v>
      </c>
      <c r="O379" s="54"/>
      <c r="P379" s="55" t="str">
        <f>IF(Settings!$E$27="ON",VLOOKUP(B379,ADP!A1:H665,8,FALSE)," ")</f>
        <v xml:space="preserve"> </v>
      </c>
      <c r="Q379" s="56">
        <f>IF(Settings!$E$12="YES",VLOOKUP(B379,'Player Data'!A1:E667,5,FALSE),82)</f>
        <v>76.827500000000001</v>
      </c>
      <c r="R379" s="81">
        <f>VLOOKUP(B379,'Player Data'!$A1:$AE667,6,FALSE)</f>
        <v>18.116344270490199</v>
      </c>
      <c r="S379" s="56">
        <f>VLOOKUP(B379,'Player Data'!$A1:$AE667,7,FALSE)*$Q379*IFERROR((VLOOKUP(P379,Settings!$E$28:$F$33,2,FALSE)+1),1)</f>
        <v>4.9491871502350708</v>
      </c>
      <c r="T379" s="56">
        <f>VLOOKUP(B379,'Player Data'!$A1:$AE667,8,FALSE)*$Q379*IFERROR((VLOOKUP(P379,Settings!$E$28:$F$33,2,FALSE)+1),1)</f>
        <v>12.510562680293752</v>
      </c>
      <c r="U379" s="56">
        <f>SUM(S379:T379)</f>
        <v>17.459749830528821</v>
      </c>
      <c r="V379" s="56">
        <f>VLOOKUP(B379,'Player Data'!$A1:$AE667,10,FALSE)*$Q379*IFERROR(((VLOOKUP(P379,Settings!$E$28:$F$33,2,FALSE)/2)+1),1)</f>
        <v>76.234568501113941</v>
      </c>
      <c r="W379" s="56">
        <f>VLOOKUP(B379,'Player Data'!$A1:$AE667,11,FALSE)*$Q379*IFERROR((VLOOKUP(P379,Settings!$E$28:$F$33,2,FALSE)+1),1)</f>
        <v>2.0030296886086093E-2</v>
      </c>
      <c r="X379" s="56">
        <f>VLOOKUP(B379,'Player Data'!$A1:$AE667,12,FALSE)*$Q379*IFERROR((VLOOKUP(P379,Settings!$E$28:$F$33,2,FALSE)+1),1)</f>
        <v>0.12875379439921175</v>
      </c>
      <c r="Y379" s="56">
        <f>VLOOKUP(B379,'Player Data'!$A1:$AE667,13,FALSE)*$Q379</f>
        <v>0.22313332163641575</v>
      </c>
      <c r="Z379" s="56">
        <f>VLOOKUP(B379,'Player Data'!$A1:$AE667,14,FALSE)*$Q379</f>
        <v>1.0876801974841932</v>
      </c>
      <c r="AA379" s="56">
        <f>VLOOKUP(B379,'Player Data'!$A1:$AE667,15,FALSE)*$Q379</f>
        <v>123.04035806487123</v>
      </c>
      <c r="AB379" s="56">
        <f>VLOOKUP(B379,'Player Data'!$A1:$AE667,16,FALSE)*$Q379</f>
        <v>187.43884674302319</v>
      </c>
      <c r="AC379" s="56">
        <f>VLOOKUP(B379,'Player Data'!$A1:$AE667,17,FALSE)*$Q379*IFERROR((VLOOKUP(P379,Settings!$E$28:$F$33,2,FALSE)+1),1)</f>
        <v>-3.28878142438829</v>
      </c>
      <c r="AD379" s="56">
        <f>VLOOKUP(B379,'Player Data'!$A1:$AE667,18,FALSE)*$Q379</f>
        <v>28.530434212803371</v>
      </c>
      <c r="AE379" s="56">
        <f>VLOOKUP(B379,'Player Data'!$A1:$AE667,19,FALSE)*$Q379*IFERROR((VLOOKUP(P379,Settings!$E$28:$F$33,2,FALSE)+1),1)</f>
        <v>0.70235169484828075</v>
      </c>
      <c r="AF379" s="56">
        <f>VLOOKUP(B379,'Player Data'!$A1:$AE667,20,FALSE)*$Q379</f>
        <v>0</v>
      </c>
      <c r="AG379" s="56">
        <f>VLOOKUP(B379,'Player Data'!$A1:$AE667,21,FALSE)*$Q379</f>
        <v>0</v>
      </c>
      <c r="AH379" s="58">
        <f>VLOOKUP(B379,'Player Data'!$A1:$AE667,22,FALSE)</f>
        <v>0</v>
      </c>
      <c r="AI379" s="54"/>
      <c r="AJ379" s="56"/>
      <c r="AK379" s="56"/>
      <c r="AL379" s="56"/>
      <c r="AM379" s="56"/>
      <c r="AN379" s="56"/>
      <c r="AO379" s="56"/>
      <c r="AP379" s="56"/>
      <c r="AQ379" s="59"/>
      <c r="AR379" s="60"/>
      <c r="AS379" s="54"/>
    </row>
    <row r="380" spans="1:45" ht="21.25" customHeight="1" x14ac:dyDescent="0.15">
      <c r="A380" s="45">
        <f>RANK(K380,K$1:K$665)</f>
        <v>379</v>
      </c>
      <c r="B380" s="9" t="s">
        <v>505</v>
      </c>
      <c r="C380" s="46" t="s">
        <v>127</v>
      </c>
      <c r="D380" s="47" t="str">
        <f>VLOOKUP(B380,'Player Data'!A1:D667,4,FALSE)</f>
        <v>D</v>
      </c>
      <c r="E380" s="66">
        <f>VLOOKUP(B380,D!A1:C213,3,FALSE)</f>
        <v>137</v>
      </c>
      <c r="F380" s="55" t="str">
        <f>VLOOKUP(B380,'Player Data'!A1:B667,2,FALSE)</f>
        <v>UTA</v>
      </c>
      <c r="G380" s="63">
        <f>VLOOKUP(B380,'Player Data'!A1:D667,3,FALSE)</f>
        <v>35</v>
      </c>
      <c r="H380" s="67">
        <f>IFERROR(VLOOKUP(B380,ADP!A1:G665,7,FALSE)/1000000,VLOOKUP(B380,ADP!A1:G665,7,FALSE))</f>
        <v>3.1</v>
      </c>
      <c r="I380" s="51">
        <f>IF(Settings!$E$15="POINTS",((R380*Q380)*Settings!$B$12)+(S380*Settings!$B$2)+(T380*Settings!$B$3)+(U380*Settings!$B$4)+(V380*Settings!$B$5)+(X380*Settings!$B$9)+(AA380*Settings!$B$6)+(W380*Settings!$B$8)+(AB380*Settings!$B$7)+(AC380*Settings!$B$14)+(AD380*Settings!$B$15)+(AE380*Settings!$B$16)+(AF380*Settings!$B$17)+(AG380*Settings!$B$18)+(U380*Settings!$B$13)+(Y380*Settings!$B$10)+(Z380*Settings!$B$11),VLOOKUP(B380,'Standard Deviations'!A1:C666,3,FALSE))</f>
        <v>153.13829577503799</v>
      </c>
      <c r="J380" s="52">
        <f>IF(D380="G",I380/AJ380,I380/Q380)</f>
        <v>1.9125552113780193</v>
      </c>
      <c r="K380" s="51">
        <f>VLOOKUP(B380,D!A1:F213,6,FALSE)</f>
        <v>-183.09582927055692</v>
      </c>
      <c r="L380" s="53">
        <f>IFERROR(K380/H380,"N/A")</f>
        <v>-59.063170732437712</v>
      </c>
      <c r="M380" s="83" t="str">
        <f>IF(Settings!$E$9="YAHOO",VLOOKUP(B380,ADP!A1:E665,2,FALSE),IF(Settings!$E$9="ESPN",VLOOKUP(B380,ADP!A1:E665,3,FALSE),IF(Settings!$E$9="FANTRAX",VLOOKUP(B380,ADP!A1:E665,4,FALSE),VLOOKUP(B380,ADP!A1:E665,5,FALSE))))</f>
        <v>—</v>
      </c>
      <c r="N380" s="83" t="str">
        <f>IFERROR(M380-A380,"N/A")</f>
        <v>N/A</v>
      </c>
      <c r="O380" s="54"/>
      <c r="P380" s="55" t="str">
        <f>IF(Settings!$E$27="ON",VLOOKUP(B380,ADP!A1:H665,8,FALSE)," ")</f>
        <v xml:space="preserve"> </v>
      </c>
      <c r="Q380" s="56">
        <f>IF(Settings!$E$12="YES",VLOOKUP(B380,'Player Data'!A1:E667,5,FALSE),82)</f>
        <v>80.069999999999993</v>
      </c>
      <c r="R380" s="54">
        <f>VLOOKUP(B380,'Player Data'!$A1:$AE667,6,FALSE)</f>
        <v>18.577547622913801</v>
      </c>
      <c r="S380" s="56">
        <f>VLOOKUP(B380,'Player Data'!$A1:$AE667,7,FALSE)*$Q380*IFERROR((VLOOKUP(P380,Settings!$E$28:$F$33,2,FALSE)+1),1)</f>
        <v>1.9580673166087086</v>
      </c>
      <c r="T380" s="56">
        <f>VLOOKUP(B380,'Player Data'!$A1:$AE667,8,FALSE)*$Q380*IFERROR((VLOOKUP(P380,Settings!$E$28:$F$33,2,FALSE)+1),1)</f>
        <v>12.198373002155249</v>
      </c>
      <c r="U380" s="56">
        <f>SUM(S380:T380)</f>
        <v>14.156440318763957</v>
      </c>
      <c r="V380" s="56">
        <f>VLOOKUP(B380,'Player Data'!$A1:$AE667,10,FALSE)*$Q380*IFERROR(((VLOOKUP(P380,Settings!$E$28:$F$33,2,FALSE)/2)+1),1)</f>
        <v>72.165610700724656</v>
      </c>
      <c r="W380" s="56">
        <f>VLOOKUP(B380,'Player Data'!$A1:$AE667,11,FALSE)*$Q380*IFERROR((VLOOKUP(P380,Settings!$E$28:$F$33,2,FALSE)+1),1)</f>
        <v>1.6549081804687244E-2</v>
      </c>
      <c r="X380" s="56">
        <f>VLOOKUP(B380,'Player Data'!$A1:$AE667,12,FALSE)*$Q380*IFERROR((VLOOKUP(P380,Settings!$E$28:$F$33,2,FALSE)+1),1)</f>
        <v>0.1276043838882028</v>
      </c>
      <c r="Y380" s="56">
        <f>VLOOKUP(B380,'Player Data'!$A1:$AE667,13,FALSE)*$Q380</f>
        <v>1.9481436004925738E-2</v>
      </c>
      <c r="Z380" s="56">
        <f>VLOOKUP(B380,'Player Data'!$A1:$AE667,14,FALSE)*$Q380</f>
        <v>0.23327992104186837</v>
      </c>
      <c r="AA380" s="56">
        <f>VLOOKUP(B380,'Player Data'!$A1:$AE667,15,FALSE)*$Q380</f>
        <v>148.45057032690747</v>
      </c>
      <c r="AB380" s="56">
        <f>VLOOKUP(B380,'Player Data'!$A1:$AE667,16,FALSE)*$Q380</f>
        <v>99.361510845114978</v>
      </c>
      <c r="AC380" s="56">
        <f>VLOOKUP(B380,'Player Data'!$A1:$AE667,17,FALSE)*$Q380*IFERROR((VLOOKUP(P380,Settings!$E$28:$F$33,2,FALSE)+1),1)</f>
        <v>5.7651222838991965</v>
      </c>
      <c r="AD380" s="56">
        <f>VLOOKUP(B380,'Player Data'!$A1:$AE667,18,FALSE)*$Q380</f>
        <v>61.013219094793072</v>
      </c>
      <c r="AE380" s="56">
        <f>VLOOKUP(B380,'Player Data'!$A1:$AE667,19,FALSE)*$Q380*IFERROR((VLOOKUP(P380,Settings!$E$28:$F$33,2,FALSE)+1),1)</f>
        <v>0.28652280158456656</v>
      </c>
      <c r="AF380" s="56">
        <f>VLOOKUP(B380,'Player Data'!$A1:$AE667,20,FALSE)*$Q380</f>
        <v>0</v>
      </c>
      <c r="AG380" s="56">
        <f>VLOOKUP(B380,'Player Data'!$A1:$AE667,21,FALSE)*$Q380</f>
        <v>0</v>
      </c>
      <c r="AH380" s="58">
        <f>VLOOKUP(B380,'Player Data'!$A1:$AE667,22,FALSE)</f>
        <v>0</v>
      </c>
      <c r="AI380" s="54"/>
      <c r="AJ380" s="56"/>
      <c r="AK380" s="56"/>
      <c r="AL380" s="56"/>
      <c r="AM380" s="56"/>
      <c r="AN380" s="56"/>
      <c r="AO380" s="56"/>
      <c r="AP380" s="56"/>
      <c r="AQ380" s="59"/>
      <c r="AR380" s="60"/>
      <c r="AS380" s="54"/>
    </row>
    <row r="381" spans="1:45" ht="21.25" customHeight="1" x14ac:dyDescent="0.15">
      <c r="A381" s="45">
        <f>RANK(K381,K$1:K$665)</f>
        <v>380</v>
      </c>
      <c r="B381" s="9" t="s">
        <v>506</v>
      </c>
      <c r="C381" s="46" t="s">
        <v>127</v>
      </c>
      <c r="D381" s="47" t="str">
        <f>VLOOKUP(B381,'Player Data'!A1:D667,4,FALSE)</f>
        <v>LW</v>
      </c>
      <c r="E381" s="70">
        <f>VLOOKUP(B381,LW!A1:C152,3,FALSE)</f>
        <v>88</v>
      </c>
      <c r="F381" s="55" t="str">
        <f>VLOOKUP(B381,'Player Data'!A1:B667,2,FALSE)</f>
        <v>VGK</v>
      </c>
      <c r="G381" s="69">
        <f>VLOOKUP(B381,'Player Data'!A1:D667,3,FALSE)</f>
        <v>23</v>
      </c>
      <c r="H381" s="50">
        <f>IFERROR(VLOOKUP(B381,ADP!A1:G665,7,FALSE)/1000000,VLOOKUP(B381,ADP!A1:G665,7,FALSE))</f>
        <v>1.835</v>
      </c>
      <c r="I381" s="51">
        <f>IF(Settings!$E$15="POINTS",((R381*Q381)*Settings!$B$12)+(S381*Settings!$B$2)+(T381*Settings!$B$3)+(U381*Settings!$B$4)+(V381*Settings!$B$5)+(X381*Settings!$B$9)+(AA381*Settings!$B$6)+(W381*Settings!$B$8)+(AB381*Settings!$B$7)+(AC381*Settings!$B$14)+(AD381*Settings!$B$15)+(AE381*Settings!$B$16)+(AF381*Settings!$B$17)+(AG381*Settings!$B$18)+(Y381*Settings!$B$10)+(Z381*Settings!$B$11),VLOOKUP(B381,'Standard Deviations'!A1:C666,3,FALSE))</f>
        <v>197.36666632035869</v>
      </c>
      <c r="J381" s="52">
        <f>IF(D381="G",I381/AJ381,I381/Q381)</f>
        <v>3.0537933826451913</v>
      </c>
      <c r="K381" s="51">
        <f>IF(Settings!$E$18="C/LW/RW",VLOOKUP(B381,LW!A1:F152,6,FALSE),VLOOKUP(B381,F!A1:F392,6,FALSE))</f>
        <v>-183.69484598214106</v>
      </c>
      <c r="L381" s="53">
        <f>IFERROR(K381/H381,"N/A")</f>
        <v>-100.10618309653464</v>
      </c>
      <c r="M381" s="83" t="str">
        <f>IF(Settings!$E$9="YAHOO",VLOOKUP(B381,ADP!A1:E665,2,FALSE),IF(Settings!$E$9="ESPN",VLOOKUP(B381,ADP!A1:E665,3,FALSE),IF(Settings!$E$9="FANTRAX",VLOOKUP(B381,ADP!A1:E665,4,FALSE),VLOOKUP(B381,ADP!A1:E665,5,FALSE))))</f>
        <v>—</v>
      </c>
      <c r="N381" s="83" t="str">
        <f>IFERROR(M381-A381,"N/A")</f>
        <v>N/A</v>
      </c>
      <c r="O381" s="54"/>
      <c r="P381" s="55" t="str">
        <f>IF(Settings!$E$27="ON",VLOOKUP(B381,ADP!A1:H665,8,FALSE)," ")</f>
        <v xml:space="preserve"> </v>
      </c>
      <c r="Q381" s="56">
        <f>IF(Settings!$E$12="YES",VLOOKUP(B381,'Player Data'!A1:E667,5,FALSE),82)</f>
        <v>64.63</v>
      </c>
      <c r="R381" s="75">
        <f>VLOOKUP(B381,'Player Data'!$A1:$AE667,6,FALSE)</f>
        <v>14.613187700935701</v>
      </c>
      <c r="S381" s="56">
        <f>VLOOKUP(B381,'Player Data'!$A1:$AE667,7,FALSE)*$Q381*IFERROR((VLOOKUP(P381,Settings!$E$28:$F$33,2,FALSE)+1),1)</f>
        <v>19.633490587108085</v>
      </c>
      <c r="T381" s="56">
        <f>VLOOKUP(B381,'Player Data'!$A1:$AE667,8,FALSE)*$Q381*IFERROR((VLOOKUP(P381,Settings!$E$28:$F$33,2,FALSE)+1),1)</f>
        <v>16.600127453573403</v>
      </c>
      <c r="U381" s="56">
        <f>SUM(S381:T381)</f>
        <v>36.233618040681492</v>
      </c>
      <c r="V381" s="56">
        <f>VLOOKUP(B381,'Player Data'!$A1:$AE667,10,FALSE)*$Q381*IFERROR(((VLOOKUP(P381,Settings!$E$28:$F$33,2,FALSE)/2)+1),1)</f>
        <v>139.39681796989299</v>
      </c>
      <c r="W381" s="56">
        <f>VLOOKUP(B381,'Player Data'!$A1:$AE667,11,FALSE)*$Q381*IFERROR((VLOOKUP(P381,Settings!$E$28:$F$33,2,FALSE)+1),1)</f>
        <v>0.64286752112865164</v>
      </c>
      <c r="X381" s="56">
        <f>VLOOKUP(B381,'Player Data'!$A1:$AE667,12,FALSE)*$Q381*IFERROR((VLOOKUP(P381,Settings!$E$28:$F$33,2,FALSE)+1),1)</f>
        <v>1.5146985981660868</v>
      </c>
      <c r="Y381" s="56">
        <f>VLOOKUP(B381,'Player Data'!$A1:$AE667,13,FALSE)*$Q381</f>
        <v>2.5742263844164169E-3</v>
      </c>
      <c r="Z381" s="56">
        <f>VLOOKUP(B381,'Player Data'!$A1:$AE667,14,FALSE)*$Q381</f>
        <v>4.3654389460411717E-3</v>
      </c>
      <c r="AA381" s="56">
        <f>VLOOKUP(B381,'Player Data'!$A1:$AE667,15,FALSE)*$Q381</f>
        <v>34.896678352511188</v>
      </c>
      <c r="AB381" s="56">
        <f>VLOOKUP(B381,'Player Data'!$A1:$AE667,16,FALSE)*$Q381</f>
        <v>36.206877141806444</v>
      </c>
      <c r="AC381" s="56">
        <f>VLOOKUP(B381,'Player Data'!$A1:$AE667,17,FALSE)*$Q381*IFERROR((VLOOKUP(P381,Settings!$E$28:$F$33,2,FALSE)+1),1)</f>
        <v>3.2742165655808848</v>
      </c>
      <c r="AD381" s="56">
        <f>VLOOKUP(B381,'Player Data'!$A1:$AE667,18,FALSE)*$Q381</f>
        <v>22.480789433313142</v>
      </c>
      <c r="AE381" s="56">
        <f>VLOOKUP(B381,'Player Data'!$A1:$AE667,19,FALSE)*$Q381*IFERROR((VLOOKUP(P381,Settings!$E$28:$F$33,2,FALSE)+1),1)</f>
        <v>2.9862792250832402</v>
      </c>
      <c r="AF381" s="56">
        <f>VLOOKUP(B381,'Player Data'!$A1:$AE667,20,FALSE)*$Q381</f>
        <v>2.1610065660355531</v>
      </c>
      <c r="AG381" s="56">
        <f>VLOOKUP(B381,'Player Data'!$A1:$AE667,21,FALSE)*$Q381</f>
        <v>3.6855420866412336</v>
      </c>
      <c r="AH381" s="58">
        <f>VLOOKUP(B381,'Player Data'!$A1:$AE667,22,FALSE)</f>
        <v>0.369620898484468</v>
      </c>
      <c r="AI381" s="54"/>
      <c r="AJ381" s="56"/>
      <c r="AK381" s="56"/>
      <c r="AL381" s="56"/>
      <c r="AM381" s="56"/>
      <c r="AN381" s="56"/>
      <c r="AO381" s="56"/>
      <c r="AP381" s="56"/>
      <c r="AQ381" s="59"/>
      <c r="AR381" s="60"/>
      <c r="AS381" s="54"/>
    </row>
    <row r="382" spans="1:45" ht="21.25" customHeight="1" x14ac:dyDescent="0.15">
      <c r="A382" s="45">
        <f>RANK(K382,K$1:K$665)</f>
        <v>381</v>
      </c>
      <c r="B382" s="9" t="s">
        <v>507</v>
      </c>
      <c r="C382" s="46" t="s">
        <v>127</v>
      </c>
      <c r="D382" s="47" t="str">
        <f>VLOOKUP(B382,'Player Data'!A1:D667,4,FALSE)</f>
        <v>D</v>
      </c>
      <c r="E382" s="66">
        <f>VLOOKUP(B382,D!A1:C213,3,FALSE)</f>
        <v>138</v>
      </c>
      <c r="F382" s="65" t="str">
        <f>VLOOKUP(B382,'Player Data'!A1:B667,2,FALSE)</f>
        <v>EDM</v>
      </c>
      <c r="G382" s="69">
        <f>VLOOKUP(B382,'Player Data'!A1:D667,3,FALSE)</f>
        <v>24</v>
      </c>
      <c r="H382" s="67">
        <f>IFERROR(VLOOKUP(B382,ADP!A1:G665,7,FALSE)/1000000,VLOOKUP(B382,ADP!A1:G665,7,FALSE))</f>
        <v>0.95</v>
      </c>
      <c r="I382" s="51">
        <f>IF(Settings!$E$15="POINTS",((R382*Q382)*Settings!$B$12)+(S382*Settings!$B$2)+(T382*Settings!$B$3)+(U382*Settings!$B$4)+(V382*Settings!$B$5)+(X382*Settings!$B$9)+(AA382*Settings!$B$6)+(W382*Settings!$B$8)+(AB382*Settings!$B$7)+(AC382*Settings!$B$14)+(AD382*Settings!$B$15)+(AE382*Settings!$B$16)+(AF382*Settings!$B$17)+(AG382*Settings!$B$18)+(U382*Settings!$B$13)+(Y382*Settings!$B$10)+(Z382*Settings!$B$11),VLOOKUP(B382,'Standard Deviations'!A1:C666,3,FALSE))</f>
        <v>152.52473278163083</v>
      </c>
      <c r="J382" s="52">
        <f>IF(D382="G",I382/AJ382,I382/Q382)</f>
        <v>2.4546325935486757</v>
      </c>
      <c r="K382" s="51">
        <f>VLOOKUP(B382,D!A1:F213,6,FALSE)</f>
        <v>-183.70939226396408</v>
      </c>
      <c r="L382" s="53">
        <f>IFERROR(K382/H382,"N/A")</f>
        <v>-193.37830764627799</v>
      </c>
      <c r="M382" s="83" t="str">
        <f>IF(Settings!$E$9="YAHOO",VLOOKUP(B382,ADP!A1:E665,2,FALSE),IF(Settings!$E$9="ESPN",VLOOKUP(B382,ADP!A1:E665,3,FALSE),IF(Settings!$E$9="FANTRAX",VLOOKUP(B382,ADP!A1:E665,4,FALSE),VLOOKUP(B382,ADP!A1:E665,5,FALSE))))</f>
        <v>—</v>
      </c>
      <c r="N382" s="83" t="str">
        <f>IFERROR(M382-A382,"N/A")</f>
        <v>N/A</v>
      </c>
      <c r="O382" s="54"/>
      <c r="P382" s="55" t="str">
        <f>IF(Settings!$E$27="ON",VLOOKUP(B382,ADP!A1:H665,8,FALSE)," ")</f>
        <v xml:space="preserve"> </v>
      </c>
      <c r="Q382" s="56">
        <f>IF(Settings!$E$12="YES",VLOOKUP(B382,'Player Data'!A1:E667,5,FALSE),82)</f>
        <v>62.137500000000003</v>
      </c>
      <c r="R382" s="75">
        <f>VLOOKUP(B382,'Player Data'!$A1:$AE667,6,FALSE)</f>
        <v>19.7640101797219</v>
      </c>
      <c r="S382" s="56">
        <f>VLOOKUP(B382,'Player Data'!$A1:$AE667,7,FALSE)*$Q382*IFERROR((VLOOKUP(P382,Settings!$E$28:$F$33,2,FALSE)+1),1)</f>
        <v>3.5244082679196556</v>
      </c>
      <c r="T382" s="56">
        <f>VLOOKUP(B382,'Player Data'!$A1:$AE667,8,FALSE)*$Q382*IFERROR((VLOOKUP(P382,Settings!$E$28:$F$33,2,FALSE)+1),1)</f>
        <v>17.343577528699093</v>
      </c>
      <c r="U382" s="56">
        <f>SUM(S382:T382)</f>
        <v>20.867985796618747</v>
      </c>
      <c r="V382" s="56">
        <f>VLOOKUP(B382,'Player Data'!$A1:$AE667,10,FALSE)*$Q382*IFERROR(((VLOOKUP(P382,Settings!$E$28:$F$33,2,FALSE)/2)+1),1)</f>
        <v>76.194443170763307</v>
      </c>
      <c r="W382" s="56">
        <f>VLOOKUP(B382,'Player Data'!$A1:$AE667,11,FALSE)*$Q382*IFERROR((VLOOKUP(P382,Settings!$E$28:$F$33,2,FALSE)+1),1)</f>
        <v>7.9664559782399863E-2</v>
      </c>
      <c r="X382" s="56">
        <f>VLOOKUP(B382,'Player Data'!$A1:$AE667,12,FALSE)*$Q382*IFERROR((VLOOKUP(P382,Settings!$E$28:$F$33,2,FALSE)+1),1)</f>
        <v>0.73780425076572453</v>
      </c>
      <c r="Y382" s="56">
        <f>VLOOKUP(B382,'Player Data'!$A1:$AE667,13,FALSE)*$Q382</f>
        <v>5.0244350223449738E-2</v>
      </c>
      <c r="Z382" s="56">
        <f>VLOOKUP(B382,'Player Data'!$A1:$AE667,14,FALSE)*$Q382</f>
        <v>0.24438992031104401</v>
      </c>
      <c r="AA382" s="56">
        <f>VLOOKUP(B382,'Player Data'!$A1:$AE667,15,FALSE)*$Q382</f>
        <v>101.68271927063235</v>
      </c>
      <c r="AB382" s="56">
        <f>VLOOKUP(B382,'Player Data'!$A1:$AE667,16,FALSE)*$Q382</f>
        <v>140.03116762087643</v>
      </c>
      <c r="AC382" s="56">
        <f>VLOOKUP(B382,'Player Data'!$A1:$AE667,17,FALSE)*$Q382*IFERROR((VLOOKUP(P382,Settings!$E$28:$F$33,2,FALSE)+1),1)</f>
        <v>-6.2032414069853372</v>
      </c>
      <c r="AD382" s="56">
        <f>VLOOKUP(B382,'Player Data'!$A1:$AE667,18,FALSE)*$Q382</f>
        <v>22.906038723386718</v>
      </c>
      <c r="AE382" s="56">
        <f>VLOOKUP(B382,'Player Data'!$A1:$AE667,19,FALSE)*$Q382*IFERROR((VLOOKUP(P382,Settings!$E$28:$F$33,2,FALSE)+1),1)</f>
        <v>0.56910438019284848</v>
      </c>
      <c r="AF382" s="56">
        <f>VLOOKUP(B382,'Player Data'!$A1:$AE667,20,FALSE)*$Q382</f>
        <v>0</v>
      </c>
      <c r="AG382" s="56">
        <f>VLOOKUP(B382,'Player Data'!$A1:$AE667,21,FALSE)*$Q382</f>
        <v>0</v>
      </c>
      <c r="AH382" s="58">
        <f>VLOOKUP(B382,'Player Data'!$A1:$AE667,22,FALSE)</f>
        <v>0</v>
      </c>
      <c r="AI382" s="54"/>
      <c r="AJ382" s="56"/>
      <c r="AK382" s="56"/>
      <c r="AL382" s="56"/>
      <c r="AM382" s="56"/>
      <c r="AN382" s="56"/>
      <c r="AO382" s="56"/>
      <c r="AP382" s="56"/>
      <c r="AQ382" s="59"/>
      <c r="AR382" s="60"/>
      <c r="AS382" s="54"/>
    </row>
    <row r="383" spans="1:45" ht="21.25" customHeight="1" x14ac:dyDescent="0.15">
      <c r="A383" s="45">
        <f>RANK(K383,K$1:K$665)</f>
        <v>382</v>
      </c>
      <c r="B383" s="9" t="s">
        <v>508</v>
      </c>
      <c r="C383" s="46" t="s">
        <v>127</v>
      </c>
      <c r="D383" s="47" t="str">
        <f>VLOOKUP(B383,'Player Data'!A1:D667,4,FALSE)</f>
        <v>C</v>
      </c>
      <c r="E383" s="48">
        <f>VLOOKUP(B383,'C'!A1:C206,3,FALSE)</f>
        <v>108</v>
      </c>
      <c r="F383" s="62" t="str">
        <f>VLOOKUP(B383,'Player Data'!A1:B667,2,FALSE)</f>
        <v>SEA</v>
      </c>
      <c r="G383" s="63">
        <f>VLOOKUP(B383,'Player Data'!A1:D667,3,FALSE)</f>
        <v>32</v>
      </c>
      <c r="H383" s="67">
        <f>IFERROR(VLOOKUP(B383,ADP!A1:G665,7,FALSE)/1000000,VLOOKUP(B383,ADP!A1:G665,7,FALSE))</f>
        <v>5.1665999999999999</v>
      </c>
      <c r="I383" s="51">
        <f>IF(Settings!$E$15="POINTS",((R383*Q383)*Settings!$B$12)+(S383*Settings!$B$2)+(T383*Settings!$B$3)+(U383*Settings!$B$4)+(V383*Settings!$B$5)+(X383*Settings!$B$9)+(AA383*Settings!$B$6)+(W383*Settings!$B$8)+(AB383*Settings!$B$7)+(AC383*Settings!$B$14)+(AD383*Settings!$B$15)+(AE383*Settings!$B$16)+(AF383*Settings!$B$17)+(AG383*Settings!$B$18)+(Y383*Settings!$B$10)+(Z383*Settings!$B$11),VLOOKUP(B383,'Standard Deviations'!A1:C666,3,FALSE))</f>
        <v>205.66871161214348</v>
      </c>
      <c r="J383" s="52">
        <f>IF(D383="G",I383/AJ383,I383/Q383)</f>
        <v>2.5473752792957858</v>
      </c>
      <c r="K383" s="51">
        <f>IF(Settings!$E$18="C/LW/RW",VLOOKUP(B383,'C'!A1:F206,6,FALSE),VLOOKUP(B383,F!A1:F392,6,FALSE))</f>
        <v>-184.2684461659376</v>
      </c>
      <c r="L383" s="53">
        <f>IFERROR(K383/H383,"N/A")</f>
        <v>-35.66532074593303</v>
      </c>
      <c r="M383" s="83" t="str">
        <f>IF(Settings!$E$9="YAHOO",VLOOKUP(B383,ADP!A1:E665,2,FALSE),IF(Settings!$E$9="ESPN",VLOOKUP(B383,ADP!A1:E665,3,FALSE),IF(Settings!$E$9="FANTRAX",VLOOKUP(B383,ADP!A1:E665,4,FALSE),VLOOKUP(B383,ADP!A1:E665,5,FALSE))))</f>
        <v>—</v>
      </c>
      <c r="N383" s="83" t="str">
        <f>IFERROR(M383-A383,"N/A")</f>
        <v>N/A</v>
      </c>
      <c r="O383" s="54"/>
      <c r="P383" s="55" t="str">
        <f>IF(Settings!$E$27="ON",VLOOKUP(B383,ADP!A1:H665,8,FALSE)," ")</f>
        <v xml:space="preserve"> </v>
      </c>
      <c r="Q383" s="56">
        <f>IF(Settings!$E$12="YES",VLOOKUP(B383,'Player Data'!A1:E667,5,FALSE),82)</f>
        <v>80.737499999999997</v>
      </c>
      <c r="R383" s="54">
        <f>VLOOKUP(B383,'Player Data'!$A1:$AE667,6,FALSE)</f>
        <v>16.804361037432599</v>
      </c>
      <c r="S383" s="56">
        <f>VLOOKUP(B383,'Player Data'!$A1:$AE667,7,FALSE)*$Q383*IFERROR((VLOOKUP(P383,Settings!$E$28:$F$33,2,FALSE)+1),1)</f>
        <v>11.391135879646773</v>
      </c>
      <c r="T383" s="56">
        <f>VLOOKUP(B383,'Player Data'!$A1:$AE667,8,FALSE)*$Q383*IFERROR((VLOOKUP(P383,Settings!$E$28:$F$33,2,FALSE)+1),1)</f>
        <v>24.010518279099443</v>
      </c>
      <c r="U383" s="56">
        <f>SUM(S383:T383)</f>
        <v>35.401654158746219</v>
      </c>
      <c r="V383" s="56">
        <f>VLOOKUP(B383,'Player Data'!$A1:$AE667,10,FALSE)*$Q383*IFERROR(((VLOOKUP(P383,Settings!$E$28:$F$33,2,FALSE)/2)+1),1)</f>
        <v>141.36294724491501</v>
      </c>
      <c r="W383" s="56">
        <f>VLOOKUP(B383,'Player Data'!$A1:$AE667,11,FALSE)*$Q383*IFERROR((VLOOKUP(P383,Settings!$E$28:$F$33,2,FALSE)+1),1)</f>
        <v>0.50484246540961097</v>
      </c>
      <c r="X383" s="56">
        <f>VLOOKUP(B383,'Player Data'!$A1:$AE667,12,FALSE)*$Q383*IFERROR((VLOOKUP(P383,Settings!$E$28:$F$33,2,FALSE)+1),1)</f>
        <v>1.3518879749228521</v>
      </c>
      <c r="Y383" s="56">
        <f>VLOOKUP(B383,'Player Data'!$A1:$AE667,13,FALSE)*$Q383</f>
        <v>0.95618980796794451</v>
      </c>
      <c r="Z383" s="56">
        <f>VLOOKUP(B383,'Player Data'!$A1:$AE667,14,FALSE)*$Q383</f>
        <v>2.0648899668878924</v>
      </c>
      <c r="AA383" s="56">
        <f>VLOOKUP(B383,'Player Data'!$A1:$AE667,15,FALSE)*$Q383</f>
        <v>50.730995143273184</v>
      </c>
      <c r="AB383" s="56">
        <f>VLOOKUP(B383,'Player Data'!$A1:$AE667,16,FALSE)*$Q383</f>
        <v>128.62747376104801</v>
      </c>
      <c r="AC383" s="56">
        <f>VLOOKUP(B383,'Player Data'!$A1:$AE667,17,FALSE)*$Q383*IFERROR((VLOOKUP(P383,Settings!$E$28:$F$33,2,FALSE)+1),1)</f>
        <v>-1.148901122192963</v>
      </c>
      <c r="AD383" s="56">
        <f>VLOOKUP(B383,'Player Data'!$A1:$AE667,18,FALSE)*$Q383</f>
        <v>50.439396515604969</v>
      </c>
      <c r="AE383" s="56">
        <f>VLOOKUP(B383,'Player Data'!$A1:$AE667,19,FALSE)*$Q383*IFERROR((VLOOKUP(P383,Settings!$E$28:$F$33,2,FALSE)+1),1)</f>
        <v>1.7297174516770273</v>
      </c>
      <c r="AF383" s="56">
        <f>VLOOKUP(B383,'Player Data'!$A1:$AE667,20,FALSE)*$Q383</f>
        <v>496.1819410475415</v>
      </c>
      <c r="AG383" s="56">
        <f>VLOOKUP(B383,'Player Data'!$A1:$AE667,21,FALSE)*$Q383</f>
        <v>519.46658607270342</v>
      </c>
      <c r="AH383" s="58">
        <f>VLOOKUP(B383,'Player Data'!$A1:$AE667,22,FALSE)</f>
        <v>0.48853705568244998</v>
      </c>
      <c r="AI383" s="54"/>
      <c r="AJ383" s="64"/>
      <c r="AK383" s="56"/>
      <c r="AL383" s="56"/>
      <c r="AM383" s="56"/>
      <c r="AN383" s="56"/>
      <c r="AO383" s="56"/>
      <c r="AP383" s="56"/>
      <c r="AQ383" s="59"/>
      <c r="AR383" s="60"/>
      <c r="AS383" s="54"/>
    </row>
    <row r="384" spans="1:45" ht="21.25" customHeight="1" x14ac:dyDescent="0.15">
      <c r="A384" s="45">
        <f>RANK(K384,K$1:K$665)</f>
        <v>383</v>
      </c>
      <c r="B384" s="9" t="s">
        <v>509</v>
      </c>
      <c r="C384" s="84"/>
      <c r="D384" s="47" t="str">
        <f>VLOOKUP(B384,'Player Data'!A1:D667,4,FALSE)</f>
        <v>G</v>
      </c>
      <c r="E384" s="73">
        <f>VLOOKUP(B384,G!A1:D65,3,FALSE)</f>
        <v>38</v>
      </c>
      <c r="F384" s="65" t="str">
        <f>VLOOKUP(B384,'Player Data'!A1:B667,2,FALSE)</f>
        <v>WSH</v>
      </c>
      <c r="G384" s="69">
        <f>VLOOKUP(B384,'Player Data'!A1:D667,3,FALSE)</f>
        <v>27</v>
      </c>
      <c r="H384" s="67">
        <f>IFERROR(VLOOKUP(B384,ADP!A1:G665,7,FALSE)/1000000,VLOOKUP(B384,ADP!A1:G665,7,FALSE))</f>
        <v>0.76659999999999995</v>
      </c>
      <c r="I384" s="51">
        <f>IF(Settings!$E$15="POINTS",(AJ384*Settings!$B$29)+(AK384*Settings!$B$21)+(AL384*Settings!$B$22)+(AN384*Settings!$B$24)+(AO384*Settings!$B$25)+(AP384*Settings!$B$27)+(AM384*Settings!$B$23),VLOOKUP(B384,'Standard Deviations'!A1:C666,3,FALSE))</f>
        <v>226.18717684822639</v>
      </c>
      <c r="J384" s="52">
        <f>IF(D384="G",I384/AJ384,I384/Q384)</f>
        <v>6.4624907670921825</v>
      </c>
      <c r="K384" s="51">
        <f>VLOOKUP(B384,G!A1:F65,6,FALSE)</f>
        <v>-184.47256592119379</v>
      </c>
      <c r="L384" s="53">
        <f>IFERROR(K384/H384,"N/A")</f>
        <v>-240.63731531593243</v>
      </c>
      <c r="M384" s="54">
        <f>IF(Settings!$E$9="YAHOO",VLOOKUP(B384,ADP!A1:E665,2,FALSE),IF(Settings!$E$9="ESPN",VLOOKUP(B384,ADP!A1:E665,3,FALSE),IF(Settings!$E$9="FANTRAX",VLOOKUP(B384,ADP!A1:E665,4,FALSE),VLOOKUP(B384,ADP!A1:E665,5,FALSE))))</f>
        <v>158.4</v>
      </c>
      <c r="N384" s="54">
        <f>IFERROR(M384-A384,"N/A")</f>
        <v>-224.6</v>
      </c>
      <c r="O384" s="54"/>
      <c r="P384" s="55" t="str">
        <f>IF(Settings!$E$27="ON",VLOOKUP(B384,ADP!A1:H665,8,FALSE)," ")</f>
        <v xml:space="preserve"> </v>
      </c>
      <c r="Q384" s="56"/>
      <c r="R384" s="54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8"/>
      <c r="AI384" s="54"/>
      <c r="AJ384" s="64">
        <f>VLOOKUP(B384,'Player Data'!$A1:$AE667,24,FALSE)</f>
        <v>35</v>
      </c>
      <c r="AK384" s="56">
        <f>VLOOKUP(B384,'Player Data'!$A1:$AE667,25,FALSE)*$AJ384*IFERROR((VLOOKUP(P384,Settings!$E$28:$F$33,2,FALSE)+1),1)</f>
        <v>16.4860189523848</v>
      </c>
      <c r="AL384" s="56">
        <f>AJ384-AK384-AM384</f>
        <v>14.1389810476152</v>
      </c>
      <c r="AM384" s="56">
        <f>VLOOKUP(B384,'Player Data'!$A1:$AE667,27,FALSE)*$AJ384</f>
        <v>4.375</v>
      </c>
      <c r="AN384" s="56">
        <f>VLOOKUP(B384,'Player Data'!$A1:$AE667,28,FALSE)*AJ384</f>
        <v>1.62834142734704</v>
      </c>
      <c r="AO384" s="56">
        <f>VLOOKUP(B384,'Player Data'!$A1:$AE667,29,FALSE)*$AJ384*IFERROR((VLOOKUP(P384,Settings!$E$28:$F$33,2,FALSE)/4)+1,1)</f>
        <v>965.18965744879995</v>
      </c>
      <c r="AP384" s="56">
        <f>VLOOKUP(B384,'Player Data'!$A1:$AE667,31,FALSE)*$AJ384*(IFERROR(1-(VLOOKUP(P384,Settings!$E$28:$F$33,2,FALSE)/4),1))</f>
        <v>102.498016720225</v>
      </c>
      <c r="AQ384" s="59">
        <f>1-(AP384/(AO384+AP384))</f>
        <v>0.90400000000000125</v>
      </c>
      <c r="AR384" s="60">
        <f>AP384/AJ384</f>
        <v>2.9285147634349999</v>
      </c>
      <c r="AS384" s="54"/>
    </row>
    <row r="385" spans="1:45" ht="21.25" customHeight="1" x14ac:dyDescent="0.15">
      <c r="A385" s="45">
        <f>RANK(K385,K$1:K$665)</f>
        <v>384</v>
      </c>
      <c r="B385" s="9" t="s">
        <v>510</v>
      </c>
      <c r="C385" s="46" t="s">
        <v>127</v>
      </c>
      <c r="D385" s="47" t="str">
        <f>VLOOKUP(B385,'Player Data'!A1:D667,4,FALSE)</f>
        <v>C</v>
      </c>
      <c r="E385" s="48">
        <f>VLOOKUP(B385,'C'!A1:C206,3,FALSE)</f>
        <v>109</v>
      </c>
      <c r="F385" s="62" t="str">
        <f>VLOOKUP(B385,'Player Data'!A1:B667,2,FALSE)</f>
        <v>MTL</v>
      </c>
      <c r="G385" s="69">
        <f>VLOOKUP(B385,'Player Data'!A1:D667,3,FALSE)</f>
        <v>23</v>
      </c>
      <c r="H385" s="50">
        <f>IFERROR(VLOOKUP(B385,ADP!A1:G665,7,FALSE)/1000000,VLOOKUP(B385,ADP!A1:G665,7,FALSE))</f>
        <v>2.9</v>
      </c>
      <c r="I385" s="51">
        <f>IF(Settings!$E$15="POINTS",((R385*Q385)*Settings!$B$12)+(S385*Settings!$B$2)+(T385*Settings!$B$3)+(U385*Settings!$B$4)+(V385*Settings!$B$5)+(X385*Settings!$B$9)+(AA385*Settings!$B$6)+(W385*Settings!$B$8)+(AB385*Settings!$B$7)+(AC385*Settings!$B$14)+(AD385*Settings!$B$15)+(AE385*Settings!$B$16)+(AF385*Settings!$B$17)+(AG385*Settings!$B$18)+(Y385*Settings!$B$10)+(Z385*Settings!$B$11),VLOOKUP(B385,'Standard Deviations'!A1:C666,3,FALSE))</f>
        <v>205.29776249969788</v>
      </c>
      <c r="J385" s="52">
        <f>IF(D385="G",I385/AJ385,I385/Q385)</f>
        <v>2.6964079789814202</v>
      </c>
      <c r="K385" s="51">
        <f>IF(Settings!$E$18="C/LW/RW",VLOOKUP(B385,'C'!A1:F206,6,FALSE),VLOOKUP(B385,F!A1:F392,6,FALSE))</f>
        <v>-184.6393952783832</v>
      </c>
      <c r="L385" s="53">
        <f>IFERROR(K385/H385,"N/A")</f>
        <v>-63.668756992545937</v>
      </c>
      <c r="M385" s="83" t="str">
        <f>IF(Settings!$E$9="YAHOO",VLOOKUP(B385,ADP!A1:E665,2,FALSE),IF(Settings!$E$9="ESPN",VLOOKUP(B385,ADP!A1:E665,3,FALSE),IF(Settings!$E$9="FANTRAX",VLOOKUP(B385,ADP!A1:E665,4,FALSE),VLOOKUP(B385,ADP!A1:E665,5,FALSE))))</f>
        <v>—</v>
      </c>
      <c r="N385" s="83" t="str">
        <f>IFERROR(M385-A385,"N/A")</f>
        <v>N/A</v>
      </c>
      <c r="O385" s="54"/>
      <c r="P385" s="55" t="str">
        <f>IF(Settings!$E$27="ON",VLOOKUP(B385,ADP!A1:H665,8,FALSE)," ")</f>
        <v xml:space="preserve"> </v>
      </c>
      <c r="Q385" s="56">
        <f>IF(Settings!$E$12="YES",VLOOKUP(B385,'Player Data'!A1:E667,5,FALSE),82)</f>
        <v>76.137500000000003</v>
      </c>
      <c r="R385" s="81">
        <f>VLOOKUP(B385,'Player Data'!$A1:$AE667,6,FALSE)</f>
        <v>15.554782247173099</v>
      </c>
      <c r="S385" s="56">
        <f>VLOOKUP(B385,'Player Data'!$A1:$AE667,7,FALSE)*$Q385*IFERROR((VLOOKUP(P385,Settings!$E$28:$F$33,2,FALSE)+1),1)</f>
        <v>17.909576675403237</v>
      </c>
      <c r="T385" s="56">
        <f>VLOOKUP(B385,'Player Data'!$A1:$AE667,8,FALSE)*$Q385*IFERROR((VLOOKUP(P385,Settings!$E$28:$F$33,2,FALSE)+1),1)</f>
        <v>22.62662663320252</v>
      </c>
      <c r="U385" s="56">
        <f>SUM(S385:T385)</f>
        <v>40.536203308605756</v>
      </c>
      <c r="V385" s="56">
        <f>VLOOKUP(B385,'Player Data'!$A1:$AE667,10,FALSE)*$Q385*IFERROR(((VLOOKUP(P385,Settings!$E$28:$F$33,2,FALSE)/2)+1),1)</f>
        <v>118.70258713554968</v>
      </c>
      <c r="W385" s="56">
        <f>VLOOKUP(B385,'Player Data'!$A1:$AE667,11,FALSE)*$Q385*IFERROR((VLOOKUP(P385,Settings!$E$28:$F$33,2,FALSE)+1),1)</f>
        <v>1.9623895099684436</v>
      </c>
      <c r="X385" s="56">
        <f>VLOOKUP(B385,'Player Data'!$A1:$AE667,12,FALSE)*$Q385*IFERROR((VLOOKUP(P385,Settings!$E$28:$F$33,2,FALSE)+1),1)</f>
        <v>5.7888060917885023</v>
      </c>
      <c r="Y385" s="56">
        <f>VLOOKUP(B385,'Player Data'!$A1:$AE667,13,FALSE)*$Q385</f>
        <v>1.0145452718050178E-2</v>
      </c>
      <c r="Z385" s="56">
        <f>VLOOKUP(B385,'Player Data'!$A1:$AE667,14,FALSE)*$Q385</f>
        <v>1.7116773287186086E-2</v>
      </c>
      <c r="AA385" s="56">
        <f>VLOOKUP(B385,'Player Data'!$A1:$AE667,15,FALSE)*$Q385</f>
        <v>37.063872282060146</v>
      </c>
      <c r="AB385" s="56">
        <f>VLOOKUP(B385,'Player Data'!$A1:$AE667,16,FALSE)*$Q385</f>
        <v>56.725846101711973</v>
      </c>
      <c r="AC385" s="56">
        <f>VLOOKUP(B385,'Player Data'!$A1:$AE667,17,FALSE)*$Q385*IFERROR((VLOOKUP(P385,Settings!$E$28:$F$33,2,FALSE)+1),1)</f>
        <v>-3.8992446936260645</v>
      </c>
      <c r="AD385" s="56">
        <f>VLOOKUP(B385,'Player Data'!$A1:$AE667,18,FALSE)*$Q385</f>
        <v>24.487232396540328</v>
      </c>
      <c r="AE385" s="56">
        <f>VLOOKUP(B385,'Player Data'!$A1:$AE667,19,FALSE)*$Q385*IFERROR((VLOOKUP(P385,Settings!$E$28:$F$33,2,FALSE)+1),1)</f>
        <v>2.0757427295672888</v>
      </c>
      <c r="AF385" s="56">
        <f>VLOOKUP(B385,'Player Data'!$A1:$AE667,20,FALSE)*$Q385</f>
        <v>245.21223450682689</v>
      </c>
      <c r="AG385" s="56">
        <f>VLOOKUP(B385,'Player Data'!$A1:$AE667,21,FALSE)*$Q385</f>
        <v>341.61432129778802</v>
      </c>
      <c r="AH385" s="58">
        <f>VLOOKUP(B385,'Player Data'!$A1:$AE667,22,FALSE)</f>
        <v>0.41786151645882702</v>
      </c>
      <c r="AI385" s="54"/>
      <c r="AJ385" s="56"/>
      <c r="AK385" s="56"/>
      <c r="AL385" s="56"/>
      <c r="AM385" s="56"/>
      <c r="AN385" s="56"/>
      <c r="AO385" s="56"/>
      <c r="AP385" s="56"/>
      <c r="AQ385" s="59"/>
      <c r="AR385" s="60"/>
      <c r="AS385" s="54"/>
    </row>
    <row r="386" spans="1:45" ht="21.25" customHeight="1" x14ac:dyDescent="0.15">
      <c r="A386" s="45">
        <f>RANK(K386,K$1:K$665)</f>
        <v>385</v>
      </c>
      <c r="B386" s="9" t="s">
        <v>511</v>
      </c>
      <c r="C386" s="46" t="s">
        <v>127</v>
      </c>
      <c r="D386" s="47" t="str">
        <f>VLOOKUP(B386,'Player Data'!A1:D667,4,FALSE)</f>
        <v>D</v>
      </c>
      <c r="E386" s="66">
        <f>VLOOKUP(B386,D!A1:C213,3,FALSE)</f>
        <v>139</v>
      </c>
      <c r="F386" s="65" t="str">
        <f>VLOOKUP(B386,'Player Data'!A1:B667,2,FALSE)</f>
        <v>FLA</v>
      </c>
      <c r="G386" s="10">
        <f>VLOOKUP(B386,'Player Data'!A1:D667,3,FALSE)</f>
        <v>28</v>
      </c>
      <c r="H386" s="50">
        <f>IFERROR(VLOOKUP(B386,ADP!A1:G665,7,FALSE)/1000000,VLOOKUP(B386,ADP!A1:G665,7,FALSE))</f>
        <v>2.5</v>
      </c>
      <c r="I386" s="51">
        <f>IF(Settings!$E$15="POINTS",((R386*Q386)*Settings!$B$12)+(S386*Settings!$B$2)+(T386*Settings!$B$3)+(U386*Settings!$B$4)+(V386*Settings!$B$5)+(X386*Settings!$B$9)+(AA386*Settings!$B$6)+(W386*Settings!$B$8)+(AB386*Settings!$B$7)+(AC386*Settings!$B$14)+(AD386*Settings!$B$15)+(AE386*Settings!$B$16)+(AF386*Settings!$B$17)+(AG386*Settings!$B$18)+(U386*Settings!$B$13)+(Y386*Settings!$B$10)+(Z386*Settings!$B$11),VLOOKUP(B386,'Standard Deviations'!A1:C666,3,FALSE))</f>
        <v>150.77241335867367</v>
      </c>
      <c r="J386" s="52">
        <f>IF(D386="G",I386/AJ386,I386/Q386)</f>
        <v>1.9062795253490998</v>
      </c>
      <c r="K386" s="51">
        <f>VLOOKUP(B386,D!A1:F213,6,FALSE)</f>
        <v>-185.46171168692123</v>
      </c>
      <c r="L386" s="53">
        <f>IFERROR(K386/H386,"N/A")</f>
        <v>-74.184684674768491</v>
      </c>
      <c r="M386" s="83" t="str">
        <f>IF(Settings!$E$9="YAHOO",VLOOKUP(B386,ADP!A1:E665,2,FALSE),IF(Settings!$E$9="ESPN",VLOOKUP(B386,ADP!A1:E665,3,FALSE),IF(Settings!$E$9="FANTRAX",VLOOKUP(B386,ADP!A1:E665,4,FALSE),VLOOKUP(B386,ADP!A1:E665,5,FALSE))))</f>
        <v>—</v>
      </c>
      <c r="N386" s="83" t="str">
        <f>IFERROR(M386-A386,"N/A")</f>
        <v>N/A</v>
      </c>
      <c r="O386" s="54"/>
      <c r="P386" s="55" t="str">
        <f>IF(Settings!$E$27="ON",VLOOKUP(B386,ADP!A1:H665,8,FALSE)," ")</f>
        <v xml:space="preserve"> </v>
      </c>
      <c r="Q386" s="56">
        <f>IF(Settings!$E$12="YES",VLOOKUP(B386,'Player Data'!A1:E667,5,FALSE),82)</f>
        <v>79.092500000000001</v>
      </c>
      <c r="R386" s="54">
        <f>VLOOKUP(B386,'Player Data'!$A1:$AE667,6,FALSE)</f>
        <v>19.684548595198098</v>
      </c>
      <c r="S386" s="56">
        <f>VLOOKUP(B386,'Player Data'!$A1:$AE667,7,FALSE)*$Q386*IFERROR((VLOOKUP(P386,Settings!$E$28:$F$33,2,FALSE)+1),1)</f>
        <v>2.9102740461927037</v>
      </c>
      <c r="T386" s="56">
        <f>VLOOKUP(B386,'Player Data'!$A1:$AE667,8,FALSE)*$Q386*IFERROR((VLOOKUP(P386,Settings!$E$28:$F$33,2,FALSE)+1),1)</f>
        <v>12.598770571538147</v>
      </c>
      <c r="U386" s="56">
        <f>SUM(S386:T386)</f>
        <v>15.509044617730851</v>
      </c>
      <c r="V386" s="56">
        <f>VLOOKUP(B386,'Player Data'!$A1:$AE667,10,FALSE)*$Q386*IFERROR(((VLOOKUP(P386,Settings!$E$28:$F$33,2,FALSE)/2)+1),1)</f>
        <v>86.303126497324158</v>
      </c>
      <c r="W386" s="56">
        <f>VLOOKUP(B386,'Player Data'!$A1:$AE667,11,FALSE)*$Q386*IFERROR((VLOOKUP(P386,Settings!$E$28:$F$33,2,FALSE)+1),1)</f>
        <v>2.3258066301661356E-2</v>
      </c>
      <c r="X386" s="56">
        <f>VLOOKUP(B386,'Player Data'!$A1:$AE667,12,FALSE)*$Q386*IFERROR((VLOOKUP(P386,Settings!$E$28:$F$33,2,FALSE)+1),1)</f>
        <v>0.1523257828571758</v>
      </c>
      <c r="Y386" s="56">
        <f>VLOOKUP(B386,'Player Data'!$A1:$AE667,13,FALSE)*$Q386</f>
        <v>0.17056261497202038</v>
      </c>
      <c r="Z386" s="56">
        <f>VLOOKUP(B386,'Player Data'!$A1:$AE667,14,FALSE)*$Q386</f>
        <v>0.69716416488624244</v>
      </c>
      <c r="AA386" s="56">
        <f>VLOOKUP(B386,'Player Data'!$A1:$AE667,15,FALSE)*$Q386</f>
        <v>120.48845261815131</v>
      </c>
      <c r="AB386" s="56">
        <f>VLOOKUP(B386,'Player Data'!$A1:$AE667,16,FALSE)*$Q386</f>
        <v>165.938790065668</v>
      </c>
      <c r="AC386" s="56">
        <f>VLOOKUP(B386,'Player Data'!$A1:$AE667,17,FALSE)*$Q386*IFERROR((VLOOKUP(P386,Settings!$E$28:$F$33,2,FALSE)+1),1)</f>
        <v>3.3138959971261723</v>
      </c>
      <c r="AD386" s="56">
        <f>VLOOKUP(B386,'Player Data'!$A1:$AE667,18,FALSE)*$Q386</f>
        <v>55.479208171146489</v>
      </c>
      <c r="AE386" s="56">
        <f>VLOOKUP(B386,'Player Data'!$A1:$AE667,19,FALSE)*$Q386*IFERROR((VLOOKUP(P386,Settings!$E$28:$F$33,2,FALSE)+1),1)</f>
        <v>0.49579932288140016</v>
      </c>
      <c r="AF386" s="56">
        <f>VLOOKUP(B386,'Player Data'!$A1:$AE667,20,FALSE)*$Q386</f>
        <v>0</v>
      </c>
      <c r="AG386" s="56">
        <f>VLOOKUP(B386,'Player Data'!$A1:$AE667,21,FALSE)*$Q386</f>
        <v>0</v>
      </c>
      <c r="AH386" s="58">
        <f>VLOOKUP(B386,'Player Data'!$A1:$AE667,22,FALSE)</f>
        <v>0</v>
      </c>
      <c r="AI386" s="54"/>
      <c r="AJ386" s="64"/>
      <c r="AK386" s="56"/>
      <c r="AL386" s="56"/>
      <c r="AM386" s="56"/>
      <c r="AN386" s="56"/>
      <c r="AO386" s="56"/>
      <c r="AP386" s="56"/>
      <c r="AQ386" s="59"/>
      <c r="AR386" s="60"/>
      <c r="AS386" s="54"/>
    </row>
    <row r="387" spans="1:45" ht="21.25" customHeight="1" x14ac:dyDescent="0.15">
      <c r="A387" s="45">
        <f>RANK(K387,K$1:K$665)</f>
        <v>386</v>
      </c>
      <c r="B387" s="9" t="s">
        <v>512</v>
      </c>
      <c r="C387" s="46" t="s">
        <v>127</v>
      </c>
      <c r="D387" s="47" t="str">
        <f>VLOOKUP(B387,'Player Data'!A1:D667,4,FALSE)</f>
        <v>G</v>
      </c>
      <c r="E387" s="73">
        <f>VLOOKUP(B387,G!A1:D65,3,FALSE)</f>
        <v>39</v>
      </c>
      <c r="F387" s="74" t="str">
        <f>VLOOKUP(B387,'Player Data'!A1:B667,2,FALSE)</f>
        <v>DET</v>
      </c>
      <c r="G387" s="10">
        <f>VLOOKUP(B387,'Player Data'!A1:D667,3,FALSE)</f>
        <v>31</v>
      </c>
      <c r="H387" s="67">
        <f>IFERROR(VLOOKUP(B387,ADP!A1:G665,7,FALSE)/1000000,VLOOKUP(B387,ADP!A1:G665,7,FALSE))</f>
        <v>0.9</v>
      </c>
      <c r="I387" s="51">
        <f>IF(Settings!$E$15="POINTS",(AJ387*Settings!$B$29)+(AK387*Settings!$B$21)+(AL387*Settings!$B$22)+(AN387*Settings!$B$24)+(AO387*Settings!$B$25)+(AP387*Settings!$B$27)+(AM387*Settings!$B$23),VLOOKUP(B387,'Standard Deviations'!A1:C666,3,FALSE))</f>
        <v>225.12421906563173</v>
      </c>
      <c r="J387" s="52">
        <f>IF(D387="G",I387/AJ387,I387/Q387)</f>
        <v>6.6213005607538742</v>
      </c>
      <c r="K387" s="51">
        <f>VLOOKUP(B387,G!A1:F65,6,FALSE)</f>
        <v>-185.53552370378844</v>
      </c>
      <c r="L387" s="53">
        <f>IFERROR(K387/H387,"N/A")</f>
        <v>-206.15058189309826</v>
      </c>
      <c r="M387" s="83" t="str">
        <f>IF(Settings!$E$9="YAHOO",VLOOKUP(B387,ADP!A1:E665,2,FALSE),IF(Settings!$E$9="ESPN",VLOOKUP(B387,ADP!A1:E665,3,FALSE),IF(Settings!$E$9="FANTRAX",VLOOKUP(B387,ADP!A1:E665,4,FALSE),VLOOKUP(B387,ADP!A1:E665,5,FALSE))))</f>
        <v>—</v>
      </c>
      <c r="N387" s="83" t="str">
        <f>IFERROR(M387-A387,"N/A")</f>
        <v>N/A</v>
      </c>
      <c r="O387" s="54"/>
      <c r="P387" s="55" t="str">
        <f>IF(Settings!$E$27="ON",VLOOKUP(B387,ADP!A1:H665,8,FALSE)," ")</f>
        <v xml:space="preserve"> </v>
      </c>
      <c r="Q387" s="56"/>
      <c r="R387" s="54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8"/>
      <c r="AI387" s="54"/>
      <c r="AJ387" s="64">
        <f>VLOOKUP(B387,'Player Data'!$A1:$AE667,24,FALSE)</f>
        <v>34</v>
      </c>
      <c r="AK387" s="56">
        <f>VLOOKUP(B387,'Player Data'!$A1:$AE667,25,FALSE)*$AJ387*IFERROR((VLOOKUP(P387,Settings!$E$28:$F$33,2,FALSE)+1),1)</f>
        <v>15.394354327569197</v>
      </c>
      <c r="AL387" s="56">
        <f>AJ387-AK387-AM387</f>
        <v>14.355645672430803</v>
      </c>
      <c r="AM387" s="56">
        <f>VLOOKUP(B387,'Player Data'!$A1:$AE667,27,FALSE)*$AJ387</f>
        <v>4.25</v>
      </c>
      <c r="AN387" s="56">
        <f>VLOOKUP(B387,'Player Data'!$A1:$AE667,28,FALSE)*AJ387</f>
        <v>1.5160428643037596</v>
      </c>
      <c r="AO387" s="56">
        <f>VLOOKUP(B387,'Player Data'!$A1:$AE667,29,FALSE)*$AJ387*IFERROR((VLOOKUP(P387,Settings!$E$28:$F$33,2,FALSE)/4)+1,1)</f>
        <v>957.00715818365518</v>
      </c>
      <c r="AP387" s="56">
        <f>VLOOKUP(B387,'Player Data'!$A1:$AE667,31,FALSE)*$AJ387*(IFERROR(1-(VLOOKUP(P387,Settings!$E$28:$F$33,2,FALSE)/4),1))</f>
        <v>100.3594886244024</v>
      </c>
      <c r="AQ387" s="59">
        <f>1-(AP387/(AO387+AP387))</f>
        <v>0.90508544133923252</v>
      </c>
      <c r="AR387" s="60">
        <f>AP387/AJ387</f>
        <v>2.9517496654236002</v>
      </c>
      <c r="AS387" s="54"/>
    </row>
    <row r="388" spans="1:45" ht="21.25" customHeight="1" x14ac:dyDescent="0.15">
      <c r="A388" s="45">
        <f>RANK(K388,K$1:K$665)</f>
        <v>387</v>
      </c>
      <c r="B388" s="9" t="s">
        <v>513</v>
      </c>
      <c r="C388" s="46" t="s">
        <v>127</v>
      </c>
      <c r="D388" s="47" t="str">
        <f>VLOOKUP(B388,'Player Data'!A1:D667,4,FALSE)</f>
        <v>D</v>
      </c>
      <c r="E388" s="66">
        <f>VLOOKUP(B388,D!A1:C213,3,FALSE)</f>
        <v>140</v>
      </c>
      <c r="F388" s="55" t="str">
        <f>VLOOKUP(B388,'Player Data'!A1:B667,2,FALSE)</f>
        <v>N.J</v>
      </c>
      <c r="G388" s="10">
        <f>VLOOKUP(B388,'Player Data'!A1:D667,3,FALSE)</f>
        <v>27</v>
      </c>
      <c r="H388" s="50">
        <f>IFERROR(VLOOKUP(B388,ADP!A1:G665,7,FALSE)/1000000,VLOOKUP(B388,ADP!A1:G665,7,FALSE))</f>
        <v>3.4</v>
      </c>
      <c r="I388" s="51">
        <f>IF(Settings!$E$15="POINTS",((R388*Q388)*Settings!$B$12)+(S388*Settings!$B$2)+(T388*Settings!$B$3)+(U388*Settings!$B$4)+(V388*Settings!$B$5)+(X388*Settings!$B$9)+(AA388*Settings!$B$6)+(W388*Settings!$B$8)+(AB388*Settings!$B$7)+(AC388*Settings!$B$14)+(AD388*Settings!$B$15)+(AE388*Settings!$B$16)+(AF388*Settings!$B$17)+(AG388*Settings!$B$18)+(U388*Settings!$B$13)+(Y388*Settings!$B$10)+(Z388*Settings!$B$11),VLOOKUP(B388,'Standard Deviations'!A1:C666,3,FALSE))</f>
        <v>150.49762110162314</v>
      </c>
      <c r="J388" s="52">
        <f>IF(D388="G",I388/AJ388,I388/Q388)</f>
        <v>1.9771750399267334</v>
      </c>
      <c r="K388" s="51">
        <f>VLOOKUP(B388,D!A1:F213,6,FALSE)</f>
        <v>-185.73650394397177</v>
      </c>
      <c r="L388" s="53">
        <f>IFERROR(K388/H388,"N/A")</f>
        <v>-54.628383512932878</v>
      </c>
      <c r="M388" s="83" t="str">
        <f>IF(Settings!$E$9="YAHOO",VLOOKUP(B388,ADP!A1:E665,2,FALSE),IF(Settings!$E$9="ESPN",VLOOKUP(B388,ADP!A1:E665,3,FALSE),IF(Settings!$E$9="FANTRAX",VLOOKUP(B388,ADP!A1:E665,4,FALSE),VLOOKUP(B388,ADP!A1:E665,5,FALSE))))</f>
        <v>—</v>
      </c>
      <c r="N388" s="83" t="str">
        <f>IFERROR(M388-A388,"N/A")</f>
        <v>N/A</v>
      </c>
      <c r="O388" s="54"/>
      <c r="P388" s="55" t="str">
        <f>IF(Settings!$E$27="ON",VLOOKUP(B388,ADP!A1:H665,8,FALSE)," ")</f>
        <v xml:space="preserve"> </v>
      </c>
      <c r="Q388" s="56">
        <f>IF(Settings!$E$12="YES",VLOOKUP(B388,'Player Data'!A1:E667,5,FALSE),82)</f>
        <v>76.117500000000007</v>
      </c>
      <c r="R388" s="54">
        <f>VLOOKUP(B388,'Player Data'!$A1:$AE667,6,FALSE)</f>
        <v>18.6329951609627</v>
      </c>
      <c r="S388" s="56">
        <f>VLOOKUP(B388,'Player Data'!$A1:$AE667,7,FALSE)*$Q388*IFERROR((VLOOKUP(P388,Settings!$E$28:$F$33,2,FALSE)+1),1)</f>
        <v>2.1773764261588715</v>
      </c>
      <c r="T388" s="56">
        <f>VLOOKUP(B388,'Player Data'!$A1:$AE667,8,FALSE)*$Q388*IFERROR((VLOOKUP(P388,Settings!$E$28:$F$33,2,FALSE)+1),1)</f>
        <v>13.404946523991562</v>
      </c>
      <c r="U388" s="56">
        <f>SUM(S388:T388)</f>
        <v>15.582322950150434</v>
      </c>
      <c r="V388" s="56">
        <f>VLOOKUP(B388,'Player Data'!$A1:$AE667,10,FALSE)*$Q388*IFERROR(((VLOOKUP(P388,Settings!$E$28:$F$33,2,FALSE)/2)+1),1)</f>
        <v>80.076499797298041</v>
      </c>
      <c r="W388" s="56">
        <f>VLOOKUP(B388,'Player Data'!$A1:$AE667,11,FALSE)*$Q388*IFERROR((VLOOKUP(P388,Settings!$E$28:$F$33,2,FALSE)+1),1)</f>
        <v>7.067230503034086E-2</v>
      </c>
      <c r="X388" s="56">
        <f>VLOOKUP(B388,'Player Data'!$A1:$AE667,12,FALSE)*$Q388*IFERROR((VLOOKUP(P388,Settings!$E$28:$F$33,2,FALSE)+1),1)</f>
        <v>0.19954610833775588</v>
      </c>
      <c r="Y388" s="56">
        <f>VLOOKUP(B388,'Player Data'!$A1:$AE667,13,FALSE)*$Q388</f>
        <v>2.9407986668928382E-2</v>
      </c>
      <c r="Z388" s="56">
        <f>VLOOKUP(B388,'Player Data'!$A1:$AE667,14,FALSE)*$Q388</f>
        <v>0.29663810992819972</v>
      </c>
      <c r="AA388" s="56">
        <f>VLOOKUP(B388,'Player Data'!$A1:$AE667,15,FALSE)*$Q388</f>
        <v>126.43243626851371</v>
      </c>
      <c r="AB388" s="56">
        <f>VLOOKUP(B388,'Player Data'!$A1:$AE667,16,FALSE)*$Q388</f>
        <v>104.32013827155491</v>
      </c>
      <c r="AC388" s="56">
        <f>VLOOKUP(B388,'Player Data'!$A1:$AE667,17,FALSE)*$Q388*IFERROR((VLOOKUP(P388,Settings!$E$28:$F$33,2,FALSE)+1),1)</f>
        <v>2.1902558552859723</v>
      </c>
      <c r="AD388" s="56">
        <f>VLOOKUP(B388,'Player Data'!$A1:$AE667,18,FALSE)*$Q388</f>
        <v>34.855812867780784</v>
      </c>
      <c r="AE388" s="56">
        <f>VLOOKUP(B388,'Player Data'!$A1:$AE667,19,FALSE)*$Q388*IFERROR((VLOOKUP(P388,Settings!$E$28:$F$33,2,FALSE)+1),1)</f>
        <v>0.32851454476650938</v>
      </c>
      <c r="AF388" s="56">
        <f>VLOOKUP(B388,'Player Data'!$A1:$AE667,20,FALSE)*$Q388</f>
        <v>0</v>
      </c>
      <c r="AG388" s="56">
        <f>VLOOKUP(B388,'Player Data'!$A1:$AE667,21,FALSE)*$Q388</f>
        <v>0</v>
      </c>
      <c r="AH388" s="58">
        <f>VLOOKUP(B388,'Player Data'!$A1:$AE667,22,FALSE)</f>
        <v>0</v>
      </c>
      <c r="AI388" s="54"/>
      <c r="AJ388" s="56"/>
      <c r="AK388" s="56"/>
      <c r="AL388" s="56"/>
      <c r="AM388" s="56"/>
      <c r="AN388" s="56"/>
      <c r="AO388" s="56"/>
      <c r="AP388" s="56"/>
      <c r="AQ388" s="59"/>
      <c r="AR388" s="60"/>
      <c r="AS388" s="54"/>
    </row>
    <row r="389" spans="1:45" ht="21.25" customHeight="1" x14ac:dyDescent="0.15">
      <c r="A389" s="45">
        <f>RANK(K389,K$1:K$665)</f>
        <v>388</v>
      </c>
      <c r="B389" s="9" t="s">
        <v>514</v>
      </c>
      <c r="C389" s="46" t="s">
        <v>127</v>
      </c>
      <c r="D389" s="47" t="str">
        <f>VLOOKUP(B389,'Player Data'!A1:D667,4,FALSE)</f>
        <v>D</v>
      </c>
      <c r="E389" s="66">
        <f>VLOOKUP(B389,D!A1:C213,3,FALSE)</f>
        <v>141</v>
      </c>
      <c r="F389" s="72" t="str">
        <f>VLOOKUP(B389,'Player Data'!A1:B667,2,FALSE)</f>
        <v>NYI</v>
      </c>
      <c r="G389" s="63">
        <f>VLOOKUP(B389,'Player Data'!A1:D667,3,FALSE)</f>
        <v>31</v>
      </c>
      <c r="H389" s="50">
        <f>IFERROR(VLOOKUP(B389,ADP!A1:G665,7,FALSE)/1000000,VLOOKUP(B389,ADP!A1:G665,7,FALSE))</f>
        <v>3.5</v>
      </c>
      <c r="I389" s="51">
        <f>IF(Settings!$E$15="POINTS",((R389*Q389)*Settings!$B$12)+(S389*Settings!$B$2)+(T389*Settings!$B$3)+(U389*Settings!$B$4)+(V389*Settings!$B$5)+(X389*Settings!$B$9)+(AA389*Settings!$B$6)+(W389*Settings!$B$8)+(AB389*Settings!$B$7)+(AC389*Settings!$B$14)+(AD389*Settings!$B$15)+(AE389*Settings!$B$16)+(AF389*Settings!$B$17)+(AG389*Settings!$B$18)+(U389*Settings!$B$13)+(Y389*Settings!$B$10)+(Z389*Settings!$B$11),VLOOKUP(B389,'Standard Deviations'!A1:C666,3,FALSE))</f>
        <v>150.4553194671108</v>
      </c>
      <c r="J389" s="52">
        <f>IF(D389="G",I389/AJ389,I389/Q389)</f>
        <v>2.0708897762239538</v>
      </c>
      <c r="K389" s="51">
        <f>VLOOKUP(B389,D!A1:F213,6,FALSE)</f>
        <v>-185.77880557848411</v>
      </c>
      <c r="L389" s="53">
        <f>IFERROR(K389/H389,"N/A")</f>
        <v>-53.079658736709746</v>
      </c>
      <c r="M389" s="83" t="str">
        <f>IF(Settings!$E$9="YAHOO",VLOOKUP(B389,ADP!A1:E665,2,FALSE),IF(Settings!$E$9="ESPN",VLOOKUP(B389,ADP!A1:E665,3,FALSE),IF(Settings!$E$9="FANTRAX",VLOOKUP(B389,ADP!A1:E665,4,FALSE),VLOOKUP(B389,ADP!A1:E665,5,FALSE))))</f>
        <v>—</v>
      </c>
      <c r="N389" s="83" t="str">
        <f>IFERROR(M389-A389,"N/A")</f>
        <v>N/A</v>
      </c>
      <c r="O389" s="54"/>
      <c r="P389" s="55" t="str">
        <f>IF(Settings!$E$27="ON",VLOOKUP(B389,ADP!A1:H665,8,FALSE)," ")</f>
        <v xml:space="preserve"> </v>
      </c>
      <c r="Q389" s="56">
        <f>IF(Settings!$E$12="YES",VLOOKUP(B389,'Player Data'!A1:E667,5,FALSE),82)</f>
        <v>72.652500000000003</v>
      </c>
      <c r="R389" s="81">
        <f>VLOOKUP(B389,'Player Data'!$A1:$AE667,6,FALSE)</f>
        <v>17.563462996171001</v>
      </c>
      <c r="S389" s="56">
        <f>VLOOKUP(B389,'Player Data'!$A1:$AE667,7,FALSE)*$Q389*IFERROR((VLOOKUP(P389,Settings!$E$28:$F$33,2,FALSE)+1),1)</f>
        <v>2.7046471225168549</v>
      </c>
      <c r="T389" s="56">
        <f>VLOOKUP(B389,'Player Data'!$A1:$AE667,8,FALSE)*$Q389*IFERROR((VLOOKUP(P389,Settings!$E$28:$F$33,2,FALSE)+1),1)</f>
        <v>11.931158506194159</v>
      </c>
      <c r="U389" s="56">
        <f>SUM(S389:T389)</f>
        <v>14.635805628711013</v>
      </c>
      <c r="V389" s="56">
        <f>VLOOKUP(B389,'Player Data'!$A1:$AE667,10,FALSE)*$Q389*IFERROR(((VLOOKUP(P389,Settings!$E$28:$F$33,2,FALSE)/2)+1),1)</f>
        <v>71.970341791935851</v>
      </c>
      <c r="W389" s="56">
        <f>VLOOKUP(B389,'Player Data'!$A1:$AE667,11,FALSE)*$Q389*IFERROR((VLOOKUP(P389,Settings!$E$28:$F$33,2,FALSE)+1),1)</f>
        <v>9.3580085939117316E-3</v>
      </c>
      <c r="X389" s="56">
        <f>VLOOKUP(B389,'Player Data'!$A1:$AE667,12,FALSE)*$Q389*IFERROR((VLOOKUP(P389,Settings!$E$28:$F$33,2,FALSE)+1),1)</f>
        <v>6.3172605934198295E-2</v>
      </c>
      <c r="Y389" s="56">
        <f>VLOOKUP(B389,'Player Data'!$A1:$AE667,13,FALSE)*$Q389</f>
        <v>2.8627115297657362E-2</v>
      </c>
      <c r="Z389" s="56">
        <f>VLOOKUP(B389,'Player Data'!$A1:$AE667,14,FALSE)*$Q389</f>
        <v>0.30011495762860479</v>
      </c>
      <c r="AA389" s="56">
        <f>VLOOKUP(B389,'Player Data'!$A1:$AE667,15,FALSE)*$Q389</f>
        <v>140.39888824289403</v>
      </c>
      <c r="AB389" s="56">
        <f>VLOOKUP(B389,'Player Data'!$A1:$AE667,16,FALSE)*$Q389</f>
        <v>97.787765063382054</v>
      </c>
      <c r="AC389" s="56">
        <f>VLOOKUP(B389,'Player Data'!$A1:$AE667,17,FALSE)*$Q389*IFERROR((VLOOKUP(P389,Settings!$E$28:$F$33,2,FALSE)+1),1)</f>
        <v>0.74674854002645263</v>
      </c>
      <c r="AD389" s="56">
        <f>VLOOKUP(B389,'Player Data'!$A1:$AE667,18,FALSE)*$Q389</f>
        <v>45.813525896583101</v>
      </c>
      <c r="AE389" s="56">
        <f>VLOOKUP(B389,'Player Data'!$A1:$AE667,19,FALSE)*$Q389*IFERROR((VLOOKUP(P389,Settings!$E$28:$F$33,2,FALSE)+1),1)</f>
        <v>0.42505947012839124</v>
      </c>
      <c r="AF389" s="56">
        <f>VLOOKUP(B389,'Player Data'!$A1:$AE667,20,FALSE)*$Q389</f>
        <v>0</v>
      </c>
      <c r="AG389" s="56">
        <f>VLOOKUP(B389,'Player Data'!$A1:$AE667,21,FALSE)*$Q389</f>
        <v>0</v>
      </c>
      <c r="AH389" s="58">
        <f>VLOOKUP(B389,'Player Data'!$A1:$AE667,22,FALSE)</f>
        <v>0</v>
      </c>
      <c r="AI389" s="54"/>
      <c r="AJ389" s="56"/>
      <c r="AK389" s="56"/>
      <c r="AL389" s="56"/>
      <c r="AM389" s="56"/>
      <c r="AN389" s="56"/>
      <c r="AO389" s="56"/>
      <c r="AP389" s="56"/>
      <c r="AQ389" s="59"/>
      <c r="AR389" s="60"/>
      <c r="AS389" s="54"/>
    </row>
    <row r="390" spans="1:45" ht="21.25" customHeight="1" x14ac:dyDescent="0.15">
      <c r="A390" s="45">
        <f>RANK(K390,K$1:K$665)</f>
        <v>389</v>
      </c>
      <c r="B390" s="9" t="s">
        <v>515</v>
      </c>
      <c r="C390" s="46" t="s">
        <v>127</v>
      </c>
      <c r="D390" s="47" t="str">
        <f>VLOOKUP(B390,'Player Data'!A1:D667,4,FALSE)</f>
        <v>LW/RW</v>
      </c>
      <c r="E390" s="68">
        <f>VLOOKUP(B390,RW!A1:C136,3,FALSE)</f>
        <v>88</v>
      </c>
      <c r="F390" s="55" t="str">
        <f>VLOOKUP(B390,'Player Data'!A1:B667,2,FALSE)</f>
        <v>N.J</v>
      </c>
      <c r="G390" s="63">
        <f>VLOOKUP(B390,'Player Data'!A1:D667,3,FALSE)</f>
        <v>31</v>
      </c>
      <c r="H390" s="50">
        <f>IFERROR(VLOOKUP(B390,ADP!A1:G665,7,FALSE)/1000000,VLOOKUP(B390,ADP!A1:G665,7,FALSE))</f>
        <v>2.75</v>
      </c>
      <c r="I390" s="51">
        <f>IF(Settings!$E$15="POINTS",((R390*Q390)*Settings!$B$12)+(S390*Settings!$B$2)+(T390*Settings!$B$3)+(U390*Settings!$B$4)+(V390*Settings!$B$5)+(X390*Settings!$B$9)+(AA390*Settings!$B$6)+(W390*Settings!$B$8)+(AB390*Settings!$B$7)+(AC390*Settings!$B$14)+(AD390*Settings!$B$15)+(AE390*Settings!$B$16)+(AF390*Settings!$B$17)+(AG390*Settings!$B$18)+(Y390*Settings!$B$10)+(Z390*Settings!$B$11),VLOOKUP(B390,'Standard Deviations'!A1:C666,3,FALSE))</f>
        <v>182.72801310430762</v>
      </c>
      <c r="J390" s="52">
        <f>IF(D390="G",I390/AJ390,I390/Q390)</f>
        <v>2.4927937396992959</v>
      </c>
      <c r="K390" s="51">
        <f>IF(Settings!$E$18="C/LW/RW",VLOOKUP(B390,RW!A1:F136,6,FALSE),VLOOKUP(B390,F!A1:F392,6,FALSE))</f>
        <v>-186.11971000198477</v>
      </c>
      <c r="L390" s="53">
        <f>IFERROR(K390/H390,"N/A")</f>
        <v>-67.679894546176286</v>
      </c>
      <c r="M390" s="83" t="str">
        <f>IF(Settings!$E$9="YAHOO",VLOOKUP(B390,ADP!A1:E665,2,FALSE),IF(Settings!$E$9="ESPN",VLOOKUP(B390,ADP!A1:E665,3,FALSE),IF(Settings!$E$9="FANTRAX",VLOOKUP(B390,ADP!A1:E665,4,FALSE),VLOOKUP(B390,ADP!A1:E665,5,FALSE))))</f>
        <v>—</v>
      </c>
      <c r="N390" s="83" t="str">
        <f>IFERROR(M390-A390,"N/A")</f>
        <v>N/A</v>
      </c>
      <c r="O390" s="54"/>
      <c r="P390" s="55" t="str">
        <f>IF(Settings!$E$27="ON",VLOOKUP(B390,ADP!A1:H665,8,FALSE)," ")</f>
        <v xml:space="preserve"> </v>
      </c>
      <c r="Q390" s="56">
        <f>IF(Settings!$E$12="YES",VLOOKUP(B390,'Player Data'!A1:E667,5,FALSE),82)</f>
        <v>73.302499999999995</v>
      </c>
      <c r="R390" s="75">
        <f>VLOOKUP(B390,'Player Data'!$A1:$AE667,6,FALSE)</f>
        <v>14.483167423396999</v>
      </c>
      <c r="S390" s="56">
        <f>VLOOKUP(B390,'Player Data'!$A1:$AE667,7,FALSE)*$Q390*IFERROR((VLOOKUP(P390,Settings!$E$28:$F$33,2,FALSE)+1),1)</f>
        <v>12.251700349368848</v>
      </c>
      <c r="T390" s="56">
        <f>VLOOKUP(B390,'Player Data'!$A1:$AE667,8,FALSE)*$Q390*IFERROR((VLOOKUP(P390,Settings!$E$28:$F$33,2,FALSE)+1),1)</f>
        <v>20.883675674944374</v>
      </c>
      <c r="U390" s="56">
        <f>SUM(S390:T390)</f>
        <v>33.135376024313224</v>
      </c>
      <c r="V390" s="56">
        <f>VLOOKUP(B390,'Player Data'!$A1:$AE667,10,FALSE)*$Q390*IFERROR(((VLOOKUP(P390,Settings!$E$28:$F$33,2,FALSE)/2)+1),1)</f>
        <v>124.88280208835754</v>
      </c>
      <c r="W390" s="56">
        <f>VLOOKUP(B390,'Player Data'!$A1:$AE667,11,FALSE)*$Q390*IFERROR((VLOOKUP(P390,Settings!$E$28:$F$33,2,FALSE)+1),1)</f>
        <v>2.5474563869743245</v>
      </c>
      <c r="X390" s="56">
        <f>VLOOKUP(B390,'Player Data'!$A1:$AE667,12,FALSE)*$Q390*IFERROR((VLOOKUP(P390,Settings!$E$28:$F$33,2,FALSE)+1),1)</f>
        <v>7.0458225305026625</v>
      </c>
      <c r="Y390" s="56">
        <f>VLOOKUP(B390,'Player Data'!$A1:$AE667,13,FALSE)*$Q390</f>
        <v>6.8926396013771303E-3</v>
      </c>
      <c r="Z390" s="56">
        <f>VLOOKUP(B390,'Player Data'!$A1:$AE667,14,FALSE)*$Q390</f>
        <v>1.1937209577941019E-2</v>
      </c>
      <c r="AA390" s="56">
        <f>VLOOKUP(B390,'Player Data'!$A1:$AE667,15,FALSE)*$Q390</f>
        <v>27.645448494217096</v>
      </c>
      <c r="AB390" s="56">
        <f>VLOOKUP(B390,'Player Data'!$A1:$AE667,16,FALSE)*$Q390</f>
        <v>120.01930835482192</v>
      </c>
      <c r="AC390" s="56">
        <f>VLOOKUP(B390,'Player Data'!$A1:$AE667,17,FALSE)*$Q390*IFERROR((VLOOKUP(P390,Settings!$E$28:$F$33,2,FALSE)+1),1)</f>
        <v>7.311528029857068</v>
      </c>
      <c r="AD390" s="56">
        <f>VLOOKUP(B390,'Player Data'!$A1:$AE667,18,FALSE)*$Q390</f>
        <v>33.491707404647855</v>
      </c>
      <c r="AE390" s="56">
        <f>VLOOKUP(B390,'Player Data'!$A1:$AE667,19,FALSE)*$Q390*IFERROR((VLOOKUP(P390,Settings!$E$28:$F$33,2,FALSE)+1),1)</f>
        <v>1.8484914755823287</v>
      </c>
      <c r="AF390" s="56">
        <f>VLOOKUP(B390,'Player Data'!$A1:$AE667,20,FALSE)*$Q390</f>
        <v>53.649425126245191</v>
      </c>
      <c r="AG390" s="56">
        <f>VLOOKUP(B390,'Player Data'!$A1:$AE667,21,FALSE)*$Q390</f>
        <v>65.866981641795192</v>
      </c>
      <c r="AH390" s="58">
        <f>VLOOKUP(B390,'Player Data'!$A1:$AE667,22,FALSE)</f>
        <v>0.44888753416398303</v>
      </c>
      <c r="AI390" s="54"/>
      <c r="AJ390" s="64"/>
      <c r="AK390" s="56"/>
      <c r="AL390" s="56"/>
      <c r="AM390" s="56"/>
      <c r="AN390" s="56"/>
      <c r="AO390" s="56"/>
      <c r="AP390" s="56"/>
      <c r="AQ390" s="59"/>
      <c r="AR390" s="60"/>
      <c r="AS390" s="54"/>
    </row>
    <row r="391" spans="1:45" ht="21.25" customHeight="1" x14ac:dyDescent="0.15">
      <c r="A391" s="45">
        <f>RANK(K391,K$1:K$665)</f>
        <v>390</v>
      </c>
      <c r="B391" s="9" t="s">
        <v>516</v>
      </c>
      <c r="C391" s="46" t="s">
        <v>127</v>
      </c>
      <c r="D391" s="47" t="str">
        <f>VLOOKUP(B391,'Player Data'!A1:D667,4,FALSE)</f>
        <v>RW</v>
      </c>
      <c r="E391" s="61">
        <f>VLOOKUP(B391,RW!A1:F136,3,FALSE)</f>
        <v>89</v>
      </c>
      <c r="F391" s="65" t="str">
        <f>VLOOKUP(B391,'Player Data'!A1:B667,2,FALSE)</f>
        <v>CGY</v>
      </c>
      <c r="G391" s="10">
        <f>VLOOKUP(B391,'Player Data'!A1:D667,3,FALSE)</f>
        <v>29</v>
      </c>
      <c r="H391" s="67">
        <f>IFERROR(VLOOKUP(B391,ADP!A1:G665,7,FALSE)/1000000,VLOOKUP(B391,ADP!A1:G665,7,FALSE))</f>
        <v>3.5</v>
      </c>
      <c r="I391" s="51">
        <f>IF(Settings!$E$15="POINTS",((R391*Q391)*Settings!$B$12)+(S391*Settings!$B$2)+(T391*Settings!$B$3)+(U391*Settings!$B$4)+(V391*Settings!$B$5)+(X391*Settings!$B$9)+(AA391*Settings!$B$6)+(W391*Settings!$B$8)+(AB391*Settings!$B$7)+(AC391*Settings!$B$14)+(AD391*Settings!$B$15)+(AE391*Settings!$B$16)+(AF391*Settings!$B$17)+(AG391*Settings!$B$18)+(Y391*Settings!$B$10)+(Z391*Settings!$B$11),VLOOKUP(B391,'Standard Deviations'!A1:C666,3,FALSE))</f>
        <v>182.62694465390925</v>
      </c>
      <c r="J391" s="52">
        <f>IF(D391="G",I391/AJ391,I391/Q391)</f>
        <v>2.4663485553720146</v>
      </c>
      <c r="K391" s="51">
        <f>IF(Settings!$E$18="C/LW/RW",VLOOKUP(B391,RW!A1:F136,6,FALSE),VLOOKUP(B391,F!A1:F392,6,FALSE))</f>
        <v>-186.22077845238314</v>
      </c>
      <c r="L391" s="53">
        <f>IFERROR(K391/H391,"N/A")</f>
        <v>-53.205936700680901</v>
      </c>
      <c r="M391" s="83" t="str">
        <f>IF(Settings!$E$9="YAHOO",VLOOKUP(B391,ADP!A1:E665,2,FALSE),IF(Settings!$E$9="ESPN",VLOOKUP(B391,ADP!A1:E665,3,FALSE),IF(Settings!$E$9="FANTRAX",VLOOKUP(B391,ADP!A1:E665,4,FALSE),VLOOKUP(B391,ADP!A1:E665,5,FALSE))))</f>
        <v>—</v>
      </c>
      <c r="N391" s="83" t="str">
        <f>IFERROR(M391-A391,"N/A")</f>
        <v>N/A</v>
      </c>
      <c r="O391" s="54"/>
      <c r="P391" s="55" t="str">
        <f>IF(Settings!$E$27="ON",VLOOKUP(B391,ADP!A1:H665,8,FALSE)," ")</f>
        <v xml:space="preserve"> </v>
      </c>
      <c r="Q391" s="56">
        <f>IF(Settings!$E$12="YES",VLOOKUP(B391,'Player Data'!A1:E667,5,FALSE),82)</f>
        <v>74.047499999999999</v>
      </c>
      <c r="R391" s="54">
        <f>VLOOKUP(B391,'Player Data'!$A1:$AE667,6,FALSE)</f>
        <v>13.8291653734943</v>
      </c>
      <c r="S391" s="56">
        <f>VLOOKUP(B391,'Player Data'!$A1:$AE667,7,FALSE)*$Q391*IFERROR((VLOOKUP(P391,Settings!$E$28:$F$33,2,FALSE)+1),1)</f>
        <v>16.382630878838896</v>
      </c>
      <c r="T391" s="56">
        <f>VLOOKUP(B391,'Player Data'!$A1:$AE667,8,FALSE)*$Q391*IFERROR((VLOOKUP(P391,Settings!$E$28:$F$33,2,FALSE)+1),1)</f>
        <v>18.642538793424254</v>
      </c>
      <c r="U391" s="56">
        <f>SUM(S391:T391)</f>
        <v>35.025169672263146</v>
      </c>
      <c r="V391" s="56">
        <f>VLOOKUP(B391,'Player Data'!$A1:$AE667,10,FALSE)*$Q391*IFERROR(((VLOOKUP(P391,Settings!$E$28:$F$33,2,FALSE)/2)+1),1)</f>
        <v>116.56171657285769</v>
      </c>
      <c r="W391" s="56">
        <f>VLOOKUP(B391,'Player Data'!$A1:$AE667,11,FALSE)*$Q391*IFERROR((VLOOKUP(P391,Settings!$E$28:$F$33,2,FALSE)+1),1)</f>
        <v>1.6966996286371212</v>
      </c>
      <c r="X391" s="56">
        <f>VLOOKUP(B391,'Player Data'!$A1:$AE667,12,FALSE)*$Q391*IFERROR((VLOOKUP(P391,Settings!$E$28:$F$33,2,FALSE)+1),1)</f>
        <v>4.520378608153643</v>
      </c>
      <c r="Y391" s="56">
        <f>VLOOKUP(B391,'Player Data'!$A1:$AE667,13,FALSE)*$Q391</f>
        <v>3.2420355937054341E-3</v>
      </c>
      <c r="Z391" s="56">
        <f>VLOOKUP(B391,'Player Data'!$A1:$AE667,14,FALSE)*$Q391</f>
        <v>5.5001612351290724E-3</v>
      </c>
      <c r="AA391" s="56">
        <f>VLOOKUP(B391,'Player Data'!$A1:$AE667,15,FALSE)*$Q391</f>
        <v>29.489397162604433</v>
      </c>
      <c r="AB391" s="56">
        <f>VLOOKUP(B391,'Player Data'!$A1:$AE667,16,FALSE)*$Q391</f>
        <v>63.357812507111881</v>
      </c>
      <c r="AC391" s="56">
        <f>VLOOKUP(B391,'Player Data'!$A1:$AE667,17,FALSE)*$Q391*IFERROR((VLOOKUP(P391,Settings!$E$28:$F$33,2,FALSE)+1),1)</f>
        <v>1.4031719180244395</v>
      </c>
      <c r="AD391" s="56">
        <f>VLOOKUP(B391,'Player Data'!$A1:$AE667,18,FALSE)*$Q391</f>
        <v>26.946901960289246</v>
      </c>
      <c r="AE391" s="56">
        <f>VLOOKUP(B391,'Player Data'!$A1:$AE667,19,FALSE)*$Q391*IFERROR((VLOOKUP(P391,Settings!$E$28:$F$33,2,FALSE)+1),1)</f>
        <v>2.3801305133299966</v>
      </c>
      <c r="AF391" s="56">
        <f>VLOOKUP(B391,'Player Data'!$A1:$AE667,20,FALSE)*$Q391</f>
        <v>5.0450001703653458</v>
      </c>
      <c r="AG391" s="56">
        <f>VLOOKUP(B391,'Player Data'!$A1:$AE667,21,FALSE)*$Q391</f>
        <v>6.4578720319438192</v>
      </c>
      <c r="AH391" s="58">
        <f>VLOOKUP(B391,'Player Data'!$A1:$AE667,22,FALSE)</f>
        <v>0.43858612715462297</v>
      </c>
      <c r="AI391" s="54"/>
      <c r="AJ391" s="56"/>
      <c r="AK391" s="56"/>
      <c r="AL391" s="56"/>
      <c r="AM391" s="56"/>
      <c r="AN391" s="56"/>
      <c r="AO391" s="56"/>
      <c r="AP391" s="56"/>
      <c r="AQ391" s="59"/>
      <c r="AR391" s="60"/>
      <c r="AS391" s="54"/>
    </row>
    <row r="392" spans="1:45" ht="21.25" customHeight="1" x14ac:dyDescent="0.15">
      <c r="A392" s="45">
        <f>RANK(K392,K$1:K$665)</f>
        <v>391</v>
      </c>
      <c r="B392" s="9" t="s">
        <v>517</v>
      </c>
      <c r="C392" s="46" t="s">
        <v>127</v>
      </c>
      <c r="D392" s="47" t="str">
        <f>VLOOKUP(B392,'Player Data'!A1:D667,4,FALSE)</f>
        <v>LW</v>
      </c>
      <c r="E392" s="70">
        <f>VLOOKUP(B392,LW!A1:C152,3,FALSE)</f>
        <v>89</v>
      </c>
      <c r="F392" s="71" t="str">
        <f>VLOOKUP(B392,'Player Data'!A1:B667,2,FALSE)</f>
        <v>VAN</v>
      </c>
      <c r="G392" s="69">
        <f>VLOOKUP(B392,'Player Data'!A1:D667,3,FALSE)</f>
        <v>23</v>
      </c>
      <c r="H392" s="67">
        <f>IFERROR(VLOOKUP(B392,ADP!A1:G665,7,FALSE)/1000000,VLOOKUP(B392,ADP!A1:G665,7,FALSE))</f>
        <v>1.1000000000000001</v>
      </c>
      <c r="I392" s="51">
        <f>IF(Settings!$E$15="POINTS",((R392*Q392)*Settings!$B$12)+(S392*Settings!$B$2)+(T392*Settings!$B$3)+(U392*Settings!$B$4)+(V392*Settings!$B$5)+(X392*Settings!$B$9)+(AA392*Settings!$B$6)+(W392*Settings!$B$8)+(AB392*Settings!$B$7)+(AC392*Settings!$B$14)+(AD392*Settings!$B$15)+(AE392*Settings!$B$16)+(AF392*Settings!$B$17)+(AG392*Settings!$B$18)+(Y392*Settings!$B$10)+(Z392*Settings!$B$11),VLOOKUP(B392,'Standard Deviations'!A1:C666,3,FALSE))</f>
        <v>194.60909310774798</v>
      </c>
      <c r="J392" s="52">
        <f>IF(D392="G",I392/AJ392,I392/Q392)</f>
        <v>2.7165813031966217</v>
      </c>
      <c r="K392" s="51">
        <f>IF(Settings!$E$18="C/LW/RW",VLOOKUP(B392,LW!A1:F152,6,FALSE),VLOOKUP(B392,F!A1:F392,6,FALSE))</f>
        <v>-186.45241919475177</v>
      </c>
      <c r="L392" s="53">
        <f>IFERROR(K392/H392,"N/A")</f>
        <v>-169.50219926795614</v>
      </c>
      <c r="M392" s="83" t="str">
        <f>IF(Settings!$E$9="YAHOO",VLOOKUP(B392,ADP!A1:E665,2,FALSE),IF(Settings!$E$9="ESPN",VLOOKUP(B392,ADP!A1:E665,3,FALSE),IF(Settings!$E$9="FANTRAX",VLOOKUP(B392,ADP!A1:E665,4,FALSE),VLOOKUP(B392,ADP!A1:E665,5,FALSE))))</f>
        <v>—</v>
      </c>
      <c r="N392" s="83" t="str">
        <f>IFERROR(M392-A392,"N/A")</f>
        <v>N/A</v>
      </c>
      <c r="O392" s="54"/>
      <c r="P392" s="55" t="str">
        <f>IF(Settings!$E$27="ON",VLOOKUP(B392,ADP!A1:H665,8,FALSE)," ")</f>
        <v xml:space="preserve"> </v>
      </c>
      <c r="Q392" s="56">
        <f>IF(Settings!$E$12="YES",VLOOKUP(B392,'Player Data'!A1:E667,5,FALSE),82)</f>
        <v>71.637500000000003</v>
      </c>
      <c r="R392" s="75">
        <f>VLOOKUP(B392,'Player Data'!$A1:$AE667,6,FALSE)</f>
        <v>14.280513207578499</v>
      </c>
      <c r="S392" s="56">
        <f>VLOOKUP(B392,'Player Data'!$A1:$AE667,7,FALSE)*$Q392*IFERROR((VLOOKUP(P392,Settings!$E$28:$F$33,2,FALSE)+1),1)</f>
        <v>21.291592914796183</v>
      </c>
      <c r="T392" s="56">
        <f>VLOOKUP(B392,'Player Data'!$A1:$AE667,8,FALSE)*$Q392*IFERROR((VLOOKUP(P392,Settings!$E$28:$F$33,2,FALSE)+1),1)</f>
        <v>16.741071448968679</v>
      </c>
      <c r="U392" s="56">
        <f>SUM(S392:T392)</f>
        <v>38.032664363764866</v>
      </c>
      <c r="V392" s="56">
        <f>VLOOKUP(B392,'Player Data'!$A1:$AE667,10,FALSE)*$Q392*IFERROR(((VLOOKUP(P392,Settings!$E$28:$F$33,2,FALSE)/2)+1),1)</f>
        <v>133.01020062496195</v>
      </c>
      <c r="W392" s="56">
        <f>VLOOKUP(B392,'Player Data'!$A1:$AE667,11,FALSE)*$Q392*IFERROR((VLOOKUP(P392,Settings!$E$28:$F$33,2,FALSE)+1),1)</f>
        <v>1.1316219771315457</v>
      </c>
      <c r="X392" s="56">
        <f>VLOOKUP(B392,'Player Data'!$A1:$AE667,12,FALSE)*$Q392*IFERROR((VLOOKUP(P392,Settings!$E$28:$F$33,2,FALSE)+1),1)</f>
        <v>2.8013155110881125</v>
      </c>
      <c r="Y392" s="56">
        <f>VLOOKUP(B392,'Player Data'!$A1:$AE667,13,FALSE)*$Q392</f>
        <v>2.4865976269019996E-3</v>
      </c>
      <c r="Z392" s="56">
        <f>VLOOKUP(B392,'Player Data'!$A1:$AE667,14,FALSE)*$Q392</f>
        <v>4.2242904326012633E-3</v>
      </c>
      <c r="AA392" s="56">
        <f>VLOOKUP(B392,'Player Data'!$A1:$AE667,15,FALSE)*$Q392</f>
        <v>22.400919804903396</v>
      </c>
      <c r="AB392" s="56">
        <f>VLOOKUP(B392,'Player Data'!$A1:$AE667,16,FALSE)*$Q392</f>
        <v>91.325559110329877</v>
      </c>
      <c r="AC392" s="56">
        <f>VLOOKUP(B392,'Player Data'!$A1:$AE667,17,FALSE)*$Q392*IFERROR((VLOOKUP(P392,Settings!$E$28:$F$33,2,FALSE)+1),1)</f>
        <v>6.2213123440816425</v>
      </c>
      <c r="AD392" s="56">
        <f>VLOOKUP(B392,'Player Data'!$A1:$AE667,18,FALSE)*$Q392</f>
        <v>35.51726729376157</v>
      </c>
      <c r="AE392" s="56">
        <f>VLOOKUP(B392,'Player Data'!$A1:$AE667,19,FALSE)*$Q392*IFERROR((VLOOKUP(P392,Settings!$E$28:$F$33,2,FALSE)+1),1)</f>
        <v>3.6360548199461489</v>
      </c>
      <c r="AF392" s="56">
        <f>VLOOKUP(B392,'Player Data'!$A1:$AE667,20,FALSE)*$Q392</f>
        <v>3.9428436561867126E-2</v>
      </c>
      <c r="AG392" s="56">
        <f>VLOOKUP(B392,'Player Data'!$A1:$AE667,21,FALSE)*$Q392</f>
        <v>0.49067652652592514</v>
      </c>
      <c r="AH392" s="58">
        <f>VLOOKUP(B392,'Player Data'!$A1:$AE667,22,FALSE)</f>
        <v>7.4378546339580798E-2</v>
      </c>
      <c r="AI392" s="54"/>
      <c r="AJ392" s="56"/>
      <c r="AK392" s="56"/>
      <c r="AL392" s="56"/>
      <c r="AM392" s="56"/>
      <c r="AN392" s="56"/>
      <c r="AO392" s="56"/>
      <c r="AP392" s="56"/>
      <c r="AQ392" s="59"/>
      <c r="AR392" s="60"/>
      <c r="AS392" s="54"/>
    </row>
    <row r="393" spans="1:45" ht="21.25" customHeight="1" x14ac:dyDescent="0.15">
      <c r="A393" s="45">
        <f>RANK(K393,K$1:K$665)</f>
        <v>392</v>
      </c>
      <c r="B393" s="9" t="s">
        <v>518</v>
      </c>
      <c r="C393" s="46" t="s">
        <v>127</v>
      </c>
      <c r="D393" s="47" t="str">
        <f>VLOOKUP(B393,'Player Data'!A1:D667,4,FALSE)</f>
        <v>D</v>
      </c>
      <c r="E393" s="66">
        <f>VLOOKUP(B393,D!A1:C213,3,FALSE)</f>
        <v>142</v>
      </c>
      <c r="F393" s="55" t="str">
        <f>VLOOKUP(B393,'Player Data'!A1:B667,2,FALSE)</f>
        <v>N.J</v>
      </c>
      <c r="G393" s="63">
        <f>VLOOKUP(B393,'Player Data'!A1:D667,3,FALSE)</f>
        <v>33</v>
      </c>
      <c r="H393" s="50">
        <f>IFERROR(VLOOKUP(B393,ADP!A1:G665,7,FALSE)/1000000,VLOOKUP(B393,ADP!A1:G665,7,FALSE))</f>
        <v>4</v>
      </c>
      <c r="I393" s="51">
        <f>IF(Settings!$E$15="POINTS",((R393*Q393)*Settings!$B$12)+(S393*Settings!$B$2)+(T393*Settings!$B$3)+(U393*Settings!$B$4)+(V393*Settings!$B$5)+(X393*Settings!$B$9)+(AA393*Settings!$B$6)+(W393*Settings!$B$8)+(AB393*Settings!$B$7)+(AC393*Settings!$B$14)+(AD393*Settings!$B$15)+(AE393*Settings!$B$16)+(AF393*Settings!$B$17)+(AG393*Settings!$B$18)+(U393*Settings!$B$13)+(Y393*Settings!$B$10)+(Z393*Settings!$B$11),VLOOKUP(B393,'Standard Deviations'!A1:C666,3,FALSE))</f>
        <v>149.69616645975813</v>
      </c>
      <c r="J393" s="52">
        <f>IF(D393="G",I393/AJ393,I393/Q393)</f>
        <v>1.8517013508953599</v>
      </c>
      <c r="K393" s="51">
        <f>VLOOKUP(B393,D!A1:F213,6,FALSE)</f>
        <v>-186.53795858583678</v>
      </c>
      <c r="L393" s="53">
        <f>IFERROR(K393/H393,"N/A")</f>
        <v>-46.634489646459194</v>
      </c>
      <c r="M393" s="54">
        <f>IF(Settings!$E$9="YAHOO",VLOOKUP(B393,ADP!A1:E665,2,FALSE),IF(Settings!$E$9="ESPN",VLOOKUP(B393,ADP!A1:E665,3,FALSE),IF(Settings!$E$9="FANTRAX",VLOOKUP(B393,ADP!A1:E665,4,FALSE),VLOOKUP(B393,ADP!A1:E665,5,FALSE))))</f>
        <v>182</v>
      </c>
      <c r="N393" s="54">
        <f>IFERROR(M393-A393,"N/A")</f>
        <v>-210</v>
      </c>
      <c r="O393" s="54"/>
      <c r="P393" s="55" t="str">
        <f>IF(Settings!$E$27="ON",VLOOKUP(B393,ADP!A1:H665,8,FALSE)," ")</f>
        <v xml:space="preserve"> </v>
      </c>
      <c r="Q393" s="56">
        <f>IF(Settings!$E$12="YES",VLOOKUP(B393,'Player Data'!A1:E667,5,FALSE),82)</f>
        <v>80.842500000000001</v>
      </c>
      <c r="R393" s="54">
        <f>VLOOKUP(B393,'Player Data'!$A1:$AE667,6,FALSE)</f>
        <v>18.1452122990212</v>
      </c>
      <c r="S393" s="56">
        <f>VLOOKUP(B393,'Player Data'!$A1:$AE667,7,FALSE)*$Q393*IFERROR((VLOOKUP(P393,Settings!$E$28:$F$33,2,FALSE)+1),1)</f>
        <v>3.616082828351034</v>
      </c>
      <c r="T393" s="56">
        <f>VLOOKUP(B393,'Player Data'!$A1:$AE667,8,FALSE)*$Q393*IFERROR((VLOOKUP(P393,Settings!$E$28:$F$33,2,FALSE)+1),1)</f>
        <v>14.436703228273307</v>
      </c>
      <c r="U393" s="56">
        <f>SUM(S393:T393)</f>
        <v>18.052786056624342</v>
      </c>
      <c r="V393" s="56">
        <f>VLOOKUP(B393,'Player Data'!$A1:$AE667,10,FALSE)*$Q393*IFERROR(((VLOOKUP(P393,Settings!$E$28:$F$33,2,FALSE)/2)+1),1)</f>
        <v>75.570649266059718</v>
      </c>
      <c r="W393" s="56">
        <f>VLOOKUP(B393,'Player Data'!$A1:$AE667,11,FALSE)*$Q393*IFERROR((VLOOKUP(P393,Settings!$E$28:$F$33,2,FALSE)+1),1)</f>
        <v>1.8806891678557966E-2</v>
      </c>
      <c r="X393" s="56">
        <f>VLOOKUP(B393,'Player Data'!$A1:$AE667,12,FALSE)*$Q393*IFERROR((VLOOKUP(P393,Settings!$E$28:$F$33,2,FALSE)+1),1)</f>
        <v>0.12725781391693394</v>
      </c>
      <c r="Y393" s="56">
        <f>VLOOKUP(B393,'Player Data'!$A1:$AE667,13,FALSE)*$Q393</f>
        <v>2.7055456429064612E-2</v>
      </c>
      <c r="Z393" s="56">
        <f>VLOOKUP(B393,'Player Data'!$A1:$AE667,14,FALSE)*$Q393</f>
        <v>0.38899200222433256</v>
      </c>
      <c r="AA393" s="56">
        <f>VLOOKUP(B393,'Player Data'!$A1:$AE667,15,FALSE)*$Q393</f>
        <v>114.47246768142793</v>
      </c>
      <c r="AB393" s="56">
        <f>VLOOKUP(B393,'Player Data'!$A1:$AE667,16,FALSE)*$Q393</f>
        <v>197.94975116407949</v>
      </c>
      <c r="AC393" s="56">
        <f>VLOOKUP(B393,'Player Data'!$A1:$AE667,17,FALSE)*$Q393*IFERROR((VLOOKUP(P393,Settings!$E$28:$F$33,2,FALSE)+1),1)</f>
        <v>-0.2210140554162224</v>
      </c>
      <c r="AD393" s="56">
        <f>VLOOKUP(B393,'Player Data'!$A1:$AE667,18,FALSE)*$Q393</f>
        <v>64.991897389684652</v>
      </c>
      <c r="AE393" s="56">
        <f>VLOOKUP(B393,'Player Data'!$A1:$AE667,19,FALSE)*$Q393*IFERROR((VLOOKUP(P393,Settings!$E$28:$F$33,2,FALSE)+1),1)</f>
        <v>0.54558127383117572</v>
      </c>
      <c r="AF393" s="56">
        <f>VLOOKUP(B393,'Player Data'!$A1:$AE667,20,FALSE)*$Q393</f>
        <v>0</v>
      </c>
      <c r="AG393" s="56">
        <f>VLOOKUP(B393,'Player Data'!$A1:$AE667,21,FALSE)*$Q393</f>
        <v>0</v>
      </c>
      <c r="AH393" s="58">
        <f>VLOOKUP(B393,'Player Data'!$A1:$AE667,22,FALSE)</f>
        <v>0</v>
      </c>
      <c r="AI393" s="54"/>
      <c r="AJ393" s="56"/>
      <c r="AK393" s="56"/>
      <c r="AL393" s="56"/>
      <c r="AM393" s="56"/>
      <c r="AN393" s="56"/>
      <c r="AO393" s="56"/>
      <c r="AP393" s="56"/>
      <c r="AQ393" s="59"/>
      <c r="AR393" s="60"/>
      <c r="AS393" s="54"/>
    </row>
    <row r="394" spans="1:45" ht="21.25" customHeight="1" x14ac:dyDescent="0.15">
      <c r="A394" s="45">
        <f>RANK(K394,K$1:K$665)</f>
        <v>393</v>
      </c>
      <c r="B394" s="9" t="s">
        <v>519</v>
      </c>
      <c r="C394" s="46" t="s">
        <v>127</v>
      </c>
      <c r="D394" s="47" t="str">
        <f>VLOOKUP(B394,'Player Data'!A1:D667,4,FALSE)</f>
        <v>D</v>
      </c>
      <c r="E394" s="66">
        <f>VLOOKUP(B394,D!A1:C213,3,FALSE)</f>
        <v>143</v>
      </c>
      <c r="F394" s="65" t="str">
        <f>VLOOKUP(B394,'Player Data'!A1:B667,2,FALSE)</f>
        <v>BUF</v>
      </c>
      <c r="G394" s="10">
        <f>VLOOKUP(B394,'Player Data'!A1:D667,3,FALSE)</f>
        <v>29</v>
      </c>
      <c r="H394" s="50">
        <f>IFERROR(VLOOKUP(B394,ADP!A1:G665,7,FALSE)/1000000,VLOOKUP(B394,ADP!A1:G665,7,FALSE))</f>
        <v>3.3330000000000002</v>
      </c>
      <c r="I394" s="51">
        <f>IF(Settings!$E$15="POINTS",((R394*Q394)*Settings!$B$12)+(S394*Settings!$B$2)+(T394*Settings!$B$3)+(U394*Settings!$B$4)+(V394*Settings!$B$5)+(X394*Settings!$B$9)+(AA394*Settings!$B$6)+(W394*Settings!$B$8)+(AB394*Settings!$B$7)+(AC394*Settings!$B$14)+(AD394*Settings!$B$15)+(AE394*Settings!$B$16)+(AF394*Settings!$B$17)+(AG394*Settings!$B$18)+(U394*Settings!$B$13)+(Y394*Settings!$B$10)+(Z394*Settings!$B$11),VLOOKUP(B394,'Standard Deviations'!A1:C666,3,FALSE))</f>
        <v>149.67633095188253</v>
      </c>
      <c r="J394" s="52">
        <f>IF(D394="G",I394/AJ394,I394/Q394)</f>
        <v>1.9007121616798315</v>
      </c>
      <c r="K394" s="51">
        <f>VLOOKUP(B394,D!A1:F213,6,FALSE)</f>
        <v>-186.55779409371237</v>
      </c>
      <c r="L394" s="53">
        <f>IFERROR(K394/H394,"N/A")</f>
        <v>-55.972935521665875</v>
      </c>
      <c r="M394" s="54">
        <f>IF(Settings!$E$9="YAHOO",VLOOKUP(B394,ADP!A1:E665,2,FALSE),IF(Settings!$E$9="ESPN",VLOOKUP(B394,ADP!A1:E665,3,FALSE),IF(Settings!$E$9="FANTRAX",VLOOKUP(B394,ADP!A1:E665,4,FALSE),VLOOKUP(B394,ADP!A1:E665,5,FALSE))))</f>
        <v>188</v>
      </c>
      <c r="N394" s="54">
        <f>IFERROR(M394-A394,"N/A")</f>
        <v>-205</v>
      </c>
      <c r="O394" s="54"/>
      <c r="P394" s="55" t="str">
        <f>IF(Settings!$E$27="ON",VLOOKUP(B394,ADP!A1:H665,8,FALSE)," ")</f>
        <v xml:space="preserve"> </v>
      </c>
      <c r="Q394" s="56">
        <f>IF(Settings!$E$12="YES",VLOOKUP(B394,'Player Data'!A1:E667,5,FALSE),82)</f>
        <v>78.747500000000002</v>
      </c>
      <c r="R394" s="54">
        <f>VLOOKUP(B394,'Player Data'!$A1:$AE667,6,FALSE)</f>
        <v>16.487873470490602</v>
      </c>
      <c r="S394" s="56">
        <f>VLOOKUP(B394,'Player Data'!$A1:$AE667,7,FALSE)*$Q394*IFERROR((VLOOKUP(P394,Settings!$E$28:$F$33,2,FALSE)+1),1)</f>
        <v>3.6394886079801578</v>
      </c>
      <c r="T394" s="56">
        <f>VLOOKUP(B394,'Player Data'!$A1:$AE667,8,FALSE)*$Q394*IFERROR((VLOOKUP(P394,Settings!$E$28:$F$33,2,FALSE)+1),1)</f>
        <v>13.75806141157827</v>
      </c>
      <c r="U394" s="56">
        <f>SUM(S394:T394)</f>
        <v>17.397550019558427</v>
      </c>
      <c r="V394" s="56">
        <f>VLOOKUP(B394,'Player Data'!$A1:$AE667,10,FALSE)*$Q394*IFERROR(((VLOOKUP(P394,Settings!$E$28:$F$33,2,FALSE)/2)+1),1)</f>
        <v>80.050696431073234</v>
      </c>
      <c r="W394" s="56">
        <f>VLOOKUP(B394,'Player Data'!$A1:$AE667,11,FALSE)*$Q394*IFERROR((VLOOKUP(P394,Settings!$E$28:$F$33,2,FALSE)+1),1)</f>
        <v>8.6596387133781889E-3</v>
      </c>
      <c r="X394" s="56">
        <f>VLOOKUP(B394,'Player Data'!$A1:$AE667,12,FALSE)*$Q394*IFERROR((VLOOKUP(P394,Settings!$E$28:$F$33,2,FALSE)+1),1)</f>
        <v>5.6295071342332109E-2</v>
      </c>
      <c r="Y394" s="56">
        <f>VLOOKUP(B394,'Player Data'!$A1:$AE667,13,FALSE)*$Q394</f>
        <v>0.30321402767633143</v>
      </c>
      <c r="Z394" s="56">
        <f>VLOOKUP(B394,'Player Data'!$A1:$AE667,14,FALSE)*$Q394</f>
        <v>0.42944168036289326</v>
      </c>
      <c r="AA394" s="56">
        <f>VLOOKUP(B394,'Player Data'!$A1:$AE667,15,FALSE)*$Q394</f>
        <v>113.94519185193079</v>
      </c>
      <c r="AB394" s="56">
        <f>VLOOKUP(B394,'Player Data'!$A1:$AE667,16,FALSE)*$Q394</f>
        <v>177.74114267595124</v>
      </c>
      <c r="AC394" s="56">
        <f>VLOOKUP(B394,'Player Data'!$A1:$AE667,17,FALSE)*$Q394*IFERROR((VLOOKUP(P394,Settings!$E$28:$F$33,2,FALSE)+1),1)</f>
        <v>-0.95893647121087155</v>
      </c>
      <c r="AD394" s="56">
        <f>VLOOKUP(B394,'Player Data'!$A1:$AE667,18,FALSE)*$Q394</f>
        <v>52.746576354168532</v>
      </c>
      <c r="AE394" s="56">
        <f>VLOOKUP(B394,'Player Data'!$A1:$AE667,19,FALSE)*$Q394*IFERROR((VLOOKUP(P394,Settings!$E$28:$F$33,2,FALSE)+1),1)</f>
        <v>0.51482544739603586</v>
      </c>
      <c r="AF394" s="56">
        <f>VLOOKUP(B394,'Player Data'!$A1:$AE667,20,FALSE)*$Q394</f>
        <v>0</v>
      </c>
      <c r="AG394" s="56">
        <f>VLOOKUP(B394,'Player Data'!$A1:$AE667,21,FALSE)*$Q394</f>
        <v>0</v>
      </c>
      <c r="AH394" s="58">
        <f>VLOOKUP(B394,'Player Data'!$A1:$AE667,22,FALSE)</f>
        <v>0</v>
      </c>
      <c r="AI394" s="54"/>
      <c r="AJ394" s="56"/>
      <c r="AK394" s="56"/>
      <c r="AL394" s="56"/>
      <c r="AM394" s="56"/>
      <c r="AN394" s="56"/>
      <c r="AO394" s="56"/>
      <c r="AP394" s="56"/>
      <c r="AQ394" s="59"/>
      <c r="AR394" s="60"/>
      <c r="AS394" s="54"/>
    </row>
    <row r="395" spans="1:45" ht="21.25" customHeight="1" x14ac:dyDescent="0.15">
      <c r="A395" s="45">
        <f>RANK(K395,K$1:K$665)</f>
        <v>394</v>
      </c>
      <c r="B395" s="9" t="s">
        <v>520</v>
      </c>
      <c r="C395" s="46" t="s">
        <v>127</v>
      </c>
      <c r="D395" s="47" t="str">
        <f>VLOOKUP(B395,'Player Data'!A1:D667,4,FALSE)</f>
        <v>D</v>
      </c>
      <c r="E395" s="66">
        <f>VLOOKUP(B395,D!A1:C213,3,FALSE)</f>
        <v>144</v>
      </c>
      <c r="F395" s="55" t="str">
        <f>VLOOKUP(B395,'Player Data'!A1:B667,2,FALSE)</f>
        <v>DAL</v>
      </c>
      <c r="G395" s="10">
        <f>VLOOKUP(B395,'Player Data'!A1:D667,3,FALSE)</f>
        <v>30</v>
      </c>
      <c r="H395" s="50">
        <f>IFERROR(VLOOKUP(B395,ADP!A1:G665,7,FALSE)/1000000,VLOOKUP(B395,ADP!A1:G665,7,FALSE))</f>
        <v>3.75</v>
      </c>
      <c r="I395" s="51">
        <f>IF(Settings!$E$15="POINTS",((R395*Q395)*Settings!$B$12)+(S395*Settings!$B$2)+(T395*Settings!$B$3)+(U395*Settings!$B$4)+(V395*Settings!$B$5)+(X395*Settings!$B$9)+(AA395*Settings!$B$6)+(W395*Settings!$B$8)+(AB395*Settings!$B$7)+(AC395*Settings!$B$14)+(AD395*Settings!$B$15)+(AE395*Settings!$B$16)+(AF395*Settings!$B$17)+(AG395*Settings!$B$18)+(U395*Settings!$B$13)+(Y395*Settings!$B$10)+(Z395*Settings!$B$11),VLOOKUP(B395,'Standard Deviations'!A1:C666,3,FALSE))</f>
        <v>149.58981806412817</v>
      </c>
      <c r="J395" s="52">
        <f>IF(D395="G",I395/AJ395,I395/Q395)</f>
        <v>1.9165282093991631</v>
      </c>
      <c r="K395" s="51">
        <f>VLOOKUP(B395,D!A1:F213,6,FALSE)</f>
        <v>-186.64430698146674</v>
      </c>
      <c r="L395" s="53">
        <f>IFERROR(K395/H395,"N/A")</f>
        <v>-49.771815195057798</v>
      </c>
      <c r="M395" s="83" t="str">
        <f>IF(Settings!$E$9="YAHOO",VLOOKUP(B395,ADP!A1:E665,2,FALSE),IF(Settings!$E$9="ESPN",VLOOKUP(B395,ADP!A1:E665,3,FALSE),IF(Settings!$E$9="FANTRAX",VLOOKUP(B395,ADP!A1:E665,4,FALSE),VLOOKUP(B395,ADP!A1:E665,5,FALSE))))</f>
        <v>—</v>
      </c>
      <c r="N395" s="83" t="str">
        <f>IFERROR(M395-A395,"N/A")</f>
        <v>N/A</v>
      </c>
      <c r="O395" s="54"/>
      <c r="P395" s="55" t="str">
        <f>IF(Settings!$E$27="ON",VLOOKUP(B395,ADP!A1:H665,8,FALSE)," ")</f>
        <v xml:space="preserve"> </v>
      </c>
      <c r="Q395" s="56">
        <f>IF(Settings!$E$12="YES",VLOOKUP(B395,'Player Data'!A1:E667,5,FALSE),82)</f>
        <v>78.052499999999995</v>
      </c>
      <c r="R395" s="54">
        <f>VLOOKUP(B395,'Player Data'!$A1:$AE667,6,FALSE)</f>
        <v>19.008279143998902</v>
      </c>
      <c r="S395" s="56">
        <f>VLOOKUP(B395,'Player Data'!$A1:$AE667,7,FALSE)*$Q395*IFERROR((VLOOKUP(P395,Settings!$E$28:$F$33,2,FALSE)+1),1)</f>
        <v>4.4664783799872847</v>
      </c>
      <c r="T395" s="56">
        <f>VLOOKUP(B395,'Player Data'!$A1:$AE667,8,FALSE)*$Q395*IFERROR((VLOOKUP(P395,Settings!$E$28:$F$33,2,FALSE)+1),1)</f>
        <v>12.18941221241743</v>
      </c>
      <c r="U395" s="56">
        <f>SUM(S395:T395)</f>
        <v>16.655890592404717</v>
      </c>
      <c r="V395" s="56">
        <f>VLOOKUP(B395,'Player Data'!$A1:$AE667,10,FALSE)*$Q395*IFERROR(((VLOOKUP(P395,Settings!$E$28:$F$33,2,FALSE)/2)+1),1)</f>
        <v>88.824194470634282</v>
      </c>
      <c r="W395" s="56">
        <f>VLOOKUP(B395,'Player Data'!$A1:$AE667,11,FALSE)*$Q395*IFERROR((VLOOKUP(P395,Settings!$E$28:$F$33,2,FALSE)+1),1)</f>
        <v>0.12936941153900949</v>
      </c>
      <c r="X395" s="56">
        <f>VLOOKUP(B395,'Player Data'!$A1:$AE667,12,FALSE)*$Q395*IFERROR((VLOOKUP(P395,Settings!$E$28:$F$33,2,FALSE)+1),1)</f>
        <v>0.7320516149586288</v>
      </c>
      <c r="Y395" s="56">
        <f>VLOOKUP(B395,'Player Data'!$A1:$AE667,13,FALSE)*$Q395</f>
        <v>2.8169083559901498E-2</v>
      </c>
      <c r="Z395" s="56">
        <f>VLOOKUP(B395,'Player Data'!$A1:$AE667,14,FALSE)*$Q395</f>
        <v>0.1239834358616141</v>
      </c>
      <c r="AA395" s="56">
        <f>VLOOKUP(B395,'Player Data'!$A1:$AE667,15,FALSE)*$Q395</f>
        <v>108.70802800155326</v>
      </c>
      <c r="AB395" s="56">
        <f>VLOOKUP(B395,'Player Data'!$A1:$AE667,16,FALSE)*$Q395</f>
        <v>152.7812016402784</v>
      </c>
      <c r="AC395" s="56">
        <f>VLOOKUP(B395,'Player Data'!$A1:$AE667,17,FALSE)*$Q395*IFERROR((VLOOKUP(P395,Settings!$E$28:$F$33,2,FALSE)+1),1)</f>
        <v>-1.2797921663465948</v>
      </c>
      <c r="AD395" s="56">
        <f>VLOOKUP(B395,'Player Data'!$A1:$AE667,18,FALSE)*$Q395</f>
        <v>57.558164290470593</v>
      </c>
      <c r="AE395" s="56">
        <f>VLOOKUP(B395,'Player Data'!$A1:$AE667,19,FALSE)*$Q395*IFERROR((VLOOKUP(P395,Settings!$E$28:$F$33,2,FALSE)+1),1)</f>
        <v>0.71427347764320337</v>
      </c>
      <c r="AF395" s="56">
        <f>VLOOKUP(B395,'Player Data'!$A1:$AE667,20,FALSE)*$Q395</f>
        <v>0</v>
      </c>
      <c r="AG395" s="56">
        <f>VLOOKUP(B395,'Player Data'!$A1:$AE667,21,FALSE)*$Q395</f>
        <v>0.70082816247504065</v>
      </c>
      <c r="AH395" s="58">
        <f>VLOOKUP(B395,'Player Data'!$A1:$AE667,22,FALSE)</f>
        <v>0</v>
      </c>
      <c r="AI395" s="54"/>
      <c r="AJ395" s="56"/>
      <c r="AK395" s="56"/>
      <c r="AL395" s="56"/>
      <c r="AM395" s="56"/>
      <c r="AN395" s="56"/>
      <c r="AO395" s="56"/>
      <c r="AP395" s="56"/>
      <c r="AQ395" s="59"/>
      <c r="AR395" s="60"/>
      <c r="AS395" s="54"/>
    </row>
    <row r="396" spans="1:45" ht="21.25" customHeight="1" x14ac:dyDescent="0.15">
      <c r="A396" s="45">
        <f>RANK(K396,K$1:K$665)</f>
        <v>395</v>
      </c>
      <c r="B396" s="9" t="s">
        <v>521</v>
      </c>
      <c r="C396" s="46" t="s">
        <v>127</v>
      </c>
      <c r="D396" s="47" t="str">
        <f>VLOOKUP(B396,'Player Data'!A1:D667,4,FALSE)</f>
        <v>D</v>
      </c>
      <c r="E396" s="66">
        <f>VLOOKUP(B396,D!A1:C213,3,FALSE)</f>
        <v>145</v>
      </c>
      <c r="F396" s="72" t="str">
        <f>VLOOKUP(B396,'Player Data'!A1:B667,2,FALSE)</f>
        <v>CAR</v>
      </c>
      <c r="G396" s="10">
        <f>VLOOKUP(B396,'Player Data'!A1:D667,3,FALSE)</f>
        <v>28</v>
      </c>
      <c r="H396" s="50">
        <f>IFERROR(VLOOKUP(B396,ADP!A1:G665,7,FALSE)/1000000,VLOOKUP(B396,ADP!A1:G665,7,FALSE))</f>
        <v>3</v>
      </c>
      <c r="I396" s="51">
        <f>IF(Settings!$E$15="POINTS",((R396*Q396)*Settings!$B$12)+(S396*Settings!$B$2)+(T396*Settings!$B$3)+(U396*Settings!$B$4)+(V396*Settings!$B$5)+(X396*Settings!$B$9)+(AA396*Settings!$B$6)+(W396*Settings!$B$8)+(AB396*Settings!$B$7)+(AC396*Settings!$B$14)+(AD396*Settings!$B$15)+(AE396*Settings!$B$16)+(AF396*Settings!$B$17)+(AG396*Settings!$B$18)+(U396*Settings!$B$13)+(Y396*Settings!$B$10)+(Z396*Settings!$B$11),VLOOKUP(B396,'Standard Deviations'!A1:C666,3,FALSE))</f>
        <v>149.37978818966042</v>
      </c>
      <c r="J396" s="52">
        <f>IF(D396="G",I396/AJ396,I396/Q396)</f>
        <v>2.0433593897771756</v>
      </c>
      <c r="K396" s="51">
        <f>VLOOKUP(B396,D!A1:F213,6,FALSE)</f>
        <v>-186.85433685593449</v>
      </c>
      <c r="L396" s="53">
        <f>IFERROR(K396/H396,"N/A")</f>
        <v>-62.284778951978161</v>
      </c>
      <c r="M396" s="83" t="str">
        <f>IF(Settings!$E$9="YAHOO",VLOOKUP(B396,ADP!A1:E665,2,FALSE),IF(Settings!$E$9="ESPN",VLOOKUP(B396,ADP!A1:E665,3,FALSE),IF(Settings!$E$9="FANTRAX",VLOOKUP(B396,ADP!A1:E665,4,FALSE),VLOOKUP(B396,ADP!A1:E665,5,FALSE))))</f>
        <v>—</v>
      </c>
      <c r="N396" s="83" t="str">
        <f>IFERROR(M396-A396,"N/A")</f>
        <v>N/A</v>
      </c>
      <c r="O396" s="54"/>
      <c r="P396" s="55" t="str">
        <f>IF(Settings!$E$27="ON",VLOOKUP(B396,ADP!A1:H665,8,FALSE)," ")</f>
        <v xml:space="preserve"> </v>
      </c>
      <c r="Q396" s="56">
        <f>IF(Settings!$E$12="YES",VLOOKUP(B396,'Player Data'!A1:E667,5,FALSE),82)</f>
        <v>73.105000000000004</v>
      </c>
      <c r="R396" s="75">
        <f>VLOOKUP(B396,'Player Data'!$A1:$AE667,6,FALSE)</f>
        <v>17.170871451415898</v>
      </c>
      <c r="S396" s="56">
        <f>VLOOKUP(B396,'Player Data'!$A1:$AE667,7,FALSE)*$Q396*IFERROR((VLOOKUP(P396,Settings!$E$28:$F$33,2,FALSE)+1),1)</f>
        <v>6.249469592759219</v>
      </c>
      <c r="T396" s="56">
        <f>VLOOKUP(B396,'Player Data'!$A1:$AE667,8,FALSE)*$Q396*IFERROR((VLOOKUP(P396,Settings!$E$28:$F$33,2,FALSE)+1),1)</f>
        <v>12.736349988295325</v>
      </c>
      <c r="U396" s="56">
        <f>SUM(S396:T396)</f>
        <v>18.985819581054542</v>
      </c>
      <c r="V396" s="56">
        <f>VLOOKUP(B396,'Player Data'!$A1:$AE667,10,FALSE)*$Q396*IFERROR(((VLOOKUP(P396,Settings!$E$28:$F$33,2,FALSE)/2)+1),1)</f>
        <v>98.048949557926605</v>
      </c>
      <c r="W396" s="56">
        <f>VLOOKUP(B396,'Player Data'!$A1:$AE667,11,FALSE)*$Q396*IFERROR((VLOOKUP(P396,Settings!$E$28:$F$33,2,FALSE)+1),1)</f>
        <v>2.3001738169925671E-2</v>
      </c>
      <c r="X396" s="56">
        <f>VLOOKUP(B396,'Player Data'!$A1:$AE667,12,FALSE)*$Q396*IFERROR((VLOOKUP(P396,Settings!$E$28:$F$33,2,FALSE)+1),1)</f>
        <v>0.14689869490728161</v>
      </c>
      <c r="Y396" s="56">
        <f>VLOOKUP(B396,'Player Data'!$A1:$AE667,13,FALSE)*$Q396</f>
        <v>0.42019070567907674</v>
      </c>
      <c r="Z396" s="56">
        <f>VLOOKUP(B396,'Player Data'!$A1:$AE667,14,FALSE)*$Q396</f>
        <v>0.95800090474411093</v>
      </c>
      <c r="AA396" s="56">
        <f>VLOOKUP(B396,'Player Data'!$A1:$AE667,15,FALSE)*$Q396</f>
        <v>84.58591013576418</v>
      </c>
      <c r="AB396" s="56">
        <f>VLOOKUP(B396,'Player Data'!$A1:$AE667,16,FALSE)*$Q396</f>
        <v>80.992597040069313</v>
      </c>
      <c r="AC396" s="56">
        <f>VLOOKUP(B396,'Player Data'!$A1:$AE667,17,FALSE)*$Q396*IFERROR((VLOOKUP(P396,Settings!$E$28:$F$33,2,FALSE)+1),1)</f>
        <v>1.3996320387020378</v>
      </c>
      <c r="AD396" s="56">
        <f>VLOOKUP(B396,'Player Data'!$A1:$AE667,18,FALSE)*$Q396</f>
        <v>32.67875813314339</v>
      </c>
      <c r="AE396" s="56">
        <f>VLOOKUP(B396,'Player Data'!$A1:$AE667,19,FALSE)*$Q396*IFERROR((VLOOKUP(P396,Settings!$E$28:$F$33,2,FALSE)+1),1)</f>
        <v>1.0829430015974293</v>
      </c>
      <c r="AF396" s="56">
        <f>VLOOKUP(B396,'Player Data'!$A1:$AE667,20,FALSE)*$Q396</f>
        <v>0</v>
      </c>
      <c r="AG396" s="56">
        <f>VLOOKUP(B396,'Player Data'!$A1:$AE667,21,FALSE)*$Q396</f>
        <v>0</v>
      </c>
      <c r="AH396" s="58">
        <f>VLOOKUP(B396,'Player Data'!$A1:$AE667,22,FALSE)</f>
        <v>0</v>
      </c>
      <c r="AI396" s="54"/>
      <c r="AJ396" s="64"/>
      <c r="AK396" s="56"/>
      <c r="AL396" s="56"/>
      <c r="AM396" s="56"/>
      <c r="AN396" s="56"/>
      <c r="AO396" s="56"/>
      <c r="AP396" s="56"/>
      <c r="AQ396" s="59"/>
      <c r="AR396" s="60"/>
      <c r="AS396" s="54"/>
    </row>
    <row r="397" spans="1:45" ht="21.25" customHeight="1" x14ac:dyDescent="0.15">
      <c r="A397" s="45">
        <f>RANK(K397,K$1:K$665)</f>
        <v>396</v>
      </c>
      <c r="B397" s="9" t="s">
        <v>522</v>
      </c>
      <c r="C397" s="46" t="s">
        <v>127</v>
      </c>
      <c r="D397" s="47" t="str">
        <f>VLOOKUP(B397,'Player Data'!A1:D667,4,FALSE)</f>
        <v>LW</v>
      </c>
      <c r="E397" s="70">
        <f>VLOOKUP(B397,LW!A1:C152,3,FALSE)</f>
        <v>90</v>
      </c>
      <c r="F397" s="55" t="str">
        <f>VLOOKUP(B397,'Player Data'!A1:B667,2,FALSE)</f>
        <v>N.J</v>
      </c>
      <c r="G397" s="63">
        <f>VLOOKUP(B397,'Player Data'!A1:D667,3,FALSE)</f>
        <v>33</v>
      </c>
      <c r="H397" s="50">
        <f>IFERROR(VLOOKUP(B397,ADP!A1:G665,7,FALSE)/1000000,VLOOKUP(B397,ADP!A1:G665,7,FALSE))</f>
        <v>6</v>
      </c>
      <c r="I397" s="51">
        <f>IF(Settings!$E$15="POINTS",((R397*Q397)*Settings!$B$12)+(S397*Settings!$B$2)+(T397*Settings!$B$3)+(U397*Settings!$B$4)+(V397*Settings!$B$5)+(X397*Settings!$B$9)+(AA397*Settings!$B$6)+(W397*Settings!$B$8)+(AB397*Settings!$B$7)+(AC397*Settings!$B$14)+(AD397*Settings!$B$15)+(AE397*Settings!$B$16)+(AF397*Settings!$B$17)+(AG397*Settings!$B$18)+(Y397*Settings!$B$10)+(Z397*Settings!$B$11),VLOOKUP(B397,'Standard Deviations'!A1:C666,3,FALSE))</f>
        <v>194.08644905399692</v>
      </c>
      <c r="J397" s="52">
        <f>IF(D397="G",I397/AJ397,I397/Q397)</f>
        <v>2.586439886114031</v>
      </c>
      <c r="K397" s="51">
        <f>IF(Settings!$E$18="C/LW/RW",VLOOKUP(B397,LW!A1:F152,6,FALSE),VLOOKUP(B397,F!A1:F392,6,FALSE))</f>
        <v>-186.97506324850283</v>
      </c>
      <c r="L397" s="53">
        <f>IFERROR(K397/H397,"N/A")</f>
        <v>-31.162510541417138</v>
      </c>
      <c r="M397" s="83" t="str">
        <f>IF(Settings!$E$9="YAHOO",VLOOKUP(B397,ADP!A1:E665,2,FALSE),IF(Settings!$E$9="ESPN",VLOOKUP(B397,ADP!A1:E665,3,FALSE),IF(Settings!$E$9="FANTRAX",VLOOKUP(B397,ADP!A1:E665,4,FALSE),VLOOKUP(B397,ADP!A1:E665,5,FALSE))))</f>
        <v>—</v>
      </c>
      <c r="N397" s="83" t="str">
        <f>IFERROR(M397-A397,"N/A")</f>
        <v>N/A</v>
      </c>
      <c r="O397" s="54"/>
      <c r="P397" s="55" t="str">
        <f>IF(Settings!$E$27="ON",VLOOKUP(B397,ADP!A1:H665,8,FALSE)," ")</f>
        <v xml:space="preserve"> </v>
      </c>
      <c r="Q397" s="56">
        <f>IF(Settings!$E$12="YES",VLOOKUP(B397,'Player Data'!A1:E667,5,FALSE),82)</f>
        <v>75.040000000000006</v>
      </c>
      <c r="R397" s="54">
        <f>VLOOKUP(B397,'Player Data'!$A1:$AE667,6,FALSE)</f>
        <v>15.747910134953001</v>
      </c>
      <c r="S397" s="56">
        <f>VLOOKUP(B397,'Player Data'!$A1:$AE667,7,FALSE)*$Q397*IFERROR((VLOOKUP(P397,Settings!$E$28:$F$33,2,FALSE)+1),1)</f>
        <v>12.174757475195467</v>
      </c>
      <c r="T397" s="56">
        <f>VLOOKUP(B397,'Player Data'!$A1:$AE667,8,FALSE)*$Q397*IFERROR((VLOOKUP(P397,Settings!$E$28:$F$33,2,FALSE)+1),1)</f>
        <v>22.121337572455236</v>
      </c>
      <c r="U397" s="56">
        <f>SUM(S397:T397)</f>
        <v>34.296095047650702</v>
      </c>
      <c r="V397" s="56">
        <f>VLOOKUP(B397,'Player Data'!$A1:$AE667,10,FALSE)*$Q397*IFERROR(((VLOOKUP(P397,Settings!$E$28:$F$33,2,FALSE)/2)+1),1)</f>
        <v>119.86628683957855</v>
      </c>
      <c r="W397" s="56">
        <f>VLOOKUP(B397,'Player Data'!$A1:$AE667,11,FALSE)*$Q397*IFERROR((VLOOKUP(P397,Settings!$E$28:$F$33,2,FALSE)+1),1)</f>
        <v>1.2763314900518397</v>
      </c>
      <c r="X397" s="56">
        <f>VLOOKUP(B397,'Player Data'!$A1:$AE667,12,FALSE)*$Q397*IFERROR((VLOOKUP(P397,Settings!$E$28:$F$33,2,FALSE)+1),1)</f>
        <v>4.903681866776636</v>
      </c>
      <c r="Y397" s="56">
        <f>VLOOKUP(B397,'Player Data'!$A1:$AE667,13,FALSE)*$Q397</f>
        <v>0.11435307358067025</v>
      </c>
      <c r="Z397" s="56">
        <f>VLOOKUP(B397,'Player Data'!$A1:$AE667,14,FALSE)*$Q397</f>
        <v>0.380544525938949</v>
      </c>
      <c r="AA397" s="56">
        <f>VLOOKUP(B397,'Player Data'!$A1:$AE667,15,FALSE)*$Q397</f>
        <v>51.961588197079898</v>
      </c>
      <c r="AB397" s="56">
        <f>VLOOKUP(B397,'Player Data'!$A1:$AE667,16,FALSE)*$Q397</f>
        <v>92.803599464105389</v>
      </c>
      <c r="AC397" s="56">
        <f>VLOOKUP(B397,'Player Data'!$A1:$AE667,17,FALSE)*$Q397*IFERROR((VLOOKUP(P397,Settings!$E$28:$F$33,2,FALSE)+1),1)</f>
        <v>4.217427033110801</v>
      </c>
      <c r="AD397" s="56">
        <f>VLOOKUP(B397,'Player Data'!$A1:$AE667,18,FALSE)*$Q397</f>
        <v>23.988098157804771</v>
      </c>
      <c r="AE397" s="56">
        <f>VLOOKUP(B397,'Player Data'!$A1:$AE667,19,FALSE)*$Q397*IFERROR((VLOOKUP(P397,Settings!$E$28:$F$33,2,FALSE)+1),1)</f>
        <v>1.8368826177943882</v>
      </c>
      <c r="AF397" s="56">
        <f>VLOOKUP(B397,'Player Data'!$A1:$AE667,20,FALSE)*$Q397</f>
        <v>2.4116903340341538</v>
      </c>
      <c r="AG397" s="56">
        <f>VLOOKUP(B397,'Player Data'!$A1:$AE667,21,FALSE)*$Q397</f>
        <v>15.019894456380962</v>
      </c>
      <c r="AH397" s="58">
        <f>VLOOKUP(B397,'Player Data'!$A1:$AE667,22,FALSE)</f>
        <v>0.13835175418819301</v>
      </c>
      <c r="AI397" s="54"/>
      <c r="AJ397" s="64"/>
      <c r="AK397" s="56"/>
      <c r="AL397" s="56"/>
      <c r="AM397" s="56"/>
      <c r="AN397" s="56"/>
      <c r="AO397" s="56"/>
      <c r="AP397" s="56"/>
      <c r="AQ397" s="59"/>
      <c r="AR397" s="60"/>
      <c r="AS397" s="54"/>
    </row>
    <row r="398" spans="1:45" ht="21.25" customHeight="1" x14ac:dyDescent="0.15">
      <c r="A398" s="45">
        <f>RANK(K398,K$1:K$665)</f>
        <v>397</v>
      </c>
      <c r="B398" s="9" t="s">
        <v>523</v>
      </c>
      <c r="C398" s="46" t="s">
        <v>127</v>
      </c>
      <c r="D398" s="47" t="str">
        <f>VLOOKUP(B398,'Player Data'!A1:D667,4,FALSE)</f>
        <v>LW</v>
      </c>
      <c r="E398" s="70">
        <f>VLOOKUP(B398,LW!A1:C152,3,FALSE)</f>
        <v>91</v>
      </c>
      <c r="F398" s="74" t="str">
        <f>VLOOKUP(B398,'Player Data'!A1:B667,2,FALSE)</f>
        <v>PIT</v>
      </c>
      <c r="G398" s="10">
        <f>VLOOKUP(B398,'Player Data'!A1:D667,3,FALSE)</f>
        <v>26</v>
      </c>
      <c r="H398" s="67">
        <f>IFERROR(VLOOKUP(B398,ADP!A1:G665,7,FALSE)/1000000,VLOOKUP(B398,ADP!A1:G665,7,FALSE))</f>
        <v>0.92500000000000004</v>
      </c>
      <c r="I398" s="51">
        <f>IF(Settings!$E$15="POINTS",((R398*Q398)*Settings!$B$12)+(S398*Settings!$B$2)+(T398*Settings!$B$3)+(U398*Settings!$B$4)+(V398*Settings!$B$5)+(X398*Settings!$B$9)+(AA398*Settings!$B$6)+(W398*Settings!$B$8)+(AB398*Settings!$B$7)+(AC398*Settings!$B$14)+(AD398*Settings!$B$15)+(AE398*Settings!$B$16)+(AF398*Settings!$B$17)+(AG398*Settings!$B$18)+(Y398*Settings!$B$10)+(Z398*Settings!$B$11),VLOOKUP(B398,'Standard Deviations'!A1:C666,3,FALSE))</f>
        <v>193.98930116988254</v>
      </c>
      <c r="J398" s="52">
        <f>IF(D398="G",I398/AJ398,I398/Q398)</f>
        <v>2.7497686122099654</v>
      </c>
      <c r="K398" s="51">
        <f>IF(Settings!$E$18="C/LW/RW",VLOOKUP(B398,LW!A1:F152,6,FALSE),VLOOKUP(B398,F!A1:F392,6,FALSE))</f>
        <v>-187.07221113261721</v>
      </c>
      <c r="L398" s="53">
        <f>IFERROR(K398/H398,"N/A")</f>
        <v>-202.24022825147804</v>
      </c>
      <c r="M398" s="83" t="str">
        <f>IF(Settings!$E$9="YAHOO",VLOOKUP(B398,ADP!A1:E665,2,FALSE),IF(Settings!$E$9="ESPN",VLOOKUP(B398,ADP!A1:E665,3,FALSE),IF(Settings!$E$9="FANTRAX",VLOOKUP(B398,ADP!A1:E665,4,FALSE),VLOOKUP(B398,ADP!A1:E665,5,FALSE))))</f>
        <v>—</v>
      </c>
      <c r="N398" s="83" t="str">
        <f>IFERROR(M398-A398,"N/A")</f>
        <v>N/A</v>
      </c>
      <c r="O398" s="54"/>
      <c r="P398" s="55" t="str">
        <f>IF(Settings!$E$27="ON",VLOOKUP(B398,ADP!A1:H665,8,FALSE)," ")</f>
        <v xml:space="preserve"> </v>
      </c>
      <c r="Q398" s="56">
        <f>IF(Settings!$E$12="YES",VLOOKUP(B398,'Player Data'!A1:E667,5,FALSE),82)</f>
        <v>70.547499999999999</v>
      </c>
      <c r="R398" s="54">
        <f>VLOOKUP(B398,'Player Data'!$A1:$AE667,6,FALSE)</f>
        <v>15.4189461740625</v>
      </c>
      <c r="S398" s="56">
        <f>VLOOKUP(B398,'Player Data'!$A1:$AE667,7,FALSE)*$Q398*IFERROR((VLOOKUP(P398,Settings!$E$28:$F$33,2,FALSE)+1),1)</f>
        <v>15.305876119970758</v>
      </c>
      <c r="T398" s="56">
        <f>VLOOKUP(B398,'Player Data'!$A1:$AE667,8,FALSE)*$Q398*IFERROR((VLOOKUP(P398,Settings!$E$28:$F$33,2,FALSE)+1),1)</f>
        <v>17.380111919335047</v>
      </c>
      <c r="U398" s="56">
        <f>SUM(S398:T398)</f>
        <v>32.685988039305805</v>
      </c>
      <c r="V398" s="56">
        <f>VLOOKUP(B398,'Player Data'!$A1:$AE667,10,FALSE)*$Q398*IFERROR(((VLOOKUP(P398,Settings!$E$28:$F$33,2,FALSE)/2)+1),1)</f>
        <v>138.72800279759988</v>
      </c>
      <c r="W398" s="56">
        <f>VLOOKUP(B398,'Player Data'!$A1:$AE667,11,FALSE)*$Q398*IFERROR((VLOOKUP(P398,Settings!$E$28:$F$33,2,FALSE)+1),1)</f>
        <v>6.365739272632287E-2</v>
      </c>
      <c r="X398" s="56">
        <f>VLOOKUP(B398,'Player Data'!$A1:$AE667,12,FALSE)*$Q398*IFERROR((VLOOKUP(P398,Settings!$E$28:$F$33,2,FALSE)+1),1)</f>
        <v>0.1472272966265922</v>
      </c>
      <c r="Y398" s="56">
        <f>VLOOKUP(B398,'Player Data'!$A1:$AE667,13,FALSE)*$Q398</f>
        <v>1.005373166675736</v>
      </c>
      <c r="Z398" s="56">
        <f>VLOOKUP(B398,'Player Data'!$A1:$AE667,14,FALSE)*$Q398</f>
        <v>1.9944727439076895</v>
      </c>
      <c r="AA398" s="56">
        <f>VLOOKUP(B398,'Player Data'!$A1:$AE667,15,FALSE)*$Q398</f>
        <v>48.851271225261797</v>
      </c>
      <c r="AB398" s="56">
        <f>VLOOKUP(B398,'Player Data'!$A1:$AE667,16,FALSE)*$Q398</f>
        <v>60.457055713627888</v>
      </c>
      <c r="AC398" s="56">
        <f>VLOOKUP(B398,'Player Data'!$A1:$AE667,17,FALSE)*$Q398*IFERROR((VLOOKUP(P398,Settings!$E$28:$F$33,2,FALSE)+1),1)</f>
        <v>0.18104409203643854</v>
      </c>
      <c r="AD398" s="56">
        <f>VLOOKUP(B398,'Player Data'!$A1:$AE667,18,FALSE)*$Q398</f>
        <v>22.367792509073293</v>
      </c>
      <c r="AE398" s="56">
        <f>VLOOKUP(B398,'Player Data'!$A1:$AE667,19,FALSE)*$Q398*IFERROR((VLOOKUP(P398,Settings!$E$28:$F$33,2,FALSE)+1),1)</f>
        <v>2.268987496888232</v>
      </c>
      <c r="AF398" s="56">
        <f>VLOOKUP(B398,'Player Data'!$A1:$AE667,20,FALSE)*$Q398</f>
        <v>22.872864584686802</v>
      </c>
      <c r="AG398" s="56">
        <f>VLOOKUP(B398,'Player Data'!$A1:$AE667,21,FALSE)*$Q398</f>
        <v>27.241464339169774</v>
      </c>
      <c r="AH398" s="58">
        <f>VLOOKUP(B398,'Player Data'!$A1:$AE667,22,FALSE)</f>
        <v>0.456413666028327</v>
      </c>
      <c r="AI398" s="54"/>
      <c r="AJ398" s="56"/>
      <c r="AK398" s="56"/>
      <c r="AL398" s="56"/>
      <c r="AM398" s="56"/>
      <c r="AN398" s="56"/>
      <c r="AO398" s="56"/>
      <c r="AP398" s="56"/>
      <c r="AQ398" s="59"/>
      <c r="AR398" s="60"/>
      <c r="AS398" s="54"/>
    </row>
    <row r="399" spans="1:45" ht="21.25" customHeight="1" x14ac:dyDescent="0.15">
      <c r="A399" s="45">
        <f>RANK(K399,K$1:K$665)</f>
        <v>398</v>
      </c>
      <c r="B399" s="9" t="s">
        <v>524</v>
      </c>
      <c r="C399" s="46" t="s">
        <v>127</v>
      </c>
      <c r="D399" s="47" t="str">
        <f>VLOOKUP(B399,'Player Data'!A1:D667,4,FALSE)</f>
        <v>LW</v>
      </c>
      <c r="E399" s="70">
        <f>VLOOKUP(B399,LW!A1:C152,3,FALSE)</f>
        <v>92</v>
      </c>
      <c r="F399" s="77" t="str">
        <f>VLOOKUP(B399,'Player Data'!A1:B667,2,FALSE)</f>
        <v>STL</v>
      </c>
      <c r="G399" s="69">
        <f>VLOOKUP(B399,'Player Data'!A1:D667,3,FALSE)</f>
        <v>22</v>
      </c>
      <c r="H399" s="50">
        <f>IFERROR(VLOOKUP(B399,ADP!A1:G665,7,FALSE)/1000000,VLOOKUP(B399,ADP!A1:G665,7,FALSE))</f>
        <v>2.290457</v>
      </c>
      <c r="I399" s="51">
        <f>IF(Settings!$E$15="POINTS",((R399*Q399)*Settings!$B$12)+(S399*Settings!$B$2)+(T399*Settings!$B$3)+(U399*Settings!$B$4)+(V399*Settings!$B$5)+(X399*Settings!$B$9)+(AA399*Settings!$B$6)+(W399*Settings!$B$8)+(AB399*Settings!$B$7)+(AC399*Settings!$B$14)+(AD399*Settings!$B$15)+(AE399*Settings!$B$16)+(AF399*Settings!$B$17)+(AG399*Settings!$B$18)+(Y399*Settings!$B$10)+(Z399*Settings!$B$11),VLOOKUP(B399,'Standard Deviations'!A1:C666,3,FALSE))</f>
        <v>193.66166146391362</v>
      </c>
      <c r="J399" s="52">
        <f>IF(D399="G",I399/AJ399,I399/Q399)</f>
        <v>2.9228639997572143</v>
      </c>
      <c r="K399" s="51">
        <f>IF(Settings!$E$18="C/LW/RW",VLOOKUP(B399,LW!A1:F152,6,FALSE),VLOOKUP(B399,F!A1:F392,6,FALSE))</f>
        <v>-187.39985083858613</v>
      </c>
      <c r="L399" s="53">
        <f>IFERROR(K399/H399,"N/A")</f>
        <v>-81.817668193983181</v>
      </c>
      <c r="M399" s="54">
        <f>IF(Settings!$E$9="YAHOO",VLOOKUP(B399,ADP!A1:E665,2,FALSE),IF(Settings!$E$9="ESPN",VLOOKUP(B399,ADP!A1:E665,3,FALSE),IF(Settings!$E$9="FANTRAX",VLOOKUP(B399,ADP!A1:E665,4,FALSE),VLOOKUP(B399,ADP!A1:E665,5,FALSE))))</f>
        <v>178</v>
      </c>
      <c r="N399" s="54">
        <f>IFERROR(M399-A399,"N/A")</f>
        <v>-220</v>
      </c>
      <c r="O399" s="54"/>
      <c r="P399" s="55" t="str">
        <f>IF(Settings!$E$27="ON",VLOOKUP(B399,ADP!A1:H665,8,FALSE)," ")</f>
        <v xml:space="preserve"> </v>
      </c>
      <c r="Q399" s="56">
        <f>IF(Settings!$E$12="YES",VLOOKUP(B399,'Player Data'!A1:E667,5,FALSE),82)</f>
        <v>66.257499999999993</v>
      </c>
      <c r="R399" s="75">
        <f>VLOOKUP(B399,'Player Data'!$A1:$AE667,6,FALSE)</f>
        <v>15.8951356207134</v>
      </c>
      <c r="S399" s="56">
        <f>VLOOKUP(B399,'Player Data'!$A1:$AE667,7,FALSE)*$Q399*IFERROR((VLOOKUP(P399,Settings!$E$28:$F$33,2,FALSE)+1),1)</f>
        <v>15.723953336007433</v>
      </c>
      <c r="T399" s="56">
        <f>VLOOKUP(B399,'Player Data'!$A1:$AE667,8,FALSE)*$Q399*IFERROR((VLOOKUP(P399,Settings!$E$28:$F$33,2,FALSE)+1),1)</f>
        <v>16.605617395742424</v>
      </c>
      <c r="U399" s="56">
        <f>SUM(S399:T399)</f>
        <v>32.329570731749854</v>
      </c>
      <c r="V399" s="56">
        <f>VLOOKUP(B399,'Player Data'!$A1:$AE667,10,FALSE)*$Q399*IFERROR(((VLOOKUP(P399,Settings!$E$28:$F$33,2,FALSE)/2)+1),1)</f>
        <v>137.89205009407763</v>
      </c>
      <c r="W399" s="56">
        <f>VLOOKUP(B399,'Player Data'!$A1:$AE667,11,FALSE)*$Q399*IFERROR((VLOOKUP(P399,Settings!$E$28:$F$33,2,FALSE)+1),1)</f>
        <v>7.1172664187965475</v>
      </c>
      <c r="X399" s="56">
        <f>VLOOKUP(B399,'Player Data'!$A1:$AE667,12,FALSE)*$Q399*IFERROR((VLOOKUP(P399,Settings!$E$28:$F$33,2,FALSE)+1),1)</f>
        <v>13.723173993542822</v>
      </c>
      <c r="Y399" s="56">
        <f>VLOOKUP(B399,'Player Data'!$A1:$AE667,13,FALSE)*$Q399</f>
        <v>7.5837211699273308E-2</v>
      </c>
      <c r="Z399" s="56">
        <f>VLOOKUP(B399,'Player Data'!$A1:$AE667,14,FALSE)*$Q399</f>
        <v>0.12857695735331787</v>
      </c>
      <c r="AA399" s="56">
        <f>VLOOKUP(B399,'Player Data'!$A1:$AE667,15,FALSE)*$Q399</f>
        <v>27.750346541458139</v>
      </c>
      <c r="AB399" s="56">
        <f>VLOOKUP(B399,'Player Data'!$A1:$AE667,16,FALSE)*$Q399</f>
        <v>143.15479427894951</v>
      </c>
      <c r="AC399" s="56">
        <f>VLOOKUP(B399,'Player Data'!$A1:$AE667,17,FALSE)*$Q399*IFERROR((VLOOKUP(P399,Settings!$E$28:$F$33,2,FALSE)+1),1)</f>
        <v>4.8466888277314837</v>
      </c>
      <c r="AD399" s="56">
        <f>VLOOKUP(B399,'Player Data'!$A1:$AE667,18,FALSE)*$Q399</f>
        <v>41.809123068203071</v>
      </c>
      <c r="AE399" s="56">
        <f>VLOOKUP(B399,'Player Data'!$A1:$AE667,19,FALSE)*$Q399*IFERROR((VLOOKUP(P399,Settings!$E$28:$F$33,2,FALSE)+1),1)</f>
        <v>1.8930711056771654</v>
      </c>
      <c r="AF399" s="56">
        <f>VLOOKUP(B399,'Player Data'!$A1:$AE667,20,FALSE)*$Q399</f>
        <v>55.308594023412716</v>
      </c>
      <c r="AG399" s="56">
        <f>VLOOKUP(B399,'Player Data'!$A1:$AE667,21,FALSE)*$Q399</f>
        <v>62.835005847532912</v>
      </c>
      <c r="AH399" s="58">
        <f>VLOOKUP(B399,'Player Data'!$A1:$AE667,22,FALSE)</f>
        <v>0.468147187692174</v>
      </c>
      <c r="AI399" s="54"/>
      <c r="AJ399" s="56"/>
      <c r="AK399" s="56"/>
      <c r="AL399" s="56"/>
      <c r="AM399" s="56"/>
      <c r="AN399" s="56"/>
      <c r="AO399" s="56"/>
      <c r="AP399" s="56"/>
      <c r="AQ399" s="59"/>
      <c r="AR399" s="60"/>
      <c r="AS399" s="54"/>
    </row>
    <row r="400" spans="1:45" ht="21.25" customHeight="1" x14ac:dyDescent="0.15">
      <c r="A400" s="45">
        <f>RANK(K400,K$1:K$665)</f>
        <v>399</v>
      </c>
      <c r="B400" s="9" t="s">
        <v>525</v>
      </c>
      <c r="C400" s="46" t="s">
        <v>127</v>
      </c>
      <c r="D400" s="47" t="str">
        <f>VLOOKUP(B400,'Player Data'!A1:D667,4,FALSE)</f>
        <v>D</v>
      </c>
      <c r="E400" s="66">
        <f>VLOOKUP(B400,D!A1:C213,3,FALSE)</f>
        <v>146</v>
      </c>
      <c r="F400" s="55" t="str">
        <f>VLOOKUP(B400,'Player Data'!A1:B667,2,FALSE)</f>
        <v>UTA</v>
      </c>
      <c r="G400" s="69">
        <f>VLOOKUP(B400,'Player Data'!A1:D667,3,FALSE)</f>
        <v>24</v>
      </c>
      <c r="H400" s="50">
        <f>IFERROR(VLOOKUP(B400,ADP!A1:G665,7,FALSE)/1000000,VLOOKUP(B400,ADP!A1:G665,7,FALSE))</f>
        <v>1.4</v>
      </c>
      <c r="I400" s="51">
        <f>IF(Settings!$E$15="POINTS",((R400*Q400)*Settings!$B$12)+(S400*Settings!$B$2)+(T400*Settings!$B$3)+(U400*Settings!$B$4)+(V400*Settings!$B$5)+(X400*Settings!$B$9)+(AA400*Settings!$B$6)+(W400*Settings!$B$8)+(AB400*Settings!$B$7)+(AC400*Settings!$B$14)+(AD400*Settings!$B$15)+(AE400*Settings!$B$16)+(AF400*Settings!$B$17)+(AG400*Settings!$B$18)+(U400*Settings!$B$13)+(Y400*Settings!$B$10)+(Z400*Settings!$B$11),VLOOKUP(B400,'Standard Deviations'!A1:C666,3,FALSE))</f>
        <v>148.80537851565302</v>
      </c>
      <c r="J400" s="52">
        <f>IF(D400="G",I400/AJ400,I400/Q400)</f>
        <v>1.9847332913058089</v>
      </c>
      <c r="K400" s="51">
        <f>VLOOKUP(B400,D!A1:F213,6,FALSE)</f>
        <v>-187.42874652994189</v>
      </c>
      <c r="L400" s="53">
        <f>IFERROR(K400/H400,"N/A")</f>
        <v>-133.87767609281565</v>
      </c>
      <c r="M400" s="83" t="str">
        <f>IF(Settings!$E$9="YAHOO",VLOOKUP(B400,ADP!A1:E665,2,FALSE),IF(Settings!$E$9="ESPN",VLOOKUP(B400,ADP!A1:E665,3,FALSE),IF(Settings!$E$9="FANTRAX",VLOOKUP(B400,ADP!A1:E665,4,FALSE),VLOOKUP(B400,ADP!A1:E665,5,FALSE))))</f>
        <v>—</v>
      </c>
      <c r="N400" s="83" t="str">
        <f>IFERROR(M400-A400,"N/A")</f>
        <v>N/A</v>
      </c>
      <c r="O400" s="54"/>
      <c r="P400" s="55" t="str">
        <f>IF(Settings!$E$27="ON",VLOOKUP(B400,ADP!A1:H665,8,FALSE)," ")</f>
        <v xml:space="preserve"> </v>
      </c>
      <c r="Q400" s="56">
        <f>IF(Settings!$E$12="YES",VLOOKUP(B400,'Player Data'!A1:E667,5,FALSE),82)</f>
        <v>74.974999999999994</v>
      </c>
      <c r="R400" s="54">
        <f>VLOOKUP(B400,'Player Data'!$A1:$AE667,6,FALSE)</f>
        <v>15.798398522542</v>
      </c>
      <c r="S400" s="56">
        <f>VLOOKUP(B400,'Player Data'!$A1:$AE667,7,FALSE)*$Q400*IFERROR((VLOOKUP(P400,Settings!$E$28:$F$33,2,FALSE)+1),1)</f>
        <v>4.8335967102056303</v>
      </c>
      <c r="T400" s="56">
        <f>VLOOKUP(B400,'Player Data'!$A1:$AE667,8,FALSE)*$Q400*IFERROR((VLOOKUP(P400,Settings!$E$28:$F$33,2,FALSE)+1),1)</f>
        <v>17.68177507790363</v>
      </c>
      <c r="U400" s="56">
        <f>SUM(S400:T400)</f>
        <v>22.51537178810926</v>
      </c>
      <c r="V400" s="56">
        <f>VLOOKUP(B400,'Player Data'!$A1:$AE667,10,FALSE)*$Q400*IFERROR(((VLOOKUP(P400,Settings!$E$28:$F$33,2,FALSE)/2)+1),1)</f>
        <v>85.182971703012626</v>
      </c>
      <c r="W400" s="56">
        <f>VLOOKUP(B400,'Player Data'!$A1:$AE667,11,FALSE)*$Q400*IFERROR((VLOOKUP(P400,Settings!$E$28:$F$33,2,FALSE)+1),1)</f>
        <v>3.3353365899990231E-2</v>
      </c>
      <c r="X400" s="56">
        <f>VLOOKUP(B400,'Player Data'!$A1:$AE667,12,FALSE)*$Q400*IFERROR((VLOOKUP(P400,Settings!$E$28:$F$33,2,FALSE)+1),1)</f>
        <v>0.21168852118883047</v>
      </c>
      <c r="Y400" s="56">
        <f>VLOOKUP(B400,'Player Data'!$A1:$AE667,13,FALSE)*$Q400</f>
        <v>1.1950621985534404E-2</v>
      </c>
      <c r="Z400" s="56">
        <f>VLOOKUP(B400,'Player Data'!$A1:$AE667,14,FALSE)*$Q400</f>
        <v>5.8623883814471173E-2</v>
      </c>
      <c r="AA400" s="56">
        <f>VLOOKUP(B400,'Player Data'!$A1:$AE667,15,FALSE)*$Q400</f>
        <v>76.794929789631183</v>
      </c>
      <c r="AB400" s="56">
        <f>VLOOKUP(B400,'Player Data'!$A1:$AE667,16,FALSE)*$Q400</f>
        <v>113.86029334861439</v>
      </c>
      <c r="AC400" s="56">
        <f>VLOOKUP(B400,'Player Data'!$A1:$AE667,17,FALSE)*$Q400*IFERROR((VLOOKUP(P400,Settings!$E$28:$F$33,2,FALSE)+1),1)</f>
        <v>1.2173271031493194</v>
      </c>
      <c r="AD400" s="56">
        <f>VLOOKUP(B400,'Player Data'!$A1:$AE667,18,FALSE)*$Q400</f>
        <v>49.902849580278811</v>
      </c>
      <c r="AE400" s="56">
        <f>VLOOKUP(B400,'Player Data'!$A1:$AE667,19,FALSE)*$Q400*IFERROR((VLOOKUP(P400,Settings!$E$28:$F$33,2,FALSE)+1),1)</f>
        <v>0.70729727185105806</v>
      </c>
      <c r="AF400" s="56">
        <f>VLOOKUP(B400,'Player Data'!$A1:$AE667,20,FALSE)*$Q400</f>
        <v>0</v>
      </c>
      <c r="AG400" s="56">
        <f>VLOOKUP(B400,'Player Data'!$A1:$AE667,21,FALSE)*$Q400</f>
        <v>0</v>
      </c>
      <c r="AH400" s="58">
        <f>VLOOKUP(B400,'Player Data'!$A1:$AE667,22,FALSE)</f>
        <v>0</v>
      </c>
      <c r="AI400" s="54"/>
      <c r="AJ400" s="64"/>
      <c r="AK400" s="56"/>
      <c r="AL400" s="56"/>
      <c r="AM400" s="56"/>
      <c r="AN400" s="56"/>
      <c r="AO400" s="56"/>
      <c r="AP400" s="56"/>
      <c r="AQ400" s="59"/>
      <c r="AR400" s="60"/>
      <c r="AS400" s="54"/>
    </row>
    <row r="401" spans="1:45" ht="21.25" customHeight="1" x14ac:dyDescent="0.15">
      <c r="A401" s="45">
        <f>RANK(K401,K$1:K$665)</f>
        <v>400</v>
      </c>
      <c r="B401" s="9" t="s">
        <v>526</v>
      </c>
      <c r="C401" s="46" t="s">
        <v>127</v>
      </c>
      <c r="D401" s="47" t="str">
        <f>VLOOKUP(B401,'Player Data'!A1:D667,4,FALSE)</f>
        <v>RW</v>
      </c>
      <c r="E401" s="61">
        <f>VLOOKUP(B401,RW!A1:F136,3,FALSE)</f>
        <v>90</v>
      </c>
      <c r="F401" s="71" t="str">
        <f>VLOOKUP(B401,'Player Data'!A1:B667,2,FALSE)</f>
        <v>NYR</v>
      </c>
      <c r="G401" s="69">
        <f>VLOOKUP(B401,'Player Data'!A1:D667,3,FALSE)</f>
        <v>23</v>
      </c>
      <c r="H401" s="67">
        <f>IFERROR(VLOOKUP(B401,ADP!A1:G665,7,FALSE)/1000000,VLOOKUP(B401,ADP!A1:G665,7,FALSE))</f>
        <v>2.4</v>
      </c>
      <c r="I401" s="51">
        <f>IF(Settings!$E$15="POINTS",((R401*Q401)*Settings!$B$12)+(S401*Settings!$B$2)+(T401*Settings!$B$3)+(U401*Settings!$B$4)+(V401*Settings!$B$5)+(X401*Settings!$B$9)+(AA401*Settings!$B$6)+(W401*Settings!$B$8)+(AB401*Settings!$B$7)+(AC401*Settings!$B$14)+(AD401*Settings!$B$15)+(AE401*Settings!$B$16)+(AF401*Settings!$B$17)+(AG401*Settings!$B$18)+(Y401*Settings!$B$10)+(Z401*Settings!$B$11),VLOOKUP(B401,'Standard Deviations'!A1:C666,3,FALSE))</f>
        <v>180.79215700496252</v>
      </c>
      <c r="J401" s="52">
        <f>IF(D401="G",I401/AJ401,I401/Q401)</f>
        <v>2.4299204597286721</v>
      </c>
      <c r="K401" s="51">
        <f>IF(Settings!$E$18="C/LW/RW",VLOOKUP(B401,RW!A1:F136,6,FALSE),VLOOKUP(B401,F!A1:F392,6,FALSE))</f>
        <v>-188.05556610132987</v>
      </c>
      <c r="L401" s="53">
        <f>IFERROR(K401/H401,"N/A")</f>
        <v>-78.356485875554114</v>
      </c>
      <c r="M401" s="83" t="str">
        <f>IF(Settings!$E$9="YAHOO",VLOOKUP(B401,ADP!A1:E665,2,FALSE),IF(Settings!$E$9="ESPN",VLOOKUP(B401,ADP!A1:E665,3,FALSE),IF(Settings!$E$9="FANTRAX",VLOOKUP(B401,ADP!A1:E665,4,FALSE),VLOOKUP(B401,ADP!A1:E665,5,FALSE))))</f>
        <v>—</v>
      </c>
      <c r="N401" s="83" t="str">
        <f>IFERROR(M401-A401,"N/A")</f>
        <v>N/A</v>
      </c>
      <c r="O401" s="54"/>
      <c r="P401" s="55" t="str">
        <f>IF(Settings!$E$27="ON",VLOOKUP(B401,ADP!A1:H665,8,FALSE)," ")</f>
        <v xml:space="preserve"> </v>
      </c>
      <c r="Q401" s="56">
        <f>IF(Settings!$E$12="YES",VLOOKUP(B401,'Player Data'!A1:E667,5,FALSE),82)</f>
        <v>74.402500000000003</v>
      </c>
      <c r="R401" s="54">
        <f>VLOOKUP(B401,'Player Data'!$A1:$AE667,6,FALSE)</f>
        <v>14.2027660857726</v>
      </c>
      <c r="S401" s="56">
        <f>VLOOKUP(B401,'Player Data'!$A1:$AE667,7,FALSE)*$Q401*IFERROR((VLOOKUP(P401,Settings!$E$28:$F$33,2,FALSE)+1),1)</f>
        <v>18.023964315274903</v>
      </c>
      <c r="T401" s="56">
        <f>VLOOKUP(B401,'Player Data'!$A1:$AE667,8,FALSE)*$Q401*IFERROR((VLOOKUP(P401,Settings!$E$28:$F$33,2,FALSE)+1),1)</f>
        <v>17.534349002608202</v>
      </c>
      <c r="U401" s="56">
        <f>SUM(S401:T401)</f>
        <v>35.558313317883105</v>
      </c>
      <c r="V401" s="56">
        <f>VLOOKUP(B401,'Player Data'!$A1:$AE667,10,FALSE)*$Q401*IFERROR(((VLOOKUP(P401,Settings!$E$28:$F$33,2,FALSE)/2)+1),1)</f>
        <v>116.76958030192436</v>
      </c>
      <c r="W401" s="56">
        <f>VLOOKUP(B401,'Player Data'!$A1:$AE667,11,FALSE)*$Q401*IFERROR((VLOOKUP(P401,Settings!$E$28:$F$33,2,FALSE)+1),1)</f>
        <v>1.3739789913238041</v>
      </c>
      <c r="X401" s="56">
        <f>VLOOKUP(B401,'Player Data'!$A1:$AE667,12,FALSE)*$Q401*IFERROR((VLOOKUP(P401,Settings!$E$28:$F$33,2,FALSE)+1),1)</f>
        <v>3.3545873204674872</v>
      </c>
      <c r="Y401" s="56">
        <f>VLOOKUP(B401,'Player Data'!$A1:$AE667,13,FALSE)*$Q401</f>
        <v>3.1888263473096373E-3</v>
      </c>
      <c r="Z401" s="56">
        <f>VLOOKUP(B401,'Player Data'!$A1:$AE667,14,FALSE)*$Q401</f>
        <v>5.4083102008697006E-3</v>
      </c>
      <c r="AA401" s="56">
        <f>VLOOKUP(B401,'Player Data'!$A1:$AE667,15,FALSE)*$Q401</f>
        <v>24.744862539365329</v>
      </c>
      <c r="AB401" s="56">
        <f>VLOOKUP(B401,'Player Data'!$A1:$AE667,16,FALSE)*$Q401</f>
        <v>38.193020897442189</v>
      </c>
      <c r="AC401" s="56">
        <f>VLOOKUP(B401,'Player Data'!$A1:$AE667,17,FALSE)*$Q401*IFERROR((VLOOKUP(P401,Settings!$E$28:$F$33,2,FALSE)+1),1)</f>
        <v>3.5442715241143348</v>
      </c>
      <c r="AD401" s="56">
        <f>VLOOKUP(B401,'Player Data'!$A1:$AE667,18,FALSE)*$Q401</f>
        <v>21.211282838931446</v>
      </c>
      <c r="AE401" s="56">
        <f>VLOOKUP(B401,'Player Data'!$A1:$AE667,19,FALSE)*$Q401*IFERROR((VLOOKUP(P401,Settings!$E$28:$F$33,2,FALSE)+1),1)</f>
        <v>2.9461666355605969</v>
      </c>
      <c r="AF401" s="56">
        <f>VLOOKUP(B401,'Player Data'!$A1:$AE667,20,FALSE)*$Q401</f>
        <v>7.6471621854728298</v>
      </c>
      <c r="AG401" s="56">
        <f>VLOOKUP(B401,'Player Data'!$A1:$AE667,21,FALSE)*$Q401</f>
        <v>14.504076792676708</v>
      </c>
      <c r="AH401" s="58">
        <f>VLOOKUP(B401,'Player Data'!$A1:$AE667,22,FALSE)</f>
        <v>0.34522503201812499</v>
      </c>
      <c r="AI401" s="54"/>
      <c r="AJ401" s="64"/>
      <c r="AK401" s="56"/>
      <c r="AL401" s="56"/>
      <c r="AM401" s="56"/>
      <c r="AN401" s="56"/>
      <c r="AO401" s="56"/>
      <c r="AP401" s="56"/>
      <c r="AQ401" s="59"/>
      <c r="AR401" s="60"/>
      <c r="AS401" s="54"/>
    </row>
    <row r="402" spans="1:45" ht="21.25" customHeight="1" x14ac:dyDescent="0.15">
      <c r="A402" s="45">
        <f>RANK(K402,K$1:K$665)</f>
        <v>401</v>
      </c>
      <c r="B402" s="9" t="s">
        <v>527</v>
      </c>
      <c r="C402" s="46" t="s">
        <v>127</v>
      </c>
      <c r="D402" s="47" t="str">
        <f>VLOOKUP(B402,'Player Data'!A1:D667,4,FALSE)</f>
        <v>D</v>
      </c>
      <c r="E402" s="66">
        <f>VLOOKUP(B402,D!A1:C213,3,FALSE)</f>
        <v>147</v>
      </c>
      <c r="F402" s="55" t="str">
        <f>VLOOKUP(B402,'Player Data'!A1:B667,2,FALSE)</f>
        <v>CHI</v>
      </c>
      <c r="G402" s="63">
        <f>VLOOKUP(B402,'Player Data'!A1:D667,3,FALSE)</f>
        <v>31</v>
      </c>
      <c r="H402" s="50">
        <f>IFERROR(VLOOKUP(B402,ADP!A1:G665,7,FALSE)/1000000,VLOOKUP(B402,ADP!A1:G665,7,FALSE))</f>
        <v>4.4000000000000004</v>
      </c>
      <c r="I402" s="51">
        <f>IF(Settings!$E$15="POINTS",((R402*Q402)*Settings!$B$12)+(S402*Settings!$B$2)+(T402*Settings!$B$3)+(U402*Settings!$B$4)+(V402*Settings!$B$5)+(X402*Settings!$B$9)+(AA402*Settings!$B$6)+(W402*Settings!$B$8)+(AB402*Settings!$B$7)+(AC402*Settings!$B$14)+(AD402*Settings!$B$15)+(AE402*Settings!$B$16)+(AF402*Settings!$B$17)+(AG402*Settings!$B$18)+(U402*Settings!$B$13)+(Y402*Settings!$B$10)+(Z402*Settings!$B$11),VLOOKUP(B402,'Standard Deviations'!A1:C666,3,FALSE))</f>
        <v>148.03552460969073</v>
      </c>
      <c r="J402" s="52">
        <f>IF(D402="G",I402/AJ402,I402/Q402)</f>
        <v>2.0316410431577676</v>
      </c>
      <c r="K402" s="51">
        <f>VLOOKUP(B402,D!A1:F213,6,FALSE)</f>
        <v>-188.19860043590418</v>
      </c>
      <c r="L402" s="53">
        <f>IFERROR(K402/H402,"N/A")</f>
        <v>-42.77240918997822</v>
      </c>
      <c r="M402" s="83" t="str">
        <f>IF(Settings!$E$9="YAHOO",VLOOKUP(B402,ADP!A1:E665,2,FALSE),IF(Settings!$E$9="ESPN",VLOOKUP(B402,ADP!A1:E665,3,FALSE),IF(Settings!$E$9="FANTRAX",VLOOKUP(B402,ADP!A1:E665,4,FALSE),VLOOKUP(B402,ADP!A1:E665,5,FALSE))))</f>
        <v>—</v>
      </c>
      <c r="N402" s="83" t="str">
        <f>IFERROR(M402-A402,"N/A")</f>
        <v>N/A</v>
      </c>
      <c r="O402" s="54"/>
      <c r="P402" s="55" t="str">
        <f>IF(Settings!$E$27="ON",VLOOKUP(B402,ADP!A1:H665,8,FALSE)," ")</f>
        <v xml:space="preserve"> </v>
      </c>
      <c r="Q402" s="56">
        <f>IF(Settings!$E$12="YES",VLOOKUP(B402,'Player Data'!A1:E667,5,FALSE),82)</f>
        <v>72.864999999999995</v>
      </c>
      <c r="R402" s="81">
        <f>VLOOKUP(B402,'Player Data'!$A1:$AE667,6,FALSE)</f>
        <v>18.8330778804233</v>
      </c>
      <c r="S402" s="56">
        <f>VLOOKUP(B402,'Player Data'!$A1:$AE667,7,FALSE)*$Q402*IFERROR((VLOOKUP(P402,Settings!$E$28:$F$33,2,FALSE)+1),1)</f>
        <v>4.1748488208310448</v>
      </c>
      <c r="T402" s="56">
        <f>VLOOKUP(B402,'Player Data'!$A1:$AE667,8,FALSE)*$Q402*IFERROR((VLOOKUP(P402,Settings!$E$28:$F$33,2,FALSE)+1),1)</f>
        <v>7.5199508595905957</v>
      </c>
      <c r="U402" s="56">
        <f>SUM(S402:T402)</f>
        <v>11.694799680421641</v>
      </c>
      <c r="V402" s="56">
        <f>VLOOKUP(B402,'Player Data'!$A1:$AE667,10,FALSE)*$Q402*IFERROR(((VLOOKUP(P402,Settings!$E$28:$F$33,2,FALSE)/2)+1),1)</f>
        <v>75.213507314899857</v>
      </c>
      <c r="W402" s="56">
        <f>VLOOKUP(B402,'Player Data'!$A1:$AE667,11,FALSE)*$Q402*IFERROR((VLOOKUP(P402,Settings!$E$28:$F$33,2,FALSE)+1),1)</f>
        <v>1.9503030538444693E-2</v>
      </c>
      <c r="X402" s="56">
        <f>VLOOKUP(B402,'Player Data'!$A1:$AE667,12,FALSE)*$Q402*IFERROR((VLOOKUP(P402,Settings!$E$28:$F$33,2,FALSE)+1),1)</f>
        <v>0.12406402517798186</v>
      </c>
      <c r="Y402" s="56">
        <f>VLOOKUP(B402,'Player Data'!$A1:$AE667,13,FALSE)*$Q402</f>
        <v>0.58956023758877008</v>
      </c>
      <c r="Z402" s="56">
        <f>VLOOKUP(B402,'Player Data'!$A1:$AE667,14,FALSE)*$Q402</f>
        <v>0.69401728515166572</v>
      </c>
      <c r="AA402" s="56">
        <f>VLOOKUP(B402,'Player Data'!$A1:$AE667,15,FALSE)*$Q402</f>
        <v>149.05258120129247</v>
      </c>
      <c r="AB402" s="56">
        <f>VLOOKUP(B402,'Player Data'!$A1:$AE667,16,FALSE)*$Q402</f>
        <v>147.41710932118988</v>
      </c>
      <c r="AC402" s="56">
        <f>VLOOKUP(B402,'Player Data'!$A1:$AE667,17,FALSE)*$Q402*IFERROR((VLOOKUP(P402,Settings!$E$28:$F$33,2,FALSE)+1),1)</f>
        <v>-7.6085167886860496</v>
      </c>
      <c r="AD402" s="56">
        <f>VLOOKUP(B402,'Player Data'!$A1:$AE667,18,FALSE)*$Q402</f>
        <v>52.739993320135461</v>
      </c>
      <c r="AE402" s="56">
        <f>VLOOKUP(B402,'Player Data'!$A1:$AE667,19,FALSE)*$Q402*IFERROR((VLOOKUP(P402,Settings!$E$28:$F$33,2,FALSE)+1),1)</f>
        <v>0.53953761155352453</v>
      </c>
      <c r="AF402" s="56">
        <f>VLOOKUP(B402,'Player Data'!$A1:$AE667,20,FALSE)*$Q402</f>
        <v>0</v>
      </c>
      <c r="AG402" s="56">
        <f>VLOOKUP(B402,'Player Data'!$A1:$AE667,21,FALSE)*$Q402</f>
        <v>0</v>
      </c>
      <c r="AH402" s="58">
        <f>VLOOKUP(B402,'Player Data'!$A1:$AE667,22,FALSE)</f>
        <v>0</v>
      </c>
      <c r="AI402" s="54"/>
      <c r="AJ402" s="64"/>
      <c r="AK402" s="56"/>
      <c r="AL402" s="56"/>
      <c r="AM402" s="56"/>
      <c r="AN402" s="56"/>
      <c r="AO402" s="56"/>
      <c r="AP402" s="56"/>
      <c r="AQ402" s="59"/>
      <c r="AR402" s="60"/>
      <c r="AS402" s="54"/>
    </row>
    <row r="403" spans="1:45" ht="21.25" customHeight="1" x14ac:dyDescent="0.15">
      <c r="A403" s="45">
        <f>RANK(K403,K$1:K$665)</f>
        <v>402</v>
      </c>
      <c r="B403" s="9" t="s">
        <v>528</v>
      </c>
      <c r="C403" s="46" t="s">
        <v>127</v>
      </c>
      <c r="D403" s="47" t="str">
        <f>VLOOKUP(B403,'Player Data'!A1:D667,4,FALSE)</f>
        <v>LW</v>
      </c>
      <c r="E403" s="70">
        <f>VLOOKUP(B403,LW!A1:C152,3,FALSE)</f>
        <v>93</v>
      </c>
      <c r="F403" s="65" t="str">
        <f>VLOOKUP(B403,'Player Data'!A1:B667,2,FALSE)</f>
        <v>TOR</v>
      </c>
      <c r="G403" s="10">
        <f>VLOOKUP(B403,'Player Data'!A1:D667,3,FALSE)</f>
        <v>28</v>
      </c>
      <c r="H403" s="50">
        <f>IFERROR(VLOOKUP(B403,ADP!A1:G665,7,FALSE)/1000000,VLOOKUP(B403,ADP!A1:G665,7,FALSE))</f>
        <v>1.35</v>
      </c>
      <c r="I403" s="51">
        <f>IF(Settings!$E$15="POINTS",((R403*Q403)*Settings!$B$12)+(S403*Settings!$B$2)+(T403*Settings!$B$3)+(U403*Settings!$B$4)+(V403*Settings!$B$5)+(X403*Settings!$B$9)+(AA403*Settings!$B$6)+(W403*Settings!$B$8)+(AB403*Settings!$B$7)+(AC403*Settings!$B$14)+(AD403*Settings!$B$15)+(AE403*Settings!$B$16)+(AF403*Settings!$B$17)+(AG403*Settings!$B$18)+(Y403*Settings!$B$10)+(Z403*Settings!$B$11),VLOOKUP(B403,'Standard Deviations'!A1:C666,3,FALSE))</f>
        <v>192.82447402367754</v>
      </c>
      <c r="J403" s="52">
        <f>IF(D403="G",I403/AJ403,I403/Q403)</f>
        <v>2.7589708688464376</v>
      </c>
      <c r="K403" s="51">
        <f>IF(Settings!$E$18="C/LW/RW",VLOOKUP(B403,LW!A1:F152,6,FALSE),VLOOKUP(B403,F!A1:F392,6,FALSE))</f>
        <v>-188.23703827882221</v>
      </c>
      <c r="L403" s="53">
        <f>IFERROR(K403/H403,"N/A")</f>
        <v>-139.43484316949792</v>
      </c>
      <c r="M403" s="83" t="str">
        <f>IF(Settings!$E$9="YAHOO",VLOOKUP(B403,ADP!A1:E665,2,FALSE),IF(Settings!$E$9="ESPN",VLOOKUP(B403,ADP!A1:E665,3,FALSE),IF(Settings!$E$9="FANTRAX",VLOOKUP(B403,ADP!A1:E665,4,FALSE),VLOOKUP(B403,ADP!A1:E665,5,FALSE))))</f>
        <v>—</v>
      </c>
      <c r="N403" s="83" t="str">
        <f>IFERROR(M403-A403,"N/A")</f>
        <v>N/A</v>
      </c>
      <c r="O403" s="54"/>
      <c r="P403" s="55" t="str">
        <f>IF(Settings!$E$27="ON",VLOOKUP(B403,ADP!A1:H665,8,FALSE)," ")</f>
        <v xml:space="preserve"> </v>
      </c>
      <c r="Q403" s="56">
        <f>IF(Settings!$E$12="YES",VLOOKUP(B403,'Player Data'!A1:E667,5,FALSE),82)</f>
        <v>69.89</v>
      </c>
      <c r="R403" s="75">
        <f>VLOOKUP(B403,'Player Data'!$A1:$AE667,6,FALSE)</f>
        <v>13.6068579773954</v>
      </c>
      <c r="S403" s="56">
        <f>VLOOKUP(B403,'Player Data'!$A1:$AE667,7,FALSE)*$Q403*IFERROR((VLOOKUP(P403,Settings!$E$28:$F$33,2,FALSE)+1),1)</f>
        <v>17.514344270461358</v>
      </c>
      <c r="T403" s="56">
        <f>VLOOKUP(B403,'Player Data'!$A1:$AE667,8,FALSE)*$Q403*IFERROR((VLOOKUP(P403,Settings!$E$28:$F$33,2,FALSE)+1),1)</f>
        <v>14.998256717234698</v>
      </c>
      <c r="U403" s="56">
        <f>SUM(S403:T403)</f>
        <v>32.512600987696054</v>
      </c>
      <c r="V403" s="56">
        <f>VLOOKUP(B403,'Player Data'!$A1:$AE667,10,FALSE)*$Q403*IFERROR(((VLOOKUP(P403,Settings!$E$28:$F$33,2,FALSE)/2)+1),1)</f>
        <v>160.16086307661598</v>
      </c>
      <c r="W403" s="56">
        <f>VLOOKUP(B403,'Player Data'!$A1:$AE667,11,FALSE)*$Q403*IFERROR((VLOOKUP(P403,Settings!$E$28:$F$33,2,FALSE)+1),1)</f>
        <v>0.61241341258621473</v>
      </c>
      <c r="X403" s="56">
        <f>VLOOKUP(B403,'Player Data'!$A1:$AE667,12,FALSE)*$Q403*IFERROR((VLOOKUP(P403,Settings!$E$28:$F$33,2,FALSE)+1),1)</f>
        <v>1.0581189161350839</v>
      </c>
      <c r="Y403" s="56">
        <f>VLOOKUP(B403,'Player Data'!$A1:$AE667,13,FALSE)*$Q403</f>
        <v>0.13885137115343535</v>
      </c>
      <c r="Z403" s="56">
        <f>VLOOKUP(B403,'Player Data'!$A1:$AE667,14,FALSE)*$Q403</f>
        <v>0.23452755585796961</v>
      </c>
      <c r="AA403" s="56">
        <f>VLOOKUP(B403,'Player Data'!$A1:$AE667,15,FALSE)*$Q403</f>
        <v>27.827186100576711</v>
      </c>
      <c r="AB403" s="56">
        <f>VLOOKUP(B403,'Player Data'!$A1:$AE667,16,FALSE)*$Q403</f>
        <v>150.08160442620562</v>
      </c>
      <c r="AC403" s="56">
        <f>VLOOKUP(B403,'Player Data'!$A1:$AE667,17,FALSE)*$Q403*IFERROR((VLOOKUP(P403,Settings!$E$28:$F$33,2,FALSE)+1),1)</f>
        <v>5.3417472289459651</v>
      </c>
      <c r="AD403" s="56">
        <f>VLOOKUP(B403,'Player Data'!$A1:$AE667,18,FALSE)*$Q403</f>
        <v>34.933384469613486</v>
      </c>
      <c r="AE403" s="56">
        <f>VLOOKUP(B403,'Player Data'!$A1:$AE667,19,FALSE)*$Q403*IFERROR((VLOOKUP(P403,Settings!$E$28:$F$33,2,FALSE)+1),1)</f>
        <v>2.8019811281198992</v>
      </c>
      <c r="AF403" s="56">
        <f>VLOOKUP(B403,'Player Data'!$A1:$AE667,20,FALSE)*$Q403</f>
        <v>8.7025165572600915</v>
      </c>
      <c r="AG403" s="56">
        <f>VLOOKUP(B403,'Player Data'!$A1:$AE667,21,FALSE)*$Q403</f>
        <v>6.0959264388487409</v>
      </c>
      <c r="AH403" s="58">
        <f>VLOOKUP(B403,'Player Data'!$A1:$AE667,22,FALSE)</f>
        <v>0.58806974217141395</v>
      </c>
      <c r="AI403" s="54"/>
      <c r="AJ403" s="56"/>
      <c r="AK403" s="56"/>
      <c r="AL403" s="56"/>
      <c r="AM403" s="56"/>
      <c r="AN403" s="56"/>
      <c r="AO403" s="56"/>
      <c r="AP403" s="56"/>
      <c r="AQ403" s="59"/>
      <c r="AR403" s="60"/>
      <c r="AS403" s="54"/>
    </row>
    <row r="404" spans="1:45" ht="21.25" customHeight="1" x14ac:dyDescent="0.15">
      <c r="A404" s="45">
        <f>RANK(K404,K$1:K$665)</f>
        <v>403</v>
      </c>
      <c r="B404" s="9" t="s">
        <v>529</v>
      </c>
      <c r="C404" s="46" t="s">
        <v>127</v>
      </c>
      <c r="D404" s="47" t="str">
        <f>VLOOKUP(B404,'Player Data'!A1:D667,4,FALSE)</f>
        <v>C</v>
      </c>
      <c r="E404" s="48">
        <f>VLOOKUP(B404,'C'!A1:C206,3,FALSE)</f>
        <v>111</v>
      </c>
      <c r="F404" s="65" t="str">
        <f>VLOOKUP(B404,'Player Data'!A1:B667,2,FALSE)</f>
        <v>DET</v>
      </c>
      <c r="G404" s="10">
        <f>VLOOKUP(B404,'Player Data'!A1:D667,3,FALSE)</f>
        <v>25</v>
      </c>
      <c r="H404" s="50">
        <f>IFERROR(VLOOKUP(B404,ADP!A1:G665,7,FALSE)/1000000,VLOOKUP(B404,ADP!A1:G665,7,FALSE))</f>
        <v>3.2</v>
      </c>
      <c r="I404" s="51">
        <f>IF(Settings!$E$15="POINTS",((R404*Q404)*Settings!$B$12)+(S404*Settings!$B$2)+(T404*Settings!$B$3)+(U404*Settings!$B$4)+(V404*Settings!$B$5)+(X404*Settings!$B$9)+(AA404*Settings!$B$6)+(W404*Settings!$B$8)+(AB404*Settings!$B$7)+(AC404*Settings!$B$14)+(AD404*Settings!$B$15)+(AE404*Settings!$B$16)+(AF404*Settings!$B$17)+(AG404*Settings!$B$18)+(Y404*Settings!$B$10)+(Z404*Settings!$B$11),VLOOKUP(B404,'Standard Deviations'!A1:C666,3,FALSE))</f>
        <v>201.68103401389223</v>
      </c>
      <c r="J404" s="52">
        <f>IF(D404="G",I404/AJ404,I404/Q404)</f>
        <v>2.6188090766290175</v>
      </c>
      <c r="K404" s="51">
        <f>IF(Settings!$E$18="C/LW/RW",VLOOKUP(B404,'C'!A1:F206,6,FALSE),VLOOKUP(B404,F!A1:F392,6,FALSE))</f>
        <v>-188.25612376418886</v>
      </c>
      <c r="L404" s="53">
        <f>IFERROR(K404/H404,"N/A")</f>
        <v>-58.830038676309016</v>
      </c>
      <c r="M404" s="83" t="str">
        <f>IF(Settings!$E$9="YAHOO",VLOOKUP(B404,ADP!A1:E665,2,FALSE),IF(Settings!$E$9="ESPN",VLOOKUP(B404,ADP!A1:E665,3,FALSE),IF(Settings!$E$9="FANTRAX",VLOOKUP(B404,ADP!A1:E665,4,FALSE),VLOOKUP(B404,ADP!A1:E665,5,FALSE))))</f>
        <v>—</v>
      </c>
      <c r="N404" s="83" t="str">
        <f>IFERROR(M404-A404,"N/A")</f>
        <v>N/A</v>
      </c>
      <c r="O404" s="54"/>
      <c r="P404" s="55" t="str">
        <f>IF(Settings!$E$27="ON",VLOOKUP(B404,ADP!A1:H665,8,FALSE)," ")</f>
        <v xml:space="preserve"> </v>
      </c>
      <c r="Q404" s="56">
        <f>IF(Settings!$E$12="YES",VLOOKUP(B404,'Player Data'!A1:E667,5,FALSE),82)</f>
        <v>77.012500000000003</v>
      </c>
      <c r="R404" s="54">
        <f>VLOOKUP(B404,'Player Data'!$A1:$AE667,6,FALSE)</f>
        <v>15.3127882784525</v>
      </c>
      <c r="S404" s="56">
        <f>VLOOKUP(B404,'Player Data'!$A1:$AE667,7,FALSE)*$Q404*IFERROR((VLOOKUP(P404,Settings!$E$28:$F$33,2,FALSE)+1),1)</f>
        <v>14.398785432077455</v>
      </c>
      <c r="T404" s="56">
        <f>VLOOKUP(B404,'Player Data'!$A1:$AE667,8,FALSE)*$Q404*IFERROR((VLOOKUP(P404,Settings!$E$28:$F$33,2,FALSE)+1),1)</f>
        <v>21.355968865627972</v>
      </c>
      <c r="U404" s="56">
        <f>SUM(S404:T404)</f>
        <v>35.754754297705425</v>
      </c>
      <c r="V404" s="56">
        <f>VLOOKUP(B404,'Player Data'!$A1:$AE667,10,FALSE)*$Q404*IFERROR(((VLOOKUP(P404,Settings!$E$28:$F$33,2,FALSE)/2)+1),1)</f>
        <v>113.43242743614813</v>
      </c>
      <c r="W404" s="56">
        <f>VLOOKUP(B404,'Player Data'!$A1:$AE667,11,FALSE)*$Q404*IFERROR((VLOOKUP(P404,Settings!$E$28:$F$33,2,FALSE)+1),1)</f>
        <v>0.21720051907748958</v>
      </c>
      <c r="X404" s="56">
        <f>VLOOKUP(B404,'Player Data'!$A1:$AE667,12,FALSE)*$Q404*IFERROR((VLOOKUP(P404,Settings!$E$28:$F$33,2,FALSE)+1),1)</f>
        <v>0.72310573954259039</v>
      </c>
      <c r="Y404" s="56">
        <f>VLOOKUP(B404,'Player Data'!$A1:$AE667,13,FALSE)*$Q404</f>
        <v>0.15259755183435836</v>
      </c>
      <c r="Z404" s="56">
        <f>VLOOKUP(B404,'Player Data'!$A1:$AE667,14,FALSE)*$Q404</f>
        <v>1.3892796498791589</v>
      </c>
      <c r="AA404" s="56">
        <f>VLOOKUP(B404,'Player Data'!$A1:$AE667,15,FALSE)*$Q404</f>
        <v>71.176344026560216</v>
      </c>
      <c r="AB404" s="56">
        <f>VLOOKUP(B404,'Player Data'!$A1:$AE667,16,FALSE)*$Q404</f>
        <v>129.40286819284492</v>
      </c>
      <c r="AC404" s="56">
        <f>VLOOKUP(B404,'Player Data'!$A1:$AE667,17,FALSE)*$Q404*IFERROR((VLOOKUP(P404,Settings!$E$28:$F$33,2,FALSE)+1),1)</f>
        <v>-2.7884295621130746</v>
      </c>
      <c r="AD404" s="56">
        <f>VLOOKUP(B404,'Player Data'!$A1:$AE667,18,FALSE)*$Q404</f>
        <v>47.114541208415332</v>
      </c>
      <c r="AE404" s="56">
        <f>VLOOKUP(B404,'Player Data'!$A1:$AE667,19,FALSE)*$Q404*IFERROR((VLOOKUP(P404,Settings!$E$28:$F$33,2,FALSE)+1),1)</f>
        <v>1.9775675658162484</v>
      </c>
      <c r="AF404" s="56">
        <f>VLOOKUP(B404,'Player Data'!$A1:$AE667,20,FALSE)*$Q404</f>
        <v>139.46597146355043</v>
      </c>
      <c r="AG404" s="56">
        <f>VLOOKUP(B404,'Player Data'!$A1:$AE667,21,FALSE)*$Q404</f>
        <v>142.03802492405748</v>
      </c>
      <c r="AH404" s="58">
        <f>VLOOKUP(B404,'Player Data'!$A1:$AE667,22,FALSE)</f>
        <v>0.49543158624120198</v>
      </c>
      <c r="AI404" s="54"/>
      <c r="AJ404" s="56"/>
      <c r="AK404" s="56"/>
      <c r="AL404" s="56"/>
      <c r="AM404" s="56"/>
      <c r="AN404" s="56"/>
      <c r="AO404" s="56"/>
      <c r="AP404" s="56"/>
      <c r="AQ404" s="59"/>
      <c r="AR404" s="60"/>
      <c r="AS404" s="54"/>
    </row>
    <row r="405" spans="1:45" ht="21.25" customHeight="1" x14ac:dyDescent="0.15">
      <c r="A405" s="45">
        <f>RANK(K405,K$1:K$665)</f>
        <v>404</v>
      </c>
      <c r="B405" s="9" t="s">
        <v>530</v>
      </c>
      <c r="C405" s="46" t="s">
        <v>127</v>
      </c>
      <c r="D405" s="47" t="str">
        <f>VLOOKUP(B405,'Player Data'!A1:D667,4,FALSE)</f>
        <v>C/LW/RW</v>
      </c>
      <c r="E405" s="68">
        <f>VLOOKUP(B405,RW!A1:C136,3,FALSE)</f>
        <v>91</v>
      </c>
      <c r="F405" s="55" t="str">
        <f>VLOOKUP(B405,'Player Data'!A1:B667,2,FALSE)</f>
        <v>WPG</v>
      </c>
      <c r="G405" s="63">
        <f>VLOOKUP(B405,'Player Data'!A1:D667,3,FALSE)</f>
        <v>30</v>
      </c>
      <c r="H405" s="67">
        <f>IFERROR(VLOOKUP(B405,ADP!A1:G665,7,FALSE)/1000000,VLOOKUP(B405,ADP!A1:G665,7,FALSE))</f>
        <v>4</v>
      </c>
      <c r="I405" s="51">
        <f>IF(Settings!$E$15="POINTS",((R405*Q405)*Settings!$B$12)+(S405*Settings!$B$2)+(T405*Settings!$B$3)+(U405*Settings!$B$4)+(V405*Settings!$B$5)+(X405*Settings!$B$9)+(AA405*Settings!$B$6)+(W405*Settings!$B$8)+(AB405*Settings!$B$7)+(AC405*Settings!$B$14)+(AD405*Settings!$B$15)+(AE405*Settings!$B$16)+(AF405*Settings!$B$17)+(AG405*Settings!$B$18)+(Y405*Settings!$B$10)+(Z405*Settings!$B$11),VLOOKUP(B405,'Standard Deviations'!A1:C666,3,FALSE))</f>
        <v>180.52883470564964</v>
      </c>
      <c r="J405" s="52">
        <f>IF(D405="G",I405/AJ405,I405/Q405)</f>
        <v>2.2977546021656492</v>
      </c>
      <c r="K405" s="51">
        <f>IF(Settings!$E$18="C/LW/RW",VLOOKUP(B405,RW!A1:F136,6,FALSE),VLOOKUP(B405,F!A1:F392,6,FALSE))</f>
        <v>-188.31888840064275</v>
      </c>
      <c r="L405" s="53">
        <f>IFERROR(K405/H405,"N/A")</f>
        <v>-47.079722100160687</v>
      </c>
      <c r="M405" s="83" t="str">
        <f>IF(Settings!$E$9="YAHOO",VLOOKUP(B405,ADP!A1:E665,2,FALSE),IF(Settings!$E$9="ESPN",VLOOKUP(B405,ADP!A1:E665,3,FALSE),IF(Settings!$E$9="FANTRAX",VLOOKUP(B405,ADP!A1:E665,4,FALSE),VLOOKUP(B405,ADP!A1:E665,5,FALSE))))</f>
        <v>—</v>
      </c>
      <c r="N405" s="83" t="str">
        <f>IFERROR(M405-A405,"N/A")</f>
        <v>N/A</v>
      </c>
      <c r="O405" s="54"/>
      <c r="P405" s="55" t="str">
        <f>IF(Settings!$E$27="ON",VLOOKUP(B405,ADP!A1:H665,8,FALSE)," ")</f>
        <v xml:space="preserve"> </v>
      </c>
      <c r="Q405" s="56">
        <f>IF(Settings!$E$12="YES",VLOOKUP(B405,'Player Data'!A1:E667,5,FALSE),82)</f>
        <v>78.567499999999995</v>
      </c>
      <c r="R405" s="54">
        <f>VLOOKUP(B405,'Player Data'!$A1:$AE667,6,FALSE)</f>
        <v>15.2108714010888</v>
      </c>
      <c r="S405" s="56">
        <f>VLOOKUP(B405,'Player Data'!$A1:$AE667,7,FALSE)*$Q405*IFERROR((VLOOKUP(P405,Settings!$E$28:$F$33,2,FALSE)+1),1)</f>
        <v>10.694987023914564</v>
      </c>
      <c r="T405" s="56">
        <f>VLOOKUP(B405,'Player Data'!$A1:$AE667,8,FALSE)*$Q405*IFERROR((VLOOKUP(P405,Settings!$E$28:$F$33,2,FALSE)+1),1)</f>
        <v>16.404454675704461</v>
      </c>
      <c r="U405" s="56">
        <f>SUM(S405:T405)</f>
        <v>27.099441699619025</v>
      </c>
      <c r="V405" s="56">
        <f>VLOOKUP(B405,'Player Data'!$A1:$AE667,10,FALSE)*$Q405*IFERROR(((VLOOKUP(P405,Settings!$E$28:$F$33,2,FALSE)/2)+1),1)</f>
        <v>132.15482785138926</v>
      </c>
      <c r="W405" s="56">
        <f>VLOOKUP(B405,'Player Data'!$A1:$AE667,11,FALSE)*$Q405*IFERROR((VLOOKUP(P405,Settings!$E$28:$F$33,2,FALSE)+1),1)</f>
        <v>2.3608114883213327</v>
      </c>
      <c r="X405" s="56">
        <f>VLOOKUP(B405,'Player Data'!$A1:$AE667,12,FALSE)*$Q405*IFERROR((VLOOKUP(P405,Settings!$E$28:$F$33,2,FALSE)+1),1)</f>
        <v>4.4879783994762148</v>
      </c>
      <c r="Y405" s="56">
        <f>VLOOKUP(B405,'Player Data'!$A1:$AE667,13,FALSE)*$Q405</f>
        <v>0.21187670930802163</v>
      </c>
      <c r="Z405" s="56">
        <f>VLOOKUP(B405,'Player Data'!$A1:$AE667,14,FALSE)*$Q405</f>
        <v>0.78888622782162321</v>
      </c>
      <c r="AA405" s="56">
        <f>VLOOKUP(B405,'Player Data'!$A1:$AE667,15,FALSE)*$Q405</f>
        <v>55.752462107600209</v>
      </c>
      <c r="AB405" s="56">
        <f>VLOOKUP(B405,'Player Data'!$A1:$AE667,16,FALSE)*$Q405</f>
        <v>46.415738024495795</v>
      </c>
      <c r="AC405" s="56">
        <f>VLOOKUP(B405,'Player Data'!$A1:$AE667,17,FALSE)*$Q405*IFERROR((VLOOKUP(P405,Settings!$E$28:$F$33,2,FALSE)+1),1)</f>
        <v>2.9846252467802472</v>
      </c>
      <c r="AD405" s="56">
        <f>VLOOKUP(B405,'Player Data'!$A1:$AE667,18,FALSE)*$Q405</f>
        <v>14.84090881091687</v>
      </c>
      <c r="AE405" s="56">
        <f>VLOOKUP(B405,'Player Data'!$A1:$AE667,19,FALSE)*$Q405*IFERROR((VLOOKUP(P405,Settings!$E$28:$F$33,2,FALSE)+1),1)</f>
        <v>1.7777908793840482</v>
      </c>
      <c r="AF405" s="56">
        <f>VLOOKUP(B405,'Player Data'!$A1:$AE667,20,FALSE)*$Q405</f>
        <v>9.8884491348211139</v>
      </c>
      <c r="AG405" s="56">
        <f>VLOOKUP(B405,'Player Data'!$A1:$AE667,21,FALSE)*$Q405</f>
        <v>13.448738292584478</v>
      </c>
      <c r="AH405" s="58">
        <f>VLOOKUP(B405,'Player Data'!$A1:$AE667,22,FALSE)</f>
        <v>0.42372068894680998</v>
      </c>
      <c r="AI405" s="54"/>
      <c r="AJ405" s="64"/>
      <c r="AK405" s="56"/>
      <c r="AL405" s="56"/>
      <c r="AM405" s="56"/>
      <c r="AN405" s="56"/>
      <c r="AO405" s="56"/>
      <c r="AP405" s="56"/>
      <c r="AQ405" s="59"/>
      <c r="AR405" s="60"/>
      <c r="AS405" s="54"/>
    </row>
    <row r="406" spans="1:45" ht="21.25" customHeight="1" x14ac:dyDescent="0.15">
      <c r="A406" s="45">
        <f>RANK(K406,K$1:K$665)</f>
        <v>405</v>
      </c>
      <c r="B406" s="9" t="s">
        <v>531</v>
      </c>
      <c r="C406" s="46" t="s">
        <v>127</v>
      </c>
      <c r="D406" s="47" t="str">
        <f>VLOOKUP(B406,'Player Data'!A1:D667,4,FALSE)</f>
        <v>D</v>
      </c>
      <c r="E406" s="66">
        <f>VLOOKUP(B406,D!A1:C213,3,FALSE)</f>
        <v>148</v>
      </c>
      <c r="F406" s="65" t="str">
        <f>VLOOKUP(B406,'Player Data'!A1:B667,2,FALSE)</f>
        <v>BUF</v>
      </c>
      <c r="G406" s="69">
        <f>VLOOKUP(B406,'Player Data'!A1:D667,3,FALSE)</f>
        <v>24</v>
      </c>
      <c r="H406" s="50">
        <f>IFERROR(VLOOKUP(B406,ADP!A1:G665,7,FALSE)/1000000,VLOOKUP(B406,ADP!A1:G665,7,FALSE))</f>
        <v>4.2857139999999996</v>
      </c>
      <c r="I406" s="51">
        <f>IF(Settings!$E$15="POINTS",((R406*Q406)*Settings!$B$12)+(S406*Settings!$B$2)+(T406*Settings!$B$3)+(U406*Settings!$B$4)+(V406*Settings!$B$5)+(X406*Settings!$B$9)+(AA406*Settings!$B$6)+(W406*Settings!$B$8)+(AB406*Settings!$B$7)+(AC406*Settings!$B$14)+(AD406*Settings!$B$15)+(AE406*Settings!$B$16)+(AF406*Settings!$B$17)+(AG406*Settings!$B$18)+(U406*Settings!$B$13)+(Y406*Settings!$B$10)+(Z406*Settings!$B$11),VLOOKUP(B406,'Standard Deviations'!A1:C666,3,FALSE))</f>
        <v>147.73755895228203</v>
      </c>
      <c r="J406" s="52">
        <f>IF(D406="G",I406/AJ406,I406/Q406)</f>
        <v>2.2037225380710326</v>
      </c>
      <c r="K406" s="51">
        <f>VLOOKUP(B406,D!A1:F213,6,FALSE)</f>
        <v>-188.49656609331288</v>
      </c>
      <c r="L406" s="53">
        <f>IFERROR(K406/H406,"N/A")</f>
        <v>-43.98253502060868</v>
      </c>
      <c r="M406" s="83" t="str">
        <f>IF(Settings!$E$9="YAHOO",VLOOKUP(B406,ADP!A1:E665,2,FALSE),IF(Settings!$E$9="ESPN",VLOOKUP(B406,ADP!A1:E665,3,FALSE),IF(Settings!$E$9="FANTRAX",VLOOKUP(B406,ADP!A1:E665,4,FALSE),VLOOKUP(B406,ADP!A1:E665,5,FALSE))))</f>
        <v>—</v>
      </c>
      <c r="N406" s="83" t="str">
        <f>IFERROR(M406-A406,"N/A")</f>
        <v>N/A</v>
      </c>
      <c r="O406" s="54"/>
      <c r="P406" s="55" t="str">
        <f>IF(Settings!$E$27="ON",VLOOKUP(B406,ADP!A1:H665,8,FALSE)," ")</f>
        <v xml:space="preserve"> </v>
      </c>
      <c r="Q406" s="56">
        <f>IF(Settings!$E$12="YES",VLOOKUP(B406,'Player Data'!A1:E667,5,FALSE),82)</f>
        <v>67.040000000000006</v>
      </c>
      <c r="R406" s="54">
        <f>VLOOKUP(B406,'Player Data'!$A1:$AE667,6,FALSE)</f>
        <v>20.388482657756999</v>
      </c>
      <c r="S406" s="56">
        <f>VLOOKUP(B406,'Player Data'!$A1:$AE667,7,FALSE)*$Q406*IFERROR((VLOOKUP(P406,Settings!$E$28:$F$33,2,FALSE)+1),1)</f>
        <v>2.4457044918782671</v>
      </c>
      <c r="T406" s="56">
        <f>VLOOKUP(B406,'Player Data'!$A1:$AE667,8,FALSE)*$Q406*IFERROR((VLOOKUP(P406,Settings!$E$28:$F$33,2,FALSE)+1),1)</f>
        <v>12.575921533838253</v>
      </c>
      <c r="U406" s="56">
        <f>SUM(S406:T406)</f>
        <v>15.02162602571652</v>
      </c>
      <c r="V406" s="56">
        <f>VLOOKUP(B406,'Player Data'!$A1:$AE667,10,FALSE)*$Q406*IFERROR(((VLOOKUP(P406,Settings!$E$28:$F$33,2,FALSE)/2)+1),1)</f>
        <v>80.652837860931726</v>
      </c>
      <c r="W406" s="56">
        <f>VLOOKUP(B406,'Player Data'!$A1:$AE667,11,FALSE)*$Q406*IFERROR((VLOOKUP(P406,Settings!$E$28:$F$33,2,FALSE)+1),1)</f>
        <v>1.853635673367612E-2</v>
      </c>
      <c r="X406" s="56">
        <f>VLOOKUP(B406,'Player Data'!$A1:$AE667,12,FALSE)*$Q406*IFERROR((VLOOKUP(P406,Settings!$E$28:$F$33,2,FALSE)+1),1)</f>
        <v>0.1164687444024014</v>
      </c>
      <c r="Y406" s="56">
        <f>VLOOKUP(B406,'Player Data'!$A1:$AE667,13,FALSE)*$Q406</f>
        <v>3.9383341096538078E-2</v>
      </c>
      <c r="Z406" s="56">
        <f>VLOOKUP(B406,'Player Data'!$A1:$AE667,14,FALSE)*$Q406</f>
        <v>0.52579430948311234</v>
      </c>
      <c r="AA406" s="56">
        <f>VLOOKUP(B406,'Player Data'!$A1:$AE667,15,FALSE)*$Q406</f>
        <v>123.40799778156224</v>
      </c>
      <c r="AB406" s="56">
        <f>VLOOKUP(B406,'Player Data'!$A1:$AE667,16,FALSE)*$Q406</f>
        <v>135.12918342838063</v>
      </c>
      <c r="AC406" s="56">
        <f>VLOOKUP(B406,'Player Data'!$A1:$AE667,17,FALSE)*$Q406*IFERROR((VLOOKUP(P406,Settings!$E$28:$F$33,2,FALSE)+1),1)</f>
        <v>-0.39607454134117193</v>
      </c>
      <c r="AD406" s="56">
        <f>VLOOKUP(B406,'Player Data'!$A1:$AE667,18,FALSE)*$Q406</f>
        <v>31.563888372167717</v>
      </c>
      <c r="AE406" s="56">
        <f>VLOOKUP(B406,'Player Data'!$A1:$AE667,19,FALSE)*$Q406*IFERROR((VLOOKUP(P406,Settings!$E$28:$F$33,2,FALSE)+1),1)</f>
        <v>0.34595819491478086</v>
      </c>
      <c r="AF406" s="56">
        <f>VLOOKUP(B406,'Player Data'!$A1:$AE667,20,FALSE)*$Q406</f>
        <v>0</v>
      </c>
      <c r="AG406" s="56">
        <f>VLOOKUP(B406,'Player Data'!$A1:$AE667,21,FALSE)*$Q406</f>
        <v>0</v>
      </c>
      <c r="AH406" s="58">
        <f>VLOOKUP(B406,'Player Data'!$A1:$AE667,22,FALSE)</f>
        <v>0</v>
      </c>
      <c r="AI406" s="54"/>
      <c r="AJ406" s="56"/>
      <c r="AK406" s="56"/>
      <c r="AL406" s="56"/>
      <c r="AM406" s="56"/>
      <c r="AN406" s="56"/>
      <c r="AO406" s="56"/>
      <c r="AP406" s="56"/>
      <c r="AQ406" s="59"/>
      <c r="AR406" s="60"/>
      <c r="AS406" s="54"/>
    </row>
    <row r="407" spans="1:45" ht="21.25" customHeight="1" x14ac:dyDescent="0.15">
      <c r="A407" s="45">
        <f>RANK(K407,K$1:K$665)</f>
        <v>406</v>
      </c>
      <c r="B407" s="9" t="s">
        <v>532</v>
      </c>
      <c r="C407" s="46" t="s">
        <v>127</v>
      </c>
      <c r="D407" s="47" t="str">
        <f>VLOOKUP(B407,'Player Data'!A1:D667,4,FALSE)</f>
        <v>LW</v>
      </c>
      <c r="E407" s="70">
        <f>VLOOKUP(B407,LW!A1:C152,3,FALSE)</f>
        <v>94</v>
      </c>
      <c r="F407" s="65" t="str">
        <f>VLOOKUP(B407,'Player Data'!A1:B667,2,FALSE)</f>
        <v>BUF</v>
      </c>
      <c r="G407" s="63">
        <f>VLOOKUP(B407,'Player Data'!A1:D667,3,FALSE)</f>
        <v>32</v>
      </c>
      <c r="H407" s="67">
        <f>IFERROR(VLOOKUP(B407,ADP!A1:G665,7,FALSE)/1000000,VLOOKUP(B407,ADP!A1:G665,7,FALSE))</f>
        <v>5</v>
      </c>
      <c r="I407" s="51">
        <f>IF(Settings!$E$15="POINTS",((R407*Q407)*Settings!$B$12)+(S407*Settings!$B$2)+(T407*Settings!$B$3)+(U407*Settings!$B$4)+(V407*Settings!$B$5)+(X407*Settings!$B$9)+(AA407*Settings!$B$6)+(W407*Settings!$B$8)+(AB407*Settings!$B$7)+(AC407*Settings!$B$14)+(AD407*Settings!$B$15)+(AE407*Settings!$B$16)+(AF407*Settings!$B$17)+(AG407*Settings!$B$18)+(Y407*Settings!$B$10)+(Z407*Settings!$B$11),VLOOKUP(B407,'Standard Deviations'!A1:C666,3,FALSE))</f>
        <v>192.28281544298369</v>
      </c>
      <c r="J407" s="52">
        <f>IF(D407="G",I407/AJ407,I407/Q407)</f>
        <v>2.5612949541174688</v>
      </c>
      <c r="K407" s="51">
        <f>IF(Settings!$E$18="C/LW/RW",VLOOKUP(B407,LW!A1:F152,6,FALSE),VLOOKUP(B407,F!A1:F392,6,FALSE))</f>
        <v>-188.77869685951606</v>
      </c>
      <c r="L407" s="53">
        <f>IFERROR(K407/H407,"N/A")</f>
        <v>-37.755739371903211</v>
      </c>
      <c r="M407" s="54">
        <f>IF(Settings!$E$9="YAHOO",VLOOKUP(B407,ADP!A1:E665,2,FALSE),IF(Settings!$E$9="ESPN",VLOOKUP(B407,ADP!A1:E665,3,FALSE),IF(Settings!$E$9="FANTRAX",VLOOKUP(B407,ADP!A1:E665,4,FALSE),VLOOKUP(B407,ADP!A1:E665,5,FALSE))))</f>
        <v>168</v>
      </c>
      <c r="N407" s="54">
        <f>IFERROR(M407-A407,"N/A")</f>
        <v>-238</v>
      </c>
      <c r="O407" s="54"/>
      <c r="P407" s="55" t="str">
        <f>IF(Settings!$E$27="ON",VLOOKUP(B407,ADP!A1:H665,8,FALSE)," ")</f>
        <v xml:space="preserve"> </v>
      </c>
      <c r="Q407" s="56">
        <f>IF(Settings!$E$12="YES",VLOOKUP(B407,'Player Data'!A1:E667,5,FALSE),82)</f>
        <v>75.072500000000005</v>
      </c>
      <c r="R407" s="54">
        <f>VLOOKUP(B407,'Player Data'!$A1:$AE667,6,FALSE)</f>
        <v>13.647313524440699</v>
      </c>
      <c r="S407" s="56">
        <f>VLOOKUP(B407,'Player Data'!$A1:$AE667,7,FALSE)*$Q407*IFERROR((VLOOKUP(P407,Settings!$E$28:$F$33,2,FALSE)+1),1)</f>
        <v>15.446191444308971</v>
      </c>
      <c r="T407" s="56">
        <f>VLOOKUP(B407,'Player Data'!$A1:$AE667,8,FALSE)*$Q407*IFERROR((VLOOKUP(P407,Settings!$E$28:$F$33,2,FALSE)+1),1)</f>
        <v>16.304374666311023</v>
      </c>
      <c r="U407" s="56">
        <f>SUM(S407:T407)</f>
        <v>31.750566110619992</v>
      </c>
      <c r="V407" s="56">
        <f>VLOOKUP(B407,'Player Data'!$A1:$AE667,10,FALSE)*$Q407*IFERROR(((VLOOKUP(P407,Settings!$E$28:$F$33,2,FALSE)/2)+1),1)</f>
        <v>156.0782355685071</v>
      </c>
      <c r="W407" s="56">
        <f>VLOOKUP(B407,'Player Data'!$A1:$AE667,11,FALSE)*$Q407*IFERROR((VLOOKUP(P407,Settings!$E$28:$F$33,2,FALSE)+1),1)</f>
        <v>2.9153116248675159</v>
      </c>
      <c r="X407" s="56">
        <f>VLOOKUP(B407,'Player Data'!$A1:$AE667,12,FALSE)*$Q407*IFERROR((VLOOKUP(P407,Settings!$E$28:$F$33,2,FALSE)+1),1)</f>
        <v>7.1009769999785979</v>
      </c>
      <c r="Y407" s="56">
        <f>VLOOKUP(B407,'Player Data'!$A1:$AE667,13,FALSE)*$Q407</f>
        <v>7.3058896388827361E-3</v>
      </c>
      <c r="Z407" s="56">
        <f>VLOOKUP(B407,'Player Data'!$A1:$AE667,14,FALSE)*$Q407</f>
        <v>1.2383049166432772E-2</v>
      </c>
      <c r="AA407" s="56">
        <f>VLOOKUP(B407,'Player Data'!$A1:$AE667,15,FALSE)*$Q407</f>
        <v>23.757278555450245</v>
      </c>
      <c r="AB407" s="56">
        <f>VLOOKUP(B407,'Player Data'!$A1:$AE667,16,FALSE)*$Q407</f>
        <v>120.67110343552505</v>
      </c>
      <c r="AC407" s="56">
        <f>VLOOKUP(B407,'Player Data'!$A1:$AE667,17,FALSE)*$Q407*IFERROR((VLOOKUP(P407,Settings!$E$28:$F$33,2,FALSE)+1),1)</f>
        <v>0.41092377674759611</v>
      </c>
      <c r="AD407" s="56">
        <f>VLOOKUP(B407,'Player Data'!$A1:$AE667,18,FALSE)*$Q407</f>
        <v>38.562679652612502</v>
      </c>
      <c r="AE407" s="56">
        <f>VLOOKUP(B407,'Player Data'!$A1:$AE667,19,FALSE)*$Q407*IFERROR((VLOOKUP(P407,Settings!$E$28:$F$33,2,FALSE)+1),1)</f>
        <v>2.1849477433299223</v>
      </c>
      <c r="AF407" s="56">
        <f>VLOOKUP(B407,'Player Data'!$A1:$AE667,20,FALSE)*$Q407</f>
        <v>9.6210576128323417</v>
      </c>
      <c r="AG407" s="56">
        <f>VLOOKUP(B407,'Player Data'!$A1:$AE667,21,FALSE)*$Q407</f>
        <v>20.548450366501029</v>
      </c>
      <c r="AH407" s="58">
        <f>VLOOKUP(B407,'Player Data'!$A1:$AE667,22,FALSE)</f>
        <v>0.31890005032309199</v>
      </c>
      <c r="AI407" s="54"/>
      <c r="AJ407" s="56"/>
      <c r="AK407" s="56"/>
      <c r="AL407" s="56"/>
      <c r="AM407" s="56"/>
      <c r="AN407" s="56"/>
      <c r="AO407" s="56"/>
      <c r="AP407" s="56"/>
      <c r="AQ407" s="59"/>
      <c r="AR407" s="60"/>
      <c r="AS407" s="64"/>
    </row>
    <row r="408" spans="1:45" ht="21.25" customHeight="1" x14ac:dyDescent="0.15">
      <c r="A408" s="45">
        <f>RANK(K408,K$1:K$665)</f>
        <v>407</v>
      </c>
      <c r="B408" s="9" t="s">
        <v>533</v>
      </c>
      <c r="C408" s="46" t="s">
        <v>127</v>
      </c>
      <c r="D408" s="47" t="str">
        <f>VLOOKUP(B408,'Player Data'!A1:D667,4,FALSE)</f>
        <v>D</v>
      </c>
      <c r="E408" s="66">
        <f>VLOOKUP(B408,D!A1:C213,3,FALSE)</f>
        <v>149</v>
      </c>
      <c r="F408" s="80" t="str">
        <f>VLOOKUP(B408,'Player Data'!A1:B667,2,FALSE)</f>
        <v>PHI</v>
      </c>
      <c r="G408" s="10">
        <f>VLOOKUP(B408,'Player Data'!A1:D667,3,FALSE)</f>
        <v>29</v>
      </c>
      <c r="H408" s="50">
        <f>IFERROR(VLOOKUP(B408,ADP!A1:G665,7,FALSE)/1000000,VLOOKUP(B408,ADP!A1:G665,7,FALSE))</f>
        <v>5.0999999999999996</v>
      </c>
      <c r="I408" s="51">
        <f>IF(Settings!$E$15="POINTS",((R408*Q408)*Settings!$B$12)+(S408*Settings!$B$2)+(T408*Settings!$B$3)+(U408*Settings!$B$4)+(V408*Settings!$B$5)+(X408*Settings!$B$9)+(AA408*Settings!$B$6)+(W408*Settings!$B$8)+(AB408*Settings!$B$7)+(AC408*Settings!$B$14)+(AD408*Settings!$B$15)+(AE408*Settings!$B$16)+(AF408*Settings!$B$17)+(AG408*Settings!$B$18)+(U408*Settings!$B$13)+(Y408*Settings!$B$10)+(Z408*Settings!$B$11),VLOOKUP(B408,'Standard Deviations'!A1:C666,3,FALSE))</f>
        <v>147.24245591406344</v>
      </c>
      <c r="J408" s="52">
        <f>IF(D408="G",I408/AJ408,I408/Q408)</f>
        <v>2.0951578515750193</v>
      </c>
      <c r="K408" s="51">
        <f>VLOOKUP(B408,D!A1:F213,6,FALSE)</f>
        <v>-188.99166913153147</v>
      </c>
      <c r="L408" s="53">
        <f>IFERROR(K408/H408,"N/A")</f>
        <v>-37.057190025790483</v>
      </c>
      <c r="M408" s="83" t="str">
        <f>IF(Settings!$E$9="YAHOO",VLOOKUP(B408,ADP!A1:E665,2,FALSE),IF(Settings!$E$9="ESPN",VLOOKUP(B408,ADP!A1:E665,3,FALSE),IF(Settings!$E$9="FANTRAX",VLOOKUP(B408,ADP!A1:E665,4,FALSE),VLOOKUP(B408,ADP!A1:E665,5,FALSE))))</f>
        <v>—</v>
      </c>
      <c r="N408" s="83" t="str">
        <f>IFERROR(M408-A408,"N/A")</f>
        <v>N/A</v>
      </c>
      <c r="O408" s="54"/>
      <c r="P408" s="55" t="str">
        <f>IF(Settings!$E$27="ON",VLOOKUP(B408,ADP!A1:H665,8,FALSE)," ")</f>
        <v xml:space="preserve"> </v>
      </c>
      <c r="Q408" s="56">
        <f>IF(Settings!$E$12="YES",VLOOKUP(B408,'Player Data'!A1:E667,5,FALSE),82)</f>
        <v>70.277500000000003</v>
      </c>
      <c r="R408" s="75">
        <f>VLOOKUP(B408,'Player Data'!$A1:$AE667,6,FALSE)</f>
        <v>18.263404192126401</v>
      </c>
      <c r="S408" s="56">
        <f>VLOOKUP(B408,'Player Data'!$A1:$AE667,7,FALSE)*$Q408*IFERROR((VLOOKUP(P408,Settings!$E$28:$F$33,2,FALSE)+1),1)</f>
        <v>2.208362243342759</v>
      </c>
      <c r="T408" s="56">
        <f>VLOOKUP(B408,'Player Data'!$A1:$AE667,8,FALSE)*$Q408*IFERROR((VLOOKUP(P408,Settings!$E$28:$F$33,2,FALSE)+1),1)</f>
        <v>12.023581988595829</v>
      </c>
      <c r="U408" s="56">
        <f>SUM(S408:T408)</f>
        <v>14.231944231938588</v>
      </c>
      <c r="V408" s="56">
        <f>VLOOKUP(B408,'Player Data'!$A1:$AE667,10,FALSE)*$Q408*IFERROR(((VLOOKUP(P408,Settings!$E$28:$F$33,2,FALSE)/2)+1),1)</f>
        <v>87.234084148501893</v>
      </c>
      <c r="W408" s="56">
        <f>VLOOKUP(B408,'Player Data'!$A1:$AE667,11,FALSE)*$Q408*IFERROR((VLOOKUP(P408,Settings!$E$28:$F$33,2,FALSE)+1),1)</f>
        <v>0.12558561670709165</v>
      </c>
      <c r="X408" s="56">
        <f>VLOOKUP(B408,'Player Data'!$A1:$AE667,12,FALSE)*$Q408*IFERROR((VLOOKUP(P408,Settings!$E$28:$F$33,2,FALSE)+1),1)</f>
        <v>0.79384145091823899</v>
      </c>
      <c r="Y408" s="56">
        <f>VLOOKUP(B408,'Player Data'!$A1:$AE667,13,FALSE)*$Q408</f>
        <v>0.30786401584911255</v>
      </c>
      <c r="Z408" s="56">
        <f>VLOOKUP(B408,'Player Data'!$A1:$AE667,14,FALSE)*$Q408</f>
        <v>1.0332618927849273</v>
      </c>
      <c r="AA408" s="56">
        <f>VLOOKUP(B408,'Player Data'!$A1:$AE667,15,FALSE)*$Q408</f>
        <v>118.20495560058713</v>
      </c>
      <c r="AB408" s="56">
        <f>VLOOKUP(B408,'Player Data'!$A1:$AE667,16,FALSE)*$Q408</f>
        <v>138.73105245616878</v>
      </c>
      <c r="AC408" s="56">
        <f>VLOOKUP(B408,'Player Data'!$A1:$AE667,17,FALSE)*$Q408*IFERROR((VLOOKUP(P408,Settings!$E$28:$F$33,2,FALSE)+1),1)</f>
        <v>-2.2366404321384667</v>
      </c>
      <c r="AD408" s="56">
        <f>VLOOKUP(B408,'Player Data'!$A1:$AE667,18,FALSE)*$Q408</f>
        <v>29.661209035147177</v>
      </c>
      <c r="AE408" s="56">
        <f>VLOOKUP(B408,'Player Data'!$A1:$AE667,19,FALSE)*$Q408*IFERROR((VLOOKUP(P408,Settings!$E$28:$F$33,2,FALSE)+1),1)</f>
        <v>0.32010106262937399</v>
      </c>
      <c r="AF408" s="56">
        <f>VLOOKUP(B408,'Player Data'!$A1:$AE667,20,FALSE)*$Q408</f>
        <v>0</v>
      </c>
      <c r="AG408" s="56">
        <f>VLOOKUP(B408,'Player Data'!$A1:$AE667,21,FALSE)*$Q408</f>
        <v>0</v>
      </c>
      <c r="AH408" s="58">
        <f>VLOOKUP(B408,'Player Data'!$A1:$AE667,22,FALSE)</f>
        <v>0</v>
      </c>
      <c r="AI408" s="54"/>
      <c r="AJ408" s="64"/>
      <c r="AK408" s="56"/>
      <c r="AL408" s="56"/>
      <c r="AM408" s="56"/>
      <c r="AN408" s="56"/>
      <c r="AO408" s="56"/>
      <c r="AP408" s="56"/>
      <c r="AQ408" s="59"/>
      <c r="AR408" s="60"/>
      <c r="AS408" s="54"/>
    </row>
    <row r="409" spans="1:45" ht="21.25" customHeight="1" x14ac:dyDescent="0.15">
      <c r="A409" s="45">
        <f>RANK(K409,K$1:K$665)</f>
        <v>408</v>
      </c>
      <c r="B409" s="9" t="s">
        <v>534</v>
      </c>
      <c r="C409" s="46" t="s">
        <v>127</v>
      </c>
      <c r="D409" s="47" t="str">
        <f>VLOOKUP(B409,'Player Data'!A1:D667,4,FALSE)</f>
        <v>D</v>
      </c>
      <c r="E409" s="66">
        <f>VLOOKUP(B409,D!A1:C213,3,FALSE)</f>
        <v>150</v>
      </c>
      <c r="F409" s="65" t="str">
        <f>VLOOKUP(B409,'Player Data'!A1:B667,2,FALSE)</f>
        <v>WSH</v>
      </c>
      <c r="G409" s="63">
        <f>VLOOKUP(B409,'Player Data'!A1:D667,3,FALSE)</f>
        <v>33</v>
      </c>
      <c r="H409" s="50">
        <f>IFERROR(VLOOKUP(B409,ADP!A1:G665,7,FALSE)/1000000,VLOOKUP(B409,ADP!A1:G665,7,FALSE))</f>
        <v>3</v>
      </c>
      <c r="I409" s="51">
        <f>IF(Settings!$E$15="POINTS",((R409*Q409)*Settings!$B$12)+(S409*Settings!$B$2)+(T409*Settings!$B$3)+(U409*Settings!$B$4)+(V409*Settings!$B$5)+(X409*Settings!$B$9)+(AA409*Settings!$B$6)+(W409*Settings!$B$8)+(AB409*Settings!$B$7)+(AC409*Settings!$B$14)+(AD409*Settings!$B$15)+(AE409*Settings!$B$16)+(AF409*Settings!$B$17)+(AG409*Settings!$B$18)+(U409*Settings!$B$13)+(Y409*Settings!$B$10)+(Z409*Settings!$B$11),VLOOKUP(B409,'Standard Deviations'!A1:C666,3,FALSE))</f>
        <v>146.79850646407354</v>
      </c>
      <c r="J409" s="52">
        <f>IF(D409="G",I409/AJ409,I409/Q409)</f>
        <v>1.8835413820570783</v>
      </c>
      <c r="K409" s="51">
        <f>VLOOKUP(B409,D!A1:F213,6,FALSE)</f>
        <v>-189.43561858152137</v>
      </c>
      <c r="L409" s="53">
        <f>IFERROR(K409/H409,"N/A")</f>
        <v>-63.145206193840458</v>
      </c>
      <c r="M409" s="83" t="str">
        <f>IF(Settings!$E$9="YAHOO",VLOOKUP(B409,ADP!A1:E665,2,FALSE),IF(Settings!$E$9="ESPN",VLOOKUP(B409,ADP!A1:E665,3,FALSE),IF(Settings!$E$9="FANTRAX",VLOOKUP(B409,ADP!A1:E665,4,FALSE),VLOOKUP(B409,ADP!A1:E665,5,FALSE))))</f>
        <v>—</v>
      </c>
      <c r="N409" s="83" t="str">
        <f>IFERROR(M409-A409,"N/A")</f>
        <v>N/A</v>
      </c>
      <c r="O409" s="54"/>
      <c r="P409" s="55" t="str">
        <f>IF(Settings!$E$27="ON",VLOOKUP(B409,ADP!A1:H665,8,FALSE)," ")</f>
        <v xml:space="preserve"> </v>
      </c>
      <c r="Q409" s="56">
        <f>IF(Settings!$E$12="YES",VLOOKUP(B409,'Player Data'!A1:E667,5,FALSE),82)</f>
        <v>77.9375</v>
      </c>
      <c r="R409" s="81">
        <f>VLOOKUP(B409,'Player Data'!$A1:$AE667,6,FALSE)</f>
        <v>16.911760392074498</v>
      </c>
      <c r="S409" s="56">
        <f>VLOOKUP(B409,'Player Data'!$A1:$AE667,7,FALSE)*$Q409*IFERROR((VLOOKUP(P409,Settings!$E$28:$F$33,2,FALSE)+1),1)</f>
        <v>2.4982270532830544</v>
      </c>
      <c r="T409" s="56">
        <f>VLOOKUP(B409,'Player Data'!$A1:$AE667,8,FALSE)*$Q409*IFERROR((VLOOKUP(P409,Settings!$E$28:$F$33,2,FALSE)+1),1)</f>
        <v>13.813645040019521</v>
      </c>
      <c r="U409" s="56">
        <f>SUM(S409:T409)</f>
        <v>16.311872093302576</v>
      </c>
      <c r="V409" s="56">
        <f>VLOOKUP(B409,'Player Data'!$A1:$AE667,10,FALSE)*$Q409*IFERROR(((VLOOKUP(P409,Settings!$E$28:$F$33,2,FALSE)/2)+1),1)</f>
        <v>75.432396818575469</v>
      </c>
      <c r="W409" s="56">
        <f>VLOOKUP(B409,'Player Data'!$A1:$AE667,11,FALSE)*$Q409*IFERROR((VLOOKUP(P409,Settings!$E$28:$F$33,2,FALSE)+1),1)</f>
        <v>1.4654203588965178E-2</v>
      </c>
      <c r="X409" s="56">
        <f>VLOOKUP(B409,'Player Data'!$A1:$AE667,12,FALSE)*$Q409*IFERROR((VLOOKUP(P409,Settings!$E$28:$F$33,2,FALSE)+1),1)</f>
        <v>0.13599658699070483</v>
      </c>
      <c r="Y409" s="56">
        <f>VLOOKUP(B409,'Player Data'!$A1:$AE667,13,FALSE)*$Q409</f>
        <v>2.6040273878715124E-2</v>
      </c>
      <c r="Z409" s="56">
        <f>VLOOKUP(B409,'Player Data'!$A1:$AE667,14,FALSE)*$Q409</f>
        <v>0.65772215010303747</v>
      </c>
      <c r="AA409" s="56">
        <f>VLOOKUP(B409,'Player Data'!$A1:$AE667,15,FALSE)*$Q409</f>
        <v>118.70594607556866</v>
      </c>
      <c r="AB409" s="56">
        <f>VLOOKUP(B409,'Player Data'!$A1:$AE667,16,FALSE)*$Q409</f>
        <v>42.44716125927421</v>
      </c>
      <c r="AC409" s="56">
        <f>VLOOKUP(B409,'Player Data'!$A1:$AE667,17,FALSE)*$Q409*IFERROR((VLOOKUP(P409,Settings!$E$28:$F$33,2,FALSE)+1),1)</f>
        <v>-0.93724234878180024</v>
      </c>
      <c r="AD409" s="56">
        <f>VLOOKUP(B409,'Player Data'!$A1:$AE667,18,FALSE)*$Q409</f>
        <v>22.53455994951015</v>
      </c>
      <c r="AE409" s="56">
        <f>VLOOKUP(B409,'Player Data'!$A1:$AE667,19,FALSE)*$Q409*IFERROR((VLOOKUP(P409,Settings!$E$28:$F$33,2,FALSE)+1),1)</f>
        <v>0.3545297342222829</v>
      </c>
      <c r="AF409" s="56">
        <f>VLOOKUP(B409,'Player Data'!$A1:$AE667,20,FALSE)*$Q409</f>
        <v>0</v>
      </c>
      <c r="AG409" s="56">
        <f>VLOOKUP(B409,'Player Data'!$A1:$AE667,21,FALSE)*$Q409</f>
        <v>0</v>
      </c>
      <c r="AH409" s="58">
        <f>VLOOKUP(B409,'Player Data'!$A1:$AE667,22,FALSE)</f>
        <v>0</v>
      </c>
      <c r="AI409" s="54"/>
      <c r="AJ409" s="56"/>
      <c r="AK409" s="56"/>
      <c r="AL409" s="56"/>
      <c r="AM409" s="56"/>
      <c r="AN409" s="56"/>
      <c r="AO409" s="56"/>
      <c r="AP409" s="56"/>
      <c r="AQ409" s="59"/>
      <c r="AR409" s="60"/>
      <c r="AS409" s="54"/>
    </row>
    <row r="410" spans="1:45" ht="21.25" customHeight="1" x14ac:dyDescent="0.15">
      <c r="A410" s="45">
        <f>RANK(K410,K$1:K$665)</f>
        <v>409</v>
      </c>
      <c r="B410" s="9" t="s">
        <v>535</v>
      </c>
      <c r="C410" s="46" t="s">
        <v>127</v>
      </c>
      <c r="D410" s="47" t="str">
        <f>VLOOKUP(B410,'Player Data'!A1:D667,4,FALSE)</f>
        <v>LW</v>
      </c>
      <c r="E410" s="70">
        <f>VLOOKUP(B410,LW!A1:C152,3,FALSE)</f>
        <v>95</v>
      </c>
      <c r="F410" s="62" t="str">
        <f>VLOOKUP(B410,'Player Data'!A1:B667,2,FALSE)</f>
        <v>SEA</v>
      </c>
      <c r="G410" s="10">
        <f>VLOOKUP(B410,'Player Data'!A1:D667,3,FALSE)</f>
        <v>29</v>
      </c>
      <c r="H410" s="50">
        <f>IFERROR(VLOOKUP(B410,ADP!A1:G665,7,FALSE)/1000000,VLOOKUP(B410,ADP!A1:G665,7,FALSE))</f>
        <v>5.5</v>
      </c>
      <c r="I410" s="51">
        <f>IF(Settings!$E$15="POINTS",((R410*Q410)*Settings!$B$12)+(S410*Settings!$B$2)+(T410*Settings!$B$3)+(U410*Settings!$B$4)+(V410*Settings!$B$5)+(X410*Settings!$B$9)+(AA410*Settings!$B$6)+(W410*Settings!$B$8)+(AB410*Settings!$B$7)+(AC410*Settings!$B$14)+(AD410*Settings!$B$15)+(AE410*Settings!$B$16)+(AF410*Settings!$B$17)+(AG410*Settings!$B$18)+(Y410*Settings!$B$10)+(Z410*Settings!$B$11),VLOOKUP(B410,'Standard Deviations'!A1:C666,3,FALSE))</f>
        <v>190.65960469722503</v>
      </c>
      <c r="J410" s="52">
        <f>IF(D410="G",I410/AJ410,I410/Q410)</f>
        <v>2.6689942562780855</v>
      </c>
      <c r="K410" s="51">
        <f>IF(Settings!$E$18="C/LW/RW",VLOOKUP(B410,LW!A1:F152,6,FALSE),VLOOKUP(B410,F!A1:F392,6,FALSE))</f>
        <v>-190.40190760527472</v>
      </c>
      <c r="L410" s="53">
        <f>IFERROR(K410/H410,"N/A")</f>
        <v>-34.618528655504491</v>
      </c>
      <c r="M410" s="83" t="str">
        <f>IF(Settings!$E$9="YAHOO",VLOOKUP(B410,ADP!A1:E665,2,FALSE),IF(Settings!$E$9="ESPN",VLOOKUP(B410,ADP!A1:E665,3,FALSE),IF(Settings!$E$9="FANTRAX",VLOOKUP(B410,ADP!A1:E665,4,FALSE),VLOOKUP(B410,ADP!A1:E665,5,FALSE))))</f>
        <v>—</v>
      </c>
      <c r="N410" s="83" t="str">
        <f>IFERROR(M410-A410,"N/A")</f>
        <v>N/A</v>
      </c>
      <c r="O410" s="54"/>
      <c r="P410" s="55" t="str">
        <f>IF(Settings!$E$27="ON",VLOOKUP(B410,ADP!A1:H665,8,FALSE)," ")</f>
        <v xml:space="preserve"> </v>
      </c>
      <c r="Q410" s="56">
        <f>IF(Settings!$E$12="YES",VLOOKUP(B410,'Player Data'!A1:E667,5,FALSE),82)</f>
        <v>71.435000000000002</v>
      </c>
      <c r="R410" s="54">
        <f>VLOOKUP(B410,'Player Data'!$A1:$AE667,6,FALSE)</f>
        <v>14.5269907121278</v>
      </c>
      <c r="S410" s="56">
        <f>VLOOKUP(B410,'Player Data'!$A1:$AE667,7,FALSE)*$Q410*IFERROR((VLOOKUP(P410,Settings!$E$28:$F$33,2,FALSE)+1),1)</f>
        <v>13.011935200753236</v>
      </c>
      <c r="T410" s="56">
        <f>VLOOKUP(B410,'Player Data'!$A1:$AE667,8,FALSE)*$Q410*IFERROR((VLOOKUP(P410,Settings!$E$28:$F$33,2,FALSE)+1),1)</f>
        <v>22.163027511674041</v>
      </c>
      <c r="U410" s="56">
        <f>SUM(S410:T410)</f>
        <v>35.174962712427273</v>
      </c>
      <c r="V410" s="56">
        <f>VLOOKUP(B410,'Player Data'!$A1:$AE667,10,FALSE)*$Q410*IFERROR(((VLOOKUP(P410,Settings!$E$28:$F$33,2,FALSE)/2)+1),1)</f>
        <v>127.37229548008403</v>
      </c>
      <c r="W410" s="56">
        <f>VLOOKUP(B410,'Player Data'!$A1:$AE667,11,FALSE)*$Q410*IFERROR((VLOOKUP(P410,Settings!$E$28:$F$33,2,FALSE)+1),1)</f>
        <v>4.0315897913336745</v>
      </c>
      <c r="X410" s="56">
        <f>VLOOKUP(B410,'Player Data'!$A1:$AE667,12,FALSE)*$Q410*IFERROR((VLOOKUP(P410,Settings!$E$28:$F$33,2,FALSE)+1),1)</f>
        <v>9.7368310342151307</v>
      </c>
      <c r="Y410" s="56">
        <f>VLOOKUP(B410,'Player Data'!$A1:$AE667,13,FALSE)*$Q410</f>
        <v>0</v>
      </c>
      <c r="Z410" s="56">
        <f>VLOOKUP(B410,'Player Data'!$A1:$AE667,14,FALSE)*$Q410</f>
        <v>0</v>
      </c>
      <c r="AA410" s="56">
        <f>VLOOKUP(B410,'Player Data'!$A1:$AE667,15,FALSE)*$Q410</f>
        <v>23.423475571372062</v>
      </c>
      <c r="AB410" s="56">
        <f>VLOOKUP(B410,'Player Data'!$A1:$AE667,16,FALSE)*$Q410</f>
        <v>33.285340975590522</v>
      </c>
      <c r="AC410" s="56">
        <f>VLOOKUP(B410,'Player Data'!$A1:$AE667,17,FALSE)*$Q410*IFERROR((VLOOKUP(P410,Settings!$E$28:$F$33,2,FALSE)+1),1)</f>
        <v>-1.7246339960921488</v>
      </c>
      <c r="AD410" s="56">
        <f>VLOOKUP(B410,'Player Data'!$A1:$AE667,18,FALSE)*$Q410</f>
        <v>20.168314688545891</v>
      </c>
      <c r="AE410" s="56">
        <f>VLOOKUP(B410,'Player Data'!$A1:$AE667,19,FALSE)*$Q410*IFERROR((VLOOKUP(P410,Settings!$E$28:$F$33,2,FALSE)+1),1)</f>
        <v>1.9758320535046947</v>
      </c>
      <c r="AF410" s="56">
        <f>VLOOKUP(B410,'Player Data'!$A1:$AE667,20,FALSE)*$Q410</f>
        <v>3.1603859805533983</v>
      </c>
      <c r="AG410" s="56">
        <f>VLOOKUP(B410,'Player Data'!$A1:$AE667,21,FALSE)*$Q410</f>
        <v>7.0976943805002017</v>
      </c>
      <c r="AH410" s="58">
        <f>VLOOKUP(B410,'Player Data'!$A1:$AE667,22,FALSE)</f>
        <v>0.30808746561903499</v>
      </c>
      <c r="AI410" s="54"/>
      <c r="AJ410" s="56"/>
      <c r="AK410" s="56"/>
      <c r="AL410" s="56"/>
      <c r="AM410" s="56"/>
      <c r="AN410" s="56"/>
      <c r="AO410" s="56"/>
      <c r="AP410" s="56"/>
      <c r="AQ410" s="59"/>
      <c r="AR410" s="60"/>
      <c r="AS410" s="54"/>
    </row>
    <row r="411" spans="1:45" ht="21.25" customHeight="1" x14ac:dyDescent="0.15">
      <c r="A411" s="45">
        <f>RANK(K411,K$1:K$665)</f>
        <v>410</v>
      </c>
      <c r="B411" s="9" t="s">
        <v>536</v>
      </c>
      <c r="C411" s="46" t="s">
        <v>127</v>
      </c>
      <c r="D411" s="47" t="str">
        <f>VLOOKUP(B411,'Player Data'!A1:D667,4,FALSE)</f>
        <v>D</v>
      </c>
      <c r="E411" s="66">
        <f>VLOOKUP(B411,D!A1:C213,3,FALSE)</f>
        <v>151</v>
      </c>
      <c r="F411" s="55" t="str">
        <f>VLOOKUP(B411,'Player Data'!A1:B667,2,FALSE)</f>
        <v>VGK</v>
      </c>
      <c r="G411" s="10">
        <f>VLOOKUP(B411,'Player Data'!A1:D667,3,FALSE)</f>
        <v>27</v>
      </c>
      <c r="H411" s="50">
        <f>IFERROR(VLOOKUP(B411,ADP!A1:G665,7,FALSE)/1000000,VLOOKUP(B411,ADP!A1:G665,7,FALSE))</f>
        <v>2.75</v>
      </c>
      <c r="I411" s="51">
        <f>IF(Settings!$E$15="POINTS",((R411*Q411)*Settings!$B$12)+(S411*Settings!$B$2)+(T411*Settings!$B$3)+(U411*Settings!$B$4)+(V411*Settings!$B$5)+(X411*Settings!$B$9)+(AA411*Settings!$B$6)+(W411*Settings!$B$8)+(AB411*Settings!$B$7)+(AC411*Settings!$B$14)+(AD411*Settings!$B$15)+(AE411*Settings!$B$16)+(AF411*Settings!$B$17)+(AG411*Settings!$B$18)+(U411*Settings!$B$13)+(Y411*Settings!$B$10)+(Z411*Settings!$B$11),VLOOKUP(B411,'Standard Deviations'!A1:C666,3,FALSE))</f>
        <v>145.80953807290288</v>
      </c>
      <c r="J411" s="52">
        <f>IF(D411="G",I411/AJ411,I411/Q411)</f>
        <v>2.0017783919948227</v>
      </c>
      <c r="K411" s="51">
        <f>VLOOKUP(B411,D!A1:F213,6,FALSE)</f>
        <v>-190.42458697269203</v>
      </c>
      <c r="L411" s="53">
        <f>IFERROR(K411/H411,"N/A")</f>
        <v>-69.245304353706189</v>
      </c>
      <c r="M411" s="83" t="str">
        <f>IF(Settings!$E$9="YAHOO",VLOOKUP(B411,ADP!A1:E665,2,FALSE),IF(Settings!$E$9="ESPN",VLOOKUP(B411,ADP!A1:E665,3,FALSE),IF(Settings!$E$9="FANTRAX",VLOOKUP(B411,ADP!A1:E665,4,FALSE),VLOOKUP(B411,ADP!A1:E665,5,FALSE))))</f>
        <v>—</v>
      </c>
      <c r="N411" s="83" t="str">
        <f>IFERROR(M411-A411,"N/A")</f>
        <v>N/A</v>
      </c>
      <c r="O411" s="54"/>
      <c r="P411" s="55" t="str">
        <f>IF(Settings!$E$27="ON",VLOOKUP(B411,ADP!A1:H665,8,FALSE)," ")</f>
        <v xml:space="preserve"> </v>
      </c>
      <c r="Q411" s="56">
        <f>IF(Settings!$E$12="YES",VLOOKUP(B411,'Player Data'!A1:E667,5,FALSE),82)</f>
        <v>72.84</v>
      </c>
      <c r="R411" s="54">
        <f>VLOOKUP(B411,'Player Data'!$A1:$AE667,6,FALSE)</f>
        <v>16.9880937003959</v>
      </c>
      <c r="S411" s="56">
        <f>VLOOKUP(B411,'Player Data'!$A1:$AE667,7,FALSE)*$Q411*IFERROR((VLOOKUP(P411,Settings!$E$28:$F$33,2,FALSE)+1),1)</f>
        <v>4.9496118098159219</v>
      </c>
      <c r="T411" s="56">
        <f>VLOOKUP(B411,'Player Data'!$A1:$AE667,8,FALSE)*$Q411*IFERROR((VLOOKUP(P411,Settings!$E$28:$F$33,2,FALSE)+1),1)</f>
        <v>12.347951250538848</v>
      </c>
      <c r="U411" s="56">
        <f>SUM(S411:T411)</f>
        <v>17.297563060354769</v>
      </c>
      <c r="V411" s="56">
        <f>VLOOKUP(B411,'Player Data'!$A1:$AE667,10,FALSE)*$Q411*IFERROR(((VLOOKUP(P411,Settings!$E$28:$F$33,2,FALSE)/2)+1),1)</f>
        <v>73.291624003599921</v>
      </c>
      <c r="W411" s="56">
        <f>VLOOKUP(B411,'Player Data'!$A1:$AE667,11,FALSE)*$Q411*IFERROR((VLOOKUP(P411,Settings!$E$28:$F$33,2,FALSE)+1),1)</f>
        <v>2.2685518812553266E-2</v>
      </c>
      <c r="X411" s="56">
        <f>VLOOKUP(B411,'Player Data'!$A1:$AE667,12,FALSE)*$Q411*IFERROR((VLOOKUP(P411,Settings!$E$28:$F$33,2,FALSE)+1),1)</f>
        <v>0.14540650748114722</v>
      </c>
      <c r="Y411" s="56">
        <f>VLOOKUP(B411,'Player Data'!$A1:$AE667,13,FALSE)*$Q411</f>
        <v>0.11458030361212612</v>
      </c>
      <c r="Z411" s="56">
        <f>VLOOKUP(B411,'Player Data'!$A1:$AE667,14,FALSE)*$Q411</f>
        <v>0.46804123284062643</v>
      </c>
      <c r="AA411" s="56">
        <f>VLOOKUP(B411,'Player Data'!$A1:$AE667,15,FALSE)*$Q411</f>
        <v>113.31517829943368</v>
      </c>
      <c r="AB411" s="56">
        <f>VLOOKUP(B411,'Player Data'!$A1:$AE667,16,FALSE)*$Q411</f>
        <v>127.37301358863746</v>
      </c>
      <c r="AC411" s="56">
        <f>VLOOKUP(B411,'Player Data'!$A1:$AE667,17,FALSE)*$Q411*IFERROR((VLOOKUP(P411,Settings!$E$28:$F$33,2,FALSE)+1),1)</f>
        <v>2.2877734727712831</v>
      </c>
      <c r="AD411" s="56">
        <f>VLOOKUP(B411,'Player Data'!$A1:$AE667,18,FALSE)*$Q411</f>
        <v>32.652249200376232</v>
      </c>
      <c r="AE411" s="56">
        <f>VLOOKUP(B411,'Player Data'!$A1:$AE667,19,FALSE)*$Q411*IFERROR((VLOOKUP(P411,Settings!$E$28:$F$33,2,FALSE)+1),1)</f>
        <v>0.75284233612465823</v>
      </c>
      <c r="AF411" s="56">
        <f>VLOOKUP(B411,'Player Data'!$A1:$AE667,20,FALSE)*$Q411</f>
        <v>0</v>
      </c>
      <c r="AG411" s="56">
        <f>VLOOKUP(B411,'Player Data'!$A1:$AE667,21,FALSE)*$Q411</f>
        <v>0</v>
      </c>
      <c r="AH411" s="58">
        <f>VLOOKUP(B411,'Player Data'!$A1:$AE667,22,FALSE)</f>
        <v>0</v>
      </c>
      <c r="AI411" s="54"/>
      <c r="AJ411" s="64"/>
      <c r="AK411" s="56"/>
      <c r="AL411" s="56"/>
      <c r="AM411" s="56"/>
      <c r="AN411" s="56"/>
      <c r="AO411" s="56"/>
      <c r="AP411" s="56"/>
      <c r="AQ411" s="59"/>
      <c r="AR411" s="60"/>
      <c r="AS411" s="54"/>
    </row>
    <row r="412" spans="1:45" ht="21.25" customHeight="1" x14ac:dyDescent="0.15">
      <c r="A412" s="45">
        <f>RANK(K412,K$1:K$665)</f>
        <v>411</v>
      </c>
      <c r="B412" s="9" t="s">
        <v>537</v>
      </c>
      <c r="C412" s="46" t="s">
        <v>127</v>
      </c>
      <c r="D412" s="47" t="str">
        <f>VLOOKUP(B412,'Player Data'!A1:D667,4,FALSE)</f>
        <v>C/LW</v>
      </c>
      <c r="E412" s="68">
        <f>VLOOKUP(B412,LW!A1:C152,3,FALSE)</f>
        <v>96</v>
      </c>
      <c r="F412" s="55" t="str">
        <f>VLOOKUP(B412,'Player Data'!A1:B667,2,FALSE)</f>
        <v>N.J</v>
      </c>
      <c r="G412" s="63">
        <f>VLOOKUP(B412,'Player Data'!A1:D667,3,FALSE)</f>
        <v>33</v>
      </c>
      <c r="H412" s="50">
        <f>IFERROR(VLOOKUP(B412,ADP!A1:G665,7,FALSE)/1000000,VLOOKUP(B412,ADP!A1:G665,7,FALSE))</f>
        <v>3.15</v>
      </c>
      <c r="I412" s="51">
        <f>IF(Settings!$E$15="POINTS",((R412*Q412)*Settings!$B$12)+(S412*Settings!$B$2)+(T412*Settings!$B$3)+(U412*Settings!$B$4)+(V412*Settings!$B$5)+(X412*Settings!$B$9)+(AA412*Settings!$B$6)+(W412*Settings!$B$8)+(AB412*Settings!$B$7)+(AC412*Settings!$B$14)+(AD412*Settings!$B$15)+(AE412*Settings!$B$16)+(AF412*Settings!$B$17)+(AG412*Settings!$B$18)+(Y412*Settings!$B$10)+(Z412*Settings!$B$11),VLOOKUP(B412,'Standard Deviations'!A1:C666,3,FALSE))</f>
        <v>190.56361971634468</v>
      </c>
      <c r="J412" s="52">
        <f>IF(D412="G",I412/AJ412,I412/Q412)</f>
        <v>2.3734415209408977</v>
      </c>
      <c r="K412" s="51">
        <f>IF(Settings!$E$18="C/LW/RW",VLOOKUP(B412,LW!A1:F152,6,FALSE),VLOOKUP(B412,F!A1:F392,6,FALSE))</f>
        <v>-190.49789258615507</v>
      </c>
      <c r="L412" s="53">
        <f>IFERROR(K412/H412,"N/A")</f>
        <v>-60.475521455922248</v>
      </c>
      <c r="M412" s="83" t="str">
        <f>IF(Settings!$E$9="YAHOO",VLOOKUP(B412,ADP!A1:E665,2,FALSE),IF(Settings!$E$9="ESPN",VLOOKUP(B412,ADP!A1:E665,3,FALSE),IF(Settings!$E$9="FANTRAX",VLOOKUP(B412,ADP!A1:E665,4,FALSE),VLOOKUP(B412,ADP!A1:E665,5,FALSE))))</f>
        <v>—</v>
      </c>
      <c r="N412" s="83" t="str">
        <f>IFERROR(M412-A412,"N/A")</f>
        <v>N/A</v>
      </c>
      <c r="O412" s="54"/>
      <c r="P412" s="55" t="str">
        <f>IF(Settings!$E$27="ON",VLOOKUP(B412,ADP!A1:H665,8,FALSE)," ")</f>
        <v xml:space="preserve"> </v>
      </c>
      <c r="Q412" s="56">
        <f>IF(Settings!$E$12="YES",VLOOKUP(B412,'Player Data'!A1:E667,5,FALSE),82)</f>
        <v>80.290000000000006</v>
      </c>
      <c r="R412" s="81">
        <f>VLOOKUP(B412,'Player Data'!$A1:$AE667,6,FALSE)</f>
        <v>15.624098173768701</v>
      </c>
      <c r="S412" s="56">
        <f>VLOOKUP(B412,'Player Data'!$A1:$AE667,7,FALSE)*$Q412*IFERROR((VLOOKUP(P412,Settings!$E$28:$F$33,2,FALSE)+1),1)</f>
        <v>11.703492977475996</v>
      </c>
      <c r="T412" s="56">
        <f>VLOOKUP(B412,'Player Data'!$A1:$AE667,8,FALSE)*$Q412*IFERROR((VLOOKUP(P412,Settings!$E$28:$F$33,2,FALSE)+1),1)</f>
        <v>17.534717127718977</v>
      </c>
      <c r="U412" s="56">
        <f>SUM(S412:T412)</f>
        <v>29.238210105194973</v>
      </c>
      <c r="V412" s="56">
        <f>VLOOKUP(B412,'Player Data'!$A1:$AE667,10,FALSE)*$Q412*IFERROR(((VLOOKUP(P412,Settings!$E$28:$F$33,2,FALSE)/2)+1),1)</f>
        <v>146.01256452986308</v>
      </c>
      <c r="W412" s="56">
        <f>VLOOKUP(B412,'Player Data'!$A1:$AE667,11,FALSE)*$Q412*IFERROR((VLOOKUP(P412,Settings!$E$28:$F$33,2,FALSE)+1),1)</f>
        <v>1.1693133746058164</v>
      </c>
      <c r="X412" s="56">
        <f>VLOOKUP(B412,'Player Data'!$A1:$AE667,12,FALSE)*$Q412*IFERROR((VLOOKUP(P412,Settings!$E$28:$F$33,2,FALSE)+1),1)</f>
        <v>3.3409676921117502</v>
      </c>
      <c r="Y412" s="56">
        <f>VLOOKUP(B412,'Player Data'!$A1:$AE667,13,FALSE)*$Q412</f>
        <v>1.0672418759203386</v>
      </c>
      <c r="Z412" s="56">
        <f>VLOOKUP(B412,'Player Data'!$A1:$AE667,14,FALSE)*$Q412</f>
        <v>1.9386900233499444</v>
      </c>
      <c r="AA412" s="56">
        <f>VLOOKUP(B412,'Player Data'!$A1:$AE667,15,FALSE)*$Q412</f>
        <v>49.126098840733029</v>
      </c>
      <c r="AB412" s="56">
        <f>VLOOKUP(B412,'Player Data'!$A1:$AE667,16,FALSE)*$Q412</f>
        <v>87.563894880299756</v>
      </c>
      <c r="AC412" s="56">
        <f>VLOOKUP(B412,'Player Data'!$A1:$AE667,17,FALSE)*$Q412*IFERROR((VLOOKUP(P412,Settings!$E$28:$F$33,2,FALSE)+1),1)</f>
        <v>3.9829429881174034</v>
      </c>
      <c r="AD412" s="56">
        <f>VLOOKUP(B412,'Player Data'!$A1:$AE667,18,FALSE)*$Q412</f>
        <v>46.402858456955563</v>
      </c>
      <c r="AE412" s="56">
        <f>VLOOKUP(B412,'Player Data'!$A1:$AE667,19,FALSE)*$Q412*IFERROR((VLOOKUP(P412,Settings!$E$28:$F$33,2,FALSE)+1),1)</f>
        <v>1.7657799641268954</v>
      </c>
      <c r="AF412" s="56">
        <f>VLOOKUP(B412,'Player Data'!$A1:$AE667,20,FALSE)*$Q412</f>
        <v>483.91300137398906</v>
      </c>
      <c r="AG412" s="56">
        <f>VLOOKUP(B412,'Player Data'!$A1:$AE667,21,FALSE)*$Q412</f>
        <v>405.66444411229759</v>
      </c>
      <c r="AH412" s="58">
        <f>VLOOKUP(B412,'Player Data'!$A1:$AE667,22,FALSE)</f>
        <v>0.54398074482369396</v>
      </c>
      <c r="AI412" s="54"/>
      <c r="AJ412" s="56"/>
      <c r="AK412" s="56"/>
      <c r="AL412" s="56"/>
      <c r="AM412" s="56"/>
      <c r="AN412" s="56"/>
      <c r="AO412" s="56"/>
      <c r="AP412" s="56"/>
      <c r="AQ412" s="59"/>
      <c r="AR412" s="60"/>
      <c r="AS412" s="54"/>
    </row>
    <row r="413" spans="1:45" ht="21.25" customHeight="1" x14ac:dyDescent="0.15">
      <c r="A413" s="45">
        <f>RANK(K413,K$1:K$665)</f>
        <v>412</v>
      </c>
      <c r="B413" s="9" t="s">
        <v>538</v>
      </c>
      <c r="C413" s="46" t="s">
        <v>127</v>
      </c>
      <c r="D413" s="47" t="str">
        <f>VLOOKUP(B413,'Player Data'!A1:D667,4,FALSE)</f>
        <v>LW</v>
      </c>
      <c r="E413" s="70">
        <f>VLOOKUP(B413,LW!A1:C152,3,FALSE)</f>
        <v>97</v>
      </c>
      <c r="F413" s="65" t="str">
        <f>VLOOKUP(B413,'Player Data'!A1:B667,2,FALSE)</f>
        <v>EDM</v>
      </c>
      <c r="G413" s="63">
        <f>VLOOKUP(B413,'Player Data'!A1:D667,3,FALSE)</f>
        <v>33</v>
      </c>
      <c r="H413" s="50">
        <f>IFERROR(VLOOKUP(B413,ADP!A1:G665,7,FALSE)/1000000,VLOOKUP(B413,ADP!A1:G665,7,FALSE))</f>
        <v>5.125</v>
      </c>
      <c r="I413" s="51">
        <f>IF(Settings!$E$15="POINTS",((R413*Q413)*Settings!$B$12)+(S413*Settings!$B$2)+(T413*Settings!$B$3)+(U413*Settings!$B$4)+(V413*Settings!$B$5)+(X413*Settings!$B$9)+(AA413*Settings!$B$6)+(W413*Settings!$B$8)+(AB413*Settings!$B$7)+(AC413*Settings!$B$14)+(AD413*Settings!$B$15)+(AE413*Settings!$B$16)+(AF413*Settings!$B$17)+(AG413*Settings!$B$18)+(Y413*Settings!$B$10)+(Z413*Settings!$B$11),VLOOKUP(B413,'Standard Deviations'!A1:C666,3,FALSE))</f>
        <v>190.40007577684599</v>
      </c>
      <c r="J413" s="52">
        <f>IF(D413="G",I413/AJ413,I413/Q413)</f>
        <v>2.6590332487514279</v>
      </c>
      <c r="K413" s="51">
        <f>IF(Settings!$E$18="C/LW/RW",VLOOKUP(B413,LW!A1:F152,6,FALSE),VLOOKUP(B413,F!A1:F392,6,FALSE))</f>
        <v>-190.66143652565376</v>
      </c>
      <c r="L413" s="53">
        <f>IFERROR(K413/H413,"N/A")</f>
        <v>-37.20223151720073</v>
      </c>
      <c r="M413" s="54">
        <f>IF(Settings!$E$9="YAHOO",VLOOKUP(B413,ADP!A1:E665,2,FALSE),IF(Settings!$E$9="ESPN",VLOOKUP(B413,ADP!A1:E665,3,FALSE),IF(Settings!$E$9="FANTRAX",VLOOKUP(B413,ADP!A1:E665,4,FALSE),VLOOKUP(B413,ADP!A1:E665,5,FALSE))))</f>
        <v>159.80000000000001</v>
      </c>
      <c r="N413" s="54">
        <f>IFERROR(M413-A413,"N/A")</f>
        <v>-252.2</v>
      </c>
      <c r="O413" s="54"/>
      <c r="P413" s="55" t="str">
        <f>IF(Settings!$E$27="ON",VLOOKUP(B413,ADP!A1:H665,8,FALSE)," ")</f>
        <v xml:space="preserve"> </v>
      </c>
      <c r="Q413" s="56">
        <f>IF(Settings!$E$12="YES",VLOOKUP(B413,'Player Data'!A1:E667,5,FALSE),82)</f>
        <v>71.605000000000004</v>
      </c>
      <c r="R413" s="81">
        <f>VLOOKUP(B413,'Player Data'!$A1:$AE667,6,FALSE)</f>
        <v>13.6707234687014</v>
      </c>
      <c r="S413" s="56">
        <f>VLOOKUP(B413,'Player Data'!$A1:$AE667,7,FALSE)*$Q413*IFERROR((VLOOKUP(P413,Settings!$E$28:$F$33,2,FALSE)+1),1)</f>
        <v>17.367872468138291</v>
      </c>
      <c r="T413" s="56">
        <f>VLOOKUP(B413,'Player Data'!$A1:$AE667,8,FALSE)*$Q413*IFERROR((VLOOKUP(P413,Settings!$E$28:$F$33,2,FALSE)+1),1)</f>
        <v>14.036899133682683</v>
      </c>
      <c r="U413" s="56">
        <f>SUM(S413:T413)</f>
        <v>31.404771601820975</v>
      </c>
      <c r="V413" s="56">
        <f>VLOOKUP(B413,'Player Data'!$A1:$AE667,10,FALSE)*$Q413*IFERROR(((VLOOKUP(P413,Settings!$E$28:$F$33,2,FALSE)/2)+1),1)</f>
        <v>163.44751305848825</v>
      </c>
      <c r="W413" s="56">
        <f>VLOOKUP(B413,'Player Data'!$A1:$AE667,11,FALSE)*$Q413*IFERROR((VLOOKUP(P413,Settings!$E$28:$F$33,2,FALSE)+1),1)</f>
        <v>0.8387583528703848</v>
      </c>
      <c r="X413" s="56">
        <f>VLOOKUP(B413,'Player Data'!$A1:$AE667,12,FALSE)*$Q413*IFERROR((VLOOKUP(P413,Settings!$E$28:$F$33,2,FALSE)+1),1)</f>
        <v>2.3112788721698991</v>
      </c>
      <c r="Y413" s="56">
        <f>VLOOKUP(B413,'Player Data'!$A1:$AE667,13,FALSE)*$Q413</f>
        <v>0.19676272421580673</v>
      </c>
      <c r="Z413" s="56">
        <f>VLOOKUP(B413,'Player Data'!$A1:$AE667,14,FALSE)*$Q413</f>
        <v>0.42554519113391154</v>
      </c>
      <c r="AA413" s="56">
        <f>VLOOKUP(B413,'Player Data'!$A1:$AE667,15,FALSE)*$Q413</f>
        <v>23.450360757670236</v>
      </c>
      <c r="AB413" s="56">
        <f>VLOOKUP(B413,'Player Data'!$A1:$AE667,16,FALSE)*$Q413</f>
        <v>173.5640375417488</v>
      </c>
      <c r="AC413" s="56">
        <f>VLOOKUP(B413,'Player Data'!$A1:$AE667,17,FALSE)*$Q413*IFERROR((VLOOKUP(P413,Settings!$E$28:$F$33,2,FALSE)+1),1)</f>
        <v>4.5655449221626254</v>
      </c>
      <c r="AD413" s="56">
        <f>VLOOKUP(B413,'Player Data'!$A1:$AE667,18,FALSE)*$Q413</f>
        <v>52.578465794417603</v>
      </c>
      <c r="AE413" s="56">
        <f>VLOOKUP(B413,'Player Data'!$A1:$AE667,19,FALSE)*$Q413*IFERROR((VLOOKUP(P413,Settings!$E$28:$F$33,2,FALSE)+1),1)</f>
        <v>2.8044799424110303</v>
      </c>
      <c r="AF413" s="56">
        <f>VLOOKUP(B413,'Player Data'!$A1:$AE667,20,FALSE)*$Q413</f>
        <v>22.349108511298759</v>
      </c>
      <c r="AG413" s="56">
        <f>VLOOKUP(B413,'Player Data'!$A1:$AE667,21,FALSE)*$Q413</f>
        <v>28.419910057863831</v>
      </c>
      <c r="AH413" s="58">
        <f>VLOOKUP(B413,'Player Data'!$A1:$AE667,22,FALSE)</f>
        <v>0.440211553052824</v>
      </c>
      <c r="AI413" s="54"/>
      <c r="AJ413" s="56"/>
      <c r="AK413" s="56"/>
      <c r="AL413" s="56"/>
      <c r="AM413" s="56"/>
      <c r="AN413" s="56"/>
      <c r="AO413" s="56"/>
      <c r="AP413" s="56"/>
      <c r="AQ413" s="59"/>
      <c r="AR413" s="60"/>
      <c r="AS413" s="54"/>
    </row>
    <row r="414" spans="1:45" ht="21.25" customHeight="1" x14ac:dyDescent="0.15">
      <c r="A414" s="45">
        <f>RANK(K414,K$1:K$665)</f>
        <v>413</v>
      </c>
      <c r="B414" s="9" t="s">
        <v>539</v>
      </c>
      <c r="C414" s="46" t="s">
        <v>127</v>
      </c>
      <c r="D414" s="47" t="str">
        <f>VLOOKUP(B414,'Player Data'!A1:D667,4,FALSE)</f>
        <v>C/LW</v>
      </c>
      <c r="E414" s="68">
        <f>VLOOKUP(B414,LW!A1:C152,3,FALSE)</f>
        <v>98</v>
      </c>
      <c r="F414" s="80" t="str">
        <f>VLOOKUP(B414,'Player Data'!A1:B667,2,FALSE)</f>
        <v>PHI</v>
      </c>
      <c r="G414" s="63">
        <f>VLOOKUP(B414,'Player Data'!A1:D667,3,FALSE)</f>
        <v>30</v>
      </c>
      <c r="H414" s="50">
        <f>IFERROR(VLOOKUP(B414,ADP!A1:G665,7,FALSE)/1000000,VLOOKUP(B414,ADP!A1:G665,7,FALSE))</f>
        <v>3</v>
      </c>
      <c r="I414" s="51">
        <f>IF(Settings!$E$15="POINTS",((R414*Q414)*Settings!$B$12)+(S414*Settings!$B$2)+(T414*Settings!$B$3)+(U414*Settings!$B$4)+(V414*Settings!$B$5)+(X414*Settings!$B$9)+(AA414*Settings!$B$6)+(W414*Settings!$B$8)+(AB414*Settings!$B$7)+(AC414*Settings!$B$14)+(AD414*Settings!$B$15)+(AE414*Settings!$B$16)+(AF414*Settings!$B$17)+(AG414*Settings!$B$18)+(Y414*Settings!$B$10)+(Z414*Settings!$B$11),VLOOKUP(B414,'Standard Deviations'!A1:C666,3,FALSE))</f>
        <v>190.18284336215265</v>
      </c>
      <c r="J414" s="52">
        <f>IF(D414="G",I414/AJ414,I414/Q414)</f>
        <v>2.3778800120299155</v>
      </c>
      <c r="K414" s="51">
        <f>IF(Settings!$E$18="C/LW/RW",VLOOKUP(B414,LW!A1:F152,6,FALSE),VLOOKUP(B414,F!A1:F392,6,FALSE))</f>
        <v>-190.8786689403471</v>
      </c>
      <c r="L414" s="53">
        <f>IFERROR(K414/H414,"N/A")</f>
        <v>-63.626222980115699</v>
      </c>
      <c r="M414" s="83" t="str">
        <f>IF(Settings!$E$9="YAHOO",VLOOKUP(B414,ADP!A1:E665,2,FALSE),IF(Settings!$E$9="ESPN",VLOOKUP(B414,ADP!A1:E665,3,FALSE),IF(Settings!$E$9="FANTRAX",VLOOKUP(B414,ADP!A1:E665,4,FALSE),VLOOKUP(B414,ADP!A1:E665,5,FALSE))))</f>
        <v>—</v>
      </c>
      <c r="N414" s="83" t="str">
        <f>IFERROR(M414-A414,"N/A")</f>
        <v>N/A</v>
      </c>
      <c r="O414" s="54"/>
      <c r="P414" s="55" t="str">
        <f>IF(Settings!$E$27="ON",VLOOKUP(B414,ADP!A1:H665,8,FALSE)," ")</f>
        <v xml:space="preserve"> </v>
      </c>
      <c r="Q414" s="56">
        <f>IF(Settings!$E$12="YES",VLOOKUP(B414,'Player Data'!A1:E667,5,FALSE),82)</f>
        <v>79.98</v>
      </c>
      <c r="R414" s="81">
        <f>VLOOKUP(B414,'Player Data'!$A1:$AE667,6,FALSE)</f>
        <v>13.9705251039804</v>
      </c>
      <c r="S414" s="56">
        <f>VLOOKUP(B414,'Player Data'!$A1:$AE667,7,FALSE)*$Q414*IFERROR((VLOOKUP(P414,Settings!$E$28:$F$33,2,FALSE)+1),1)</f>
        <v>10.947755243252901</v>
      </c>
      <c r="T414" s="56">
        <f>VLOOKUP(B414,'Player Data'!$A1:$AE667,8,FALSE)*$Q414*IFERROR((VLOOKUP(P414,Settings!$E$28:$F$33,2,FALSE)+1),1)</f>
        <v>19.877435460705087</v>
      </c>
      <c r="U414" s="56">
        <f>SUM(S414:T414)</f>
        <v>30.825190703957986</v>
      </c>
      <c r="V414" s="56">
        <f>VLOOKUP(B414,'Player Data'!$A1:$AE667,10,FALSE)*$Q414*IFERROR(((VLOOKUP(P414,Settings!$E$28:$F$33,2,FALSE)/2)+1),1)</f>
        <v>131.92247690108772</v>
      </c>
      <c r="W414" s="56">
        <f>VLOOKUP(B414,'Player Data'!$A1:$AE667,11,FALSE)*$Q414*IFERROR((VLOOKUP(P414,Settings!$E$28:$F$33,2,FALSE)+1),1)</f>
        <v>0.7088472056131111</v>
      </c>
      <c r="X414" s="56">
        <f>VLOOKUP(B414,'Player Data'!$A1:$AE667,12,FALSE)*$Q414*IFERROR((VLOOKUP(P414,Settings!$E$28:$F$33,2,FALSE)+1),1)</f>
        <v>1.5482309892634503</v>
      </c>
      <c r="Y414" s="56">
        <f>VLOOKUP(B414,'Player Data'!$A1:$AE667,13,FALSE)*$Q414</f>
        <v>1.9001133236702232</v>
      </c>
      <c r="Z414" s="56">
        <f>VLOOKUP(B414,'Player Data'!$A1:$AE667,14,FALSE)*$Q414</f>
        <v>5.5400726112228869</v>
      </c>
      <c r="AA414" s="56">
        <f>VLOOKUP(B414,'Player Data'!$A1:$AE667,15,FALSE)*$Q414</f>
        <v>49.315458398497</v>
      </c>
      <c r="AB414" s="56">
        <f>VLOOKUP(B414,'Player Data'!$A1:$AE667,16,FALSE)*$Q414</f>
        <v>132.91319801419229</v>
      </c>
      <c r="AC414" s="56">
        <f>VLOOKUP(B414,'Player Data'!$A1:$AE667,17,FALSE)*$Q414*IFERROR((VLOOKUP(P414,Settings!$E$28:$F$33,2,FALSE)+1),1)</f>
        <v>-4.8113376651923341</v>
      </c>
      <c r="AD414" s="56">
        <f>VLOOKUP(B414,'Player Data'!$A1:$AE667,18,FALSE)*$Q414</f>
        <v>38.861994133654505</v>
      </c>
      <c r="AE414" s="56">
        <f>VLOOKUP(B414,'Player Data'!$A1:$AE667,19,FALSE)*$Q414*IFERROR((VLOOKUP(P414,Settings!$E$28:$F$33,2,FALSE)+1),1)</f>
        <v>1.5868719442816719</v>
      </c>
      <c r="AF414" s="56">
        <f>VLOOKUP(B414,'Player Data'!$A1:$AE667,20,FALSE)*$Q414</f>
        <v>410.04288662182682</v>
      </c>
      <c r="AG414" s="56">
        <f>VLOOKUP(B414,'Player Data'!$A1:$AE667,21,FALSE)*$Q414</f>
        <v>431.07684565033134</v>
      </c>
      <c r="AH414" s="58">
        <f>VLOOKUP(B414,'Player Data'!$A1:$AE667,22,FALSE)</f>
        <v>0.48749645370244499</v>
      </c>
      <c r="AI414" s="54"/>
      <c r="AJ414" s="56"/>
      <c r="AK414" s="56"/>
      <c r="AL414" s="56"/>
      <c r="AM414" s="56"/>
      <c r="AN414" s="56"/>
      <c r="AO414" s="56"/>
      <c r="AP414" s="56"/>
      <c r="AQ414" s="59"/>
      <c r="AR414" s="60"/>
      <c r="AS414" s="54"/>
    </row>
    <row r="415" spans="1:45" ht="21.25" customHeight="1" x14ac:dyDescent="0.15">
      <c r="A415" s="45">
        <f>RANK(K415,K$1:K$665)</f>
        <v>414</v>
      </c>
      <c r="B415" s="9" t="s">
        <v>540</v>
      </c>
      <c r="C415" s="46" t="s">
        <v>127</v>
      </c>
      <c r="D415" s="47" t="str">
        <f>VLOOKUP(B415,'Player Data'!A1:D667,4,FALSE)</f>
        <v>D</v>
      </c>
      <c r="E415" s="66">
        <f>VLOOKUP(B415,D!A1:C213,3,FALSE)</f>
        <v>152</v>
      </c>
      <c r="F415" s="65" t="str">
        <f>VLOOKUP(B415,'Player Data'!A1:B667,2,FALSE)</f>
        <v>EDM</v>
      </c>
      <c r="G415" s="10">
        <f>VLOOKUP(B415,'Player Data'!A1:D667,3,FALSE)</f>
        <v>30</v>
      </c>
      <c r="H415" s="50">
        <f>IFERROR(VLOOKUP(B415,ADP!A1:G665,7,FALSE)/1000000,VLOOKUP(B415,ADP!A1:G665,7,FALSE))</f>
        <v>2.75</v>
      </c>
      <c r="I415" s="51">
        <f>IF(Settings!$E$15="POINTS",((R415*Q415)*Settings!$B$12)+(S415*Settings!$B$2)+(T415*Settings!$B$3)+(U415*Settings!$B$4)+(V415*Settings!$B$5)+(X415*Settings!$B$9)+(AA415*Settings!$B$6)+(W415*Settings!$B$8)+(AB415*Settings!$B$7)+(AC415*Settings!$B$14)+(AD415*Settings!$B$15)+(AE415*Settings!$B$16)+(AF415*Settings!$B$17)+(AG415*Settings!$B$18)+(U415*Settings!$B$13)+(Y415*Settings!$B$10)+(Z415*Settings!$B$11),VLOOKUP(B415,'Standard Deviations'!A1:C666,3,FALSE))</f>
        <v>144.54349843052569</v>
      </c>
      <c r="J415" s="52">
        <f>IF(D415="G",I415/AJ415,I415/Q415)</f>
        <v>1.7794349185094875</v>
      </c>
      <c r="K415" s="51">
        <f>VLOOKUP(B415,D!A1:F213,6,FALSE)</f>
        <v>-191.69062661506922</v>
      </c>
      <c r="L415" s="53">
        <f>IFERROR(K415/H415,"N/A")</f>
        <v>-69.70568240547972</v>
      </c>
      <c r="M415" s="83" t="str">
        <f>IF(Settings!$E$9="YAHOO",VLOOKUP(B415,ADP!A1:E665,2,FALSE),IF(Settings!$E$9="ESPN",VLOOKUP(B415,ADP!A1:E665,3,FALSE),IF(Settings!$E$9="FANTRAX",VLOOKUP(B415,ADP!A1:E665,4,FALSE),VLOOKUP(B415,ADP!A1:E665,5,FALSE))))</f>
        <v>—</v>
      </c>
      <c r="N415" s="83" t="str">
        <f>IFERROR(M415-A415,"N/A")</f>
        <v>N/A</v>
      </c>
      <c r="O415" s="54"/>
      <c r="P415" s="55" t="str">
        <f>IF(Settings!$E$27="ON",VLOOKUP(B415,ADP!A1:H665,8,FALSE)," ")</f>
        <v xml:space="preserve"> </v>
      </c>
      <c r="Q415" s="56">
        <f>IF(Settings!$E$12="YES",VLOOKUP(B415,'Player Data'!A1:E667,5,FALSE),82)</f>
        <v>81.23</v>
      </c>
      <c r="R415" s="54">
        <f>VLOOKUP(B415,'Player Data'!$A1:$AE667,6,FALSE)</f>
        <v>15.879373374273801</v>
      </c>
      <c r="S415" s="56">
        <f>VLOOKUP(B415,'Player Data'!$A1:$AE667,7,FALSE)*$Q415*IFERROR((VLOOKUP(P415,Settings!$E$28:$F$33,2,FALSE)+1),1)</f>
        <v>3.1776944388742767</v>
      </c>
      <c r="T415" s="56">
        <f>VLOOKUP(B415,'Player Data'!$A1:$AE667,8,FALSE)*$Q415*IFERROR((VLOOKUP(P415,Settings!$E$28:$F$33,2,FALSE)+1),1)</f>
        <v>13.527431246173485</v>
      </c>
      <c r="U415" s="56">
        <f>SUM(S415:T415)</f>
        <v>16.705125685047761</v>
      </c>
      <c r="V415" s="56">
        <f>VLOOKUP(B415,'Player Data'!$A1:$AE667,10,FALSE)*$Q415*IFERROR(((VLOOKUP(P415,Settings!$E$28:$F$33,2,FALSE)/2)+1),1)</f>
        <v>92.29378641200374</v>
      </c>
      <c r="W415" s="56">
        <f>VLOOKUP(B415,'Player Data'!$A1:$AE667,11,FALSE)*$Q415*IFERROR((VLOOKUP(P415,Settings!$E$28:$F$33,2,FALSE)+1),1)</f>
        <v>1.8517989796204212E-2</v>
      </c>
      <c r="X415" s="56">
        <f>VLOOKUP(B415,'Player Data'!$A1:$AE667,12,FALSE)*$Q415*IFERROR((VLOOKUP(P415,Settings!$E$28:$F$33,2,FALSE)+1),1)</f>
        <v>0.18015094758007397</v>
      </c>
      <c r="Y415" s="56">
        <f>VLOOKUP(B415,'Player Data'!$A1:$AE667,13,FALSE)*$Q415</f>
        <v>2.3214598236081064E-2</v>
      </c>
      <c r="Z415" s="56">
        <f>VLOOKUP(B415,'Player Data'!$A1:$AE667,14,FALSE)*$Q415</f>
        <v>0.78421103404603465</v>
      </c>
      <c r="AA415" s="56">
        <f>VLOOKUP(B415,'Player Data'!$A1:$AE667,15,FALSE)*$Q415</f>
        <v>94.633732375508899</v>
      </c>
      <c r="AB415" s="56">
        <f>VLOOKUP(B415,'Player Data'!$A1:$AE667,16,FALSE)*$Q415</f>
        <v>91.597858653630965</v>
      </c>
      <c r="AC415" s="56">
        <f>VLOOKUP(B415,'Player Data'!$A1:$AE667,17,FALSE)*$Q415*IFERROR((VLOOKUP(P415,Settings!$E$28:$F$33,2,FALSE)+1),1)</f>
        <v>6.3221723573473021</v>
      </c>
      <c r="AD415" s="56">
        <f>VLOOKUP(B415,'Player Data'!$A1:$AE667,18,FALSE)*$Q415</f>
        <v>36.026783576053333</v>
      </c>
      <c r="AE415" s="56">
        <f>VLOOKUP(B415,'Player Data'!$A1:$AE667,19,FALSE)*$Q415*IFERROR((VLOOKUP(P415,Settings!$E$28:$F$33,2,FALSE)+1),1)</f>
        <v>0.51311871003675424</v>
      </c>
      <c r="AF415" s="56">
        <f>VLOOKUP(B415,'Player Data'!$A1:$AE667,20,FALSE)*$Q415</f>
        <v>0</v>
      </c>
      <c r="AG415" s="56">
        <f>VLOOKUP(B415,'Player Data'!$A1:$AE667,21,FALSE)*$Q415</f>
        <v>0</v>
      </c>
      <c r="AH415" s="58">
        <f>VLOOKUP(B415,'Player Data'!$A1:$AE667,22,FALSE)</f>
        <v>0</v>
      </c>
      <c r="AI415" s="54"/>
      <c r="AJ415" s="64"/>
      <c r="AK415" s="56"/>
      <c r="AL415" s="56"/>
      <c r="AM415" s="56"/>
      <c r="AN415" s="56"/>
      <c r="AO415" s="56"/>
      <c r="AP415" s="56"/>
      <c r="AQ415" s="59"/>
      <c r="AR415" s="60"/>
      <c r="AS415" s="54"/>
    </row>
    <row r="416" spans="1:45" ht="21.25" customHeight="1" x14ac:dyDescent="0.15">
      <c r="A416" s="45">
        <f>RANK(K416,K$1:K$665)</f>
        <v>415</v>
      </c>
      <c r="B416" s="9" t="s">
        <v>541</v>
      </c>
      <c r="C416" s="46" t="s">
        <v>127</v>
      </c>
      <c r="D416" s="47" t="str">
        <f>VLOOKUP(B416,'Player Data'!A1:D667,4,FALSE)</f>
        <v>C</v>
      </c>
      <c r="E416" s="48">
        <f>VLOOKUP(B416,'C'!A1:C206,3,FALSE)</f>
        <v>112</v>
      </c>
      <c r="F416" s="55" t="str">
        <f>VLOOKUP(B416,'Player Data'!A1:B667,2,FALSE)</f>
        <v>COL</v>
      </c>
      <c r="G416" s="10">
        <f>VLOOKUP(B416,'Player Data'!A1:D667,3,FALSE)</f>
        <v>27</v>
      </c>
      <c r="H416" s="50">
        <f>IFERROR(VLOOKUP(B416,ADP!A1:G665,7,FALSE)/1000000,VLOOKUP(B416,ADP!A1:G665,7,FALSE))</f>
        <v>4</v>
      </c>
      <c r="I416" s="51">
        <f>IF(Settings!$E$15="POINTS",((R416*Q416)*Settings!$B$12)+(S416*Settings!$B$2)+(T416*Settings!$B$3)+(U416*Settings!$B$4)+(V416*Settings!$B$5)+(X416*Settings!$B$9)+(AA416*Settings!$B$6)+(W416*Settings!$B$8)+(AB416*Settings!$B$7)+(AC416*Settings!$B$14)+(AD416*Settings!$B$15)+(AE416*Settings!$B$16)+(AF416*Settings!$B$17)+(AG416*Settings!$B$18)+(Y416*Settings!$B$10)+(Z416*Settings!$B$11),VLOOKUP(B416,'Standard Deviations'!A1:C666,3,FALSE))</f>
        <v>198.22697643627487</v>
      </c>
      <c r="J416" s="52">
        <f>IF(D416="G",I416/AJ416,I416/Q416)</f>
        <v>2.4400920318359733</v>
      </c>
      <c r="K416" s="51">
        <f>IF(Settings!$E$18="C/LW/RW",VLOOKUP(B416,'C'!A1:F206,6,FALSE),VLOOKUP(B416,F!A1:F392,6,FALSE))</f>
        <v>-191.71018134180622</v>
      </c>
      <c r="L416" s="53">
        <f>IFERROR(K416/H416,"N/A")</f>
        <v>-47.927545335451555</v>
      </c>
      <c r="M416" s="83" t="str">
        <f>IF(Settings!$E$9="YAHOO",VLOOKUP(B416,ADP!A1:E665,2,FALSE),IF(Settings!$E$9="ESPN",VLOOKUP(B416,ADP!A1:E665,3,FALSE),IF(Settings!$E$9="FANTRAX",VLOOKUP(B416,ADP!A1:E665,4,FALSE),VLOOKUP(B416,ADP!A1:E665,5,FALSE))))</f>
        <v>—</v>
      </c>
      <c r="N416" s="83" t="str">
        <f>IFERROR(M416-A416,"N/A")</f>
        <v>N/A</v>
      </c>
      <c r="O416" s="54"/>
      <c r="P416" s="55" t="str">
        <f>IF(Settings!$E$27="ON",VLOOKUP(B416,ADP!A1:H665,8,FALSE)," ")</f>
        <v xml:space="preserve"> </v>
      </c>
      <c r="Q416" s="56">
        <f>IF(Settings!$E$12="YES",VLOOKUP(B416,'Player Data'!A1:E667,5,FALSE),82)</f>
        <v>81.237499999999997</v>
      </c>
      <c r="R416" s="54">
        <f>VLOOKUP(B416,'Player Data'!$A1:$AE667,6,FALSE)</f>
        <v>13.0156902063109</v>
      </c>
      <c r="S416" s="56">
        <f>VLOOKUP(B416,'Player Data'!$A1:$AE667,7,FALSE)*$Q416*IFERROR((VLOOKUP(P416,Settings!$E$28:$F$33,2,FALSE)+1),1)</f>
        <v>16.028434603859839</v>
      </c>
      <c r="T416" s="56">
        <f>VLOOKUP(B416,'Player Data'!$A1:$AE667,8,FALSE)*$Q416*IFERROR((VLOOKUP(P416,Settings!$E$28:$F$33,2,FALSE)+1),1)</f>
        <v>18.313834339480412</v>
      </c>
      <c r="U416" s="56">
        <f>SUM(S416:T416)</f>
        <v>34.342268943340251</v>
      </c>
      <c r="V416" s="56">
        <f>VLOOKUP(B416,'Player Data'!$A1:$AE667,10,FALSE)*$Q416*IFERROR(((VLOOKUP(P416,Settings!$E$28:$F$33,2,FALSE)/2)+1),1)</f>
        <v>142.03190732627945</v>
      </c>
      <c r="W416" s="56">
        <f>VLOOKUP(B416,'Player Data'!$A1:$AE667,11,FALSE)*$Q416*IFERROR((VLOOKUP(P416,Settings!$E$28:$F$33,2,FALSE)+1),1)</f>
        <v>1.3883101666631386</v>
      </c>
      <c r="X416" s="56">
        <f>VLOOKUP(B416,'Player Data'!$A1:$AE667,12,FALSE)*$Q416*IFERROR((VLOOKUP(P416,Settings!$E$28:$F$33,2,FALSE)+1),1)</f>
        <v>3.3055708854003307</v>
      </c>
      <c r="Y416" s="56">
        <f>VLOOKUP(B416,'Player Data'!$A1:$AE667,13,FALSE)*$Q416</f>
        <v>4.8362680162912744E-2</v>
      </c>
      <c r="Z416" s="56">
        <f>VLOOKUP(B416,'Player Data'!$A1:$AE667,14,FALSE)*$Q416</f>
        <v>8.2006281918100304E-2</v>
      </c>
      <c r="AA416" s="56">
        <f>VLOOKUP(B416,'Player Data'!$A1:$AE667,15,FALSE)*$Q416</f>
        <v>41.59327755159191</v>
      </c>
      <c r="AB416" s="56">
        <f>VLOOKUP(B416,'Player Data'!$A1:$AE667,16,FALSE)*$Q416</f>
        <v>150.93399480538957</v>
      </c>
      <c r="AC416" s="56">
        <f>VLOOKUP(B416,'Player Data'!$A1:$AE667,17,FALSE)*$Q416*IFERROR((VLOOKUP(P416,Settings!$E$28:$F$33,2,FALSE)+1),1)</f>
        <v>2.3926586476152107</v>
      </c>
      <c r="AD416" s="56">
        <f>VLOOKUP(B416,'Player Data'!$A1:$AE667,18,FALSE)*$Q416</f>
        <v>38.218888486862518</v>
      </c>
      <c r="AE416" s="56">
        <f>VLOOKUP(B416,'Player Data'!$A1:$AE667,19,FALSE)*$Q416*IFERROR((VLOOKUP(P416,Settings!$E$28:$F$33,2,FALSE)+1),1)</f>
        <v>2.3948189069109995</v>
      </c>
      <c r="AF416" s="56">
        <f>VLOOKUP(B416,'Player Data'!$A1:$AE667,20,FALSE)*$Q416</f>
        <v>364.11810024467769</v>
      </c>
      <c r="AG416" s="56">
        <f>VLOOKUP(B416,'Player Data'!$A1:$AE667,21,FALSE)*$Q416</f>
        <v>320.31770299407339</v>
      </c>
      <c r="AH416" s="58">
        <f>VLOOKUP(B416,'Player Data'!$A1:$AE667,22,FALSE)</f>
        <v>0.53199744741825405</v>
      </c>
      <c r="AI416" s="54"/>
      <c r="AJ416" s="56"/>
      <c r="AK416" s="56"/>
      <c r="AL416" s="56"/>
      <c r="AM416" s="56"/>
      <c r="AN416" s="56"/>
      <c r="AO416" s="56"/>
      <c r="AP416" s="56"/>
      <c r="AQ416" s="59"/>
      <c r="AR416" s="60"/>
      <c r="AS416" s="54"/>
    </row>
    <row r="417" spans="1:45" ht="21.25" customHeight="1" x14ac:dyDescent="0.15">
      <c r="A417" s="45">
        <f>RANK(K417,K$1:K$665)</f>
        <v>416</v>
      </c>
      <c r="B417" s="9" t="s">
        <v>542</v>
      </c>
      <c r="C417" s="46" t="s">
        <v>127</v>
      </c>
      <c r="D417" s="47" t="str">
        <f>VLOOKUP(B417,'Player Data'!A1:D667,4,FALSE)</f>
        <v>D</v>
      </c>
      <c r="E417" s="66">
        <f>VLOOKUP(B417,D!A1:C213,3,FALSE)</f>
        <v>153</v>
      </c>
      <c r="F417" s="62" t="str">
        <f>VLOOKUP(B417,'Player Data'!A1:B667,2,FALSE)</f>
        <v>OTT</v>
      </c>
      <c r="G417" s="69">
        <f>VLOOKUP(B417,'Player Data'!A1:D667,3,FALSE)</f>
        <v>24</v>
      </c>
      <c r="H417" s="67">
        <f>IFERROR(VLOOKUP(B417,ADP!A1:G665,7,FALSE)/1000000,VLOOKUP(B417,ADP!A1:G665,7,FALSE))</f>
        <v>0.80500000000000005</v>
      </c>
      <c r="I417" s="51">
        <f>IF(Settings!$E$15="POINTS",((R417*Q417)*Settings!$B$12)+(S417*Settings!$B$2)+(T417*Settings!$B$3)+(U417*Settings!$B$4)+(V417*Settings!$B$5)+(X417*Settings!$B$9)+(AA417*Settings!$B$6)+(W417*Settings!$B$8)+(AB417*Settings!$B$7)+(AC417*Settings!$B$14)+(AD417*Settings!$B$15)+(AE417*Settings!$B$16)+(AF417*Settings!$B$17)+(AG417*Settings!$B$18)+(U417*Settings!$B$13)+(Y417*Settings!$B$10)+(Z417*Settings!$B$11),VLOOKUP(B417,'Standard Deviations'!A1:C666,3,FALSE))</f>
        <v>144.38483574263586</v>
      </c>
      <c r="J417" s="52">
        <f>IF(D417="G",I417/AJ417,I417/Q417)</f>
        <v>2.0504112719513734</v>
      </c>
      <c r="K417" s="51">
        <f>VLOOKUP(B417,D!A1:F213,6,FALSE)</f>
        <v>-191.84928930295905</v>
      </c>
      <c r="L417" s="53">
        <f>IFERROR(K417/H417,"N/A")</f>
        <v>-238.3220985129926</v>
      </c>
      <c r="M417" s="83" t="str">
        <f>IF(Settings!$E$9="YAHOO",VLOOKUP(B417,ADP!A1:E665,2,FALSE),IF(Settings!$E$9="ESPN",VLOOKUP(B417,ADP!A1:E665,3,FALSE),IF(Settings!$E$9="FANTRAX",VLOOKUP(B417,ADP!A1:E665,4,FALSE),VLOOKUP(B417,ADP!A1:E665,5,FALSE))))</f>
        <v>—</v>
      </c>
      <c r="N417" s="83" t="str">
        <f>IFERROR(M417-A417,"N/A")</f>
        <v>N/A</v>
      </c>
      <c r="O417" s="54"/>
      <c r="P417" s="55" t="str">
        <f>IF(Settings!$E$27="ON",VLOOKUP(B417,ADP!A1:H665,8,FALSE)," ")</f>
        <v xml:space="preserve"> </v>
      </c>
      <c r="Q417" s="56">
        <f>IF(Settings!$E$12="YES",VLOOKUP(B417,'Player Data'!A1:E667,5,FALSE),82)</f>
        <v>70.417500000000004</v>
      </c>
      <c r="R417" s="75">
        <f>VLOOKUP(B417,'Player Data'!$A1:$AE667,6,FALSE)</f>
        <v>16.8806776094541</v>
      </c>
      <c r="S417" s="56">
        <f>VLOOKUP(B417,'Player Data'!$A1:$AE667,7,FALSE)*$Q417*IFERROR((VLOOKUP(P417,Settings!$E$28:$F$33,2,FALSE)+1),1)</f>
        <v>3.5254897773310461</v>
      </c>
      <c r="T417" s="56">
        <f>VLOOKUP(B417,'Player Data'!$A1:$AE667,8,FALSE)*$Q417*IFERROR((VLOOKUP(P417,Settings!$E$28:$F$33,2,FALSE)+1),1)</f>
        <v>10.973387625835421</v>
      </c>
      <c r="U417" s="56">
        <f>SUM(S417:T417)</f>
        <v>14.498877403166468</v>
      </c>
      <c r="V417" s="56">
        <f>VLOOKUP(B417,'Player Data'!$A1:$AE667,10,FALSE)*$Q417*IFERROR(((VLOOKUP(P417,Settings!$E$28:$F$33,2,FALSE)/2)+1),1)</f>
        <v>61.296736263318913</v>
      </c>
      <c r="W417" s="56">
        <f>VLOOKUP(B417,'Player Data'!$A1:$AE667,11,FALSE)*$Q417*IFERROR((VLOOKUP(P417,Settings!$E$28:$F$33,2,FALSE)+1),1)</f>
        <v>2.4097227564381117E-2</v>
      </c>
      <c r="X417" s="56">
        <f>VLOOKUP(B417,'Player Data'!$A1:$AE667,12,FALSE)*$Q417*IFERROR((VLOOKUP(P417,Settings!$E$28:$F$33,2,FALSE)+1),1)</f>
        <v>0.15417738063363362</v>
      </c>
      <c r="Y417" s="56">
        <f>VLOOKUP(B417,'Player Data'!$A1:$AE667,13,FALSE)*$Q417</f>
        <v>3.3679867641532406E-2</v>
      </c>
      <c r="Z417" s="56">
        <f>VLOOKUP(B417,'Player Data'!$A1:$AE667,14,FALSE)*$Q417</f>
        <v>0.79390698178183328</v>
      </c>
      <c r="AA417" s="56">
        <f>VLOOKUP(B417,'Player Data'!$A1:$AE667,15,FALSE)*$Q417</f>
        <v>138.58350207812305</v>
      </c>
      <c r="AB417" s="56">
        <f>VLOOKUP(B417,'Player Data'!$A1:$AE667,16,FALSE)*$Q417</f>
        <v>75.41808799506552</v>
      </c>
      <c r="AC417" s="56">
        <f>VLOOKUP(B417,'Player Data'!$A1:$AE667,17,FALSE)*$Q417*IFERROR((VLOOKUP(P417,Settings!$E$28:$F$33,2,FALSE)+1),1)</f>
        <v>-2.3177586166066533</v>
      </c>
      <c r="AD417" s="56">
        <f>VLOOKUP(B417,'Player Data'!$A1:$AE667,18,FALSE)*$Q417</f>
        <v>29.456057636872526</v>
      </c>
      <c r="AE417" s="56">
        <f>VLOOKUP(B417,'Player Data'!$A1:$AE667,19,FALSE)*$Q417*IFERROR((VLOOKUP(P417,Settings!$E$28:$F$33,2,FALSE)+1),1)</f>
        <v>0.54738248827837199</v>
      </c>
      <c r="AF417" s="56">
        <f>VLOOKUP(B417,'Player Data'!$A1:$AE667,20,FALSE)*$Q417</f>
        <v>0</v>
      </c>
      <c r="AG417" s="56">
        <f>VLOOKUP(B417,'Player Data'!$A1:$AE667,21,FALSE)*$Q417</f>
        <v>0</v>
      </c>
      <c r="AH417" s="58">
        <f>VLOOKUP(B417,'Player Data'!$A1:$AE667,22,FALSE)</f>
        <v>0</v>
      </c>
      <c r="AI417" s="54"/>
      <c r="AJ417" s="56"/>
      <c r="AK417" s="56"/>
      <c r="AL417" s="56"/>
      <c r="AM417" s="56"/>
      <c r="AN417" s="56"/>
      <c r="AO417" s="56"/>
      <c r="AP417" s="56"/>
      <c r="AQ417" s="59"/>
      <c r="AR417" s="60"/>
      <c r="AS417" s="54"/>
    </row>
    <row r="418" spans="1:45" ht="21.25" customHeight="1" x14ac:dyDescent="0.15">
      <c r="A418" s="45">
        <f>RANK(K418,K$1:K$665)</f>
        <v>417</v>
      </c>
      <c r="B418" s="9" t="s">
        <v>543</v>
      </c>
      <c r="C418" s="46" t="s">
        <v>127</v>
      </c>
      <c r="D418" s="47" t="str">
        <f>VLOOKUP(B418,'Player Data'!A1:D667,4,FALSE)</f>
        <v>D</v>
      </c>
      <c r="E418" s="66">
        <f>VLOOKUP(B418,D!A1:C213,3,FALSE)</f>
        <v>154</v>
      </c>
      <c r="F418" s="55" t="str">
        <f>VLOOKUP(B418,'Player Data'!A1:B667,2,FALSE)</f>
        <v>DAL</v>
      </c>
      <c r="G418" s="10">
        <f>VLOOKUP(B418,'Player Data'!A1:D667,3,FALSE)</f>
        <v>30</v>
      </c>
      <c r="H418" s="50">
        <f>IFERROR(VLOOKUP(B418,ADP!A1:G665,7,FALSE)/1000000,VLOOKUP(B418,ADP!A1:G665,7,FALSE))</f>
        <v>3.25</v>
      </c>
      <c r="I418" s="51">
        <f>IF(Settings!$E$15="POINTS",((R418*Q418)*Settings!$B$12)+(S418*Settings!$B$2)+(T418*Settings!$B$3)+(U418*Settings!$B$4)+(V418*Settings!$B$5)+(X418*Settings!$B$9)+(AA418*Settings!$B$6)+(W418*Settings!$B$8)+(AB418*Settings!$B$7)+(AC418*Settings!$B$14)+(AD418*Settings!$B$15)+(AE418*Settings!$B$16)+(AF418*Settings!$B$17)+(AG418*Settings!$B$18)+(U418*Settings!$B$13)+(Y418*Settings!$B$10)+(Z418*Settings!$B$11),VLOOKUP(B418,'Standard Deviations'!A1:C666,3,FALSE))</f>
        <v>144.37100168386121</v>
      </c>
      <c r="J418" s="52">
        <f>IF(D418="G",I418/AJ418,I418/Q418)</f>
        <v>1.8465306859865858</v>
      </c>
      <c r="K418" s="51">
        <f>VLOOKUP(B418,D!A1:F213,6,FALSE)</f>
        <v>-191.8631233617337</v>
      </c>
      <c r="L418" s="53">
        <f>IFERROR(K418/H418,"N/A")</f>
        <v>-59.034807188225756</v>
      </c>
      <c r="M418" s="83" t="str">
        <f>IF(Settings!$E$9="YAHOO",VLOOKUP(B418,ADP!A1:E665,2,FALSE),IF(Settings!$E$9="ESPN",VLOOKUP(B418,ADP!A1:E665,3,FALSE),IF(Settings!$E$9="FANTRAX",VLOOKUP(B418,ADP!A1:E665,4,FALSE),VLOOKUP(B418,ADP!A1:E665,5,FALSE))))</f>
        <v>—</v>
      </c>
      <c r="N418" s="83" t="str">
        <f>IFERROR(M418-A418,"N/A")</f>
        <v>N/A</v>
      </c>
      <c r="O418" s="54"/>
      <c r="P418" s="55" t="str">
        <f>IF(Settings!$E$27="ON",VLOOKUP(B418,ADP!A1:H665,8,FALSE)," ")</f>
        <v xml:space="preserve"> </v>
      </c>
      <c r="Q418" s="56">
        <f>IF(Settings!$E$12="YES",VLOOKUP(B418,'Player Data'!A1:E667,5,FALSE),82)</f>
        <v>78.185000000000002</v>
      </c>
      <c r="R418" s="54">
        <f>VLOOKUP(B418,'Player Data'!$A1:$AE667,6,FALSE)</f>
        <v>17.608391124927302</v>
      </c>
      <c r="S418" s="56">
        <f>VLOOKUP(B418,'Player Data'!$A1:$AE667,7,FALSE)*$Q418*IFERROR((VLOOKUP(P418,Settings!$E$28:$F$33,2,FALSE)+1),1)</f>
        <v>1.5358481190396955</v>
      </c>
      <c r="T418" s="56">
        <f>VLOOKUP(B418,'Player Data'!$A1:$AE667,8,FALSE)*$Q418*IFERROR((VLOOKUP(P418,Settings!$E$28:$F$33,2,FALSE)+1),1)</f>
        <v>12.352734129284091</v>
      </c>
      <c r="U418" s="56">
        <f>SUM(S418:T418)</f>
        <v>13.888582248323786</v>
      </c>
      <c r="V418" s="56">
        <f>VLOOKUP(B418,'Player Data'!$A1:$AE667,10,FALSE)*$Q418*IFERROR(((VLOOKUP(P418,Settings!$E$28:$F$33,2,FALSE)/2)+1),1)</f>
        <v>54.064628189265996</v>
      </c>
      <c r="W418" s="56">
        <f>VLOOKUP(B418,'Player Data'!$A1:$AE667,11,FALSE)*$Q418*IFERROR((VLOOKUP(P418,Settings!$E$28:$F$33,2,FALSE)+1),1)</f>
        <v>1.1009854720803278E-2</v>
      </c>
      <c r="X418" s="56">
        <f>VLOOKUP(B418,'Player Data'!$A1:$AE667,12,FALSE)*$Q418*IFERROR((VLOOKUP(P418,Settings!$E$28:$F$33,2,FALSE)+1),1)</f>
        <v>7.8699000471861943E-2</v>
      </c>
      <c r="Y418" s="56">
        <f>VLOOKUP(B418,'Player Data'!$A1:$AE667,13,FALSE)*$Q418</f>
        <v>0.21245330075145683</v>
      </c>
      <c r="Z418" s="56">
        <f>VLOOKUP(B418,'Player Data'!$A1:$AE667,14,FALSE)*$Q418</f>
        <v>0.67419770264904999</v>
      </c>
      <c r="AA418" s="56">
        <f>VLOOKUP(B418,'Player Data'!$A1:$AE667,15,FALSE)*$Q418</f>
        <v>149.84008828227189</v>
      </c>
      <c r="AB418" s="56">
        <f>VLOOKUP(B418,'Player Data'!$A1:$AE667,16,FALSE)*$Q418</f>
        <v>164.39377896329032</v>
      </c>
      <c r="AC418" s="56">
        <f>VLOOKUP(B418,'Player Data'!$A1:$AE667,17,FALSE)*$Q418*IFERROR((VLOOKUP(P418,Settings!$E$28:$F$33,2,FALSE)+1),1)</f>
        <v>-1.0832984985317209</v>
      </c>
      <c r="AD418" s="56">
        <f>VLOOKUP(B418,'Player Data'!$A1:$AE667,18,FALSE)*$Q418</f>
        <v>47.456529931994538</v>
      </c>
      <c r="AE418" s="56">
        <f>VLOOKUP(B418,'Player Data'!$A1:$AE667,19,FALSE)*$Q418*IFERROR((VLOOKUP(P418,Settings!$E$28:$F$33,2,FALSE)+1),1)</f>
        <v>0.24561085575463587</v>
      </c>
      <c r="AF418" s="56">
        <f>VLOOKUP(B418,'Player Data'!$A1:$AE667,20,FALSE)*$Q418</f>
        <v>0</v>
      </c>
      <c r="AG418" s="56">
        <f>VLOOKUP(B418,'Player Data'!$A1:$AE667,21,FALSE)*$Q418</f>
        <v>0</v>
      </c>
      <c r="AH418" s="58">
        <f>VLOOKUP(B418,'Player Data'!$A1:$AE667,22,FALSE)</f>
        <v>0</v>
      </c>
      <c r="AI418" s="54"/>
      <c r="AJ418" s="64"/>
      <c r="AK418" s="56"/>
      <c r="AL418" s="56"/>
      <c r="AM418" s="56"/>
      <c r="AN418" s="56"/>
      <c r="AO418" s="56"/>
      <c r="AP418" s="56"/>
      <c r="AQ418" s="59"/>
      <c r="AR418" s="60"/>
      <c r="AS418" s="54"/>
    </row>
    <row r="419" spans="1:45" ht="21.25" customHeight="1" x14ac:dyDescent="0.15">
      <c r="A419" s="45">
        <f>RANK(K419,K$1:K$665)</f>
        <v>418</v>
      </c>
      <c r="B419" s="9" t="s">
        <v>544</v>
      </c>
      <c r="C419" s="46" t="s">
        <v>127</v>
      </c>
      <c r="D419" s="47" t="str">
        <f>VLOOKUP(B419,'Player Data'!A1:D667,4,FALSE)</f>
        <v>D</v>
      </c>
      <c r="E419" s="66">
        <f>VLOOKUP(B419,D!A1:C213,3,FALSE)</f>
        <v>155</v>
      </c>
      <c r="F419" s="65" t="str">
        <f>VLOOKUP(B419,'Player Data'!A1:B667,2,FALSE)</f>
        <v>BUF</v>
      </c>
      <c r="G419" s="10">
        <f>VLOOKUP(B419,'Player Data'!A1:D667,3,FALSE)</f>
        <v>25</v>
      </c>
      <c r="H419" s="67">
        <f>IFERROR(VLOOKUP(B419,ADP!A1:G665,7,FALSE)/1000000,VLOOKUP(B419,ADP!A1:G665,7,FALSE))</f>
        <v>3.1</v>
      </c>
      <c r="I419" s="51">
        <f>IF(Settings!$E$15="POINTS",((R419*Q419)*Settings!$B$12)+(S419*Settings!$B$2)+(T419*Settings!$B$3)+(U419*Settings!$B$4)+(V419*Settings!$B$5)+(X419*Settings!$B$9)+(AA419*Settings!$B$6)+(W419*Settings!$B$8)+(AB419*Settings!$B$7)+(AC419*Settings!$B$14)+(AD419*Settings!$B$15)+(AE419*Settings!$B$16)+(AF419*Settings!$B$17)+(AG419*Settings!$B$18)+(U419*Settings!$B$13)+(Y419*Settings!$B$10)+(Z419*Settings!$B$11),VLOOKUP(B419,'Standard Deviations'!A1:C666,3,FALSE))</f>
        <v>144.1555268652121</v>
      </c>
      <c r="J419" s="52">
        <f>IF(D419="G",I419/AJ419,I419/Q419)</f>
        <v>1.9122574366944629</v>
      </c>
      <c r="K419" s="51">
        <f>VLOOKUP(B419,D!A1:F213,6,FALSE)</f>
        <v>-192.07859818038281</v>
      </c>
      <c r="L419" s="53">
        <f>IFERROR(K419/H419,"N/A")</f>
        <v>-61.960838122704132</v>
      </c>
      <c r="M419" s="83" t="str">
        <f>IF(Settings!$E$9="YAHOO",VLOOKUP(B419,ADP!A1:E665,2,FALSE),IF(Settings!$E$9="ESPN",VLOOKUP(B419,ADP!A1:E665,3,FALSE),IF(Settings!$E$9="FANTRAX",VLOOKUP(B419,ADP!A1:E665,4,FALSE),VLOOKUP(B419,ADP!A1:E665,5,FALSE))))</f>
        <v>—</v>
      </c>
      <c r="N419" s="83" t="str">
        <f>IFERROR(M419-A419,"N/A")</f>
        <v>N/A</v>
      </c>
      <c r="O419" s="54"/>
      <c r="P419" s="55" t="str">
        <f>IF(Settings!$E$27="ON",VLOOKUP(B419,ADP!A1:H665,8,FALSE)," ")</f>
        <v xml:space="preserve"> </v>
      </c>
      <c r="Q419" s="56">
        <f>IF(Settings!$E$12="YES",VLOOKUP(B419,'Player Data'!A1:E667,5,FALSE),82)</f>
        <v>75.385000000000005</v>
      </c>
      <c r="R419" s="81">
        <f>VLOOKUP(B419,'Player Data'!$A1:$AE667,6,FALSE)</f>
        <v>17.753820765656201</v>
      </c>
      <c r="S419" s="56">
        <f>VLOOKUP(B419,'Player Data'!$A1:$AE667,7,FALSE)*$Q419*IFERROR((VLOOKUP(P419,Settings!$E$28:$F$33,2,FALSE)+1),1)</f>
        <v>3.3791908583434291</v>
      </c>
      <c r="T419" s="56">
        <f>VLOOKUP(B419,'Player Data'!$A1:$AE667,8,FALSE)*$Q419*IFERROR((VLOOKUP(P419,Settings!$E$28:$F$33,2,FALSE)+1),1)</f>
        <v>14.947859590865196</v>
      </c>
      <c r="U419" s="56">
        <f>SUM(S419:T419)</f>
        <v>18.327050449208624</v>
      </c>
      <c r="V419" s="56">
        <f>VLOOKUP(B419,'Player Data'!$A1:$AE667,10,FALSE)*$Q419*IFERROR(((VLOOKUP(P419,Settings!$E$28:$F$33,2,FALSE)/2)+1),1)</f>
        <v>83.098898221577187</v>
      </c>
      <c r="W419" s="56">
        <f>VLOOKUP(B419,'Player Data'!$A1:$AE667,11,FALSE)*$Q419*IFERROR((VLOOKUP(P419,Settings!$E$28:$F$33,2,FALSE)+1),1)</f>
        <v>2.3276857424881701E-2</v>
      </c>
      <c r="X419" s="56">
        <f>VLOOKUP(B419,'Player Data'!$A1:$AE667,12,FALSE)*$Q419*IFERROR((VLOOKUP(P419,Settings!$E$28:$F$33,2,FALSE)+1),1)</f>
        <v>0.29026117562903853</v>
      </c>
      <c r="Y419" s="56">
        <f>VLOOKUP(B419,'Player Data'!$A1:$AE667,13,FALSE)*$Q419</f>
        <v>1.288501362451981E-2</v>
      </c>
      <c r="Z419" s="56">
        <f>VLOOKUP(B419,'Player Data'!$A1:$AE667,14,FALSE)*$Q419</f>
        <v>0.30136505013660092</v>
      </c>
      <c r="AA419" s="56">
        <f>VLOOKUP(B419,'Player Data'!$A1:$AE667,15,FALSE)*$Q419</f>
        <v>94.066600362063923</v>
      </c>
      <c r="AB419" s="56">
        <f>VLOOKUP(B419,'Player Data'!$A1:$AE667,16,FALSE)*$Q419</f>
        <v>90.02581573785497</v>
      </c>
      <c r="AC419" s="56">
        <f>VLOOKUP(B419,'Player Data'!$A1:$AE667,17,FALSE)*$Q419*IFERROR((VLOOKUP(P419,Settings!$E$28:$F$33,2,FALSE)+1),1)</f>
        <v>-1.2871219450054048</v>
      </c>
      <c r="AD419" s="56">
        <f>VLOOKUP(B419,'Player Data'!$A1:$AE667,18,FALSE)*$Q419</f>
        <v>25.256715132143203</v>
      </c>
      <c r="AE419" s="56">
        <f>VLOOKUP(B419,'Player Data'!$A1:$AE667,19,FALSE)*$Q419*IFERROR((VLOOKUP(P419,Settings!$E$28:$F$33,2,FALSE)+1),1)</f>
        <v>0.47800491576445542</v>
      </c>
      <c r="AF419" s="56">
        <f>VLOOKUP(B419,'Player Data'!$A1:$AE667,20,FALSE)*$Q419</f>
        <v>0</v>
      </c>
      <c r="AG419" s="56">
        <f>VLOOKUP(B419,'Player Data'!$A1:$AE667,21,FALSE)*$Q419</f>
        <v>0</v>
      </c>
      <c r="AH419" s="58">
        <f>VLOOKUP(B419,'Player Data'!$A1:$AE667,22,FALSE)</f>
        <v>0</v>
      </c>
      <c r="AI419" s="54"/>
      <c r="AJ419" s="56"/>
      <c r="AK419" s="56"/>
      <c r="AL419" s="56"/>
      <c r="AM419" s="56"/>
      <c r="AN419" s="56"/>
      <c r="AO419" s="56"/>
      <c r="AP419" s="56"/>
      <c r="AQ419" s="59"/>
      <c r="AR419" s="60"/>
      <c r="AS419" s="54"/>
    </row>
    <row r="420" spans="1:45" ht="21.25" customHeight="1" x14ac:dyDescent="0.15">
      <c r="A420" s="45">
        <f>RANK(K420,K$1:K$665)</f>
        <v>419</v>
      </c>
      <c r="B420" s="9" t="s">
        <v>545</v>
      </c>
      <c r="C420" s="46" t="s">
        <v>127</v>
      </c>
      <c r="D420" s="47" t="str">
        <f>VLOOKUP(B420,'Player Data'!A1:D667,4,FALSE)</f>
        <v>D</v>
      </c>
      <c r="E420" s="66">
        <f>VLOOKUP(B420,D!A1:C213,3,FALSE)</f>
        <v>156</v>
      </c>
      <c r="F420" s="62" t="str">
        <f>VLOOKUP(B420,'Player Data'!A1:B667,2,FALSE)</f>
        <v>MTL</v>
      </c>
      <c r="G420" s="69">
        <f>VLOOKUP(B420,'Player Data'!A1:D667,3,FALSE)</f>
        <v>22</v>
      </c>
      <c r="H420" s="50">
        <f>IFERROR(VLOOKUP(B420,ADP!A1:G665,7,FALSE)/1000000,VLOOKUP(B420,ADP!A1:G665,7,FALSE))</f>
        <v>1.1499999999999999</v>
      </c>
      <c r="I420" s="51">
        <f>IF(Settings!$E$15="POINTS",((R420*Q420)*Settings!$B$12)+(S420*Settings!$B$2)+(T420*Settings!$B$3)+(U420*Settings!$B$4)+(V420*Settings!$B$5)+(X420*Settings!$B$9)+(AA420*Settings!$B$6)+(W420*Settings!$B$8)+(AB420*Settings!$B$7)+(AC420*Settings!$B$14)+(AD420*Settings!$B$15)+(AE420*Settings!$B$16)+(AF420*Settings!$B$17)+(AG420*Settings!$B$18)+(U420*Settings!$B$13)+(Y420*Settings!$B$10)+(Z420*Settings!$B$11),VLOOKUP(B420,'Standard Deviations'!A1:C666,3,FALSE))</f>
        <v>143.96964421410277</v>
      </c>
      <c r="J420" s="52">
        <f>IF(D420="G",I420/AJ420,I420/Q420)</f>
        <v>2.1720611656787656</v>
      </c>
      <c r="K420" s="51">
        <f>VLOOKUP(B420,D!A1:F213,6,FALSE)</f>
        <v>-192.26448083149214</v>
      </c>
      <c r="L420" s="53">
        <f>IFERROR(K420/H420,"N/A")</f>
        <v>-167.18650507086275</v>
      </c>
      <c r="M420" s="83" t="str">
        <f>IF(Settings!$E$9="YAHOO",VLOOKUP(B420,ADP!A1:E665,2,FALSE),IF(Settings!$E$9="ESPN",VLOOKUP(B420,ADP!A1:E665,3,FALSE),IF(Settings!$E$9="FANTRAX",VLOOKUP(B420,ADP!A1:E665,4,FALSE),VLOOKUP(B420,ADP!A1:E665,5,FALSE))))</f>
        <v>—</v>
      </c>
      <c r="N420" s="83" t="str">
        <f>IFERROR(M420-A420,"N/A")</f>
        <v>N/A</v>
      </c>
      <c r="O420" s="54"/>
      <c r="P420" s="55" t="str">
        <f>IF(Settings!$E$27="ON",VLOOKUP(B420,ADP!A1:H665,8,FALSE)," ")</f>
        <v xml:space="preserve"> </v>
      </c>
      <c r="Q420" s="56">
        <f>IF(Settings!$E$12="YES",VLOOKUP(B420,'Player Data'!A1:E667,5,FALSE),82)</f>
        <v>66.282499999999999</v>
      </c>
      <c r="R420" s="54">
        <f>VLOOKUP(B420,'Player Data'!$A1:$AE667,6,FALSE)</f>
        <v>17.980594841082201</v>
      </c>
      <c r="S420" s="56">
        <f>VLOOKUP(B420,'Player Data'!$A1:$AE667,7,FALSE)*$Q420*IFERROR((VLOOKUP(P420,Settings!$E$28:$F$33,2,FALSE)+1),1)</f>
        <v>6.8078127971268705</v>
      </c>
      <c r="T420" s="56">
        <f>VLOOKUP(B420,'Player Data'!$A1:$AE667,8,FALSE)*$Q420*IFERROR((VLOOKUP(P420,Settings!$E$28:$F$33,2,FALSE)+1),1)</f>
        <v>13.276807717913018</v>
      </c>
      <c r="U420" s="56">
        <f>SUM(S420:T420)</f>
        <v>20.084620515039887</v>
      </c>
      <c r="V420" s="56">
        <f>VLOOKUP(B420,'Player Data'!$A1:$AE667,10,FALSE)*$Q420*IFERROR(((VLOOKUP(P420,Settings!$E$28:$F$33,2,FALSE)/2)+1),1)</f>
        <v>78.106794055452951</v>
      </c>
      <c r="W420" s="56">
        <f>VLOOKUP(B420,'Player Data'!$A1:$AE667,11,FALSE)*$Q420*IFERROR((VLOOKUP(P420,Settings!$E$28:$F$33,2,FALSE)+1),1)</f>
        <v>0.49942201215670567</v>
      </c>
      <c r="X420" s="56">
        <f>VLOOKUP(B420,'Player Data'!$A1:$AE667,12,FALSE)*$Q420*IFERROR((VLOOKUP(P420,Settings!$E$28:$F$33,2,FALSE)+1),1)</f>
        <v>1.1327125378211274</v>
      </c>
      <c r="Y420" s="56">
        <f>VLOOKUP(B420,'Player Data'!$A1:$AE667,13,FALSE)*$Q420</f>
        <v>0.28062073711664054</v>
      </c>
      <c r="Z420" s="56">
        <f>VLOOKUP(B420,'Player Data'!$A1:$AE667,14,FALSE)*$Q420</f>
        <v>0.38317546611794556</v>
      </c>
      <c r="AA420" s="56">
        <f>VLOOKUP(B420,'Player Data'!$A1:$AE667,15,FALSE)*$Q420</f>
        <v>86.292995274635189</v>
      </c>
      <c r="AB420" s="56">
        <f>VLOOKUP(B420,'Player Data'!$A1:$AE667,16,FALSE)*$Q420</f>
        <v>89.517866812741204</v>
      </c>
      <c r="AC420" s="56">
        <f>VLOOKUP(B420,'Player Data'!$A1:$AE667,17,FALSE)*$Q420*IFERROR((VLOOKUP(P420,Settings!$E$28:$F$33,2,FALSE)+1),1)</f>
        <v>-3.7001207718921307</v>
      </c>
      <c r="AD420" s="56">
        <f>VLOOKUP(B420,'Player Data'!$A1:$AE667,18,FALSE)*$Q420</f>
        <v>29.235949701548094</v>
      </c>
      <c r="AE420" s="56">
        <f>VLOOKUP(B420,'Player Data'!$A1:$AE667,19,FALSE)*$Q420*IFERROR((VLOOKUP(P420,Settings!$E$28:$F$33,2,FALSE)+1),1)</f>
        <v>0.78903416725080466</v>
      </c>
      <c r="AF420" s="56">
        <f>VLOOKUP(B420,'Player Data'!$A1:$AE667,20,FALSE)*$Q420</f>
        <v>0</v>
      </c>
      <c r="AG420" s="56">
        <f>VLOOKUP(B420,'Player Data'!$A1:$AE667,21,FALSE)*$Q420</f>
        <v>0</v>
      </c>
      <c r="AH420" s="58">
        <f>VLOOKUP(B420,'Player Data'!$A1:$AE667,22,FALSE)</f>
        <v>0</v>
      </c>
      <c r="AI420" s="54"/>
      <c r="AJ420" s="56"/>
      <c r="AK420" s="56"/>
      <c r="AL420" s="56"/>
      <c r="AM420" s="56"/>
      <c r="AN420" s="56"/>
      <c r="AO420" s="56"/>
      <c r="AP420" s="56"/>
      <c r="AQ420" s="59"/>
      <c r="AR420" s="60"/>
      <c r="AS420" s="54"/>
    </row>
    <row r="421" spans="1:45" ht="21.25" customHeight="1" x14ac:dyDescent="0.15">
      <c r="A421" s="45">
        <f>RANK(K421,K$1:K$665)</f>
        <v>420</v>
      </c>
      <c r="B421" s="9" t="s">
        <v>546</v>
      </c>
      <c r="C421" s="46" t="s">
        <v>127</v>
      </c>
      <c r="D421" s="47" t="str">
        <f>VLOOKUP(B421,'Player Data'!A1:D667,4,FALSE)</f>
        <v>D</v>
      </c>
      <c r="E421" s="66">
        <f>VLOOKUP(B421,D!A1:C213,3,FALSE)</f>
        <v>157</v>
      </c>
      <c r="F421" s="65" t="str">
        <f>VLOOKUP(B421,'Player Data'!A1:B667,2,FALSE)</f>
        <v>TOR</v>
      </c>
      <c r="G421" s="63">
        <f>VLOOKUP(B421,'Player Data'!A1:D667,3,FALSE)</f>
        <v>32</v>
      </c>
      <c r="H421" s="50">
        <f>IFERROR(VLOOKUP(B421,ADP!A1:G665,7,FALSE)/1000000,VLOOKUP(B421,ADP!A1:G665,7,FALSE))</f>
        <v>1.5</v>
      </c>
      <c r="I421" s="51">
        <f>IF(Settings!$E$15="POINTS",((R421*Q421)*Settings!$B$12)+(S421*Settings!$B$2)+(T421*Settings!$B$3)+(U421*Settings!$B$4)+(V421*Settings!$B$5)+(X421*Settings!$B$9)+(AA421*Settings!$B$6)+(W421*Settings!$B$8)+(AB421*Settings!$B$7)+(AC421*Settings!$B$14)+(AD421*Settings!$B$15)+(AE421*Settings!$B$16)+(AF421*Settings!$B$17)+(AG421*Settings!$B$18)+(U421*Settings!$B$13)+(Y421*Settings!$B$10)+(Z421*Settings!$B$11),VLOOKUP(B421,'Standard Deviations'!A1:C666,3,FALSE))</f>
        <v>143.69308917427855</v>
      </c>
      <c r="J421" s="52">
        <f>IF(D421="G",I421/AJ421,I421/Q421)</f>
        <v>1.8273426486205704</v>
      </c>
      <c r="K421" s="51">
        <f>VLOOKUP(B421,D!A1:F213,6,FALSE)</f>
        <v>-192.54103587131635</v>
      </c>
      <c r="L421" s="53">
        <f>IFERROR(K421/H421,"N/A")</f>
        <v>-128.36069058087756</v>
      </c>
      <c r="M421" s="83" t="str">
        <f>IF(Settings!$E$9="YAHOO",VLOOKUP(B421,ADP!A1:E665,2,FALSE),IF(Settings!$E$9="ESPN",VLOOKUP(B421,ADP!A1:E665,3,FALSE),IF(Settings!$E$9="FANTRAX",VLOOKUP(B421,ADP!A1:E665,4,FALSE),VLOOKUP(B421,ADP!A1:E665,5,FALSE))))</f>
        <v>—</v>
      </c>
      <c r="N421" s="83" t="str">
        <f>IFERROR(M421-A421,"N/A")</f>
        <v>N/A</v>
      </c>
      <c r="O421" s="54"/>
      <c r="P421" s="55" t="str">
        <f>IF(Settings!$E$27="ON",VLOOKUP(B421,ADP!A1:H665,8,FALSE)," ")</f>
        <v xml:space="preserve"> </v>
      </c>
      <c r="Q421" s="56">
        <f>IF(Settings!$E$12="YES",VLOOKUP(B421,'Player Data'!A1:E667,5,FALSE),82)</f>
        <v>78.635000000000005</v>
      </c>
      <c r="R421" s="54">
        <f>VLOOKUP(B421,'Player Data'!$A1:$AE667,6,FALSE)</f>
        <v>18.261038774881001</v>
      </c>
      <c r="S421" s="56">
        <f>VLOOKUP(B421,'Player Data'!$A1:$AE667,7,FALSE)*$Q421*IFERROR((VLOOKUP(P421,Settings!$E$28:$F$33,2,FALSE)+1),1)</f>
        <v>3.6540104075855062</v>
      </c>
      <c r="T421" s="56">
        <f>VLOOKUP(B421,'Player Data'!$A1:$AE667,8,FALSE)*$Q421*IFERROR((VLOOKUP(P421,Settings!$E$28:$F$33,2,FALSE)+1),1)</f>
        <v>10.042353114878804</v>
      </c>
      <c r="U421" s="56">
        <f>SUM(S421:T421)</f>
        <v>13.69636352246431</v>
      </c>
      <c r="V421" s="56">
        <f>VLOOKUP(B421,'Player Data'!$A1:$AE667,10,FALSE)*$Q421*IFERROR(((VLOOKUP(P421,Settings!$E$28:$F$33,2,FALSE)/2)+1),1)</f>
        <v>71.03329194443414</v>
      </c>
      <c r="W421" s="56">
        <f>VLOOKUP(B421,'Player Data'!$A1:$AE667,11,FALSE)*$Q421*IFERROR((VLOOKUP(P421,Settings!$E$28:$F$33,2,FALSE)+1),1)</f>
        <v>1.4643321255349491E-2</v>
      </c>
      <c r="X421" s="56">
        <f>VLOOKUP(B421,'Player Data'!$A1:$AE667,12,FALSE)*$Q421*IFERROR((VLOOKUP(P421,Settings!$E$28:$F$33,2,FALSE)+1),1)</f>
        <v>9.5712462305883456E-2</v>
      </c>
      <c r="Y421" s="56">
        <f>VLOOKUP(B421,'Player Data'!$A1:$AE667,13,FALSE)*$Q421</f>
        <v>2.5058728775791173E-2</v>
      </c>
      <c r="Z421" s="56">
        <f>VLOOKUP(B421,'Player Data'!$A1:$AE667,14,FALSE)*$Q421</f>
        <v>0.25436228794507348</v>
      </c>
      <c r="AA421" s="56">
        <f>VLOOKUP(B421,'Player Data'!$A1:$AE667,15,FALSE)*$Q421</f>
        <v>133.47455576883522</v>
      </c>
      <c r="AB421" s="56">
        <f>VLOOKUP(B421,'Player Data'!$A1:$AE667,16,FALSE)*$Q421</f>
        <v>200.4375091603878</v>
      </c>
      <c r="AC421" s="56">
        <f>VLOOKUP(B421,'Player Data'!$A1:$AE667,17,FALSE)*$Q421*IFERROR((VLOOKUP(P421,Settings!$E$28:$F$33,2,FALSE)+1),1)</f>
        <v>3.2372373838439392</v>
      </c>
      <c r="AD421" s="56">
        <f>VLOOKUP(B421,'Player Data'!$A1:$AE667,18,FALSE)*$Q421</f>
        <v>43.275630039870848</v>
      </c>
      <c r="AE421" s="56">
        <f>VLOOKUP(B421,'Player Data'!$A1:$AE667,19,FALSE)*$Q421*IFERROR((VLOOKUP(P421,Settings!$E$28:$F$33,2,FALSE)+1),1)</f>
        <v>0.58457616487965736</v>
      </c>
      <c r="AF421" s="56">
        <f>VLOOKUP(B421,'Player Data'!$A1:$AE667,20,FALSE)*$Q421</f>
        <v>0</v>
      </c>
      <c r="AG421" s="56">
        <f>VLOOKUP(B421,'Player Data'!$A1:$AE667,21,FALSE)*$Q421</f>
        <v>0</v>
      </c>
      <c r="AH421" s="58">
        <f>VLOOKUP(B421,'Player Data'!$A1:$AE667,22,FALSE)</f>
        <v>0</v>
      </c>
      <c r="AI421" s="54"/>
      <c r="AJ421" s="56"/>
      <c r="AK421" s="56"/>
      <c r="AL421" s="56"/>
      <c r="AM421" s="56"/>
      <c r="AN421" s="56"/>
      <c r="AO421" s="56"/>
      <c r="AP421" s="56"/>
      <c r="AQ421" s="59"/>
      <c r="AR421" s="60"/>
      <c r="AS421" s="54"/>
    </row>
    <row r="422" spans="1:45" ht="21.25" customHeight="1" x14ac:dyDescent="0.15">
      <c r="A422" s="45">
        <f>RANK(K422,K$1:K$665)</f>
        <v>421</v>
      </c>
      <c r="B422" s="9" t="s">
        <v>547</v>
      </c>
      <c r="C422" s="46" t="s">
        <v>127</v>
      </c>
      <c r="D422" s="47" t="str">
        <f>VLOOKUP(B422,'Player Data'!A1:D667,4,FALSE)</f>
        <v>LW</v>
      </c>
      <c r="E422" s="70">
        <f>VLOOKUP(B422,LW!A1:C152,3,FALSE)</f>
        <v>99</v>
      </c>
      <c r="F422" s="65" t="str">
        <f>VLOOKUP(B422,'Player Data'!A1:B667,2,FALSE)</f>
        <v>TOR</v>
      </c>
      <c r="G422" s="69">
        <f>VLOOKUP(B422,'Player Data'!A1:D667,3,FALSE)</f>
        <v>22</v>
      </c>
      <c r="H422" s="65" t="str">
        <f>IFERROR(VLOOKUP(B422,ADP!A1:G665,7,FALSE)/1000000,VLOOKUP(B422,ADP!A1:G665,7,FALSE))</f>
        <v>RFA</v>
      </c>
      <c r="I422" s="51">
        <f>IF(Settings!$E$15="POINTS",((R422*Q422)*Settings!$B$12)+(S422*Settings!$B$2)+(T422*Settings!$B$3)+(U422*Settings!$B$4)+(V422*Settings!$B$5)+(X422*Settings!$B$9)+(AA422*Settings!$B$6)+(W422*Settings!$B$8)+(AB422*Settings!$B$7)+(AC422*Settings!$B$14)+(AD422*Settings!$B$15)+(AE422*Settings!$B$16)+(AF422*Settings!$B$17)+(AG422*Settings!$B$18)+(Y422*Settings!$B$10)+(Z422*Settings!$B$11),VLOOKUP(B422,'Standard Deviations'!A1:C666,3,FALSE))</f>
        <v>188.02039178485254</v>
      </c>
      <c r="J422" s="52">
        <f>IF(D422="G",I422/AJ422,I422/Q422)</f>
        <v>2.6902331060931828</v>
      </c>
      <c r="K422" s="51">
        <f>IF(Settings!$E$18="C/LW/RW",VLOOKUP(B422,LW!A1:F152,6,FALSE),VLOOKUP(B422,F!A1:F392,6,FALSE))</f>
        <v>-193.04112051764722</v>
      </c>
      <c r="L422" s="76" t="str">
        <f>IFERROR(K422/H422,"N/A")</f>
        <v>N/A</v>
      </c>
      <c r="M422" s="83" t="str">
        <f>IF(Settings!$E$9="YAHOO",VLOOKUP(B422,ADP!A1:E665,2,FALSE),IF(Settings!$E$9="ESPN",VLOOKUP(B422,ADP!A1:E665,3,FALSE),IF(Settings!$E$9="FANTRAX",VLOOKUP(B422,ADP!A1:E665,4,FALSE),VLOOKUP(B422,ADP!A1:E665,5,FALSE))))</f>
        <v>—</v>
      </c>
      <c r="N422" s="83" t="str">
        <f>IFERROR(M422-A422,"N/A")</f>
        <v>N/A</v>
      </c>
      <c r="O422" s="54"/>
      <c r="P422" s="55" t="str">
        <f>IF(Settings!$E$27="ON",VLOOKUP(B422,ADP!A1:H665,8,FALSE)," ")</f>
        <v xml:space="preserve"> </v>
      </c>
      <c r="Q422" s="56">
        <f>IF(Settings!$E$12="YES",VLOOKUP(B422,'Player Data'!A1:E667,5,FALSE),82)</f>
        <v>69.89</v>
      </c>
      <c r="R422" s="75">
        <f>VLOOKUP(B422,'Player Data'!$A1:$AE667,6,FALSE)</f>
        <v>12.989120797451699</v>
      </c>
      <c r="S422" s="56">
        <f>VLOOKUP(B422,'Player Data'!$A1:$AE667,7,FALSE)*$Q422*IFERROR((VLOOKUP(P422,Settings!$E$28:$F$33,2,FALSE)+1),1)</f>
        <v>16.449230963687718</v>
      </c>
      <c r="T422" s="56">
        <f>VLOOKUP(B422,'Player Data'!$A1:$AE667,8,FALSE)*$Q422*IFERROR((VLOOKUP(P422,Settings!$E$28:$F$33,2,FALSE)+1),1)</f>
        <v>17.544935173212835</v>
      </c>
      <c r="U422" s="56">
        <f>SUM(S422:T422)</f>
        <v>33.994166136900553</v>
      </c>
      <c r="V422" s="56">
        <f>VLOOKUP(B422,'Player Data'!$A1:$AE667,10,FALSE)*$Q422*IFERROR(((VLOOKUP(P422,Settings!$E$28:$F$33,2,FALSE)/2)+1),1)</f>
        <v>130.36804238458021</v>
      </c>
      <c r="W422" s="56">
        <f>VLOOKUP(B422,'Player Data'!$A1:$AE667,11,FALSE)*$Q422*IFERROR((VLOOKUP(P422,Settings!$E$28:$F$33,2,FALSE)+1),1)</f>
        <v>1.5182632687492286</v>
      </c>
      <c r="X422" s="56">
        <f>VLOOKUP(B422,'Player Data'!$A1:$AE667,12,FALSE)*$Q422*IFERROR((VLOOKUP(P422,Settings!$E$28:$F$33,2,FALSE)+1),1)</f>
        <v>3.9899479988967936</v>
      </c>
      <c r="Y422" s="56">
        <f>VLOOKUP(B422,'Player Data'!$A1:$AE667,13,FALSE)*$Q422</f>
        <v>1.0095264983449176E-2</v>
      </c>
      <c r="Z422" s="56">
        <f>VLOOKUP(B422,'Player Data'!$A1:$AE667,14,FALSE)*$Q422</f>
        <v>1.7077620957396615E-2</v>
      </c>
      <c r="AA422" s="56">
        <f>VLOOKUP(B422,'Player Data'!$A1:$AE667,15,FALSE)*$Q422</f>
        <v>33.693693124013237</v>
      </c>
      <c r="AB422" s="56">
        <f>VLOOKUP(B422,'Player Data'!$A1:$AE667,16,FALSE)*$Q422</f>
        <v>63.562650861075824</v>
      </c>
      <c r="AC422" s="56">
        <f>VLOOKUP(B422,'Player Data'!$A1:$AE667,17,FALSE)*$Q422*IFERROR((VLOOKUP(P422,Settings!$E$28:$F$33,2,FALSE)+1),1)</f>
        <v>4.8506608516140073</v>
      </c>
      <c r="AD422" s="56">
        <f>VLOOKUP(B422,'Player Data'!$A1:$AE667,18,FALSE)*$Q422</f>
        <v>14.185065073021999</v>
      </c>
      <c r="AE422" s="56">
        <f>VLOOKUP(B422,'Player Data'!$A1:$AE667,19,FALSE)*$Q422*IFERROR((VLOOKUP(P422,Settings!$E$28:$F$33,2,FALSE)+1),1)</f>
        <v>2.6315820918326849</v>
      </c>
      <c r="AF422" s="56">
        <f>VLOOKUP(B422,'Player Data'!$A1:$AE667,20,FALSE)*$Q422</f>
        <v>4.8322889275573848</v>
      </c>
      <c r="AG422" s="56">
        <f>VLOOKUP(B422,'Player Data'!$A1:$AE667,21,FALSE)*$Q422</f>
        <v>10.411913721335072</v>
      </c>
      <c r="AH422" s="58">
        <f>VLOOKUP(B422,'Player Data'!$A1:$AE667,22,FALSE)</f>
        <v>0.31699191088282103</v>
      </c>
      <c r="AI422" s="54"/>
      <c r="AJ422" s="64"/>
      <c r="AK422" s="56"/>
      <c r="AL422" s="56"/>
      <c r="AM422" s="56"/>
      <c r="AN422" s="56"/>
      <c r="AO422" s="56"/>
      <c r="AP422" s="56"/>
      <c r="AQ422" s="59"/>
      <c r="AR422" s="60"/>
      <c r="AS422" s="54"/>
    </row>
    <row r="423" spans="1:45" ht="21.25" customHeight="1" x14ac:dyDescent="0.15">
      <c r="A423" s="45">
        <f>RANK(K423,K$1:K$665)</f>
        <v>422</v>
      </c>
      <c r="B423" s="9" t="s">
        <v>548</v>
      </c>
      <c r="C423" s="46" t="s">
        <v>127</v>
      </c>
      <c r="D423" s="47" t="str">
        <f>VLOOKUP(B423,'Player Data'!A1:D667,4,FALSE)</f>
        <v>C</v>
      </c>
      <c r="E423" s="48">
        <f>VLOOKUP(B423,'C'!A1:C206,3,FALSE)</f>
        <v>114</v>
      </c>
      <c r="F423" s="77" t="str">
        <f>VLOOKUP(B423,'Player Data'!A1:B667,2,FALSE)</f>
        <v>CBJ</v>
      </c>
      <c r="G423" s="69">
        <f>VLOOKUP(B423,'Player Data'!A1:D667,3,FALSE)</f>
        <v>21</v>
      </c>
      <c r="H423" s="50">
        <f>IFERROR(VLOOKUP(B423,ADP!A1:G665,7,FALSE)/1000000,VLOOKUP(B423,ADP!A1:G665,7,FALSE))</f>
        <v>2.25</v>
      </c>
      <c r="I423" s="51">
        <f>IF(Settings!$E$15="POINTS",((R423*Q423)*Settings!$B$12)+(S423*Settings!$B$2)+(T423*Settings!$B$3)+(U423*Settings!$B$4)+(V423*Settings!$B$5)+(X423*Settings!$B$9)+(AA423*Settings!$B$6)+(W423*Settings!$B$8)+(AB423*Settings!$B$7)+(AC423*Settings!$B$14)+(AD423*Settings!$B$15)+(AE423*Settings!$B$16)+(AF423*Settings!$B$17)+(AG423*Settings!$B$18)+(Y423*Settings!$B$10)+(Z423*Settings!$B$11),VLOOKUP(B423,'Standard Deviations'!A1:C666,3,FALSE))</f>
        <v>196.48279850029138</v>
      </c>
      <c r="J423" s="52">
        <f>IF(D423="G",I423/AJ423,I423/Q423)</f>
        <v>2.5071974798263486</v>
      </c>
      <c r="K423" s="51">
        <f>IF(Settings!$E$18="C/LW/RW",VLOOKUP(B423,'C'!A1:F206,6,FALSE),VLOOKUP(B423,F!A1:F392,6,FALSE))</f>
        <v>-193.45435927778971</v>
      </c>
      <c r="L423" s="53">
        <f>IFERROR(K423/H423,"N/A")</f>
        <v>-85.979715234573206</v>
      </c>
      <c r="M423" s="83" t="str">
        <f>IF(Settings!$E$9="YAHOO",VLOOKUP(B423,ADP!A1:E665,2,FALSE),IF(Settings!$E$9="ESPN",VLOOKUP(B423,ADP!A1:E665,3,FALSE),IF(Settings!$E$9="FANTRAX",VLOOKUP(B423,ADP!A1:E665,4,FALSE),VLOOKUP(B423,ADP!A1:E665,5,FALSE))))</f>
        <v>—</v>
      </c>
      <c r="N423" s="83" t="str">
        <f>IFERROR(M423-A423,"N/A")</f>
        <v>N/A</v>
      </c>
      <c r="O423" s="54"/>
      <c r="P423" s="55" t="str">
        <f>IF(Settings!$E$27="ON",VLOOKUP(B423,ADP!A1:H665,8,FALSE)," ")</f>
        <v xml:space="preserve"> </v>
      </c>
      <c r="Q423" s="56">
        <f>IF(Settings!$E$12="YES",VLOOKUP(B423,'Player Data'!A1:E667,5,FALSE),82)</f>
        <v>78.367500000000007</v>
      </c>
      <c r="R423" s="81">
        <f>VLOOKUP(B423,'Player Data'!$A1:$AE667,6,FALSE)</f>
        <v>14.97142430337</v>
      </c>
      <c r="S423" s="56">
        <f>VLOOKUP(B423,'Player Data'!$A1:$AE667,7,FALSE)*$Q423*IFERROR((VLOOKUP(P423,Settings!$E$28:$F$33,2,FALSE)+1),1)</f>
        <v>11.924081405676986</v>
      </c>
      <c r="T423" s="56">
        <f>VLOOKUP(B423,'Player Data'!$A1:$AE667,8,FALSE)*$Q423*IFERROR((VLOOKUP(P423,Settings!$E$28:$F$33,2,FALSE)+1),1)</f>
        <v>17.752178439469454</v>
      </c>
      <c r="U423" s="56">
        <f>SUM(S423:T423)</f>
        <v>29.67625984514644</v>
      </c>
      <c r="V423" s="56">
        <f>VLOOKUP(B423,'Player Data'!$A1:$AE667,10,FALSE)*$Q423*IFERROR(((VLOOKUP(P423,Settings!$E$28:$F$33,2,FALSE)/2)+1),1)</f>
        <v>145.30584196344665</v>
      </c>
      <c r="W423" s="56">
        <f>VLOOKUP(B423,'Player Data'!$A1:$AE667,11,FALSE)*$Q423*IFERROR((VLOOKUP(P423,Settings!$E$28:$F$33,2,FALSE)+1),1)</f>
        <v>1.1778988738730636</v>
      </c>
      <c r="X423" s="56">
        <f>VLOOKUP(B423,'Player Data'!$A1:$AE667,12,FALSE)*$Q423*IFERROR((VLOOKUP(P423,Settings!$E$28:$F$33,2,FALSE)+1),1)</f>
        <v>2.1691396720126219</v>
      </c>
      <c r="Y423" s="56">
        <f>VLOOKUP(B423,'Player Data'!$A1:$AE667,13,FALSE)*$Q423</f>
        <v>0.20901767351627104</v>
      </c>
      <c r="Z423" s="56">
        <f>VLOOKUP(B423,'Player Data'!$A1:$AE667,14,FALSE)*$Q423</f>
        <v>1.1320038466614692</v>
      </c>
      <c r="AA423" s="56">
        <f>VLOOKUP(B423,'Player Data'!$A1:$AE667,15,FALSE)*$Q423</f>
        <v>62.999908928909285</v>
      </c>
      <c r="AB423" s="56">
        <f>VLOOKUP(B423,'Player Data'!$A1:$AE667,16,FALSE)*$Q423</f>
        <v>108.78187554188955</v>
      </c>
      <c r="AC423" s="56">
        <f>VLOOKUP(B423,'Player Data'!$A1:$AE667,17,FALSE)*$Q423*IFERROR((VLOOKUP(P423,Settings!$E$28:$F$33,2,FALSE)+1),1)</f>
        <v>-8.7538929870683653</v>
      </c>
      <c r="AD423" s="56">
        <f>VLOOKUP(B423,'Player Data'!$A1:$AE667,18,FALSE)*$Q423</f>
        <v>38.137481265308075</v>
      </c>
      <c r="AE423" s="56">
        <f>VLOOKUP(B423,'Player Data'!$A1:$AE667,19,FALSE)*$Q423*IFERROR((VLOOKUP(P423,Settings!$E$28:$F$33,2,FALSE)+1),1)</f>
        <v>1.3186167812414225</v>
      </c>
      <c r="AF423" s="56">
        <f>VLOOKUP(B423,'Player Data'!$A1:$AE667,20,FALSE)*$Q423</f>
        <v>417.86851752248754</v>
      </c>
      <c r="AG423" s="56">
        <f>VLOOKUP(B423,'Player Data'!$A1:$AE667,21,FALSE)*$Q423</f>
        <v>495.24435697769093</v>
      </c>
      <c r="AH423" s="58">
        <f>VLOOKUP(B423,'Player Data'!$A1:$AE667,22,FALSE)</f>
        <v>0.45763073678182598</v>
      </c>
      <c r="AI423" s="54"/>
      <c r="AJ423" s="56"/>
      <c r="AK423" s="56"/>
      <c r="AL423" s="56"/>
      <c r="AM423" s="56"/>
      <c r="AN423" s="56"/>
      <c r="AO423" s="56"/>
      <c r="AP423" s="56"/>
      <c r="AQ423" s="59"/>
      <c r="AR423" s="60"/>
      <c r="AS423" s="54"/>
    </row>
    <row r="424" spans="1:45" ht="21.25" customHeight="1" x14ac:dyDescent="0.15">
      <c r="A424" s="45">
        <f>RANK(K424,K$1:K$665)</f>
        <v>423</v>
      </c>
      <c r="B424" s="9" t="s">
        <v>549</v>
      </c>
      <c r="C424" s="46" t="s">
        <v>127</v>
      </c>
      <c r="D424" s="47" t="str">
        <f>VLOOKUP(B424,'Player Data'!A1:D667,4,FALSE)</f>
        <v>C/LW</v>
      </c>
      <c r="E424" s="68">
        <f>VLOOKUP(B424,LW!A1:C152,3,FALSE)</f>
        <v>100</v>
      </c>
      <c r="F424" s="65" t="str">
        <f>VLOOKUP(B424,'Player Data'!A1:B667,2,FALSE)</f>
        <v>DET</v>
      </c>
      <c r="G424" s="63">
        <f>VLOOKUP(B424,'Player Data'!A1:D667,3,FALSE)</f>
        <v>30</v>
      </c>
      <c r="H424" s="50">
        <f>IFERROR(VLOOKUP(B424,ADP!A1:G665,7,FALSE)/1000000,VLOOKUP(B424,ADP!A1:G665,7,FALSE))</f>
        <v>5.625</v>
      </c>
      <c r="I424" s="51">
        <f>IF(Settings!$E$15="POINTS",((R424*Q424)*Settings!$B$12)+(S424*Settings!$B$2)+(T424*Settings!$B$3)+(U424*Settings!$B$4)+(V424*Settings!$B$5)+(X424*Settings!$B$9)+(AA424*Settings!$B$6)+(W424*Settings!$B$8)+(AB424*Settings!$B$7)+(AC424*Settings!$B$14)+(AD424*Settings!$B$15)+(AE424*Settings!$B$16)+(AF424*Settings!$B$17)+(AG424*Settings!$B$18)+(Y424*Settings!$B$10)+(Z424*Settings!$B$11),VLOOKUP(B424,'Standard Deviations'!A1:C666,3,FALSE))</f>
        <v>187.5993429432807</v>
      </c>
      <c r="J424" s="52">
        <f>IF(D424="G",I424/AJ424,I424/Q424)</f>
        <v>2.3304989961586471</v>
      </c>
      <c r="K424" s="51">
        <f>IF(Settings!$E$18="C/LW/RW",VLOOKUP(B424,LW!A1:F152,6,FALSE),VLOOKUP(B424,F!A1:F392,6,FALSE))</f>
        <v>-193.46216935921905</v>
      </c>
      <c r="L424" s="53">
        <f>IFERROR(K424/H424,"N/A")</f>
        <v>-34.39327455275005</v>
      </c>
      <c r="M424" s="83" t="str">
        <f>IF(Settings!$E$9="YAHOO",VLOOKUP(B424,ADP!A1:E665,2,FALSE),IF(Settings!$E$9="ESPN",VLOOKUP(B424,ADP!A1:E665,3,FALSE),IF(Settings!$E$9="FANTRAX",VLOOKUP(B424,ADP!A1:E665,4,FALSE),VLOOKUP(B424,ADP!A1:E665,5,FALSE))))</f>
        <v>—</v>
      </c>
      <c r="N424" s="83" t="str">
        <f>IFERROR(M424-A424,"N/A")</f>
        <v>N/A</v>
      </c>
      <c r="O424" s="54"/>
      <c r="P424" s="55" t="str">
        <f>IF(Settings!$E$27="ON",VLOOKUP(B424,ADP!A1:H665,8,FALSE)," ")</f>
        <v xml:space="preserve"> </v>
      </c>
      <c r="Q424" s="56">
        <f>IF(Settings!$E$12="YES",VLOOKUP(B424,'Player Data'!A1:E667,5,FALSE),82)</f>
        <v>80.497500000000002</v>
      </c>
      <c r="R424" s="54">
        <f>VLOOKUP(B424,'Player Data'!$A1:$AE667,6,FALSE)</f>
        <v>15.583692300026801</v>
      </c>
      <c r="S424" s="56">
        <f>VLOOKUP(B424,'Player Data'!$A1:$AE667,7,FALSE)*$Q424*IFERROR((VLOOKUP(P424,Settings!$E$28:$F$33,2,FALSE)+1),1)</f>
        <v>11.246761224148187</v>
      </c>
      <c r="T424" s="56">
        <f>VLOOKUP(B424,'Player Data'!$A1:$AE667,8,FALSE)*$Q424*IFERROR((VLOOKUP(P424,Settings!$E$28:$F$33,2,FALSE)+1),1)</f>
        <v>22.474050328298986</v>
      </c>
      <c r="U424" s="56">
        <f>SUM(S424:T424)</f>
        <v>33.720811552447174</v>
      </c>
      <c r="V424" s="56">
        <f>VLOOKUP(B424,'Player Data'!$A1:$AE667,10,FALSE)*$Q424*IFERROR(((VLOOKUP(P424,Settings!$E$28:$F$33,2,FALSE)/2)+1),1)</f>
        <v>114.98085299612816</v>
      </c>
      <c r="W424" s="56">
        <f>VLOOKUP(B424,'Player Data'!$A1:$AE667,11,FALSE)*$Q424*IFERROR((VLOOKUP(P424,Settings!$E$28:$F$33,2,FALSE)+1),1)</f>
        <v>1.1163440416301078</v>
      </c>
      <c r="X424" s="56">
        <f>VLOOKUP(B424,'Player Data'!$A1:$AE667,12,FALSE)*$Q424*IFERROR((VLOOKUP(P424,Settings!$E$28:$F$33,2,FALSE)+1),1)</f>
        <v>3.4943748396043426</v>
      </c>
      <c r="Y424" s="56">
        <f>VLOOKUP(B424,'Player Data'!$A1:$AE667,13,FALSE)*$Q424</f>
        <v>0.94365269787659201</v>
      </c>
      <c r="Z424" s="56">
        <f>VLOOKUP(B424,'Player Data'!$A1:$AE667,14,FALSE)*$Q424</f>
        <v>2.1626333663029982</v>
      </c>
      <c r="AA424" s="56">
        <f>VLOOKUP(B424,'Player Data'!$A1:$AE667,15,FALSE)*$Q424</f>
        <v>46.578947163935453</v>
      </c>
      <c r="AB424" s="56">
        <f>VLOOKUP(B424,'Player Data'!$A1:$AE667,16,FALSE)*$Q424</f>
        <v>40.465408553598969</v>
      </c>
      <c r="AC424" s="56">
        <f>VLOOKUP(B424,'Player Data'!$A1:$AE667,17,FALSE)*$Q424*IFERROR((VLOOKUP(P424,Settings!$E$28:$F$33,2,FALSE)+1),1)</f>
        <v>-2.9351304493661869</v>
      </c>
      <c r="AD424" s="56">
        <f>VLOOKUP(B424,'Player Data'!$A1:$AE667,18,FALSE)*$Q424</f>
        <v>23.351160441585332</v>
      </c>
      <c r="AE424" s="56">
        <f>VLOOKUP(B424,'Player Data'!$A1:$AE667,19,FALSE)*$Q424*IFERROR((VLOOKUP(P424,Settings!$E$28:$F$33,2,FALSE)+1),1)</f>
        <v>1.5446601605581585</v>
      </c>
      <c r="AF424" s="56">
        <f>VLOOKUP(B424,'Player Data'!$A1:$AE667,20,FALSE)*$Q424</f>
        <v>492.34940127333675</v>
      </c>
      <c r="AG424" s="56">
        <f>VLOOKUP(B424,'Player Data'!$A1:$AE667,21,FALSE)*$Q424</f>
        <v>453.1988704508986</v>
      </c>
      <c r="AH424" s="58">
        <f>VLOOKUP(B424,'Player Data'!$A1:$AE667,22,FALSE)</f>
        <v>0.520702555328585</v>
      </c>
      <c r="AI424" s="54"/>
      <c r="AJ424" s="56"/>
      <c r="AK424" s="56"/>
      <c r="AL424" s="56"/>
      <c r="AM424" s="56"/>
      <c r="AN424" s="56"/>
      <c r="AO424" s="56"/>
      <c r="AP424" s="56"/>
      <c r="AQ424" s="59"/>
      <c r="AR424" s="60"/>
      <c r="AS424" s="64"/>
    </row>
    <row r="425" spans="1:45" ht="21.25" customHeight="1" x14ac:dyDescent="0.15">
      <c r="A425" s="45">
        <f>RANK(K425,K$1:K$665)</f>
        <v>424</v>
      </c>
      <c r="B425" s="9" t="s">
        <v>550</v>
      </c>
      <c r="C425" s="46" t="s">
        <v>127</v>
      </c>
      <c r="D425" s="47" t="str">
        <f>VLOOKUP(B425,'Player Data'!A1:D667,4,FALSE)</f>
        <v>D</v>
      </c>
      <c r="E425" s="66">
        <f>VLOOKUP(B425,D!A1:C213,3,FALSE)</f>
        <v>158</v>
      </c>
      <c r="F425" s="55" t="str">
        <f>VLOOKUP(B425,'Player Data'!A1:B667,2,FALSE)</f>
        <v>UTA</v>
      </c>
      <c r="G425" s="10">
        <f>VLOOKUP(B425,'Player Data'!A1:D667,3,FALSE)</f>
        <v>25</v>
      </c>
      <c r="H425" s="50">
        <f>IFERROR(VLOOKUP(B425,ADP!A1:G665,7,FALSE)/1000000,VLOOKUP(B425,ADP!A1:G665,7,FALSE))</f>
        <v>2</v>
      </c>
      <c r="I425" s="51">
        <f>IF(Settings!$E$15="POINTS",((R425*Q425)*Settings!$B$12)+(S425*Settings!$B$2)+(T425*Settings!$B$3)+(U425*Settings!$B$4)+(V425*Settings!$B$5)+(X425*Settings!$B$9)+(AA425*Settings!$B$6)+(W425*Settings!$B$8)+(AB425*Settings!$B$7)+(AC425*Settings!$B$14)+(AD425*Settings!$B$15)+(AE425*Settings!$B$16)+(AF425*Settings!$B$17)+(AG425*Settings!$B$18)+(U425*Settings!$B$13)+(Y425*Settings!$B$10)+(Z425*Settings!$B$11),VLOOKUP(B425,'Standard Deviations'!A1:C666,3,FALSE))</f>
        <v>141.65507691405466</v>
      </c>
      <c r="J425" s="52">
        <f>IF(D425="G",I425/AJ425,I425/Q425)</f>
        <v>1.9758013378067463</v>
      </c>
      <c r="K425" s="51">
        <f>VLOOKUP(B425,D!A1:F213,6,FALSE)</f>
        <v>-194.57904813154025</v>
      </c>
      <c r="L425" s="53">
        <f>IFERROR(K425/H425,"N/A")</f>
        <v>-97.289524065770124</v>
      </c>
      <c r="M425" s="83" t="str">
        <f>IF(Settings!$E$9="YAHOO",VLOOKUP(B425,ADP!A1:E665,2,FALSE),IF(Settings!$E$9="ESPN",VLOOKUP(B425,ADP!A1:E665,3,FALSE),IF(Settings!$E$9="FANTRAX",VLOOKUP(B425,ADP!A1:E665,4,FALSE),VLOOKUP(B425,ADP!A1:E665,5,FALSE))))</f>
        <v>—</v>
      </c>
      <c r="N425" s="83" t="str">
        <f>IFERROR(M425-A425,"N/A")</f>
        <v>N/A</v>
      </c>
      <c r="O425" s="54"/>
      <c r="P425" s="55" t="str">
        <f>IF(Settings!$E$27="ON",VLOOKUP(B425,ADP!A1:H665,8,FALSE)," ")</f>
        <v xml:space="preserve"> </v>
      </c>
      <c r="Q425" s="56">
        <f>IF(Settings!$E$12="YES",VLOOKUP(B425,'Player Data'!A1:E667,5,FALSE),82)</f>
        <v>71.694999999999993</v>
      </c>
      <c r="R425" s="81">
        <f>VLOOKUP(B425,'Player Data'!$A1:$AE667,6,FALSE)</f>
        <v>17.4938172103403</v>
      </c>
      <c r="S425" s="56">
        <f>VLOOKUP(B425,'Player Data'!$A1:$AE667,7,FALSE)*$Q425*IFERROR((VLOOKUP(P425,Settings!$E$28:$F$33,2,FALSE)+1),1)</f>
        <v>2.7367472997317983</v>
      </c>
      <c r="T425" s="56">
        <f>VLOOKUP(B425,'Player Data'!$A1:$AE667,8,FALSE)*$Q425*IFERROR((VLOOKUP(P425,Settings!$E$28:$F$33,2,FALSE)+1),1)</f>
        <v>16.023435352704379</v>
      </c>
      <c r="U425" s="56">
        <f>SUM(S425:T425)</f>
        <v>18.760182652436178</v>
      </c>
      <c r="V425" s="56">
        <f>VLOOKUP(B425,'Player Data'!$A1:$AE667,10,FALSE)*$Q425*IFERROR(((VLOOKUP(P425,Settings!$E$28:$F$33,2,FALSE)/2)+1),1)</f>
        <v>73.434816440399416</v>
      </c>
      <c r="W425" s="56">
        <f>VLOOKUP(B425,'Player Data'!$A1:$AE667,11,FALSE)*$Q425*IFERROR((VLOOKUP(P425,Settings!$E$28:$F$33,2,FALSE)+1),1)</f>
        <v>0.1382654147782261</v>
      </c>
      <c r="X425" s="56">
        <f>VLOOKUP(B425,'Player Data'!$A1:$AE667,12,FALSE)*$Q425*IFERROR((VLOOKUP(P425,Settings!$E$28:$F$33,2,FALSE)+1),1)</f>
        <v>1.9518565967334112</v>
      </c>
      <c r="Y425" s="56">
        <f>VLOOKUP(B425,'Player Data'!$A1:$AE667,13,FALSE)*$Q425</f>
        <v>1.9205491077804761E-2</v>
      </c>
      <c r="Z425" s="56">
        <f>VLOOKUP(B425,'Player Data'!$A1:$AE667,14,FALSE)*$Q425</f>
        <v>9.4121089031493035E-2</v>
      </c>
      <c r="AA425" s="56">
        <f>VLOOKUP(B425,'Player Data'!$A1:$AE667,15,FALSE)*$Q425</f>
        <v>93.222286101563085</v>
      </c>
      <c r="AB425" s="56">
        <f>VLOOKUP(B425,'Player Data'!$A1:$AE667,16,FALSE)*$Q425</f>
        <v>72.730932919219072</v>
      </c>
      <c r="AC425" s="56">
        <f>VLOOKUP(B425,'Player Data'!$A1:$AE667,17,FALSE)*$Q425*IFERROR((VLOOKUP(P425,Settings!$E$28:$F$33,2,FALSE)+1),1)</f>
        <v>1.860380851895044</v>
      </c>
      <c r="AD425" s="56">
        <f>VLOOKUP(B425,'Player Data'!$A1:$AE667,18,FALSE)*$Q425</f>
        <v>28.55896800953029</v>
      </c>
      <c r="AE425" s="56">
        <f>VLOOKUP(B425,'Player Data'!$A1:$AE667,19,FALSE)*$Q425*IFERROR((VLOOKUP(P425,Settings!$E$28:$F$33,2,FALSE)+1),1)</f>
        <v>0.40046657073376402</v>
      </c>
      <c r="AF425" s="56">
        <f>VLOOKUP(B425,'Player Data'!$A1:$AE667,20,FALSE)*$Q425</f>
        <v>0</v>
      </c>
      <c r="AG425" s="56">
        <f>VLOOKUP(B425,'Player Data'!$A1:$AE667,21,FALSE)*$Q425</f>
        <v>0</v>
      </c>
      <c r="AH425" s="58">
        <f>VLOOKUP(B425,'Player Data'!$A1:$AE667,22,FALSE)</f>
        <v>0</v>
      </c>
      <c r="AI425" s="54"/>
      <c r="AJ425" s="64"/>
      <c r="AK425" s="56"/>
      <c r="AL425" s="56"/>
      <c r="AM425" s="56"/>
      <c r="AN425" s="56"/>
      <c r="AO425" s="56"/>
      <c r="AP425" s="56"/>
      <c r="AQ425" s="59"/>
      <c r="AR425" s="60"/>
      <c r="AS425" s="54"/>
    </row>
    <row r="426" spans="1:45" ht="21.25" customHeight="1" x14ac:dyDescent="0.15">
      <c r="A426" s="45">
        <f>RANK(K426,K$1:K$665)</f>
        <v>425</v>
      </c>
      <c r="B426" s="9" t="s">
        <v>551</v>
      </c>
      <c r="C426" s="46" t="s">
        <v>127</v>
      </c>
      <c r="D426" s="47" t="str">
        <f>VLOOKUP(B426,'Player Data'!A1:D667,4,FALSE)</f>
        <v>C</v>
      </c>
      <c r="E426" s="48">
        <f>VLOOKUP(B426,'C'!A1:C206,3,FALSE)</f>
        <v>115</v>
      </c>
      <c r="F426" s="72" t="str">
        <f>VLOOKUP(B426,'Player Data'!A1:B667,2,FALSE)</f>
        <v>NYI</v>
      </c>
      <c r="G426" s="63">
        <f>VLOOKUP(B426,'Player Data'!A1:D667,3,FALSE)</f>
        <v>31</v>
      </c>
      <c r="H426" s="50">
        <f>IFERROR(VLOOKUP(B426,ADP!A1:G665,7,FALSE)/1000000,VLOOKUP(B426,ADP!A1:G665,7,FALSE))</f>
        <v>5</v>
      </c>
      <c r="I426" s="51">
        <f>IF(Settings!$E$15="POINTS",((R426*Q426)*Settings!$B$12)+(S426*Settings!$B$2)+(T426*Settings!$B$3)+(U426*Settings!$B$4)+(V426*Settings!$B$5)+(X426*Settings!$B$9)+(AA426*Settings!$B$6)+(W426*Settings!$B$8)+(AB426*Settings!$B$7)+(AC426*Settings!$B$14)+(AD426*Settings!$B$15)+(AE426*Settings!$B$16)+(AF426*Settings!$B$17)+(AG426*Settings!$B$18)+(Y426*Settings!$B$10)+(Z426*Settings!$B$11),VLOOKUP(B426,'Standard Deviations'!A1:C666,3,FALSE))</f>
        <v>195.32786878619603</v>
      </c>
      <c r="J426" s="52">
        <f>IF(D426="G",I426/AJ426,I426/Q426)</f>
        <v>2.4452662592162748</v>
      </c>
      <c r="K426" s="51">
        <f>IF(Settings!$E$18="C/LW/RW",VLOOKUP(B426,'C'!A1:F206,6,FALSE),VLOOKUP(B426,F!A1:F392,6,FALSE))</f>
        <v>-194.60928899188505</v>
      </c>
      <c r="L426" s="53">
        <f>IFERROR(K426/H426,"N/A")</f>
        <v>-38.921857798377012</v>
      </c>
      <c r="M426" s="83" t="str">
        <f>IF(Settings!$E$9="YAHOO",VLOOKUP(B426,ADP!A1:E665,2,FALSE),IF(Settings!$E$9="ESPN",VLOOKUP(B426,ADP!A1:E665,3,FALSE),IF(Settings!$E$9="FANTRAX",VLOOKUP(B426,ADP!A1:E665,4,FALSE),VLOOKUP(B426,ADP!A1:E665,5,FALSE))))</f>
        <v>—</v>
      </c>
      <c r="N426" s="83" t="str">
        <f>IFERROR(M426-A426,"N/A")</f>
        <v>N/A</v>
      </c>
      <c r="O426" s="54"/>
      <c r="P426" s="55" t="str">
        <f>IF(Settings!$E$27="ON",VLOOKUP(B426,ADP!A1:H665,8,FALSE)," ")</f>
        <v xml:space="preserve"> </v>
      </c>
      <c r="Q426" s="56">
        <f>IF(Settings!$E$12="YES",VLOOKUP(B426,'Player Data'!A1:E667,5,FALSE),82)</f>
        <v>79.88</v>
      </c>
      <c r="R426" s="54">
        <f>VLOOKUP(B426,'Player Data'!$A1:$AE667,6,FALSE)</f>
        <v>15.722813395387201</v>
      </c>
      <c r="S426" s="56">
        <f>VLOOKUP(B426,'Player Data'!$A1:$AE667,7,FALSE)*$Q426*IFERROR((VLOOKUP(P426,Settings!$E$28:$F$33,2,FALSE)+1),1)</f>
        <v>11.150895678256211</v>
      </c>
      <c r="T426" s="56">
        <f>VLOOKUP(B426,'Player Data'!$A1:$AE667,8,FALSE)*$Q426*IFERROR((VLOOKUP(P426,Settings!$E$28:$F$33,2,FALSE)+1),1)</f>
        <v>21.494937231992765</v>
      </c>
      <c r="U426" s="56">
        <f>SUM(S426:T426)</f>
        <v>32.645832910248977</v>
      </c>
      <c r="V426" s="56">
        <f>VLOOKUP(B426,'Player Data'!$A1:$AE667,10,FALSE)*$Q426*IFERROR(((VLOOKUP(P426,Settings!$E$28:$F$33,2,FALSE)/2)+1),1)</f>
        <v>106.40596673836286</v>
      </c>
      <c r="W426" s="56">
        <f>VLOOKUP(B426,'Player Data'!$A1:$AE667,11,FALSE)*$Q426*IFERROR((VLOOKUP(P426,Settings!$E$28:$F$33,2,FALSE)+1),1)</f>
        <v>2.0909328458544474</v>
      </c>
      <c r="X426" s="56">
        <f>VLOOKUP(B426,'Player Data'!$A1:$AE667,12,FALSE)*$Q426*IFERROR((VLOOKUP(P426,Settings!$E$28:$F$33,2,FALSE)+1),1)</f>
        <v>4.1518455608551159</v>
      </c>
      <c r="Y426" s="56">
        <f>VLOOKUP(B426,'Player Data'!$A1:$AE667,13,FALSE)*$Q426</f>
        <v>1.2865125037476943</v>
      </c>
      <c r="Z426" s="56">
        <f>VLOOKUP(B426,'Player Data'!$A1:$AE667,14,FALSE)*$Q426</f>
        <v>4.4981109311958889</v>
      </c>
      <c r="AA426" s="56">
        <f>VLOOKUP(B426,'Player Data'!$A1:$AE667,15,FALSE)*$Q426</f>
        <v>71.074860388433308</v>
      </c>
      <c r="AB426" s="56">
        <f>VLOOKUP(B426,'Player Data'!$A1:$AE667,16,FALSE)*$Q426</f>
        <v>168.00652906073665</v>
      </c>
      <c r="AC426" s="56">
        <f>VLOOKUP(B426,'Player Data'!$A1:$AE667,17,FALSE)*$Q426*IFERROR((VLOOKUP(P426,Settings!$E$28:$F$33,2,FALSE)+1),1)</f>
        <v>1.1542959026411763</v>
      </c>
      <c r="AD426" s="56">
        <f>VLOOKUP(B426,'Player Data'!$A1:$AE667,18,FALSE)*$Q426</f>
        <v>20.089122673995146</v>
      </c>
      <c r="AE426" s="56">
        <f>VLOOKUP(B426,'Player Data'!$A1:$AE667,19,FALSE)*$Q426*IFERROR((VLOOKUP(P426,Settings!$E$28:$F$33,2,FALSE)+1),1)</f>
        <v>1.7524629253837185</v>
      </c>
      <c r="AF426" s="56">
        <f>VLOOKUP(B426,'Player Data'!$A1:$AE667,20,FALSE)*$Q426</f>
        <v>674.30602967557422</v>
      </c>
      <c r="AG426" s="56">
        <f>VLOOKUP(B426,'Player Data'!$A1:$AE667,21,FALSE)*$Q426</f>
        <v>529.3353623722976</v>
      </c>
      <c r="AH426" s="58">
        <f>VLOOKUP(B426,'Player Data'!$A1:$AE667,22,FALSE)</f>
        <v>0.56022170235298396</v>
      </c>
      <c r="AI426" s="54"/>
      <c r="AJ426" s="64"/>
      <c r="AK426" s="56"/>
      <c r="AL426" s="56"/>
      <c r="AM426" s="56"/>
      <c r="AN426" s="56"/>
      <c r="AO426" s="56"/>
      <c r="AP426" s="56"/>
      <c r="AQ426" s="59"/>
      <c r="AR426" s="60"/>
      <c r="AS426" s="54"/>
    </row>
    <row r="427" spans="1:45" ht="21.25" customHeight="1" x14ac:dyDescent="0.15">
      <c r="A427" s="45">
        <f>RANK(K427,K$1:K$665)</f>
        <v>426</v>
      </c>
      <c r="B427" s="9" t="s">
        <v>552</v>
      </c>
      <c r="C427" s="46" t="s">
        <v>127</v>
      </c>
      <c r="D427" s="47" t="str">
        <f>VLOOKUP(B427,'Player Data'!A1:D667,4,FALSE)</f>
        <v>C/LW</v>
      </c>
      <c r="E427" s="68">
        <f>VLOOKUP(B427,LW!A1:C152,3,FALSE)</f>
        <v>101</v>
      </c>
      <c r="F427" s="82" t="str">
        <f>VLOOKUP(B427,'Player Data'!A1:B667,2,FALSE)</f>
        <v>ANA</v>
      </c>
      <c r="G427" s="63">
        <f>VLOOKUP(B427,'Player Data'!A1:D667,3,FALSE)</f>
        <v>31</v>
      </c>
      <c r="H427" s="50">
        <f>IFERROR(VLOOKUP(B427,ADP!A1:G665,7,FALSE)/1000000,VLOOKUP(B427,ADP!A1:G665,7,FALSE))</f>
        <v>5</v>
      </c>
      <c r="I427" s="51">
        <f>IF(Settings!$E$15="POINTS",((R427*Q427)*Settings!$B$12)+(S427*Settings!$B$2)+(T427*Settings!$B$3)+(U427*Settings!$B$4)+(V427*Settings!$B$5)+(X427*Settings!$B$9)+(AA427*Settings!$B$6)+(W427*Settings!$B$8)+(AB427*Settings!$B$7)+(AC427*Settings!$B$14)+(AD427*Settings!$B$15)+(AE427*Settings!$B$16)+(AF427*Settings!$B$17)+(AG427*Settings!$B$18)+(Y427*Settings!$B$10)+(Z427*Settings!$B$11),VLOOKUP(B427,'Standard Deviations'!A1:C666,3,FALSE))</f>
        <v>185.67361955513027</v>
      </c>
      <c r="J427" s="52">
        <f>IF(D427="G",I427/AJ427,I427/Q427)</f>
        <v>2.3008596245872579</v>
      </c>
      <c r="K427" s="51">
        <f>IF(Settings!$E$18="C/LW/RW",VLOOKUP(B427,LW!A1:F152,6,FALSE),VLOOKUP(B427,F!A1:F392,6,FALSE))</f>
        <v>-195.38789274736948</v>
      </c>
      <c r="L427" s="53">
        <f>IFERROR(K427/H427,"N/A")</f>
        <v>-39.077578549473898</v>
      </c>
      <c r="M427" s="83" t="str">
        <f>IF(Settings!$E$9="YAHOO",VLOOKUP(B427,ADP!A1:E665,2,FALSE),IF(Settings!$E$9="ESPN",VLOOKUP(B427,ADP!A1:E665,3,FALSE),IF(Settings!$E$9="FANTRAX",VLOOKUP(B427,ADP!A1:E665,4,FALSE),VLOOKUP(B427,ADP!A1:E665,5,FALSE))))</f>
        <v>—</v>
      </c>
      <c r="N427" s="83" t="str">
        <f>IFERROR(M427-A427,"N/A")</f>
        <v>N/A</v>
      </c>
      <c r="O427" s="54"/>
      <c r="P427" s="55" t="str">
        <f>IF(Settings!$E$27="ON",VLOOKUP(B427,ADP!A1:H665,8,FALSE)," ")</f>
        <v xml:space="preserve"> </v>
      </c>
      <c r="Q427" s="56">
        <f>IF(Settings!$E$12="YES",VLOOKUP(B427,'Player Data'!A1:E667,5,FALSE),82)</f>
        <v>80.697500000000005</v>
      </c>
      <c r="R427" s="81">
        <f>VLOOKUP(B427,'Player Data'!$A1:$AE667,6,FALSE)</f>
        <v>14.6755476813389</v>
      </c>
      <c r="S427" s="56">
        <f>VLOOKUP(B427,'Player Data'!$A1:$AE667,7,FALSE)*$Q427*IFERROR((VLOOKUP(P427,Settings!$E$28:$F$33,2,FALSE)+1),1)</f>
        <v>11.558181344994946</v>
      </c>
      <c r="T427" s="56">
        <f>VLOOKUP(B427,'Player Data'!$A1:$AE667,8,FALSE)*$Q427*IFERROR((VLOOKUP(P427,Settings!$E$28:$F$33,2,FALSE)+1),1)</f>
        <v>23.443636645135896</v>
      </c>
      <c r="U427" s="56">
        <f>SUM(S427:T427)</f>
        <v>35.001817990130846</v>
      </c>
      <c r="V427" s="56">
        <f>VLOOKUP(B427,'Player Data'!$A1:$AE667,10,FALSE)*$Q427*IFERROR(((VLOOKUP(P427,Settings!$E$28:$F$33,2,FALSE)/2)+1),1)</f>
        <v>124.21961837039483</v>
      </c>
      <c r="W427" s="56">
        <f>VLOOKUP(B427,'Player Data'!$A1:$AE667,11,FALSE)*$Q427*IFERROR((VLOOKUP(P427,Settings!$E$28:$F$33,2,FALSE)+1),1)</f>
        <v>1.6109912222530209</v>
      </c>
      <c r="X427" s="56">
        <f>VLOOKUP(B427,'Player Data'!$A1:$AE667,12,FALSE)*$Q427*IFERROR((VLOOKUP(P427,Settings!$E$28:$F$33,2,FALSE)+1),1)</f>
        <v>6.946985591244708</v>
      </c>
      <c r="Y427" s="56">
        <f>VLOOKUP(B427,'Player Data'!$A1:$AE667,13,FALSE)*$Q427</f>
        <v>0.16244612456119104</v>
      </c>
      <c r="Z427" s="56">
        <f>VLOOKUP(B427,'Player Data'!$A1:$AE667,14,FALSE)*$Q427</f>
        <v>0.21535137541916979</v>
      </c>
      <c r="AA427" s="56">
        <f>VLOOKUP(B427,'Player Data'!$A1:$AE667,15,FALSE)*$Q427</f>
        <v>22.79203886575295</v>
      </c>
      <c r="AB427" s="56">
        <f>VLOOKUP(B427,'Player Data'!$A1:$AE667,16,FALSE)*$Q427</f>
        <v>54.223202507765976</v>
      </c>
      <c r="AC427" s="56">
        <f>VLOOKUP(B427,'Player Data'!$A1:$AE667,17,FALSE)*$Q427*IFERROR((VLOOKUP(P427,Settings!$E$28:$F$33,2,FALSE)+1),1)</f>
        <v>-7.9367500579429242</v>
      </c>
      <c r="AD427" s="56">
        <f>VLOOKUP(B427,'Player Data'!$A1:$AE667,18,FALSE)*$Q427</f>
        <v>56.719343819462999</v>
      </c>
      <c r="AE427" s="56">
        <f>VLOOKUP(B427,'Player Data'!$A1:$AE667,19,FALSE)*$Q427*IFERROR((VLOOKUP(P427,Settings!$E$28:$F$33,2,FALSE)+1),1)</f>
        <v>1.3472164086483578</v>
      </c>
      <c r="AF427" s="56">
        <f>VLOOKUP(B427,'Player Data'!$A1:$AE667,20,FALSE)*$Q427</f>
        <v>246.68391508208154</v>
      </c>
      <c r="AG427" s="56">
        <f>VLOOKUP(B427,'Player Data'!$A1:$AE667,21,FALSE)*$Q427</f>
        <v>303.09642305060117</v>
      </c>
      <c r="AH427" s="58">
        <f>VLOOKUP(B427,'Player Data'!$A1:$AE667,22,FALSE)</f>
        <v>0.44869541155280002</v>
      </c>
      <c r="AI427" s="54"/>
      <c r="AJ427" s="64"/>
      <c r="AK427" s="56"/>
      <c r="AL427" s="56"/>
      <c r="AM427" s="56"/>
      <c r="AN427" s="56"/>
      <c r="AO427" s="56"/>
      <c r="AP427" s="56"/>
      <c r="AQ427" s="59"/>
      <c r="AR427" s="60"/>
      <c r="AS427" s="54"/>
    </row>
    <row r="428" spans="1:45" ht="21.25" customHeight="1" x14ac:dyDescent="0.15">
      <c r="A428" s="45">
        <f>RANK(K428,K$1:K$665)</f>
        <v>427</v>
      </c>
      <c r="B428" s="9" t="s">
        <v>553</v>
      </c>
      <c r="C428" s="46" t="s">
        <v>127</v>
      </c>
      <c r="D428" s="47" t="str">
        <f>VLOOKUP(B428,'Player Data'!A1:D667,4,FALSE)</f>
        <v>C</v>
      </c>
      <c r="E428" s="48">
        <f>VLOOKUP(B428,'C'!A1:C206,3,FALSE)</f>
        <v>116</v>
      </c>
      <c r="F428" s="65" t="str">
        <f>VLOOKUP(B428,'Player Data'!A1:B667,2,FALSE)</f>
        <v>FLA</v>
      </c>
      <c r="G428" s="10">
        <f>VLOOKUP(B428,'Player Data'!A1:D667,3,FALSE)</f>
        <v>26</v>
      </c>
      <c r="H428" s="50">
        <f>IFERROR(VLOOKUP(B428,ADP!A1:G665,7,FALSE)/1000000,VLOOKUP(B428,ADP!A1:G665,7,FALSE))</f>
        <v>3</v>
      </c>
      <c r="I428" s="51">
        <f>IF(Settings!$E$15="POINTS",((R428*Q428)*Settings!$B$12)+(S428*Settings!$B$2)+(T428*Settings!$B$3)+(U428*Settings!$B$4)+(V428*Settings!$B$5)+(X428*Settings!$B$9)+(AA428*Settings!$B$6)+(W428*Settings!$B$8)+(AB428*Settings!$B$7)+(AC428*Settings!$B$14)+(AD428*Settings!$B$15)+(AE428*Settings!$B$16)+(AF428*Settings!$B$17)+(AG428*Settings!$B$18)+(Y428*Settings!$B$10)+(Z428*Settings!$B$11),VLOOKUP(B428,'Standard Deviations'!A1:C666,3,FALSE))</f>
        <v>194.34144012010756</v>
      </c>
      <c r="J428" s="52">
        <f>IF(D428="G",I428/AJ428,I428/Q428)</f>
        <v>2.3807600161718434</v>
      </c>
      <c r="K428" s="51">
        <f>IF(Settings!$E$18="C/LW/RW",VLOOKUP(B428,'C'!A1:F206,6,FALSE),VLOOKUP(B428,F!A1:F392,6,FALSE))</f>
        <v>-195.59571765797352</v>
      </c>
      <c r="L428" s="53">
        <f>IFERROR(K428/H428,"N/A")</f>
        <v>-65.198572552657836</v>
      </c>
      <c r="M428" s="83" t="str">
        <f>IF(Settings!$E$9="YAHOO",VLOOKUP(B428,ADP!A1:E665,2,FALSE),IF(Settings!$E$9="ESPN",VLOOKUP(B428,ADP!A1:E665,3,FALSE),IF(Settings!$E$9="FANTRAX",VLOOKUP(B428,ADP!A1:E665,4,FALSE),VLOOKUP(B428,ADP!A1:E665,5,FALSE))))</f>
        <v>—</v>
      </c>
      <c r="N428" s="83" t="str">
        <f>IFERROR(M428-A428,"N/A")</f>
        <v>N/A</v>
      </c>
      <c r="O428" s="54"/>
      <c r="P428" s="55" t="str">
        <f>IF(Settings!$E$27="ON",VLOOKUP(B428,ADP!A1:H665,8,FALSE)," ")</f>
        <v xml:space="preserve"> </v>
      </c>
      <c r="Q428" s="56">
        <f>IF(Settings!$E$12="YES",VLOOKUP(B428,'Player Data'!A1:E667,5,FALSE),82)</f>
        <v>81.63</v>
      </c>
      <c r="R428" s="54">
        <f>VLOOKUP(B428,'Player Data'!$A1:$AE667,6,FALSE)</f>
        <v>15.913239998809701</v>
      </c>
      <c r="S428" s="56">
        <f>VLOOKUP(B428,'Player Data'!$A1:$AE667,7,FALSE)*$Q428*IFERROR((VLOOKUP(P428,Settings!$E$28:$F$33,2,FALSE)+1),1)</f>
        <v>13.898693906510657</v>
      </c>
      <c r="T428" s="56">
        <f>VLOOKUP(B428,'Player Data'!$A1:$AE667,8,FALSE)*$Q428*IFERROR((VLOOKUP(P428,Settings!$E$28:$F$33,2,FALSE)+1),1)</f>
        <v>20.464513163751462</v>
      </c>
      <c r="U428" s="56">
        <f>SUM(S428:T428)</f>
        <v>34.363207070262121</v>
      </c>
      <c r="V428" s="56">
        <f>VLOOKUP(B428,'Player Data'!$A1:$AE667,10,FALSE)*$Q428*IFERROR(((VLOOKUP(P428,Settings!$E$28:$F$33,2,FALSE)/2)+1),1)</f>
        <v>122.24458859253508</v>
      </c>
      <c r="W428" s="56">
        <f>VLOOKUP(B428,'Player Data'!$A1:$AE667,11,FALSE)*$Q428*IFERROR((VLOOKUP(P428,Settings!$E$28:$F$33,2,FALSE)+1),1)</f>
        <v>1.0778558863667298</v>
      </c>
      <c r="X428" s="56">
        <f>VLOOKUP(B428,'Player Data'!$A1:$AE667,12,FALSE)*$Q428*IFERROR((VLOOKUP(P428,Settings!$E$28:$F$33,2,FALSE)+1),1)</f>
        <v>2.0007961026444296</v>
      </c>
      <c r="Y428" s="56">
        <f>VLOOKUP(B428,'Player Data'!$A1:$AE667,13,FALSE)*$Q428</f>
        <v>0.38691876777227197</v>
      </c>
      <c r="Z428" s="56">
        <f>VLOOKUP(B428,'Player Data'!$A1:$AE667,14,FALSE)*$Q428</f>
        <v>1.0758751472463619</v>
      </c>
      <c r="AA428" s="56">
        <f>VLOOKUP(B428,'Player Data'!$A1:$AE667,15,FALSE)*$Q428</f>
        <v>54.105706726325693</v>
      </c>
      <c r="AB428" s="56">
        <f>VLOOKUP(B428,'Player Data'!$A1:$AE667,16,FALSE)*$Q428</f>
        <v>111.52189313001404</v>
      </c>
      <c r="AC428" s="56">
        <f>VLOOKUP(B428,'Player Data'!$A1:$AE667,17,FALSE)*$Q428*IFERROR((VLOOKUP(P428,Settings!$E$28:$F$33,2,FALSE)+1),1)</f>
        <v>5.051817597259288</v>
      </c>
      <c r="AD428" s="56">
        <f>VLOOKUP(B428,'Player Data'!$A1:$AE667,18,FALSE)*$Q428</f>
        <v>26.1518962068536</v>
      </c>
      <c r="AE428" s="56">
        <f>VLOOKUP(B428,'Player Data'!$A1:$AE667,19,FALSE)*$Q428*IFERROR((VLOOKUP(P428,Settings!$E$28:$F$33,2,FALSE)+1),1)</f>
        <v>2.3678055462848082</v>
      </c>
      <c r="AF428" s="56">
        <f>VLOOKUP(B428,'Player Data'!$A1:$AE667,20,FALSE)*$Q428</f>
        <v>145.27067949698349</v>
      </c>
      <c r="AG428" s="56">
        <f>VLOOKUP(B428,'Player Data'!$A1:$AE667,21,FALSE)*$Q428</f>
        <v>166.49619189975144</v>
      </c>
      <c r="AH428" s="58">
        <f>VLOOKUP(B428,'Player Data'!$A1:$AE667,22,FALSE)</f>
        <v>0.46595932032855902</v>
      </c>
      <c r="AI428" s="54"/>
      <c r="AJ428" s="56"/>
      <c r="AK428" s="56"/>
      <c r="AL428" s="56"/>
      <c r="AM428" s="56"/>
      <c r="AN428" s="56"/>
      <c r="AO428" s="56"/>
      <c r="AP428" s="56"/>
      <c r="AQ428" s="59"/>
      <c r="AR428" s="60"/>
      <c r="AS428" s="54"/>
    </row>
    <row r="429" spans="1:45" ht="21.25" customHeight="1" x14ac:dyDescent="0.15">
      <c r="A429" s="45">
        <f>RANK(K429,K$1:K$665)</f>
        <v>428</v>
      </c>
      <c r="B429" s="9" t="s">
        <v>554</v>
      </c>
      <c r="C429" s="46" t="s">
        <v>127</v>
      </c>
      <c r="D429" s="47" t="str">
        <f>VLOOKUP(B429,'Player Data'!A1:D667,4,FALSE)</f>
        <v>D</v>
      </c>
      <c r="E429" s="66">
        <f>VLOOKUP(B429,D!A1:C213,3,FALSE)</f>
        <v>159</v>
      </c>
      <c r="F429" s="62" t="str">
        <f>VLOOKUP(B429,'Player Data'!A1:B667,2,FALSE)</f>
        <v>OTT</v>
      </c>
      <c r="G429" s="63">
        <f>VLOOKUP(B429,'Player Data'!A1:D667,3,FALSE)</f>
        <v>34</v>
      </c>
      <c r="H429" s="67">
        <f>IFERROR(VLOOKUP(B429,ADP!A1:G665,7,FALSE)/1000000,VLOOKUP(B429,ADP!A1:G665,7,FALSE))</f>
        <v>1.1000000000000001</v>
      </c>
      <c r="I429" s="51">
        <f>IF(Settings!$E$15="POINTS",((R429*Q429)*Settings!$B$12)+(S429*Settings!$B$2)+(T429*Settings!$B$3)+(U429*Settings!$B$4)+(V429*Settings!$B$5)+(X429*Settings!$B$9)+(AA429*Settings!$B$6)+(W429*Settings!$B$8)+(AB429*Settings!$B$7)+(AC429*Settings!$B$14)+(AD429*Settings!$B$15)+(AE429*Settings!$B$16)+(AF429*Settings!$B$17)+(AG429*Settings!$B$18)+(U429*Settings!$B$13)+(Y429*Settings!$B$10)+(Z429*Settings!$B$11),VLOOKUP(B429,'Standard Deviations'!A1:C666,3,FALSE))</f>
        <v>140.56995490374649</v>
      </c>
      <c r="J429" s="52">
        <f>IF(D429="G",I429/AJ429,I429/Q429)</f>
        <v>1.9761705957719258</v>
      </c>
      <c r="K429" s="51">
        <f>VLOOKUP(B429,D!A1:F213,6,FALSE)</f>
        <v>-195.66417014184842</v>
      </c>
      <c r="L429" s="53">
        <f>IFERROR(K429/H429,"N/A")</f>
        <v>-177.87651831077127</v>
      </c>
      <c r="M429" s="83" t="str">
        <f>IF(Settings!$E$9="YAHOO",VLOOKUP(B429,ADP!A1:E665,2,FALSE),IF(Settings!$E$9="ESPN",VLOOKUP(B429,ADP!A1:E665,3,FALSE),IF(Settings!$E$9="FANTRAX",VLOOKUP(B429,ADP!A1:E665,4,FALSE),VLOOKUP(B429,ADP!A1:E665,5,FALSE))))</f>
        <v>—</v>
      </c>
      <c r="N429" s="83" t="str">
        <f>IFERROR(M429-A429,"N/A")</f>
        <v>N/A</v>
      </c>
      <c r="O429" s="54"/>
      <c r="P429" s="55" t="str">
        <f>IF(Settings!$E$27="ON",VLOOKUP(B429,ADP!A1:H665,8,FALSE)," ")</f>
        <v xml:space="preserve"> </v>
      </c>
      <c r="Q429" s="56">
        <f>IF(Settings!$E$12="YES",VLOOKUP(B429,'Player Data'!A1:E667,5,FALSE),82)</f>
        <v>71.132499999999993</v>
      </c>
      <c r="R429" s="75">
        <f>VLOOKUP(B429,'Player Data'!$A1:$AE667,6,FALSE)</f>
        <v>15.866041551109401</v>
      </c>
      <c r="S429" s="56">
        <f>VLOOKUP(B429,'Player Data'!$A1:$AE667,7,FALSE)*$Q429*IFERROR((VLOOKUP(P429,Settings!$E$28:$F$33,2,FALSE)+1),1)</f>
        <v>3.9699452534691515</v>
      </c>
      <c r="T429" s="56">
        <f>VLOOKUP(B429,'Player Data'!$A1:$AE667,8,FALSE)*$Q429*IFERROR((VLOOKUP(P429,Settings!$E$28:$F$33,2,FALSE)+1),1)</f>
        <v>9.0942999207572992</v>
      </c>
      <c r="U429" s="56">
        <f>SUM(S429:T429)</f>
        <v>13.06424517422645</v>
      </c>
      <c r="V429" s="56">
        <f>VLOOKUP(B429,'Player Data'!$A1:$AE667,10,FALSE)*$Q429*IFERROR(((VLOOKUP(P429,Settings!$E$28:$F$33,2,FALSE)/2)+1),1)</f>
        <v>92.199426556705362</v>
      </c>
      <c r="W429" s="56">
        <f>VLOOKUP(B429,'Player Data'!$A1:$AE667,11,FALSE)*$Q429*IFERROR((VLOOKUP(P429,Settings!$E$28:$F$33,2,FALSE)+1),1)</f>
        <v>1.4222122902410971E-2</v>
      </c>
      <c r="X429" s="56">
        <f>VLOOKUP(B429,'Player Data'!$A1:$AE667,12,FALSE)*$Q429*IFERROR((VLOOKUP(P429,Settings!$E$28:$F$33,2,FALSE)+1),1)</f>
        <v>0.12119640645180844</v>
      </c>
      <c r="Y429" s="56">
        <f>VLOOKUP(B429,'Player Data'!$A1:$AE667,13,FALSE)*$Q429</f>
        <v>1.5884042375360289E-2</v>
      </c>
      <c r="Z429" s="56">
        <f>VLOOKUP(B429,'Player Data'!$A1:$AE667,14,FALSE)*$Q429</f>
        <v>0.41888418381744441</v>
      </c>
      <c r="AA429" s="56">
        <f>VLOOKUP(B429,'Player Data'!$A1:$AE667,15,FALSE)*$Q429</f>
        <v>109.4748510248904</v>
      </c>
      <c r="AB429" s="56">
        <f>VLOOKUP(B429,'Player Data'!$A1:$AE667,16,FALSE)*$Q429</f>
        <v>92.651329189438044</v>
      </c>
      <c r="AC429" s="56">
        <f>VLOOKUP(B429,'Player Data'!$A1:$AE667,17,FALSE)*$Q429*IFERROR((VLOOKUP(P429,Settings!$E$28:$F$33,2,FALSE)+1),1)</f>
        <v>-2.7580054449246147</v>
      </c>
      <c r="AD429" s="56">
        <f>VLOOKUP(B429,'Player Data'!$A1:$AE667,18,FALSE)*$Q429</f>
        <v>38.45519428304916</v>
      </c>
      <c r="AE429" s="56">
        <f>VLOOKUP(B429,'Player Data'!$A1:$AE667,19,FALSE)*$Q429*IFERROR((VLOOKUP(P429,Settings!$E$28:$F$33,2,FALSE)+1),1)</f>
        <v>0.61639052966364738</v>
      </c>
      <c r="AF429" s="56">
        <f>VLOOKUP(B429,'Player Data'!$A1:$AE667,20,FALSE)*$Q429</f>
        <v>0</v>
      </c>
      <c r="AG429" s="56">
        <f>VLOOKUP(B429,'Player Data'!$A1:$AE667,21,FALSE)*$Q429</f>
        <v>3.7173712908257992E-5</v>
      </c>
      <c r="AH429" s="58">
        <f>VLOOKUP(B429,'Player Data'!$A1:$AE667,22,FALSE)</f>
        <v>0</v>
      </c>
      <c r="AI429" s="54"/>
      <c r="AJ429" s="56"/>
      <c r="AK429" s="56"/>
      <c r="AL429" s="56"/>
      <c r="AM429" s="56"/>
      <c r="AN429" s="56"/>
      <c r="AO429" s="56"/>
      <c r="AP429" s="56"/>
      <c r="AQ429" s="59"/>
      <c r="AR429" s="60"/>
      <c r="AS429" s="54"/>
    </row>
    <row r="430" spans="1:45" ht="21.25" customHeight="1" x14ac:dyDescent="0.15">
      <c r="A430" s="45">
        <f>RANK(K430,K$1:K$665)</f>
        <v>429</v>
      </c>
      <c r="B430" s="9" t="s">
        <v>555</v>
      </c>
      <c r="C430" s="46" t="s">
        <v>127</v>
      </c>
      <c r="D430" s="47" t="str">
        <f>VLOOKUP(B430,'Player Data'!A1:D667,4,FALSE)</f>
        <v>D</v>
      </c>
      <c r="E430" s="66">
        <f>VLOOKUP(B430,D!A1:C213,3,FALSE)</f>
        <v>160</v>
      </c>
      <c r="F430" s="77" t="str">
        <f>VLOOKUP(B430,'Player Data'!A1:B667,2,FALSE)</f>
        <v>S.J</v>
      </c>
      <c r="G430" s="63">
        <f>VLOOKUP(B430,'Player Data'!A1:D667,3,FALSE)</f>
        <v>34</v>
      </c>
      <c r="H430" s="67">
        <f>IFERROR(VLOOKUP(B430,ADP!A1:G665,7,FALSE)/1000000,VLOOKUP(B430,ADP!A1:G665,7,FALSE))</f>
        <v>2.75</v>
      </c>
      <c r="I430" s="51">
        <f>IF(Settings!$E$15="POINTS",((R430*Q430)*Settings!$B$12)+(S430*Settings!$B$2)+(T430*Settings!$B$3)+(U430*Settings!$B$4)+(V430*Settings!$B$5)+(X430*Settings!$B$9)+(AA430*Settings!$B$6)+(W430*Settings!$B$8)+(AB430*Settings!$B$7)+(AC430*Settings!$B$14)+(AD430*Settings!$B$15)+(AE430*Settings!$B$16)+(AF430*Settings!$B$17)+(AG430*Settings!$B$18)+(U430*Settings!$B$13)+(Y430*Settings!$B$10)+(Z430*Settings!$B$11),VLOOKUP(B430,'Standard Deviations'!A1:C666,3,FALSE))</f>
        <v>140.40545714202622</v>
      </c>
      <c r="J430" s="52">
        <f>IF(D430="G",I430/AJ430,I430/Q430)</f>
        <v>1.8585056704990399</v>
      </c>
      <c r="K430" s="51">
        <f>VLOOKUP(B430,D!A1:F213,6,FALSE)</f>
        <v>-195.82866790356869</v>
      </c>
      <c r="L430" s="53">
        <f>IFERROR(K430/H430,"N/A")</f>
        <v>-71.2104246922068</v>
      </c>
      <c r="M430" s="83" t="str">
        <f>IF(Settings!$E$9="YAHOO",VLOOKUP(B430,ADP!A1:E665,2,FALSE),IF(Settings!$E$9="ESPN",VLOOKUP(B430,ADP!A1:E665,3,FALSE),IF(Settings!$E$9="FANTRAX",VLOOKUP(B430,ADP!A1:E665,4,FALSE),VLOOKUP(B430,ADP!A1:E665,5,FALSE))))</f>
        <v>—</v>
      </c>
      <c r="N430" s="83" t="str">
        <f>IFERROR(M430-A430,"N/A")</f>
        <v>N/A</v>
      </c>
      <c r="O430" s="54"/>
      <c r="P430" s="55" t="str">
        <f>IF(Settings!$E$27="ON",VLOOKUP(B430,ADP!A1:H665,8,FALSE)," ")</f>
        <v xml:space="preserve"> </v>
      </c>
      <c r="Q430" s="56">
        <f>IF(Settings!$E$12="YES",VLOOKUP(B430,'Player Data'!A1:E667,5,FALSE),82)</f>
        <v>75.547499999999999</v>
      </c>
      <c r="R430" s="81">
        <f>VLOOKUP(B430,'Player Data'!$A1:$AE667,6,FALSE)</f>
        <v>17.9314382327549</v>
      </c>
      <c r="S430" s="56">
        <f>VLOOKUP(B430,'Player Data'!$A1:$AE667,7,FALSE)*$Q430*IFERROR((VLOOKUP(P430,Settings!$E$28:$F$33,2,FALSE)+1),1)</f>
        <v>3.6469347578496576</v>
      </c>
      <c r="T430" s="56">
        <f>VLOOKUP(B430,'Player Data'!$A1:$AE667,8,FALSE)*$Q430*IFERROR((VLOOKUP(P430,Settings!$E$28:$F$33,2,FALSE)+1),1)</f>
        <v>12.406837444499841</v>
      </c>
      <c r="U430" s="56">
        <f>SUM(S430:T430)</f>
        <v>16.053772202349499</v>
      </c>
      <c r="V430" s="56">
        <f>VLOOKUP(B430,'Player Data'!$A1:$AE667,10,FALSE)*$Q430*IFERROR(((VLOOKUP(P430,Settings!$E$28:$F$33,2,FALSE)/2)+1),1)</f>
        <v>75.462218872542337</v>
      </c>
      <c r="W430" s="56">
        <f>VLOOKUP(B430,'Player Data'!$A1:$AE667,11,FALSE)*$Q430*IFERROR((VLOOKUP(P430,Settings!$E$28:$F$33,2,FALSE)+1),1)</f>
        <v>3.8921794224956639E-2</v>
      </c>
      <c r="X430" s="56">
        <f>VLOOKUP(B430,'Player Data'!$A1:$AE667,12,FALSE)*$Q430*IFERROR((VLOOKUP(P430,Settings!$E$28:$F$33,2,FALSE)+1),1)</f>
        <v>0.25969311982071019</v>
      </c>
      <c r="Y430" s="56">
        <f>VLOOKUP(B430,'Player Data'!$A1:$AE667,13,FALSE)*$Q430</f>
        <v>2.1783508400870996E-2</v>
      </c>
      <c r="Z430" s="56">
        <f>VLOOKUP(B430,'Player Data'!$A1:$AE667,14,FALSE)*$Q430</f>
        <v>0.83771494302097094</v>
      </c>
      <c r="AA430" s="56">
        <f>VLOOKUP(B430,'Player Data'!$A1:$AE667,15,FALSE)*$Q430</f>
        <v>106.83124607172977</v>
      </c>
      <c r="AB430" s="56">
        <f>VLOOKUP(B430,'Player Data'!$A1:$AE667,16,FALSE)*$Q430</f>
        <v>85.349122043179463</v>
      </c>
      <c r="AC430" s="56">
        <f>VLOOKUP(B430,'Player Data'!$A1:$AE667,17,FALSE)*$Q430*IFERROR((VLOOKUP(P430,Settings!$E$28:$F$33,2,FALSE)+1),1)</f>
        <v>-9.5476038903931517</v>
      </c>
      <c r="AD430" s="56">
        <f>VLOOKUP(B430,'Player Data'!$A1:$AE667,18,FALSE)*$Q430</f>
        <v>37.540352995931272</v>
      </c>
      <c r="AE430" s="56">
        <f>VLOOKUP(B430,'Player Data'!$A1:$AE667,19,FALSE)*$Q430*IFERROR((VLOOKUP(P430,Settings!$E$28:$F$33,2,FALSE)+1),1)</f>
        <v>0.38952955705449183</v>
      </c>
      <c r="AF430" s="56">
        <f>VLOOKUP(B430,'Player Data'!$A1:$AE667,20,FALSE)*$Q430</f>
        <v>0</v>
      </c>
      <c r="AG430" s="56">
        <f>VLOOKUP(B430,'Player Data'!$A1:$AE667,21,FALSE)*$Q430</f>
        <v>0</v>
      </c>
      <c r="AH430" s="58">
        <f>VLOOKUP(B430,'Player Data'!$A1:$AE667,22,FALSE)</f>
        <v>0</v>
      </c>
      <c r="AI430" s="54"/>
      <c r="AJ430" s="56"/>
      <c r="AK430" s="56"/>
      <c r="AL430" s="56"/>
      <c r="AM430" s="56"/>
      <c r="AN430" s="56"/>
      <c r="AO430" s="56"/>
      <c r="AP430" s="56"/>
      <c r="AQ430" s="59"/>
      <c r="AR430" s="60"/>
      <c r="AS430" s="54"/>
    </row>
    <row r="431" spans="1:45" ht="21.25" customHeight="1" x14ac:dyDescent="0.15">
      <c r="A431" s="45">
        <f>RANK(K431,K$1:K$665)</f>
        <v>430</v>
      </c>
      <c r="B431" s="9" t="s">
        <v>556</v>
      </c>
      <c r="C431" s="46" t="s">
        <v>127</v>
      </c>
      <c r="D431" s="47" t="str">
        <f>VLOOKUP(B431,'Player Data'!A1:D667,4,FALSE)</f>
        <v>D</v>
      </c>
      <c r="E431" s="66">
        <f>VLOOKUP(B431,D!A1:C213,3,FALSE)</f>
        <v>161</v>
      </c>
      <c r="F431" s="72" t="str">
        <f>VLOOKUP(B431,'Player Data'!A1:B667,2,FALSE)</f>
        <v>NYI</v>
      </c>
      <c r="G431" s="63">
        <f>VLOOKUP(B431,'Player Data'!A1:D667,3,FALSE)</f>
        <v>31</v>
      </c>
      <c r="H431" s="67">
        <f>IFERROR(VLOOKUP(B431,ADP!A1:G665,7,FALSE)/1000000,VLOOKUP(B431,ADP!A1:G665,7,FALSE))</f>
        <v>1.25</v>
      </c>
      <c r="I431" s="51">
        <f>IF(Settings!$E$15="POINTS",((R431*Q431)*Settings!$B$12)+(S431*Settings!$B$2)+(T431*Settings!$B$3)+(U431*Settings!$B$4)+(V431*Settings!$B$5)+(X431*Settings!$B$9)+(AA431*Settings!$B$6)+(W431*Settings!$B$8)+(AB431*Settings!$B$7)+(AC431*Settings!$B$14)+(AD431*Settings!$B$15)+(AE431*Settings!$B$16)+(AF431*Settings!$B$17)+(AG431*Settings!$B$18)+(U431*Settings!$B$13)+(Y431*Settings!$B$10)+(Z431*Settings!$B$11),VLOOKUP(B431,'Standard Deviations'!A1:C666,3,FALSE))</f>
        <v>140.36056254960812</v>
      </c>
      <c r="J431" s="52">
        <f>IF(D431="G",I431/AJ431,I431/Q431)</f>
        <v>2.088621145784876</v>
      </c>
      <c r="K431" s="51">
        <f>VLOOKUP(B431,D!A1:F213,6,FALSE)</f>
        <v>-195.87356249598679</v>
      </c>
      <c r="L431" s="53">
        <f>IFERROR(K431/H431,"N/A")</f>
        <v>-156.69884999678942</v>
      </c>
      <c r="M431" s="83" t="str">
        <f>IF(Settings!$E$9="YAHOO",VLOOKUP(B431,ADP!A1:E665,2,FALSE),IF(Settings!$E$9="ESPN",VLOOKUP(B431,ADP!A1:E665,3,FALSE),IF(Settings!$E$9="FANTRAX",VLOOKUP(B431,ADP!A1:E665,4,FALSE),VLOOKUP(B431,ADP!A1:E665,5,FALSE))))</f>
        <v>—</v>
      </c>
      <c r="N431" s="83" t="str">
        <f>IFERROR(M431-A431,"N/A")</f>
        <v>N/A</v>
      </c>
      <c r="O431" s="54"/>
      <c r="P431" s="55" t="str">
        <f>IF(Settings!$E$27="ON",VLOOKUP(B431,ADP!A1:H665,8,FALSE)," ")</f>
        <v xml:space="preserve"> </v>
      </c>
      <c r="Q431" s="56">
        <f>IF(Settings!$E$12="YES",VLOOKUP(B431,'Player Data'!A1:E667,5,FALSE),82)</f>
        <v>67.202500000000001</v>
      </c>
      <c r="R431" s="81">
        <f>VLOOKUP(B431,'Player Data'!$A1:$AE667,6,FALSE)</f>
        <v>15.514212965913799</v>
      </c>
      <c r="S431" s="56">
        <f>VLOOKUP(B431,'Player Data'!$A1:$AE667,7,FALSE)*$Q431*IFERROR((VLOOKUP(P431,Settings!$E$28:$F$33,2,FALSE)+1),1)</f>
        <v>3.3608230184701573</v>
      </c>
      <c r="T431" s="56">
        <f>VLOOKUP(B431,'Player Data'!$A1:$AE667,8,FALSE)*$Q431*IFERROR((VLOOKUP(P431,Settings!$E$28:$F$33,2,FALSE)+1),1)</f>
        <v>13.503978953994045</v>
      </c>
      <c r="U431" s="56">
        <f>SUM(S431:T431)</f>
        <v>16.864801972464203</v>
      </c>
      <c r="V431" s="56">
        <f>VLOOKUP(B431,'Player Data'!$A1:$AE667,10,FALSE)*$Q431*IFERROR(((VLOOKUP(P431,Settings!$E$28:$F$33,2,FALSE)/2)+1),1)</f>
        <v>108.25257786902731</v>
      </c>
      <c r="W431" s="56">
        <f>VLOOKUP(B431,'Player Data'!$A1:$AE667,11,FALSE)*$Q431*IFERROR((VLOOKUP(P431,Settings!$E$28:$F$33,2,FALSE)+1),1)</f>
        <v>0.13765568922639482</v>
      </c>
      <c r="X431" s="56">
        <f>VLOOKUP(B431,'Player Data'!$A1:$AE667,12,FALSE)*$Q431*IFERROR((VLOOKUP(P431,Settings!$E$28:$F$33,2,FALSE)+1),1)</f>
        <v>3.6802347469275905</v>
      </c>
      <c r="Y431" s="56">
        <f>VLOOKUP(B431,'Player Data'!$A1:$AE667,13,FALSE)*$Q431</f>
        <v>6.6518710428748754E-2</v>
      </c>
      <c r="Z431" s="56">
        <f>VLOOKUP(B431,'Player Data'!$A1:$AE667,14,FALSE)*$Q431</f>
        <v>7.9540864154188873E-2</v>
      </c>
      <c r="AA431" s="56">
        <f>VLOOKUP(B431,'Player Data'!$A1:$AE667,15,FALSE)*$Q431</f>
        <v>63.760184173240191</v>
      </c>
      <c r="AB431" s="56">
        <f>VLOOKUP(B431,'Player Data'!$A1:$AE667,16,FALSE)*$Q431</f>
        <v>65.692645694273281</v>
      </c>
      <c r="AC431" s="56">
        <f>VLOOKUP(B431,'Player Data'!$A1:$AE667,17,FALSE)*$Q431*IFERROR((VLOOKUP(P431,Settings!$E$28:$F$33,2,FALSE)+1),1)</f>
        <v>0.34951285956857475</v>
      </c>
      <c r="AD431" s="56">
        <f>VLOOKUP(B431,'Player Data'!$A1:$AE667,18,FALSE)*$Q431</f>
        <v>28.988353968511575</v>
      </c>
      <c r="AE431" s="56">
        <f>VLOOKUP(B431,'Player Data'!$A1:$AE667,19,FALSE)*$Q431*IFERROR((VLOOKUP(P431,Settings!$E$28:$F$33,2,FALSE)+1),1)</f>
        <v>0.52818337724474163</v>
      </c>
      <c r="AF431" s="56">
        <f>VLOOKUP(B431,'Player Data'!$A1:$AE667,20,FALSE)*$Q431</f>
        <v>0</v>
      </c>
      <c r="AG431" s="56">
        <f>VLOOKUP(B431,'Player Data'!$A1:$AE667,21,FALSE)*$Q431</f>
        <v>0</v>
      </c>
      <c r="AH431" s="58">
        <f>VLOOKUP(B431,'Player Data'!$A1:$AE667,22,FALSE)</f>
        <v>0</v>
      </c>
      <c r="AI431" s="54"/>
      <c r="AJ431" s="64"/>
      <c r="AK431" s="56"/>
      <c r="AL431" s="56"/>
      <c r="AM431" s="56"/>
      <c r="AN431" s="56"/>
      <c r="AO431" s="56"/>
      <c r="AP431" s="56"/>
      <c r="AQ431" s="59"/>
      <c r="AR431" s="60"/>
      <c r="AS431" s="54"/>
    </row>
    <row r="432" spans="1:45" ht="21.25" customHeight="1" x14ac:dyDescent="0.15">
      <c r="A432" s="45">
        <f>RANK(K432,K$1:K$665)</f>
        <v>431</v>
      </c>
      <c r="B432" s="9" t="s">
        <v>557</v>
      </c>
      <c r="C432" s="46" t="s">
        <v>127</v>
      </c>
      <c r="D432" s="47" t="str">
        <f>VLOOKUP(B432,'Player Data'!A1:D667,4,FALSE)</f>
        <v>D</v>
      </c>
      <c r="E432" s="66">
        <f>VLOOKUP(B432,D!A1:C213,3,FALSE)</f>
        <v>162</v>
      </c>
      <c r="F432" s="74" t="str">
        <f>VLOOKUP(B432,'Player Data'!A1:B667,2,FALSE)</f>
        <v>PIT</v>
      </c>
      <c r="G432" s="10">
        <f>VLOOKUP(B432,'Player Data'!A1:D667,3,FALSE)</f>
        <v>30</v>
      </c>
      <c r="H432" s="67">
        <f>IFERROR(VLOOKUP(B432,ADP!A1:G665,7,FALSE)/1000000,VLOOKUP(B432,ADP!A1:G665,7,FALSE))</f>
        <v>2.75</v>
      </c>
      <c r="I432" s="51">
        <f>IF(Settings!$E$15="POINTS",((R432*Q432)*Settings!$B$12)+(S432*Settings!$B$2)+(T432*Settings!$B$3)+(U432*Settings!$B$4)+(V432*Settings!$B$5)+(X432*Settings!$B$9)+(AA432*Settings!$B$6)+(W432*Settings!$B$8)+(AB432*Settings!$B$7)+(AC432*Settings!$B$14)+(AD432*Settings!$B$15)+(AE432*Settings!$B$16)+(AF432*Settings!$B$17)+(AG432*Settings!$B$18)+(U432*Settings!$B$13)+(Y432*Settings!$B$10)+(Z432*Settings!$B$11),VLOOKUP(B432,'Standard Deviations'!A1:C666,3,FALSE))</f>
        <v>139.53102426193757</v>
      </c>
      <c r="J432" s="52">
        <f>IF(D432="G",I432/AJ432,I432/Q432)</f>
        <v>1.8169285013599528</v>
      </c>
      <c r="K432" s="51">
        <f>VLOOKUP(B432,D!A1:F213,6,FALSE)</f>
        <v>-196.70310078365733</v>
      </c>
      <c r="L432" s="53">
        <f>IFERROR(K432/H432,"N/A")</f>
        <v>-71.52840028496631</v>
      </c>
      <c r="M432" s="83" t="str">
        <f>IF(Settings!$E$9="YAHOO",VLOOKUP(B432,ADP!A1:E665,2,FALSE),IF(Settings!$E$9="ESPN",VLOOKUP(B432,ADP!A1:E665,3,FALSE),IF(Settings!$E$9="FANTRAX",VLOOKUP(B432,ADP!A1:E665,4,FALSE),VLOOKUP(B432,ADP!A1:E665,5,FALSE))))</f>
        <v>—</v>
      </c>
      <c r="N432" s="83" t="str">
        <f>IFERROR(M432-A432,"N/A")</f>
        <v>N/A</v>
      </c>
      <c r="O432" s="54"/>
      <c r="P432" s="55" t="str">
        <f>IF(Settings!$E$27="ON",VLOOKUP(B432,ADP!A1:H665,8,FALSE)," ")</f>
        <v xml:space="preserve"> </v>
      </c>
      <c r="Q432" s="56">
        <f>IF(Settings!$E$12="YES",VLOOKUP(B432,'Player Data'!A1:E667,5,FALSE),82)</f>
        <v>76.795000000000002</v>
      </c>
      <c r="R432" s="81">
        <f>VLOOKUP(B432,'Player Data'!$A1:$AE667,6,FALSE)</f>
        <v>16.336561895968298</v>
      </c>
      <c r="S432" s="56">
        <f>VLOOKUP(B432,'Player Data'!$A1:$AE667,7,FALSE)*$Q432*IFERROR((VLOOKUP(P432,Settings!$E$28:$F$33,2,FALSE)+1),1)</f>
        <v>3.1327455975548983</v>
      </c>
      <c r="T432" s="56">
        <f>VLOOKUP(B432,'Player Data'!$A1:$AE667,8,FALSE)*$Q432*IFERROR((VLOOKUP(P432,Settings!$E$28:$F$33,2,FALSE)+1),1)</f>
        <v>15.166682525378112</v>
      </c>
      <c r="U432" s="56">
        <f>SUM(S432:T432)</f>
        <v>18.299428122933012</v>
      </c>
      <c r="V432" s="56">
        <f>VLOOKUP(B432,'Player Data'!$A1:$AE667,10,FALSE)*$Q432*IFERROR(((VLOOKUP(P432,Settings!$E$28:$F$33,2,FALSE)/2)+1),1)</f>
        <v>79.929420405683317</v>
      </c>
      <c r="W432" s="56">
        <f>VLOOKUP(B432,'Player Data'!$A1:$AE667,11,FALSE)*$Q432*IFERROR((VLOOKUP(P432,Settings!$E$28:$F$33,2,FALSE)+1),1)</f>
        <v>1.9239743873496317E-2</v>
      </c>
      <c r="X432" s="56">
        <f>VLOOKUP(B432,'Player Data'!$A1:$AE667,12,FALSE)*$Q432*IFERROR((VLOOKUP(P432,Settings!$E$28:$F$33,2,FALSE)+1),1)</f>
        <v>0.28139576052987941</v>
      </c>
      <c r="Y432" s="56">
        <f>VLOOKUP(B432,'Player Data'!$A1:$AE667,13,FALSE)*$Q432</f>
        <v>1.4740668361845932E-2</v>
      </c>
      <c r="Z432" s="56">
        <f>VLOOKUP(B432,'Player Data'!$A1:$AE667,14,FALSE)*$Q432</f>
        <v>7.555889866086038E-2</v>
      </c>
      <c r="AA432" s="56">
        <f>VLOOKUP(B432,'Player Data'!$A1:$AE667,15,FALSE)*$Q432</f>
        <v>88.622150062212299</v>
      </c>
      <c r="AB432" s="56">
        <f>VLOOKUP(B432,'Player Data'!$A1:$AE667,16,FALSE)*$Q432</f>
        <v>69.05038834073035</v>
      </c>
      <c r="AC432" s="56">
        <f>VLOOKUP(B432,'Player Data'!$A1:$AE667,17,FALSE)*$Q432*IFERROR((VLOOKUP(P432,Settings!$E$28:$F$33,2,FALSE)+1),1)</f>
        <v>0.67876576666564359</v>
      </c>
      <c r="AD432" s="56">
        <f>VLOOKUP(B432,'Player Data'!$A1:$AE667,18,FALSE)*$Q432</f>
        <v>27.866601752196331</v>
      </c>
      <c r="AE432" s="56">
        <f>VLOOKUP(B432,'Player Data'!$A1:$AE667,19,FALSE)*$Q432*IFERROR((VLOOKUP(P432,Settings!$E$28:$F$33,2,FALSE)+1),1)</f>
        <v>0.46440729926653163</v>
      </c>
      <c r="AF432" s="56">
        <f>VLOOKUP(B432,'Player Data'!$A1:$AE667,20,FALSE)*$Q432</f>
        <v>0</v>
      </c>
      <c r="AG432" s="56">
        <f>VLOOKUP(B432,'Player Data'!$A1:$AE667,21,FALSE)*$Q432</f>
        <v>0</v>
      </c>
      <c r="AH432" s="58">
        <f>VLOOKUP(B432,'Player Data'!$A1:$AE667,22,FALSE)</f>
        <v>0</v>
      </c>
      <c r="AI432" s="54"/>
      <c r="AJ432" s="56"/>
      <c r="AK432" s="56"/>
      <c r="AL432" s="56"/>
      <c r="AM432" s="56"/>
      <c r="AN432" s="56"/>
      <c r="AO432" s="56"/>
      <c r="AP432" s="56"/>
      <c r="AQ432" s="59"/>
      <c r="AR432" s="60"/>
      <c r="AS432" s="54"/>
    </row>
    <row r="433" spans="1:45" ht="21.25" customHeight="1" x14ac:dyDescent="0.15">
      <c r="A433" s="45">
        <f>RANK(K433,K$1:K$665)</f>
        <v>432</v>
      </c>
      <c r="B433" s="9" t="s">
        <v>558</v>
      </c>
      <c r="C433" s="46" t="s">
        <v>127</v>
      </c>
      <c r="D433" s="47" t="str">
        <f>VLOOKUP(B433,'Player Data'!A1:D667,4,FALSE)</f>
        <v>RW</v>
      </c>
      <c r="E433" s="61">
        <f>VLOOKUP(B433,RW!A1:F136,3,FALSE)</f>
        <v>92</v>
      </c>
      <c r="F433" s="77" t="str">
        <f>VLOOKUP(B433,'Player Data'!A1:B667,2,FALSE)</f>
        <v>STL</v>
      </c>
      <c r="G433" s="10">
        <f>VLOOKUP(B433,'Player Data'!A1:D667,3,FALSE)</f>
        <v>27</v>
      </c>
      <c r="H433" s="50">
        <f>IFERROR(VLOOKUP(B433,ADP!A1:G665,7,FALSE)/1000000,VLOOKUP(B433,ADP!A1:G665,7,FALSE))</f>
        <v>2.95</v>
      </c>
      <c r="I433" s="51">
        <f>IF(Settings!$E$15="POINTS",((R433*Q433)*Settings!$B$12)+(S433*Settings!$B$2)+(T433*Settings!$B$3)+(U433*Settings!$B$4)+(V433*Settings!$B$5)+(X433*Settings!$B$9)+(AA433*Settings!$B$6)+(W433*Settings!$B$8)+(AB433*Settings!$B$7)+(AC433*Settings!$B$14)+(AD433*Settings!$B$15)+(AE433*Settings!$B$16)+(AF433*Settings!$B$17)+(AG433*Settings!$B$18)+(Y433*Settings!$B$10)+(Z433*Settings!$B$11),VLOOKUP(B433,'Standard Deviations'!A1:C666,3,FALSE))</f>
        <v>172.04445360810902</v>
      </c>
      <c r="J433" s="52">
        <f>IF(D433="G",I433/AJ433,I433/Q433)</f>
        <v>2.2823620802349303</v>
      </c>
      <c r="K433" s="51">
        <f>IF(Settings!$E$18="C/LW/RW",VLOOKUP(B433,RW!A1:F136,6,FALSE),VLOOKUP(B433,F!A1:F392,6,FALSE))</f>
        <v>-196.80326949818337</v>
      </c>
      <c r="L433" s="53">
        <f>IFERROR(K433/H433,"N/A")</f>
        <v>-66.712972711248597</v>
      </c>
      <c r="M433" s="83" t="str">
        <f>IF(Settings!$E$9="YAHOO",VLOOKUP(B433,ADP!A1:E665,2,FALSE),IF(Settings!$E$9="ESPN",VLOOKUP(B433,ADP!A1:E665,3,FALSE),IF(Settings!$E$9="FANTRAX",VLOOKUP(B433,ADP!A1:E665,4,FALSE),VLOOKUP(B433,ADP!A1:E665,5,FALSE))))</f>
        <v>—</v>
      </c>
      <c r="N433" s="83" t="str">
        <f>IFERROR(M433-A433,"N/A")</f>
        <v>N/A</v>
      </c>
      <c r="O433" s="54"/>
      <c r="P433" s="55" t="str">
        <f>IF(Settings!$E$27="ON",VLOOKUP(B433,ADP!A1:H665,8,FALSE)," ")</f>
        <v xml:space="preserve"> </v>
      </c>
      <c r="Q433" s="56">
        <f>IF(Settings!$E$12="YES",VLOOKUP(B433,'Player Data'!A1:E667,5,FALSE),82)</f>
        <v>75.38</v>
      </c>
      <c r="R433" s="81">
        <f>VLOOKUP(B433,'Player Data'!$A1:$AE667,6,FALSE)</f>
        <v>15.3148326965165</v>
      </c>
      <c r="S433" s="56">
        <f>VLOOKUP(B433,'Player Data'!$A1:$AE667,7,FALSE)*$Q433*IFERROR((VLOOKUP(P433,Settings!$E$28:$F$33,2,FALSE)+1),1)</f>
        <v>9.328008644771657</v>
      </c>
      <c r="T433" s="56">
        <f>VLOOKUP(B433,'Player Data'!$A1:$AE667,8,FALSE)*$Q433*IFERROR((VLOOKUP(P433,Settings!$E$28:$F$33,2,FALSE)+1),1)</f>
        <v>19.939423803562434</v>
      </c>
      <c r="U433" s="56">
        <f>SUM(S433:T433)</f>
        <v>29.267432448334091</v>
      </c>
      <c r="V433" s="56">
        <f>VLOOKUP(B433,'Player Data'!$A1:$AE667,10,FALSE)*$Q433*IFERROR(((VLOOKUP(P433,Settings!$E$28:$F$33,2,FALSE)/2)+1),1)</f>
        <v>116.70883497660324</v>
      </c>
      <c r="W433" s="56">
        <f>VLOOKUP(B433,'Player Data'!$A1:$AE667,11,FALSE)*$Q433*IFERROR((VLOOKUP(P433,Settings!$E$28:$F$33,2,FALSE)+1),1)</f>
        <v>0.45922123827328792</v>
      </c>
      <c r="X433" s="56">
        <f>VLOOKUP(B433,'Player Data'!$A1:$AE667,12,FALSE)*$Q433*IFERROR((VLOOKUP(P433,Settings!$E$28:$F$33,2,FALSE)+1),1)</f>
        <v>1.183137606102042</v>
      </c>
      <c r="Y433" s="56">
        <f>VLOOKUP(B433,'Player Data'!$A1:$AE667,13,FALSE)*$Q433</f>
        <v>1.0252895819761982</v>
      </c>
      <c r="Z433" s="56">
        <f>VLOOKUP(B433,'Player Data'!$A1:$AE667,14,FALSE)*$Q433</f>
        <v>2.0834558540489239</v>
      </c>
      <c r="AA433" s="56">
        <f>VLOOKUP(B433,'Player Data'!$A1:$AE667,15,FALSE)*$Q433</f>
        <v>45.242290629308293</v>
      </c>
      <c r="AB433" s="56">
        <f>VLOOKUP(B433,'Player Data'!$A1:$AE667,16,FALSE)*$Q433</f>
        <v>103.62959991299675</v>
      </c>
      <c r="AC433" s="56">
        <f>VLOOKUP(B433,'Player Data'!$A1:$AE667,17,FALSE)*$Q433*IFERROR((VLOOKUP(P433,Settings!$E$28:$F$33,2,FALSE)+1),1)</f>
        <v>-1.2005431742611032</v>
      </c>
      <c r="AD433" s="56">
        <f>VLOOKUP(B433,'Player Data'!$A1:$AE667,18,FALSE)*$Q433</f>
        <v>36.726831483805896</v>
      </c>
      <c r="AE433" s="56">
        <f>VLOOKUP(B433,'Player Data'!$A1:$AE667,19,FALSE)*$Q433*IFERROR((VLOOKUP(P433,Settings!$E$28:$F$33,2,FALSE)+1),1)</f>
        <v>1.1230371434953597</v>
      </c>
      <c r="AF433" s="56">
        <f>VLOOKUP(B433,'Player Data'!$A1:$AE667,20,FALSE)*$Q433</f>
        <v>20.459652815995032</v>
      </c>
      <c r="AG433" s="56">
        <f>VLOOKUP(B433,'Player Data'!$A1:$AE667,21,FALSE)*$Q433</f>
        <v>37.462033532754468</v>
      </c>
      <c r="AH433" s="58">
        <f>VLOOKUP(B433,'Player Data'!$A1:$AE667,22,FALSE)</f>
        <v>0.35322957782697101</v>
      </c>
      <c r="AI433" s="54"/>
      <c r="AJ433" s="56"/>
      <c r="AK433" s="56"/>
      <c r="AL433" s="56"/>
      <c r="AM433" s="56"/>
      <c r="AN433" s="56"/>
      <c r="AO433" s="56"/>
      <c r="AP433" s="56"/>
      <c r="AQ433" s="59"/>
      <c r="AR433" s="60"/>
      <c r="AS433" s="54"/>
    </row>
    <row r="434" spans="1:45" ht="21.25" customHeight="1" x14ac:dyDescent="0.15">
      <c r="A434" s="45">
        <f>RANK(K434,K$1:K$665)</f>
        <v>433</v>
      </c>
      <c r="B434" s="9" t="s">
        <v>559</v>
      </c>
      <c r="C434" s="46" t="s">
        <v>127</v>
      </c>
      <c r="D434" s="47" t="str">
        <f>VLOOKUP(B434,'Player Data'!A1:D667,4,FALSE)</f>
        <v>D</v>
      </c>
      <c r="E434" s="66">
        <f>VLOOKUP(B434,D!A1:C213,3,FALSE)</f>
        <v>163</v>
      </c>
      <c r="F434" s="62" t="str">
        <f>VLOOKUP(B434,'Player Data'!A1:B667,2,FALSE)</f>
        <v>BOS</v>
      </c>
      <c r="G434" s="10">
        <f>VLOOKUP(B434,'Player Data'!A1:D667,3,FALSE)</f>
        <v>26</v>
      </c>
      <c r="H434" s="50">
        <f>IFERROR(VLOOKUP(B434,ADP!A1:G665,7,FALSE)/1000000,VLOOKUP(B434,ADP!A1:G665,7,FALSE))</f>
        <v>2.75</v>
      </c>
      <c r="I434" s="51">
        <f>IF(Settings!$E$15="POINTS",((R434*Q434)*Settings!$B$12)+(S434*Settings!$B$2)+(T434*Settings!$B$3)+(U434*Settings!$B$4)+(V434*Settings!$B$5)+(X434*Settings!$B$9)+(AA434*Settings!$B$6)+(W434*Settings!$B$8)+(AB434*Settings!$B$7)+(AC434*Settings!$B$14)+(AD434*Settings!$B$15)+(AE434*Settings!$B$16)+(AF434*Settings!$B$17)+(AG434*Settings!$B$18)+(U434*Settings!$B$13)+(Y434*Settings!$B$10)+(Z434*Settings!$B$11),VLOOKUP(B434,'Standard Deviations'!A1:C666,3,FALSE))</f>
        <v>139.16155173172439</v>
      </c>
      <c r="J434" s="52">
        <f>IF(D434="G",I434/AJ434,I434/Q434)</f>
        <v>1.8819602641385409</v>
      </c>
      <c r="K434" s="51">
        <f>VLOOKUP(B434,D!A1:F213,6,FALSE)</f>
        <v>-197.07257331387052</v>
      </c>
      <c r="L434" s="53">
        <f>IFERROR(K434/H434,"N/A")</f>
        <v>-71.662753932316548</v>
      </c>
      <c r="M434" s="83" t="str">
        <f>IF(Settings!$E$9="YAHOO",VLOOKUP(B434,ADP!A1:E665,2,FALSE),IF(Settings!$E$9="ESPN",VLOOKUP(B434,ADP!A1:E665,3,FALSE),IF(Settings!$E$9="FANTRAX",VLOOKUP(B434,ADP!A1:E665,4,FALSE),VLOOKUP(B434,ADP!A1:E665,5,FALSE))))</f>
        <v>—</v>
      </c>
      <c r="N434" s="83" t="str">
        <f>IFERROR(M434-A434,"N/A")</f>
        <v>N/A</v>
      </c>
      <c r="O434" s="54"/>
      <c r="P434" s="55" t="str">
        <f>IF(Settings!$E$27="ON",VLOOKUP(B434,ADP!A1:H665,8,FALSE)," ")</f>
        <v xml:space="preserve"> </v>
      </c>
      <c r="Q434" s="56">
        <f>IF(Settings!$E$12="YES",VLOOKUP(B434,'Player Data'!A1:E667,5,FALSE),82)</f>
        <v>73.944999999999993</v>
      </c>
      <c r="R434" s="54">
        <f>VLOOKUP(B434,'Player Data'!$A1:$AE667,6,FALSE)</f>
        <v>16.5323665630352</v>
      </c>
      <c r="S434" s="56">
        <f>VLOOKUP(B434,'Player Data'!$A1:$AE667,7,FALSE)*$Q434*IFERROR((VLOOKUP(P434,Settings!$E$28:$F$33,2,FALSE)+1),1)</f>
        <v>3.0755318004371728</v>
      </c>
      <c r="T434" s="56">
        <f>VLOOKUP(B434,'Player Data'!$A1:$AE667,8,FALSE)*$Q434*IFERROR((VLOOKUP(P434,Settings!$E$28:$F$33,2,FALSE)+1),1)</f>
        <v>9.9981272845551246</v>
      </c>
      <c r="U434" s="56">
        <f>SUM(S434:T434)</f>
        <v>13.073659084992297</v>
      </c>
      <c r="V434" s="56">
        <f>VLOOKUP(B434,'Player Data'!$A1:$AE667,10,FALSE)*$Q434*IFERROR(((VLOOKUP(P434,Settings!$E$28:$F$33,2,FALSE)/2)+1),1)</f>
        <v>66.750835739545693</v>
      </c>
      <c r="W434" s="56">
        <f>VLOOKUP(B434,'Player Data'!$A1:$AE667,11,FALSE)*$Q434*IFERROR((VLOOKUP(P434,Settings!$E$28:$F$33,2,FALSE)+1),1)</f>
        <v>2.2109427983383824E-3</v>
      </c>
      <c r="X434" s="56">
        <f>VLOOKUP(B434,'Player Data'!$A1:$AE667,12,FALSE)*$Q434*IFERROR((VLOOKUP(P434,Settings!$E$28:$F$33,2,FALSE)+1),1)</f>
        <v>1.4232605850513032E-2</v>
      </c>
      <c r="Y434" s="56">
        <f>VLOOKUP(B434,'Player Data'!$A1:$AE667,13,FALSE)*$Q434</f>
        <v>2.6481423564068293E-2</v>
      </c>
      <c r="Z434" s="56">
        <f>VLOOKUP(B434,'Player Data'!$A1:$AE667,14,FALSE)*$Q434</f>
        <v>0.69781413084801625</v>
      </c>
      <c r="AA434" s="56">
        <f>VLOOKUP(B434,'Player Data'!$A1:$AE667,15,FALSE)*$Q434</f>
        <v>131.7062197405522</v>
      </c>
      <c r="AB434" s="56">
        <f>VLOOKUP(B434,'Player Data'!$A1:$AE667,16,FALSE)*$Q434</f>
        <v>137.61209249157372</v>
      </c>
      <c r="AC434" s="56">
        <f>VLOOKUP(B434,'Player Data'!$A1:$AE667,17,FALSE)*$Q434*IFERROR((VLOOKUP(P434,Settings!$E$28:$F$33,2,FALSE)+1),1)</f>
        <v>-1.3575524036353837</v>
      </c>
      <c r="AD434" s="56">
        <f>VLOOKUP(B434,'Player Data'!$A1:$AE667,18,FALSE)*$Q434</f>
        <v>28.131425178734847</v>
      </c>
      <c r="AE434" s="56">
        <f>VLOOKUP(B434,'Player Data'!$A1:$AE667,19,FALSE)*$Q434*IFERROR((VLOOKUP(P434,Settings!$E$28:$F$33,2,FALSE)+1),1)</f>
        <v>0.47902551264529181</v>
      </c>
      <c r="AF434" s="56">
        <f>VLOOKUP(B434,'Player Data'!$A1:$AE667,20,FALSE)*$Q434</f>
        <v>0</v>
      </c>
      <c r="AG434" s="56">
        <f>VLOOKUP(B434,'Player Data'!$A1:$AE667,21,FALSE)*$Q434</f>
        <v>0</v>
      </c>
      <c r="AH434" s="58">
        <f>VLOOKUP(B434,'Player Data'!$A1:$AE667,22,FALSE)</f>
        <v>0</v>
      </c>
      <c r="AI434" s="54"/>
      <c r="AJ434" s="64"/>
      <c r="AK434" s="56"/>
      <c r="AL434" s="56"/>
      <c r="AM434" s="56"/>
      <c r="AN434" s="56"/>
      <c r="AO434" s="56"/>
      <c r="AP434" s="56"/>
      <c r="AQ434" s="59"/>
      <c r="AR434" s="60"/>
      <c r="AS434" s="54"/>
    </row>
    <row r="435" spans="1:45" ht="21.25" customHeight="1" x14ac:dyDescent="0.15">
      <c r="A435" s="45">
        <f>RANK(K435,K$1:K$665)</f>
        <v>434</v>
      </c>
      <c r="B435" s="9" t="s">
        <v>560</v>
      </c>
      <c r="C435" s="46" t="s">
        <v>127</v>
      </c>
      <c r="D435" s="47" t="str">
        <f>VLOOKUP(B435,'Player Data'!A1:D667,4,FALSE)</f>
        <v>D</v>
      </c>
      <c r="E435" s="66">
        <f>VLOOKUP(B435,D!A1:C213,3,FALSE)</f>
        <v>164</v>
      </c>
      <c r="F435" s="65" t="str">
        <f>VLOOKUP(B435,'Player Data'!A1:B667,2,FALSE)</f>
        <v>CGY</v>
      </c>
      <c r="G435" s="10">
        <f>VLOOKUP(B435,'Player Data'!A1:D667,3,FALSE)</f>
        <v>27</v>
      </c>
      <c r="H435" s="50">
        <f>IFERROR(VLOOKUP(B435,ADP!A1:G665,7,FALSE)/1000000,VLOOKUP(B435,ADP!A1:G665,7,FALSE))</f>
        <v>1.25</v>
      </c>
      <c r="I435" s="51">
        <f>IF(Settings!$E$15="POINTS",((R435*Q435)*Settings!$B$12)+(S435*Settings!$B$2)+(T435*Settings!$B$3)+(U435*Settings!$B$4)+(V435*Settings!$B$5)+(X435*Settings!$B$9)+(AA435*Settings!$B$6)+(W435*Settings!$B$8)+(AB435*Settings!$B$7)+(AC435*Settings!$B$14)+(AD435*Settings!$B$15)+(AE435*Settings!$B$16)+(AF435*Settings!$B$17)+(AG435*Settings!$B$18)+(U435*Settings!$B$13)+(Y435*Settings!$B$10)+(Z435*Settings!$B$11),VLOOKUP(B435,'Standard Deviations'!A1:C666,3,FALSE))</f>
        <v>138.96279292467653</v>
      </c>
      <c r="J435" s="52">
        <f>IF(D435="G",I435/AJ435,I435/Q435)</f>
        <v>2.3975637150565308</v>
      </c>
      <c r="K435" s="51">
        <f>VLOOKUP(B435,D!A1:F213,6,FALSE)</f>
        <v>-197.27133212091837</v>
      </c>
      <c r="L435" s="53">
        <f>IFERROR(K435/H435,"N/A")</f>
        <v>-157.81706569673469</v>
      </c>
      <c r="M435" s="83" t="str">
        <f>IF(Settings!$E$9="YAHOO",VLOOKUP(B435,ADP!A1:E665,2,FALSE),IF(Settings!$E$9="ESPN",VLOOKUP(B435,ADP!A1:E665,3,FALSE),IF(Settings!$E$9="FANTRAX",VLOOKUP(B435,ADP!A1:E665,4,FALSE),VLOOKUP(B435,ADP!A1:E665,5,FALSE))))</f>
        <v>—</v>
      </c>
      <c r="N435" s="83" t="str">
        <f>IFERROR(M435-A435,"N/A")</f>
        <v>N/A</v>
      </c>
      <c r="O435" s="54"/>
      <c r="P435" s="55" t="str">
        <f>IF(Settings!$E$27="ON",VLOOKUP(B435,ADP!A1:H665,8,FALSE)," ")</f>
        <v xml:space="preserve"> </v>
      </c>
      <c r="Q435" s="56">
        <f>IF(Settings!$E$12="YES",VLOOKUP(B435,'Player Data'!A1:E667,5,FALSE),82)</f>
        <v>57.96</v>
      </c>
      <c r="R435" s="81">
        <f>VLOOKUP(B435,'Player Data'!$A1:$AE667,6,FALSE)</f>
        <v>18.414959383493901</v>
      </c>
      <c r="S435" s="56">
        <f>VLOOKUP(B435,'Player Data'!$A1:$AE667,7,FALSE)*$Q435*IFERROR((VLOOKUP(P435,Settings!$E$28:$F$33,2,FALSE)+1),1)</f>
        <v>5.0967008515740222</v>
      </c>
      <c r="T435" s="56">
        <f>VLOOKUP(B435,'Player Data'!$A1:$AE667,8,FALSE)*$Q435*IFERROR((VLOOKUP(P435,Settings!$E$28:$F$33,2,FALSE)+1),1)</f>
        <v>11.797162346165301</v>
      </c>
      <c r="U435" s="56">
        <f>SUM(S435:T435)</f>
        <v>16.893863197739321</v>
      </c>
      <c r="V435" s="56">
        <f>VLOOKUP(B435,'Player Data'!$A1:$AE667,10,FALSE)*$Q435*IFERROR(((VLOOKUP(P435,Settings!$E$28:$F$33,2,FALSE)/2)+1),1)</f>
        <v>93.395841097432196</v>
      </c>
      <c r="W435" s="56">
        <f>VLOOKUP(B435,'Player Data'!$A1:$AE667,11,FALSE)*$Q435*IFERROR((VLOOKUP(P435,Settings!$E$28:$F$33,2,FALSE)+1),1)</f>
        <v>0.38613353979273363</v>
      </c>
      <c r="X435" s="56">
        <f>VLOOKUP(B435,'Player Data'!$A1:$AE667,12,FALSE)*$Q435*IFERROR((VLOOKUP(P435,Settings!$E$28:$F$33,2,FALSE)+1),1)</f>
        <v>2.3646193780309779</v>
      </c>
      <c r="Y435" s="56">
        <f>VLOOKUP(B435,'Player Data'!$A1:$AE667,13,FALSE)*$Q435</f>
        <v>1.0794702746123413E-2</v>
      </c>
      <c r="Z435" s="56">
        <f>VLOOKUP(B435,'Player Data'!$A1:$AE667,14,FALSE)*$Q435</f>
        <v>5.3365123732428063E-2</v>
      </c>
      <c r="AA435" s="56">
        <f>VLOOKUP(B435,'Player Data'!$A1:$AE667,15,FALSE)*$Q435</f>
        <v>78.330596561958131</v>
      </c>
      <c r="AB435" s="56">
        <f>VLOOKUP(B435,'Player Data'!$A1:$AE667,16,FALSE)*$Q435</f>
        <v>44.374914407119462</v>
      </c>
      <c r="AC435" s="56">
        <f>VLOOKUP(B435,'Player Data'!$A1:$AE667,17,FALSE)*$Q435*IFERROR((VLOOKUP(P435,Settings!$E$28:$F$33,2,FALSE)+1),1)</f>
        <v>0.30951918287809016</v>
      </c>
      <c r="AD435" s="56">
        <f>VLOOKUP(B435,'Player Data'!$A1:$AE667,18,FALSE)*$Q435</f>
        <v>21.177279308696949</v>
      </c>
      <c r="AE435" s="56">
        <f>VLOOKUP(B435,'Player Data'!$A1:$AE667,19,FALSE)*$Q435*IFERROR((VLOOKUP(P435,Settings!$E$28:$F$33,2,FALSE)+1),1)</f>
        <v>0.74046795681732736</v>
      </c>
      <c r="AF435" s="56">
        <f>VLOOKUP(B435,'Player Data'!$A1:$AE667,20,FALSE)*$Q435</f>
        <v>0</v>
      </c>
      <c r="AG435" s="56">
        <f>VLOOKUP(B435,'Player Data'!$A1:$AE667,21,FALSE)*$Q435</f>
        <v>0</v>
      </c>
      <c r="AH435" s="58">
        <f>VLOOKUP(B435,'Player Data'!$A1:$AE667,22,FALSE)</f>
        <v>0</v>
      </c>
      <c r="AI435" s="54"/>
      <c r="AJ435" s="64"/>
      <c r="AK435" s="56"/>
      <c r="AL435" s="56"/>
      <c r="AM435" s="56"/>
      <c r="AN435" s="56"/>
      <c r="AO435" s="56"/>
      <c r="AP435" s="56"/>
      <c r="AQ435" s="59"/>
      <c r="AR435" s="60"/>
      <c r="AS435" s="54"/>
    </row>
    <row r="436" spans="1:45" ht="21.25" customHeight="1" x14ac:dyDescent="0.15">
      <c r="A436" s="45">
        <f>RANK(K436,K$1:K$665)</f>
        <v>435</v>
      </c>
      <c r="B436" s="9" t="s">
        <v>561</v>
      </c>
      <c r="C436" s="46" t="s">
        <v>127</v>
      </c>
      <c r="D436" s="47" t="str">
        <f>VLOOKUP(B436,'Player Data'!A1:D667,4,FALSE)</f>
        <v>RW</v>
      </c>
      <c r="E436" s="61">
        <f>VLOOKUP(B436,RW!A1:F136,3,FALSE)</f>
        <v>93</v>
      </c>
      <c r="F436" s="55" t="str">
        <f>VLOOKUP(B436,'Player Data'!A1:B667,2,FALSE)</f>
        <v>COL</v>
      </c>
      <c r="G436" s="10">
        <f>VLOOKUP(B436,'Player Data'!A1:D667,3,FALSE)</f>
        <v>28</v>
      </c>
      <c r="H436" s="67">
        <f>IFERROR(VLOOKUP(B436,ADP!A1:G665,7,FALSE)/1000000,VLOOKUP(B436,ADP!A1:G665,7,FALSE))</f>
        <v>1.05</v>
      </c>
      <c r="I436" s="51">
        <f>IF(Settings!$E$15="POINTS",((R436*Q436)*Settings!$B$12)+(S436*Settings!$B$2)+(T436*Settings!$B$3)+(U436*Settings!$B$4)+(V436*Settings!$B$5)+(X436*Settings!$B$9)+(AA436*Settings!$B$6)+(W436*Settings!$B$8)+(AB436*Settings!$B$7)+(AC436*Settings!$B$14)+(AD436*Settings!$B$15)+(AE436*Settings!$B$16)+(AF436*Settings!$B$17)+(AG436*Settings!$B$18)+(Y436*Settings!$B$10)+(Z436*Settings!$B$11),VLOOKUP(B436,'Standard Deviations'!A1:C666,3,FALSE))</f>
        <v>171.14312848540968</v>
      </c>
      <c r="J436" s="52">
        <f>IF(D436="G",I436/AJ436,I436/Q436)</f>
        <v>2.2085121590529364</v>
      </c>
      <c r="K436" s="51">
        <f>IF(Settings!$E$18="C/LW/RW",VLOOKUP(B436,RW!A1:F136,6,FALSE),VLOOKUP(B436,F!A1:F392,6,FALSE))</f>
        <v>-197.70459462088272</v>
      </c>
      <c r="L436" s="53">
        <f>IFERROR(K436/H436,"N/A")</f>
        <v>-188.29009011512639</v>
      </c>
      <c r="M436" s="83" t="str">
        <f>IF(Settings!$E$9="YAHOO",VLOOKUP(B436,ADP!A1:E665,2,FALSE),IF(Settings!$E$9="ESPN",VLOOKUP(B436,ADP!A1:E665,3,FALSE),IF(Settings!$E$9="FANTRAX",VLOOKUP(B436,ADP!A1:E665,4,FALSE),VLOOKUP(B436,ADP!A1:E665,5,FALSE))))</f>
        <v>—</v>
      </c>
      <c r="N436" s="83" t="str">
        <f>IFERROR(M436-A436,"N/A")</f>
        <v>N/A</v>
      </c>
      <c r="O436" s="54"/>
      <c r="P436" s="55" t="str">
        <f>IF(Settings!$E$27="ON",VLOOKUP(B436,ADP!A1:H665,8,FALSE)," ")</f>
        <v xml:space="preserve"> </v>
      </c>
      <c r="Q436" s="56">
        <f>IF(Settings!$E$12="YES",VLOOKUP(B436,'Player Data'!A1:E667,5,FALSE),82)</f>
        <v>77.492500000000007</v>
      </c>
      <c r="R436" s="54">
        <f>VLOOKUP(B436,'Player Data'!$A1:$AE667,6,FALSE)</f>
        <v>14.549249338797701</v>
      </c>
      <c r="S436" s="56">
        <f>VLOOKUP(B436,'Player Data'!$A1:$AE667,7,FALSE)*$Q436*IFERROR((VLOOKUP(P436,Settings!$E$28:$F$33,2,FALSE)+1),1)</f>
        <v>12.176312030384098</v>
      </c>
      <c r="T436" s="56">
        <f>VLOOKUP(B436,'Player Data'!$A1:$AE667,8,FALSE)*$Q436*IFERROR((VLOOKUP(P436,Settings!$E$28:$F$33,2,FALSE)+1),1)</f>
        <v>16.457512923710087</v>
      </c>
      <c r="U436" s="56">
        <f>SUM(S436:T436)</f>
        <v>28.633824954094187</v>
      </c>
      <c r="V436" s="56">
        <f>VLOOKUP(B436,'Player Data'!$A1:$AE667,10,FALSE)*$Q436*IFERROR(((VLOOKUP(P436,Settings!$E$28:$F$33,2,FALSE)/2)+1),1)</f>
        <v>114.588590134531</v>
      </c>
      <c r="W436" s="56">
        <f>VLOOKUP(B436,'Player Data'!$A1:$AE667,11,FALSE)*$Q436*IFERROR((VLOOKUP(P436,Settings!$E$28:$F$33,2,FALSE)+1),1)</f>
        <v>6.4525566706913451E-2</v>
      </c>
      <c r="X436" s="56">
        <f>VLOOKUP(B436,'Player Data'!$A1:$AE667,12,FALSE)*$Q436*IFERROR((VLOOKUP(P436,Settings!$E$28:$F$33,2,FALSE)+1),1)</f>
        <v>0.15027693263262074</v>
      </c>
      <c r="Y436" s="56">
        <f>VLOOKUP(B436,'Player Data'!$A1:$AE667,13,FALSE)*$Q436</f>
        <v>2.2702189196475637</v>
      </c>
      <c r="Z436" s="56">
        <f>VLOOKUP(B436,'Player Data'!$A1:$AE667,14,FALSE)*$Q436</f>
        <v>3.2025110394879479</v>
      </c>
      <c r="AA436" s="56">
        <f>VLOOKUP(B436,'Player Data'!$A1:$AE667,15,FALSE)*$Q436</f>
        <v>49.189141167482155</v>
      </c>
      <c r="AB436" s="56">
        <f>VLOOKUP(B436,'Player Data'!$A1:$AE667,16,FALSE)*$Q436</f>
        <v>90.720895632212887</v>
      </c>
      <c r="AC436" s="56">
        <f>VLOOKUP(B436,'Player Data'!$A1:$AE667,17,FALSE)*$Q436*IFERROR((VLOOKUP(P436,Settings!$E$28:$F$33,2,FALSE)+1),1)</f>
        <v>3.0770804255621194</v>
      </c>
      <c r="AD436" s="56">
        <f>VLOOKUP(B436,'Player Data'!$A1:$AE667,18,FALSE)*$Q436</f>
        <v>38.008305514737827</v>
      </c>
      <c r="AE436" s="56">
        <f>VLOOKUP(B436,'Player Data'!$A1:$AE667,19,FALSE)*$Q436*IFERROR((VLOOKUP(P436,Settings!$E$28:$F$33,2,FALSE)+1),1)</f>
        <v>1.8192707514799764</v>
      </c>
      <c r="AF436" s="56">
        <f>VLOOKUP(B436,'Player Data'!$A1:$AE667,20,FALSE)*$Q436</f>
        <v>17.015080467900042</v>
      </c>
      <c r="AG436" s="56">
        <f>VLOOKUP(B436,'Player Data'!$A1:$AE667,21,FALSE)*$Q436</f>
        <v>43.475018419682634</v>
      </c>
      <c r="AH436" s="58">
        <f>VLOOKUP(B436,'Player Data'!$A1:$AE667,22,FALSE)</f>
        <v>0.281287033428753</v>
      </c>
      <c r="AI436" s="54"/>
      <c r="AJ436" s="56"/>
      <c r="AK436" s="56"/>
      <c r="AL436" s="56"/>
      <c r="AM436" s="56"/>
      <c r="AN436" s="56"/>
      <c r="AO436" s="56"/>
      <c r="AP436" s="56"/>
      <c r="AQ436" s="59"/>
      <c r="AR436" s="60"/>
      <c r="AS436" s="54"/>
    </row>
    <row r="437" spans="1:45" ht="21.25" customHeight="1" x14ac:dyDescent="0.15">
      <c r="A437" s="45">
        <f>RANK(K437,K$1:K$665)</f>
        <v>436</v>
      </c>
      <c r="B437" s="9" t="s">
        <v>562</v>
      </c>
      <c r="C437" s="46" t="s">
        <v>127</v>
      </c>
      <c r="D437" s="47" t="str">
        <f>VLOOKUP(B437,'Player Data'!A1:D667,4,FALSE)</f>
        <v>D</v>
      </c>
      <c r="E437" s="66">
        <f>VLOOKUP(B437,D!A1:C213,3,FALSE)</f>
        <v>165</v>
      </c>
      <c r="F437" s="62" t="str">
        <f>VLOOKUP(B437,'Player Data'!A1:B667,2,FALSE)</f>
        <v>BOS</v>
      </c>
      <c r="G437" s="69">
        <f>VLOOKUP(B437,'Player Data'!A1:D667,3,FALSE)</f>
        <v>23</v>
      </c>
      <c r="H437" s="67">
        <f>IFERROR(VLOOKUP(B437,ADP!A1:G665,7,FALSE)/1000000,VLOOKUP(B437,ADP!A1:G665,7,FALSE))</f>
        <v>0.92500000000000004</v>
      </c>
      <c r="I437" s="51">
        <f>IF(Settings!$E$15="POINTS",((R437*Q437)*Settings!$B$12)+(S437*Settings!$B$2)+(T437*Settings!$B$3)+(U437*Settings!$B$4)+(V437*Settings!$B$5)+(X437*Settings!$B$9)+(AA437*Settings!$B$6)+(W437*Settings!$B$8)+(AB437*Settings!$B$7)+(AC437*Settings!$B$14)+(AD437*Settings!$B$15)+(AE437*Settings!$B$16)+(AF437*Settings!$B$17)+(AG437*Settings!$B$18)+(U437*Settings!$B$13)+(Y437*Settings!$B$10)+(Z437*Settings!$B$11),VLOOKUP(B437,'Standard Deviations'!A1:C666,3,FALSE))</f>
        <v>138.50203946586711</v>
      </c>
      <c r="J437" s="52">
        <f>IF(D437="G",I437/AJ437,I437/Q437)</f>
        <v>2.1303089973985561</v>
      </c>
      <c r="K437" s="51">
        <f>VLOOKUP(B437,D!A1:F213,6,FALSE)</f>
        <v>-197.73208557972779</v>
      </c>
      <c r="L437" s="53">
        <f>IFERROR(K437/H437,"N/A")</f>
        <v>-213.76441684294895</v>
      </c>
      <c r="M437" s="83" t="str">
        <f>IF(Settings!$E$9="YAHOO",VLOOKUP(B437,ADP!A1:E665,2,FALSE),IF(Settings!$E$9="ESPN",VLOOKUP(B437,ADP!A1:E665,3,FALSE),IF(Settings!$E$9="FANTRAX",VLOOKUP(B437,ADP!A1:E665,4,FALSE),VLOOKUP(B437,ADP!A1:E665,5,FALSE))))</f>
        <v>—</v>
      </c>
      <c r="N437" s="83" t="str">
        <f>IFERROR(M437-A437,"N/A")</f>
        <v>N/A</v>
      </c>
      <c r="O437" s="54"/>
      <c r="P437" s="55" t="str">
        <f>IF(Settings!$E$27="ON",VLOOKUP(B437,ADP!A1:H665,8,FALSE)," ")</f>
        <v xml:space="preserve"> </v>
      </c>
      <c r="Q437" s="56">
        <f>IF(Settings!$E$12="YES",VLOOKUP(B437,'Player Data'!A1:E667,5,FALSE),82)</f>
        <v>65.015000000000001</v>
      </c>
      <c r="R437" s="54">
        <f>VLOOKUP(B437,'Player Data'!$A1:$AE667,6,FALSE)</f>
        <v>16.672321668021201</v>
      </c>
      <c r="S437" s="56">
        <f>VLOOKUP(B437,'Player Data'!$A1:$AE667,7,FALSE)*$Q437*IFERROR((VLOOKUP(P437,Settings!$E$28:$F$33,2,FALSE)+1),1)</f>
        <v>4.7789535048227503</v>
      </c>
      <c r="T437" s="56">
        <f>VLOOKUP(B437,'Player Data'!$A1:$AE667,8,FALSE)*$Q437*IFERROR((VLOOKUP(P437,Settings!$E$28:$F$33,2,FALSE)+1),1)</f>
        <v>13.595402062538549</v>
      </c>
      <c r="U437" s="56">
        <f>SUM(S437:T437)</f>
        <v>18.374355567361299</v>
      </c>
      <c r="V437" s="56">
        <f>VLOOKUP(B437,'Player Data'!$A1:$AE667,10,FALSE)*$Q437*IFERROR(((VLOOKUP(P437,Settings!$E$28:$F$33,2,FALSE)/2)+1),1)</f>
        <v>69.66177990896729</v>
      </c>
      <c r="W437" s="56">
        <f>VLOOKUP(B437,'Player Data'!$A1:$AE667,11,FALSE)*$Q437*IFERROR((VLOOKUP(P437,Settings!$E$28:$F$33,2,FALSE)+1),1)</f>
        <v>0.65733134852089159</v>
      </c>
      <c r="X437" s="56">
        <f>VLOOKUP(B437,'Player Data'!$A1:$AE667,12,FALSE)*$Q437*IFERROR((VLOOKUP(P437,Settings!$E$28:$F$33,2,FALSE)+1),1)</f>
        <v>2.5499687208114188</v>
      </c>
      <c r="Y437" s="56">
        <f>VLOOKUP(B437,'Player Data'!$A1:$AE667,13,FALSE)*$Q437</f>
        <v>1.0481161913719214E-2</v>
      </c>
      <c r="Z437" s="56">
        <f>VLOOKUP(B437,'Player Data'!$A1:$AE667,14,FALSE)*$Q437</f>
        <v>5.1696065187475375E-2</v>
      </c>
      <c r="AA437" s="56">
        <f>VLOOKUP(B437,'Player Data'!$A1:$AE667,15,FALSE)*$Q437</f>
        <v>91.892836046601346</v>
      </c>
      <c r="AB437" s="56">
        <f>VLOOKUP(B437,'Player Data'!$A1:$AE667,16,FALSE)*$Q437</f>
        <v>72.294916092701726</v>
      </c>
      <c r="AC437" s="56">
        <f>VLOOKUP(B437,'Player Data'!$A1:$AE667,17,FALSE)*$Q437*IFERROR((VLOOKUP(P437,Settings!$E$28:$F$33,2,FALSE)+1),1)</f>
        <v>0.70682811946390467</v>
      </c>
      <c r="AD437" s="56">
        <f>VLOOKUP(B437,'Player Data'!$A1:$AE667,18,FALSE)*$Q437</f>
        <v>27.31723834989134</v>
      </c>
      <c r="AE437" s="56">
        <f>VLOOKUP(B437,'Player Data'!$A1:$AE667,19,FALSE)*$Q437*IFERROR((VLOOKUP(P437,Settings!$E$28:$F$33,2,FALSE)+1),1)</f>
        <v>0.74433977636983983</v>
      </c>
      <c r="AF437" s="56">
        <f>VLOOKUP(B437,'Player Data'!$A1:$AE667,20,FALSE)*$Q437</f>
        <v>0</v>
      </c>
      <c r="AG437" s="56">
        <f>VLOOKUP(B437,'Player Data'!$A1:$AE667,21,FALSE)*$Q437</f>
        <v>0</v>
      </c>
      <c r="AH437" s="58">
        <f>VLOOKUP(B437,'Player Data'!$A1:$AE667,22,FALSE)</f>
        <v>0</v>
      </c>
      <c r="AI437" s="54"/>
      <c r="AJ437" s="64"/>
      <c r="AK437" s="56"/>
      <c r="AL437" s="56"/>
      <c r="AM437" s="56"/>
      <c r="AN437" s="56"/>
      <c r="AO437" s="56"/>
      <c r="AP437" s="56"/>
      <c r="AQ437" s="59"/>
      <c r="AR437" s="60"/>
      <c r="AS437" s="54"/>
    </row>
    <row r="438" spans="1:45" ht="21.25" customHeight="1" x14ac:dyDescent="0.15">
      <c r="A438" s="45">
        <f>RANK(K438,K$1:K$665)</f>
        <v>437</v>
      </c>
      <c r="B438" s="9" t="s">
        <v>563</v>
      </c>
      <c r="C438" s="46" t="s">
        <v>127</v>
      </c>
      <c r="D438" s="47" t="str">
        <f>VLOOKUP(B438,'Player Data'!A1:D667,4,FALSE)</f>
        <v>D</v>
      </c>
      <c r="E438" s="66">
        <f>VLOOKUP(B438,D!A1:C213,3,FALSE)</f>
        <v>166</v>
      </c>
      <c r="F438" s="82" t="str">
        <f>VLOOKUP(B438,'Player Data'!A1:B667,2,FALSE)</f>
        <v>ANA</v>
      </c>
      <c r="G438" s="63">
        <f>VLOOKUP(B438,'Player Data'!A1:D667,3,FALSE)</f>
        <v>32</v>
      </c>
      <c r="H438" s="67">
        <f>IFERROR(VLOOKUP(B438,ADP!A1:G665,7,FALSE)/1000000,VLOOKUP(B438,ADP!A1:G665,7,FALSE))</f>
        <v>3.15</v>
      </c>
      <c r="I438" s="51">
        <f>IF(Settings!$E$15="POINTS",((R438*Q438)*Settings!$B$12)+(S438*Settings!$B$2)+(T438*Settings!$B$3)+(U438*Settings!$B$4)+(V438*Settings!$B$5)+(X438*Settings!$B$9)+(AA438*Settings!$B$6)+(W438*Settings!$B$8)+(AB438*Settings!$B$7)+(AC438*Settings!$B$14)+(AD438*Settings!$B$15)+(AE438*Settings!$B$16)+(AF438*Settings!$B$17)+(AG438*Settings!$B$18)+(U438*Settings!$B$13)+(Y438*Settings!$B$10)+(Z438*Settings!$B$11),VLOOKUP(B438,'Standard Deviations'!A1:C666,3,FALSE))</f>
        <v>138.47871038189362</v>
      </c>
      <c r="J438" s="52">
        <f>IF(D438="G",I438/AJ438,I438/Q438)</f>
        <v>1.7080321971248056</v>
      </c>
      <c r="K438" s="51">
        <f>VLOOKUP(B438,D!A1:F213,6,FALSE)</f>
        <v>-197.75541466370129</v>
      </c>
      <c r="L438" s="53">
        <f>IFERROR(K438/H438,"N/A")</f>
        <v>-62.779496718635329</v>
      </c>
      <c r="M438" s="83" t="str">
        <f>IF(Settings!$E$9="YAHOO",VLOOKUP(B438,ADP!A1:E665,2,FALSE),IF(Settings!$E$9="ESPN",VLOOKUP(B438,ADP!A1:E665,3,FALSE),IF(Settings!$E$9="FANTRAX",VLOOKUP(B438,ADP!A1:E665,4,FALSE),VLOOKUP(B438,ADP!A1:E665,5,FALSE))))</f>
        <v>—</v>
      </c>
      <c r="N438" s="83" t="str">
        <f>IFERROR(M438-A438,"N/A")</f>
        <v>N/A</v>
      </c>
      <c r="O438" s="54"/>
      <c r="P438" s="55" t="str">
        <f>IF(Settings!$E$27="ON",VLOOKUP(B438,ADP!A1:H665,8,FALSE)," ")</f>
        <v xml:space="preserve"> </v>
      </c>
      <c r="Q438" s="56">
        <f>IF(Settings!$E$12="YES",VLOOKUP(B438,'Player Data'!A1:E667,5,FALSE),82)</f>
        <v>81.075000000000003</v>
      </c>
      <c r="R438" s="54">
        <f>VLOOKUP(B438,'Player Data'!$A1:$AE667,6,FALSE)</f>
        <v>17.6396054296744</v>
      </c>
      <c r="S438" s="56">
        <f>VLOOKUP(B438,'Player Data'!$A1:$AE667,7,FALSE)*$Q438*IFERROR((VLOOKUP(P438,Settings!$E$28:$F$33,2,FALSE)+1),1)</f>
        <v>2.7424199175290136</v>
      </c>
      <c r="T438" s="56">
        <f>VLOOKUP(B438,'Player Data'!$A1:$AE667,8,FALSE)*$Q438*IFERROR((VLOOKUP(P438,Settings!$E$28:$F$33,2,FALSE)+1),1)</f>
        <v>14.122986891526674</v>
      </c>
      <c r="U438" s="56">
        <f>SUM(S438:T438)</f>
        <v>16.865406809055688</v>
      </c>
      <c r="V438" s="56">
        <f>VLOOKUP(B438,'Player Data'!$A1:$AE667,10,FALSE)*$Q438*IFERROR(((VLOOKUP(P438,Settings!$E$28:$F$33,2,FALSE)/2)+1),1)</f>
        <v>69.957381841067075</v>
      </c>
      <c r="W438" s="56">
        <f>VLOOKUP(B438,'Player Data'!$A1:$AE667,11,FALSE)*$Q438*IFERROR((VLOOKUP(P438,Settings!$E$28:$F$33,2,FALSE)+1),1)</f>
        <v>3.5360810325126654E-2</v>
      </c>
      <c r="X438" s="56">
        <f>VLOOKUP(B438,'Player Data'!$A1:$AE667,12,FALSE)*$Q438*IFERROR((VLOOKUP(P438,Settings!$E$28:$F$33,2,FALSE)+1),1)</f>
        <v>0.24588869634174779</v>
      </c>
      <c r="Y438" s="56">
        <f>VLOOKUP(B438,'Player Data'!$A1:$AE667,13,FALSE)*$Q438</f>
        <v>2.2854794260612921E-2</v>
      </c>
      <c r="Z438" s="56">
        <f>VLOOKUP(B438,'Player Data'!$A1:$AE667,14,FALSE)*$Q438</f>
        <v>0.5690102632181121</v>
      </c>
      <c r="AA438" s="56">
        <f>VLOOKUP(B438,'Player Data'!$A1:$AE667,15,FALSE)*$Q438</f>
        <v>104.17780014926635</v>
      </c>
      <c r="AB438" s="56">
        <f>VLOOKUP(B438,'Player Data'!$A1:$AE667,16,FALSE)*$Q438</f>
        <v>90.060096767289934</v>
      </c>
      <c r="AC438" s="56">
        <f>VLOOKUP(B438,'Player Data'!$A1:$AE667,17,FALSE)*$Q438*IFERROR((VLOOKUP(P438,Settings!$E$28:$F$33,2,FALSE)+1),1)</f>
        <v>-0.94476295560408818</v>
      </c>
      <c r="AD438" s="56">
        <f>VLOOKUP(B438,'Player Data'!$A1:$AE667,18,FALSE)*$Q438</f>
        <v>21.996542486927272</v>
      </c>
      <c r="AE438" s="56">
        <f>VLOOKUP(B438,'Player Data'!$A1:$AE667,19,FALSE)*$Q438*IFERROR((VLOOKUP(P438,Settings!$E$28:$F$33,2,FALSE)+1),1)</f>
        <v>0.31965522966111476</v>
      </c>
      <c r="AF438" s="56">
        <f>VLOOKUP(B438,'Player Data'!$A1:$AE667,20,FALSE)*$Q438</f>
        <v>0</v>
      </c>
      <c r="AG438" s="56">
        <f>VLOOKUP(B438,'Player Data'!$A1:$AE667,21,FALSE)*$Q438</f>
        <v>0</v>
      </c>
      <c r="AH438" s="58">
        <f>VLOOKUP(B438,'Player Data'!$A1:$AE667,22,FALSE)</f>
        <v>0</v>
      </c>
      <c r="AI438" s="54"/>
      <c r="AJ438" s="56"/>
      <c r="AK438" s="56"/>
      <c r="AL438" s="56"/>
      <c r="AM438" s="56"/>
      <c r="AN438" s="56"/>
      <c r="AO438" s="56"/>
      <c r="AP438" s="56"/>
      <c r="AQ438" s="59"/>
      <c r="AR438" s="60"/>
      <c r="AS438" s="54"/>
    </row>
    <row r="439" spans="1:45" ht="21.25" customHeight="1" x14ac:dyDescent="0.15">
      <c r="A439" s="45">
        <f>RANK(K439,K$1:K$665)</f>
        <v>438</v>
      </c>
      <c r="B439" s="9" t="s">
        <v>564</v>
      </c>
      <c r="C439" s="46" t="s">
        <v>127</v>
      </c>
      <c r="D439" s="47" t="str">
        <f>VLOOKUP(B439,'Player Data'!A1:D667,4,FALSE)</f>
        <v>C</v>
      </c>
      <c r="E439" s="48">
        <f>VLOOKUP(B439,'C'!A1:C206,3,FALSE)</f>
        <v>118</v>
      </c>
      <c r="F439" s="55" t="str">
        <f>VLOOKUP(B439,'Player Data'!A1:B667,2,FALSE)</f>
        <v>WPG</v>
      </c>
      <c r="G439" s="63">
        <f>VLOOKUP(B439,'Player Data'!A1:D667,3,FALSE)</f>
        <v>31</v>
      </c>
      <c r="H439" s="50">
        <f>IFERROR(VLOOKUP(B439,ADP!A1:G665,7,FALSE)/1000000,VLOOKUP(B439,ADP!A1:G665,7,FALSE))</f>
        <v>3.25</v>
      </c>
      <c r="I439" s="51">
        <f>IF(Settings!$E$15="POINTS",((R439*Q439)*Settings!$B$12)+(S439*Settings!$B$2)+(T439*Settings!$B$3)+(U439*Settings!$B$4)+(V439*Settings!$B$5)+(X439*Settings!$B$9)+(AA439*Settings!$B$6)+(W439*Settings!$B$8)+(AB439*Settings!$B$7)+(AC439*Settings!$B$14)+(AD439*Settings!$B$15)+(AE439*Settings!$B$16)+(AF439*Settings!$B$17)+(AG439*Settings!$B$18)+(Y439*Settings!$B$10)+(Z439*Settings!$B$11),VLOOKUP(B439,'Standard Deviations'!A1:C666,3,FALSE))</f>
        <v>192.1665870654281</v>
      </c>
      <c r="J439" s="52">
        <f>IF(D439="G",I439/AJ439,I439/Q439)</f>
        <v>2.3563543369661031</v>
      </c>
      <c r="K439" s="51">
        <f>IF(Settings!$E$18="C/LW/RW",VLOOKUP(B439,'C'!A1:F206,6,FALSE),VLOOKUP(B439,F!A1:F392,6,FALSE))</f>
        <v>-197.77057071265298</v>
      </c>
      <c r="L439" s="53">
        <f>IFERROR(K439/H439,"N/A")</f>
        <v>-60.852483296200916</v>
      </c>
      <c r="M439" s="83" t="str">
        <f>IF(Settings!$E$9="YAHOO",VLOOKUP(B439,ADP!A1:E665,2,FALSE),IF(Settings!$E$9="ESPN",VLOOKUP(B439,ADP!A1:E665,3,FALSE),IF(Settings!$E$9="FANTRAX",VLOOKUP(B439,ADP!A1:E665,4,FALSE),VLOOKUP(B439,ADP!A1:E665,5,FALSE))))</f>
        <v>—</v>
      </c>
      <c r="N439" s="83" t="str">
        <f>IFERROR(M439-A439,"N/A")</f>
        <v>N/A</v>
      </c>
      <c r="O439" s="54"/>
      <c r="P439" s="55" t="str">
        <f>IF(Settings!$E$27="ON",VLOOKUP(B439,ADP!A1:H665,8,FALSE)," ")</f>
        <v xml:space="preserve"> </v>
      </c>
      <c r="Q439" s="56">
        <f>IF(Settings!$E$12="YES",VLOOKUP(B439,'Player Data'!A1:E667,5,FALSE),82)</f>
        <v>81.552499999999995</v>
      </c>
      <c r="R439" s="54">
        <f>VLOOKUP(B439,'Player Data'!$A1:$AE667,6,FALSE)</f>
        <v>16.330781760182902</v>
      </c>
      <c r="S439" s="56">
        <f>VLOOKUP(B439,'Player Data'!$A1:$AE667,7,FALSE)*$Q439*IFERROR((VLOOKUP(P439,Settings!$E$28:$F$33,2,FALSE)+1),1)</f>
        <v>12.554539524435159</v>
      </c>
      <c r="T439" s="56">
        <f>VLOOKUP(B439,'Player Data'!$A1:$AE667,8,FALSE)*$Q439*IFERROR((VLOOKUP(P439,Settings!$E$28:$F$33,2,FALSE)+1),1)</f>
        <v>19.672498090846766</v>
      </c>
      <c r="U439" s="56">
        <f>SUM(S439:T439)</f>
        <v>32.227037615281922</v>
      </c>
      <c r="V439" s="56">
        <f>VLOOKUP(B439,'Player Data'!$A1:$AE667,10,FALSE)*$Q439*IFERROR(((VLOOKUP(P439,Settings!$E$28:$F$33,2,FALSE)/2)+1),1)</f>
        <v>123.64493325508711</v>
      </c>
      <c r="W439" s="56">
        <f>VLOOKUP(B439,'Player Data'!$A1:$AE667,11,FALSE)*$Q439*IFERROR((VLOOKUP(P439,Settings!$E$28:$F$33,2,FALSE)+1),1)</f>
        <v>0.24137716290569888</v>
      </c>
      <c r="X439" s="56">
        <f>VLOOKUP(B439,'Player Data'!$A1:$AE667,12,FALSE)*$Q439*IFERROR((VLOOKUP(P439,Settings!$E$28:$F$33,2,FALSE)+1),1)</f>
        <v>1.2259982136885448</v>
      </c>
      <c r="Y439" s="56">
        <f>VLOOKUP(B439,'Player Data'!$A1:$AE667,13,FALSE)*$Q439</f>
        <v>1.283788980345367</v>
      </c>
      <c r="Z439" s="56">
        <f>VLOOKUP(B439,'Player Data'!$A1:$AE667,14,FALSE)*$Q439</f>
        <v>2.4324440713167883</v>
      </c>
      <c r="AA439" s="56">
        <f>VLOOKUP(B439,'Player Data'!$A1:$AE667,15,FALSE)*$Q439</f>
        <v>60.009130614066933</v>
      </c>
      <c r="AB439" s="56">
        <f>VLOOKUP(B439,'Player Data'!$A1:$AE667,16,FALSE)*$Q439</f>
        <v>169.19112659879548</v>
      </c>
      <c r="AC439" s="56">
        <f>VLOOKUP(B439,'Player Data'!$A1:$AE667,17,FALSE)*$Q439*IFERROR((VLOOKUP(P439,Settings!$E$28:$F$33,2,FALSE)+1),1)</f>
        <v>3.4355773685807569</v>
      </c>
      <c r="AD439" s="56">
        <f>VLOOKUP(B439,'Player Data'!$A1:$AE667,18,FALSE)*$Q439</f>
        <v>50.879240754686414</v>
      </c>
      <c r="AE439" s="56">
        <f>VLOOKUP(B439,'Player Data'!$A1:$AE667,19,FALSE)*$Q439*IFERROR((VLOOKUP(P439,Settings!$E$28:$F$33,2,FALSE)+1),1)</f>
        <v>2.0868978907127351</v>
      </c>
      <c r="AF439" s="56">
        <f>VLOOKUP(B439,'Player Data'!$A1:$AE667,20,FALSE)*$Q439</f>
        <v>679.39379643274026</v>
      </c>
      <c r="AG439" s="56">
        <f>VLOOKUP(B439,'Player Data'!$A1:$AE667,21,FALSE)*$Q439</f>
        <v>668.12532581263849</v>
      </c>
      <c r="AH439" s="58">
        <f>VLOOKUP(B439,'Player Data'!$A1:$AE667,22,FALSE)</f>
        <v>0.50418119135902295</v>
      </c>
      <c r="AI439" s="54"/>
      <c r="AJ439" s="56"/>
      <c r="AK439" s="56"/>
      <c r="AL439" s="56"/>
      <c r="AM439" s="56"/>
      <c r="AN439" s="56"/>
      <c r="AO439" s="56"/>
      <c r="AP439" s="56"/>
      <c r="AQ439" s="59"/>
      <c r="AR439" s="60"/>
      <c r="AS439" s="64"/>
    </row>
    <row r="440" spans="1:45" ht="21.25" customHeight="1" x14ac:dyDescent="0.15">
      <c r="A440" s="45">
        <f>RANK(K440,K$1:K$665)</f>
        <v>439</v>
      </c>
      <c r="B440" s="9" t="s">
        <v>565</v>
      </c>
      <c r="C440" s="46" t="s">
        <v>127</v>
      </c>
      <c r="D440" s="47" t="str">
        <f>VLOOKUP(B440,'Player Data'!A1:D667,4,FALSE)</f>
        <v>C/LW</v>
      </c>
      <c r="E440" s="68">
        <f>VLOOKUP(B440,LW!A1:C152,3,FALSE)</f>
        <v>102</v>
      </c>
      <c r="F440" s="55" t="str">
        <f>VLOOKUP(B440,'Player Data'!A1:B667,2,FALSE)</f>
        <v>WPG</v>
      </c>
      <c r="G440" s="63">
        <f>VLOOKUP(B440,'Player Data'!A1:D667,3,FALSE)</f>
        <v>31</v>
      </c>
      <c r="H440" s="67">
        <f>IFERROR(VLOOKUP(B440,ADP!A1:G665,7,FALSE)/1000000,VLOOKUP(B440,ADP!A1:G665,7,FALSE))</f>
        <v>2</v>
      </c>
      <c r="I440" s="51">
        <f>IF(Settings!$E$15="POINTS",((R440*Q440)*Settings!$B$12)+(S440*Settings!$B$2)+(T440*Settings!$B$3)+(U440*Settings!$B$4)+(V440*Settings!$B$5)+(X440*Settings!$B$9)+(AA440*Settings!$B$6)+(W440*Settings!$B$8)+(AB440*Settings!$B$7)+(AC440*Settings!$B$14)+(AD440*Settings!$B$15)+(AE440*Settings!$B$16)+(AF440*Settings!$B$17)+(AG440*Settings!$B$18)+(Y440*Settings!$B$10)+(Z440*Settings!$B$11),VLOOKUP(B440,'Standard Deviations'!A1:C666,3,FALSE))</f>
        <v>183.07589191046605</v>
      </c>
      <c r="J440" s="52">
        <f>IF(D440="G",I440/AJ440,I440/Q440)</f>
        <v>2.2903811579828735</v>
      </c>
      <c r="K440" s="51">
        <f>IF(Settings!$E$18="C/LW/RW",VLOOKUP(B440,LW!A1:F152,6,FALSE),VLOOKUP(B440,F!A1:F392,6,FALSE))</f>
        <v>-197.9856203920337</v>
      </c>
      <c r="L440" s="53">
        <f>IFERROR(K440/H440,"N/A")</f>
        <v>-98.992810196016848</v>
      </c>
      <c r="M440" s="83" t="str">
        <f>IF(Settings!$E$9="YAHOO",VLOOKUP(B440,ADP!A1:E665,2,FALSE),IF(Settings!$E$9="ESPN",VLOOKUP(B440,ADP!A1:E665,3,FALSE),IF(Settings!$E$9="FANTRAX",VLOOKUP(B440,ADP!A1:E665,4,FALSE),VLOOKUP(B440,ADP!A1:E665,5,FALSE))))</f>
        <v>—</v>
      </c>
      <c r="N440" s="83" t="str">
        <f>IFERROR(M440-A440,"N/A")</f>
        <v>N/A</v>
      </c>
      <c r="O440" s="54"/>
      <c r="P440" s="55" t="str">
        <f>IF(Settings!$E$27="ON",VLOOKUP(B440,ADP!A1:H665,8,FALSE)," ")</f>
        <v xml:space="preserve"> </v>
      </c>
      <c r="Q440" s="56">
        <f>IF(Settings!$E$12="YES",VLOOKUP(B440,'Player Data'!A1:E667,5,FALSE),82)</f>
        <v>79.932500000000005</v>
      </c>
      <c r="R440" s="54">
        <f>VLOOKUP(B440,'Player Data'!$A1:$AE667,6,FALSE)</f>
        <v>14.771627202099699</v>
      </c>
      <c r="S440" s="56">
        <f>VLOOKUP(B440,'Player Data'!$A1:$AE667,7,FALSE)*$Q440*IFERROR((VLOOKUP(P440,Settings!$E$28:$F$33,2,FALSE)+1),1)</f>
        <v>11.791795228451941</v>
      </c>
      <c r="T440" s="56">
        <f>VLOOKUP(B440,'Player Data'!$A1:$AE667,8,FALSE)*$Q440*IFERROR((VLOOKUP(P440,Settings!$E$28:$F$33,2,FALSE)+1),1)</f>
        <v>21.823037287624476</v>
      </c>
      <c r="U440" s="56">
        <f>SUM(S440:T440)</f>
        <v>33.614832516076419</v>
      </c>
      <c r="V440" s="56">
        <f>VLOOKUP(B440,'Player Data'!$A1:$AE667,10,FALSE)*$Q440*IFERROR(((VLOOKUP(P440,Settings!$E$28:$F$33,2,FALSE)/2)+1),1)</f>
        <v>105.62249460408874</v>
      </c>
      <c r="W440" s="56">
        <f>VLOOKUP(B440,'Player Data'!$A1:$AE667,11,FALSE)*$Q440*IFERROR((VLOOKUP(P440,Settings!$E$28:$F$33,2,FALSE)+1),1)</f>
        <v>2.195804785752296</v>
      </c>
      <c r="X440" s="56">
        <f>VLOOKUP(B440,'Player Data'!$A1:$AE667,12,FALSE)*$Q440*IFERROR((VLOOKUP(P440,Settings!$E$28:$F$33,2,FALSE)+1),1)</f>
        <v>5.2157426977421588</v>
      </c>
      <c r="Y440" s="56">
        <f>VLOOKUP(B440,'Player Data'!$A1:$AE667,13,FALSE)*$Q440</f>
        <v>0.85798627262544314</v>
      </c>
      <c r="Z440" s="56">
        <f>VLOOKUP(B440,'Player Data'!$A1:$AE667,14,FALSE)*$Q440</f>
        <v>1.1791095470226094</v>
      </c>
      <c r="AA440" s="56">
        <f>VLOOKUP(B440,'Player Data'!$A1:$AE667,15,FALSE)*$Q440</f>
        <v>46.050589630855235</v>
      </c>
      <c r="AB440" s="56">
        <f>VLOOKUP(B440,'Player Data'!$A1:$AE667,16,FALSE)*$Q440</f>
        <v>99.679648151037824</v>
      </c>
      <c r="AC440" s="56">
        <f>VLOOKUP(B440,'Player Data'!$A1:$AE667,17,FALSE)*$Q440*IFERROR((VLOOKUP(P440,Settings!$E$28:$F$33,2,FALSE)+1),1)</f>
        <v>3.5870811325371257</v>
      </c>
      <c r="AD440" s="56">
        <f>VLOOKUP(B440,'Player Data'!$A1:$AE667,18,FALSE)*$Q440</f>
        <v>36.181502562630222</v>
      </c>
      <c r="AE440" s="56">
        <f>VLOOKUP(B440,'Player Data'!$A1:$AE667,19,FALSE)*$Q440*IFERROR((VLOOKUP(P440,Settings!$E$28:$F$33,2,FALSE)+1),1)</f>
        <v>1.9601095318611486</v>
      </c>
      <c r="AF440" s="56">
        <f>VLOOKUP(B440,'Player Data'!$A1:$AE667,20,FALSE)*$Q440</f>
        <v>157.32439822006293</v>
      </c>
      <c r="AG440" s="56">
        <f>VLOOKUP(B440,'Player Data'!$A1:$AE667,21,FALSE)*$Q440</f>
        <v>245.94126929209614</v>
      </c>
      <c r="AH440" s="58">
        <f>VLOOKUP(B440,'Player Data'!$A1:$AE667,22,FALSE)</f>
        <v>0.39012594151799301</v>
      </c>
      <c r="AI440" s="54"/>
      <c r="AJ440" s="56"/>
      <c r="AK440" s="56"/>
      <c r="AL440" s="56"/>
      <c r="AM440" s="56"/>
      <c r="AN440" s="56"/>
      <c r="AO440" s="56"/>
      <c r="AP440" s="56"/>
      <c r="AQ440" s="59"/>
      <c r="AR440" s="60"/>
      <c r="AS440" s="54"/>
    </row>
    <row r="441" spans="1:45" ht="21.25" customHeight="1" x14ac:dyDescent="0.15">
      <c r="A441" s="45">
        <f>RANK(K441,K$1:K$665)</f>
        <v>440</v>
      </c>
      <c r="B441" s="9" t="s">
        <v>566</v>
      </c>
      <c r="C441" s="46" t="s">
        <v>127</v>
      </c>
      <c r="D441" s="47" t="str">
        <f>VLOOKUP(B441,'Player Data'!A1:D667,4,FALSE)</f>
        <v>D</v>
      </c>
      <c r="E441" s="66">
        <f>VLOOKUP(B441,D!A1:C213,3,FALSE)</f>
        <v>167</v>
      </c>
      <c r="F441" s="65" t="str">
        <f>VLOOKUP(B441,'Player Data'!A1:B667,2,FALSE)</f>
        <v>NSH</v>
      </c>
      <c r="G441" s="10">
        <f>VLOOKUP(B441,'Player Data'!A1:D667,3,FALSE)</f>
        <v>27</v>
      </c>
      <c r="H441" s="50">
        <f>IFERROR(VLOOKUP(B441,ADP!A1:G665,7,FALSE)/1000000,VLOOKUP(B441,ADP!A1:G665,7,FALSE))</f>
        <v>2</v>
      </c>
      <c r="I441" s="51">
        <f>IF(Settings!$E$15="POINTS",((R441*Q441)*Settings!$B$12)+(S441*Settings!$B$2)+(T441*Settings!$B$3)+(U441*Settings!$B$4)+(V441*Settings!$B$5)+(X441*Settings!$B$9)+(AA441*Settings!$B$6)+(W441*Settings!$B$8)+(AB441*Settings!$B$7)+(AC441*Settings!$B$14)+(AD441*Settings!$B$15)+(AE441*Settings!$B$16)+(AF441*Settings!$B$17)+(AG441*Settings!$B$18)+(U441*Settings!$B$13)+(Y441*Settings!$B$10)+(Z441*Settings!$B$11),VLOOKUP(B441,'Standard Deviations'!A1:C666,3,FALSE))</f>
        <v>138.08323702602365</v>
      </c>
      <c r="J441" s="52">
        <f>IF(D441="G",I441/AJ441,I441/Q441)</f>
        <v>1.7740507101692511</v>
      </c>
      <c r="K441" s="51">
        <f>VLOOKUP(B441,D!A1:F213,6,FALSE)</f>
        <v>-198.15088801957125</v>
      </c>
      <c r="L441" s="53">
        <f>IFERROR(K441/H441,"N/A")</f>
        <v>-99.075444009785627</v>
      </c>
      <c r="M441" s="54">
        <f>IF(Settings!$E$9="YAHOO",VLOOKUP(B441,ADP!A1:E665,2,FALSE),IF(Settings!$E$9="ESPN",VLOOKUP(B441,ADP!A1:E665,3,FALSE),IF(Settings!$E$9="FANTRAX",VLOOKUP(B441,ADP!A1:E665,4,FALSE),VLOOKUP(B441,ADP!A1:E665,5,FALSE))))</f>
        <v>106.9</v>
      </c>
      <c r="N441" s="54">
        <f>IFERROR(M441-A441,"N/A")</f>
        <v>-333.1</v>
      </c>
      <c r="O441" s="54"/>
      <c r="P441" s="55" t="str">
        <f>IF(Settings!$E$27="ON",VLOOKUP(B441,ADP!A1:H665,8,FALSE)," ")</f>
        <v xml:space="preserve"> </v>
      </c>
      <c r="Q441" s="56">
        <f>IF(Settings!$E$12="YES",VLOOKUP(B441,'Player Data'!A1:E667,5,FALSE),82)</f>
        <v>77.834999999999994</v>
      </c>
      <c r="R441" s="81">
        <f>VLOOKUP(B441,'Player Data'!$A1:$AE667,6,FALSE)</f>
        <v>17.503431128508002</v>
      </c>
      <c r="S441" s="56">
        <f>VLOOKUP(B441,'Player Data'!$A1:$AE667,7,FALSE)*$Q441*IFERROR((VLOOKUP(P441,Settings!$E$28:$F$33,2,FALSE)+1),1)</f>
        <v>3.993002439844858</v>
      </c>
      <c r="T441" s="56">
        <f>VLOOKUP(B441,'Player Data'!$A1:$AE667,8,FALSE)*$Q441*IFERROR((VLOOKUP(P441,Settings!$E$28:$F$33,2,FALSE)+1),1)</f>
        <v>9.3283604895173831</v>
      </c>
      <c r="U441" s="56">
        <f>SUM(S441:T441)</f>
        <v>13.321362929362241</v>
      </c>
      <c r="V441" s="56">
        <f>VLOOKUP(B441,'Player Data'!$A1:$AE667,10,FALSE)*$Q441*IFERROR(((VLOOKUP(P441,Settings!$E$28:$F$33,2,FALSE)/2)+1),1)</f>
        <v>89.871569760848232</v>
      </c>
      <c r="W441" s="56">
        <f>VLOOKUP(B441,'Player Data'!$A1:$AE667,11,FALSE)*$Q441*IFERROR((VLOOKUP(P441,Settings!$E$28:$F$33,2,FALSE)+1),1)</f>
        <v>2.5502184023374726E-2</v>
      </c>
      <c r="X441" s="56">
        <f>VLOOKUP(B441,'Player Data'!$A1:$AE667,12,FALSE)*$Q441*IFERROR((VLOOKUP(P441,Settings!$E$28:$F$33,2,FALSE)+1),1)</f>
        <v>0.16458361907976576</v>
      </c>
      <c r="Y441" s="56">
        <f>VLOOKUP(B441,'Player Data'!$A1:$AE667,13,FALSE)*$Q441</f>
        <v>3.0458414342671412E-2</v>
      </c>
      <c r="Z441" s="56">
        <f>VLOOKUP(B441,'Player Data'!$A1:$AE667,14,FALSE)*$Q441</f>
        <v>0.41767155265877892</v>
      </c>
      <c r="AA441" s="56">
        <f>VLOOKUP(B441,'Player Data'!$A1:$AE667,15,FALSE)*$Q441</f>
        <v>105.20221637154849</v>
      </c>
      <c r="AB441" s="56">
        <f>VLOOKUP(B441,'Player Data'!$A1:$AE667,16,FALSE)*$Q441</f>
        <v>282.836510722995</v>
      </c>
      <c r="AC441" s="56">
        <f>VLOOKUP(B441,'Player Data'!$A1:$AE667,17,FALSE)*$Q441*IFERROR((VLOOKUP(P441,Settings!$E$28:$F$33,2,FALSE)+1),1)</f>
        <v>-0.65287548355588532</v>
      </c>
      <c r="AD441" s="56">
        <f>VLOOKUP(B441,'Player Data'!$A1:$AE667,18,FALSE)*$Q441</f>
        <v>80.572515579755475</v>
      </c>
      <c r="AE441" s="56">
        <f>VLOOKUP(B441,'Player Data'!$A1:$AE667,19,FALSE)*$Q441*IFERROR((VLOOKUP(P441,Settings!$E$28:$F$33,2,FALSE)+1),1)</f>
        <v>0.5653804758177039</v>
      </c>
      <c r="AF441" s="56">
        <f>VLOOKUP(B441,'Player Data'!$A1:$AE667,20,FALSE)*$Q441</f>
        <v>0</v>
      </c>
      <c r="AG441" s="56">
        <f>VLOOKUP(B441,'Player Data'!$A1:$AE667,21,FALSE)*$Q441</f>
        <v>0</v>
      </c>
      <c r="AH441" s="58">
        <f>VLOOKUP(B441,'Player Data'!$A1:$AE667,22,FALSE)</f>
        <v>0</v>
      </c>
      <c r="AI441" s="54"/>
      <c r="AJ441" s="64"/>
      <c r="AK441" s="56"/>
      <c r="AL441" s="56"/>
      <c r="AM441" s="56"/>
      <c r="AN441" s="56"/>
      <c r="AO441" s="56"/>
      <c r="AP441" s="56"/>
      <c r="AQ441" s="59"/>
      <c r="AR441" s="60"/>
      <c r="AS441" s="54"/>
    </row>
    <row r="442" spans="1:45" ht="21.25" customHeight="1" x14ac:dyDescent="0.15">
      <c r="A442" s="45">
        <f>RANK(K442,K$1:K$665)</f>
        <v>441</v>
      </c>
      <c r="B442" s="9" t="s">
        <v>567</v>
      </c>
      <c r="C442" s="46" t="s">
        <v>127</v>
      </c>
      <c r="D442" s="47" t="str">
        <f>VLOOKUP(B442,'Player Data'!A1:D667,4,FALSE)</f>
        <v>C</v>
      </c>
      <c r="E442" s="48">
        <f>VLOOKUP(B442,'C'!A1:C206,3,FALSE)</f>
        <v>119</v>
      </c>
      <c r="F442" s="55" t="str">
        <f>VLOOKUP(B442,'Player Data'!A1:B667,2,FALSE)</f>
        <v>UTA</v>
      </c>
      <c r="G442" s="63">
        <f>VLOOKUP(B442,'Player Data'!A1:D667,3,FALSE)</f>
        <v>32</v>
      </c>
      <c r="H442" s="67">
        <f>IFERROR(VLOOKUP(B442,ADP!A1:G665,7,FALSE)/1000000,VLOOKUP(B442,ADP!A1:G665,7,FALSE))</f>
        <v>2.1</v>
      </c>
      <c r="I442" s="51">
        <f>IF(Settings!$E$15="POINTS",((R442*Q442)*Settings!$B$12)+(S442*Settings!$B$2)+(T442*Settings!$B$3)+(U442*Settings!$B$4)+(V442*Settings!$B$5)+(X442*Settings!$B$9)+(AA442*Settings!$B$6)+(W442*Settings!$B$8)+(AB442*Settings!$B$7)+(AC442*Settings!$B$14)+(AD442*Settings!$B$15)+(AE442*Settings!$B$16)+(AF442*Settings!$B$17)+(AG442*Settings!$B$18)+(Y442*Settings!$B$10)+(Z442*Settings!$B$11),VLOOKUP(B442,'Standard Deviations'!A1:C666,3,FALSE))</f>
        <v>191.33451992055254</v>
      </c>
      <c r="J442" s="52">
        <f>IF(D442="G",I442/AJ442,I442/Q442)</f>
        <v>2.455682730161747</v>
      </c>
      <c r="K442" s="51">
        <f>IF(Settings!$E$18="C/LW/RW",VLOOKUP(B442,'C'!A1:F206,6,FALSE),VLOOKUP(B442,F!A1:F392,6,FALSE))</f>
        <v>-198.60263785752855</v>
      </c>
      <c r="L442" s="53">
        <f>IFERROR(K442/H442,"N/A")</f>
        <v>-94.572684694061209</v>
      </c>
      <c r="M442" s="83" t="str">
        <f>IF(Settings!$E$9="YAHOO",VLOOKUP(B442,ADP!A1:E665,2,FALSE),IF(Settings!$E$9="ESPN",VLOOKUP(B442,ADP!A1:E665,3,FALSE),IF(Settings!$E$9="FANTRAX",VLOOKUP(B442,ADP!A1:E665,4,FALSE),VLOOKUP(B442,ADP!A1:E665,5,FALSE))))</f>
        <v>—</v>
      </c>
      <c r="N442" s="83" t="str">
        <f>IFERROR(M442-A442,"N/A")</f>
        <v>N/A</v>
      </c>
      <c r="O442" s="54"/>
      <c r="P442" s="55" t="str">
        <f>IF(Settings!$E$27="ON",VLOOKUP(B442,ADP!A1:H665,8,FALSE)," ")</f>
        <v xml:space="preserve"> </v>
      </c>
      <c r="Q442" s="56">
        <f>IF(Settings!$E$12="YES",VLOOKUP(B442,'Player Data'!A1:E667,5,FALSE),82)</f>
        <v>77.915000000000006</v>
      </c>
      <c r="R442" s="81">
        <f>VLOOKUP(B442,'Player Data'!$A1:$AE667,6,FALSE)</f>
        <v>15.517239328308699</v>
      </c>
      <c r="S442" s="56">
        <f>VLOOKUP(B442,'Player Data'!$A1:$AE667,7,FALSE)*$Q442*IFERROR((VLOOKUP(P442,Settings!$E$28:$F$33,2,FALSE)+1),1)</f>
        <v>16.177068999978033</v>
      </c>
      <c r="T442" s="56">
        <f>VLOOKUP(B442,'Player Data'!$A1:$AE667,8,FALSE)*$Q442*IFERROR((VLOOKUP(P442,Settings!$E$28:$F$33,2,FALSE)+1),1)</f>
        <v>15.568819306280718</v>
      </c>
      <c r="U442" s="56">
        <f>SUM(S442:T442)</f>
        <v>31.745888306258749</v>
      </c>
      <c r="V442" s="56">
        <f>VLOOKUP(B442,'Player Data'!$A1:$AE667,10,FALSE)*$Q442*IFERROR(((VLOOKUP(P442,Settings!$E$28:$F$33,2,FALSE)/2)+1),1)</f>
        <v>142.23211475382851</v>
      </c>
      <c r="W442" s="56">
        <f>VLOOKUP(B442,'Player Data'!$A1:$AE667,11,FALSE)*$Q442*IFERROR((VLOOKUP(P442,Settings!$E$28:$F$33,2,FALSE)+1),1)</f>
        <v>0.54669803894481961</v>
      </c>
      <c r="X442" s="56">
        <f>VLOOKUP(B442,'Player Data'!$A1:$AE667,12,FALSE)*$Q442*IFERROR((VLOOKUP(P442,Settings!$E$28:$F$33,2,FALSE)+1),1)</f>
        <v>1.2935422913693093</v>
      </c>
      <c r="Y442" s="56">
        <f>VLOOKUP(B442,'Player Data'!$A1:$AE667,13,FALSE)*$Q442</f>
        <v>0.92246820252669537</v>
      </c>
      <c r="Z442" s="56">
        <f>VLOOKUP(B442,'Player Data'!$A1:$AE667,14,FALSE)*$Q442</f>
        <v>1.0466601262367212</v>
      </c>
      <c r="AA442" s="56">
        <f>VLOOKUP(B442,'Player Data'!$A1:$AE667,15,FALSE)*$Q442</f>
        <v>45.28119041451194</v>
      </c>
      <c r="AB442" s="56">
        <f>VLOOKUP(B442,'Player Data'!$A1:$AE667,16,FALSE)*$Q442</f>
        <v>124.65827795384806</v>
      </c>
      <c r="AC442" s="56">
        <f>VLOOKUP(B442,'Player Data'!$A1:$AE667,17,FALSE)*$Q442*IFERROR((VLOOKUP(P442,Settings!$E$28:$F$33,2,FALSE)+1),1)</f>
        <v>1.3042183462437549</v>
      </c>
      <c r="AD442" s="56">
        <f>VLOOKUP(B442,'Player Data'!$A1:$AE667,18,FALSE)*$Q442</f>
        <v>38.35541618656945</v>
      </c>
      <c r="AE442" s="56">
        <f>VLOOKUP(B442,'Player Data'!$A1:$AE667,19,FALSE)*$Q442*IFERROR((VLOOKUP(P442,Settings!$E$28:$F$33,2,FALSE)+1),1)</f>
        <v>2.3671806847419026</v>
      </c>
      <c r="AF442" s="56">
        <f>VLOOKUP(B442,'Player Data'!$A1:$AE667,20,FALSE)*$Q442</f>
        <v>537.53783603960039</v>
      </c>
      <c r="AG442" s="56">
        <f>VLOOKUP(B442,'Player Data'!$A1:$AE667,21,FALSE)*$Q442</f>
        <v>549.16495199113911</v>
      </c>
      <c r="AH442" s="58">
        <f>VLOOKUP(B442,'Player Data'!$A1:$AE667,22,FALSE)</f>
        <v>0.494650277849839</v>
      </c>
      <c r="AI442" s="54"/>
      <c r="AJ442" s="56"/>
      <c r="AK442" s="56"/>
      <c r="AL442" s="56"/>
      <c r="AM442" s="56"/>
      <c r="AN442" s="56"/>
      <c r="AO442" s="56"/>
      <c r="AP442" s="56"/>
      <c r="AQ442" s="59"/>
      <c r="AR442" s="60"/>
      <c r="AS442" s="54"/>
    </row>
    <row r="443" spans="1:45" ht="21.25" customHeight="1" x14ac:dyDescent="0.15">
      <c r="A443" s="45">
        <f>RANK(K443,K$1:K$665)</f>
        <v>442</v>
      </c>
      <c r="B443" s="9" t="s">
        <v>568</v>
      </c>
      <c r="C443" s="46" t="s">
        <v>127</v>
      </c>
      <c r="D443" s="47" t="str">
        <f>VLOOKUP(B443,'Player Data'!A1:D667,4,FALSE)</f>
        <v>LW</v>
      </c>
      <c r="E443" s="70">
        <f>VLOOKUP(B443,LW!A1:C152,3,FALSE)</f>
        <v>104</v>
      </c>
      <c r="F443" s="55" t="str">
        <f>VLOOKUP(B443,'Player Data'!A1:B667,2,FALSE)</f>
        <v>VGK</v>
      </c>
      <c r="G443" s="10">
        <f>VLOOKUP(B443,'Player Data'!A1:D667,3,FALSE)</f>
        <v>29</v>
      </c>
      <c r="H443" s="67">
        <f>IFERROR(VLOOKUP(B443,ADP!A1:G665,7,FALSE)/1000000,VLOOKUP(B443,ADP!A1:G665,7,FALSE))</f>
        <v>1.075</v>
      </c>
      <c r="I443" s="51">
        <f>IF(Settings!$E$15="POINTS",((R443*Q443)*Settings!$B$12)+(S443*Settings!$B$2)+(T443*Settings!$B$3)+(U443*Settings!$B$4)+(V443*Settings!$B$5)+(X443*Settings!$B$9)+(AA443*Settings!$B$6)+(W443*Settings!$B$8)+(AB443*Settings!$B$7)+(AC443*Settings!$B$14)+(AD443*Settings!$B$15)+(AE443*Settings!$B$16)+(AF443*Settings!$B$17)+(AG443*Settings!$B$18)+(Y443*Settings!$B$10)+(Z443*Settings!$B$11),VLOOKUP(B443,'Standard Deviations'!A1:C666,3,FALSE))</f>
        <v>182.14227813828055</v>
      </c>
      <c r="J443" s="52">
        <f>IF(D443="G",I443/AJ443,I443/Q443)</f>
        <v>2.4427315515091603</v>
      </c>
      <c r="K443" s="51">
        <f>IF(Settings!$E$18="C/LW/RW",VLOOKUP(B443,LW!A1:F152,6,FALSE),VLOOKUP(B443,F!A1:F392,6,FALSE))</f>
        <v>-198.9192341642192</v>
      </c>
      <c r="L443" s="53">
        <f>IFERROR(K443/H443,"N/A")</f>
        <v>-185.04114805973882</v>
      </c>
      <c r="M443" s="83" t="str">
        <f>IF(Settings!$E$9="YAHOO",VLOOKUP(B443,ADP!A1:E665,2,FALSE),IF(Settings!$E$9="ESPN",VLOOKUP(B443,ADP!A1:E665,3,FALSE),IF(Settings!$E$9="FANTRAX",VLOOKUP(B443,ADP!A1:E665,4,FALSE),VLOOKUP(B443,ADP!A1:E665,5,FALSE))))</f>
        <v>—</v>
      </c>
      <c r="N443" s="83" t="str">
        <f>IFERROR(M443-A443,"N/A")</f>
        <v>N/A</v>
      </c>
      <c r="O443" s="54"/>
      <c r="P443" s="55" t="str">
        <f>IF(Settings!$E$27="ON",VLOOKUP(B443,ADP!A1:H665,8,FALSE)," ")</f>
        <v xml:space="preserve"> </v>
      </c>
      <c r="Q443" s="56">
        <f>IF(Settings!$E$12="YES",VLOOKUP(B443,'Player Data'!A1:E667,5,FALSE),82)</f>
        <v>74.564999999999998</v>
      </c>
      <c r="R443" s="75">
        <f>VLOOKUP(B443,'Player Data'!$A1:$AE667,6,FALSE)</f>
        <v>13.4907216431418</v>
      </c>
      <c r="S443" s="56">
        <f>VLOOKUP(B443,'Player Data'!$A1:$AE667,7,FALSE)*$Q443*IFERROR((VLOOKUP(P443,Settings!$E$28:$F$33,2,FALSE)+1),1)</f>
        <v>18.430165427319025</v>
      </c>
      <c r="T443" s="56">
        <f>VLOOKUP(B443,'Player Data'!$A1:$AE667,8,FALSE)*$Q443*IFERROR((VLOOKUP(P443,Settings!$E$28:$F$33,2,FALSE)+1),1)</f>
        <v>16.557346583820902</v>
      </c>
      <c r="U443" s="56">
        <f>SUM(S443:T443)</f>
        <v>34.987512011139927</v>
      </c>
      <c r="V443" s="56">
        <f>VLOOKUP(B443,'Player Data'!$A1:$AE667,10,FALSE)*$Q443*IFERROR(((VLOOKUP(P443,Settings!$E$28:$F$33,2,FALSE)/2)+1),1)</f>
        <v>125.67049392168938</v>
      </c>
      <c r="W443" s="56">
        <f>VLOOKUP(B443,'Player Data'!$A1:$AE667,11,FALSE)*$Q443*IFERROR((VLOOKUP(P443,Settings!$E$28:$F$33,2,FALSE)+1),1)</f>
        <v>2.3597189271286871</v>
      </c>
      <c r="X443" s="56">
        <f>VLOOKUP(B443,'Player Data'!$A1:$AE667,12,FALSE)*$Q443*IFERROR((VLOOKUP(P443,Settings!$E$28:$F$33,2,FALSE)+1),1)</f>
        <v>4.6195076529691743</v>
      </c>
      <c r="Y443" s="56">
        <f>VLOOKUP(B443,'Player Data'!$A1:$AE667,13,FALSE)*$Q443</f>
        <v>2.9376768243337828E-3</v>
      </c>
      <c r="Z443" s="56">
        <f>VLOOKUP(B443,'Player Data'!$A1:$AE667,14,FALSE)*$Q443</f>
        <v>9.411100551199451E-3</v>
      </c>
      <c r="AA443" s="56">
        <f>VLOOKUP(B443,'Player Data'!$A1:$AE667,15,FALSE)*$Q443</f>
        <v>19.4311527809914</v>
      </c>
      <c r="AB443" s="56">
        <f>VLOOKUP(B443,'Player Data'!$A1:$AE667,16,FALSE)*$Q443</f>
        <v>38.258104396704923</v>
      </c>
      <c r="AC443" s="56">
        <f>VLOOKUP(B443,'Player Data'!$A1:$AE667,17,FALSE)*$Q443*IFERROR((VLOOKUP(P443,Settings!$E$28:$F$33,2,FALSE)+1),1)</f>
        <v>-2.434323818671563</v>
      </c>
      <c r="AD443" s="56">
        <f>VLOOKUP(B443,'Player Data'!$A1:$AE667,18,FALSE)*$Q443</f>
        <v>10.529908092839078</v>
      </c>
      <c r="AE443" s="56">
        <f>VLOOKUP(B443,'Player Data'!$A1:$AE667,19,FALSE)*$Q443*IFERROR((VLOOKUP(P443,Settings!$E$28:$F$33,2,FALSE)+1),1)</f>
        <v>2.8032519172413228</v>
      </c>
      <c r="AF443" s="56">
        <f>VLOOKUP(B443,'Player Data'!$A1:$AE667,20,FALSE)*$Q443</f>
        <v>0.23250286080104318</v>
      </c>
      <c r="AG443" s="56">
        <f>VLOOKUP(B443,'Player Data'!$A1:$AE667,21,FALSE)*$Q443</f>
        <v>3.1000058498234235</v>
      </c>
      <c r="AH443" s="58">
        <f>VLOOKUP(B443,'Player Data'!$A1:$AE667,22,FALSE)</f>
        <v>6.97681179526385E-2</v>
      </c>
      <c r="AI443" s="54"/>
      <c r="AJ443" s="64"/>
      <c r="AK443" s="56"/>
      <c r="AL443" s="56"/>
      <c r="AM443" s="56"/>
      <c r="AN443" s="56"/>
      <c r="AO443" s="56"/>
      <c r="AP443" s="56"/>
      <c r="AQ443" s="59"/>
      <c r="AR443" s="60"/>
      <c r="AS443" s="54"/>
    </row>
    <row r="444" spans="1:45" ht="21.25" customHeight="1" x14ac:dyDescent="0.15">
      <c r="A444" s="45">
        <f>RANK(K444,K$1:K$665)</f>
        <v>443</v>
      </c>
      <c r="B444" s="9" t="s">
        <v>569</v>
      </c>
      <c r="C444" s="46" t="s">
        <v>127</v>
      </c>
      <c r="D444" s="47" t="str">
        <f>VLOOKUP(B444,'Player Data'!A1:D667,4,FALSE)</f>
        <v>C</v>
      </c>
      <c r="E444" s="48">
        <f>VLOOKUP(B444,'C'!A1:C206,3,FALSE)</f>
        <v>121</v>
      </c>
      <c r="F444" s="74" t="str">
        <f>VLOOKUP(B444,'Player Data'!A1:B667,2,FALSE)</f>
        <v>PIT</v>
      </c>
      <c r="G444" s="63">
        <f>VLOOKUP(B444,'Player Data'!A1:D667,3,FALSE)</f>
        <v>32</v>
      </c>
      <c r="H444" s="50">
        <f>IFERROR(VLOOKUP(B444,ADP!A1:G665,7,FALSE)/1000000,VLOOKUP(B444,ADP!A1:G665,7,FALSE))</f>
        <v>3.5714290000000002</v>
      </c>
      <c r="I444" s="51">
        <f>IF(Settings!$E$15="POINTS",((R444*Q444)*Settings!$B$12)+(S444*Settings!$B$2)+(T444*Settings!$B$3)+(U444*Settings!$B$4)+(V444*Settings!$B$5)+(X444*Settings!$B$9)+(AA444*Settings!$B$6)+(W444*Settings!$B$8)+(AB444*Settings!$B$7)+(AC444*Settings!$B$14)+(AD444*Settings!$B$15)+(AE444*Settings!$B$16)+(AF444*Settings!$B$17)+(AG444*Settings!$B$18)+(Y444*Settings!$B$10)+(Z444*Settings!$B$11),VLOOKUP(B444,'Standard Deviations'!A1:C666,3,FALSE))</f>
        <v>190.24984247100457</v>
      </c>
      <c r="J444" s="52">
        <f>IF(D444="G",I444/AJ444,I444/Q444)</f>
        <v>2.4403520070677858</v>
      </c>
      <c r="K444" s="51">
        <f>IF(Settings!$E$18="C/LW/RW",VLOOKUP(B444,'C'!A1:F206,6,FALSE),VLOOKUP(B444,F!A1:F392,6,FALSE))</f>
        <v>-199.68731530707652</v>
      </c>
      <c r="L444" s="53">
        <f>IFERROR(K444/H444,"N/A")</f>
        <v>-55.912441576488433</v>
      </c>
      <c r="M444" s="83" t="str">
        <f>IF(Settings!$E$9="YAHOO",VLOOKUP(B444,ADP!A1:E665,2,FALSE),IF(Settings!$E$9="ESPN",VLOOKUP(B444,ADP!A1:E665,3,FALSE),IF(Settings!$E$9="FANTRAX",VLOOKUP(B444,ADP!A1:E665,4,FALSE),VLOOKUP(B444,ADP!A1:E665,5,FALSE))))</f>
        <v>—</v>
      </c>
      <c r="N444" s="83" t="str">
        <f>IFERROR(M444-A444,"N/A")</f>
        <v>N/A</v>
      </c>
      <c r="O444" s="54"/>
      <c r="P444" s="55" t="str">
        <f>IF(Settings!$E$27="ON",VLOOKUP(B444,ADP!A1:H665,8,FALSE)," ")</f>
        <v xml:space="preserve"> </v>
      </c>
      <c r="Q444" s="56">
        <f>IF(Settings!$E$12="YES",VLOOKUP(B444,'Player Data'!A1:E667,5,FALSE),82)</f>
        <v>77.959999999999994</v>
      </c>
      <c r="R444" s="54">
        <f>VLOOKUP(B444,'Player Data'!$A1:$AE667,6,FALSE)</f>
        <v>14.1683545168409</v>
      </c>
      <c r="S444" s="56">
        <f>VLOOKUP(B444,'Player Data'!$A1:$AE667,7,FALSE)*$Q444*IFERROR((VLOOKUP(P444,Settings!$E$28:$F$33,2,FALSE)+1),1)</f>
        <v>12.433607801162987</v>
      </c>
      <c r="T444" s="56">
        <f>VLOOKUP(B444,'Player Data'!$A1:$AE667,8,FALSE)*$Q444*IFERROR((VLOOKUP(P444,Settings!$E$28:$F$33,2,FALSE)+1),1)</f>
        <v>20.619131363871169</v>
      </c>
      <c r="U444" s="56">
        <f>SUM(S444:T444)</f>
        <v>33.052739165034154</v>
      </c>
      <c r="V444" s="56">
        <f>VLOOKUP(B444,'Player Data'!$A1:$AE667,10,FALSE)*$Q444*IFERROR(((VLOOKUP(P444,Settings!$E$28:$F$33,2,FALSE)/2)+1),1)</f>
        <v>149.3922728959927</v>
      </c>
      <c r="W444" s="56">
        <f>VLOOKUP(B444,'Player Data'!$A1:$AE667,11,FALSE)*$Q444*IFERROR((VLOOKUP(P444,Settings!$E$28:$F$33,2,FALSE)+1),1)</f>
        <v>1.7838189966190034</v>
      </c>
      <c r="X444" s="56">
        <f>VLOOKUP(B444,'Player Data'!$A1:$AE667,12,FALSE)*$Q444*IFERROR((VLOOKUP(P444,Settings!$E$28:$F$33,2,FALSE)+1),1)</f>
        <v>6.6288553724359964</v>
      </c>
      <c r="Y444" s="56">
        <f>VLOOKUP(B444,'Player Data'!$A1:$AE667,13,FALSE)*$Q444</f>
        <v>5.5051061236549001E-2</v>
      </c>
      <c r="Z444" s="56">
        <f>VLOOKUP(B444,'Player Data'!$A1:$AE667,14,FALSE)*$Q444</f>
        <v>0.18128326446481574</v>
      </c>
      <c r="AA444" s="56">
        <f>VLOOKUP(B444,'Player Data'!$A1:$AE667,15,FALSE)*$Q444</f>
        <v>19.170699782009876</v>
      </c>
      <c r="AB444" s="56">
        <f>VLOOKUP(B444,'Player Data'!$A1:$AE667,16,FALSE)*$Q444</f>
        <v>46.755147273395735</v>
      </c>
      <c r="AC444" s="56">
        <f>VLOOKUP(B444,'Player Data'!$A1:$AE667,17,FALSE)*$Q444*IFERROR((VLOOKUP(P444,Settings!$E$28:$F$33,2,FALSE)+1),1)</f>
        <v>-3.3955215258441966</v>
      </c>
      <c r="AD444" s="56">
        <f>VLOOKUP(B444,'Player Data'!$A1:$AE667,18,FALSE)*$Q444</f>
        <v>18.394391148334496</v>
      </c>
      <c r="AE444" s="56">
        <f>VLOOKUP(B444,'Player Data'!$A1:$AE667,19,FALSE)*$Q444*IFERROR((VLOOKUP(P444,Settings!$E$28:$F$33,2,FALSE)+1),1)</f>
        <v>1.843194105382886</v>
      </c>
      <c r="AF444" s="56">
        <f>VLOOKUP(B444,'Player Data'!$A1:$AE667,20,FALSE)*$Q444</f>
        <v>387.32171011065378</v>
      </c>
      <c r="AG444" s="56">
        <f>VLOOKUP(B444,'Player Data'!$A1:$AE667,21,FALSE)*$Q444</f>
        <v>367.46174707768273</v>
      </c>
      <c r="AH444" s="58">
        <f>VLOOKUP(B444,'Player Data'!$A1:$AE667,22,FALSE)</f>
        <v>0.51315606671279701</v>
      </c>
      <c r="AI444" s="54"/>
      <c r="AJ444" s="56"/>
      <c r="AK444" s="56"/>
      <c r="AL444" s="56"/>
      <c r="AM444" s="56"/>
      <c r="AN444" s="56"/>
      <c r="AO444" s="56"/>
      <c r="AP444" s="56"/>
      <c r="AQ444" s="59"/>
      <c r="AR444" s="60"/>
      <c r="AS444" s="54"/>
    </row>
    <row r="445" spans="1:45" ht="21.25" customHeight="1" x14ac:dyDescent="0.15">
      <c r="A445" s="45">
        <f>RANK(K445,K$1:K$665)</f>
        <v>444</v>
      </c>
      <c r="B445" s="9" t="s">
        <v>570</v>
      </c>
      <c r="C445" s="46" t="s">
        <v>127</v>
      </c>
      <c r="D445" s="47" t="str">
        <f>VLOOKUP(B445,'Player Data'!A1:D667,4,FALSE)</f>
        <v>D</v>
      </c>
      <c r="E445" s="66">
        <f>VLOOKUP(B445,D!A1:C213,3,FALSE)</f>
        <v>168</v>
      </c>
      <c r="F445" s="77" t="str">
        <f>VLOOKUP(B445,'Player Data'!A1:B667,2,FALSE)</f>
        <v>CBJ</v>
      </c>
      <c r="G445" s="69">
        <f>VLOOKUP(B445,'Player Data'!A1:D667,3,FALSE)</f>
        <v>24</v>
      </c>
      <c r="H445" s="67">
        <f>IFERROR(VLOOKUP(B445,ADP!A1:G665,7,FALSE)/1000000,VLOOKUP(B445,ADP!A1:G665,7,FALSE))</f>
        <v>1.4</v>
      </c>
      <c r="I445" s="51">
        <f>IF(Settings!$E$15="POINTS",((R445*Q445)*Settings!$B$12)+(S445*Settings!$B$2)+(T445*Settings!$B$3)+(U445*Settings!$B$4)+(V445*Settings!$B$5)+(X445*Settings!$B$9)+(AA445*Settings!$B$6)+(W445*Settings!$B$8)+(AB445*Settings!$B$7)+(AC445*Settings!$B$14)+(AD445*Settings!$B$15)+(AE445*Settings!$B$16)+(AF445*Settings!$B$17)+(AG445*Settings!$B$18)+(U445*Settings!$B$13)+(Y445*Settings!$B$10)+(Z445*Settings!$B$11),VLOOKUP(B445,'Standard Deviations'!A1:C666,3,FALSE))</f>
        <v>136.46311212183099</v>
      </c>
      <c r="J445" s="52">
        <f>IF(D445="G",I445/AJ445,I445/Q445)</f>
        <v>1.8724999090505436</v>
      </c>
      <c r="K445" s="51">
        <f>VLOOKUP(B445,D!A1:F213,6,FALSE)</f>
        <v>-199.77101292376392</v>
      </c>
      <c r="L445" s="53">
        <f>IFERROR(K445/H445,"N/A")</f>
        <v>-142.69358065983138</v>
      </c>
      <c r="M445" s="83" t="str">
        <f>IF(Settings!$E$9="YAHOO",VLOOKUP(B445,ADP!A1:E665,2,FALSE),IF(Settings!$E$9="ESPN",VLOOKUP(B445,ADP!A1:E665,3,FALSE),IF(Settings!$E$9="FANTRAX",VLOOKUP(B445,ADP!A1:E665,4,FALSE),VLOOKUP(B445,ADP!A1:E665,5,FALSE))))</f>
        <v>—</v>
      </c>
      <c r="N445" s="83" t="str">
        <f>IFERROR(M445-A445,"N/A")</f>
        <v>N/A</v>
      </c>
      <c r="O445" s="54"/>
      <c r="P445" s="55" t="str">
        <f>IF(Settings!$E$27="ON",VLOOKUP(B445,ADP!A1:H665,8,FALSE)," ")</f>
        <v xml:space="preserve"> </v>
      </c>
      <c r="Q445" s="56">
        <f>IF(Settings!$E$12="YES",VLOOKUP(B445,'Player Data'!A1:E667,5,FALSE),82)</f>
        <v>72.877499999999998</v>
      </c>
      <c r="R445" s="54">
        <f>VLOOKUP(B445,'Player Data'!$A1:$AE667,6,FALSE)</f>
        <v>16.766978495266098</v>
      </c>
      <c r="S445" s="56">
        <f>VLOOKUP(B445,'Player Data'!$A1:$AE667,7,FALSE)*$Q445*IFERROR((VLOOKUP(P445,Settings!$E$28:$F$33,2,FALSE)+1),1)</f>
        <v>4.1266987344922725</v>
      </c>
      <c r="T445" s="56">
        <f>VLOOKUP(B445,'Player Data'!$A1:$AE667,8,FALSE)*$Q445*IFERROR((VLOOKUP(P445,Settings!$E$28:$F$33,2,FALSE)+1),1)</f>
        <v>13.576917251031787</v>
      </c>
      <c r="U445" s="56">
        <f>SUM(S445:T445)</f>
        <v>17.70361598552406</v>
      </c>
      <c r="V445" s="56">
        <f>VLOOKUP(B445,'Player Data'!$A1:$AE667,10,FALSE)*$Q445*IFERROR(((VLOOKUP(P445,Settings!$E$28:$F$33,2,FALSE)/2)+1),1)</f>
        <v>64.900264538340465</v>
      </c>
      <c r="W445" s="56">
        <f>VLOOKUP(B445,'Player Data'!$A1:$AE667,11,FALSE)*$Q445*IFERROR((VLOOKUP(P445,Settings!$E$28:$F$33,2,FALSE)+1),1)</f>
        <v>2.4120944846288263E-2</v>
      </c>
      <c r="X445" s="56">
        <f>VLOOKUP(B445,'Player Data'!$A1:$AE667,12,FALSE)*$Q445*IFERROR((VLOOKUP(P445,Settings!$E$28:$F$33,2,FALSE)+1),1)</f>
        <v>0.20366707974872245</v>
      </c>
      <c r="Y445" s="56">
        <f>VLOOKUP(B445,'Player Data'!$A1:$AE667,13,FALSE)*$Q445</f>
        <v>1.93659364980782E-2</v>
      </c>
      <c r="Z445" s="56">
        <f>VLOOKUP(B445,'Player Data'!$A1:$AE667,14,FALSE)*$Q445</f>
        <v>9.5389861215988345E-2</v>
      </c>
      <c r="AA445" s="56">
        <f>VLOOKUP(B445,'Player Data'!$A1:$AE667,15,FALSE)*$Q445</f>
        <v>101.20614991024775</v>
      </c>
      <c r="AB445" s="56">
        <f>VLOOKUP(B445,'Player Data'!$A1:$AE667,16,FALSE)*$Q445</f>
        <v>59.919761205972321</v>
      </c>
      <c r="AC445" s="56">
        <f>VLOOKUP(B445,'Player Data'!$A1:$AE667,17,FALSE)*$Q445*IFERROR((VLOOKUP(P445,Settings!$E$28:$F$33,2,FALSE)+1),1)</f>
        <v>-3.5207290170044003</v>
      </c>
      <c r="AD445" s="56">
        <f>VLOOKUP(B445,'Player Data'!$A1:$AE667,18,FALSE)*$Q445</f>
        <v>29.920906301768326</v>
      </c>
      <c r="AE445" s="56">
        <f>VLOOKUP(B445,'Player Data'!$A1:$AE667,19,FALSE)*$Q445*IFERROR((VLOOKUP(P445,Settings!$E$28:$F$33,2,FALSE)+1),1)</f>
        <v>0.4563482936168618</v>
      </c>
      <c r="AF445" s="56">
        <f>VLOOKUP(B445,'Player Data'!$A1:$AE667,20,FALSE)*$Q445</f>
        <v>0</v>
      </c>
      <c r="AG445" s="56">
        <f>VLOOKUP(B445,'Player Data'!$A1:$AE667,21,FALSE)*$Q445</f>
        <v>0</v>
      </c>
      <c r="AH445" s="58">
        <f>VLOOKUP(B445,'Player Data'!$A1:$AE667,22,FALSE)</f>
        <v>0</v>
      </c>
      <c r="AI445" s="54"/>
      <c r="AJ445" s="56"/>
      <c r="AK445" s="56"/>
      <c r="AL445" s="56"/>
      <c r="AM445" s="56"/>
      <c r="AN445" s="56"/>
      <c r="AO445" s="56"/>
      <c r="AP445" s="56"/>
      <c r="AQ445" s="59"/>
      <c r="AR445" s="60"/>
      <c r="AS445" s="54"/>
    </row>
    <row r="446" spans="1:45" ht="21.25" customHeight="1" x14ac:dyDescent="0.15">
      <c r="A446" s="45">
        <f>RANK(K446,K$1:K$665)</f>
        <v>445</v>
      </c>
      <c r="B446" s="9" t="s">
        <v>571</v>
      </c>
      <c r="C446" s="46" t="s">
        <v>127</v>
      </c>
      <c r="D446" s="47" t="str">
        <f>VLOOKUP(B446,'Player Data'!A1:D667,4,FALSE)</f>
        <v>RW</v>
      </c>
      <c r="E446" s="61">
        <f>VLOOKUP(B446,RW!A1:F136,3,FALSE)</f>
        <v>94</v>
      </c>
      <c r="F446" s="62" t="str">
        <f>VLOOKUP(B446,'Player Data'!A1:B667,2,FALSE)</f>
        <v>MTL</v>
      </c>
      <c r="G446" s="63">
        <f>VLOOKUP(B446,'Player Data'!A1:D667,3,FALSE)</f>
        <v>32</v>
      </c>
      <c r="H446" s="50">
        <f>IFERROR(VLOOKUP(B446,ADP!A1:G665,7,FALSE)/1000000,VLOOKUP(B446,ADP!A1:G665,7,FALSE))</f>
        <v>6.5</v>
      </c>
      <c r="I446" s="51">
        <f>IF(Settings!$E$15="POINTS",((R446*Q446)*Settings!$B$12)+(S446*Settings!$B$2)+(T446*Settings!$B$3)+(U446*Settings!$B$4)+(V446*Settings!$B$5)+(X446*Settings!$B$9)+(AA446*Settings!$B$6)+(W446*Settings!$B$8)+(AB446*Settings!$B$7)+(AC446*Settings!$B$14)+(AD446*Settings!$B$15)+(AE446*Settings!$B$16)+(AF446*Settings!$B$17)+(AG446*Settings!$B$18)+(Y446*Settings!$B$10)+(Z446*Settings!$B$11),VLOOKUP(B446,'Standard Deviations'!A1:C666,3,FALSE))</f>
        <v>168.67126668374587</v>
      </c>
      <c r="J446" s="52">
        <f>IF(D446="G",I446/AJ446,I446/Q446)</f>
        <v>2.3311625552310948</v>
      </c>
      <c r="K446" s="51">
        <f>IF(Settings!$E$18="C/LW/RW",VLOOKUP(B446,RW!A1:F136,6,FALSE),VLOOKUP(B446,F!A1:F392,6,FALSE))</f>
        <v>-200.17645642254652</v>
      </c>
      <c r="L446" s="53">
        <f>IFERROR(K446/H446,"N/A")</f>
        <v>-30.796377911161002</v>
      </c>
      <c r="M446" s="83" t="str">
        <f>IF(Settings!$E$9="YAHOO",VLOOKUP(B446,ADP!A1:E665,2,FALSE),IF(Settings!$E$9="ESPN",VLOOKUP(B446,ADP!A1:E665,3,FALSE),IF(Settings!$E$9="FANTRAX",VLOOKUP(B446,ADP!A1:E665,4,FALSE),VLOOKUP(B446,ADP!A1:E665,5,FALSE))))</f>
        <v>—</v>
      </c>
      <c r="N446" s="83" t="str">
        <f>IFERROR(M446-A446,"N/A")</f>
        <v>N/A</v>
      </c>
      <c r="O446" s="54"/>
      <c r="P446" s="55" t="str">
        <f>IF(Settings!$E$27="ON",VLOOKUP(B446,ADP!A1:H665,8,FALSE)," ")</f>
        <v xml:space="preserve"> </v>
      </c>
      <c r="Q446" s="56">
        <f>IF(Settings!$E$12="YES",VLOOKUP(B446,'Player Data'!A1:E667,5,FALSE),82)</f>
        <v>72.355000000000004</v>
      </c>
      <c r="R446" s="54">
        <f>VLOOKUP(B446,'Player Data'!$A1:$AE667,6,FALSE)</f>
        <v>13.184649709239499</v>
      </c>
      <c r="S446" s="56">
        <f>VLOOKUP(B446,'Player Data'!$A1:$AE667,7,FALSE)*$Q446*IFERROR((VLOOKUP(P446,Settings!$E$28:$F$33,2,FALSE)+1),1)</f>
        <v>12.748301383429462</v>
      </c>
      <c r="T446" s="56">
        <f>VLOOKUP(B446,'Player Data'!$A1:$AE667,8,FALSE)*$Q446*IFERROR((VLOOKUP(P446,Settings!$E$28:$F$33,2,FALSE)+1),1)</f>
        <v>13.554961285991746</v>
      </c>
      <c r="U446" s="56">
        <f>SUM(S446:T446)</f>
        <v>26.303262669421208</v>
      </c>
      <c r="V446" s="56">
        <f>VLOOKUP(B446,'Player Data'!$A1:$AE667,10,FALSE)*$Q446*IFERROR(((VLOOKUP(P446,Settings!$E$28:$F$33,2,FALSE)/2)+1),1)</f>
        <v>139.62849736738144</v>
      </c>
      <c r="W446" s="56">
        <f>VLOOKUP(B446,'Player Data'!$A1:$AE667,11,FALSE)*$Q446*IFERROR((VLOOKUP(P446,Settings!$E$28:$F$33,2,FALSE)+1),1)</f>
        <v>1.7085032923225794</v>
      </c>
      <c r="X446" s="56">
        <f>VLOOKUP(B446,'Player Data'!$A1:$AE667,12,FALSE)*$Q446*IFERROR((VLOOKUP(P446,Settings!$E$28:$F$33,2,FALSE)+1),1)</f>
        <v>4.6303707531394798</v>
      </c>
      <c r="Y446" s="56">
        <f>VLOOKUP(B446,'Player Data'!$A1:$AE667,13,FALSE)*$Q446</f>
        <v>1.7396505642208304E-3</v>
      </c>
      <c r="Z446" s="56">
        <f>VLOOKUP(B446,'Player Data'!$A1:$AE667,14,FALSE)*$Q446</f>
        <v>2.9532177060201835E-3</v>
      </c>
      <c r="AA446" s="56">
        <f>VLOOKUP(B446,'Player Data'!$A1:$AE667,15,FALSE)*$Q446</f>
        <v>30.627812041892014</v>
      </c>
      <c r="AB446" s="56">
        <f>VLOOKUP(B446,'Player Data'!$A1:$AE667,16,FALSE)*$Q446</f>
        <v>57.863092079672839</v>
      </c>
      <c r="AC446" s="56">
        <f>VLOOKUP(B446,'Player Data'!$A1:$AE667,17,FALSE)*$Q446*IFERROR((VLOOKUP(P446,Settings!$E$28:$F$33,2,FALSE)+1),1)</f>
        <v>-3.3316762808227316</v>
      </c>
      <c r="AD446" s="56">
        <f>VLOOKUP(B446,'Player Data'!$A1:$AE667,18,FALSE)*$Q446</f>
        <v>48.34667865032047</v>
      </c>
      <c r="AE446" s="56">
        <f>VLOOKUP(B446,'Player Data'!$A1:$AE667,19,FALSE)*$Q446*IFERROR((VLOOKUP(P446,Settings!$E$28:$F$33,2,FALSE)+1),1)</f>
        <v>1.4775443546540739</v>
      </c>
      <c r="AF446" s="56">
        <f>VLOOKUP(B446,'Player Data'!$A1:$AE667,20,FALSE)*$Q446</f>
        <v>12.34059354815388</v>
      </c>
      <c r="AG446" s="56">
        <f>VLOOKUP(B446,'Player Data'!$A1:$AE667,21,FALSE)*$Q446</f>
        <v>19.396545059112032</v>
      </c>
      <c r="AH446" s="58">
        <f>VLOOKUP(B446,'Player Data'!$A1:$AE667,22,FALSE)</f>
        <v>0.38883762335551703</v>
      </c>
      <c r="AI446" s="54"/>
      <c r="AJ446" s="56"/>
      <c r="AK446" s="56"/>
      <c r="AL446" s="56"/>
      <c r="AM446" s="56"/>
      <c r="AN446" s="56"/>
      <c r="AO446" s="56"/>
      <c r="AP446" s="56"/>
      <c r="AQ446" s="59"/>
      <c r="AR446" s="60"/>
      <c r="AS446" s="54"/>
    </row>
    <row r="447" spans="1:45" ht="21.25" customHeight="1" x14ac:dyDescent="0.15">
      <c r="A447" s="45">
        <f>RANK(K447,K$1:K$665)</f>
        <v>446</v>
      </c>
      <c r="B447" s="9" t="s">
        <v>572</v>
      </c>
      <c r="C447" s="46" t="s">
        <v>127</v>
      </c>
      <c r="D447" s="47" t="str">
        <f>VLOOKUP(B447,'Player Data'!A1:D667,4,FALSE)</f>
        <v>D</v>
      </c>
      <c r="E447" s="66">
        <f>VLOOKUP(B447,D!A1:C213,3,FALSE)</f>
        <v>169</v>
      </c>
      <c r="F447" s="65" t="str">
        <f>VLOOKUP(B447,'Player Data'!A1:B667,2,FALSE)</f>
        <v>FLA</v>
      </c>
      <c r="G447" s="63">
        <f>VLOOKUP(B447,'Player Data'!A1:D667,3,FALSE)</f>
        <v>33</v>
      </c>
      <c r="H447" s="67">
        <f>IFERROR(VLOOKUP(B447,ADP!A1:G665,7,FALSE)/1000000,VLOOKUP(B447,ADP!A1:G665,7,FALSE))</f>
        <v>0.8</v>
      </c>
      <c r="I447" s="51">
        <f>IF(Settings!$E$15="POINTS",((R447*Q447)*Settings!$B$12)+(S447*Settings!$B$2)+(T447*Settings!$B$3)+(U447*Settings!$B$4)+(V447*Settings!$B$5)+(X447*Settings!$B$9)+(AA447*Settings!$B$6)+(W447*Settings!$B$8)+(AB447*Settings!$B$7)+(AC447*Settings!$B$14)+(AD447*Settings!$B$15)+(AE447*Settings!$B$16)+(AF447*Settings!$B$17)+(AG447*Settings!$B$18)+(U447*Settings!$B$13)+(Y447*Settings!$B$10)+(Z447*Settings!$B$11),VLOOKUP(B447,'Standard Deviations'!A1:C666,3,FALSE))</f>
        <v>135.11029958233971</v>
      </c>
      <c r="J447" s="52">
        <f>IF(D447="G",I447/AJ447,I447/Q447)</f>
        <v>1.7628064398504757</v>
      </c>
      <c r="K447" s="51">
        <f>VLOOKUP(B447,D!A1:F213,6,FALSE)</f>
        <v>-201.1238254632552</v>
      </c>
      <c r="L447" s="53">
        <f>IFERROR(K447/H447,"N/A")</f>
        <v>-251.40478182906898</v>
      </c>
      <c r="M447" s="83" t="str">
        <f>IF(Settings!$E$9="YAHOO",VLOOKUP(B447,ADP!A1:E665,2,FALSE),IF(Settings!$E$9="ESPN",VLOOKUP(B447,ADP!A1:E665,3,FALSE),IF(Settings!$E$9="FANTRAX",VLOOKUP(B447,ADP!A1:E665,4,FALSE),VLOOKUP(B447,ADP!A1:E665,5,FALSE))))</f>
        <v>—</v>
      </c>
      <c r="N447" s="83" t="str">
        <f>IFERROR(M447-A447,"N/A")</f>
        <v>N/A</v>
      </c>
      <c r="O447" s="54"/>
      <c r="P447" s="55" t="str">
        <f>IF(Settings!$E$27="ON",VLOOKUP(B447,ADP!A1:H665,8,FALSE)," ")</f>
        <v xml:space="preserve"> </v>
      </c>
      <c r="Q447" s="56">
        <f>IF(Settings!$E$12="YES",VLOOKUP(B447,'Player Data'!A1:E667,5,FALSE),82)</f>
        <v>76.644999999999996</v>
      </c>
      <c r="R447" s="54">
        <f>VLOOKUP(B447,'Player Data'!$A1:$AE667,6,FALSE)</f>
        <v>15.8475305289352</v>
      </c>
      <c r="S447" s="56">
        <f>VLOOKUP(B447,'Player Data'!$A1:$AE667,7,FALSE)*$Q447*IFERROR((VLOOKUP(P447,Settings!$E$28:$F$33,2,FALSE)+1),1)</f>
        <v>3.033227182953953</v>
      </c>
      <c r="T447" s="56">
        <f>VLOOKUP(B447,'Player Data'!$A1:$AE667,8,FALSE)*$Q447*IFERROR((VLOOKUP(P447,Settings!$E$28:$F$33,2,FALSE)+1),1)</f>
        <v>12.424699444841943</v>
      </c>
      <c r="U447" s="56">
        <f>SUM(S447:T447)</f>
        <v>15.457926627795896</v>
      </c>
      <c r="V447" s="56">
        <f>VLOOKUP(B447,'Player Data'!$A1:$AE667,10,FALSE)*$Q447*IFERROR(((VLOOKUP(P447,Settings!$E$28:$F$33,2,FALSE)/2)+1),1)</f>
        <v>82.23602336340646</v>
      </c>
      <c r="W447" s="56">
        <f>VLOOKUP(B447,'Player Data'!$A1:$AE667,11,FALSE)*$Q447*IFERROR((VLOOKUP(P447,Settings!$E$28:$F$33,2,FALSE)+1),1)</f>
        <v>0.36539163868400226</v>
      </c>
      <c r="X447" s="56">
        <f>VLOOKUP(B447,'Player Data'!$A1:$AE667,12,FALSE)*$Q447*IFERROR((VLOOKUP(P447,Settings!$E$28:$F$33,2,FALSE)+1),1)</f>
        <v>1.7548969565988606</v>
      </c>
      <c r="Y447" s="56">
        <f>VLOOKUP(B447,'Player Data'!$A1:$AE667,13,FALSE)*$Q447</f>
        <v>1.6970930495404064E-2</v>
      </c>
      <c r="Z447" s="56">
        <f>VLOOKUP(B447,'Player Data'!$A1:$AE667,14,FALSE)*$Q447</f>
        <v>0.20376113225493056</v>
      </c>
      <c r="AA447" s="56">
        <f>VLOOKUP(B447,'Player Data'!$A1:$AE667,15,FALSE)*$Q447</f>
        <v>91.319699856789995</v>
      </c>
      <c r="AB447" s="56">
        <f>VLOOKUP(B447,'Player Data'!$A1:$AE667,16,FALSE)*$Q447</f>
        <v>74.12276581353683</v>
      </c>
      <c r="AC447" s="56">
        <f>VLOOKUP(B447,'Player Data'!$A1:$AE667,17,FALSE)*$Q447*IFERROR((VLOOKUP(P447,Settings!$E$28:$F$33,2,FALSE)+1),1)</f>
        <v>2.8435941692448474</v>
      </c>
      <c r="AD447" s="56">
        <f>VLOOKUP(B447,'Player Data'!$A1:$AE667,18,FALSE)*$Q447</f>
        <v>15.562024181209269</v>
      </c>
      <c r="AE447" s="56">
        <f>VLOOKUP(B447,'Player Data'!$A1:$AE667,19,FALSE)*$Q447*IFERROR((VLOOKUP(P447,Settings!$E$28:$F$33,2,FALSE)+1),1)</f>
        <v>0.51674583203648161</v>
      </c>
      <c r="AF447" s="56">
        <f>VLOOKUP(B447,'Player Data'!$A1:$AE667,20,FALSE)*$Q447</f>
        <v>0</v>
      </c>
      <c r="AG447" s="56">
        <f>VLOOKUP(B447,'Player Data'!$A1:$AE667,21,FALSE)*$Q447</f>
        <v>0</v>
      </c>
      <c r="AH447" s="58">
        <f>VLOOKUP(B447,'Player Data'!$A1:$AE667,22,FALSE)</f>
        <v>0</v>
      </c>
      <c r="AI447" s="54"/>
      <c r="AJ447" s="56"/>
      <c r="AK447" s="56"/>
      <c r="AL447" s="56"/>
      <c r="AM447" s="56"/>
      <c r="AN447" s="56"/>
      <c r="AO447" s="56"/>
      <c r="AP447" s="56"/>
      <c r="AQ447" s="59"/>
      <c r="AR447" s="60"/>
      <c r="AS447" s="54"/>
    </row>
    <row r="448" spans="1:45" ht="21.25" customHeight="1" x14ac:dyDescent="0.15">
      <c r="A448" s="45">
        <f>RANK(K448,K$1:K$665)</f>
        <v>447</v>
      </c>
      <c r="B448" s="9" t="s">
        <v>573</v>
      </c>
      <c r="C448" s="46" t="s">
        <v>127</v>
      </c>
      <c r="D448" s="47" t="str">
        <f>VLOOKUP(B448,'Player Data'!A1:D667,4,FALSE)</f>
        <v>C/LW</v>
      </c>
      <c r="E448" s="68">
        <f>VLOOKUP(B448,LW!A1:C152,3,FALSE)</f>
        <v>106</v>
      </c>
      <c r="F448" s="55" t="str">
        <f>VLOOKUP(B448,'Player Data'!A1:B667,2,FALSE)</f>
        <v>UTA</v>
      </c>
      <c r="G448" s="63">
        <f>VLOOKUP(B448,'Player Data'!A1:D667,3,FALSE)</f>
        <v>30</v>
      </c>
      <c r="H448" s="67">
        <f>IFERROR(VLOOKUP(B448,ADP!A1:G665,7,FALSE)/1000000,VLOOKUP(B448,ADP!A1:G665,7,FALSE))</f>
        <v>3.5</v>
      </c>
      <c r="I448" s="51">
        <f>IF(Settings!$E$15="POINTS",((R448*Q448)*Settings!$B$12)+(S448*Settings!$B$2)+(T448*Settings!$B$3)+(U448*Settings!$B$4)+(V448*Settings!$B$5)+(X448*Settings!$B$9)+(AA448*Settings!$B$6)+(W448*Settings!$B$8)+(AB448*Settings!$B$7)+(AC448*Settings!$B$14)+(AD448*Settings!$B$15)+(AE448*Settings!$B$16)+(AF448*Settings!$B$17)+(AG448*Settings!$B$18)+(Y448*Settings!$B$10)+(Z448*Settings!$B$11),VLOOKUP(B448,'Standard Deviations'!A1:C666,3,FALSE))</f>
        <v>179.79080107438014</v>
      </c>
      <c r="J448" s="52">
        <f>IF(D448="G",I448/AJ448,I448/Q448)</f>
        <v>2.1917688781467772</v>
      </c>
      <c r="K448" s="51">
        <f>IF(Settings!$E$18="C/LW/RW",VLOOKUP(B448,LW!A1:F152,6,FALSE),VLOOKUP(B448,F!A1:F392,6,FALSE))</f>
        <v>-201.27071122811961</v>
      </c>
      <c r="L448" s="53">
        <f>IFERROR(K448/H448,"N/A")</f>
        <v>-57.505917493748463</v>
      </c>
      <c r="M448" s="83" t="str">
        <f>IF(Settings!$E$9="YAHOO",VLOOKUP(B448,ADP!A1:E665,2,FALSE),IF(Settings!$E$9="ESPN",VLOOKUP(B448,ADP!A1:E665,3,FALSE),IF(Settings!$E$9="FANTRAX",VLOOKUP(B448,ADP!A1:E665,4,FALSE),VLOOKUP(B448,ADP!A1:E665,5,FALSE))))</f>
        <v>—</v>
      </c>
      <c r="N448" s="83" t="str">
        <f>IFERROR(M448-A448,"N/A")</f>
        <v>N/A</v>
      </c>
      <c r="O448" s="54"/>
      <c r="P448" s="55" t="str">
        <f>IF(Settings!$E$27="ON",VLOOKUP(B448,ADP!A1:H665,8,FALSE)," ")</f>
        <v xml:space="preserve"> </v>
      </c>
      <c r="Q448" s="56">
        <f>IF(Settings!$E$12="YES",VLOOKUP(B448,'Player Data'!A1:E667,5,FALSE),82)</f>
        <v>82.03</v>
      </c>
      <c r="R448" s="81">
        <f>VLOOKUP(B448,'Player Data'!$A1:$AE667,6,FALSE)</f>
        <v>14.723478475944701</v>
      </c>
      <c r="S448" s="56">
        <f>VLOOKUP(B448,'Player Data'!$A1:$AE667,7,FALSE)*$Q448*IFERROR((VLOOKUP(P448,Settings!$E$28:$F$33,2,FALSE)+1),1)</f>
        <v>9.301241977530001</v>
      </c>
      <c r="T448" s="56">
        <f>VLOOKUP(B448,'Player Data'!$A1:$AE667,8,FALSE)*$Q448*IFERROR((VLOOKUP(P448,Settings!$E$28:$F$33,2,FALSE)+1),1)</f>
        <v>21.980215080946799</v>
      </c>
      <c r="U448" s="56">
        <f>SUM(S448:T448)</f>
        <v>31.2814570584768</v>
      </c>
      <c r="V448" s="56">
        <f>VLOOKUP(B448,'Player Data'!$A1:$AE667,10,FALSE)*$Q448*IFERROR(((VLOOKUP(P448,Settings!$E$28:$F$33,2,FALSE)/2)+1),1)</f>
        <v>97.856616772591721</v>
      </c>
      <c r="W448" s="56">
        <f>VLOOKUP(B448,'Player Data'!$A1:$AE667,11,FALSE)*$Q448*IFERROR((VLOOKUP(P448,Settings!$E$28:$F$33,2,FALSE)+1),1)</f>
        <v>0.90989470706006481</v>
      </c>
      <c r="X448" s="56">
        <f>VLOOKUP(B448,'Player Data'!$A1:$AE667,12,FALSE)*$Q448*IFERROR((VLOOKUP(P448,Settings!$E$28:$F$33,2,FALSE)+1),1)</f>
        <v>3.61298951846176</v>
      </c>
      <c r="Y448" s="56">
        <f>VLOOKUP(B448,'Player Data'!$A1:$AE667,13,FALSE)*$Q448</f>
        <v>1.277098575254723</v>
      </c>
      <c r="Z448" s="56">
        <f>VLOOKUP(B448,'Player Data'!$A1:$AE667,14,FALSE)*$Q448</f>
        <v>2.7043138913453406</v>
      </c>
      <c r="AA448" s="56">
        <f>VLOOKUP(B448,'Player Data'!$A1:$AE667,15,FALSE)*$Q448</f>
        <v>61.401636205693556</v>
      </c>
      <c r="AB448" s="56">
        <f>VLOOKUP(B448,'Player Data'!$A1:$AE667,16,FALSE)*$Q448</f>
        <v>67.320728338664892</v>
      </c>
      <c r="AC448" s="56">
        <f>VLOOKUP(B448,'Player Data'!$A1:$AE667,17,FALSE)*$Q448*IFERROR((VLOOKUP(P448,Settings!$E$28:$F$33,2,FALSE)+1),1)</f>
        <v>0.1508442495793354</v>
      </c>
      <c r="AD448" s="56">
        <f>VLOOKUP(B448,'Player Data'!$A1:$AE667,18,FALSE)*$Q448</f>
        <v>25.697646827031569</v>
      </c>
      <c r="AE448" s="56">
        <f>VLOOKUP(B448,'Player Data'!$A1:$AE667,19,FALSE)*$Q448*IFERROR((VLOOKUP(P448,Settings!$E$28:$F$33,2,FALSE)+1),1)</f>
        <v>1.3610450912553786</v>
      </c>
      <c r="AF448" s="56">
        <f>VLOOKUP(B448,'Player Data'!$A1:$AE667,20,FALSE)*$Q448</f>
        <v>264.94373118427205</v>
      </c>
      <c r="AG448" s="56">
        <f>VLOOKUP(B448,'Player Data'!$A1:$AE667,21,FALSE)*$Q448</f>
        <v>315.10477818218868</v>
      </c>
      <c r="AH448" s="58">
        <f>VLOOKUP(B448,'Player Data'!$A1:$AE667,22,FALSE)</f>
        <v>0.45676133445054201</v>
      </c>
      <c r="AI448" s="54"/>
      <c r="AJ448" s="56"/>
      <c r="AK448" s="56"/>
      <c r="AL448" s="56"/>
      <c r="AM448" s="56"/>
      <c r="AN448" s="56"/>
      <c r="AO448" s="56"/>
      <c r="AP448" s="56"/>
      <c r="AQ448" s="59"/>
      <c r="AR448" s="60"/>
      <c r="AS448" s="54"/>
    </row>
    <row r="449" spans="1:45" ht="21.25" customHeight="1" x14ac:dyDescent="0.15">
      <c r="A449" s="45">
        <f>RANK(K449,K$1:K$665)</f>
        <v>448</v>
      </c>
      <c r="B449" s="9" t="s">
        <v>574</v>
      </c>
      <c r="C449" s="46" t="s">
        <v>127</v>
      </c>
      <c r="D449" s="47" t="str">
        <f>VLOOKUP(B449,'Player Data'!A1:D667,4,FALSE)</f>
        <v>D</v>
      </c>
      <c r="E449" s="66">
        <f>VLOOKUP(B449,D!A1:C213,3,FALSE)</f>
        <v>170</v>
      </c>
      <c r="F449" s="77" t="str">
        <f>VLOOKUP(B449,'Player Data'!A1:B667,2,FALSE)</f>
        <v>S.J</v>
      </c>
      <c r="G449" s="63">
        <f>VLOOKUP(B449,'Player Data'!A1:D667,3,FALSE)</f>
        <v>37</v>
      </c>
      <c r="H449" s="50">
        <f>IFERROR(VLOOKUP(B449,ADP!A1:G665,7,FALSE)/1000000,VLOOKUP(B449,ADP!A1:G665,7,FALSE))</f>
        <v>7</v>
      </c>
      <c r="I449" s="51">
        <f>IF(Settings!$E$15="POINTS",((R449*Q449)*Settings!$B$12)+(S449*Settings!$B$2)+(T449*Settings!$B$3)+(U449*Settings!$B$4)+(V449*Settings!$B$5)+(X449*Settings!$B$9)+(AA449*Settings!$B$6)+(W449*Settings!$B$8)+(AB449*Settings!$B$7)+(AC449*Settings!$B$14)+(AD449*Settings!$B$15)+(AE449*Settings!$B$16)+(AF449*Settings!$B$17)+(AG449*Settings!$B$18)+(U449*Settings!$B$13)+(Y449*Settings!$B$10)+(Z449*Settings!$B$11),VLOOKUP(B449,'Standard Deviations'!A1:C666,3,FALSE))</f>
        <v>134.56896971361732</v>
      </c>
      <c r="J449" s="52">
        <f>IF(D449="G",I449/AJ449,I449/Q449)</f>
        <v>1.7627005889722935</v>
      </c>
      <c r="K449" s="51">
        <f>VLOOKUP(B449,D!A1:F213,6,FALSE)</f>
        <v>-201.66515533197759</v>
      </c>
      <c r="L449" s="53">
        <f>IFERROR(K449/H449,"N/A")</f>
        <v>-28.809307904568225</v>
      </c>
      <c r="M449" s="83" t="str">
        <f>IF(Settings!$E$9="YAHOO",VLOOKUP(B449,ADP!A1:E665,2,FALSE),IF(Settings!$E$9="ESPN",VLOOKUP(B449,ADP!A1:E665,3,FALSE),IF(Settings!$E$9="FANTRAX",VLOOKUP(B449,ADP!A1:E665,4,FALSE),VLOOKUP(B449,ADP!A1:E665,5,FALSE))))</f>
        <v>—</v>
      </c>
      <c r="N449" s="83" t="str">
        <f>IFERROR(M449-A449,"N/A")</f>
        <v>N/A</v>
      </c>
      <c r="O449" s="54"/>
      <c r="P449" s="55" t="str">
        <f>IF(Settings!$E$27="ON",VLOOKUP(B449,ADP!A1:H665,8,FALSE)," ")</f>
        <v xml:space="preserve"> </v>
      </c>
      <c r="Q449" s="56">
        <f>IF(Settings!$E$12="YES",VLOOKUP(B449,'Player Data'!A1:E667,5,FALSE),82)</f>
        <v>76.342500000000001</v>
      </c>
      <c r="R449" s="54">
        <f>VLOOKUP(B449,'Player Data'!$A1:$AE667,6,FALSE)</f>
        <v>15.4882438339319</v>
      </c>
      <c r="S449" s="56">
        <f>VLOOKUP(B449,'Player Data'!$A1:$AE667,7,FALSE)*$Q449*IFERROR((VLOOKUP(P449,Settings!$E$28:$F$33,2,FALSE)+1),1)</f>
        <v>2.9061167067526026</v>
      </c>
      <c r="T449" s="56">
        <f>VLOOKUP(B449,'Player Data'!$A1:$AE667,8,FALSE)*$Q449*IFERROR((VLOOKUP(P449,Settings!$E$28:$F$33,2,FALSE)+1),1)</f>
        <v>11.207596018815813</v>
      </c>
      <c r="U449" s="56">
        <f>SUM(S449:T449)</f>
        <v>14.113712725568416</v>
      </c>
      <c r="V449" s="56">
        <f>VLOOKUP(B449,'Player Data'!$A1:$AE667,10,FALSE)*$Q449*IFERROR(((VLOOKUP(P449,Settings!$E$28:$F$33,2,FALSE)/2)+1),1)</f>
        <v>73.423235677437532</v>
      </c>
      <c r="W449" s="56">
        <f>VLOOKUP(B449,'Player Data'!$A1:$AE667,11,FALSE)*$Q449*IFERROR((VLOOKUP(P449,Settings!$E$28:$F$33,2,FALSE)+1),1)</f>
        <v>8.787978699847817E-3</v>
      </c>
      <c r="X449" s="56">
        <f>VLOOKUP(B449,'Player Data'!$A1:$AE667,12,FALSE)*$Q449*IFERROR((VLOOKUP(P449,Settings!$E$28:$F$33,2,FALSE)+1),1)</f>
        <v>6.1201120699429755E-2</v>
      </c>
      <c r="Y449" s="56">
        <f>VLOOKUP(B449,'Player Data'!$A1:$AE667,13,FALSE)*$Q449</f>
        <v>8.5807154896280127E-3</v>
      </c>
      <c r="Z449" s="56">
        <f>VLOOKUP(B449,'Player Data'!$A1:$AE667,14,FALSE)*$Q449</f>
        <v>4.6187060989294308E-2</v>
      </c>
      <c r="AA449" s="56">
        <f>VLOOKUP(B449,'Player Data'!$A1:$AE667,15,FALSE)*$Q449</f>
        <v>110.81765103300911</v>
      </c>
      <c r="AB449" s="56">
        <f>VLOOKUP(B449,'Player Data'!$A1:$AE667,16,FALSE)*$Q449</f>
        <v>58.230705508736811</v>
      </c>
      <c r="AC449" s="56">
        <f>VLOOKUP(B449,'Player Data'!$A1:$AE667,17,FALSE)*$Q449*IFERROR((VLOOKUP(P449,Settings!$E$28:$F$33,2,FALSE)+1),1)</f>
        <v>-9.8740822691656547</v>
      </c>
      <c r="AD449" s="56">
        <f>VLOOKUP(B449,'Player Data'!$A1:$AE667,18,FALSE)*$Q449</f>
        <v>18.030571707340012</v>
      </c>
      <c r="AE449" s="56">
        <f>VLOOKUP(B449,'Player Data'!$A1:$AE667,19,FALSE)*$Q449*IFERROR((VLOOKUP(P449,Settings!$E$28:$F$33,2,FALSE)+1),1)</f>
        <v>0.31040268847514857</v>
      </c>
      <c r="AF449" s="56">
        <f>VLOOKUP(B449,'Player Data'!$A1:$AE667,20,FALSE)*$Q449</f>
        <v>0</v>
      </c>
      <c r="AG449" s="56">
        <f>VLOOKUP(B449,'Player Data'!$A1:$AE667,21,FALSE)*$Q449</f>
        <v>0</v>
      </c>
      <c r="AH449" s="58">
        <f>VLOOKUP(B449,'Player Data'!$A1:$AE667,22,FALSE)</f>
        <v>0</v>
      </c>
      <c r="AI449" s="54"/>
      <c r="AJ449" s="56"/>
      <c r="AK449" s="56"/>
      <c r="AL449" s="56"/>
      <c r="AM449" s="56"/>
      <c r="AN449" s="56"/>
      <c r="AO449" s="56"/>
      <c r="AP449" s="56"/>
      <c r="AQ449" s="59"/>
      <c r="AR449" s="60"/>
      <c r="AS449" s="64"/>
    </row>
    <row r="450" spans="1:45" ht="21.25" customHeight="1" x14ac:dyDescent="0.15">
      <c r="A450" s="45">
        <f>RANK(K450,K$1:K$665)</f>
        <v>449</v>
      </c>
      <c r="B450" s="9" t="s">
        <v>575</v>
      </c>
      <c r="C450" s="46" t="s">
        <v>127</v>
      </c>
      <c r="D450" s="47" t="str">
        <f>VLOOKUP(B450,'Player Data'!A1:D667,4,FALSE)</f>
        <v>G</v>
      </c>
      <c r="E450" s="73">
        <f>VLOOKUP(B450,G!A1:D65,3,FALSE)</f>
        <v>40</v>
      </c>
      <c r="F450" s="62" t="str">
        <f>VLOOKUP(B450,'Player Data'!A1:B667,2,FALSE)</f>
        <v>SEA</v>
      </c>
      <c r="G450" s="63">
        <f>VLOOKUP(B450,'Player Data'!A1:D667,3,FALSE)</f>
        <v>32</v>
      </c>
      <c r="H450" s="50">
        <f>IFERROR(VLOOKUP(B450,ADP!A1:G665,7,FALSE)/1000000,VLOOKUP(B450,ADP!A1:G665,7,FALSE))</f>
        <v>5.9</v>
      </c>
      <c r="I450" s="51">
        <f>IF(Settings!$E$15="POINTS",(AJ450*Settings!$B$29)+(AK450*Settings!$B$21)+(AL450*Settings!$B$22)+(AN450*Settings!$B$24)+(AO450*Settings!$B$25)+(AP450*Settings!$B$27)+(AM450*Settings!$B$23),VLOOKUP(B450,'Standard Deviations'!A1:C666,3,FALSE))</f>
        <v>208.9467107048406</v>
      </c>
      <c r="J450" s="52">
        <f>IF(D450="G",I450/AJ450,I450/Q450)</f>
        <v>5.9699060201383025</v>
      </c>
      <c r="K450" s="51">
        <f>VLOOKUP(B450,G!A1:F65,6,FALSE)</f>
        <v>-201.71303206457958</v>
      </c>
      <c r="L450" s="53">
        <f>IFERROR(K450/H450,"N/A")</f>
        <v>-34.188649502471115</v>
      </c>
      <c r="M450" s="54">
        <f>IF(Settings!$E$9="YAHOO",VLOOKUP(B450,ADP!A1:E665,2,FALSE),IF(Settings!$E$9="ESPN",VLOOKUP(B450,ADP!A1:E665,3,FALSE),IF(Settings!$E$9="FANTRAX",VLOOKUP(B450,ADP!A1:E665,4,FALSE),VLOOKUP(B450,ADP!A1:E665,5,FALSE))))</f>
        <v>171.7</v>
      </c>
      <c r="N450" s="54">
        <f>IFERROR(M450-A450,"N/A")</f>
        <v>-277.3</v>
      </c>
      <c r="O450" s="54"/>
      <c r="P450" s="55" t="str">
        <f>IF(Settings!$E$27="ON",VLOOKUP(B450,ADP!A1:H665,8,FALSE)," ")</f>
        <v xml:space="preserve"> </v>
      </c>
      <c r="Q450" s="56"/>
      <c r="R450" s="54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8"/>
      <c r="AI450" s="54"/>
      <c r="AJ450" s="64">
        <f>VLOOKUP(B450,'Player Data'!$A1:$AE667,24,FALSE)</f>
        <v>35</v>
      </c>
      <c r="AK450" s="56">
        <f>VLOOKUP(B450,'Player Data'!$A1:$AE667,25,FALSE)*$AJ450*IFERROR((VLOOKUP(P450,Settings!$E$28:$F$33,2,FALSE)+1),1)</f>
        <v>16.448687549236109</v>
      </c>
      <c r="AL450" s="56">
        <f>AJ450-AK450-AM450</f>
        <v>14.176312450763891</v>
      </c>
      <c r="AM450" s="56">
        <f>VLOOKUP(B450,'Player Data'!$A1:$AE667,27,FALSE)*$AJ450</f>
        <v>4.375</v>
      </c>
      <c r="AN450" s="56">
        <f>VLOOKUP(B450,'Player Data'!$A1:$AE667,28,FALSE)*AJ450</f>
        <v>1.8367682045427645</v>
      </c>
      <c r="AO450" s="56">
        <f>VLOOKUP(B450,'Player Data'!$A1:$AE667,29,FALSE)*$AJ450*IFERROR((VLOOKUP(P450,Settings!$E$28:$F$33,2,FALSE)/4)+1,1)</f>
        <v>915.84722004756406</v>
      </c>
      <c r="AP450" s="56">
        <f>VLOOKUP(B450,'Player Data'!$A1:$AE667,31,FALSE)*$AJ450*(IFERROR(1-(VLOOKUP(P450,Settings!$E$28:$F$33,2,FALSE)/4),1))</f>
        <v>100.0532433903975</v>
      </c>
      <c r="AQ450" s="59">
        <f>1-(AP450/(AO450+AP450))</f>
        <v>0.90151274953473082</v>
      </c>
      <c r="AR450" s="60">
        <f>AP450/AJ450</f>
        <v>2.8586640968685</v>
      </c>
      <c r="AS450" s="54"/>
    </row>
    <row r="451" spans="1:45" ht="21.25" customHeight="1" x14ac:dyDescent="0.15">
      <c r="A451" s="45">
        <f>RANK(K451,K$1:K$665)</f>
        <v>450</v>
      </c>
      <c r="B451" s="9" t="s">
        <v>576</v>
      </c>
      <c r="C451" s="46" t="s">
        <v>127</v>
      </c>
      <c r="D451" s="47" t="str">
        <f>VLOOKUP(B451,'Player Data'!A1:D667,4,FALSE)</f>
        <v>D</v>
      </c>
      <c r="E451" s="66">
        <f>VLOOKUP(B451,D!A1:C213,3,FALSE)</f>
        <v>171</v>
      </c>
      <c r="F451" s="77" t="str">
        <f>VLOOKUP(B451,'Player Data'!A1:B667,2,FALSE)</f>
        <v>STL</v>
      </c>
      <c r="G451" s="63">
        <f>VLOOKUP(B451,'Player Data'!A1:D667,3,FALSE)</f>
        <v>39</v>
      </c>
      <c r="H451" s="67">
        <f>IFERROR(VLOOKUP(B451,ADP!A1:G665,7,FALSE)/1000000,VLOOKUP(B451,ADP!A1:G665,7,FALSE))</f>
        <v>0.77500000000000002</v>
      </c>
      <c r="I451" s="51">
        <f>IF(Settings!$E$15="POINTS",((R451*Q451)*Settings!$B$12)+(S451*Settings!$B$2)+(T451*Settings!$B$3)+(U451*Settings!$B$4)+(V451*Settings!$B$5)+(X451*Settings!$B$9)+(AA451*Settings!$B$6)+(W451*Settings!$B$8)+(AB451*Settings!$B$7)+(AC451*Settings!$B$14)+(AD451*Settings!$B$15)+(AE451*Settings!$B$16)+(AF451*Settings!$B$17)+(AG451*Settings!$B$18)+(U451*Settings!$B$13)+(Y451*Settings!$B$10)+(Z451*Settings!$B$11),VLOOKUP(B451,'Standard Deviations'!A1:C666,3,FALSE))</f>
        <v>134.39036676171443</v>
      </c>
      <c r="J451" s="52">
        <f>IF(D451="G",I451/AJ451,I451/Q451)</f>
        <v>1.6383075309242281</v>
      </c>
      <c r="K451" s="51">
        <f>VLOOKUP(B451,D!A1:F213,6,FALSE)</f>
        <v>-201.84375828388048</v>
      </c>
      <c r="L451" s="53">
        <f>IFERROR(K451/H451,"N/A")</f>
        <v>-260.4435590759748</v>
      </c>
      <c r="M451" s="83" t="str">
        <f>IF(Settings!$E$9="YAHOO",VLOOKUP(B451,ADP!A1:E665,2,FALSE),IF(Settings!$E$9="ESPN",VLOOKUP(B451,ADP!A1:E665,3,FALSE),IF(Settings!$E$9="FANTRAX",VLOOKUP(B451,ADP!A1:E665,4,FALSE),VLOOKUP(B451,ADP!A1:E665,5,FALSE))))</f>
        <v>—</v>
      </c>
      <c r="N451" s="83" t="str">
        <f>IFERROR(M451-A451,"N/A")</f>
        <v>N/A</v>
      </c>
      <c r="O451" s="54"/>
      <c r="P451" s="55" t="str">
        <f>IF(Settings!$E$27="ON",VLOOKUP(B451,ADP!A1:H665,8,FALSE)," ")</f>
        <v xml:space="preserve"> </v>
      </c>
      <c r="Q451" s="56">
        <f>IF(Settings!$E$12="YES",VLOOKUP(B451,'Player Data'!A1:E667,5,FALSE),82)</f>
        <v>82.03</v>
      </c>
      <c r="R451" s="81">
        <f>VLOOKUP(B451,'Player Data'!$A1:$AE667,6,FALSE)</f>
        <v>17.230528048337298</v>
      </c>
      <c r="S451" s="56">
        <f>VLOOKUP(B451,'Player Data'!$A1:$AE667,7,FALSE)*$Q451*IFERROR((VLOOKUP(P451,Settings!$E$28:$F$33,2,FALSE)+1),1)</f>
        <v>1.6184667195469282</v>
      </c>
      <c r="T451" s="56">
        <f>VLOOKUP(B451,'Player Data'!$A1:$AE667,8,FALSE)*$Q451*IFERROR((VLOOKUP(P451,Settings!$E$28:$F$33,2,FALSE)+1),1)</f>
        <v>13.138192082335493</v>
      </c>
      <c r="U451" s="56">
        <f>SUM(S451:T451)</f>
        <v>14.756658801882422</v>
      </c>
      <c r="V451" s="56">
        <f>VLOOKUP(B451,'Player Data'!$A1:$AE667,10,FALSE)*$Q451*IFERROR(((VLOOKUP(P451,Settings!$E$28:$F$33,2,FALSE)/2)+1),1)</f>
        <v>79.925064825228461</v>
      </c>
      <c r="W451" s="56">
        <f>VLOOKUP(B451,'Player Data'!$A1:$AE667,11,FALSE)*$Q451*IFERROR((VLOOKUP(P451,Settings!$E$28:$F$33,2,FALSE)+1),1)</f>
        <v>2.6693201679284777E-2</v>
      </c>
      <c r="X451" s="56">
        <f>VLOOKUP(B451,'Player Data'!$A1:$AE667,12,FALSE)*$Q451*IFERROR((VLOOKUP(P451,Settings!$E$28:$F$33,2,FALSE)+1),1)</f>
        <v>0.18226005076047477</v>
      </c>
      <c r="Y451" s="56">
        <f>VLOOKUP(B451,'Player Data'!$A1:$AE667,13,FALSE)*$Q451</f>
        <v>4.6691094059976559E-3</v>
      </c>
      <c r="Z451" s="56">
        <f>VLOOKUP(B451,'Player Data'!$A1:$AE667,14,FALSE)*$Q451</f>
        <v>0.22207247948522998</v>
      </c>
      <c r="AA451" s="56">
        <f>VLOOKUP(B451,'Player Data'!$A1:$AE667,15,FALSE)*$Q451</f>
        <v>99.507050826414471</v>
      </c>
      <c r="AB451" s="56">
        <f>VLOOKUP(B451,'Player Data'!$A1:$AE667,16,FALSE)*$Q451</f>
        <v>81.390306733725751</v>
      </c>
      <c r="AC451" s="56">
        <f>VLOOKUP(B451,'Player Data'!$A1:$AE667,17,FALSE)*$Q451*IFERROR((VLOOKUP(P451,Settings!$E$28:$F$33,2,FALSE)+1),1)</f>
        <v>4.9836355421281411</v>
      </c>
      <c r="AD451" s="56">
        <f>VLOOKUP(B451,'Player Data'!$A1:$AE667,18,FALSE)*$Q451</f>
        <v>27.410278352669923</v>
      </c>
      <c r="AE451" s="56">
        <f>VLOOKUP(B451,'Player Data'!$A1:$AE667,19,FALSE)*$Q451*IFERROR((VLOOKUP(P451,Settings!$E$28:$F$33,2,FALSE)+1),1)</f>
        <v>0.19485383330782474</v>
      </c>
      <c r="AF451" s="56">
        <f>VLOOKUP(B451,'Player Data'!$A1:$AE667,20,FALSE)*$Q451</f>
        <v>0</v>
      </c>
      <c r="AG451" s="56">
        <f>VLOOKUP(B451,'Player Data'!$A1:$AE667,21,FALSE)*$Q451</f>
        <v>0</v>
      </c>
      <c r="AH451" s="58">
        <f>VLOOKUP(B451,'Player Data'!$A1:$AE667,22,FALSE)</f>
        <v>0</v>
      </c>
      <c r="AI451" s="54"/>
      <c r="AJ451" s="64"/>
      <c r="AK451" s="56"/>
      <c r="AL451" s="56"/>
      <c r="AM451" s="56"/>
      <c r="AN451" s="56"/>
      <c r="AO451" s="56"/>
      <c r="AP451" s="56"/>
      <c r="AQ451" s="59"/>
      <c r="AR451" s="60"/>
      <c r="AS451" s="54"/>
    </row>
    <row r="452" spans="1:45" ht="21.25" customHeight="1" x14ac:dyDescent="0.15">
      <c r="A452" s="45">
        <f>RANK(K452,K$1:K$665)</f>
        <v>451</v>
      </c>
      <c r="B452" s="9" t="s">
        <v>577</v>
      </c>
      <c r="C452" s="46" t="s">
        <v>127</v>
      </c>
      <c r="D452" s="47" t="str">
        <f>VLOOKUP(B452,'Player Data'!A1:D667,4,FALSE)</f>
        <v>D</v>
      </c>
      <c r="E452" s="66">
        <f>VLOOKUP(B452,D!A1:C213,3,FALSE)</f>
        <v>172</v>
      </c>
      <c r="F452" s="65" t="str">
        <f>VLOOKUP(B452,'Player Data'!A1:B667,2,FALSE)</f>
        <v>CGY</v>
      </c>
      <c r="G452" s="10">
        <f>VLOOKUP(B452,'Player Data'!A1:D667,3,FALSE)</f>
        <v>26</v>
      </c>
      <c r="H452" s="50">
        <f>IFERROR(VLOOKUP(B452,ADP!A1:G665,7,FALSE)/1000000,VLOOKUP(B452,ADP!A1:G665,7,FALSE))</f>
        <v>1.75</v>
      </c>
      <c r="I452" s="51">
        <f>IF(Settings!$E$15="POINTS",((R452*Q452)*Settings!$B$12)+(S452*Settings!$B$2)+(T452*Settings!$B$3)+(U452*Settings!$B$4)+(V452*Settings!$B$5)+(X452*Settings!$B$9)+(AA452*Settings!$B$6)+(W452*Settings!$B$8)+(AB452*Settings!$B$7)+(AC452*Settings!$B$14)+(AD452*Settings!$B$15)+(AE452*Settings!$B$16)+(AF452*Settings!$B$17)+(AG452*Settings!$B$18)+(U452*Settings!$B$13)+(Y452*Settings!$B$10)+(Z452*Settings!$B$11),VLOOKUP(B452,'Standard Deviations'!A1:C666,3,FALSE))</f>
        <v>134.30818792590111</v>
      </c>
      <c r="J452" s="52">
        <f>IF(D452="G",I452/AJ452,I452/Q452)</f>
        <v>1.9351370639853196</v>
      </c>
      <c r="K452" s="51">
        <f>VLOOKUP(B452,D!A1:F213,6,FALSE)</f>
        <v>-201.9259371196938</v>
      </c>
      <c r="L452" s="53">
        <f>IFERROR(K452/H452,"N/A")</f>
        <v>-115.38624978268217</v>
      </c>
      <c r="M452" s="83" t="str">
        <f>IF(Settings!$E$9="YAHOO",VLOOKUP(B452,ADP!A1:E665,2,FALSE),IF(Settings!$E$9="ESPN",VLOOKUP(B452,ADP!A1:E665,3,FALSE),IF(Settings!$E$9="FANTRAX",VLOOKUP(B452,ADP!A1:E665,4,FALSE),VLOOKUP(B452,ADP!A1:E665,5,FALSE))))</f>
        <v>—</v>
      </c>
      <c r="N452" s="83" t="str">
        <f>IFERROR(M452-A452,"N/A")</f>
        <v>N/A</v>
      </c>
      <c r="O452" s="54"/>
      <c r="P452" s="55" t="str">
        <f>IF(Settings!$E$27="ON",VLOOKUP(B452,ADP!A1:H665,8,FALSE)," ")</f>
        <v xml:space="preserve"> </v>
      </c>
      <c r="Q452" s="56">
        <f>IF(Settings!$E$12="YES",VLOOKUP(B452,'Player Data'!A1:E667,5,FALSE),82)</f>
        <v>69.405000000000001</v>
      </c>
      <c r="R452" s="54">
        <f>VLOOKUP(B452,'Player Data'!$A1:$AE667,6,FALSE)</f>
        <v>16.361949646674798</v>
      </c>
      <c r="S452" s="56">
        <f>VLOOKUP(B452,'Player Data'!$A1:$AE667,7,FALSE)*$Q452*IFERROR((VLOOKUP(P452,Settings!$E$28:$F$33,2,FALSE)+1),1)</f>
        <v>4.1403863939814842</v>
      </c>
      <c r="T452" s="56">
        <f>VLOOKUP(B452,'Player Data'!$A1:$AE667,8,FALSE)*$Q452*IFERROR((VLOOKUP(P452,Settings!$E$28:$F$33,2,FALSE)+1),1)</f>
        <v>11.666869347287912</v>
      </c>
      <c r="U452" s="56">
        <f>SUM(S452:T452)</f>
        <v>15.807255741269397</v>
      </c>
      <c r="V452" s="56">
        <f>VLOOKUP(B452,'Player Data'!$A1:$AE667,10,FALSE)*$Q452*IFERROR(((VLOOKUP(P452,Settings!$E$28:$F$33,2,FALSE)/2)+1),1)</f>
        <v>72.96275178931522</v>
      </c>
      <c r="W452" s="56">
        <f>VLOOKUP(B452,'Player Data'!$A1:$AE667,11,FALSE)*$Q452*IFERROR((VLOOKUP(P452,Settings!$E$28:$F$33,2,FALSE)+1),1)</f>
        <v>3.5666554373981939E-2</v>
      </c>
      <c r="X452" s="56">
        <f>VLOOKUP(B452,'Player Data'!$A1:$AE667,12,FALSE)*$Q452*IFERROR((VLOOKUP(P452,Settings!$E$28:$F$33,2,FALSE)+1),1)</f>
        <v>0.19602387302908755</v>
      </c>
      <c r="Y452" s="56">
        <f>VLOOKUP(B452,'Player Data'!$A1:$AE667,13,FALSE)*$Q452</f>
        <v>2.4511151882770144E-2</v>
      </c>
      <c r="Z452" s="56">
        <f>VLOOKUP(B452,'Player Data'!$A1:$AE667,14,FALSE)*$Q452</f>
        <v>0.28003969433425846</v>
      </c>
      <c r="AA452" s="56">
        <f>VLOOKUP(B452,'Player Data'!$A1:$AE667,15,FALSE)*$Q452</f>
        <v>99.857962480143925</v>
      </c>
      <c r="AB452" s="56">
        <f>VLOOKUP(B452,'Player Data'!$A1:$AE667,16,FALSE)*$Q452</f>
        <v>49.054564289418721</v>
      </c>
      <c r="AC452" s="56">
        <f>VLOOKUP(B452,'Player Data'!$A1:$AE667,17,FALSE)*$Q452*IFERROR((VLOOKUP(P452,Settings!$E$28:$F$33,2,FALSE)+1),1)</f>
        <v>-6.9336702612282846</v>
      </c>
      <c r="AD452" s="56">
        <f>VLOOKUP(B452,'Player Data'!$A1:$AE667,18,FALSE)*$Q452</f>
        <v>27.522578734631715</v>
      </c>
      <c r="AE452" s="56">
        <f>VLOOKUP(B452,'Player Data'!$A1:$AE667,19,FALSE)*$Q452*IFERROR((VLOOKUP(P452,Settings!$E$28:$F$33,2,FALSE)+1),1)</f>
        <v>0.60153097913111975</v>
      </c>
      <c r="AF452" s="56">
        <f>VLOOKUP(B452,'Player Data'!$A1:$AE667,20,FALSE)*$Q452</f>
        <v>0</v>
      </c>
      <c r="AG452" s="56">
        <f>VLOOKUP(B452,'Player Data'!$A1:$AE667,21,FALSE)*$Q452</f>
        <v>0</v>
      </c>
      <c r="AH452" s="58">
        <f>VLOOKUP(B452,'Player Data'!$A1:$AE667,22,FALSE)</f>
        <v>0</v>
      </c>
      <c r="AI452" s="54"/>
      <c r="AJ452" s="56"/>
      <c r="AK452" s="56"/>
      <c r="AL452" s="56"/>
      <c r="AM452" s="56"/>
      <c r="AN452" s="56"/>
      <c r="AO452" s="56"/>
      <c r="AP452" s="56"/>
      <c r="AQ452" s="59"/>
      <c r="AR452" s="60"/>
      <c r="AS452" s="54"/>
    </row>
    <row r="453" spans="1:45" ht="21.25" customHeight="1" x14ac:dyDescent="0.15">
      <c r="A453" s="45">
        <f>RANK(K453,K$1:K$665)</f>
        <v>452</v>
      </c>
      <c r="B453" s="9" t="s">
        <v>578</v>
      </c>
      <c r="C453" s="46" t="s">
        <v>127</v>
      </c>
      <c r="D453" s="47" t="str">
        <f>VLOOKUP(B453,'Player Data'!A1:D667,4,FALSE)</f>
        <v>D</v>
      </c>
      <c r="E453" s="66">
        <f>VLOOKUP(B453,D!A1:C213,3,FALSE)</f>
        <v>173</v>
      </c>
      <c r="F453" s="77" t="str">
        <f>VLOOKUP(B453,'Player Data'!A1:B667,2,FALSE)</f>
        <v>STL</v>
      </c>
      <c r="G453" s="10">
        <f>VLOOKUP(B453,'Player Data'!A1:D667,3,FALSE)</f>
        <v>26</v>
      </c>
      <c r="H453" s="67">
        <f>IFERROR(VLOOKUP(B453,ADP!A1:G665,7,FALSE)/1000000,VLOOKUP(B453,ADP!A1:G665,7,FALSE))</f>
        <v>1.1499999999999999</v>
      </c>
      <c r="I453" s="51">
        <f>IF(Settings!$E$15="POINTS",((R453*Q453)*Settings!$B$12)+(S453*Settings!$B$2)+(T453*Settings!$B$3)+(U453*Settings!$B$4)+(V453*Settings!$B$5)+(X453*Settings!$B$9)+(AA453*Settings!$B$6)+(W453*Settings!$B$8)+(AB453*Settings!$B$7)+(AC453*Settings!$B$14)+(AD453*Settings!$B$15)+(AE453*Settings!$B$16)+(AF453*Settings!$B$17)+(AG453*Settings!$B$18)+(U453*Settings!$B$13)+(Y453*Settings!$B$10)+(Z453*Settings!$B$11),VLOOKUP(B453,'Standard Deviations'!A1:C666,3,FALSE))</f>
        <v>133.44840464888159</v>
      </c>
      <c r="J453" s="52">
        <f>IF(D453="G",I453/AJ453,I453/Q453)</f>
        <v>1.9944463405900703</v>
      </c>
      <c r="K453" s="51">
        <f>VLOOKUP(B453,D!A1:F213,6,FALSE)</f>
        <v>-202.78572039671332</v>
      </c>
      <c r="L453" s="53">
        <f>IFERROR(K453/H453,"N/A")</f>
        <v>-176.33540904062028</v>
      </c>
      <c r="M453" s="83" t="str">
        <f>IF(Settings!$E$9="YAHOO",VLOOKUP(B453,ADP!A1:E665,2,FALSE),IF(Settings!$E$9="ESPN",VLOOKUP(B453,ADP!A1:E665,3,FALSE),IF(Settings!$E$9="FANTRAX",VLOOKUP(B453,ADP!A1:E665,4,FALSE),VLOOKUP(B453,ADP!A1:E665,5,FALSE))))</f>
        <v>—</v>
      </c>
      <c r="N453" s="83" t="str">
        <f>IFERROR(M453-A453,"N/A")</f>
        <v>N/A</v>
      </c>
      <c r="O453" s="54"/>
      <c r="P453" s="55" t="str">
        <f>IF(Settings!$E$27="ON",VLOOKUP(B453,ADP!A1:H665,8,FALSE)," ")</f>
        <v xml:space="preserve"> </v>
      </c>
      <c r="Q453" s="56">
        <f>IF(Settings!$E$12="YES",VLOOKUP(B453,'Player Data'!A1:E667,5,FALSE),82)</f>
        <v>66.91</v>
      </c>
      <c r="R453" s="54">
        <f>VLOOKUP(B453,'Player Data'!$A1:$AE667,6,FALSE)</f>
        <v>16.206656884939001</v>
      </c>
      <c r="S453" s="56">
        <f>VLOOKUP(B453,'Player Data'!$A1:$AE667,7,FALSE)*$Q453*IFERROR((VLOOKUP(P453,Settings!$E$28:$F$33,2,FALSE)+1),1)</f>
        <v>1.5876825776205958</v>
      </c>
      <c r="T453" s="56">
        <f>VLOOKUP(B453,'Player Data'!$A1:$AE667,8,FALSE)*$Q453*IFERROR((VLOOKUP(P453,Settings!$E$28:$F$33,2,FALSE)+1),1)</f>
        <v>19.111185878494037</v>
      </c>
      <c r="U453" s="56">
        <f>SUM(S453:T453)</f>
        <v>20.698868456114631</v>
      </c>
      <c r="V453" s="56">
        <f>VLOOKUP(B453,'Player Data'!$A1:$AE667,10,FALSE)*$Q453*IFERROR(((VLOOKUP(P453,Settings!$E$28:$F$33,2,FALSE)/2)+1),1)</f>
        <v>54.986069893335014</v>
      </c>
      <c r="W453" s="56">
        <f>VLOOKUP(B453,'Player Data'!$A1:$AE667,11,FALSE)*$Q453*IFERROR((VLOOKUP(P453,Settings!$E$28:$F$33,2,FALSE)+1),1)</f>
        <v>0.28185109109371365</v>
      </c>
      <c r="X453" s="56">
        <f>VLOOKUP(B453,'Player Data'!$A1:$AE667,12,FALSE)*$Q453*IFERROR((VLOOKUP(P453,Settings!$E$28:$F$33,2,FALSE)+1),1)</f>
        <v>6.41070434274513</v>
      </c>
      <c r="Y453" s="56">
        <f>VLOOKUP(B453,'Player Data'!$A1:$AE667,13,FALSE)*$Q453</f>
        <v>3.0923481413077584E-4</v>
      </c>
      <c r="Z453" s="56">
        <f>VLOOKUP(B453,'Player Data'!$A1:$AE667,14,FALSE)*$Q453</f>
        <v>1.4961081683999079E-3</v>
      </c>
      <c r="AA453" s="56">
        <f>VLOOKUP(B453,'Player Data'!$A1:$AE667,15,FALSE)*$Q453</f>
        <v>74.893127765913363</v>
      </c>
      <c r="AB453" s="56">
        <f>VLOOKUP(B453,'Player Data'!$A1:$AE667,16,FALSE)*$Q453</f>
        <v>58.495181901954197</v>
      </c>
      <c r="AC453" s="56">
        <f>VLOOKUP(B453,'Player Data'!$A1:$AE667,17,FALSE)*$Q453*IFERROR((VLOOKUP(P453,Settings!$E$28:$F$33,2,FALSE)+1),1)</f>
        <v>-2.7800098469649286</v>
      </c>
      <c r="AD453" s="56">
        <f>VLOOKUP(B453,'Player Data'!$A1:$AE667,18,FALSE)*$Q453</f>
        <v>23.337175812078534</v>
      </c>
      <c r="AE453" s="56">
        <f>VLOOKUP(B453,'Player Data'!$A1:$AE667,19,FALSE)*$Q453*IFERROR((VLOOKUP(P453,Settings!$E$28:$F$33,2,FALSE)+1),1)</f>
        <v>0.19114760445122056</v>
      </c>
      <c r="AF453" s="56">
        <f>VLOOKUP(B453,'Player Data'!$A1:$AE667,20,FALSE)*$Q453</f>
        <v>0</v>
      </c>
      <c r="AG453" s="56">
        <f>VLOOKUP(B453,'Player Data'!$A1:$AE667,21,FALSE)*$Q453</f>
        <v>0</v>
      </c>
      <c r="AH453" s="58">
        <f>VLOOKUP(B453,'Player Data'!$A1:$AE667,22,FALSE)</f>
        <v>0</v>
      </c>
      <c r="AI453" s="54"/>
      <c r="AJ453" s="56"/>
      <c r="AK453" s="56"/>
      <c r="AL453" s="56"/>
      <c r="AM453" s="56"/>
      <c r="AN453" s="56"/>
      <c r="AO453" s="56"/>
      <c r="AP453" s="56"/>
      <c r="AQ453" s="59"/>
      <c r="AR453" s="60"/>
      <c r="AS453" s="54"/>
    </row>
    <row r="454" spans="1:45" ht="21.25" customHeight="1" x14ac:dyDescent="0.15">
      <c r="A454" s="45">
        <f>RANK(K454,K$1:K$665)</f>
        <v>453</v>
      </c>
      <c r="B454" s="9" t="s">
        <v>579</v>
      </c>
      <c r="C454" s="46" t="s">
        <v>127</v>
      </c>
      <c r="D454" s="47" t="str">
        <f>VLOOKUP(B454,'Player Data'!A1:D667,4,FALSE)</f>
        <v>RW</v>
      </c>
      <c r="E454" s="61">
        <f>VLOOKUP(B454,RW!A1:F136,3,FALSE)</f>
        <v>95</v>
      </c>
      <c r="F454" s="62" t="str">
        <f>VLOOKUP(B454,'Player Data'!A1:B667,2,FALSE)</f>
        <v>T.B</v>
      </c>
      <c r="G454" s="63">
        <f>VLOOKUP(B454,'Player Data'!A1:D667,3,FALSE)</f>
        <v>35</v>
      </c>
      <c r="H454" s="67">
        <f>IFERROR(VLOOKUP(B454,ADP!A1:G665,7,FALSE)/1000000,VLOOKUP(B454,ADP!A1:G665,7,FALSE))</f>
        <v>0.9</v>
      </c>
      <c r="I454" s="51">
        <f>IF(Settings!$E$15="POINTS",((R454*Q454)*Settings!$B$12)+(S454*Settings!$B$2)+(T454*Settings!$B$3)+(U454*Settings!$B$4)+(V454*Settings!$B$5)+(X454*Settings!$B$9)+(AA454*Settings!$B$6)+(W454*Settings!$B$8)+(AB454*Settings!$B$7)+(AC454*Settings!$B$14)+(AD454*Settings!$B$15)+(AE454*Settings!$B$16)+(AF454*Settings!$B$17)+(AG454*Settings!$B$18)+(Y454*Settings!$B$10)+(Z454*Settings!$B$11),VLOOKUP(B454,'Standard Deviations'!A1:C666,3,FALSE))</f>
        <v>165.82612193804221</v>
      </c>
      <c r="J454" s="52">
        <f>IF(D454="G",I454/AJ454,I454/Q454)</f>
        <v>2.1630669745709077</v>
      </c>
      <c r="K454" s="51">
        <f>IF(Settings!$E$18="C/LW/RW",VLOOKUP(B454,RW!A1:F136,6,FALSE),VLOOKUP(B454,F!A1:F392,6,FALSE))</f>
        <v>-203.02160116825019</v>
      </c>
      <c r="L454" s="53">
        <f>IFERROR(K454/H454,"N/A")</f>
        <v>-225.57955685361131</v>
      </c>
      <c r="M454" s="83" t="str">
        <f>IF(Settings!$E$9="YAHOO",VLOOKUP(B454,ADP!A1:E665,2,FALSE),IF(Settings!$E$9="ESPN",VLOOKUP(B454,ADP!A1:E665,3,FALSE),IF(Settings!$E$9="FANTRAX",VLOOKUP(B454,ADP!A1:E665,4,FALSE),VLOOKUP(B454,ADP!A1:E665,5,FALSE))))</f>
        <v>—</v>
      </c>
      <c r="N454" s="83" t="str">
        <f>IFERROR(M454-A454,"N/A")</f>
        <v>N/A</v>
      </c>
      <c r="O454" s="54"/>
      <c r="P454" s="55" t="str">
        <f>IF(Settings!$E$27="ON",VLOOKUP(B454,ADP!A1:H665,8,FALSE)," ")</f>
        <v xml:space="preserve"> </v>
      </c>
      <c r="Q454" s="56">
        <f>IF(Settings!$E$12="YES",VLOOKUP(B454,'Player Data'!A1:E667,5,FALSE),82)</f>
        <v>76.662499999999994</v>
      </c>
      <c r="R454" s="81">
        <f>VLOOKUP(B454,'Player Data'!$A1:$AE667,6,FALSE)</f>
        <v>12.1906674122343</v>
      </c>
      <c r="S454" s="56">
        <f>VLOOKUP(B454,'Player Data'!$A1:$AE667,7,FALSE)*$Q454*IFERROR((VLOOKUP(P454,Settings!$E$28:$F$33,2,FALSE)+1),1)</f>
        <v>11.217198209368267</v>
      </c>
      <c r="T454" s="56">
        <f>VLOOKUP(B454,'Player Data'!$A1:$AE667,8,FALSE)*$Q454*IFERROR((VLOOKUP(P454,Settings!$E$28:$F$33,2,FALSE)+1),1)</f>
        <v>13.374218729369131</v>
      </c>
      <c r="U454" s="56">
        <f>SUM(S454:T454)</f>
        <v>24.591416938737396</v>
      </c>
      <c r="V454" s="56">
        <f>VLOOKUP(B454,'Player Data'!$A1:$AE667,10,FALSE)*$Q454*IFERROR(((VLOOKUP(P454,Settings!$E$28:$F$33,2,FALSE)/2)+1),1)</f>
        <v>138.83500992385385</v>
      </c>
      <c r="W454" s="56">
        <f>VLOOKUP(B454,'Player Data'!$A1:$AE667,11,FALSE)*$Q454*IFERROR((VLOOKUP(P454,Settings!$E$28:$F$33,2,FALSE)+1),1)</f>
        <v>0.99509794769232518</v>
      </c>
      <c r="X454" s="56">
        <f>VLOOKUP(B454,'Player Data'!$A1:$AE667,12,FALSE)*$Q454*IFERROR((VLOOKUP(P454,Settings!$E$28:$F$33,2,FALSE)+1),1)</f>
        <v>2.6342792986583077</v>
      </c>
      <c r="Y454" s="56">
        <f>VLOOKUP(B454,'Player Data'!$A1:$AE667,13,FALSE)*$Q454</f>
        <v>0.26614212624186206</v>
      </c>
      <c r="Z454" s="56">
        <f>VLOOKUP(B454,'Player Data'!$A1:$AE667,14,FALSE)*$Q454</f>
        <v>0.30435095720341415</v>
      </c>
      <c r="AA454" s="56">
        <f>VLOOKUP(B454,'Player Data'!$A1:$AE667,15,FALSE)*$Q454</f>
        <v>39.391471808082777</v>
      </c>
      <c r="AB454" s="56">
        <f>VLOOKUP(B454,'Player Data'!$A1:$AE667,16,FALSE)*$Q454</f>
        <v>46.134770439848673</v>
      </c>
      <c r="AC454" s="56">
        <f>VLOOKUP(B454,'Player Data'!$A1:$AE667,17,FALSE)*$Q454*IFERROR((VLOOKUP(P454,Settings!$E$28:$F$33,2,FALSE)+1),1)</f>
        <v>-3.7776104854726591</v>
      </c>
      <c r="AD454" s="56">
        <f>VLOOKUP(B454,'Player Data'!$A1:$AE667,18,FALSE)*$Q454</f>
        <v>20.535218298767177</v>
      </c>
      <c r="AE454" s="56">
        <f>VLOOKUP(B454,'Player Data'!$A1:$AE667,19,FALSE)*$Q454*IFERROR((VLOOKUP(P454,Settings!$E$28:$F$33,2,FALSE)+1),1)</f>
        <v>1.7673999439405421</v>
      </c>
      <c r="AF454" s="56">
        <f>VLOOKUP(B454,'Player Data'!$A1:$AE667,20,FALSE)*$Q454</f>
        <v>7.7264457368633082</v>
      </c>
      <c r="AG454" s="56">
        <f>VLOOKUP(B454,'Player Data'!$A1:$AE667,21,FALSE)*$Q454</f>
        <v>11.43002941816861</v>
      </c>
      <c r="AH454" s="58">
        <f>VLOOKUP(B454,'Player Data'!$A1:$AE667,22,FALSE)</f>
        <v>0.40333337288482002</v>
      </c>
      <c r="AI454" s="54"/>
      <c r="AJ454" s="56"/>
      <c r="AK454" s="56"/>
      <c r="AL454" s="56"/>
      <c r="AM454" s="56"/>
      <c r="AN454" s="56"/>
      <c r="AO454" s="56"/>
      <c r="AP454" s="56"/>
      <c r="AQ454" s="59"/>
      <c r="AR454" s="60"/>
      <c r="AS454" s="64"/>
    </row>
    <row r="455" spans="1:45" ht="21.25" customHeight="1" x14ac:dyDescent="0.15">
      <c r="A455" s="45">
        <f>RANK(K455,K$1:K$665)</f>
        <v>454</v>
      </c>
      <c r="B455" s="9" t="s">
        <v>580</v>
      </c>
      <c r="C455" s="46" t="s">
        <v>127</v>
      </c>
      <c r="D455" s="47" t="str">
        <f>VLOOKUP(B455,'Player Data'!A1:D667,4,FALSE)</f>
        <v>G</v>
      </c>
      <c r="E455" s="73">
        <f>VLOOKUP(B455,G!A1:D65,3,FALSE)</f>
        <v>41</v>
      </c>
      <c r="F455" s="65" t="str">
        <f>VLOOKUP(B455,'Player Data'!A1:B667,2,FALSE)</f>
        <v>BUF</v>
      </c>
      <c r="G455" s="69">
        <f>VLOOKUP(B455,'Player Data'!A1:D667,3,FALSE)</f>
        <v>22</v>
      </c>
      <c r="H455" s="67">
        <f>IFERROR(VLOOKUP(B455,ADP!A1:G665,7,FALSE)/1000000,VLOOKUP(B455,ADP!A1:G665,7,FALSE))</f>
        <v>0.92500000000000004</v>
      </c>
      <c r="I455" s="51">
        <f>IF(Settings!$E$15="POINTS",(AJ455*Settings!$B$29)+(AK455*Settings!$B$21)+(AL455*Settings!$B$22)+(AN455*Settings!$B$24)+(AO455*Settings!$B$25)+(AP455*Settings!$B$27)+(AM455*Settings!$B$23),VLOOKUP(B455,'Standard Deviations'!A1:C666,3,FALSE))</f>
        <v>207.25269198750368</v>
      </c>
      <c r="J455" s="52">
        <f>IF(D455="G",I455/AJ455,I455/Q455)</f>
        <v>6.0956674113971667</v>
      </c>
      <c r="K455" s="51">
        <f>VLOOKUP(B455,G!A1:F65,6,FALSE)</f>
        <v>-203.4070507819165</v>
      </c>
      <c r="L455" s="53">
        <f>IFERROR(K455/H455,"N/A")</f>
        <v>-219.89951435882864</v>
      </c>
      <c r="M455" s="54">
        <f>IF(Settings!$E$9="YAHOO",VLOOKUP(B455,ADP!A1:E665,2,FALSE),IF(Settings!$E$9="ESPN",VLOOKUP(B455,ADP!A1:E665,3,FALSE),IF(Settings!$E$9="FANTRAX",VLOOKUP(B455,ADP!A1:E665,4,FALSE),VLOOKUP(B455,ADP!A1:E665,5,FALSE))))</f>
        <v>190</v>
      </c>
      <c r="N455" s="54">
        <f>IFERROR(M455-A455,"N/A")</f>
        <v>-264</v>
      </c>
      <c r="O455" s="54"/>
      <c r="P455" s="55" t="str">
        <f>IF(Settings!$E$27="ON",VLOOKUP(B455,ADP!A1:H665,8,FALSE)," ")</f>
        <v>-</v>
      </c>
      <c r="Q455" s="56"/>
      <c r="R455" s="54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8"/>
      <c r="AI455" s="54"/>
      <c r="AJ455" s="64">
        <f>VLOOKUP(B455,'Player Data'!$A1:$AE667,24,FALSE)</f>
        <v>34</v>
      </c>
      <c r="AK455" s="56">
        <f>VLOOKUP(B455,'Player Data'!$A1:$AE667,25,FALSE)*$AJ455*IFERROR((VLOOKUP(P455,Settings!$E$28:$F$33,2,FALSE)+1),1)</f>
        <v>16.196253407463413</v>
      </c>
      <c r="AL455" s="56">
        <f>AJ455-AK455-AM455</f>
        <v>13.553746592536587</v>
      </c>
      <c r="AM455" s="56">
        <f>VLOOKUP(B455,'Player Data'!$A1:$AE667,27,FALSE)*$AJ455</f>
        <v>4.25</v>
      </c>
      <c r="AN455" s="56">
        <f>VLOOKUP(B455,'Player Data'!$A1:$AE667,28,FALSE)*AJ455</f>
        <v>1.4524427227110797</v>
      </c>
      <c r="AO455" s="56">
        <f>VLOOKUP(B455,'Player Data'!$A1:$AE667,29,FALSE)*$AJ455*IFERROR((VLOOKUP(P455,Settings!$E$28:$F$33,2,FALSE)/4)+1,1)</f>
        <v>931.0927991833646</v>
      </c>
      <c r="AP455" s="56">
        <f>VLOOKUP(B455,'Player Data'!$A1:$AE667,31,FALSE)*$AJ455*(IFERROR(1-(VLOOKUP(P455,Settings!$E$28:$F$33,2,FALSE)/4),1))</f>
        <v>102.77830351642665</v>
      </c>
      <c r="AQ455" s="59">
        <f>1-(AP455/(AO455+AP455))</f>
        <v>0.9005888613696259</v>
      </c>
      <c r="AR455" s="60">
        <f>AP455/AJ455</f>
        <v>3.0228912798949015</v>
      </c>
      <c r="AS455" s="54"/>
    </row>
    <row r="456" spans="1:45" ht="21.25" customHeight="1" x14ac:dyDescent="0.15">
      <c r="A456" s="45">
        <f>RANK(K456,K$1:K$665)</f>
        <v>455</v>
      </c>
      <c r="B456" s="9" t="s">
        <v>581</v>
      </c>
      <c r="C456" s="46" t="s">
        <v>127</v>
      </c>
      <c r="D456" s="47" t="str">
        <f>VLOOKUP(B456,'Player Data'!A1:D667,4,FALSE)</f>
        <v>D</v>
      </c>
      <c r="E456" s="66">
        <f>VLOOKUP(B456,D!A1:C213,3,FALSE)</f>
        <v>174</v>
      </c>
      <c r="F456" s="65" t="str">
        <f>VLOOKUP(B456,'Player Data'!A1:B667,2,FALSE)</f>
        <v>CGY</v>
      </c>
      <c r="G456" s="69">
        <f>VLOOKUP(B456,'Player Data'!A1:D667,3,FALSE)</f>
        <v>24</v>
      </c>
      <c r="H456" s="67">
        <f>IFERROR(VLOOKUP(B456,ADP!A1:G665,7,FALSE)/1000000,VLOOKUP(B456,ADP!A1:G665,7,FALSE))</f>
        <v>1.05</v>
      </c>
      <c r="I456" s="51">
        <f>IF(Settings!$E$15="POINTS",((R456*Q456)*Settings!$B$12)+(S456*Settings!$B$2)+(T456*Settings!$B$3)+(U456*Settings!$B$4)+(V456*Settings!$B$5)+(X456*Settings!$B$9)+(AA456*Settings!$B$6)+(W456*Settings!$B$8)+(AB456*Settings!$B$7)+(AC456*Settings!$B$14)+(AD456*Settings!$B$15)+(AE456*Settings!$B$16)+(AF456*Settings!$B$17)+(AG456*Settings!$B$18)+(U456*Settings!$B$13)+(Y456*Settings!$B$10)+(Z456*Settings!$B$11),VLOOKUP(B456,'Standard Deviations'!A1:C666,3,FALSE))</f>
        <v>132.59271843121411</v>
      </c>
      <c r="J456" s="52">
        <f>IF(D456="G",I456/AJ456,I456/Q456)</f>
        <v>1.7613272905315371</v>
      </c>
      <c r="K456" s="51">
        <f>VLOOKUP(B456,D!A1:F213,6,FALSE)</f>
        <v>-203.6414066143808</v>
      </c>
      <c r="L456" s="53">
        <f>IFERROR(K456/H456,"N/A")</f>
        <v>-193.94419677560074</v>
      </c>
      <c r="M456" s="83" t="str">
        <f>IF(Settings!$E$9="YAHOO",VLOOKUP(B456,ADP!A1:E665,2,FALSE),IF(Settings!$E$9="ESPN",VLOOKUP(B456,ADP!A1:E665,3,FALSE),IF(Settings!$E$9="FANTRAX",VLOOKUP(B456,ADP!A1:E665,4,FALSE),VLOOKUP(B456,ADP!A1:E665,5,FALSE))))</f>
        <v>—</v>
      </c>
      <c r="N456" s="83" t="str">
        <f>IFERROR(M456-A456,"N/A")</f>
        <v>N/A</v>
      </c>
      <c r="O456" s="54"/>
      <c r="P456" s="55" t="str">
        <f>IF(Settings!$E$27="ON",VLOOKUP(B456,ADP!A1:H665,8,FALSE)," ")</f>
        <v xml:space="preserve"> </v>
      </c>
      <c r="Q456" s="56">
        <f>IF(Settings!$E$12="YES",VLOOKUP(B456,'Player Data'!A1:E667,5,FALSE),82)</f>
        <v>75.28</v>
      </c>
      <c r="R456" s="75">
        <f>VLOOKUP(B456,'Player Data'!$A1:$AE667,6,FALSE)</f>
        <v>18.682135522210999</v>
      </c>
      <c r="S456" s="56">
        <f>VLOOKUP(B456,'Player Data'!$A1:$AE667,7,FALSE)*$Q456*IFERROR((VLOOKUP(P456,Settings!$E$28:$F$33,2,FALSE)+1),1)</f>
        <v>2.5883350768097495</v>
      </c>
      <c r="T456" s="56">
        <f>VLOOKUP(B456,'Player Data'!$A1:$AE667,8,FALSE)*$Q456*IFERROR((VLOOKUP(P456,Settings!$E$28:$F$33,2,FALSE)+1),1)</f>
        <v>12.434270803416386</v>
      </c>
      <c r="U456" s="56">
        <f>SUM(S456:T456)</f>
        <v>15.022605880226134</v>
      </c>
      <c r="V456" s="56">
        <f>VLOOKUP(B456,'Player Data'!$A1:$AE667,10,FALSE)*$Q456*IFERROR(((VLOOKUP(P456,Settings!$E$28:$F$33,2,FALSE)/2)+1),1)</f>
        <v>67.085430549950502</v>
      </c>
      <c r="W456" s="56">
        <f>VLOOKUP(B456,'Player Data'!$A1:$AE667,11,FALSE)*$Q456*IFERROR((VLOOKUP(P456,Settings!$E$28:$F$33,2,FALSE)+1),1)</f>
        <v>2.5163661715961089E-2</v>
      </c>
      <c r="X456" s="56">
        <f>VLOOKUP(B456,'Player Data'!$A1:$AE667,12,FALSE)*$Q456*IFERROR((VLOOKUP(P456,Settings!$E$28:$F$33,2,FALSE)+1),1)</f>
        <v>0.15830146462251368</v>
      </c>
      <c r="Y456" s="56">
        <f>VLOOKUP(B456,'Player Data'!$A1:$AE667,13,FALSE)*$Q456</f>
        <v>4.5328583721599001E-2</v>
      </c>
      <c r="Z456" s="56">
        <f>VLOOKUP(B456,'Player Data'!$A1:$AE667,14,FALSE)*$Q456</f>
        <v>0.19083954678478354</v>
      </c>
      <c r="AA456" s="56">
        <f>VLOOKUP(B456,'Player Data'!$A1:$AE667,15,FALSE)*$Q456</f>
        <v>107.2660890083063</v>
      </c>
      <c r="AB456" s="56">
        <f>VLOOKUP(B456,'Player Data'!$A1:$AE667,16,FALSE)*$Q456</f>
        <v>138.43835615259235</v>
      </c>
      <c r="AC456" s="56">
        <f>VLOOKUP(B456,'Player Data'!$A1:$AE667,17,FALSE)*$Q456*IFERROR((VLOOKUP(P456,Settings!$E$28:$F$33,2,FALSE)+1),1)</f>
        <v>2.6346053181600548</v>
      </c>
      <c r="AD456" s="56">
        <f>VLOOKUP(B456,'Player Data'!$A1:$AE667,18,FALSE)*$Q456</f>
        <v>57.718575701113565</v>
      </c>
      <c r="AE456" s="56">
        <f>VLOOKUP(B456,'Player Data'!$A1:$AE667,19,FALSE)*$Q456*IFERROR((VLOOKUP(P456,Settings!$E$28:$F$33,2,FALSE)+1),1)</f>
        <v>0.37604309958510429</v>
      </c>
      <c r="AF456" s="56">
        <f>VLOOKUP(B456,'Player Data'!$A1:$AE667,20,FALSE)*$Q456</f>
        <v>0</v>
      </c>
      <c r="AG456" s="56">
        <f>VLOOKUP(B456,'Player Data'!$A1:$AE667,21,FALSE)*$Q456</f>
        <v>0</v>
      </c>
      <c r="AH456" s="58">
        <f>VLOOKUP(B456,'Player Data'!$A1:$AE667,22,FALSE)</f>
        <v>0</v>
      </c>
      <c r="AI456" s="54"/>
      <c r="AJ456" s="64"/>
      <c r="AK456" s="56"/>
      <c r="AL456" s="56"/>
      <c r="AM456" s="56"/>
      <c r="AN456" s="56"/>
      <c r="AO456" s="56"/>
      <c r="AP456" s="56"/>
      <c r="AQ456" s="59"/>
      <c r="AR456" s="60"/>
      <c r="AS456" s="54"/>
    </row>
    <row r="457" spans="1:45" ht="21.25" customHeight="1" x14ac:dyDescent="0.15">
      <c r="A457" s="45">
        <f>RANK(K457,K$1:K$665)</f>
        <v>456</v>
      </c>
      <c r="B457" s="9" t="s">
        <v>582</v>
      </c>
      <c r="C457" s="46" t="s">
        <v>127</v>
      </c>
      <c r="D457" s="47" t="str">
        <f>VLOOKUP(B457,'Player Data'!A1:D667,4,FALSE)</f>
        <v>D</v>
      </c>
      <c r="E457" s="66">
        <f>VLOOKUP(B457,D!A1:C213,3,FALSE)</f>
        <v>175</v>
      </c>
      <c r="F457" s="65" t="str">
        <f>VLOOKUP(B457,'Player Data'!A1:B667,2,FALSE)</f>
        <v>NSH</v>
      </c>
      <c r="G457" s="63">
        <f>VLOOKUP(B457,'Player Data'!A1:D667,3,FALSE)</f>
        <v>34</v>
      </c>
      <c r="H457" s="50">
        <f>IFERROR(VLOOKUP(B457,ADP!A1:G665,7,FALSE)/1000000,VLOOKUP(B457,ADP!A1:G665,7,FALSE))</f>
        <v>2.75</v>
      </c>
      <c r="I457" s="51">
        <f>IF(Settings!$E$15="POINTS",((R457*Q457)*Settings!$B$12)+(S457*Settings!$B$2)+(T457*Settings!$B$3)+(U457*Settings!$B$4)+(V457*Settings!$B$5)+(X457*Settings!$B$9)+(AA457*Settings!$B$6)+(W457*Settings!$B$8)+(AB457*Settings!$B$7)+(AC457*Settings!$B$14)+(AD457*Settings!$B$15)+(AE457*Settings!$B$16)+(AF457*Settings!$B$17)+(AG457*Settings!$B$18)+(U457*Settings!$B$13)+(Y457*Settings!$B$10)+(Z457*Settings!$B$11),VLOOKUP(B457,'Standard Deviations'!A1:C666,3,FALSE))</f>
        <v>131.98159587539425</v>
      </c>
      <c r="J457" s="52">
        <f>IF(D457="G",I457/AJ457,I457/Q457)</f>
        <v>1.7502449474574047</v>
      </c>
      <c r="K457" s="51">
        <f>VLOOKUP(B457,D!A1:F213,6,FALSE)</f>
        <v>-204.25252917020066</v>
      </c>
      <c r="L457" s="53">
        <f>IFERROR(K457/H457,"N/A")</f>
        <v>-74.273646970982057</v>
      </c>
      <c r="M457" s="83" t="str">
        <f>IF(Settings!$E$9="YAHOO",VLOOKUP(B457,ADP!A1:E665,2,FALSE),IF(Settings!$E$9="ESPN",VLOOKUP(B457,ADP!A1:E665,3,FALSE),IF(Settings!$E$9="FANTRAX",VLOOKUP(B457,ADP!A1:E665,4,FALSE),VLOOKUP(B457,ADP!A1:E665,5,FALSE))))</f>
        <v>—</v>
      </c>
      <c r="N457" s="83" t="str">
        <f>IFERROR(M457-A457,"N/A")</f>
        <v>N/A</v>
      </c>
      <c r="O457" s="54"/>
      <c r="P457" s="55" t="str">
        <f>IF(Settings!$E$27="ON",VLOOKUP(B457,ADP!A1:H665,8,FALSE)," ")</f>
        <v xml:space="preserve"> </v>
      </c>
      <c r="Q457" s="56">
        <f>IF(Settings!$E$12="YES",VLOOKUP(B457,'Player Data'!A1:E667,5,FALSE),82)</f>
        <v>75.407499999999999</v>
      </c>
      <c r="R457" s="54">
        <f>VLOOKUP(B457,'Player Data'!$A1:$AE667,6,FALSE)</f>
        <v>15.2662014830355</v>
      </c>
      <c r="S457" s="56">
        <f>VLOOKUP(B457,'Player Data'!$A1:$AE667,7,FALSE)*$Q457*IFERROR((VLOOKUP(P457,Settings!$E$28:$F$33,2,FALSE)+1),1)</f>
        <v>2.7711637780219553</v>
      </c>
      <c r="T457" s="56">
        <f>VLOOKUP(B457,'Player Data'!$A1:$AE667,8,FALSE)*$Q457*IFERROR((VLOOKUP(P457,Settings!$E$28:$F$33,2,FALSE)+1),1)</f>
        <v>11.406155505758084</v>
      </c>
      <c r="U457" s="56">
        <f>SUM(S457:T457)</f>
        <v>14.17731928378004</v>
      </c>
      <c r="V457" s="56">
        <f>VLOOKUP(B457,'Player Data'!$A1:$AE667,10,FALSE)*$Q457*IFERROR(((VLOOKUP(P457,Settings!$E$28:$F$33,2,FALSE)/2)+1),1)</f>
        <v>83.351363537599639</v>
      </c>
      <c r="W457" s="56">
        <f>VLOOKUP(B457,'Player Data'!$A1:$AE667,11,FALSE)*$Q457*IFERROR((VLOOKUP(P457,Settings!$E$28:$F$33,2,FALSE)+1),1)</f>
        <v>1.2200535971995895E-2</v>
      </c>
      <c r="X457" s="56">
        <f>VLOOKUP(B457,'Player Data'!$A1:$AE667,12,FALSE)*$Q457*IFERROR((VLOOKUP(P457,Settings!$E$28:$F$33,2,FALSE)+1),1)</f>
        <v>8.3634301250735163E-2</v>
      </c>
      <c r="Y457" s="56">
        <f>VLOOKUP(B457,'Player Data'!$A1:$AE667,13,FALSE)*$Q457</f>
        <v>2.7923691175134924E-2</v>
      </c>
      <c r="Z457" s="56">
        <f>VLOOKUP(B457,'Player Data'!$A1:$AE667,14,FALSE)*$Q457</f>
        <v>0.13032998542108859</v>
      </c>
      <c r="AA457" s="56">
        <f>VLOOKUP(B457,'Player Data'!$A1:$AE667,15,FALSE)*$Q457</f>
        <v>95.119983937164974</v>
      </c>
      <c r="AB457" s="56">
        <f>VLOOKUP(B457,'Player Data'!$A1:$AE667,16,FALSE)*$Q457</f>
        <v>218.38477664804498</v>
      </c>
      <c r="AC457" s="56">
        <f>VLOOKUP(B457,'Player Data'!$A1:$AE667,17,FALSE)*$Q457*IFERROR((VLOOKUP(P457,Settings!$E$28:$F$33,2,FALSE)+1),1)</f>
        <v>1.0260936927892044</v>
      </c>
      <c r="AD457" s="56">
        <f>VLOOKUP(B457,'Player Data'!$A1:$AE667,18,FALSE)*$Q457</f>
        <v>56.316586104136398</v>
      </c>
      <c r="AE457" s="56">
        <f>VLOOKUP(B457,'Player Data'!$A1:$AE667,19,FALSE)*$Q457*IFERROR((VLOOKUP(P457,Settings!$E$28:$F$33,2,FALSE)+1),1)</f>
        <v>0.39237689407665716</v>
      </c>
      <c r="AF457" s="56">
        <f>VLOOKUP(B457,'Player Data'!$A1:$AE667,20,FALSE)*$Q457</f>
        <v>0</v>
      </c>
      <c r="AG457" s="56">
        <f>VLOOKUP(B457,'Player Data'!$A1:$AE667,21,FALSE)*$Q457</f>
        <v>0</v>
      </c>
      <c r="AH457" s="58">
        <f>VLOOKUP(B457,'Player Data'!$A1:$AE667,22,FALSE)</f>
        <v>0</v>
      </c>
      <c r="AI457" s="54"/>
      <c r="AJ457" s="64"/>
      <c r="AK457" s="56"/>
      <c r="AL457" s="56"/>
      <c r="AM457" s="56"/>
      <c r="AN457" s="56"/>
      <c r="AO457" s="56"/>
      <c r="AP457" s="56"/>
      <c r="AQ457" s="59"/>
      <c r="AR457" s="60"/>
      <c r="AS457" s="54"/>
    </row>
    <row r="458" spans="1:45" ht="21.25" customHeight="1" x14ac:dyDescent="0.15">
      <c r="A458" s="45">
        <f>RANK(K458,K$1:K$665)</f>
        <v>457</v>
      </c>
      <c r="B458" s="9" t="s">
        <v>583</v>
      </c>
      <c r="C458" s="46" t="s">
        <v>127</v>
      </c>
      <c r="D458" s="47" t="str">
        <f>VLOOKUP(B458,'Player Data'!A1:D667,4,FALSE)</f>
        <v>D</v>
      </c>
      <c r="E458" s="66">
        <f>VLOOKUP(B458,D!A1:C213,3,FALSE)</f>
        <v>176</v>
      </c>
      <c r="F458" s="65" t="str">
        <f>VLOOKUP(B458,'Player Data'!A1:B667,2,FALSE)</f>
        <v>DET</v>
      </c>
      <c r="G458" s="10">
        <f>VLOOKUP(B458,'Player Data'!A1:D667,3,FALSE)</f>
        <v>30</v>
      </c>
      <c r="H458" s="67">
        <f>IFERROR(VLOOKUP(B458,ADP!A1:G665,7,FALSE)/1000000,VLOOKUP(B458,ADP!A1:G665,7,FALSE))</f>
        <v>3</v>
      </c>
      <c r="I458" s="51">
        <f>IF(Settings!$E$15="POINTS",((R458*Q458)*Settings!$B$12)+(S458*Settings!$B$2)+(T458*Settings!$B$3)+(U458*Settings!$B$4)+(V458*Settings!$B$5)+(X458*Settings!$B$9)+(AA458*Settings!$B$6)+(W458*Settings!$B$8)+(AB458*Settings!$B$7)+(AC458*Settings!$B$14)+(AD458*Settings!$B$15)+(AE458*Settings!$B$16)+(AF458*Settings!$B$17)+(AG458*Settings!$B$18)+(U458*Settings!$B$13)+(Y458*Settings!$B$10)+(Z458*Settings!$B$11),VLOOKUP(B458,'Standard Deviations'!A1:C666,3,FALSE))</f>
        <v>131.74907911147213</v>
      </c>
      <c r="J458" s="52">
        <f>IF(D458="G",I458/AJ458,I458/Q458)</f>
        <v>1.6868200385567136</v>
      </c>
      <c r="K458" s="51">
        <f>VLOOKUP(B458,D!A1:F213,6,FALSE)</f>
        <v>-204.48504593412278</v>
      </c>
      <c r="L458" s="53">
        <f>IFERROR(K458/H458,"N/A")</f>
        <v>-68.161681978040932</v>
      </c>
      <c r="M458" s="83" t="str">
        <f>IF(Settings!$E$9="YAHOO",VLOOKUP(B458,ADP!A1:E665,2,FALSE),IF(Settings!$E$9="ESPN",VLOOKUP(B458,ADP!A1:E665,3,FALSE),IF(Settings!$E$9="FANTRAX",VLOOKUP(B458,ADP!A1:E665,4,FALSE),VLOOKUP(B458,ADP!A1:E665,5,FALSE))))</f>
        <v>—</v>
      </c>
      <c r="N458" s="83" t="str">
        <f>IFERROR(M458-A458,"N/A")</f>
        <v>N/A</v>
      </c>
      <c r="O458" s="54"/>
      <c r="P458" s="55" t="str">
        <f>IF(Settings!$E$27="ON",VLOOKUP(B458,ADP!A1:H665,8,FALSE)," ")</f>
        <v xml:space="preserve"> </v>
      </c>
      <c r="Q458" s="56">
        <f>IF(Settings!$E$12="YES",VLOOKUP(B458,'Player Data'!A1:E667,5,FALSE),82)</f>
        <v>78.105000000000004</v>
      </c>
      <c r="R458" s="54">
        <f>VLOOKUP(B458,'Player Data'!$A1:$AE667,6,FALSE)</f>
        <v>16.098823885433099</v>
      </c>
      <c r="S458" s="56">
        <f>VLOOKUP(B458,'Player Data'!$A1:$AE667,7,FALSE)*$Q458*IFERROR((VLOOKUP(P458,Settings!$E$28:$F$33,2,FALSE)+1),1)</f>
        <v>3.7042263432686191</v>
      </c>
      <c r="T458" s="56">
        <f>VLOOKUP(B458,'Player Data'!$A1:$AE667,8,FALSE)*$Q458*IFERROR((VLOOKUP(P458,Settings!$E$28:$F$33,2,FALSE)+1),1)</f>
        <v>13.212597648645749</v>
      </c>
      <c r="U458" s="56">
        <f>SUM(S458:T458)</f>
        <v>16.91682399191437</v>
      </c>
      <c r="V458" s="56">
        <f>VLOOKUP(B458,'Player Data'!$A1:$AE667,10,FALSE)*$Q458*IFERROR(((VLOOKUP(P458,Settings!$E$28:$F$33,2,FALSE)/2)+1),1)</f>
        <v>57.0500249680791</v>
      </c>
      <c r="W458" s="56">
        <f>VLOOKUP(B458,'Player Data'!$A1:$AE667,11,FALSE)*$Q458*IFERROR((VLOOKUP(P458,Settings!$E$28:$F$33,2,FALSE)+1),1)</f>
        <v>1.8444149632702779E-2</v>
      </c>
      <c r="X458" s="56">
        <f>VLOOKUP(B458,'Player Data'!$A1:$AE667,12,FALSE)*$Q458*IFERROR((VLOOKUP(P458,Settings!$E$28:$F$33,2,FALSE)+1),1)</f>
        <v>0.12004457980112809</v>
      </c>
      <c r="Y458" s="56">
        <f>VLOOKUP(B458,'Player Data'!$A1:$AE667,13,FALSE)*$Q458</f>
        <v>1.3909874467196453E-2</v>
      </c>
      <c r="Z458" s="56">
        <f>VLOOKUP(B458,'Player Data'!$A1:$AE667,14,FALSE)*$Q458</f>
        <v>6.9973494938795636E-2</v>
      </c>
      <c r="AA458" s="56">
        <f>VLOOKUP(B458,'Player Data'!$A1:$AE667,15,FALSE)*$Q458</f>
        <v>104.56715315389908</v>
      </c>
      <c r="AB458" s="56">
        <f>VLOOKUP(B458,'Player Data'!$A1:$AE667,16,FALSE)*$Q458</f>
        <v>70.876928650270486</v>
      </c>
      <c r="AC458" s="56">
        <f>VLOOKUP(B458,'Player Data'!$A1:$AE667,17,FALSE)*$Q458*IFERROR((VLOOKUP(P458,Settings!$E$28:$F$33,2,FALSE)+1),1)</f>
        <v>-1.539031467719806</v>
      </c>
      <c r="AD458" s="56">
        <f>VLOOKUP(B458,'Player Data'!$A1:$AE667,18,FALSE)*$Q458</f>
        <v>16.89519190933634</v>
      </c>
      <c r="AE458" s="56">
        <f>VLOOKUP(B458,'Player Data'!$A1:$AE667,19,FALSE)*$Q458*IFERROR((VLOOKUP(P458,Settings!$E$28:$F$33,2,FALSE)+1),1)</f>
        <v>0.50874831821375666</v>
      </c>
      <c r="AF458" s="56">
        <f>VLOOKUP(B458,'Player Data'!$A1:$AE667,20,FALSE)*$Q458</f>
        <v>0</v>
      </c>
      <c r="AG458" s="56">
        <f>VLOOKUP(B458,'Player Data'!$A1:$AE667,21,FALSE)*$Q458</f>
        <v>0</v>
      </c>
      <c r="AH458" s="58">
        <f>VLOOKUP(B458,'Player Data'!$A1:$AE667,22,FALSE)</f>
        <v>0</v>
      </c>
      <c r="AI458" s="54"/>
      <c r="AJ458" s="64"/>
      <c r="AK458" s="56"/>
      <c r="AL458" s="56"/>
      <c r="AM458" s="56"/>
      <c r="AN458" s="56"/>
      <c r="AO458" s="56"/>
      <c r="AP458" s="56"/>
      <c r="AQ458" s="59"/>
      <c r="AR458" s="60"/>
      <c r="AS458" s="54"/>
    </row>
    <row r="459" spans="1:45" ht="21.25" customHeight="1" x14ac:dyDescent="0.15">
      <c r="A459" s="45">
        <f>RANK(K459,K$1:K$665)</f>
        <v>458</v>
      </c>
      <c r="B459" s="9" t="s">
        <v>584</v>
      </c>
      <c r="C459" s="46" t="s">
        <v>127</v>
      </c>
      <c r="D459" s="47" t="str">
        <f>VLOOKUP(B459,'Player Data'!A1:D667,4,FALSE)</f>
        <v>RW</v>
      </c>
      <c r="E459" s="61">
        <f>VLOOKUP(B459,RW!A1:F136,3,FALSE)</f>
        <v>96</v>
      </c>
      <c r="F459" s="74" t="str">
        <f>VLOOKUP(B459,'Player Data'!A1:B667,2,FALSE)</f>
        <v>PIT</v>
      </c>
      <c r="G459" s="10">
        <f>VLOOKUP(B459,'Player Data'!A1:D667,3,FALSE)</f>
        <v>25</v>
      </c>
      <c r="H459" s="50">
        <f>IFERROR(VLOOKUP(B459,ADP!A1:G665,7,FALSE)/1000000,VLOOKUP(B459,ADP!A1:G665,7,FALSE))</f>
        <v>0.77500000000000002</v>
      </c>
      <c r="I459" s="51">
        <f>IF(Settings!$E$15="POINTS",((R459*Q459)*Settings!$B$12)+(S459*Settings!$B$2)+(T459*Settings!$B$3)+(U459*Settings!$B$4)+(V459*Settings!$B$5)+(X459*Settings!$B$9)+(AA459*Settings!$B$6)+(W459*Settings!$B$8)+(AB459*Settings!$B$7)+(AC459*Settings!$B$14)+(AD459*Settings!$B$15)+(AE459*Settings!$B$16)+(AF459*Settings!$B$17)+(AG459*Settings!$B$18)+(Y459*Settings!$B$10)+(Z459*Settings!$B$11),VLOOKUP(B459,'Standard Deviations'!A1:C666,3,FALSE))</f>
        <v>163.88944685258298</v>
      </c>
      <c r="J459" s="52">
        <f>IF(D459="G",I459/AJ459,I459/Q459)</f>
        <v>2.355410273822693</v>
      </c>
      <c r="K459" s="51">
        <f>IF(Settings!$E$18="C/LW/RW",VLOOKUP(B459,RW!A1:F136,6,FALSE),VLOOKUP(B459,F!A1:F392,6,FALSE))</f>
        <v>-204.95827625370941</v>
      </c>
      <c r="L459" s="53">
        <f>IFERROR(K459/H459,"N/A")</f>
        <v>-264.46229194027018</v>
      </c>
      <c r="M459" s="83" t="str">
        <f>IF(Settings!$E$9="YAHOO",VLOOKUP(B459,ADP!A1:E665,2,FALSE),IF(Settings!$E$9="ESPN",VLOOKUP(B459,ADP!A1:E665,3,FALSE),IF(Settings!$E$9="FANTRAX",VLOOKUP(B459,ADP!A1:E665,4,FALSE),VLOOKUP(B459,ADP!A1:E665,5,FALSE))))</f>
        <v>—</v>
      </c>
      <c r="N459" s="83" t="str">
        <f>IFERROR(M459-A459,"N/A")</f>
        <v>N/A</v>
      </c>
      <c r="O459" s="54"/>
      <c r="P459" s="55" t="str">
        <f>IF(Settings!$E$27="ON",VLOOKUP(B459,ADP!A1:H665,8,FALSE)," ")</f>
        <v xml:space="preserve"> </v>
      </c>
      <c r="Q459" s="56">
        <f>IF(Settings!$E$12="YES",VLOOKUP(B459,'Player Data'!A1:E667,5,FALSE),82)</f>
        <v>69.58</v>
      </c>
      <c r="R459" s="75">
        <f>VLOOKUP(B459,'Player Data'!$A1:$AE667,6,FALSE)</f>
        <v>12.743270244101</v>
      </c>
      <c r="S459" s="56">
        <f>VLOOKUP(B459,'Player Data'!$A1:$AE667,7,FALSE)*$Q459*IFERROR((VLOOKUP(P459,Settings!$E$28:$F$33,2,FALSE)+1),1)</f>
        <v>8.6447362922191413</v>
      </c>
      <c r="T459" s="56">
        <f>VLOOKUP(B459,'Player Data'!$A1:$AE667,8,FALSE)*$Q459*IFERROR((VLOOKUP(P459,Settings!$E$28:$F$33,2,FALSE)+1),1)</f>
        <v>18.411260594069176</v>
      </c>
      <c r="U459" s="56">
        <f>SUM(S459:T459)</f>
        <v>27.05599688628832</v>
      </c>
      <c r="V459" s="56">
        <f>VLOOKUP(B459,'Player Data'!$A1:$AE667,10,FALSE)*$Q459*IFERROR(((VLOOKUP(P459,Settings!$E$28:$F$33,2,FALSE)/2)+1),1)</f>
        <v>116.00996782062668</v>
      </c>
      <c r="W459" s="56">
        <f>VLOOKUP(B459,'Player Data'!$A1:$AE667,11,FALSE)*$Q459*IFERROR((VLOOKUP(P459,Settings!$E$28:$F$33,2,FALSE)+1),1)</f>
        <v>0.50084399677819802</v>
      </c>
      <c r="X459" s="56">
        <f>VLOOKUP(B459,'Player Data'!$A1:$AE667,12,FALSE)*$Q459*IFERROR((VLOOKUP(P459,Settings!$E$28:$F$33,2,FALSE)+1),1)</f>
        <v>1.9539841107973162</v>
      </c>
      <c r="Y459" s="56">
        <f>VLOOKUP(B459,'Player Data'!$A1:$AE667,13,FALSE)*$Q459</f>
        <v>0</v>
      </c>
      <c r="Z459" s="56">
        <f>VLOOKUP(B459,'Player Data'!$A1:$AE667,14,FALSE)*$Q459</f>
        <v>0</v>
      </c>
      <c r="AA459" s="56">
        <f>VLOOKUP(B459,'Player Data'!$A1:$AE667,15,FALSE)*$Q459</f>
        <v>45.524976345214775</v>
      </c>
      <c r="AB459" s="56">
        <f>VLOOKUP(B459,'Player Data'!$A1:$AE667,16,FALSE)*$Q459</f>
        <v>66.905661179292906</v>
      </c>
      <c r="AC459" s="56">
        <f>VLOOKUP(B459,'Player Data'!$A1:$AE667,17,FALSE)*$Q459*IFERROR((VLOOKUP(P459,Settings!$E$28:$F$33,2,FALSE)+1),1)</f>
        <v>1.2719767793511325</v>
      </c>
      <c r="AD459" s="56">
        <f>VLOOKUP(B459,'Player Data'!$A1:$AE667,18,FALSE)*$Q459</f>
        <v>17.149916117439986</v>
      </c>
      <c r="AE459" s="56">
        <f>VLOOKUP(B459,'Player Data'!$A1:$AE667,19,FALSE)*$Q459*IFERROR((VLOOKUP(P459,Settings!$E$28:$F$33,2,FALSE)+1),1)</f>
        <v>1.281520796797003</v>
      </c>
      <c r="AF459" s="56">
        <f>VLOOKUP(B459,'Player Data'!$A1:$AE667,20,FALSE)*$Q459</f>
        <v>1.4324467177656168</v>
      </c>
      <c r="AG459" s="56">
        <f>VLOOKUP(B459,'Player Data'!$A1:$AE667,21,FALSE)*$Q459</f>
        <v>4.3537858229686828</v>
      </c>
      <c r="AH459" s="58">
        <f>VLOOKUP(B459,'Player Data'!$A1:$AE667,22,FALSE)</f>
        <v>0.24756120803672901</v>
      </c>
      <c r="AI459" s="54"/>
      <c r="AJ459" s="56"/>
      <c r="AK459" s="56"/>
      <c r="AL459" s="56"/>
      <c r="AM459" s="56"/>
      <c r="AN459" s="56"/>
      <c r="AO459" s="56"/>
      <c r="AP459" s="56"/>
      <c r="AQ459" s="59"/>
      <c r="AR459" s="60"/>
      <c r="AS459" s="54"/>
    </row>
    <row r="460" spans="1:45" ht="21.25" customHeight="1" x14ac:dyDescent="0.15">
      <c r="A460" s="45">
        <f>RANK(K460,K$1:K$665)</f>
        <v>459</v>
      </c>
      <c r="B460" s="9" t="s">
        <v>585</v>
      </c>
      <c r="C460" s="46" t="s">
        <v>127</v>
      </c>
      <c r="D460" s="47" t="str">
        <f>VLOOKUP(B460,'Player Data'!A1:D667,4,FALSE)</f>
        <v>D</v>
      </c>
      <c r="E460" s="66">
        <f>VLOOKUP(B460,D!A1:C213,3,FALSE)</f>
        <v>177</v>
      </c>
      <c r="F460" s="55" t="str">
        <f>VLOOKUP(B460,'Player Data'!A1:B667,2,FALSE)</f>
        <v>DAL</v>
      </c>
      <c r="G460" s="69">
        <f>VLOOKUP(B460,'Player Data'!A1:D667,3,FALSE)</f>
        <v>24</v>
      </c>
      <c r="H460" s="67">
        <f>IFERROR(VLOOKUP(B460,ADP!A1:G665,7,FALSE)/1000000,VLOOKUP(B460,ADP!A1:G665,7,FALSE))</f>
        <v>1.25</v>
      </c>
      <c r="I460" s="51">
        <f>IF(Settings!$E$15="POINTS",((R460*Q460)*Settings!$B$12)+(S460*Settings!$B$2)+(T460*Settings!$B$3)+(U460*Settings!$B$4)+(V460*Settings!$B$5)+(X460*Settings!$B$9)+(AA460*Settings!$B$6)+(W460*Settings!$B$8)+(AB460*Settings!$B$7)+(AC460*Settings!$B$14)+(AD460*Settings!$B$15)+(AE460*Settings!$B$16)+(AF460*Settings!$B$17)+(AG460*Settings!$B$18)+(U460*Settings!$B$13)+(Y460*Settings!$B$10)+(Z460*Settings!$B$11),VLOOKUP(B460,'Standard Deviations'!A1:C666,3,FALSE))</f>
        <v>130.66838260269591</v>
      </c>
      <c r="J460" s="52">
        <f>IF(D460="G",I460/AJ460,I460/Q460)</f>
        <v>1.8876576633709548</v>
      </c>
      <c r="K460" s="51">
        <f>VLOOKUP(B460,D!A1:F213,6,FALSE)</f>
        <v>-205.56574244289899</v>
      </c>
      <c r="L460" s="53">
        <f>IFERROR(K460/H460,"N/A")</f>
        <v>-164.45259395431918</v>
      </c>
      <c r="M460" s="83" t="str">
        <f>IF(Settings!$E$9="YAHOO",VLOOKUP(B460,ADP!A1:E665,2,FALSE),IF(Settings!$E$9="ESPN",VLOOKUP(B460,ADP!A1:E665,3,FALSE),IF(Settings!$E$9="FANTRAX",VLOOKUP(B460,ADP!A1:E665,4,FALSE),VLOOKUP(B460,ADP!A1:E665,5,FALSE))))</f>
        <v>—</v>
      </c>
      <c r="N460" s="83" t="str">
        <f>IFERROR(M460-A460,"N/A")</f>
        <v>N/A</v>
      </c>
      <c r="O460" s="54"/>
      <c r="P460" s="55" t="str">
        <f>IF(Settings!$E$27="ON",VLOOKUP(B460,ADP!A1:H665,8,FALSE)," ")</f>
        <v xml:space="preserve"> </v>
      </c>
      <c r="Q460" s="56">
        <f>IF(Settings!$E$12="YES",VLOOKUP(B460,'Player Data'!A1:E667,5,FALSE),82)</f>
        <v>69.222499999999997</v>
      </c>
      <c r="R460" s="54">
        <f>VLOOKUP(B460,'Player Data'!$A1:$AE667,6,FALSE)</f>
        <v>14.975747437196899</v>
      </c>
      <c r="S460" s="56">
        <f>VLOOKUP(B460,'Player Data'!$A1:$AE667,7,FALSE)*$Q460*IFERROR((VLOOKUP(P460,Settings!$E$28:$F$33,2,FALSE)+1),1)</f>
        <v>3.7024868456750459</v>
      </c>
      <c r="T460" s="56">
        <f>VLOOKUP(B460,'Player Data'!$A1:$AE667,8,FALSE)*$Q460*IFERROR((VLOOKUP(P460,Settings!$E$28:$F$33,2,FALSE)+1),1)</f>
        <v>14.524792195181561</v>
      </c>
      <c r="U460" s="56">
        <f>SUM(S460:T460)</f>
        <v>18.227279040856608</v>
      </c>
      <c r="V460" s="56">
        <f>VLOOKUP(B460,'Player Data'!$A1:$AE667,10,FALSE)*$Q460*IFERROR(((VLOOKUP(P460,Settings!$E$28:$F$33,2,FALSE)/2)+1),1)</f>
        <v>86.243790605696603</v>
      </c>
      <c r="W460" s="56">
        <f>VLOOKUP(B460,'Player Data'!$A1:$AE667,11,FALSE)*$Q460*IFERROR((VLOOKUP(P460,Settings!$E$28:$F$33,2,FALSE)+1),1)</f>
        <v>0.15646832643980305</v>
      </c>
      <c r="X460" s="56">
        <f>VLOOKUP(B460,'Player Data'!$A1:$AE667,12,FALSE)*$Q460*IFERROR((VLOOKUP(P460,Settings!$E$28:$F$33,2,FALSE)+1),1)</f>
        <v>0.73760328353149707</v>
      </c>
      <c r="Y460" s="56">
        <f>VLOOKUP(B460,'Player Data'!$A1:$AE667,13,FALSE)*$Q460</f>
        <v>4.3713797489344986E-4</v>
      </c>
      <c r="Z460" s="56">
        <f>VLOOKUP(B460,'Player Data'!$A1:$AE667,14,FALSE)*$Q460</f>
        <v>2.1393737612478022E-3</v>
      </c>
      <c r="AA460" s="56">
        <f>VLOOKUP(B460,'Player Data'!$A1:$AE667,15,FALSE)*$Q460</f>
        <v>64.249815039970073</v>
      </c>
      <c r="AB460" s="56">
        <f>VLOOKUP(B460,'Player Data'!$A1:$AE667,16,FALSE)*$Q460</f>
        <v>65.938048581063768</v>
      </c>
      <c r="AC460" s="56">
        <f>VLOOKUP(B460,'Player Data'!$A1:$AE667,17,FALSE)*$Q460*IFERROR((VLOOKUP(P460,Settings!$E$28:$F$33,2,FALSE)+1),1)</f>
        <v>4.2861714408128453</v>
      </c>
      <c r="AD460" s="56">
        <f>VLOOKUP(B460,'Player Data'!$A1:$AE667,18,FALSE)*$Q460</f>
        <v>19.969506567270571</v>
      </c>
      <c r="AE460" s="56">
        <f>VLOOKUP(B460,'Player Data'!$A1:$AE667,19,FALSE)*$Q460*IFERROR((VLOOKUP(P460,Settings!$E$28:$F$33,2,FALSE)+1),1)</f>
        <v>0.5920969341389849</v>
      </c>
      <c r="AF460" s="56">
        <f>VLOOKUP(B460,'Player Data'!$A1:$AE667,20,FALSE)*$Q460</f>
        <v>0</v>
      </c>
      <c r="AG460" s="56">
        <f>VLOOKUP(B460,'Player Data'!$A1:$AE667,21,FALSE)*$Q460</f>
        <v>0</v>
      </c>
      <c r="AH460" s="58">
        <f>VLOOKUP(B460,'Player Data'!$A1:$AE667,22,FALSE)</f>
        <v>0</v>
      </c>
      <c r="AI460" s="54"/>
      <c r="AJ460" s="56"/>
      <c r="AK460" s="56"/>
      <c r="AL460" s="56"/>
      <c r="AM460" s="56"/>
      <c r="AN460" s="56"/>
      <c r="AO460" s="56"/>
      <c r="AP460" s="56"/>
      <c r="AQ460" s="59"/>
      <c r="AR460" s="60"/>
      <c r="AS460" s="54"/>
    </row>
    <row r="461" spans="1:45" ht="21.25" customHeight="1" x14ac:dyDescent="0.15">
      <c r="A461" s="45">
        <f>RANK(K461,K$1:K$665)</f>
        <v>460</v>
      </c>
      <c r="B461" s="9" t="s">
        <v>586</v>
      </c>
      <c r="C461" s="46" t="s">
        <v>127</v>
      </c>
      <c r="D461" s="47" t="str">
        <f>VLOOKUP(B461,'Player Data'!A1:D667,4,FALSE)</f>
        <v>LW</v>
      </c>
      <c r="E461" s="70">
        <f>VLOOKUP(B461,LW!A1:C152,3,FALSE)</f>
        <v>107</v>
      </c>
      <c r="F461" s="72" t="str">
        <f>VLOOKUP(B461,'Player Data'!A1:B667,2,FALSE)</f>
        <v>CAR</v>
      </c>
      <c r="G461" s="63">
        <f>VLOOKUP(B461,'Player Data'!A1:D667,3,FALSE)</f>
        <v>32</v>
      </c>
      <c r="H461" s="50">
        <f>IFERROR(VLOOKUP(B461,ADP!A1:G665,7,FALSE)/1000000,VLOOKUP(B461,ADP!A1:G665,7,FALSE))</f>
        <v>3.05</v>
      </c>
      <c r="I461" s="51">
        <f>IF(Settings!$E$15="POINTS",((R461*Q461)*Settings!$B$12)+(S461*Settings!$B$2)+(T461*Settings!$B$3)+(U461*Settings!$B$4)+(V461*Settings!$B$5)+(X461*Settings!$B$9)+(AA461*Settings!$B$6)+(W461*Settings!$B$8)+(AB461*Settings!$B$7)+(AC461*Settings!$B$14)+(AD461*Settings!$B$15)+(AE461*Settings!$B$16)+(AF461*Settings!$B$17)+(AG461*Settings!$B$18)+(Y461*Settings!$B$10)+(Z461*Settings!$B$11),VLOOKUP(B461,'Standard Deviations'!A1:C666,3,FALSE))</f>
        <v>174.85209680032315</v>
      </c>
      <c r="J461" s="52">
        <f>IF(D461="G",I461/AJ461,I461/Q461)</f>
        <v>2.1930527630794323</v>
      </c>
      <c r="K461" s="51">
        <f>IF(Settings!$E$18="C/LW/RW",VLOOKUP(B461,LW!A1:F152,6,FALSE),VLOOKUP(B461,F!A1:F392,6,FALSE))</f>
        <v>-206.2094155021766</v>
      </c>
      <c r="L461" s="53">
        <f>IFERROR(K461/H461,"N/A")</f>
        <v>-67.609644426943149</v>
      </c>
      <c r="M461" s="83" t="str">
        <f>IF(Settings!$E$9="YAHOO",VLOOKUP(B461,ADP!A1:E665,2,FALSE),IF(Settings!$E$9="ESPN",VLOOKUP(B461,ADP!A1:E665,3,FALSE),IF(Settings!$E$9="FANTRAX",VLOOKUP(B461,ADP!A1:E665,4,FALSE),VLOOKUP(B461,ADP!A1:E665,5,FALSE))))</f>
        <v>—</v>
      </c>
      <c r="N461" s="83" t="str">
        <f>IFERROR(M461-A461,"N/A")</f>
        <v>N/A</v>
      </c>
      <c r="O461" s="54"/>
      <c r="P461" s="55" t="str">
        <f>IF(Settings!$E$27="ON",VLOOKUP(B461,ADP!A1:H665,8,FALSE)," ")</f>
        <v xml:space="preserve"> </v>
      </c>
      <c r="Q461" s="56">
        <f>IF(Settings!$E$12="YES",VLOOKUP(B461,'Player Data'!A1:E667,5,FALSE),82)</f>
        <v>79.73</v>
      </c>
      <c r="R461" s="54">
        <f>VLOOKUP(B461,'Player Data'!$A1:$AE667,6,FALSE)</f>
        <v>14.6335691611988</v>
      </c>
      <c r="S461" s="56">
        <f>VLOOKUP(B461,'Player Data'!$A1:$AE667,7,FALSE)*$Q461*IFERROR((VLOOKUP(P461,Settings!$E$28:$F$33,2,FALSE)+1),1)</f>
        <v>11.725731896146019</v>
      </c>
      <c r="T461" s="56">
        <f>VLOOKUP(B461,'Player Data'!$A1:$AE667,8,FALSE)*$Q461*IFERROR((VLOOKUP(P461,Settings!$E$28:$F$33,2,FALSE)+1),1)</f>
        <v>17.236022053837477</v>
      </c>
      <c r="U461" s="56">
        <f>SUM(S461:T461)</f>
        <v>28.961753949983496</v>
      </c>
      <c r="V461" s="56">
        <f>VLOOKUP(B461,'Player Data'!$A1:$AE667,10,FALSE)*$Q461*IFERROR(((VLOOKUP(P461,Settings!$E$28:$F$33,2,FALSE)/2)+1),1)</f>
        <v>140.66290214032711</v>
      </c>
      <c r="W461" s="56">
        <f>VLOOKUP(B461,'Player Data'!$A1:$AE667,11,FALSE)*$Q461*IFERROR((VLOOKUP(P461,Settings!$E$28:$F$33,2,FALSE)+1),1)</f>
        <v>5.5743660122414725E-2</v>
      </c>
      <c r="X461" s="56">
        <f>VLOOKUP(B461,'Player Data'!$A1:$AE667,12,FALSE)*$Q461*IFERROR((VLOOKUP(P461,Settings!$E$28:$F$33,2,FALSE)+1),1)</f>
        <v>0.13168612730287182</v>
      </c>
      <c r="Y461" s="56">
        <f>VLOOKUP(B461,'Player Data'!$A1:$AE667,13,FALSE)*$Q461</f>
        <v>0.50705097265037891</v>
      </c>
      <c r="Z461" s="56">
        <f>VLOOKUP(B461,'Player Data'!$A1:$AE667,14,FALSE)*$Q461</f>
        <v>0.58955367168870876</v>
      </c>
      <c r="AA461" s="56">
        <f>VLOOKUP(B461,'Player Data'!$A1:$AE667,15,FALSE)*$Q461</f>
        <v>33.828288162434973</v>
      </c>
      <c r="AB461" s="56">
        <f>VLOOKUP(B461,'Player Data'!$A1:$AE667,16,FALSE)*$Q461</f>
        <v>69.224286102001031</v>
      </c>
      <c r="AC461" s="56">
        <f>VLOOKUP(B461,'Player Data'!$A1:$AE667,17,FALSE)*$Q461*IFERROR((VLOOKUP(P461,Settings!$E$28:$F$33,2,FALSE)+1),1)</f>
        <v>5.7052211826751833</v>
      </c>
      <c r="AD461" s="56">
        <f>VLOOKUP(B461,'Player Data'!$A1:$AE667,18,FALSE)*$Q461</f>
        <v>40.588990483410157</v>
      </c>
      <c r="AE461" s="56">
        <f>VLOOKUP(B461,'Player Data'!$A1:$AE667,19,FALSE)*$Q461*IFERROR((VLOOKUP(P461,Settings!$E$28:$F$33,2,FALSE)+1),1)</f>
        <v>2.0319003248294245</v>
      </c>
      <c r="AF461" s="56">
        <f>VLOOKUP(B461,'Player Data'!$A1:$AE667,20,FALSE)*$Q461</f>
        <v>41.619182860171129</v>
      </c>
      <c r="AG461" s="56">
        <f>VLOOKUP(B461,'Player Data'!$A1:$AE667,21,FALSE)*$Q461</f>
        <v>45.918321481590802</v>
      </c>
      <c r="AH461" s="58">
        <f>VLOOKUP(B461,'Player Data'!$A1:$AE667,22,FALSE)</f>
        <v>0.47544401880229997</v>
      </c>
      <c r="AI461" s="54"/>
      <c r="AJ461" s="56"/>
      <c r="AK461" s="56"/>
      <c r="AL461" s="56"/>
      <c r="AM461" s="56"/>
      <c r="AN461" s="56"/>
      <c r="AO461" s="56"/>
      <c r="AP461" s="56"/>
      <c r="AQ461" s="59"/>
      <c r="AR461" s="60"/>
      <c r="AS461" s="54"/>
    </row>
    <row r="462" spans="1:45" ht="21.25" customHeight="1" x14ac:dyDescent="0.15">
      <c r="A462" s="45">
        <f>RANK(K462,K$1:K$665)</f>
        <v>461</v>
      </c>
      <c r="B462" s="9" t="s">
        <v>587</v>
      </c>
      <c r="C462" s="46" t="s">
        <v>127</v>
      </c>
      <c r="D462" s="47" t="str">
        <f>VLOOKUP(B462,'Player Data'!A1:D667,4,FALSE)</f>
        <v>C</v>
      </c>
      <c r="E462" s="48">
        <f>VLOOKUP(B462,'C'!A1:C206,3,FALSE)</f>
        <v>126</v>
      </c>
      <c r="F462" s="62" t="str">
        <f>VLOOKUP(B462,'Player Data'!A1:B667,2,FALSE)</f>
        <v>SEA</v>
      </c>
      <c r="G462" s="63">
        <f>VLOOKUP(B462,'Player Data'!A1:D667,3,FALSE)</f>
        <v>32</v>
      </c>
      <c r="H462" s="50">
        <f>IFERROR(VLOOKUP(B462,ADP!A1:G665,7,FALSE)/1000000,VLOOKUP(B462,ADP!A1:G665,7,FALSE))</f>
        <v>5.5</v>
      </c>
      <c r="I462" s="51">
        <f>IF(Settings!$E$15="POINTS",((R462*Q462)*Settings!$B$12)+(S462*Settings!$B$2)+(T462*Settings!$B$3)+(U462*Settings!$B$4)+(V462*Settings!$B$5)+(X462*Settings!$B$9)+(AA462*Settings!$B$6)+(W462*Settings!$B$8)+(AB462*Settings!$B$7)+(AC462*Settings!$B$14)+(AD462*Settings!$B$15)+(AE462*Settings!$B$16)+(AF462*Settings!$B$17)+(AG462*Settings!$B$18)+(Y462*Settings!$B$10)+(Z462*Settings!$B$11),VLOOKUP(B462,'Standard Deviations'!A1:C666,3,FALSE))</f>
        <v>183.39034163437148</v>
      </c>
      <c r="J462" s="52">
        <f>IF(D462="G",I462/AJ462,I462/Q462)</f>
        <v>2.53065638575046</v>
      </c>
      <c r="K462" s="51">
        <f>IF(Settings!$E$18="C/LW/RW",VLOOKUP(B462,'C'!A1:F206,6,FALSE),VLOOKUP(B462,F!A1:F392,6,FALSE))</f>
        <v>-206.54681614370961</v>
      </c>
      <c r="L462" s="53">
        <f>IFERROR(K462/H462,"N/A")</f>
        <v>-37.553966571583565</v>
      </c>
      <c r="M462" s="83" t="str">
        <f>IF(Settings!$E$9="YAHOO",VLOOKUP(B462,ADP!A1:E665,2,FALSE),IF(Settings!$E$9="ESPN",VLOOKUP(B462,ADP!A1:E665,3,FALSE),IF(Settings!$E$9="FANTRAX",VLOOKUP(B462,ADP!A1:E665,4,FALSE),VLOOKUP(B462,ADP!A1:E665,5,FALSE))))</f>
        <v>—</v>
      </c>
      <c r="N462" s="83" t="str">
        <f>IFERROR(M462-A462,"N/A")</f>
        <v>N/A</v>
      </c>
      <c r="O462" s="54"/>
      <c r="P462" s="55" t="str">
        <f>IF(Settings!$E$27="ON",VLOOKUP(B462,ADP!A1:H665,8,FALSE)," ")</f>
        <v xml:space="preserve"> </v>
      </c>
      <c r="Q462" s="56">
        <f>IF(Settings!$E$12="YES",VLOOKUP(B462,'Player Data'!A1:E667,5,FALSE),82)</f>
        <v>72.467500000000001</v>
      </c>
      <c r="R462" s="81">
        <f>VLOOKUP(B462,'Player Data'!$A1:$AE667,6,FALSE)</f>
        <v>14.990888976236199</v>
      </c>
      <c r="S462" s="56">
        <f>VLOOKUP(B462,'Player Data'!$A1:$AE667,7,FALSE)*$Q462*IFERROR((VLOOKUP(P462,Settings!$E$28:$F$33,2,FALSE)+1),1)</f>
        <v>14.10173642407919</v>
      </c>
      <c r="T462" s="56">
        <f>VLOOKUP(B462,'Player Data'!$A1:$AE667,8,FALSE)*$Q462*IFERROR((VLOOKUP(P462,Settings!$E$28:$F$33,2,FALSE)+1),1)</f>
        <v>17.75904501188759</v>
      </c>
      <c r="U462" s="56">
        <f>SUM(S462:T462)</f>
        <v>31.860781435966778</v>
      </c>
      <c r="V462" s="56">
        <f>VLOOKUP(B462,'Player Data'!$A1:$AE667,10,FALSE)*$Q462*IFERROR(((VLOOKUP(P462,Settings!$E$28:$F$33,2,FALSE)/2)+1),1)</f>
        <v>132.79506813082622</v>
      </c>
      <c r="W462" s="56">
        <f>VLOOKUP(B462,'Player Data'!$A1:$AE667,11,FALSE)*$Q462*IFERROR((VLOOKUP(P462,Settings!$E$28:$F$33,2,FALSE)+1),1)</f>
        <v>4.4802577827155856</v>
      </c>
      <c r="X462" s="56">
        <f>VLOOKUP(B462,'Player Data'!$A1:$AE667,12,FALSE)*$Q462*IFERROR((VLOOKUP(P462,Settings!$E$28:$F$33,2,FALSE)+1),1)</f>
        <v>7.4738876331878883</v>
      </c>
      <c r="Y462" s="56">
        <f>VLOOKUP(B462,'Player Data'!$A1:$AE667,13,FALSE)*$Q462</f>
        <v>6.688498494602577E-3</v>
      </c>
      <c r="Z462" s="56">
        <f>VLOOKUP(B462,'Player Data'!$A1:$AE667,14,FALSE)*$Q462</f>
        <v>1.1433594535410747E-2</v>
      </c>
      <c r="AA462" s="56">
        <f>VLOOKUP(B462,'Player Data'!$A1:$AE667,15,FALSE)*$Q462</f>
        <v>27.850284066669424</v>
      </c>
      <c r="AB462" s="56">
        <f>VLOOKUP(B462,'Player Data'!$A1:$AE667,16,FALSE)*$Q462</f>
        <v>55.371045815702985</v>
      </c>
      <c r="AC462" s="56">
        <f>VLOOKUP(B462,'Player Data'!$A1:$AE667,17,FALSE)*$Q462*IFERROR((VLOOKUP(P462,Settings!$E$28:$F$33,2,FALSE)+1),1)</f>
        <v>-1.6255277267354009</v>
      </c>
      <c r="AD462" s="56">
        <f>VLOOKUP(B462,'Player Data'!$A1:$AE667,18,FALSE)*$Q462</f>
        <v>24.061782652690951</v>
      </c>
      <c r="AE462" s="56">
        <f>VLOOKUP(B462,'Player Data'!$A1:$AE667,19,FALSE)*$Q462*IFERROR((VLOOKUP(P462,Settings!$E$28:$F$33,2,FALSE)+1),1)</f>
        <v>2.1413158309578253</v>
      </c>
      <c r="AF462" s="56">
        <f>VLOOKUP(B462,'Player Data'!$A1:$AE667,20,FALSE)*$Q462</f>
        <v>79.209456557815628</v>
      </c>
      <c r="AG462" s="56">
        <f>VLOOKUP(B462,'Player Data'!$A1:$AE667,21,FALSE)*$Q462</f>
        <v>75.314702672752489</v>
      </c>
      <c r="AH462" s="58">
        <f>VLOOKUP(B462,'Player Data'!$A1:$AE667,22,FALSE)</f>
        <v>0.512602410860723</v>
      </c>
      <c r="AI462" s="54"/>
      <c r="AJ462" s="56"/>
      <c r="AK462" s="56"/>
      <c r="AL462" s="56"/>
      <c r="AM462" s="56"/>
      <c r="AN462" s="56"/>
      <c r="AO462" s="56"/>
      <c r="AP462" s="56"/>
      <c r="AQ462" s="59"/>
      <c r="AR462" s="60"/>
      <c r="AS462" s="54"/>
    </row>
    <row r="463" spans="1:45" ht="21.25" customHeight="1" x14ac:dyDescent="0.15">
      <c r="A463" s="45">
        <f>RANK(K463,K$1:K$665)</f>
        <v>462</v>
      </c>
      <c r="B463" s="9" t="s">
        <v>588</v>
      </c>
      <c r="C463" s="46" t="s">
        <v>127</v>
      </c>
      <c r="D463" s="47" t="str">
        <f>VLOOKUP(B463,'Player Data'!A1:D667,4,FALSE)</f>
        <v>LW</v>
      </c>
      <c r="E463" s="70">
        <f>VLOOKUP(B463,LW!A1:C152,3,FALSE)</f>
        <v>108</v>
      </c>
      <c r="F463" s="55" t="str">
        <f>VLOOKUP(B463,'Player Data'!A1:B667,2,FALSE)</f>
        <v>COL</v>
      </c>
      <c r="G463" s="10">
        <f>VLOOKUP(B463,'Player Data'!A1:D667,3,FALSE)</f>
        <v>28</v>
      </c>
      <c r="H463" s="50">
        <f>IFERROR(VLOOKUP(B463,ADP!A1:G665,7,FALSE)/1000000,VLOOKUP(B463,ADP!A1:G665,7,FALSE))</f>
        <v>2.5</v>
      </c>
      <c r="I463" s="51">
        <f>IF(Settings!$E$15="POINTS",((R463*Q463)*Settings!$B$12)+(S463*Settings!$B$2)+(T463*Settings!$B$3)+(U463*Settings!$B$4)+(V463*Settings!$B$5)+(X463*Settings!$B$9)+(AA463*Settings!$B$6)+(W463*Settings!$B$8)+(AB463*Settings!$B$7)+(AC463*Settings!$B$14)+(AD463*Settings!$B$15)+(AE463*Settings!$B$16)+(AF463*Settings!$B$17)+(AG463*Settings!$B$18)+(Y463*Settings!$B$10)+(Z463*Settings!$B$11),VLOOKUP(B463,'Standard Deviations'!A1:C666,3,FALSE))</f>
        <v>174.08746490879267</v>
      </c>
      <c r="J463" s="52">
        <f>IF(D463="G",I463/AJ463,I463/Q463)</f>
        <v>2.3123791579835649</v>
      </c>
      <c r="K463" s="51">
        <f>IF(Settings!$E$18="C/LW/RW",VLOOKUP(B463,LW!A1:F152,6,FALSE),VLOOKUP(B463,F!A1:F392,6,FALSE))</f>
        <v>-206.97404739370708</v>
      </c>
      <c r="L463" s="53">
        <f>IFERROR(K463/H463,"N/A")</f>
        <v>-82.78961895748283</v>
      </c>
      <c r="M463" s="83" t="str">
        <f>IF(Settings!$E$9="YAHOO",VLOOKUP(B463,ADP!A1:E665,2,FALSE),IF(Settings!$E$9="ESPN",VLOOKUP(B463,ADP!A1:E665,3,FALSE),IF(Settings!$E$9="FANTRAX",VLOOKUP(B463,ADP!A1:E665,4,FALSE),VLOOKUP(B463,ADP!A1:E665,5,FALSE))))</f>
        <v>—</v>
      </c>
      <c r="N463" s="83" t="str">
        <f>IFERROR(M463-A463,"N/A")</f>
        <v>N/A</v>
      </c>
      <c r="O463" s="54"/>
      <c r="P463" s="55" t="str">
        <f>IF(Settings!$E$27="ON",VLOOKUP(B463,ADP!A1:H665,8,FALSE)," ")</f>
        <v xml:space="preserve"> </v>
      </c>
      <c r="Q463" s="56">
        <f>IF(Settings!$E$12="YES",VLOOKUP(B463,'Player Data'!A1:E667,5,FALSE),82)</f>
        <v>75.284999999999997</v>
      </c>
      <c r="R463" s="54">
        <f>VLOOKUP(B463,'Player Data'!$A1:$AE667,6,FALSE)</f>
        <v>13.2840350767106</v>
      </c>
      <c r="S463" s="56">
        <f>VLOOKUP(B463,'Player Data'!$A1:$AE667,7,FALSE)*$Q463*IFERROR((VLOOKUP(P463,Settings!$E$28:$F$33,2,FALSE)+1),1)</f>
        <v>9.778244000643074</v>
      </c>
      <c r="T463" s="56">
        <f>VLOOKUP(B463,'Player Data'!$A1:$AE667,8,FALSE)*$Q463*IFERROR((VLOOKUP(P463,Settings!$E$28:$F$33,2,FALSE)+1),1)</f>
        <v>16.208212589321384</v>
      </c>
      <c r="U463" s="56">
        <f>SUM(S463:T463)</f>
        <v>25.986456589964458</v>
      </c>
      <c r="V463" s="56">
        <f>VLOOKUP(B463,'Player Data'!$A1:$AE667,10,FALSE)*$Q463*IFERROR(((VLOOKUP(P463,Settings!$E$28:$F$33,2,FALSE)/2)+1),1)</f>
        <v>157.69869363620208</v>
      </c>
      <c r="W463" s="56">
        <f>VLOOKUP(B463,'Player Data'!$A1:$AE667,11,FALSE)*$Q463*IFERROR((VLOOKUP(P463,Settings!$E$28:$F$33,2,FALSE)+1),1)</f>
        <v>9.2955973486932908E-2</v>
      </c>
      <c r="X463" s="56">
        <f>VLOOKUP(B463,'Player Data'!$A1:$AE667,12,FALSE)*$Q463*IFERROR((VLOOKUP(P463,Settings!$E$28:$F$33,2,FALSE)+1),1)</f>
        <v>0.15669223509175298</v>
      </c>
      <c r="Y463" s="56">
        <f>VLOOKUP(B463,'Player Data'!$A1:$AE667,13,FALSE)*$Q463</f>
        <v>0.68389151636227885</v>
      </c>
      <c r="Z463" s="56">
        <f>VLOOKUP(B463,'Player Data'!$A1:$AE667,14,FALSE)*$Q463</f>
        <v>0.79063088541452442</v>
      </c>
      <c r="AA463" s="56">
        <f>VLOOKUP(B463,'Player Data'!$A1:$AE667,15,FALSE)*$Q463</f>
        <v>32.66285040058397</v>
      </c>
      <c r="AB463" s="56">
        <f>VLOOKUP(B463,'Player Data'!$A1:$AE667,16,FALSE)*$Q463</f>
        <v>105.11384735979919</v>
      </c>
      <c r="AC463" s="56">
        <f>VLOOKUP(B463,'Player Data'!$A1:$AE667,17,FALSE)*$Q463*IFERROR((VLOOKUP(P463,Settings!$E$28:$F$33,2,FALSE)+1),1)</f>
        <v>1.3663814182159495</v>
      </c>
      <c r="AD463" s="56">
        <f>VLOOKUP(B463,'Player Data'!$A1:$AE667,18,FALSE)*$Q463</f>
        <v>49.177764444961987</v>
      </c>
      <c r="AE463" s="56">
        <f>VLOOKUP(B463,'Player Data'!$A1:$AE667,19,FALSE)*$Q463*IFERROR((VLOOKUP(P463,Settings!$E$28:$F$33,2,FALSE)+1),1)</f>
        <v>1.4609738373009873</v>
      </c>
      <c r="AF463" s="56">
        <f>VLOOKUP(B463,'Player Data'!$A1:$AE667,20,FALSE)*$Q463</f>
        <v>8.6759673958280494</v>
      </c>
      <c r="AG463" s="56">
        <f>VLOOKUP(B463,'Player Data'!$A1:$AE667,21,FALSE)*$Q463</f>
        <v>26.197243600399499</v>
      </c>
      <c r="AH463" s="58">
        <f>VLOOKUP(B463,'Player Data'!$A1:$AE667,22,FALSE)</f>
        <v>0.24878602078732001</v>
      </c>
      <c r="AI463" s="54"/>
      <c r="AJ463" s="64"/>
      <c r="AK463" s="56"/>
      <c r="AL463" s="56"/>
      <c r="AM463" s="56"/>
      <c r="AN463" s="56"/>
      <c r="AO463" s="56"/>
      <c r="AP463" s="56"/>
      <c r="AQ463" s="59"/>
      <c r="AR463" s="60"/>
      <c r="AS463" s="54"/>
    </row>
    <row r="464" spans="1:45" ht="21.25" customHeight="1" x14ac:dyDescent="0.15">
      <c r="A464" s="45">
        <f>RANK(K464,K$1:K$665)</f>
        <v>463</v>
      </c>
      <c r="B464" s="9" t="s">
        <v>589</v>
      </c>
      <c r="C464" s="46" t="s">
        <v>127</v>
      </c>
      <c r="D464" s="47" t="str">
        <f>VLOOKUP(B464,'Player Data'!A1:D667,4,FALSE)</f>
        <v>C</v>
      </c>
      <c r="E464" s="48">
        <f>VLOOKUP(B464,'C'!A1:C206,3,FALSE)</f>
        <v>128</v>
      </c>
      <c r="F464" s="62" t="str">
        <f>VLOOKUP(B464,'Player Data'!A1:B667,2,FALSE)</f>
        <v>OTT</v>
      </c>
      <c r="G464" s="69">
        <f>VLOOKUP(B464,'Player Data'!A1:D667,3,FALSE)</f>
        <v>22</v>
      </c>
      <c r="H464" s="67">
        <f>IFERROR(VLOOKUP(B464,ADP!A1:G665,7,FALSE)/1000000,VLOOKUP(B464,ADP!A1:G665,7,FALSE))</f>
        <v>0.86333300000000002</v>
      </c>
      <c r="I464" s="51">
        <f>IF(Settings!$E$15="POINTS",((R464*Q464)*Settings!$B$12)+(S464*Settings!$B$2)+(T464*Settings!$B$3)+(U464*Settings!$B$4)+(V464*Settings!$B$5)+(X464*Settings!$B$9)+(AA464*Settings!$B$6)+(W464*Settings!$B$8)+(AB464*Settings!$B$7)+(AC464*Settings!$B$14)+(AD464*Settings!$B$15)+(AE464*Settings!$B$16)+(AF464*Settings!$B$17)+(AG464*Settings!$B$18)+(Y464*Settings!$B$10)+(Z464*Settings!$B$11),VLOOKUP(B464,'Standard Deviations'!A1:C666,3,FALSE))</f>
        <v>182.81010016786524</v>
      </c>
      <c r="J464" s="52">
        <f>IF(D464="G",I464/AJ464,I464/Q464)</f>
        <v>2.5700843549538206</v>
      </c>
      <c r="K464" s="51">
        <f>IF(Settings!$E$18="C/LW/RW",VLOOKUP(B464,'C'!A1:F206,6,FALSE),VLOOKUP(B464,F!A1:F392,6,FALSE))</f>
        <v>-207.12705761021584</v>
      </c>
      <c r="L464" s="53">
        <f>IFERROR(K464/H464,"N/A")</f>
        <v>-239.91560337693085</v>
      </c>
      <c r="M464" s="83" t="str">
        <f>IF(Settings!$E$9="YAHOO",VLOOKUP(B464,ADP!A1:E665,2,FALSE),IF(Settings!$E$9="ESPN",VLOOKUP(B464,ADP!A1:E665,3,FALSE),IF(Settings!$E$9="FANTRAX",VLOOKUP(B464,ADP!A1:E665,4,FALSE),VLOOKUP(B464,ADP!A1:E665,5,FALSE))))</f>
        <v>—</v>
      </c>
      <c r="N464" s="83" t="str">
        <f>IFERROR(M464-A464,"N/A")</f>
        <v>N/A</v>
      </c>
      <c r="O464" s="54"/>
      <c r="P464" s="55" t="str">
        <f>IF(Settings!$E$27="ON",VLOOKUP(B464,ADP!A1:H665,8,FALSE)," ")</f>
        <v xml:space="preserve"> </v>
      </c>
      <c r="Q464" s="56">
        <f>IF(Settings!$E$12="YES",VLOOKUP(B464,'Player Data'!A1:E667,5,FALSE),82)</f>
        <v>71.13</v>
      </c>
      <c r="R464" s="54">
        <f>VLOOKUP(B464,'Player Data'!$A1:$AE667,6,FALSE)</f>
        <v>15.617464266201701</v>
      </c>
      <c r="S464" s="56">
        <f>VLOOKUP(B464,'Player Data'!$A1:$AE667,7,FALSE)*$Q464*IFERROR((VLOOKUP(P464,Settings!$E$28:$F$33,2,FALSE)+1),1)</f>
        <v>14.909697227805157</v>
      </c>
      <c r="T464" s="56">
        <f>VLOOKUP(B464,'Player Data'!$A1:$AE667,8,FALSE)*$Q464*IFERROR((VLOOKUP(P464,Settings!$E$28:$F$33,2,FALSE)+1),1)</f>
        <v>18.507179096432392</v>
      </c>
      <c r="U464" s="56">
        <f>SUM(S464:T464)</f>
        <v>33.416876324237549</v>
      </c>
      <c r="V464" s="56">
        <f>VLOOKUP(B464,'Player Data'!$A1:$AE667,10,FALSE)*$Q464*IFERROR(((VLOOKUP(P464,Settings!$E$28:$F$33,2,FALSE)/2)+1),1)</f>
        <v>109.83909912353268</v>
      </c>
      <c r="W464" s="56">
        <f>VLOOKUP(B464,'Player Data'!$A1:$AE667,11,FALSE)*$Q464*IFERROR((VLOOKUP(P464,Settings!$E$28:$F$33,2,FALSE)+1),1)</f>
        <v>2.8761001497069594</v>
      </c>
      <c r="X464" s="56">
        <f>VLOOKUP(B464,'Player Data'!$A1:$AE667,12,FALSE)*$Q464*IFERROR((VLOOKUP(P464,Settings!$E$28:$F$33,2,FALSE)+1),1)</f>
        <v>6.1865268963440352</v>
      </c>
      <c r="Y464" s="56">
        <f>VLOOKUP(B464,'Player Data'!$A1:$AE667,13,FALSE)*$Q464</f>
        <v>1.1993397801386791</v>
      </c>
      <c r="Z464" s="56">
        <f>VLOOKUP(B464,'Player Data'!$A1:$AE667,14,FALSE)*$Q464</f>
        <v>1.4252290586021752</v>
      </c>
      <c r="AA464" s="56">
        <f>VLOOKUP(B464,'Player Data'!$A1:$AE667,15,FALSE)*$Q464</f>
        <v>40.056331356880044</v>
      </c>
      <c r="AB464" s="56">
        <f>VLOOKUP(B464,'Player Data'!$A1:$AE667,16,FALSE)*$Q464</f>
        <v>118.60497555888217</v>
      </c>
      <c r="AC464" s="56">
        <f>VLOOKUP(B464,'Player Data'!$A1:$AE667,17,FALSE)*$Q464*IFERROR((VLOOKUP(P464,Settings!$E$28:$F$33,2,FALSE)+1),1)</f>
        <v>0.87585461908278162</v>
      </c>
      <c r="AD464" s="56">
        <f>VLOOKUP(B464,'Player Data'!$A1:$AE667,18,FALSE)*$Q464</f>
        <v>54.68373627284582</v>
      </c>
      <c r="AE464" s="56">
        <f>VLOOKUP(B464,'Player Data'!$A1:$AE667,19,FALSE)*$Q464*IFERROR((VLOOKUP(P464,Settings!$E$28:$F$33,2,FALSE)+1),1)</f>
        <v>2.3149427975966521</v>
      </c>
      <c r="AF464" s="56">
        <f>VLOOKUP(B464,'Player Data'!$A1:$AE667,20,FALSE)*$Q464</f>
        <v>202.660434220068</v>
      </c>
      <c r="AG464" s="56">
        <f>VLOOKUP(B464,'Player Data'!$A1:$AE667,21,FALSE)*$Q464</f>
        <v>267.1931181036565</v>
      </c>
      <c r="AH464" s="58">
        <f>VLOOKUP(B464,'Player Data'!$A1:$AE667,22,FALSE)</f>
        <v>0.43132681070044698</v>
      </c>
      <c r="AI464" s="54"/>
      <c r="AJ464" s="64"/>
      <c r="AK464" s="56"/>
      <c r="AL464" s="56"/>
      <c r="AM464" s="56"/>
      <c r="AN464" s="56"/>
      <c r="AO464" s="56"/>
      <c r="AP464" s="56"/>
      <c r="AQ464" s="59"/>
      <c r="AR464" s="60"/>
      <c r="AS464" s="54"/>
    </row>
    <row r="465" spans="1:45" ht="21.25" customHeight="1" x14ac:dyDescent="0.15">
      <c r="A465" s="45">
        <f>RANK(K465,K$1:K$665)</f>
        <v>464</v>
      </c>
      <c r="B465" s="9" t="s">
        <v>590</v>
      </c>
      <c r="C465" s="46" t="s">
        <v>127</v>
      </c>
      <c r="D465" s="47" t="str">
        <f>VLOOKUP(B465,'Player Data'!A1:D667,4,FALSE)</f>
        <v>D</v>
      </c>
      <c r="E465" s="66">
        <f>VLOOKUP(B465,D!A1:C213,3,FALSE)</f>
        <v>178</v>
      </c>
      <c r="F465" s="62" t="str">
        <f>VLOOKUP(B465,'Player Data'!A1:B667,2,FALSE)</f>
        <v>MTL</v>
      </c>
      <c r="G465" s="69">
        <f>VLOOKUP(B465,'Player Data'!A1:D667,3,FALSE)</f>
        <v>23</v>
      </c>
      <c r="H465" s="50">
        <f>IFERROR(VLOOKUP(B465,ADP!A1:G665,7,FALSE)/1000000,VLOOKUP(B465,ADP!A1:G665,7,FALSE))</f>
        <v>1.3</v>
      </c>
      <c r="I465" s="51">
        <f>IF(Settings!$E$15="POINTS",((R465*Q465)*Settings!$B$12)+(S465*Settings!$B$2)+(T465*Settings!$B$3)+(U465*Settings!$B$4)+(V465*Settings!$B$5)+(X465*Settings!$B$9)+(AA465*Settings!$B$6)+(W465*Settings!$B$8)+(AB465*Settings!$B$7)+(AC465*Settings!$B$14)+(AD465*Settings!$B$15)+(AE465*Settings!$B$16)+(AF465*Settings!$B$17)+(AG465*Settings!$B$18)+(U465*Settings!$B$13)+(Y465*Settings!$B$10)+(Z465*Settings!$B$11),VLOOKUP(B465,'Standard Deviations'!A1:C666,3,FALSE))</f>
        <v>128.34740816975778</v>
      </c>
      <c r="J465" s="52">
        <f>IF(D465="G",I465/AJ465,I465/Q465)</f>
        <v>1.9008094808361331</v>
      </c>
      <c r="K465" s="51">
        <f>VLOOKUP(B465,D!A1:F213,6,FALSE)</f>
        <v>-207.88671687583712</v>
      </c>
      <c r="L465" s="53">
        <f>IFERROR(K465/H465,"N/A")</f>
        <v>-159.91285913525931</v>
      </c>
      <c r="M465" s="54">
        <f>IF(Settings!$E$9="YAHOO",VLOOKUP(B465,ADP!A1:E665,2,FALSE),IF(Settings!$E$9="ESPN",VLOOKUP(B465,ADP!A1:E665,3,FALSE),IF(Settings!$E$9="FANTRAX",VLOOKUP(B465,ADP!A1:E665,4,FALSE),VLOOKUP(B465,ADP!A1:E665,5,FALSE))))</f>
        <v>167</v>
      </c>
      <c r="N465" s="54">
        <f>IFERROR(M465-A465,"N/A")</f>
        <v>-297</v>
      </c>
      <c r="O465" s="54"/>
      <c r="P465" s="55" t="str">
        <f>IF(Settings!$E$27="ON",VLOOKUP(B465,ADP!A1:H665,8,FALSE)," ")</f>
        <v xml:space="preserve"> </v>
      </c>
      <c r="Q465" s="56">
        <f>IF(Settings!$E$12="YES",VLOOKUP(B465,'Player Data'!A1:E667,5,FALSE),82)</f>
        <v>67.522499999999994</v>
      </c>
      <c r="R465" s="54">
        <f>VLOOKUP(B465,'Player Data'!$A1:$AE667,6,FALSE)</f>
        <v>15.625909781354199</v>
      </c>
      <c r="S465" s="56">
        <f>VLOOKUP(B465,'Player Data'!$A1:$AE667,7,FALSE)*$Q465*IFERROR((VLOOKUP(P465,Settings!$E$28:$F$33,2,FALSE)+1),1)</f>
        <v>4.3294602419428747</v>
      </c>
      <c r="T465" s="56">
        <f>VLOOKUP(B465,'Player Data'!$A1:$AE667,8,FALSE)*$Q465*IFERROR((VLOOKUP(P465,Settings!$E$28:$F$33,2,FALSE)+1),1)</f>
        <v>11.049804336389769</v>
      </c>
      <c r="U465" s="56">
        <f>SUM(S465:T465)</f>
        <v>15.379264578332645</v>
      </c>
      <c r="V465" s="56">
        <f>VLOOKUP(B465,'Player Data'!$A1:$AE667,10,FALSE)*$Q465*IFERROR(((VLOOKUP(P465,Settings!$E$28:$F$33,2,FALSE)/2)+1),1)</f>
        <v>83.991343247480117</v>
      </c>
      <c r="W465" s="56">
        <f>VLOOKUP(B465,'Player Data'!$A1:$AE667,11,FALSE)*$Q465*IFERROR((VLOOKUP(P465,Settings!$E$28:$F$33,2,FALSE)+1),1)</f>
        <v>0.2668278386328003</v>
      </c>
      <c r="X465" s="56">
        <f>VLOOKUP(B465,'Player Data'!$A1:$AE667,12,FALSE)*$Q465*IFERROR((VLOOKUP(P465,Settings!$E$28:$F$33,2,FALSE)+1),1)</f>
        <v>0.66311729570678979</v>
      </c>
      <c r="Y465" s="56">
        <f>VLOOKUP(B465,'Player Data'!$A1:$AE667,13,FALSE)*$Q465</f>
        <v>3.3350754428312694E-2</v>
      </c>
      <c r="Z465" s="56">
        <f>VLOOKUP(B465,'Player Data'!$A1:$AE667,14,FALSE)*$Q465</f>
        <v>0.16530272035903049</v>
      </c>
      <c r="AA465" s="56">
        <f>VLOOKUP(B465,'Player Data'!$A1:$AE667,15,FALSE)*$Q465</f>
        <v>78.771045589907999</v>
      </c>
      <c r="AB465" s="56">
        <f>VLOOKUP(B465,'Player Data'!$A1:$AE667,16,FALSE)*$Q465</f>
        <v>155.35938575719874</v>
      </c>
      <c r="AC465" s="56">
        <f>VLOOKUP(B465,'Player Data'!$A1:$AE667,17,FALSE)*$Q465*IFERROR((VLOOKUP(P465,Settings!$E$28:$F$33,2,FALSE)+1),1)</f>
        <v>-3.1007731371072254</v>
      </c>
      <c r="AD465" s="56">
        <f>VLOOKUP(B465,'Player Data'!$A1:$AE667,18,FALSE)*$Q465</f>
        <v>74.006549055780425</v>
      </c>
      <c r="AE465" s="56">
        <f>VLOOKUP(B465,'Player Data'!$A1:$AE667,19,FALSE)*$Q465*IFERROR((VLOOKUP(P465,Settings!$E$28:$F$33,2,FALSE)+1),1)</f>
        <v>0.50178995199288978</v>
      </c>
      <c r="AF465" s="56">
        <f>VLOOKUP(B465,'Player Data'!$A1:$AE667,20,FALSE)*$Q465</f>
        <v>0</v>
      </c>
      <c r="AG465" s="56">
        <f>VLOOKUP(B465,'Player Data'!$A1:$AE667,21,FALSE)*$Q465</f>
        <v>0</v>
      </c>
      <c r="AH465" s="58">
        <f>VLOOKUP(B465,'Player Data'!$A1:$AE667,22,FALSE)</f>
        <v>0</v>
      </c>
      <c r="AI465" s="54"/>
      <c r="AJ465" s="64"/>
      <c r="AK465" s="56"/>
      <c r="AL465" s="56"/>
      <c r="AM465" s="56"/>
      <c r="AN465" s="56"/>
      <c r="AO465" s="56"/>
      <c r="AP465" s="56"/>
      <c r="AQ465" s="59"/>
      <c r="AR465" s="60"/>
      <c r="AS465" s="54"/>
    </row>
    <row r="466" spans="1:45" ht="21.25" customHeight="1" x14ac:dyDescent="0.15">
      <c r="A466" s="45">
        <f>RANK(K466,K$1:K$665)</f>
        <v>465</v>
      </c>
      <c r="B466" s="9" t="s">
        <v>591</v>
      </c>
      <c r="C466" s="46" t="s">
        <v>127</v>
      </c>
      <c r="D466" s="47" t="str">
        <f>VLOOKUP(B466,'Player Data'!A1:D667,4,FALSE)</f>
        <v>D</v>
      </c>
      <c r="E466" s="66">
        <f>VLOOKUP(B466,D!A1:C213,3,FALSE)</f>
        <v>179</v>
      </c>
      <c r="F466" s="77" t="str">
        <f>VLOOKUP(B466,'Player Data'!A1:B667,2,FALSE)</f>
        <v>CBJ</v>
      </c>
      <c r="G466" s="69">
        <f>VLOOKUP(B466,'Player Data'!A1:D667,3,FALSE)</f>
        <v>20</v>
      </c>
      <c r="H466" s="50">
        <f>IFERROR(VLOOKUP(B466,ADP!A1:G665,7,FALSE)/1000000,VLOOKUP(B466,ADP!A1:G665,7,FALSE))</f>
        <v>0.91830000000000001</v>
      </c>
      <c r="I466" s="51">
        <f>IF(Settings!$E$15="POINTS",((R466*Q466)*Settings!$B$12)+(S466*Settings!$B$2)+(T466*Settings!$B$3)+(U466*Settings!$B$4)+(V466*Settings!$B$5)+(X466*Settings!$B$9)+(AA466*Settings!$B$6)+(W466*Settings!$B$8)+(AB466*Settings!$B$7)+(AC466*Settings!$B$14)+(AD466*Settings!$B$15)+(AE466*Settings!$B$16)+(AF466*Settings!$B$17)+(AG466*Settings!$B$18)+(U466*Settings!$B$13)+(Y466*Settings!$B$10)+(Z466*Settings!$B$11),VLOOKUP(B466,'Standard Deviations'!A1:C666,3,FALSE))</f>
        <v>127.40648655849049</v>
      </c>
      <c r="J466" s="52">
        <f>IF(D466="G",I466/AJ466,I466/Q466)</f>
        <v>1.9349455016856327</v>
      </c>
      <c r="K466" s="51">
        <f>VLOOKUP(B466,D!A1:F213,6,FALSE)</f>
        <v>-208.82763848710442</v>
      </c>
      <c r="L466" s="53">
        <f>IFERROR(K466/H466,"N/A")</f>
        <v>-227.40677173810784</v>
      </c>
      <c r="M466" s="83" t="str">
        <f>IF(Settings!$E$9="YAHOO",VLOOKUP(B466,ADP!A1:E665,2,FALSE),IF(Settings!$E$9="ESPN",VLOOKUP(B466,ADP!A1:E665,3,FALSE),IF(Settings!$E$9="FANTRAX",VLOOKUP(B466,ADP!A1:E665,4,FALSE),VLOOKUP(B466,ADP!A1:E665,5,FALSE))))</f>
        <v>—</v>
      </c>
      <c r="N466" s="83" t="str">
        <f>IFERROR(M466-A466,"N/A")</f>
        <v>N/A</v>
      </c>
      <c r="O466" s="54"/>
      <c r="P466" s="55" t="str">
        <f>IF(Settings!$E$27="ON",VLOOKUP(B466,ADP!A1:H665,8,FALSE)," ")</f>
        <v xml:space="preserve"> </v>
      </c>
      <c r="Q466" s="56">
        <f>IF(Settings!$E$12="YES",VLOOKUP(B466,'Player Data'!A1:E667,5,FALSE),82)</f>
        <v>65.844999999999999</v>
      </c>
      <c r="R466" s="75">
        <f>VLOOKUP(B466,'Player Data'!$A1:$AE667,6,FALSE)</f>
        <v>16.657134836348199</v>
      </c>
      <c r="S466" s="56">
        <f>VLOOKUP(B466,'Player Data'!$A1:$AE667,7,FALSE)*$Q466*IFERROR((VLOOKUP(P466,Settings!$E$28:$F$33,2,FALSE)+1),1)</f>
        <v>2.5475355368315094</v>
      </c>
      <c r="T466" s="56">
        <f>VLOOKUP(B466,'Player Data'!$A1:$AE667,8,FALSE)*$Q466*IFERROR((VLOOKUP(P466,Settings!$E$28:$F$33,2,FALSE)+1),1)</f>
        <v>14.21113180515426</v>
      </c>
      <c r="U466" s="56">
        <f>SUM(S466:T466)</f>
        <v>16.75866734198577</v>
      </c>
      <c r="V466" s="56">
        <f>VLOOKUP(B466,'Player Data'!$A1:$AE667,10,FALSE)*$Q466*IFERROR(((VLOOKUP(P466,Settings!$E$28:$F$33,2,FALSE)/2)+1),1)</f>
        <v>69.893262524894809</v>
      </c>
      <c r="W466" s="56">
        <f>VLOOKUP(B466,'Player Data'!$A1:$AE667,11,FALSE)*$Q466*IFERROR((VLOOKUP(P466,Settings!$E$28:$F$33,2,FALSE)+1),1)</f>
        <v>5.310880170577831E-3</v>
      </c>
      <c r="X466" s="56">
        <f>VLOOKUP(B466,'Player Data'!$A1:$AE667,12,FALSE)*$Q466*IFERROR((VLOOKUP(P466,Settings!$E$28:$F$33,2,FALSE)+1),1)</f>
        <v>3.2759625228618458E-2</v>
      </c>
      <c r="Y466" s="56">
        <f>VLOOKUP(B466,'Player Data'!$A1:$AE667,13,FALSE)*$Q466</f>
        <v>8.4253239545279118E-3</v>
      </c>
      <c r="Z466" s="56">
        <f>VLOOKUP(B466,'Player Data'!$A1:$AE667,14,FALSE)*$Q466</f>
        <v>4.0168486397933807E-2</v>
      </c>
      <c r="AA466" s="56">
        <f>VLOOKUP(B466,'Player Data'!$A1:$AE667,15,FALSE)*$Q466</f>
        <v>84.221850316918434</v>
      </c>
      <c r="AB466" s="56">
        <f>VLOOKUP(B466,'Player Data'!$A1:$AE667,16,FALSE)*$Q466</f>
        <v>67.050341335025152</v>
      </c>
      <c r="AC466" s="56">
        <f>VLOOKUP(B466,'Player Data'!$A1:$AE667,17,FALSE)*$Q466*IFERROR((VLOOKUP(P466,Settings!$E$28:$F$33,2,FALSE)+1),1)</f>
        <v>-6.4701879592744431</v>
      </c>
      <c r="AD466" s="56">
        <f>VLOOKUP(B466,'Player Data'!$A1:$AE667,18,FALSE)*$Q466</f>
        <v>31.897084215874514</v>
      </c>
      <c r="AE466" s="56">
        <f>VLOOKUP(B466,'Player Data'!$A1:$AE667,19,FALSE)*$Q466*IFERROR((VLOOKUP(P466,Settings!$E$28:$F$33,2,FALSE)+1),1)</f>
        <v>0.28171755923064989</v>
      </c>
      <c r="AF466" s="56">
        <f>VLOOKUP(B466,'Player Data'!$A1:$AE667,20,FALSE)*$Q466</f>
        <v>0</v>
      </c>
      <c r="AG466" s="56">
        <f>VLOOKUP(B466,'Player Data'!$A1:$AE667,21,FALSE)*$Q466</f>
        <v>0</v>
      </c>
      <c r="AH466" s="58">
        <f>VLOOKUP(B466,'Player Data'!$A1:$AE667,22,FALSE)</f>
        <v>0</v>
      </c>
      <c r="AI466" s="54"/>
      <c r="AJ466" s="56"/>
      <c r="AK466" s="56"/>
      <c r="AL466" s="56"/>
      <c r="AM466" s="56"/>
      <c r="AN466" s="56"/>
      <c r="AO466" s="56"/>
      <c r="AP466" s="56"/>
      <c r="AQ466" s="59"/>
      <c r="AR466" s="60"/>
      <c r="AS466" s="54"/>
    </row>
    <row r="467" spans="1:45" ht="21.25" customHeight="1" x14ac:dyDescent="0.15">
      <c r="A467" s="45">
        <f>RANK(K467,K$1:K$665)</f>
        <v>466</v>
      </c>
      <c r="B467" s="9" t="s">
        <v>592</v>
      </c>
      <c r="C467" s="46" t="s">
        <v>127</v>
      </c>
      <c r="D467" s="47" t="str">
        <f>VLOOKUP(B467,'Player Data'!A1:D667,4,FALSE)</f>
        <v>C</v>
      </c>
      <c r="E467" s="48">
        <f>VLOOKUP(B467,'C'!A1:C206,3,FALSE)</f>
        <v>129</v>
      </c>
      <c r="F467" s="55" t="str">
        <f>VLOOKUP(B467,'Player Data'!A1:B667,2,FALSE)</f>
        <v>CHI</v>
      </c>
      <c r="G467" s="10">
        <f>VLOOKUP(B467,'Player Data'!A1:D667,3,FALSE)</f>
        <v>29</v>
      </c>
      <c r="H467" s="50">
        <f>IFERROR(VLOOKUP(B467,ADP!A1:G665,7,FALSE)/1000000,VLOOKUP(B467,ADP!A1:G665,7,FALSE))</f>
        <v>4.25</v>
      </c>
      <c r="I467" s="51">
        <f>IF(Settings!$E$15="POINTS",((R467*Q467)*Settings!$B$12)+(S467*Settings!$B$2)+(T467*Settings!$B$3)+(U467*Settings!$B$4)+(V467*Settings!$B$5)+(X467*Settings!$B$9)+(AA467*Settings!$B$6)+(W467*Settings!$B$8)+(AB467*Settings!$B$7)+(AC467*Settings!$B$14)+(AD467*Settings!$B$15)+(AE467*Settings!$B$16)+(AF467*Settings!$B$17)+(AG467*Settings!$B$18)+(Y467*Settings!$B$10)+(Z467*Settings!$B$11),VLOOKUP(B467,'Standard Deviations'!A1:C666,3,FALSE))</f>
        <v>180.97624259460395</v>
      </c>
      <c r="J467" s="52">
        <f>IF(D467="G",I467/AJ467,I467/Q467)</f>
        <v>2.2770035555435824</v>
      </c>
      <c r="K467" s="51">
        <f>IF(Settings!$E$18="C/LW/RW",VLOOKUP(B467,'C'!A1:F206,6,FALSE),VLOOKUP(B467,F!A1:F392,6,FALSE))</f>
        <v>-208.96091518347714</v>
      </c>
      <c r="L467" s="53">
        <f>IFERROR(K467/H467,"N/A")</f>
        <v>-49.167274160818152</v>
      </c>
      <c r="M467" s="83" t="str">
        <f>IF(Settings!$E$9="YAHOO",VLOOKUP(B467,ADP!A1:E665,2,FALSE),IF(Settings!$E$9="ESPN",VLOOKUP(B467,ADP!A1:E665,3,FALSE),IF(Settings!$E$9="FANTRAX",VLOOKUP(B467,ADP!A1:E665,4,FALSE),VLOOKUP(B467,ADP!A1:E665,5,FALSE))))</f>
        <v>—</v>
      </c>
      <c r="N467" s="83" t="str">
        <f>IFERROR(M467-A467,"N/A")</f>
        <v>N/A</v>
      </c>
      <c r="O467" s="54"/>
      <c r="P467" s="55" t="str">
        <f>IF(Settings!$E$27="ON",VLOOKUP(B467,ADP!A1:H665,8,FALSE)," ")</f>
        <v xml:space="preserve"> </v>
      </c>
      <c r="Q467" s="56">
        <f>IF(Settings!$E$12="YES",VLOOKUP(B467,'Player Data'!A1:E667,5,FALSE),82)</f>
        <v>79.48</v>
      </c>
      <c r="R467" s="54">
        <f>VLOOKUP(B467,'Player Data'!$A1:$AE667,6,FALSE)</f>
        <v>15.8388584557292</v>
      </c>
      <c r="S467" s="56">
        <f>VLOOKUP(B467,'Player Data'!$A1:$AE667,7,FALSE)*$Q467*IFERROR((VLOOKUP(P467,Settings!$E$28:$F$33,2,FALSE)+1),1)</f>
        <v>13.688760831807322</v>
      </c>
      <c r="T467" s="56">
        <f>VLOOKUP(B467,'Player Data'!$A1:$AE667,8,FALSE)*$Q467*IFERROR((VLOOKUP(P467,Settings!$E$28:$F$33,2,FALSE)+1),1)</f>
        <v>15.334989023959473</v>
      </c>
      <c r="U467" s="56">
        <f>SUM(S467:T467)</f>
        <v>29.023749855766795</v>
      </c>
      <c r="V467" s="56">
        <f>VLOOKUP(B467,'Player Data'!$A1:$AE667,10,FALSE)*$Q467*IFERROR(((VLOOKUP(P467,Settings!$E$28:$F$33,2,FALSE)/2)+1),1)</f>
        <v>113.24450064226627</v>
      </c>
      <c r="W467" s="56">
        <f>VLOOKUP(B467,'Player Data'!$A1:$AE667,11,FALSE)*$Q467*IFERROR((VLOOKUP(P467,Settings!$E$28:$F$33,2,FALSE)+1),1)</f>
        <v>0.4622678834162412</v>
      </c>
      <c r="X467" s="56">
        <f>VLOOKUP(B467,'Player Data'!$A1:$AE667,12,FALSE)*$Q467*IFERROR((VLOOKUP(P467,Settings!$E$28:$F$33,2,FALSE)+1),1)</f>
        <v>0.667411738675729</v>
      </c>
      <c r="Y467" s="56">
        <f>VLOOKUP(B467,'Player Data'!$A1:$AE667,13,FALSE)*$Q467</f>
        <v>8.8413248224859284E-2</v>
      </c>
      <c r="Z467" s="56">
        <f>VLOOKUP(B467,'Player Data'!$A1:$AE667,14,FALSE)*$Q467</f>
        <v>1.3915739334938302</v>
      </c>
      <c r="AA467" s="56">
        <f>VLOOKUP(B467,'Player Data'!$A1:$AE667,15,FALSE)*$Q467</f>
        <v>70.44751406800178</v>
      </c>
      <c r="AB467" s="56">
        <f>VLOOKUP(B467,'Player Data'!$A1:$AE667,16,FALSE)*$Q467</f>
        <v>122.57844681308619</v>
      </c>
      <c r="AC467" s="56">
        <f>VLOOKUP(B467,'Player Data'!$A1:$AE667,17,FALSE)*$Q467*IFERROR((VLOOKUP(P467,Settings!$E$28:$F$33,2,FALSE)+1),1)</f>
        <v>-6.1466710026711775</v>
      </c>
      <c r="AD467" s="56">
        <f>VLOOKUP(B467,'Player Data'!$A1:$AE667,18,FALSE)*$Q467</f>
        <v>30.45540203538506</v>
      </c>
      <c r="AE467" s="56">
        <f>VLOOKUP(B467,'Player Data'!$A1:$AE667,19,FALSE)*$Q467*IFERROR((VLOOKUP(P467,Settings!$E$28:$F$33,2,FALSE)+1),1)</f>
        <v>1.7690703642894052</v>
      </c>
      <c r="AF467" s="56">
        <f>VLOOKUP(B467,'Player Data'!$A1:$AE667,20,FALSE)*$Q467</f>
        <v>493.27525308894724</v>
      </c>
      <c r="AG467" s="56">
        <f>VLOOKUP(B467,'Player Data'!$A1:$AE667,21,FALSE)*$Q467</f>
        <v>534.48738386138348</v>
      </c>
      <c r="AH467" s="58">
        <f>VLOOKUP(B467,'Player Data'!$A1:$AE667,22,FALSE)</f>
        <v>0.47995055993924601</v>
      </c>
      <c r="AI467" s="54"/>
      <c r="AJ467" s="56"/>
      <c r="AK467" s="56"/>
      <c r="AL467" s="56"/>
      <c r="AM467" s="56"/>
      <c r="AN467" s="56"/>
      <c r="AO467" s="56"/>
      <c r="AP467" s="56"/>
      <c r="AQ467" s="59"/>
      <c r="AR467" s="60"/>
      <c r="AS467" s="54"/>
    </row>
    <row r="468" spans="1:45" ht="21.25" customHeight="1" x14ac:dyDescent="0.15">
      <c r="A468" s="45">
        <f>RANK(K468,K$1:K$665)</f>
        <v>467</v>
      </c>
      <c r="B468" s="9" t="s">
        <v>593</v>
      </c>
      <c r="C468" s="46" t="s">
        <v>127</v>
      </c>
      <c r="D468" s="47" t="str">
        <f>VLOOKUP(B468,'Player Data'!A1:D667,4,FALSE)</f>
        <v>C/RW</v>
      </c>
      <c r="E468" s="68">
        <f>VLOOKUP(B468,RW!A1:C136,3,FALSE)</f>
        <v>97</v>
      </c>
      <c r="F468" s="65" t="str">
        <f>VLOOKUP(B468,'Player Data'!A1:B667,2,FALSE)</f>
        <v>CGY</v>
      </c>
      <c r="G468" s="10">
        <f>VLOOKUP(B468,'Player Data'!A1:D667,3,FALSE)</f>
        <v>24</v>
      </c>
      <c r="H468" s="50">
        <f>IFERROR(VLOOKUP(B468,ADP!A1:G665,7,FALSE)/1000000,VLOOKUP(B468,ADP!A1:G665,7,FALSE))</f>
        <v>1</v>
      </c>
      <c r="I468" s="51">
        <f>IF(Settings!$E$15="POINTS",((R468*Q468)*Settings!$B$12)+(S468*Settings!$B$2)+(T468*Settings!$B$3)+(U468*Settings!$B$4)+(V468*Settings!$B$5)+(X468*Settings!$B$9)+(AA468*Settings!$B$6)+(W468*Settings!$B$8)+(AB468*Settings!$B$7)+(AC468*Settings!$B$14)+(AD468*Settings!$B$15)+(AE468*Settings!$B$16)+(AF468*Settings!$B$17)+(AG468*Settings!$B$18)+(Y468*Settings!$B$10)+(Z468*Settings!$B$11),VLOOKUP(B468,'Standard Deviations'!A1:C666,3,FALSE))</f>
        <v>159.51778843907746</v>
      </c>
      <c r="J468" s="52">
        <f>IF(D468="G",I468/AJ468,I468/Q468)</f>
        <v>2.1514301495593426</v>
      </c>
      <c r="K468" s="51">
        <f>IF(Settings!$E$18="C/LW/RW",VLOOKUP(B468,RW!A1:F136,6,FALSE),VLOOKUP(B468,F!A1:F392,6,FALSE))</f>
        <v>-209.32993466721493</v>
      </c>
      <c r="L468" s="53">
        <f>IFERROR(K468/H468,"N/A")</f>
        <v>-209.32993466721493</v>
      </c>
      <c r="M468" s="54">
        <f>IF(Settings!$E$9="YAHOO",VLOOKUP(B468,ADP!A1:E665,2,FALSE),IF(Settings!$E$9="ESPN",VLOOKUP(B468,ADP!A1:E665,3,FALSE),IF(Settings!$E$9="FANTRAX",VLOOKUP(B468,ADP!A1:E665,4,FALSE),VLOOKUP(B468,ADP!A1:E665,5,FALSE))))</f>
        <v>161.19999999999999</v>
      </c>
      <c r="N468" s="54">
        <f>IFERROR(M468-A468,"N/A")</f>
        <v>-305.8</v>
      </c>
      <c r="O468" s="54"/>
      <c r="P468" s="55" t="str">
        <f>IF(Settings!$E$27="ON",VLOOKUP(B468,ADP!A1:H665,8,FALSE)," ")</f>
        <v xml:space="preserve"> </v>
      </c>
      <c r="Q468" s="56">
        <f>IF(Settings!$E$12="YES",VLOOKUP(B468,'Player Data'!A1:E667,5,FALSE),82)</f>
        <v>74.144999999999996</v>
      </c>
      <c r="R468" s="54">
        <f>VLOOKUP(B468,'Player Data'!$A1:$AE667,6,FALSE)</f>
        <v>12.579818955219499</v>
      </c>
      <c r="S468" s="56">
        <f>VLOOKUP(B468,'Player Data'!$A1:$AE667,7,FALSE)*$Q468*IFERROR((VLOOKUP(P468,Settings!$E$28:$F$33,2,FALSE)+1),1)</f>
        <v>9.577641563018485</v>
      </c>
      <c r="T468" s="56">
        <f>VLOOKUP(B468,'Player Data'!$A1:$AE667,8,FALSE)*$Q468*IFERROR((VLOOKUP(P468,Settings!$E$28:$F$33,2,FALSE)+1),1)</f>
        <v>16.700129266152913</v>
      </c>
      <c r="U468" s="56">
        <f>SUM(S468:T468)</f>
        <v>26.277770829171399</v>
      </c>
      <c r="V468" s="56">
        <f>VLOOKUP(B468,'Player Data'!$A1:$AE667,10,FALSE)*$Q468*IFERROR(((VLOOKUP(P468,Settings!$E$28:$F$33,2,FALSE)/2)+1),1)</f>
        <v>132.89321933191576</v>
      </c>
      <c r="W468" s="56">
        <f>VLOOKUP(B468,'Player Data'!$A1:$AE667,11,FALSE)*$Q468*IFERROR((VLOOKUP(P468,Settings!$E$28:$F$33,2,FALSE)+1),1)</f>
        <v>0.23955324200368741</v>
      </c>
      <c r="X468" s="56">
        <f>VLOOKUP(B468,'Player Data'!$A1:$AE667,12,FALSE)*$Q468*IFERROR((VLOOKUP(P468,Settings!$E$28:$F$33,2,FALSE)+1),1)</f>
        <v>0.55024371822686802</v>
      </c>
      <c r="Y468" s="56">
        <f>VLOOKUP(B468,'Player Data'!$A1:$AE667,13,FALSE)*$Q468</f>
        <v>4.4135407766554974E-3</v>
      </c>
      <c r="Z468" s="56">
        <f>VLOOKUP(B468,'Player Data'!$A1:$AE667,14,FALSE)*$Q468</f>
        <v>7.4269606118753497E-3</v>
      </c>
      <c r="AA468" s="56">
        <f>VLOOKUP(B468,'Player Data'!$A1:$AE667,15,FALSE)*$Q468</f>
        <v>27.360391213533301</v>
      </c>
      <c r="AB468" s="56">
        <f>VLOOKUP(B468,'Player Data'!$A1:$AE667,16,FALSE)*$Q468</f>
        <v>232.38277845271983</v>
      </c>
      <c r="AC468" s="56">
        <f>VLOOKUP(B468,'Player Data'!$A1:$AE667,17,FALSE)*$Q468*IFERROR((VLOOKUP(P468,Settings!$E$28:$F$33,2,FALSE)+1),1)</f>
        <v>-0.87682291723353312</v>
      </c>
      <c r="AD468" s="56">
        <f>VLOOKUP(B468,'Player Data'!$A1:$AE667,18,FALSE)*$Q468</f>
        <v>59.940811348414371</v>
      </c>
      <c r="AE468" s="56">
        <f>VLOOKUP(B468,'Player Data'!$A1:$AE667,19,FALSE)*$Q468*IFERROR((VLOOKUP(P468,Settings!$E$28:$F$33,2,FALSE)+1),1)</f>
        <v>1.3914759539216079</v>
      </c>
      <c r="AF468" s="56">
        <f>VLOOKUP(B468,'Player Data'!$A1:$AE667,20,FALSE)*$Q468</f>
        <v>26.771499329863175</v>
      </c>
      <c r="AG468" s="56">
        <f>VLOOKUP(B468,'Player Data'!$A1:$AE667,21,FALSE)*$Q468</f>
        <v>32.591390488529065</v>
      </c>
      <c r="AH468" s="58">
        <f>VLOOKUP(B468,'Player Data'!$A1:$AE667,22,FALSE)</f>
        <v>0.45098039215686297</v>
      </c>
      <c r="AI468" s="54"/>
      <c r="AJ468" s="64"/>
      <c r="AK468" s="56"/>
      <c r="AL468" s="56"/>
      <c r="AM468" s="56"/>
      <c r="AN468" s="56"/>
      <c r="AO468" s="56"/>
      <c r="AP468" s="56"/>
      <c r="AQ468" s="59"/>
      <c r="AR468" s="60"/>
      <c r="AS468" s="54"/>
    </row>
    <row r="469" spans="1:45" ht="21.25" customHeight="1" x14ac:dyDescent="0.15">
      <c r="A469" s="45">
        <f>RANK(K469,K$1:K$665)</f>
        <v>468</v>
      </c>
      <c r="B469" s="9" t="s">
        <v>594</v>
      </c>
      <c r="C469" s="46" t="s">
        <v>127</v>
      </c>
      <c r="D469" s="47" t="str">
        <f>VLOOKUP(B469,'Player Data'!A1:D667,4,FALSE)</f>
        <v>LW</v>
      </c>
      <c r="E469" s="70">
        <f>VLOOKUP(B469,LW!A1:C152,3,FALSE)</f>
        <v>109</v>
      </c>
      <c r="F469" s="55" t="str">
        <f>VLOOKUP(B469,'Player Data'!A1:B667,2,FALSE)</f>
        <v>CHI</v>
      </c>
      <c r="G469" s="63">
        <f>VLOOKUP(B469,'Player Data'!A1:D667,3,FALSE)</f>
        <v>36</v>
      </c>
      <c r="H469" s="50">
        <f>IFERROR(VLOOKUP(B469,ADP!A1:G665,7,FALSE)/1000000,VLOOKUP(B469,ADP!A1:G665,7,FALSE))</f>
        <v>4.5</v>
      </c>
      <c r="I469" s="51">
        <f>IF(Settings!$E$15="POINTS",((R469*Q469)*Settings!$B$12)+(S469*Settings!$B$2)+(T469*Settings!$B$3)+(U469*Settings!$B$4)+(V469*Settings!$B$5)+(X469*Settings!$B$9)+(AA469*Settings!$B$6)+(W469*Settings!$B$8)+(AB469*Settings!$B$7)+(AC469*Settings!$B$14)+(AD469*Settings!$B$15)+(AE469*Settings!$B$16)+(AF469*Settings!$B$17)+(AG469*Settings!$B$18)+(Y469*Settings!$B$10)+(Z469*Settings!$B$11),VLOOKUP(B469,'Standard Deviations'!A1:C666,3,FALSE))</f>
        <v>170.63060859729671</v>
      </c>
      <c r="J469" s="52">
        <f>IF(D469="G",I469/AJ469,I469/Q469)</f>
        <v>2.2515089872309391</v>
      </c>
      <c r="K469" s="51">
        <f>IF(Settings!$E$18="C/LW/RW",VLOOKUP(B469,LW!A1:F152,6,FALSE),VLOOKUP(B469,F!A1:F392,6,FALSE))</f>
        <v>-210.43090370520304</v>
      </c>
      <c r="L469" s="53">
        <f>IFERROR(K469/H469,"N/A")</f>
        <v>-46.762423045600677</v>
      </c>
      <c r="M469" s="83" t="str">
        <f>IF(Settings!$E$9="YAHOO",VLOOKUP(B469,ADP!A1:E665,2,FALSE),IF(Settings!$E$9="ESPN",VLOOKUP(B469,ADP!A1:E665,3,FALSE),IF(Settings!$E$9="FANTRAX",VLOOKUP(B469,ADP!A1:E665,4,FALSE),VLOOKUP(B469,ADP!A1:E665,5,FALSE))))</f>
        <v>—</v>
      </c>
      <c r="N469" s="83" t="str">
        <f>IFERROR(M469-A469,"N/A")</f>
        <v>N/A</v>
      </c>
      <c r="O469" s="54"/>
      <c r="P469" s="55" t="str">
        <f>IF(Settings!$E$27="ON",VLOOKUP(B469,ADP!A1:H665,8,FALSE)," ")</f>
        <v xml:space="preserve"> </v>
      </c>
      <c r="Q469" s="56">
        <f>IF(Settings!$E$12="YES",VLOOKUP(B469,'Player Data'!A1:E667,5,FALSE),82)</f>
        <v>75.784999999999997</v>
      </c>
      <c r="R469" s="81">
        <f>VLOOKUP(B469,'Player Data'!$A1:$AE667,6,FALSE)</f>
        <v>16.212445587932098</v>
      </c>
      <c r="S469" s="56">
        <f>VLOOKUP(B469,'Player Data'!$A1:$AE667,7,FALSE)*$Q469*IFERROR((VLOOKUP(P469,Settings!$E$28:$F$33,2,FALSE)+1),1)</f>
        <v>10.708425535632845</v>
      </c>
      <c r="T469" s="56">
        <f>VLOOKUP(B469,'Player Data'!$A1:$AE667,8,FALSE)*$Q469*IFERROR((VLOOKUP(P469,Settings!$E$28:$F$33,2,FALSE)+1),1)</f>
        <v>15.369371632091086</v>
      </c>
      <c r="U469" s="56">
        <f>SUM(S469:T469)</f>
        <v>26.077797167723929</v>
      </c>
      <c r="V469" s="56">
        <f>VLOOKUP(B469,'Player Data'!$A1:$AE667,10,FALSE)*$Q469*IFERROR(((VLOOKUP(P469,Settings!$E$28:$F$33,2,FALSE)/2)+1),1)</f>
        <v>128.45765088303864</v>
      </c>
      <c r="W469" s="56">
        <f>VLOOKUP(B469,'Player Data'!$A1:$AE667,11,FALSE)*$Q469*IFERROR((VLOOKUP(P469,Settings!$E$28:$F$33,2,FALSE)+1),1)</f>
        <v>2.8610568894796744</v>
      </c>
      <c r="X469" s="56">
        <f>VLOOKUP(B469,'Player Data'!$A1:$AE667,12,FALSE)*$Q469*IFERROR((VLOOKUP(P469,Settings!$E$28:$F$33,2,FALSE)+1),1)</f>
        <v>6.4071668978307343</v>
      </c>
      <c r="Y469" s="56">
        <f>VLOOKUP(B469,'Player Data'!$A1:$AE667,13,FALSE)*$Q469</f>
        <v>0.88872363088653439</v>
      </c>
      <c r="Z469" s="56">
        <f>VLOOKUP(B469,'Player Data'!$A1:$AE667,14,FALSE)*$Q469</f>
        <v>1.0890438126337882</v>
      </c>
      <c r="AA469" s="56">
        <f>VLOOKUP(B469,'Player Data'!$A1:$AE667,15,FALSE)*$Q469</f>
        <v>41.344361884282208</v>
      </c>
      <c r="AB469" s="56">
        <f>VLOOKUP(B469,'Player Data'!$A1:$AE667,16,FALSE)*$Q469</f>
        <v>177.86084527466801</v>
      </c>
      <c r="AC469" s="56">
        <f>VLOOKUP(B469,'Player Data'!$A1:$AE667,17,FALSE)*$Q469*IFERROR((VLOOKUP(P469,Settings!$E$28:$F$33,2,FALSE)+1),1)</f>
        <v>-6.4751974376384069</v>
      </c>
      <c r="AD469" s="56">
        <f>VLOOKUP(B469,'Player Data'!$A1:$AE667,18,FALSE)*$Q469</f>
        <v>58.796512676411297</v>
      </c>
      <c r="AE469" s="56">
        <f>VLOOKUP(B469,'Player Data'!$A1:$AE667,19,FALSE)*$Q469*IFERROR((VLOOKUP(P469,Settings!$E$28:$F$33,2,FALSE)+1),1)</f>
        <v>1.3839060011385129</v>
      </c>
      <c r="AF469" s="56">
        <f>VLOOKUP(B469,'Player Data'!$A1:$AE667,20,FALSE)*$Q469</f>
        <v>186.19135810243313</v>
      </c>
      <c r="AG469" s="56">
        <f>VLOOKUP(B469,'Player Data'!$A1:$AE667,21,FALSE)*$Q469</f>
        <v>158.59976215628106</v>
      </c>
      <c r="AH469" s="58">
        <f>VLOOKUP(B469,'Player Data'!$A1:$AE667,22,FALSE)</f>
        <v>0.540012045445731</v>
      </c>
      <c r="AI469" s="54"/>
      <c r="AJ469" s="56"/>
      <c r="AK469" s="56"/>
      <c r="AL469" s="56"/>
      <c r="AM469" s="56"/>
      <c r="AN469" s="56"/>
      <c r="AO469" s="56"/>
      <c r="AP469" s="56"/>
      <c r="AQ469" s="59"/>
      <c r="AR469" s="60"/>
      <c r="AS469" s="54"/>
    </row>
    <row r="470" spans="1:45" ht="21.25" customHeight="1" x14ac:dyDescent="0.15">
      <c r="A470" s="45">
        <f>RANK(K470,K$1:K$665)</f>
        <v>469</v>
      </c>
      <c r="B470" s="9" t="s">
        <v>595</v>
      </c>
      <c r="C470" s="46" t="s">
        <v>127</v>
      </c>
      <c r="D470" s="47" t="str">
        <f>VLOOKUP(B470,'Player Data'!A1:D667,4,FALSE)</f>
        <v>D</v>
      </c>
      <c r="E470" s="66">
        <f>VLOOKUP(B470,D!A1:C213,3,FALSE)</f>
        <v>180</v>
      </c>
      <c r="F470" s="55" t="str">
        <f>VLOOKUP(B470,'Player Data'!A1:B667,2,FALSE)</f>
        <v>COL</v>
      </c>
      <c r="G470" s="63">
        <f>VLOOKUP(B470,'Player Data'!A1:D667,3,FALSE)</f>
        <v>33</v>
      </c>
      <c r="H470" s="67">
        <f>IFERROR(VLOOKUP(B470,ADP!A1:G665,7,FALSE)/1000000,VLOOKUP(B470,ADP!A1:G665,7,FALSE))</f>
        <v>0.8</v>
      </c>
      <c r="I470" s="51">
        <f>IF(Settings!$E$15="POINTS",((R470*Q470)*Settings!$B$12)+(S470*Settings!$B$2)+(T470*Settings!$B$3)+(U470*Settings!$B$4)+(V470*Settings!$B$5)+(X470*Settings!$B$9)+(AA470*Settings!$B$6)+(W470*Settings!$B$8)+(AB470*Settings!$B$7)+(AC470*Settings!$B$14)+(AD470*Settings!$B$15)+(AE470*Settings!$B$16)+(AF470*Settings!$B$17)+(AG470*Settings!$B$18)+(U470*Settings!$B$13)+(Y470*Settings!$B$10)+(Z470*Settings!$B$11),VLOOKUP(B470,'Standard Deviations'!A1:C666,3,FALSE))</f>
        <v>125.79008547328327</v>
      </c>
      <c r="J470" s="52">
        <f>IF(D470="G",I470/AJ470,I470/Q470)</f>
        <v>1.7312150491781348</v>
      </c>
      <c r="K470" s="51">
        <f>VLOOKUP(B470,D!A1:F213,6,FALSE)</f>
        <v>-210.44403957231162</v>
      </c>
      <c r="L470" s="53">
        <f>IFERROR(K470/H470,"N/A")</f>
        <v>-263.05504946538952</v>
      </c>
      <c r="M470" s="83" t="str">
        <f>IF(Settings!$E$9="YAHOO",VLOOKUP(B470,ADP!A1:E665,2,FALSE),IF(Settings!$E$9="ESPN",VLOOKUP(B470,ADP!A1:E665,3,FALSE),IF(Settings!$E$9="FANTRAX",VLOOKUP(B470,ADP!A1:E665,4,FALSE),VLOOKUP(B470,ADP!A1:E665,5,FALSE))))</f>
        <v>—</v>
      </c>
      <c r="N470" s="83" t="str">
        <f>IFERROR(M470-A470,"N/A")</f>
        <v>N/A</v>
      </c>
      <c r="O470" s="54"/>
      <c r="P470" s="55" t="str">
        <f>IF(Settings!$E$27="ON",VLOOKUP(B470,ADP!A1:H665,8,FALSE)," ")</f>
        <v xml:space="preserve"> </v>
      </c>
      <c r="Q470" s="56">
        <f>IF(Settings!$E$12="YES",VLOOKUP(B470,'Player Data'!A1:E667,5,FALSE),82)</f>
        <v>72.66</v>
      </c>
      <c r="R470" s="54">
        <f>VLOOKUP(B470,'Player Data'!$A1:$AE667,6,FALSE)</f>
        <v>16.651405615790999</v>
      </c>
      <c r="S470" s="56">
        <f>VLOOKUP(B470,'Player Data'!$A1:$AE667,7,FALSE)*$Q470*IFERROR((VLOOKUP(P470,Settings!$E$28:$F$33,2,FALSE)+1),1)</f>
        <v>2.9738021929229537</v>
      </c>
      <c r="T470" s="56">
        <f>VLOOKUP(B470,'Player Data'!$A1:$AE667,8,FALSE)*$Q470*IFERROR((VLOOKUP(P470,Settings!$E$28:$F$33,2,FALSE)+1),1)</f>
        <v>8.9948274664051837</v>
      </c>
      <c r="U470" s="56">
        <f>SUM(S470:T470)</f>
        <v>11.968629659328137</v>
      </c>
      <c r="V470" s="56">
        <f>VLOOKUP(B470,'Player Data'!$A1:$AE667,10,FALSE)*$Q470*IFERROR(((VLOOKUP(P470,Settings!$E$28:$F$33,2,FALSE)/2)+1),1)</f>
        <v>73.496125496269897</v>
      </c>
      <c r="W470" s="56">
        <f>VLOOKUP(B470,'Player Data'!$A1:$AE667,11,FALSE)*$Q470*IFERROR((VLOOKUP(P470,Settings!$E$28:$F$33,2,FALSE)+1),1)</f>
        <v>1.0860970821180123E-2</v>
      </c>
      <c r="X470" s="56">
        <f>VLOOKUP(B470,'Player Data'!$A1:$AE667,12,FALSE)*$Q470*IFERROR((VLOOKUP(P470,Settings!$E$28:$F$33,2,FALSE)+1),1)</f>
        <v>7.1821709917328586E-2</v>
      </c>
      <c r="Y470" s="56">
        <f>VLOOKUP(B470,'Player Data'!$A1:$AE667,13,FALSE)*$Q470</f>
        <v>3.7857758527893075E-2</v>
      </c>
      <c r="Z470" s="56">
        <f>VLOOKUP(B470,'Player Data'!$A1:$AE667,14,FALSE)*$Q470</f>
        <v>0.17045430957928048</v>
      </c>
      <c r="AA470" s="56">
        <f>VLOOKUP(B470,'Player Data'!$A1:$AE667,15,FALSE)*$Q470</f>
        <v>105.78771545533459</v>
      </c>
      <c r="AB470" s="56">
        <f>VLOOKUP(B470,'Player Data'!$A1:$AE667,16,FALSE)*$Q470</f>
        <v>116.79318809164829</v>
      </c>
      <c r="AC470" s="56">
        <f>VLOOKUP(B470,'Player Data'!$A1:$AE667,17,FALSE)*$Q470*IFERROR((VLOOKUP(P470,Settings!$E$28:$F$33,2,FALSE)+1),1)</f>
        <v>0.90284917878248772</v>
      </c>
      <c r="AD470" s="56">
        <f>VLOOKUP(B470,'Player Data'!$A1:$AE667,18,FALSE)*$Q470</f>
        <v>29.735712473721879</v>
      </c>
      <c r="AE470" s="56">
        <f>VLOOKUP(B470,'Player Data'!$A1:$AE667,19,FALSE)*$Q470*IFERROR((VLOOKUP(P470,Settings!$E$28:$F$33,2,FALSE)+1),1)</f>
        <v>0.44431773239479566</v>
      </c>
      <c r="AF470" s="56">
        <f>VLOOKUP(B470,'Player Data'!$A1:$AE667,20,FALSE)*$Q470</f>
        <v>0</v>
      </c>
      <c r="AG470" s="56">
        <f>VLOOKUP(B470,'Player Data'!$A1:$AE667,21,FALSE)*$Q470</f>
        <v>0</v>
      </c>
      <c r="AH470" s="58">
        <f>VLOOKUP(B470,'Player Data'!$A1:$AE667,22,FALSE)</f>
        <v>0</v>
      </c>
      <c r="AI470" s="54"/>
      <c r="AJ470" s="56"/>
      <c r="AK470" s="56"/>
      <c r="AL470" s="56"/>
      <c r="AM470" s="56"/>
      <c r="AN470" s="56"/>
      <c r="AO470" s="56"/>
      <c r="AP470" s="56"/>
      <c r="AQ470" s="59"/>
      <c r="AR470" s="60"/>
      <c r="AS470" s="64"/>
    </row>
    <row r="471" spans="1:45" ht="21.25" customHeight="1" x14ac:dyDescent="0.15">
      <c r="A471" s="45">
        <f>RANK(K471,K$1:K$665)</f>
        <v>470</v>
      </c>
      <c r="B471" s="9" t="s">
        <v>596</v>
      </c>
      <c r="C471" s="46" t="s">
        <v>127</v>
      </c>
      <c r="D471" s="47" t="str">
        <f>VLOOKUP(B471,'Player Data'!A1:D667,4,FALSE)</f>
        <v>C/LW</v>
      </c>
      <c r="E471" s="68">
        <f>VLOOKUP(B471,LW!A1:C152,3,FALSE)</f>
        <v>110</v>
      </c>
      <c r="F471" s="71" t="str">
        <f>VLOOKUP(B471,'Player Data'!A1:B667,2,FALSE)</f>
        <v>VAN</v>
      </c>
      <c r="G471" s="10">
        <f>VLOOKUP(B471,'Player Data'!A1:D667,3,FALSE)</f>
        <v>28</v>
      </c>
      <c r="H471" s="50">
        <f>IFERROR(VLOOKUP(B471,ADP!A1:G665,7,FALSE)/1000000,VLOOKUP(B471,ADP!A1:G665,7,FALSE))</f>
        <v>3.25</v>
      </c>
      <c r="I471" s="51">
        <f>IF(Settings!$E$15="POINTS",((R471*Q471)*Settings!$B$12)+(S471*Settings!$B$2)+(T471*Settings!$B$3)+(U471*Settings!$B$4)+(V471*Settings!$B$5)+(X471*Settings!$B$9)+(AA471*Settings!$B$6)+(W471*Settings!$B$8)+(AB471*Settings!$B$7)+(AC471*Settings!$B$14)+(AD471*Settings!$B$15)+(AE471*Settings!$B$16)+(AF471*Settings!$B$17)+(AG471*Settings!$B$18)+(Y471*Settings!$B$10)+(Z471*Settings!$B$11),VLOOKUP(B471,'Standard Deviations'!A1:C666,3,FALSE))</f>
        <v>169.89961857443333</v>
      </c>
      <c r="J471" s="52">
        <f>IF(D471="G",I471/AJ471,I471/Q471)</f>
        <v>2.3259582254012368</v>
      </c>
      <c r="K471" s="51">
        <f>IF(Settings!$E$18="C/LW/RW",VLOOKUP(B471,LW!A1:F152,6,FALSE),VLOOKUP(B471,F!A1:F392,6,FALSE))</f>
        <v>-211.16189372806642</v>
      </c>
      <c r="L471" s="53">
        <f>IFERROR(K471/H471,"N/A")</f>
        <v>-64.972890377866591</v>
      </c>
      <c r="M471" s="54">
        <f>IF(Settings!$E$9="YAHOO",VLOOKUP(B471,ADP!A1:E665,2,FALSE),IF(Settings!$E$9="ESPN",VLOOKUP(B471,ADP!A1:E665,3,FALSE),IF(Settings!$E$9="FANTRAX",VLOOKUP(B471,ADP!A1:E665,4,FALSE),VLOOKUP(B471,ADP!A1:E665,5,FALSE))))</f>
        <v>176</v>
      </c>
      <c r="N471" s="54">
        <f>IFERROR(M471-A471,"N/A")</f>
        <v>-294</v>
      </c>
      <c r="O471" s="54"/>
      <c r="P471" s="55" t="str">
        <f>IF(Settings!$E$27="ON",VLOOKUP(B471,ADP!A1:H665,8,FALSE)," ")</f>
        <v xml:space="preserve"> </v>
      </c>
      <c r="Q471" s="56">
        <f>IF(Settings!$E$12="YES",VLOOKUP(B471,'Player Data'!A1:E667,5,FALSE),82)</f>
        <v>73.045000000000002</v>
      </c>
      <c r="R471" s="54">
        <f>VLOOKUP(B471,'Player Data'!$A1:$AE667,6,FALSE)</f>
        <v>14.760235639764799</v>
      </c>
      <c r="S471" s="56">
        <f>VLOOKUP(B471,'Player Data'!$A1:$AE667,7,FALSE)*$Q471*IFERROR((VLOOKUP(P471,Settings!$E$28:$F$33,2,FALSE)+1),1)</f>
        <v>15.889727694591244</v>
      </c>
      <c r="T471" s="56">
        <f>VLOOKUP(B471,'Player Data'!$A1:$AE667,8,FALSE)*$Q471*IFERROR((VLOOKUP(P471,Settings!$E$28:$F$33,2,FALSE)+1),1)</f>
        <v>16.061309460373156</v>
      </c>
      <c r="U471" s="56">
        <f>SUM(S471:T471)</f>
        <v>31.9510371549644</v>
      </c>
      <c r="V471" s="56">
        <f>VLOOKUP(B471,'Player Data'!$A1:$AE667,10,FALSE)*$Q471*IFERROR(((VLOOKUP(P471,Settings!$E$28:$F$33,2,FALSE)/2)+1),1)</f>
        <v>100.07473201016241</v>
      </c>
      <c r="W471" s="56">
        <f>VLOOKUP(B471,'Player Data'!$A1:$AE667,11,FALSE)*$Q471*IFERROR((VLOOKUP(P471,Settings!$E$28:$F$33,2,FALSE)+1),1)</f>
        <v>0.84796597943880847</v>
      </c>
      <c r="X471" s="56">
        <f>VLOOKUP(B471,'Player Data'!$A1:$AE667,12,FALSE)*$Q471*IFERROR((VLOOKUP(P471,Settings!$E$28:$F$33,2,FALSE)+1),1)</f>
        <v>1.3455525785276328</v>
      </c>
      <c r="Y471" s="56">
        <f>VLOOKUP(B471,'Player Data'!$A1:$AE667,13,FALSE)*$Q471</f>
        <v>0.54378726731623106</v>
      </c>
      <c r="Z471" s="56">
        <f>VLOOKUP(B471,'Player Data'!$A1:$AE667,14,FALSE)*$Q471</f>
        <v>0.69910380870737088</v>
      </c>
      <c r="AA471" s="56">
        <f>VLOOKUP(B471,'Player Data'!$A1:$AE667,15,FALSE)*$Q471</f>
        <v>43.928969434447822</v>
      </c>
      <c r="AB471" s="56">
        <f>VLOOKUP(B471,'Player Data'!$A1:$AE667,16,FALSE)*$Q471</f>
        <v>246.6872665273996</v>
      </c>
      <c r="AC471" s="56">
        <f>VLOOKUP(B471,'Player Data'!$A1:$AE667,17,FALSE)*$Q471*IFERROR((VLOOKUP(P471,Settings!$E$28:$F$33,2,FALSE)+1),1)</f>
        <v>5.0881390270219002</v>
      </c>
      <c r="AD471" s="56">
        <f>VLOOKUP(B471,'Player Data'!$A1:$AE667,18,FALSE)*$Q471</f>
        <v>51.086667478934665</v>
      </c>
      <c r="AE471" s="56">
        <f>VLOOKUP(B471,'Player Data'!$A1:$AE667,19,FALSE)*$Q471*IFERROR((VLOOKUP(P471,Settings!$E$28:$F$33,2,FALSE)+1),1)</f>
        <v>2.7135555898873145</v>
      </c>
      <c r="AF471" s="56">
        <f>VLOOKUP(B471,'Player Data'!$A1:$AE667,20,FALSE)*$Q471</f>
        <v>45.600369685916512</v>
      </c>
      <c r="AG471" s="56">
        <f>VLOOKUP(B471,'Player Data'!$A1:$AE667,21,FALSE)*$Q471</f>
        <v>44.9843934948602</v>
      </c>
      <c r="AH471" s="58">
        <f>VLOOKUP(B471,'Player Data'!$A1:$AE667,22,FALSE)</f>
        <v>0.50339999890393805</v>
      </c>
      <c r="AI471" s="54"/>
      <c r="AJ471" s="56"/>
      <c r="AK471" s="56"/>
      <c r="AL471" s="56"/>
      <c r="AM471" s="56"/>
      <c r="AN471" s="56"/>
      <c r="AO471" s="56"/>
      <c r="AP471" s="56"/>
      <c r="AQ471" s="59"/>
      <c r="AR471" s="60"/>
      <c r="AS471" s="64"/>
    </row>
    <row r="472" spans="1:45" ht="21.25" customHeight="1" x14ac:dyDescent="0.15">
      <c r="A472" s="45">
        <f>RANK(K472,K$1:K$665)</f>
        <v>471</v>
      </c>
      <c r="B472" s="9" t="s">
        <v>597</v>
      </c>
      <c r="C472" s="46" t="s">
        <v>127</v>
      </c>
      <c r="D472" s="47" t="str">
        <f>VLOOKUP(B472,'Player Data'!A1:D667,4,FALSE)</f>
        <v>D</v>
      </c>
      <c r="E472" s="66">
        <f>VLOOKUP(B472,D!A1:C213,3,FALSE)</f>
        <v>181</v>
      </c>
      <c r="F472" s="55" t="str">
        <f>VLOOKUP(B472,'Player Data'!A1:B667,2,FALSE)</f>
        <v>WPG</v>
      </c>
      <c r="G472" s="63">
        <f>VLOOKUP(B472,'Player Data'!A1:D667,3,FALSE)</f>
        <v>31</v>
      </c>
      <c r="H472" s="50">
        <f>IFERROR(VLOOKUP(B472,ADP!A1:G665,7,FALSE)/1000000,VLOOKUP(B472,ADP!A1:G665,7,FALSE))</f>
        <v>1.5</v>
      </c>
      <c r="I472" s="51">
        <f>IF(Settings!$E$15="POINTS",((R472*Q472)*Settings!$B$12)+(S472*Settings!$B$2)+(T472*Settings!$B$3)+(U472*Settings!$B$4)+(V472*Settings!$B$5)+(X472*Settings!$B$9)+(AA472*Settings!$B$6)+(W472*Settings!$B$8)+(AB472*Settings!$B$7)+(AC472*Settings!$B$14)+(AD472*Settings!$B$15)+(AE472*Settings!$B$16)+(AF472*Settings!$B$17)+(AG472*Settings!$B$18)+(U472*Settings!$B$13)+(Y472*Settings!$B$10)+(Z472*Settings!$B$11),VLOOKUP(B472,'Standard Deviations'!A1:C666,3,FALSE))</f>
        <v>124.75091830240865</v>
      </c>
      <c r="J472" s="52">
        <f>IF(D472="G",I472/AJ472,I472/Q472)</f>
        <v>1.7613344859328459</v>
      </c>
      <c r="K472" s="51">
        <f>VLOOKUP(B472,D!A1:F213,6,FALSE)</f>
        <v>-211.48320674318626</v>
      </c>
      <c r="L472" s="53">
        <f>IFERROR(K472/H472,"N/A")</f>
        <v>-140.98880449545752</v>
      </c>
      <c r="M472" s="83" t="str">
        <f>IF(Settings!$E$9="YAHOO",VLOOKUP(B472,ADP!A1:E665,2,FALSE),IF(Settings!$E$9="ESPN",VLOOKUP(B472,ADP!A1:E665,3,FALSE),IF(Settings!$E$9="FANTRAX",VLOOKUP(B472,ADP!A1:E665,4,FALSE),VLOOKUP(B472,ADP!A1:E665,5,FALSE))))</f>
        <v>—</v>
      </c>
      <c r="N472" s="83" t="str">
        <f>IFERROR(M472-A472,"N/A")</f>
        <v>N/A</v>
      </c>
      <c r="O472" s="54"/>
      <c r="P472" s="55" t="str">
        <f>IF(Settings!$E$27="ON",VLOOKUP(B472,ADP!A1:H665,8,FALSE)," ")</f>
        <v xml:space="preserve"> </v>
      </c>
      <c r="Q472" s="56">
        <f>IF(Settings!$E$12="YES",VLOOKUP(B472,'Player Data'!A1:E667,5,FALSE),82)</f>
        <v>70.827500000000001</v>
      </c>
      <c r="R472" s="54">
        <f>VLOOKUP(B472,'Player Data'!$A1:$AE667,6,FALSE)</f>
        <v>15.705773524592599</v>
      </c>
      <c r="S472" s="56">
        <f>VLOOKUP(B472,'Player Data'!$A1:$AE667,7,FALSE)*$Q472*IFERROR((VLOOKUP(P472,Settings!$E$28:$F$33,2,FALSE)+1),1)</f>
        <v>4.101762565713285</v>
      </c>
      <c r="T472" s="56">
        <f>VLOOKUP(B472,'Player Data'!$A1:$AE667,8,FALSE)*$Q472*IFERROR((VLOOKUP(P472,Settings!$E$28:$F$33,2,FALSE)+1),1)</f>
        <v>11.097311757748615</v>
      </c>
      <c r="U472" s="56">
        <f>SUM(S472:T472)</f>
        <v>15.1990743234619</v>
      </c>
      <c r="V472" s="56">
        <f>VLOOKUP(B472,'Player Data'!$A1:$AE667,10,FALSE)*$Q472*IFERROR(((VLOOKUP(P472,Settings!$E$28:$F$33,2,FALSE)/2)+1),1)</f>
        <v>88.04849724821733</v>
      </c>
      <c r="W472" s="56">
        <f>VLOOKUP(B472,'Player Data'!$A1:$AE667,11,FALSE)*$Q472*IFERROR((VLOOKUP(P472,Settings!$E$28:$F$33,2,FALSE)+1),1)</f>
        <v>0.16710819569939386</v>
      </c>
      <c r="X472" s="56">
        <f>VLOOKUP(B472,'Player Data'!$A1:$AE667,12,FALSE)*$Q472*IFERROR((VLOOKUP(P472,Settings!$E$28:$F$33,2,FALSE)+1),1)</f>
        <v>0.89182294853754918</v>
      </c>
      <c r="Y472" s="56">
        <f>VLOOKUP(B472,'Player Data'!$A1:$AE667,13,FALSE)*$Q472</f>
        <v>2.4456306144114613E-2</v>
      </c>
      <c r="Z472" s="56">
        <f>VLOOKUP(B472,'Player Data'!$A1:$AE667,14,FALSE)*$Q472</f>
        <v>0.12201902852007795</v>
      </c>
      <c r="AA472" s="56">
        <f>VLOOKUP(B472,'Player Data'!$A1:$AE667,15,FALSE)*$Q472</f>
        <v>68.231209461713306</v>
      </c>
      <c r="AB472" s="56">
        <f>VLOOKUP(B472,'Player Data'!$A1:$AE667,16,FALSE)*$Q472</f>
        <v>110.23751547711909</v>
      </c>
      <c r="AC472" s="56">
        <f>VLOOKUP(B472,'Player Data'!$A1:$AE667,17,FALSE)*$Q472*IFERROR((VLOOKUP(P472,Settings!$E$28:$F$33,2,FALSE)+1),1)</f>
        <v>0.91726841919215063</v>
      </c>
      <c r="AD472" s="56">
        <f>VLOOKUP(B472,'Player Data'!$A1:$AE667,18,FALSE)*$Q472</f>
        <v>32.4448257142217</v>
      </c>
      <c r="AE472" s="56">
        <f>VLOOKUP(B472,'Player Data'!$A1:$AE667,19,FALSE)*$Q472*IFERROR((VLOOKUP(P472,Settings!$E$28:$F$33,2,FALSE)+1),1)</f>
        <v>0.68182187247338633</v>
      </c>
      <c r="AF472" s="56">
        <f>VLOOKUP(B472,'Player Data'!$A1:$AE667,20,FALSE)*$Q472</f>
        <v>0</v>
      </c>
      <c r="AG472" s="56">
        <f>VLOOKUP(B472,'Player Data'!$A1:$AE667,21,FALSE)*$Q472</f>
        <v>0</v>
      </c>
      <c r="AH472" s="58">
        <f>VLOOKUP(B472,'Player Data'!$A1:$AE667,22,FALSE)</f>
        <v>0</v>
      </c>
      <c r="AI472" s="54"/>
      <c r="AJ472" s="56"/>
      <c r="AK472" s="56"/>
      <c r="AL472" s="56"/>
      <c r="AM472" s="56"/>
      <c r="AN472" s="56"/>
      <c r="AO472" s="56"/>
      <c r="AP472" s="56"/>
      <c r="AQ472" s="59"/>
      <c r="AR472" s="60"/>
      <c r="AS472" s="54"/>
    </row>
    <row r="473" spans="1:45" ht="21.25" customHeight="1" x14ac:dyDescent="0.15">
      <c r="A473" s="45">
        <f>RANK(K473,K$1:K$665)</f>
        <v>472</v>
      </c>
      <c r="B473" s="9" t="s">
        <v>598</v>
      </c>
      <c r="C473" s="46" t="s">
        <v>127</v>
      </c>
      <c r="D473" s="47" t="str">
        <f>VLOOKUP(B473,'Player Data'!A1:D667,4,FALSE)</f>
        <v>RW</v>
      </c>
      <c r="E473" s="61">
        <f>VLOOKUP(B473,RW!A1:F136,3,FALSE)</f>
        <v>98</v>
      </c>
      <c r="F473" s="72" t="str">
        <f>VLOOKUP(B473,'Player Data'!A1:B667,2,FALSE)</f>
        <v>L.A</v>
      </c>
      <c r="G473" s="69">
        <f>VLOOKUP(B473,'Player Data'!A1:D667,3,FALSE)</f>
        <v>23</v>
      </c>
      <c r="H473" s="65" t="str">
        <f>IFERROR(VLOOKUP(B473,ADP!A1:G665,7,FALSE)/1000000,VLOOKUP(B473,ADP!A1:G665,7,FALSE))</f>
        <v>RFA</v>
      </c>
      <c r="I473" s="51">
        <f>IF(Settings!$E$15="POINTS",((R473*Q473)*Settings!$B$12)+(S473*Settings!$B$2)+(T473*Settings!$B$3)+(U473*Settings!$B$4)+(V473*Settings!$B$5)+(X473*Settings!$B$9)+(AA473*Settings!$B$6)+(W473*Settings!$B$8)+(AB473*Settings!$B$7)+(AC473*Settings!$B$14)+(AD473*Settings!$B$15)+(AE473*Settings!$B$16)+(AF473*Settings!$B$17)+(AG473*Settings!$B$18)+(Y473*Settings!$B$10)+(Z473*Settings!$B$11),VLOOKUP(B473,'Standard Deviations'!A1:C666,3,FALSE))</f>
        <v>157.31618519136515</v>
      </c>
      <c r="J473" s="52">
        <f>IF(D473="G",I473/AJ473,I473/Q473)</f>
        <v>2.1623474820984181</v>
      </c>
      <c r="K473" s="51">
        <f>IF(Settings!$E$18="C/LW/RW",VLOOKUP(B473,RW!A1:F136,6,FALSE),VLOOKUP(B473,F!A1:F392,6,FALSE))</f>
        <v>-211.53153791492724</v>
      </c>
      <c r="L473" s="76" t="str">
        <f>IFERROR(K473/H473,"N/A")</f>
        <v>N/A</v>
      </c>
      <c r="M473" s="83" t="str">
        <f>IF(Settings!$E$9="YAHOO",VLOOKUP(B473,ADP!A1:E665,2,FALSE),IF(Settings!$E$9="ESPN",VLOOKUP(B473,ADP!A1:E665,3,FALSE),IF(Settings!$E$9="FANTRAX",VLOOKUP(B473,ADP!A1:E665,4,FALSE),VLOOKUP(B473,ADP!A1:E665,5,FALSE))))</f>
        <v>—</v>
      </c>
      <c r="N473" s="83" t="str">
        <f>IFERROR(M473-A473,"N/A")</f>
        <v>N/A</v>
      </c>
      <c r="O473" s="54"/>
      <c r="P473" s="55" t="str">
        <f>IF(Settings!$E$27="ON",VLOOKUP(B473,ADP!A1:H665,8,FALSE)," ")</f>
        <v xml:space="preserve"> </v>
      </c>
      <c r="Q473" s="56">
        <f>IF(Settings!$E$12="YES",VLOOKUP(B473,'Player Data'!A1:E667,5,FALSE),82)</f>
        <v>72.752499999999998</v>
      </c>
      <c r="R473" s="54">
        <f>VLOOKUP(B473,'Player Data'!$A1:$AE667,6,FALSE)</f>
        <v>11.4975744491935</v>
      </c>
      <c r="S473" s="56">
        <f>VLOOKUP(B473,'Player Data'!$A1:$AE667,7,FALSE)*$Q473*IFERROR((VLOOKUP(P473,Settings!$E$28:$F$33,2,FALSE)+1),1)</f>
        <v>10.639680975023747</v>
      </c>
      <c r="T473" s="56">
        <f>VLOOKUP(B473,'Player Data'!$A1:$AE667,8,FALSE)*$Q473*IFERROR((VLOOKUP(P473,Settings!$E$28:$F$33,2,FALSE)+1),1)</f>
        <v>13.752881616468967</v>
      </c>
      <c r="U473" s="56">
        <f>SUM(S473:T473)</f>
        <v>24.392562591492712</v>
      </c>
      <c r="V473" s="56">
        <f>VLOOKUP(B473,'Player Data'!$A1:$AE667,10,FALSE)*$Q473*IFERROR(((VLOOKUP(P473,Settings!$E$28:$F$33,2,FALSE)/2)+1),1)</f>
        <v>136.09410669855234</v>
      </c>
      <c r="W473" s="56">
        <f>VLOOKUP(B473,'Player Data'!$A1:$AE667,11,FALSE)*$Q473*IFERROR((VLOOKUP(P473,Settings!$E$28:$F$33,2,FALSE)+1),1)</f>
        <v>3.7386117471800016</v>
      </c>
      <c r="X473" s="56">
        <f>VLOOKUP(B473,'Player Data'!$A1:$AE667,12,FALSE)*$Q473*IFERROR((VLOOKUP(P473,Settings!$E$28:$F$33,2,FALSE)+1),1)</f>
        <v>5.807962443062177</v>
      </c>
      <c r="Y473" s="56">
        <f>VLOOKUP(B473,'Player Data'!$A1:$AE667,13,FALSE)*$Q473</f>
        <v>0</v>
      </c>
      <c r="Z473" s="56">
        <f>VLOOKUP(B473,'Player Data'!$A1:$AE667,14,FALSE)*$Q473</f>
        <v>0</v>
      </c>
      <c r="AA473" s="56">
        <f>VLOOKUP(B473,'Player Data'!$A1:$AE667,15,FALSE)*$Q473</f>
        <v>20.566963249097334</v>
      </c>
      <c r="AB473" s="56">
        <f>VLOOKUP(B473,'Player Data'!$A1:$AE667,16,FALSE)*$Q473</f>
        <v>61.414916671277531</v>
      </c>
      <c r="AC473" s="56">
        <f>VLOOKUP(B473,'Player Data'!$A1:$AE667,17,FALSE)*$Q473*IFERROR((VLOOKUP(P473,Settings!$E$28:$F$33,2,FALSE)+1),1)</f>
        <v>2.1338822561581856</v>
      </c>
      <c r="AD473" s="56">
        <f>VLOOKUP(B473,'Player Data'!$A1:$AE667,18,FALSE)*$Q473</f>
        <v>20.178446420033413</v>
      </c>
      <c r="AE473" s="56">
        <f>VLOOKUP(B473,'Player Data'!$A1:$AE667,19,FALSE)*$Q473*IFERROR((VLOOKUP(P473,Settings!$E$28:$F$33,2,FALSE)+1),1)</f>
        <v>1.8961153186509327</v>
      </c>
      <c r="AF473" s="56">
        <f>VLOOKUP(B473,'Player Data'!$A1:$AE667,20,FALSE)*$Q473</f>
        <v>0</v>
      </c>
      <c r="AG473" s="56">
        <f>VLOOKUP(B473,'Player Data'!$A1:$AE667,21,FALSE)*$Q473</f>
        <v>0.8852085297933292</v>
      </c>
      <c r="AH473" s="58">
        <f>VLOOKUP(B473,'Player Data'!$A1:$AE667,22,FALSE)</f>
        <v>0</v>
      </c>
      <c r="AI473" s="54"/>
      <c r="AJ473" s="56"/>
      <c r="AK473" s="56"/>
      <c r="AL473" s="56"/>
      <c r="AM473" s="56"/>
      <c r="AN473" s="56"/>
      <c r="AO473" s="56"/>
      <c r="AP473" s="56"/>
      <c r="AQ473" s="59"/>
      <c r="AR473" s="60"/>
      <c r="AS473" s="54"/>
    </row>
    <row r="474" spans="1:45" ht="21.25" customHeight="1" x14ac:dyDescent="0.15">
      <c r="A474" s="45">
        <f>RANK(K474,K$1:K$665)</f>
        <v>473</v>
      </c>
      <c r="B474" s="9" t="s">
        <v>599</v>
      </c>
      <c r="C474" s="46" t="s">
        <v>127</v>
      </c>
      <c r="D474" s="47" t="str">
        <f>VLOOKUP(B474,'Player Data'!A1:D667,4,FALSE)</f>
        <v>LW</v>
      </c>
      <c r="E474" s="70">
        <f>VLOOKUP(B474,LW!A1:C152,3,FALSE)</f>
        <v>111</v>
      </c>
      <c r="F474" s="72" t="str">
        <f>VLOOKUP(B474,'Player Data'!A1:B667,2,FALSE)</f>
        <v>MIN</v>
      </c>
      <c r="G474" s="63">
        <f>VLOOKUP(B474,'Player Data'!A1:D667,3,FALSE)</f>
        <v>33</v>
      </c>
      <c r="H474" s="67">
        <f>IFERROR(VLOOKUP(B474,ADP!A1:G665,7,FALSE)/1000000,VLOOKUP(B474,ADP!A1:G665,7,FALSE))</f>
        <v>2</v>
      </c>
      <c r="I474" s="51">
        <f>IF(Settings!$E$15="POINTS",((R474*Q474)*Settings!$B$12)+(S474*Settings!$B$2)+(T474*Settings!$B$3)+(U474*Settings!$B$4)+(V474*Settings!$B$5)+(X474*Settings!$B$9)+(AA474*Settings!$B$6)+(W474*Settings!$B$8)+(AB474*Settings!$B$7)+(AC474*Settings!$B$14)+(AD474*Settings!$B$15)+(AE474*Settings!$B$16)+(AF474*Settings!$B$17)+(AG474*Settings!$B$18)+(Y474*Settings!$B$10)+(Z474*Settings!$B$11),VLOOKUP(B474,'Standard Deviations'!A1:C666,3,FALSE))</f>
        <v>169.50300815995635</v>
      </c>
      <c r="J474" s="52">
        <f>IF(D474="G",I474/AJ474,I474/Q474)</f>
        <v>2.1255628335313355</v>
      </c>
      <c r="K474" s="51">
        <f>IF(Settings!$E$18="C/LW/RW",VLOOKUP(B474,LW!A1:F152,6,FALSE),VLOOKUP(B474,F!A1:F392,6,FALSE))</f>
        <v>-211.5585041425434</v>
      </c>
      <c r="L474" s="53">
        <f>IFERROR(K474/H474,"N/A")</f>
        <v>-105.7792520712717</v>
      </c>
      <c r="M474" s="83" t="str">
        <f>IF(Settings!$E$9="YAHOO",VLOOKUP(B474,ADP!A1:E665,2,FALSE),IF(Settings!$E$9="ESPN",VLOOKUP(B474,ADP!A1:E665,3,FALSE),IF(Settings!$E$9="FANTRAX",VLOOKUP(B474,ADP!A1:E665,4,FALSE),VLOOKUP(B474,ADP!A1:E665,5,FALSE))))</f>
        <v>—</v>
      </c>
      <c r="N474" s="83" t="str">
        <f>IFERROR(M474-A474,"N/A")</f>
        <v>N/A</v>
      </c>
      <c r="O474" s="54"/>
      <c r="P474" s="55" t="str">
        <f>IF(Settings!$E$27="ON",VLOOKUP(B474,ADP!A1:H665,8,FALSE)," ")</f>
        <v xml:space="preserve"> </v>
      </c>
      <c r="Q474" s="56">
        <f>IF(Settings!$E$12="YES",VLOOKUP(B474,'Player Data'!A1:E667,5,FALSE),82)</f>
        <v>79.745000000000005</v>
      </c>
      <c r="R474" s="54">
        <f>VLOOKUP(B474,'Player Data'!$A1:$AE667,6,FALSE)</f>
        <v>15.471921025176901</v>
      </c>
      <c r="S474" s="56">
        <f>VLOOKUP(B474,'Player Data'!$A1:$AE667,7,FALSE)*$Q474*IFERROR((VLOOKUP(P474,Settings!$E$28:$F$33,2,FALSE)+1),1)</f>
        <v>11.681841932631269</v>
      </c>
      <c r="T474" s="56">
        <f>VLOOKUP(B474,'Player Data'!$A1:$AE667,8,FALSE)*$Q474*IFERROR((VLOOKUP(P474,Settings!$E$28:$F$33,2,FALSE)+1),1)</f>
        <v>18.514855764540652</v>
      </c>
      <c r="U474" s="56">
        <f>SUM(S474:T474)</f>
        <v>30.196697697171921</v>
      </c>
      <c r="V474" s="56">
        <f>VLOOKUP(B474,'Player Data'!$A1:$AE667,10,FALSE)*$Q474*IFERROR(((VLOOKUP(P474,Settings!$E$28:$F$33,2,FALSE)/2)+1),1)</f>
        <v>116.52942599797086</v>
      </c>
      <c r="W474" s="56">
        <f>VLOOKUP(B474,'Player Data'!$A1:$AE667,11,FALSE)*$Q474*IFERROR((VLOOKUP(P474,Settings!$E$28:$F$33,2,FALSE)+1),1)</f>
        <v>1.5845884256878116</v>
      </c>
      <c r="X474" s="56">
        <f>VLOOKUP(B474,'Player Data'!$A1:$AE667,12,FALSE)*$Q474*IFERROR((VLOOKUP(P474,Settings!$E$28:$F$33,2,FALSE)+1),1)</f>
        <v>6.0689992516912064</v>
      </c>
      <c r="Y474" s="56">
        <f>VLOOKUP(B474,'Player Data'!$A1:$AE667,13,FALSE)*$Q474</f>
        <v>0.17752412127179024</v>
      </c>
      <c r="Z474" s="56">
        <f>VLOOKUP(B474,'Player Data'!$A1:$AE667,14,FALSE)*$Q474</f>
        <v>0.22092660667653227</v>
      </c>
      <c r="AA474" s="56">
        <f>VLOOKUP(B474,'Player Data'!$A1:$AE667,15,FALSE)*$Q474</f>
        <v>28.716552422174882</v>
      </c>
      <c r="AB474" s="56">
        <f>VLOOKUP(B474,'Player Data'!$A1:$AE667,16,FALSE)*$Q474</f>
        <v>42.976424726263403</v>
      </c>
      <c r="AC474" s="56">
        <f>VLOOKUP(B474,'Player Data'!$A1:$AE667,17,FALSE)*$Q474*IFERROR((VLOOKUP(P474,Settings!$E$28:$F$33,2,FALSE)+1),1)</f>
        <v>-0.2670307701383125</v>
      </c>
      <c r="AD474" s="56">
        <f>VLOOKUP(B474,'Player Data'!$A1:$AE667,18,FALSE)*$Q474</f>
        <v>16.898063843862076</v>
      </c>
      <c r="AE474" s="56">
        <f>VLOOKUP(B474,'Player Data'!$A1:$AE667,19,FALSE)*$Q474*IFERROR((VLOOKUP(P474,Settings!$E$28:$F$33,2,FALSE)+1),1)</f>
        <v>1.9284282685375198</v>
      </c>
      <c r="AF474" s="56">
        <f>VLOOKUP(B474,'Player Data'!$A1:$AE667,20,FALSE)*$Q474</f>
        <v>14.777032350219203</v>
      </c>
      <c r="AG474" s="56">
        <f>VLOOKUP(B474,'Player Data'!$A1:$AE667,21,FALSE)*$Q474</f>
        <v>29.814608508561069</v>
      </c>
      <c r="AH474" s="58">
        <f>VLOOKUP(B474,'Player Data'!$A1:$AE667,22,FALSE)</f>
        <v>0.33138570515979399</v>
      </c>
      <c r="AI474" s="54"/>
      <c r="AJ474" s="56"/>
      <c r="AK474" s="56"/>
      <c r="AL474" s="56"/>
      <c r="AM474" s="56"/>
      <c r="AN474" s="56"/>
      <c r="AO474" s="56"/>
      <c r="AP474" s="56"/>
      <c r="AQ474" s="59"/>
      <c r="AR474" s="60"/>
      <c r="AS474" s="54"/>
    </row>
    <row r="475" spans="1:45" ht="21.25" customHeight="1" x14ac:dyDescent="0.15">
      <c r="A475" s="45">
        <f>RANK(K475,K$1:K$665)</f>
        <v>474</v>
      </c>
      <c r="B475" s="9" t="s">
        <v>600</v>
      </c>
      <c r="C475" s="46" t="s">
        <v>127</v>
      </c>
      <c r="D475" s="47" t="str">
        <f>VLOOKUP(B475,'Player Data'!A1:D667,4,FALSE)</f>
        <v>G</v>
      </c>
      <c r="E475" s="73">
        <f>VLOOKUP(B475,G!A1:D65,3,FALSE)</f>
        <v>42</v>
      </c>
      <c r="F475" s="71" t="str">
        <f>VLOOKUP(B475,'Player Data'!A1:B667,2,FALSE)</f>
        <v>UTA</v>
      </c>
      <c r="G475" s="10">
        <f>VLOOKUP(B475,'Player Data'!A1:D667,3,FALSE)</f>
        <v>28</v>
      </c>
      <c r="H475" s="67">
        <f>IFERROR(VLOOKUP(B475,ADP!A1:G665,7,FALSE)/1000000,VLOOKUP(B475,ADP!A1:G665,7,FALSE))</f>
        <v>2.7250000000000001</v>
      </c>
      <c r="I475" s="51">
        <f>IF(Settings!$E$15="POINTS",(AJ475*Settings!$B$29)+(AK475*Settings!$B$21)+(AL475*Settings!$B$22)+(AN475*Settings!$B$24)+(AO475*Settings!$B$25)+(AP475*Settings!$B$27)+(AM475*Settings!$B$23),VLOOKUP(B475,'Standard Deviations'!A1:C666,3,FALSE))</f>
        <v>199.00826660033721</v>
      </c>
      <c r="J475" s="52">
        <f>IF(D475="G",I475/AJ475,I475/Q475)</f>
        <v>6.2190083312605378</v>
      </c>
      <c r="K475" s="51">
        <f>VLOOKUP(B475,G!A1:F65,6,FALSE)</f>
        <v>-211.65147616908297</v>
      </c>
      <c r="L475" s="53">
        <f>IFERROR(K475/H475,"N/A")</f>
        <v>-77.670266484067142</v>
      </c>
      <c r="M475" s="54">
        <f>IF(Settings!$E$9="YAHOO",VLOOKUP(B475,ADP!A1:E665,2,FALSE),IF(Settings!$E$9="ESPN",VLOOKUP(B475,ADP!A1:E665,3,FALSE),IF(Settings!$E$9="FANTRAX",VLOOKUP(B475,ADP!A1:E665,4,FALSE),VLOOKUP(B475,ADP!A1:E665,5,FALSE))))</f>
        <v>187.5</v>
      </c>
      <c r="N475" s="54">
        <f>IFERROR(M475-A475,"N/A")</f>
        <v>-286.5</v>
      </c>
      <c r="O475" s="54"/>
      <c r="P475" s="55" t="str">
        <f>IF(Settings!$E$27="ON",VLOOKUP(B475,ADP!A1:H665,8,FALSE)," ")</f>
        <v xml:space="preserve"> </v>
      </c>
      <c r="Q475" s="56"/>
      <c r="R475" s="54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8"/>
      <c r="AI475" s="54"/>
      <c r="AJ475" s="64">
        <f>VLOOKUP(B475,'Player Data'!$A1:$AE667,24,FALSE)</f>
        <v>32</v>
      </c>
      <c r="AK475" s="56">
        <f>VLOOKUP(B475,'Player Data'!$A1:$AE667,25,FALSE)*$AJ475*IFERROR((VLOOKUP(P475,Settings!$E$28:$F$33,2,FALSE)+1),1)</f>
        <v>15.898930285304992</v>
      </c>
      <c r="AL475" s="56">
        <f>AJ475-AK475-AM475</f>
        <v>12.101069714695008</v>
      </c>
      <c r="AM475" s="56">
        <f>VLOOKUP(B475,'Player Data'!$A1:$AE667,27,FALSE)*$AJ475</f>
        <v>4</v>
      </c>
      <c r="AN475" s="56">
        <f>VLOOKUP(B475,'Player Data'!$A1:$AE667,28,FALSE)*AJ475</f>
        <v>1.279845951588656</v>
      </c>
      <c r="AO475" s="56">
        <f>VLOOKUP(B475,'Player Data'!$A1:$AE667,29,FALSE)*$AJ475*IFERROR((VLOOKUP(P475,Settings!$E$28:$F$33,2,FALSE)/4)+1,1)</f>
        <v>880.12551808857279</v>
      </c>
      <c r="AP475" s="56">
        <f>VLOOKUP(B475,'Player Data'!$A1:$AE667,31,FALSE)*$AJ475*(IFERROR(1-(VLOOKUP(P475,Settings!$E$28:$F$33,2,FALSE)/4),1))</f>
        <v>96.677043083817594</v>
      </c>
      <c r="AQ475" s="59">
        <f>1-(AP475/(AO475+AP475))</f>
        <v>0.9010270376771099</v>
      </c>
      <c r="AR475" s="60">
        <f>AP475/AJ475</f>
        <v>3.0211575963692998</v>
      </c>
      <c r="AS475" s="54"/>
    </row>
    <row r="476" spans="1:45" ht="21.25" customHeight="1" x14ac:dyDescent="0.15">
      <c r="A476" s="45">
        <f>RANK(K476,K$1:K$665)</f>
        <v>475</v>
      </c>
      <c r="B476" s="9" t="s">
        <v>601</v>
      </c>
      <c r="C476" s="46" t="s">
        <v>127</v>
      </c>
      <c r="D476" s="47" t="str">
        <f>VLOOKUP(B476,'Player Data'!A1:D667,4,FALSE)</f>
        <v>D</v>
      </c>
      <c r="E476" s="66">
        <f>VLOOKUP(B476,D!A1:C213,3,FALSE)</f>
        <v>182</v>
      </c>
      <c r="F476" s="72" t="str">
        <f>VLOOKUP(B476,'Player Data'!A1:B667,2,FALSE)</f>
        <v>MIN</v>
      </c>
      <c r="G476" s="63">
        <f>VLOOKUP(B476,'Player Data'!A1:D667,3,FALSE)</f>
        <v>34</v>
      </c>
      <c r="H476" s="50">
        <f>IFERROR(VLOOKUP(B476,ADP!A1:G665,7,FALSE)/1000000,VLOOKUP(B476,ADP!A1:G665,7,FALSE))</f>
        <v>1.25</v>
      </c>
      <c r="I476" s="51">
        <f>IF(Settings!$E$15="POINTS",((R476*Q476)*Settings!$B$12)+(S476*Settings!$B$2)+(T476*Settings!$B$3)+(U476*Settings!$B$4)+(V476*Settings!$B$5)+(X476*Settings!$B$9)+(AA476*Settings!$B$6)+(W476*Settings!$B$8)+(AB476*Settings!$B$7)+(AC476*Settings!$B$14)+(AD476*Settings!$B$15)+(AE476*Settings!$B$16)+(AF476*Settings!$B$17)+(AG476*Settings!$B$18)+(U476*Settings!$B$13)+(Y476*Settings!$B$10)+(Z476*Settings!$B$11),VLOOKUP(B476,'Standard Deviations'!A1:C666,3,FALSE))</f>
        <v>123.87443883481515</v>
      </c>
      <c r="J476" s="52">
        <f>IF(D476="G",I476/AJ476,I476/Q476)</f>
        <v>1.753043535606795</v>
      </c>
      <c r="K476" s="51">
        <f>VLOOKUP(B476,D!A1:F213,6,FALSE)</f>
        <v>-212.35968621077976</v>
      </c>
      <c r="L476" s="53">
        <f>IFERROR(K476/H476,"N/A")</f>
        <v>-169.88774896862381</v>
      </c>
      <c r="M476" s="83" t="str">
        <f>IF(Settings!$E$9="YAHOO",VLOOKUP(B476,ADP!A1:E665,2,FALSE),IF(Settings!$E$9="ESPN",VLOOKUP(B476,ADP!A1:E665,3,FALSE),IF(Settings!$E$9="FANTRAX",VLOOKUP(B476,ADP!A1:E665,4,FALSE),VLOOKUP(B476,ADP!A1:E665,5,FALSE))))</f>
        <v>—</v>
      </c>
      <c r="N476" s="83" t="str">
        <f>IFERROR(M476-A476,"N/A")</f>
        <v>N/A</v>
      </c>
      <c r="O476" s="54"/>
      <c r="P476" s="55" t="str">
        <f>IF(Settings!$E$27="ON",VLOOKUP(B476,ADP!A1:H665,8,FALSE)," ")</f>
        <v xml:space="preserve"> </v>
      </c>
      <c r="Q476" s="56">
        <f>IF(Settings!$E$12="YES",VLOOKUP(B476,'Player Data'!A1:E667,5,FALSE),82)</f>
        <v>70.662499999999994</v>
      </c>
      <c r="R476" s="54">
        <f>VLOOKUP(B476,'Player Data'!$A1:$AE667,6,FALSE)</f>
        <v>17.267623865116299</v>
      </c>
      <c r="S476" s="56">
        <f>VLOOKUP(B476,'Player Data'!$A1:$AE667,7,FALSE)*$Q476*IFERROR((VLOOKUP(P476,Settings!$E$28:$F$33,2,FALSE)+1),1)</f>
        <v>2.6834260889312991</v>
      </c>
      <c r="T476" s="56">
        <f>VLOOKUP(B476,'Player Data'!$A1:$AE667,8,FALSE)*$Q476*IFERROR((VLOOKUP(P476,Settings!$E$28:$F$33,2,FALSE)+1),1)</f>
        <v>9.5396430480872851</v>
      </c>
      <c r="U476" s="56">
        <f>SUM(S476:T476)</f>
        <v>12.223069137018584</v>
      </c>
      <c r="V476" s="56">
        <f>VLOOKUP(B476,'Player Data'!$A1:$AE667,10,FALSE)*$Q476*IFERROR(((VLOOKUP(P476,Settings!$E$28:$F$33,2,FALSE)/2)+1),1)</f>
        <v>84.574971628773014</v>
      </c>
      <c r="W476" s="56">
        <f>VLOOKUP(B476,'Player Data'!$A1:$AE667,11,FALSE)*$Q476*IFERROR((VLOOKUP(P476,Settings!$E$28:$F$33,2,FALSE)+1),1)</f>
        <v>1.804958663730134E-2</v>
      </c>
      <c r="X476" s="56">
        <f>VLOOKUP(B476,'Player Data'!$A1:$AE667,12,FALSE)*$Q476*IFERROR((VLOOKUP(P476,Settings!$E$28:$F$33,2,FALSE)+1),1)</f>
        <v>0.12225555981822253</v>
      </c>
      <c r="Y476" s="56">
        <f>VLOOKUP(B476,'Player Data'!$A1:$AE667,13,FALSE)*$Q476</f>
        <v>1.6076887106034252E-2</v>
      </c>
      <c r="Z476" s="56">
        <f>VLOOKUP(B476,'Player Data'!$A1:$AE667,14,FALSE)*$Q476</f>
        <v>0.40118896736746484</v>
      </c>
      <c r="AA476" s="56">
        <f>VLOOKUP(B476,'Player Data'!$A1:$AE667,15,FALSE)*$Q476</f>
        <v>88.788602164374439</v>
      </c>
      <c r="AB476" s="56">
        <f>VLOOKUP(B476,'Player Data'!$A1:$AE667,16,FALSE)*$Q476</f>
        <v>124.75377405561254</v>
      </c>
      <c r="AC476" s="56">
        <f>VLOOKUP(B476,'Player Data'!$A1:$AE667,17,FALSE)*$Q476*IFERROR((VLOOKUP(P476,Settings!$E$28:$F$33,2,FALSE)+1),1)</f>
        <v>0.25601396511110591</v>
      </c>
      <c r="AD476" s="56">
        <f>VLOOKUP(B476,'Player Data'!$A1:$AE667,18,FALSE)*$Q476</f>
        <v>43.670728659328766</v>
      </c>
      <c r="AE476" s="56">
        <f>VLOOKUP(B476,'Player Data'!$A1:$AE667,19,FALSE)*$Q476*IFERROR((VLOOKUP(P476,Settings!$E$28:$F$33,2,FALSE)+1),1)</f>
        <v>0.44297763625539877</v>
      </c>
      <c r="AF476" s="56">
        <f>VLOOKUP(B476,'Player Data'!$A1:$AE667,20,FALSE)*$Q476</f>
        <v>4.5493771686327282E-2</v>
      </c>
      <c r="AG476" s="56">
        <f>VLOOKUP(B476,'Player Data'!$A1:$AE667,21,FALSE)*$Q476</f>
        <v>0.1270982049502177</v>
      </c>
      <c r="AH476" s="58">
        <f>VLOOKUP(B476,'Player Data'!$A1:$AE667,22,FALSE)</f>
        <v>0.26359146336292899</v>
      </c>
      <c r="AI476" s="54"/>
      <c r="AJ476" s="56"/>
      <c r="AK476" s="56"/>
      <c r="AL476" s="56"/>
      <c r="AM476" s="56"/>
      <c r="AN476" s="56"/>
      <c r="AO476" s="56"/>
      <c r="AP476" s="56"/>
      <c r="AQ476" s="59"/>
      <c r="AR476" s="60"/>
      <c r="AS476" s="54"/>
    </row>
    <row r="477" spans="1:45" ht="21.25" customHeight="1" x14ac:dyDescent="0.15">
      <c r="A477" s="45">
        <f>RANK(K477,K$1:K$665)</f>
        <v>476</v>
      </c>
      <c r="B477" s="9" t="s">
        <v>602</v>
      </c>
      <c r="C477" s="46" t="s">
        <v>127</v>
      </c>
      <c r="D477" s="47" t="str">
        <f>VLOOKUP(B477,'Player Data'!A1:D667,4,FALSE)</f>
        <v>G</v>
      </c>
      <c r="E477" s="73">
        <f>VLOOKUP(B477,G!A1:D65,3,FALSE)</f>
        <v>43</v>
      </c>
      <c r="F477" s="55" t="str">
        <f>VLOOKUP(B477,'Player Data'!A1:B667,2,FALSE)</f>
        <v>VGK</v>
      </c>
      <c r="G477" s="69">
        <f>VLOOKUP(B477,'Player Data'!A1:D667,3,FALSE)</f>
        <v>27</v>
      </c>
      <c r="H477" s="67">
        <f>IFERROR(VLOOKUP(B477,ADP!A1:G665,7,FALSE)/1000000,VLOOKUP(B477,ADP!A1:G665,7,FALSE))</f>
        <v>1.8</v>
      </c>
      <c r="I477" s="51">
        <f>IF(Settings!$E$15="POINTS",(AJ477*Settings!$B$29)+(AK477*Settings!$B$21)+(AL477*Settings!$B$22)+(AN477*Settings!$B$24)+(AO477*Settings!$B$25)+(AP477*Settings!$B$27)+(AM477*Settings!$B$23),VLOOKUP(B477,'Standard Deviations'!A1:C666,3,FALSE))</f>
        <v>197.63349494883602</v>
      </c>
      <c r="J477" s="52">
        <f>IF(D477="G",I477/AJ477,I477/Q477)</f>
        <v>6.5877831649612002</v>
      </c>
      <c r="K477" s="51">
        <f>VLOOKUP(B477,G!A1:F65,6,FALSE)</f>
        <v>-213.02624782058416</v>
      </c>
      <c r="L477" s="53">
        <f>IFERROR(K477/H477,"N/A")</f>
        <v>-118.34791545588008</v>
      </c>
      <c r="M477" s="54">
        <f>IF(Settings!$E$9="YAHOO",VLOOKUP(B477,ADP!A1:E665,2,FALSE),IF(Settings!$E$9="ESPN",VLOOKUP(B477,ADP!A1:E665,3,FALSE),IF(Settings!$E$9="FANTRAX",VLOOKUP(B477,ADP!A1:E665,4,FALSE),VLOOKUP(B477,ADP!A1:E665,5,FALSE))))</f>
        <v>132.80000000000001</v>
      </c>
      <c r="N477" s="54">
        <f>IFERROR(M477-A477,"N/A")</f>
        <v>-343.2</v>
      </c>
      <c r="O477" s="54"/>
      <c r="P477" s="55" t="str">
        <f>IF(Settings!$E$27="ON",VLOOKUP(B477,ADP!A1:H665,8,FALSE)," ")</f>
        <v xml:space="preserve"> </v>
      </c>
      <c r="Q477" s="56"/>
      <c r="R477" s="54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8"/>
      <c r="AI477" s="54"/>
      <c r="AJ477" s="64">
        <f>VLOOKUP(B477,'Player Data'!$A1:$AE667,24,FALSE)</f>
        <v>30</v>
      </c>
      <c r="AK477" s="56">
        <f>VLOOKUP(B477,'Player Data'!$A1:$AE667,25,FALSE)*$AJ477*IFERROR((VLOOKUP(P477,Settings!$E$28:$F$33,2,FALSE)+1),1)</f>
        <v>16.059731951325929</v>
      </c>
      <c r="AL477" s="56">
        <f>AJ477-AK477-AM477</f>
        <v>10.190268048674071</v>
      </c>
      <c r="AM477" s="56">
        <f>VLOOKUP(B477,'Player Data'!$A1:$AE667,27,FALSE)*$AJ477</f>
        <v>3.75</v>
      </c>
      <c r="AN477" s="56">
        <f>VLOOKUP(B477,'Player Data'!$A1:$AE667,28,FALSE)*AJ477</f>
        <v>1.7273656252877101</v>
      </c>
      <c r="AO477" s="56">
        <f>VLOOKUP(B477,'Player Data'!$A1:$AE667,29,FALSE)*$AJ477*IFERROR((VLOOKUP(P477,Settings!$E$28:$F$33,2,FALSE)/4)+1,1)</f>
        <v>798.16641665650502</v>
      </c>
      <c r="AP477" s="56">
        <f>VLOOKUP(B477,'Player Data'!$A1:$AE667,31,FALSE)*$AJ477*(IFERROR(1-(VLOOKUP(P477,Settings!$E$28:$F$33,2,FALSE)/4),1))</f>
        <v>83.785424952894004</v>
      </c>
      <c r="AQ477" s="59">
        <f>1-(AP477/(AO477+AP477))</f>
        <v>0.90499999999999869</v>
      </c>
      <c r="AR477" s="60">
        <f>AP477/AJ477</f>
        <v>2.7928474984298002</v>
      </c>
      <c r="AS477" s="54"/>
    </row>
    <row r="478" spans="1:45" ht="21.25" customHeight="1" x14ac:dyDescent="0.15">
      <c r="A478" s="45">
        <f>RANK(K478,K$1:K$665)</f>
        <v>477</v>
      </c>
      <c r="B478" s="9" t="s">
        <v>603</v>
      </c>
      <c r="C478" s="46" t="s">
        <v>127</v>
      </c>
      <c r="D478" s="47" t="str">
        <f>VLOOKUP(B478,'Player Data'!A1:D667,4,FALSE)</f>
        <v>RW</v>
      </c>
      <c r="E478" s="61">
        <f>VLOOKUP(B478,RW!A1:F136,3,FALSE)</f>
        <v>99</v>
      </c>
      <c r="F478" s="80" t="str">
        <f>VLOOKUP(B478,'Player Data'!A1:B667,2,FALSE)</f>
        <v>PHI</v>
      </c>
      <c r="G478" s="69">
        <f>VLOOKUP(B478,'Player Data'!A1:D667,3,FALSE)</f>
        <v>23</v>
      </c>
      <c r="H478" s="50">
        <f>IFERROR(VLOOKUP(B478,ADP!A1:G665,7,FALSE)/1000000,VLOOKUP(B478,ADP!A1:G665,7,FALSE))</f>
        <v>1.5</v>
      </c>
      <c r="I478" s="51">
        <f>IF(Settings!$E$15="POINTS",((R478*Q478)*Settings!$B$12)+(S478*Settings!$B$2)+(T478*Settings!$B$3)+(U478*Settings!$B$4)+(V478*Settings!$B$5)+(X478*Settings!$B$9)+(AA478*Settings!$B$6)+(W478*Settings!$B$8)+(AB478*Settings!$B$7)+(AC478*Settings!$B$14)+(AD478*Settings!$B$15)+(AE478*Settings!$B$16)+(AF478*Settings!$B$17)+(AG478*Settings!$B$18)+(Y478*Settings!$B$10)+(Z478*Settings!$B$11),VLOOKUP(B478,'Standard Deviations'!A1:C666,3,FALSE))</f>
        <v>155.04454421178511</v>
      </c>
      <c r="J478" s="52">
        <f>IF(D478="G",I478/AJ478,I478/Q478)</f>
        <v>2.3994203460639159</v>
      </c>
      <c r="K478" s="51">
        <f>IF(Settings!$E$18="C/LW/RW",VLOOKUP(B478,RW!A1:F136,6,FALSE),VLOOKUP(B478,F!A1:F392,6,FALSE))</f>
        <v>-213.80317889450728</v>
      </c>
      <c r="L478" s="53">
        <f>IFERROR(K478/H478,"N/A")</f>
        <v>-142.53545259633819</v>
      </c>
      <c r="M478" s="83" t="str">
        <f>IF(Settings!$E$9="YAHOO",VLOOKUP(B478,ADP!A1:E665,2,FALSE),IF(Settings!$E$9="ESPN",VLOOKUP(B478,ADP!A1:E665,3,FALSE),IF(Settings!$E$9="FANTRAX",VLOOKUP(B478,ADP!A1:E665,4,FALSE),VLOOKUP(B478,ADP!A1:E665,5,FALSE))))</f>
        <v>—</v>
      </c>
      <c r="N478" s="83" t="str">
        <f>IFERROR(M478-A478,"N/A")</f>
        <v>N/A</v>
      </c>
      <c r="O478" s="54"/>
      <c r="P478" s="55" t="str">
        <f>IF(Settings!$E$27="ON",VLOOKUP(B478,ADP!A1:H665,8,FALSE)," ")</f>
        <v xml:space="preserve"> </v>
      </c>
      <c r="Q478" s="56">
        <f>IF(Settings!$E$12="YES",VLOOKUP(B478,'Player Data'!A1:E667,5,FALSE),82)</f>
        <v>64.617500000000007</v>
      </c>
      <c r="R478" s="54">
        <f>VLOOKUP(B478,'Player Data'!$A1:$AE667,6,FALSE)</f>
        <v>14.024352068116</v>
      </c>
      <c r="S478" s="56">
        <f>VLOOKUP(B478,'Player Data'!$A1:$AE667,7,FALSE)*$Q478*IFERROR((VLOOKUP(P478,Settings!$E$28:$F$33,2,FALSE)+1),1)</f>
        <v>12.915747103081637</v>
      </c>
      <c r="T478" s="56">
        <f>VLOOKUP(B478,'Player Data'!$A1:$AE667,8,FALSE)*$Q478*IFERROR((VLOOKUP(P478,Settings!$E$28:$F$33,2,FALSE)+1),1)</f>
        <v>16.503547373897788</v>
      </c>
      <c r="U478" s="56">
        <f>SUM(S478:T478)</f>
        <v>29.419294476979424</v>
      </c>
      <c r="V478" s="56">
        <f>VLOOKUP(B478,'Player Data'!$A1:$AE667,10,FALSE)*$Q478*IFERROR(((VLOOKUP(P478,Settings!$E$28:$F$33,2,FALSE)/2)+1),1)</f>
        <v>96.65079114276773</v>
      </c>
      <c r="W478" s="56">
        <f>VLOOKUP(B478,'Player Data'!$A1:$AE667,11,FALSE)*$Q478*IFERROR((VLOOKUP(P478,Settings!$E$28:$F$33,2,FALSE)+1),1)</f>
        <v>2.121320014517885</v>
      </c>
      <c r="X478" s="56">
        <f>VLOOKUP(B478,'Player Data'!$A1:$AE667,12,FALSE)*$Q478*IFERROR((VLOOKUP(P478,Settings!$E$28:$F$33,2,FALSE)+1),1)</f>
        <v>4.3363725647392428</v>
      </c>
      <c r="Y478" s="56">
        <f>VLOOKUP(B478,'Player Data'!$A1:$AE667,13,FALSE)*$Q478</f>
        <v>4.4698331192151754E-3</v>
      </c>
      <c r="Z478" s="56">
        <f>VLOOKUP(B478,'Player Data'!$A1:$AE667,14,FALSE)*$Q478</f>
        <v>7.5382769146342806E-3</v>
      </c>
      <c r="AA478" s="56">
        <f>VLOOKUP(B478,'Player Data'!$A1:$AE667,15,FALSE)*$Q478</f>
        <v>28.234708735618213</v>
      </c>
      <c r="AB478" s="56">
        <f>VLOOKUP(B478,'Player Data'!$A1:$AE667,16,FALSE)*$Q478</f>
        <v>49.664325954847548</v>
      </c>
      <c r="AC478" s="56">
        <f>VLOOKUP(B478,'Player Data'!$A1:$AE667,17,FALSE)*$Q478*IFERROR((VLOOKUP(P478,Settings!$E$28:$F$33,2,FALSE)+1),1)</f>
        <v>-1.783923311520486</v>
      </c>
      <c r="AD478" s="56">
        <f>VLOOKUP(B478,'Player Data'!$A1:$AE667,18,FALSE)*$Q478</f>
        <v>16.363202680669502</v>
      </c>
      <c r="AE478" s="56">
        <f>VLOOKUP(B478,'Player Data'!$A1:$AE667,19,FALSE)*$Q478*IFERROR((VLOOKUP(P478,Settings!$E$28:$F$33,2,FALSE)+1),1)</f>
        <v>1.8721314335145529</v>
      </c>
      <c r="AF478" s="56">
        <f>VLOOKUP(B478,'Player Data'!$A1:$AE667,20,FALSE)*$Q478</f>
        <v>5.1161420085818765</v>
      </c>
      <c r="AG478" s="56">
        <f>VLOOKUP(B478,'Player Data'!$A1:$AE667,21,FALSE)*$Q478</f>
        <v>3.5561679326379307</v>
      </c>
      <c r="AH478" s="58">
        <f>VLOOKUP(B478,'Player Data'!$A1:$AE667,22,FALSE)</f>
        <v>0.58993994025336505</v>
      </c>
      <c r="AI478" s="54"/>
      <c r="AJ478" s="56"/>
      <c r="AK478" s="56"/>
      <c r="AL478" s="56"/>
      <c r="AM478" s="56"/>
      <c r="AN478" s="56"/>
      <c r="AO478" s="56"/>
      <c r="AP478" s="56"/>
      <c r="AQ478" s="59"/>
      <c r="AR478" s="60"/>
      <c r="AS478" s="54"/>
    </row>
    <row r="479" spans="1:45" ht="21.25" customHeight="1" x14ac:dyDescent="0.15">
      <c r="A479" s="45">
        <f>RANK(K479,K$1:K$665)</f>
        <v>478</v>
      </c>
      <c r="B479" s="9" t="s">
        <v>604</v>
      </c>
      <c r="C479" s="46" t="s">
        <v>127</v>
      </c>
      <c r="D479" s="47" t="str">
        <f>VLOOKUP(B479,'Player Data'!A1:D667,4,FALSE)</f>
        <v>C</v>
      </c>
      <c r="E479" s="48">
        <f>VLOOKUP(B479,'C'!A1:C206,3,FALSE)</f>
        <v>132</v>
      </c>
      <c r="F479" s="77" t="str">
        <f>VLOOKUP(B479,'Player Data'!A1:B667,2,FALSE)</f>
        <v>S.J</v>
      </c>
      <c r="G479" s="10">
        <f>VLOOKUP(B479,'Player Data'!A1:D667,3,FALSE)</f>
        <v>29</v>
      </c>
      <c r="H479" s="50">
        <f>IFERROR(VLOOKUP(B479,ADP!A1:G665,7,FALSE)/1000000,VLOOKUP(B479,ADP!A1:G665,7,FALSE))</f>
        <v>5</v>
      </c>
      <c r="I479" s="51">
        <f>IF(Settings!$E$15="POINTS",((R479*Q479)*Settings!$B$12)+(S479*Settings!$B$2)+(T479*Settings!$B$3)+(U479*Settings!$B$4)+(V479*Settings!$B$5)+(X479*Settings!$B$9)+(AA479*Settings!$B$6)+(W479*Settings!$B$8)+(AB479*Settings!$B$7)+(AC479*Settings!$B$14)+(AD479*Settings!$B$15)+(AE479*Settings!$B$16)+(AF479*Settings!$B$17)+(AG479*Settings!$B$18)+(Y479*Settings!$B$10)+(Z479*Settings!$B$11),VLOOKUP(B479,'Standard Deviations'!A1:C666,3,FALSE))</f>
        <v>174.31339046457134</v>
      </c>
      <c r="J479" s="52">
        <f>IF(D479="G",I479/AJ479,I479/Q479)</f>
        <v>2.144142076503845</v>
      </c>
      <c r="K479" s="51">
        <f>IF(Settings!$E$18="C/LW/RW",VLOOKUP(B479,'C'!A1:F206,6,FALSE),VLOOKUP(B479,F!A1:F392,6,FALSE))</f>
        <v>-215.62376731350975</v>
      </c>
      <c r="L479" s="53">
        <f>IFERROR(K479/H479,"N/A")</f>
        <v>-43.124753462701946</v>
      </c>
      <c r="M479" s="83" t="str">
        <f>IF(Settings!$E$9="YAHOO",VLOOKUP(B479,ADP!A1:E665,2,FALSE),IF(Settings!$E$9="ESPN",VLOOKUP(B479,ADP!A1:E665,3,FALSE),IF(Settings!$E$9="FANTRAX",VLOOKUP(B479,ADP!A1:E665,4,FALSE),VLOOKUP(B479,ADP!A1:E665,5,FALSE))))</f>
        <v>—</v>
      </c>
      <c r="N479" s="83" t="str">
        <f>IFERROR(M479-A479,"N/A")</f>
        <v>N/A</v>
      </c>
      <c r="O479" s="54"/>
      <c r="P479" s="55" t="str">
        <f>IF(Settings!$E$27="ON",VLOOKUP(B479,ADP!A1:H665,8,FALSE)," ")</f>
        <v xml:space="preserve"> </v>
      </c>
      <c r="Q479" s="56">
        <f>IF(Settings!$E$12="YES",VLOOKUP(B479,'Player Data'!A1:E667,5,FALSE),82)</f>
        <v>81.297499999999999</v>
      </c>
      <c r="R479" s="81">
        <f>VLOOKUP(B479,'Player Data'!$A1:$AE667,6,FALSE)</f>
        <v>16.951350720755801</v>
      </c>
      <c r="S479" s="56">
        <f>VLOOKUP(B479,'Player Data'!$A1:$AE667,7,FALSE)*$Q479*IFERROR((VLOOKUP(P479,Settings!$E$28:$F$33,2,FALSE)+1),1)</f>
        <v>9.8036605632848808</v>
      </c>
      <c r="T479" s="56">
        <f>VLOOKUP(B479,'Player Data'!$A1:$AE667,8,FALSE)*$Q479*IFERROR((VLOOKUP(P479,Settings!$E$28:$F$33,2,FALSE)+1),1)</f>
        <v>20.039231309171683</v>
      </c>
      <c r="U479" s="56">
        <f>SUM(S479:T479)</f>
        <v>29.842891872456562</v>
      </c>
      <c r="V479" s="56">
        <f>VLOOKUP(B479,'Player Data'!$A1:$AE667,10,FALSE)*$Q479*IFERROR(((VLOOKUP(P479,Settings!$E$28:$F$33,2,FALSE)/2)+1),1)</f>
        <v>91.765673764191433</v>
      </c>
      <c r="W479" s="56">
        <f>VLOOKUP(B479,'Player Data'!$A1:$AE667,11,FALSE)*$Q479*IFERROR((VLOOKUP(P479,Settings!$E$28:$F$33,2,FALSE)+1),1)</f>
        <v>2.2021166455280619</v>
      </c>
      <c r="X479" s="56">
        <f>VLOOKUP(B479,'Player Data'!$A1:$AE667,12,FALSE)*$Q479*IFERROR((VLOOKUP(P479,Settings!$E$28:$F$33,2,FALSE)+1),1)</f>
        <v>5.2516085004433428</v>
      </c>
      <c r="Y479" s="56">
        <f>VLOOKUP(B479,'Player Data'!$A1:$AE667,13,FALSE)*$Q479</f>
        <v>0.52248995212826699</v>
      </c>
      <c r="Z479" s="56">
        <f>VLOOKUP(B479,'Player Data'!$A1:$AE667,14,FALSE)*$Q479</f>
        <v>0.78775040635338633</v>
      </c>
      <c r="AA479" s="56">
        <f>VLOOKUP(B479,'Player Data'!$A1:$AE667,15,FALSE)*$Q479</f>
        <v>65.725038116618435</v>
      </c>
      <c r="AB479" s="56">
        <f>VLOOKUP(B479,'Player Data'!$A1:$AE667,16,FALSE)*$Q479</f>
        <v>48.076868986710402</v>
      </c>
      <c r="AC479" s="56">
        <f>VLOOKUP(B479,'Player Data'!$A1:$AE667,17,FALSE)*$Q479*IFERROR((VLOOKUP(P479,Settings!$E$28:$F$33,2,FALSE)+1),1)</f>
        <v>-0.2161019147413081</v>
      </c>
      <c r="AD479" s="56">
        <f>VLOOKUP(B479,'Player Data'!$A1:$AE667,18,FALSE)*$Q479</f>
        <v>22.377581112209359</v>
      </c>
      <c r="AE479" s="56">
        <f>VLOOKUP(B479,'Player Data'!$A1:$AE667,19,FALSE)*$Q479*IFERROR((VLOOKUP(P479,Settings!$E$28:$F$33,2,FALSE)+1),1)</f>
        <v>1.0471302094202082</v>
      </c>
      <c r="AF479" s="56">
        <f>VLOOKUP(B479,'Player Data'!$A1:$AE667,20,FALSE)*$Q479</f>
        <v>537.97074253814924</v>
      </c>
      <c r="AG479" s="56">
        <f>VLOOKUP(B479,'Player Data'!$A1:$AE667,21,FALSE)*$Q479</f>
        <v>626.59842436164115</v>
      </c>
      <c r="AH479" s="58">
        <f>VLOOKUP(B479,'Player Data'!$A1:$AE667,22,FALSE)</f>
        <v>0.46194829627018702</v>
      </c>
      <c r="AI479" s="54"/>
      <c r="AJ479" s="56"/>
      <c r="AK479" s="56"/>
      <c r="AL479" s="56"/>
      <c r="AM479" s="56"/>
      <c r="AN479" s="56"/>
      <c r="AO479" s="56"/>
      <c r="AP479" s="56"/>
      <c r="AQ479" s="59"/>
      <c r="AR479" s="60"/>
      <c r="AS479" s="54"/>
    </row>
    <row r="480" spans="1:45" ht="21.25" customHeight="1" x14ac:dyDescent="0.15">
      <c r="A480" s="45">
        <f>RANK(K480,K$1:K$665)</f>
        <v>479</v>
      </c>
      <c r="B480" s="9" t="s">
        <v>605</v>
      </c>
      <c r="C480" s="46" t="s">
        <v>127</v>
      </c>
      <c r="D480" s="47" t="str">
        <f>VLOOKUP(B480,'Player Data'!A1:D667,4,FALSE)</f>
        <v>C/RW</v>
      </c>
      <c r="E480" s="68">
        <f>VLOOKUP(B480,RW!A1:C136,3,FALSE)</f>
        <v>100</v>
      </c>
      <c r="F480" s="55" t="str">
        <f>VLOOKUP(B480,'Player Data'!A1:B667,2,FALSE)</f>
        <v>WPG</v>
      </c>
      <c r="G480" s="10">
        <f>VLOOKUP(B480,'Player Data'!A1:D667,3,FALSE)</f>
        <v>28</v>
      </c>
      <c r="H480" s="67">
        <f>IFERROR(VLOOKUP(B480,ADP!A1:G665,7,FALSE)/1000000,VLOOKUP(B480,ADP!A1:G665,7,FALSE))</f>
        <v>2.1666669999999999</v>
      </c>
      <c r="I480" s="51">
        <f>IF(Settings!$E$15="POINTS",((R480*Q480)*Settings!$B$12)+(S480*Settings!$B$2)+(T480*Settings!$B$3)+(U480*Settings!$B$4)+(V480*Settings!$B$5)+(X480*Settings!$B$9)+(AA480*Settings!$B$6)+(W480*Settings!$B$8)+(AB480*Settings!$B$7)+(AC480*Settings!$B$14)+(AD480*Settings!$B$15)+(AE480*Settings!$B$16)+(AF480*Settings!$B$17)+(AG480*Settings!$B$18)+(Y480*Settings!$B$10)+(Z480*Settings!$B$11),VLOOKUP(B480,'Standard Deviations'!A1:C666,3,FALSE))</f>
        <v>152.79064533224144</v>
      </c>
      <c r="J480" s="52">
        <f>IF(D480="G",I480/AJ480,I480/Q480)</f>
        <v>2.037412345664452</v>
      </c>
      <c r="K480" s="51">
        <f>IF(Settings!$E$18="C/LW/RW",VLOOKUP(B480,RW!A1:F136,6,FALSE),VLOOKUP(B480,F!A1:F392,6,FALSE))</f>
        <v>-216.05707777405095</v>
      </c>
      <c r="L480" s="53">
        <f>IFERROR(K480/H480,"N/A")</f>
        <v>-99.71863593900261</v>
      </c>
      <c r="M480" s="83" t="str">
        <f>IF(Settings!$E$9="YAHOO",VLOOKUP(B480,ADP!A1:E665,2,FALSE),IF(Settings!$E$9="ESPN",VLOOKUP(B480,ADP!A1:E665,3,FALSE),IF(Settings!$E$9="FANTRAX",VLOOKUP(B480,ADP!A1:E665,4,FALSE),VLOOKUP(B480,ADP!A1:E665,5,FALSE))))</f>
        <v>—</v>
      </c>
      <c r="N480" s="83" t="str">
        <f>IFERROR(M480-A480,"N/A")</f>
        <v>N/A</v>
      </c>
      <c r="O480" s="54"/>
      <c r="P480" s="55" t="str">
        <f>IF(Settings!$E$27="ON",VLOOKUP(B480,ADP!A1:H665,8,FALSE)," ")</f>
        <v xml:space="preserve"> </v>
      </c>
      <c r="Q480" s="56">
        <f>IF(Settings!$E$12="YES",VLOOKUP(B480,'Player Data'!A1:E667,5,FALSE),82)</f>
        <v>74.992500000000007</v>
      </c>
      <c r="R480" s="81">
        <f>VLOOKUP(B480,'Player Data'!$A1:$AE667,6,FALSE)</f>
        <v>14.8337494953287</v>
      </c>
      <c r="S480" s="56">
        <f>VLOOKUP(B480,'Player Data'!$A1:$AE667,7,FALSE)*$Q480*IFERROR((VLOOKUP(P480,Settings!$E$28:$F$33,2,FALSE)+1),1)</f>
        <v>9.7366764120740665</v>
      </c>
      <c r="T480" s="56">
        <f>VLOOKUP(B480,'Player Data'!$A1:$AE667,8,FALSE)*$Q480*IFERROR((VLOOKUP(P480,Settings!$E$28:$F$33,2,FALSE)+1),1)</f>
        <v>17.483591583216754</v>
      </c>
      <c r="U480" s="56">
        <f>SUM(S480:T480)</f>
        <v>27.220267995290818</v>
      </c>
      <c r="V480" s="56">
        <f>VLOOKUP(B480,'Player Data'!$A1:$AE667,10,FALSE)*$Q480*IFERROR(((VLOOKUP(P480,Settings!$E$28:$F$33,2,FALSE)/2)+1),1)</f>
        <v>104.62576915590084</v>
      </c>
      <c r="W480" s="56">
        <f>VLOOKUP(B480,'Player Data'!$A1:$AE667,11,FALSE)*$Q480*IFERROR((VLOOKUP(P480,Settings!$E$28:$F$33,2,FALSE)+1),1)</f>
        <v>0.30885385599967163</v>
      </c>
      <c r="X480" s="56">
        <f>VLOOKUP(B480,'Player Data'!$A1:$AE667,12,FALSE)*$Q480*IFERROR((VLOOKUP(P480,Settings!$E$28:$F$33,2,FALSE)+1),1)</f>
        <v>0.45156873148596927</v>
      </c>
      <c r="Y480" s="56">
        <f>VLOOKUP(B480,'Player Data'!$A1:$AE667,13,FALSE)*$Q480</f>
        <v>0.66550237257991451</v>
      </c>
      <c r="Z480" s="56">
        <f>VLOOKUP(B480,'Player Data'!$A1:$AE667,14,FALSE)*$Q480</f>
        <v>0.80863828161894657</v>
      </c>
      <c r="AA480" s="56">
        <f>VLOOKUP(B480,'Player Data'!$A1:$AE667,15,FALSE)*$Q480</f>
        <v>35.113499510627278</v>
      </c>
      <c r="AB480" s="56">
        <f>VLOOKUP(B480,'Player Data'!$A1:$AE667,16,FALSE)*$Q480</f>
        <v>87.264744692485039</v>
      </c>
      <c r="AC480" s="56">
        <f>VLOOKUP(B480,'Player Data'!$A1:$AE667,17,FALSE)*$Q480*IFERROR((VLOOKUP(P480,Settings!$E$28:$F$33,2,FALSE)+1),1)</f>
        <v>2.6111801415276594</v>
      </c>
      <c r="AD480" s="56">
        <f>VLOOKUP(B480,'Player Data'!$A1:$AE667,18,FALSE)*$Q480</f>
        <v>22.378977417343613</v>
      </c>
      <c r="AE480" s="56">
        <f>VLOOKUP(B480,'Player Data'!$A1:$AE667,19,FALSE)*$Q480*IFERROR((VLOOKUP(P480,Settings!$E$28:$F$33,2,FALSE)+1),1)</f>
        <v>1.6184942050133881</v>
      </c>
      <c r="AF480" s="56">
        <f>VLOOKUP(B480,'Player Data'!$A1:$AE667,20,FALSE)*$Q480</f>
        <v>6.4059869249451351</v>
      </c>
      <c r="AG480" s="56">
        <f>VLOOKUP(B480,'Player Data'!$A1:$AE667,21,FALSE)*$Q480</f>
        <v>9.4057025861265302</v>
      </c>
      <c r="AH480" s="58">
        <f>VLOOKUP(B480,'Player Data'!$A1:$AE667,22,FALSE)</f>
        <v>0.40514246883355098</v>
      </c>
      <c r="AI480" s="54"/>
      <c r="AJ480" s="56"/>
      <c r="AK480" s="56"/>
      <c r="AL480" s="56"/>
      <c r="AM480" s="56"/>
      <c r="AN480" s="56"/>
      <c r="AO480" s="56"/>
      <c r="AP480" s="56"/>
      <c r="AQ480" s="59"/>
      <c r="AR480" s="60"/>
      <c r="AS480" s="54"/>
    </row>
    <row r="481" spans="1:45" ht="21.25" customHeight="1" x14ac:dyDescent="0.15">
      <c r="A481" s="45">
        <f>RANK(K481,K$1:K$665)</f>
        <v>480</v>
      </c>
      <c r="B481" s="9" t="s">
        <v>606</v>
      </c>
      <c r="C481" s="46" t="s">
        <v>127</v>
      </c>
      <c r="D481" s="47" t="str">
        <f>VLOOKUP(B481,'Player Data'!A1:D667,4,FALSE)</f>
        <v>G</v>
      </c>
      <c r="E481" s="73">
        <f>VLOOKUP(B481,G!A1:D65,3,FALSE)</f>
        <v>44</v>
      </c>
      <c r="F481" s="62" t="str">
        <f>VLOOKUP(B481,'Player Data'!A1:B667,2,FALSE)</f>
        <v>OTT</v>
      </c>
      <c r="G481" s="10">
        <f>VLOOKUP(B481,'Player Data'!A1:D667,3,FALSE)</f>
        <v>31</v>
      </c>
      <c r="H481" s="67">
        <f>IFERROR(VLOOKUP(B481,ADP!A1:G665,7,FALSE)/1000000,VLOOKUP(B481,ADP!A1:G665,7,FALSE))</f>
        <v>2.75</v>
      </c>
      <c r="I481" s="51">
        <f>IF(Settings!$E$15="POINTS",(AJ481*Settings!$B$29)+(AK481*Settings!$B$21)+(AL481*Settings!$B$22)+(AN481*Settings!$B$24)+(AO481*Settings!$B$25)+(AP481*Settings!$B$27)+(AM481*Settings!$B$23),VLOOKUP(B481,'Standard Deviations'!A1:C666,3,FALSE))</f>
        <v>194.07372773802246</v>
      </c>
      <c r="J481" s="52">
        <f>IF(D481="G",I481/AJ481,I481/Q481)</f>
        <v>6.0648039918132017</v>
      </c>
      <c r="K481" s="51">
        <f>VLOOKUP(B481,G!A1:F65,6,FALSE)</f>
        <v>-216.58601503139772</v>
      </c>
      <c r="L481" s="53">
        <f>IFERROR(K481/H481,"N/A")</f>
        <v>-78.758550920508256</v>
      </c>
      <c r="M481" s="83" t="str">
        <f>IF(Settings!$E$9="YAHOO",VLOOKUP(B481,ADP!A1:E665,2,FALSE),IF(Settings!$E$9="ESPN",VLOOKUP(B481,ADP!A1:E665,3,FALSE),IF(Settings!$E$9="FANTRAX",VLOOKUP(B481,ADP!A1:E665,4,FALSE),VLOOKUP(B481,ADP!A1:E665,5,FALSE))))</f>
        <v>—</v>
      </c>
      <c r="N481" s="83" t="str">
        <f>IFERROR(M481-A481,"N/A")</f>
        <v>N/A</v>
      </c>
      <c r="O481" s="54"/>
      <c r="P481" s="55" t="str">
        <f>IF(Settings!$E$27="ON",VLOOKUP(B481,ADP!A1:H665,8,FALSE)," ")</f>
        <v xml:space="preserve"> </v>
      </c>
      <c r="Q481" s="56"/>
      <c r="R481" s="54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8"/>
      <c r="AI481" s="54"/>
      <c r="AJ481" s="64">
        <f>VLOOKUP(B481,'Player Data'!$A1:$AE667,24,FALSE)</f>
        <v>32</v>
      </c>
      <c r="AK481" s="56">
        <f>VLOOKUP(B481,'Player Data'!$A1:$AE667,25,FALSE)*$AJ481*IFERROR((VLOOKUP(P481,Settings!$E$28:$F$33,2,FALSE)+1),1)</f>
        <v>14.94142588516096</v>
      </c>
      <c r="AL481" s="56">
        <f>AJ481-AK481-AM481</f>
        <v>13.05857411483904</v>
      </c>
      <c r="AM481" s="56">
        <f>VLOOKUP(B481,'Player Data'!$A1:$AE667,27,FALSE)*$AJ481</f>
        <v>4</v>
      </c>
      <c r="AN481" s="56">
        <f>VLOOKUP(B481,'Player Data'!$A1:$AE667,28,FALSE)*AJ481</f>
        <v>1.1943961711284063</v>
      </c>
      <c r="AO481" s="56">
        <f>VLOOKUP(B481,'Player Data'!$A1:$AE667,29,FALSE)*$AJ481*IFERROR((VLOOKUP(P481,Settings!$E$28:$F$33,2,FALSE)/4)+1,1)</f>
        <v>881.83738251063039</v>
      </c>
      <c r="AP481" s="56">
        <f>VLOOKUP(B481,'Player Data'!$A1:$AE667,31,FALSE)*$AJ481*(IFERROR(1-(VLOOKUP(P481,Settings!$E$28:$F$33,2,FALSE)/4),1))</f>
        <v>97.621212447968006</v>
      </c>
      <c r="AQ481" s="59">
        <f>1-(AP481/(AO481+AP481))</f>
        <v>0.90033145561186845</v>
      </c>
      <c r="AR481" s="60">
        <f>AP481/AJ481</f>
        <v>3.0506628889990002</v>
      </c>
      <c r="AS481" s="54"/>
    </row>
    <row r="482" spans="1:45" ht="21.25" customHeight="1" x14ac:dyDescent="0.15">
      <c r="A482" s="45">
        <f>RANK(K482,K$1:K$665)</f>
        <v>481</v>
      </c>
      <c r="B482" s="9" t="s">
        <v>607</v>
      </c>
      <c r="C482" s="46" t="s">
        <v>127</v>
      </c>
      <c r="D482" s="47" t="str">
        <f>VLOOKUP(B482,'Player Data'!A1:D667,4,FALSE)</f>
        <v>RW</v>
      </c>
      <c r="E482" s="61">
        <f>VLOOKUP(B482,RW!A1:F136,3,FALSE)</f>
        <v>101</v>
      </c>
      <c r="F482" s="55" t="str">
        <f>VLOOKUP(B482,'Player Data'!A1:B667,2,FALSE)</f>
        <v>CHI</v>
      </c>
      <c r="G482" s="10">
        <f>VLOOKUP(B482,'Player Data'!A1:D667,3,FALSE)</f>
        <v>29</v>
      </c>
      <c r="H482" s="50">
        <f>IFERROR(VLOOKUP(B482,ADP!A1:G665,7,FALSE)/1000000,VLOOKUP(B482,ADP!A1:G665,7,FALSE))</f>
        <v>4.75</v>
      </c>
      <c r="I482" s="51">
        <f>IF(Settings!$E$15="POINTS",((R482*Q482)*Settings!$B$12)+(S482*Settings!$B$2)+(T482*Settings!$B$3)+(U482*Settings!$B$4)+(V482*Settings!$B$5)+(X482*Settings!$B$9)+(AA482*Settings!$B$6)+(W482*Settings!$B$8)+(AB482*Settings!$B$7)+(AC482*Settings!$B$14)+(AD482*Settings!$B$15)+(AE482*Settings!$B$16)+(AF482*Settings!$B$17)+(AG482*Settings!$B$18)+(Y482*Settings!$B$10)+(Z482*Settings!$B$11),VLOOKUP(B482,'Standard Deviations'!A1:C666,3,FALSE))</f>
        <v>152.22079854498756</v>
      </c>
      <c r="J482" s="52">
        <f>IF(D482="G",I482/AJ482,I482/Q482)</f>
        <v>2.0718769367767464</v>
      </c>
      <c r="K482" s="51">
        <f>IF(Settings!$E$18="C/LW/RW",VLOOKUP(B482,RW!A1:F136,6,FALSE),VLOOKUP(B482,F!A1:F392,6,FALSE))</f>
        <v>-216.62692456130483</v>
      </c>
      <c r="L482" s="53">
        <f>IFERROR(K482/H482,"N/A")</f>
        <v>-45.605668328695756</v>
      </c>
      <c r="M482" s="83" t="str">
        <f>IF(Settings!$E$9="YAHOO",VLOOKUP(B482,ADP!A1:E665,2,FALSE),IF(Settings!$E$9="ESPN",VLOOKUP(B482,ADP!A1:E665,3,FALSE),IF(Settings!$E$9="FANTRAX",VLOOKUP(B482,ADP!A1:E665,4,FALSE),VLOOKUP(B482,ADP!A1:E665,5,FALSE))))</f>
        <v>—</v>
      </c>
      <c r="N482" s="83" t="str">
        <f>IFERROR(M482-A482,"N/A")</f>
        <v>N/A</v>
      </c>
      <c r="O482" s="54"/>
      <c r="P482" s="55" t="str">
        <f>IF(Settings!$E$27="ON",VLOOKUP(B482,ADP!A1:H665,8,FALSE)," ")</f>
        <v xml:space="preserve"> </v>
      </c>
      <c r="Q482" s="56">
        <f>IF(Settings!$E$12="YES",VLOOKUP(B482,'Player Data'!A1:E667,5,FALSE),82)</f>
        <v>73.47</v>
      </c>
      <c r="R482" s="54">
        <f>VLOOKUP(B482,'Player Data'!$A1:$AE667,6,FALSE)</f>
        <v>13.2891349980268</v>
      </c>
      <c r="S482" s="56">
        <f>VLOOKUP(B482,'Player Data'!$A1:$AE667,7,FALSE)*$Q482*IFERROR((VLOOKUP(P482,Settings!$E$28:$F$33,2,FALSE)+1),1)</f>
        <v>10.87713631465955</v>
      </c>
      <c r="T482" s="56">
        <f>VLOOKUP(B482,'Player Data'!$A1:$AE667,8,FALSE)*$Q482*IFERROR((VLOOKUP(P482,Settings!$E$28:$F$33,2,FALSE)+1),1)</f>
        <v>14.551796461117812</v>
      </c>
      <c r="U482" s="56">
        <f>SUM(S482:T482)</f>
        <v>25.428932775777362</v>
      </c>
      <c r="V482" s="56">
        <f>VLOOKUP(B482,'Player Data'!$A1:$AE667,10,FALSE)*$Q482*IFERROR(((VLOOKUP(P482,Settings!$E$28:$F$33,2,FALSE)/2)+1),1)</f>
        <v>127.70119086211109</v>
      </c>
      <c r="W482" s="56">
        <f>VLOOKUP(B482,'Player Data'!$A1:$AE667,11,FALSE)*$Q482*IFERROR((VLOOKUP(P482,Settings!$E$28:$F$33,2,FALSE)+1),1)</f>
        <v>0.4058911150548567</v>
      </c>
      <c r="X482" s="56">
        <f>VLOOKUP(B482,'Player Data'!$A1:$AE667,12,FALSE)*$Q482*IFERROR((VLOOKUP(P482,Settings!$E$28:$F$33,2,FALSE)+1),1)</f>
        <v>0.81490976879679267</v>
      </c>
      <c r="Y482" s="56">
        <f>VLOOKUP(B482,'Player Data'!$A1:$AE667,13,FALSE)*$Q482</f>
        <v>0.46241373504112832</v>
      </c>
      <c r="Z482" s="56">
        <f>VLOOKUP(B482,'Player Data'!$A1:$AE667,14,FALSE)*$Q482</f>
        <v>0.51770062532217853</v>
      </c>
      <c r="AA482" s="56">
        <f>VLOOKUP(B482,'Player Data'!$A1:$AE667,15,FALSE)*$Q482</f>
        <v>21.501588784961854</v>
      </c>
      <c r="AB482" s="56">
        <f>VLOOKUP(B482,'Player Data'!$A1:$AE667,16,FALSE)*$Q482</f>
        <v>46.948081730434311</v>
      </c>
      <c r="AC482" s="56">
        <f>VLOOKUP(B482,'Player Data'!$A1:$AE667,17,FALSE)*$Q482*IFERROR((VLOOKUP(P482,Settings!$E$28:$F$33,2,FALSE)+1),1)</f>
        <v>4.8502978347745236</v>
      </c>
      <c r="AD482" s="56">
        <f>VLOOKUP(B482,'Player Data'!$A1:$AE667,18,FALSE)*$Q482</f>
        <v>11.357335782887228</v>
      </c>
      <c r="AE482" s="56">
        <f>VLOOKUP(B482,'Player Data'!$A1:$AE667,19,FALSE)*$Q482*IFERROR((VLOOKUP(P482,Settings!$E$28:$F$33,2,FALSE)+1),1)</f>
        <v>1.4057093800549416</v>
      </c>
      <c r="AF482" s="56">
        <f>VLOOKUP(B482,'Player Data'!$A1:$AE667,20,FALSE)*$Q482</f>
        <v>4.1669364461454332</v>
      </c>
      <c r="AG482" s="56">
        <f>VLOOKUP(B482,'Player Data'!$A1:$AE667,21,FALSE)*$Q482</f>
        <v>17.181015185346325</v>
      </c>
      <c r="AH482" s="58">
        <f>VLOOKUP(B482,'Player Data'!$A1:$AE667,22,FALSE)</f>
        <v>0.195191394381769</v>
      </c>
      <c r="AI482" s="54"/>
      <c r="AJ482" s="56"/>
      <c r="AK482" s="56"/>
      <c r="AL482" s="56"/>
      <c r="AM482" s="56"/>
      <c r="AN482" s="56"/>
      <c r="AO482" s="56"/>
      <c r="AP482" s="56"/>
      <c r="AQ482" s="59"/>
      <c r="AR482" s="60"/>
      <c r="AS482" s="64"/>
    </row>
    <row r="483" spans="1:45" ht="21.25" customHeight="1" x14ac:dyDescent="0.15">
      <c r="A483" s="45">
        <f>RANK(K483,K$1:K$665)</f>
        <v>482</v>
      </c>
      <c r="B483" s="9" t="s">
        <v>608</v>
      </c>
      <c r="C483" s="46" t="s">
        <v>127</v>
      </c>
      <c r="D483" s="47" t="str">
        <f>VLOOKUP(B483,'Player Data'!A1:D667,4,FALSE)</f>
        <v>C</v>
      </c>
      <c r="E483" s="48">
        <f>VLOOKUP(B483,'C'!A1:C206,3,FALSE)</f>
        <v>133</v>
      </c>
      <c r="F483" s="77" t="str">
        <f>VLOOKUP(B483,'Player Data'!A1:B667,2,FALSE)</f>
        <v>CBJ</v>
      </c>
      <c r="G483" s="69">
        <f>VLOOKUP(B483,'Player Data'!A1:D667,3,FALSE)</f>
        <v>21</v>
      </c>
      <c r="H483" s="50">
        <f>IFERROR(VLOOKUP(B483,ADP!A1:G665,7,FALSE)/1000000,VLOOKUP(B483,ADP!A1:G665,7,FALSE))</f>
        <v>1.8</v>
      </c>
      <c r="I483" s="51">
        <f>IF(Settings!$E$15="POINTS",((R483*Q483)*Settings!$B$12)+(S483*Settings!$B$2)+(T483*Settings!$B$3)+(U483*Settings!$B$4)+(V483*Settings!$B$5)+(X483*Settings!$B$9)+(AA483*Settings!$B$6)+(W483*Settings!$B$8)+(AB483*Settings!$B$7)+(AC483*Settings!$B$14)+(AD483*Settings!$B$15)+(AE483*Settings!$B$16)+(AF483*Settings!$B$17)+(AG483*Settings!$B$18)+(Y483*Settings!$B$10)+(Z483*Settings!$B$11),VLOOKUP(B483,'Standard Deviations'!A1:C666,3,FALSE))</f>
        <v>173.29512462977942</v>
      </c>
      <c r="J483" s="52">
        <f>IF(D483="G",I483/AJ483,I483/Q483)</f>
        <v>2.4574768621941989</v>
      </c>
      <c r="K483" s="51">
        <f>IF(Settings!$E$18="C/LW/RW",VLOOKUP(B483,'C'!A1:F206,6,FALSE),VLOOKUP(B483,F!A1:F392,6,FALSE))</f>
        <v>-216.64203314830166</v>
      </c>
      <c r="L483" s="53">
        <f>IFERROR(K483/H483,"N/A")</f>
        <v>-120.35668508238982</v>
      </c>
      <c r="M483" s="83" t="str">
        <f>IF(Settings!$E$9="YAHOO",VLOOKUP(B483,ADP!A1:E665,2,FALSE),IF(Settings!$E$9="ESPN",VLOOKUP(B483,ADP!A1:E665,3,FALSE),IF(Settings!$E$9="FANTRAX",VLOOKUP(B483,ADP!A1:E665,4,FALSE),VLOOKUP(B483,ADP!A1:E665,5,FALSE))))</f>
        <v>—</v>
      </c>
      <c r="N483" s="83" t="str">
        <f>IFERROR(M483-A483,"N/A")</f>
        <v>N/A</v>
      </c>
      <c r="O483" s="54"/>
      <c r="P483" s="55" t="str">
        <f>IF(Settings!$E$27="ON",VLOOKUP(B483,ADP!A1:H665,8,FALSE)," ")</f>
        <v xml:space="preserve"> </v>
      </c>
      <c r="Q483" s="56">
        <f>IF(Settings!$E$12="YES",VLOOKUP(B483,'Player Data'!A1:E667,5,FALSE),82)</f>
        <v>70.517499999999998</v>
      </c>
      <c r="R483" s="54">
        <f>VLOOKUP(B483,'Player Data'!$A1:$AE667,6,FALSE)</f>
        <v>13.9842743888701</v>
      </c>
      <c r="S483" s="56">
        <f>VLOOKUP(B483,'Player Data'!$A1:$AE667,7,FALSE)*$Q483*IFERROR((VLOOKUP(P483,Settings!$E$28:$F$33,2,FALSE)+1),1)</f>
        <v>13.026763261342225</v>
      </c>
      <c r="T483" s="56">
        <f>VLOOKUP(B483,'Player Data'!$A1:$AE667,8,FALSE)*$Q483*IFERROR((VLOOKUP(P483,Settings!$E$28:$F$33,2,FALSE)+1),1)</f>
        <v>19.736509174440979</v>
      </c>
      <c r="U483" s="56">
        <f>SUM(S483:T483)</f>
        <v>32.763272435783207</v>
      </c>
      <c r="V483" s="56">
        <f>VLOOKUP(B483,'Player Data'!$A1:$AE667,10,FALSE)*$Q483*IFERROR(((VLOOKUP(P483,Settings!$E$28:$F$33,2,FALSE)/2)+1),1)</f>
        <v>107.94238285944371</v>
      </c>
      <c r="W483" s="56">
        <f>VLOOKUP(B483,'Player Data'!$A1:$AE667,11,FALSE)*$Q483*IFERROR((VLOOKUP(P483,Settings!$E$28:$F$33,2,FALSE)+1),1)</f>
        <v>2.3383927235015203</v>
      </c>
      <c r="X483" s="56">
        <f>VLOOKUP(B483,'Player Data'!$A1:$AE667,12,FALSE)*$Q483*IFERROR((VLOOKUP(P483,Settings!$E$28:$F$33,2,FALSE)+1),1)</f>
        <v>6.9752634041188211</v>
      </c>
      <c r="Y483" s="56">
        <f>VLOOKUP(B483,'Player Data'!$A1:$AE667,13,FALSE)*$Q483</f>
        <v>0</v>
      </c>
      <c r="Z483" s="56">
        <f>VLOOKUP(B483,'Player Data'!$A1:$AE667,14,FALSE)*$Q483</f>
        <v>0</v>
      </c>
      <c r="AA483" s="56">
        <f>VLOOKUP(B483,'Player Data'!$A1:$AE667,15,FALSE)*$Q483</f>
        <v>28.117704977178263</v>
      </c>
      <c r="AB483" s="56">
        <f>VLOOKUP(B483,'Player Data'!$A1:$AE667,16,FALSE)*$Q483</f>
        <v>29.546479764672331</v>
      </c>
      <c r="AC483" s="56">
        <f>VLOOKUP(B483,'Player Data'!$A1:$AE667,17,FALSE)*$Q483*IFERROR((VLOOKUP(P483,Settings!$E$28:$F$33,2,FALSE)+1),1)</f>
        <v>-6.0370029449020253</v>
      </c>
      <c r="AD483" s="56">
        <f>VLOOKUP(B483,'Player Data'!$A1:$AE667,18,FALSE)*$Q483</f>
        <v>18.016441799812963</v>
      </c>
      <c r="AE483" s="56">
        <f>VLOOKUP(B483,'Player Data'!$A1:$AE667,19,FALSE)*$Q483*IFERROR((VLOOKUP(P483,Settings!$E$28:$F$33,2,FALSE)+1),1)</f>
        <v>1.4405561365496069</v>
      </c>
      <c r="AF483" s="56">
        <f>VLOOKUP(B483,'Player Data'!$A1:$AE667,20,FALSE)*$Q483</f>
        <v>18.554312028815442</v>
      </c>
      <c r="AG483" s="56">
        <f>VLOOKUP(B483,'Player Data'!$A1:$AE667,21,FALSE)*$Q483</f>
        <v>39.358623651736124</v>
      </c>
      <c r="AH483" s="58">
        <f>VLOOKUP(B483,'Player Data'!$A1:$AE667,22,FALSE)</f>
        <v>0.32038286111346997</v>
      </c>
      <c r="AI483" s="54"/>
      <c r="AJ483" s="64"/>
      <c r="AK483" s="56"/>
      <c r="AL483" s="56"/>
      <c r="AM483" s="56"/>
      <c r="AN483" s="56"/>
      <c r="AO483" s="56"/>
      <c r="AP483" s="56"/>
      <c r="AQ483" s="59"/>
      <c r="AR483" s="60"/>
      <c r="AS483" s="54"/>
    </row>
    <row r="484" spans="1:45" ht="21.25" customHeight="1" x14ac:dyDescent="0.15">
      <c r="A484" s="45">
        <f>RANK(K484,K$1:K$665)</f>
        <v>483</v>
      </c>
      <c r="B484" s="9" t="s">
        <v>609</v>
      </c>
      <c r="C484" s="46" t="s">
        <v>127</v>
      </c>
      <c r="D484" s="47" t="str">
        <f>VLOOKUP(B484,'Player Data'!A1:D667,4,FALSE)</f>
        <v>D</v>
      </c>
      <c r="E484" s="66">
        <f>VLOOKUP(B484,D!A1:C213,3,FALSE)</f>
        <v>183</v>
      </c>
      <c r="F484" s="65" t="str">
        <f>VLOOKUP(B484,'Player Data'!A1:B667,2,FALSE)</f>
        <v>TOR</v>
      </c>
      <c r="G484" s="10">
        <f>VLOOKUP(B484,'Player Data'!A1:D667,3,FALSE)</f>
        <v>25</v>
      </c>
      <c r="H484" s="50">
        <f>IFERROR(VLOOKUP(B484,ADP!A1:G665,7,FALSE)/1000000,VLOOKUP(B484,ADP!A1:G665,7,FALSE))</f>
        <v>1.35</v>
      </c>
      <c r="I484" s="51">
        <f>IF(Settings!$E$15="POINTS",((R484*Q484)*Settings!$B$12)+(S484*Settings!$B$2)+(T484*Settings!$B$3)+(U484*Settings!$B$4)+(V484*Settings!$B$5)+(X484*Settings!$B$9)+(AA484*Settings!$B$6)+(W484*Settings!$B$8)+(AB484*Settings!$B$7)+(AC484*Settings!$B$14)+(AD484*Settings!$B$15)+(AE484*Settings!$B$16)+(AF484*Settings!$B$17)+(AG484*Settings!$B$18)+(U484*Settings!$B$13)+(Y484*Settings!$B$10)+(Z484*Settings!$B$11),VLOOKUP(B484,'Standard Deviations'!A1:C666,3,FALSE))</f>
        <v>119.5059544798994</v>
      </c>
      <c r="J484" s="52">
        <f>IF(D484="G",I484/AJ484,I484/Q484)</f>
        <v>1.5852749814936578</v>
      </c>
      <c r="K484" s="51">
        <f>VLOOKUP(B484,D!A1:F213,6,FALSE)</f>
        <v>-216.72817056569551</v>
      </c>
      <c r="L484" s="53">
        <f>IFERROR(K484/H484,"N/A")</f>
        <v>-160.53938560421889</v>
      </c>
      <c r="M484" s="54">
        <f>IF(Settings!$E$9="YAHOO",VLOOKUP(B484,ADP!A1:E665,2,FALSE),IF(Settings!$E$9="ESPN",VLOOKUP(B484,ADP!A1:E665,3,FALSE),IF(Settings!$E$9="FANTRAX",VLOOKUP(B484,ADP!A1:E665,4,FALSE),VLOOKUP(B484,ADP!A1:E665,5,FALSE))))</f>
        <v>182</v>
      </c>
      <c r="N484" s="54">
        <f>IFERROR(M484-A484,"N/A")</f>
        <v>-301</v>
      </c>
      <c r="O484" s="54"/>
      <c r="P484" s="55" t="str">
        <f>IF(Settings!$E$27="ON",VLOOKUP(B484,ADP!A1:H665,8,FALSE)," ")</f>
        <v xml:space="preserve"> </v>
      </c>
      <c r="Q484" s="56">
        <f>IF(Settings!$E$12="YES",VLOOKUP(B484,'Player Data'!A1:E667,5,FALSE),82)</f>
        <v>75.385000000000005</v>
      </c>
      <c r="R484" s="54">
        <f>VLOOKUP(B484,'Player Data'!$A1:$AE667,6,FALSE)</f>
        <v>17.0833208935938</v>
      </c>
      <c r="S484" s="56">
        <f>VLOOKUP(B484,'Player Data'!$A1:$AE667,7,FALSE)*$Q484*IFERROR((VLOOKUP(P484,Settings!$E$28:$F$33,2,FALSE)+1),1)</f>
        <v>2.2825637316268463</v>
      </c>
      <c r="T484" s="56">
        <f>VLOOKUP(B484,'Player Data'!$A1:$AE667,8,FALSE)*$Q484*IFERROR((VLOOKUP(P484,Settings!$E$28:$F$33,2,FALSE)+1),1)</f>
        <v>7.6858725326317501</v>
      </c>
      <c r="U484" s="56">
        <f>SUM(S484:T484)</f>
        <v>9.968436264258596</v>
      </c>
      <c r="V484" s="56">
        <f>VLOOKUP(B484,'Player Data'!$A1:$AE667,10,FALSE)*$Q484*IFERROR(((VLOOKUP(P484,Settings!$E$28:$F$33,2,FALSE)/2)+1),1)</f>
        <v>68.808037202305684</v>
      </c>
      <c r="W484" s="56">
        <f>VLOOKUP(B484,'Player Data'!$A1:$AE667,11,FALSE)*$Q484*IFERROR((VLOOKUP(P484,Settings!$E$28:$F$33,2,FALSE)+1),1)</f>
        <v>1.7368682271105173E-2</v>
      </c>
      <c r="X484" s="56">
        <f>VLOOKUP(B484,'Player Data'!$A1:$AE667,12,FALSE)*$Q484*IFERROR((VLOOKUP(P484,Settings!$E$28:$F$33,2,FALSE)+1),1)</f>
        <v>0.11245217023034486</v>
      </c>
      <c r="Y484" s="56">
        <f>VLOOKUP(B484,'Player Data'!$A1:$AE667,13,FALSE)*$Q484</f>
        <v>1.8839166887185472E-2</v>
      </c>
      <c r="Z484" s="56">
        <f>VLOOKUP(B484,'Player Data'!$A1:$AE667,14,FALSE)*$Q484</f>
        <v>9.42733848617551E-2</v>
      </c>
      <c r="AA484" s="56">
        <f>VLOOKUP(B484,'Player Data'!$A1:$AE667,15,FALSE)*$Q484</f>
        <v>109.97980306175734</v>
      </c>
      <c r="AB484" s="56">
        <f>VLOOKUP(B484,'Player Data'!$A1:$AE667,16,FALSE)*$Q484</f>
        <v>218.12036297966389</v>
      </c>
      <c r="AC484" s="56">
        <f>VLOOKUP(B484,'Player Data'!$A1:$AE667,17,FALSE)*$Q484*IFERROR((VLOOKUP(P484,Settings!$E$28:$F$33,2,FALSE)+1),1)</f>
        <v>4.0753035083448967</v>
      </c>
      <c r="AD484" s="56">
        <f>VLOOKUP(B484,'Player Data'!$A1:$AE667,18,FALSE)*$Q484</f>
        <v>47.185875161675881</v>
      </c>
      <c r="AE484" s="56">
        <f>VLOOKUP(B484,'Player Data'!$A1:$AE667,19,FALSE)*$Q484*IFERROR((VLOOKUP(P484,Settings!$E$28:$F$33,2,FALSE)+1),1)</f>
        <v>0.36516928073270594</v>
      </c>
      <c r="AF484" s="56">
        <f>VLOOKUP(B484,'Player Data'!$A1:$AE667,20,FALSE)*$Q484</f>
        <v>0</v>
      </c>
      <c r="AG484" s="56">
        <f>VLOOKUP(B484,'Player Data'!$A1:$AE667,21,FALSE)*$Q484</f>
        <v>0</v>
      </c>
      <c r="AH484" s="58">
        <f>VLOOKUP(B484,'Player Data'!$A1:$AE667,22,FALSE)</f>
        <v>0</v>
      </c>
      <c r="AI484" s="54"/>
      <c r="AJ484" s="56"/>
      <c r="AK484" s="56"/>
      <c r="AL484" s="56"/>
      <c r="AM484" s="56"/>
      <c r="AN484" s="56"/>
      <c r="AO484" s="56"/>
      <c r="AP484" s="56"/>
      <c r="AQ484" s="59"/>
      <c r="AR484" s="60"/>
      <c r="AS484" s="54"/>
    </row>
    <row r="485" spans="1:45" ht="21.25" customHeight="1" x14ac:dyDescent="0.15">
      <c r="A485" s="45">
        <f>RANK(K485,K$1:K$665)</f>
        <v>484</v>
      </c>
      <c r="B485" s="9" t="s">
        <v>610</v>
      </c>
      <c r="C485" s="46" t="s">
        <v>127</v>
      </c>
      <c r="D485" s="47" t="str">
        <f>VLOOKUP(B485,'Player Data'!A1:D667,4,FALSE)</f>
        <v>D</v>
      </c>
      <c r="E485" s="66">
        <f>VLOOKUP(B485,D!A1:C213,3,FALSE)</f>
        <v>184</v>
      </c>
      <c r="F485" s="71" t="str">
        <f>VLOOKUP(B485,'Player Data'!A1:B667,2,FALSE)</f>
        <v>VAN</v>
      </c>
      <c r="G485" s="10">
        <f>VLOOKUP(B485,'Player Data'!A1:D667,3,FALSE)</f>
        <v>28</v>
      </c>
      <c r="H485" s="50">
        <f>IFERROR(VLOOKUP(B485,ADP!A1:G665,7,FALSE)/1000000,VLOOKUP(B485,ADP!A1:G665,7,FALSE))</f>
        <v>2</v>
      </c>
      <c r="I485" s="51">
        <f>IF(Settings!$E$15="POINTS",((R485*Q485)*Settings!$B$12)+(S485*Settings!$B$2)+(T485*Settings!$B$3)+(U485*Settings!$B$4)+(V485*Settings!$B$5)+(X485*Settings!$B$9)+(AA485*Settings!$B$6)+(W485*Settings!$B$8)+(AB485*Settings!$B$7)+(AC485*Settings!$B$14)+(AD485*Settings!$B$15)+(AE485*Settings!$B$16)+(AF485*Settings!$B$17)+(AG485*Settings!$B$18)+(U485*Settings!$B$13)+(Y485*Settings!$B$10)+(Z485*Settings!$B$11),VLOOKUP(B485,'Standard Deviations'!A1:C666,3,FALSE))</f>
        <v>119.32143492548013</v>
      </c>
      <c r="J485" s="52">
        <f>IF(D485="G",I485/AJ485,I485/Q485)</f>
        <v>1.6950271315502541</v>
      </c>
      <c r="K485" s="51">
        <f>VLOOKUP(B485,D!A1:F213,6,FALSE)</f>
        <v>-216.91269012011477</v>
      </c>
      <c r="L485" s="53">
        <f>IFERROR(K485/H485,"N/A")</f>
        <v>-108.45634506005739</v>
      </c>
      <c r="M485" s="83" t="str">
        <f>IF(Settings!$E$9="YAHOO",VLOOKUP(B485,ADP!A1:E665,2,FALSE),IF(Settings!$E$9="ESPN",VLOOKUP(B485,ADP!A1:E665,3,FALSE),IF(Settings!$E$9="FANTRAX",VLOOKUP(B485,ADP!A1:E665,4,FALSE),VLOOKUP(B485,ADP!A1:E665,5,FALSE))))</f>
        <v>—</v>
      </c>
      <c r="N485" s="83" t="str">
        <f>IFERROR(M485-A485,"N/A")</f>
        <v>N/A</v>
      </c>
      <c r="O485" s="54"/>
      <c r="P485" s="55" t="str">
        <f>IF(Settings!$E$27="ON",VLOOKUP(B485,ADP!A1:H665,8,FALSE)," ")</f>
        <v xml:space="preserve"> </v>
      </c>
      <c r="Q485" s="56">
        <f>IF(Settings!$E$12="YES",VLOOKUP(B485,'Player Data'!A1:E667,5,FALSE),82)</f>
        <v>70.394999999999996</v>
      </c>
      <c r="R485" s="75">
        <f>VLOOKUP(B485,'Player Data'!$A1:$AE667,6,FALSE)</f>
        <v>17.221419965223699</v>
      </c>
      <c r="S485" s="56">
        <f>VLOOKUP(B485,'Player Data'!$A1:$AE667,7,FALSE)*$Q485*IFERROR((VLOOKUP(P485,Settings!$E$28:$F$33,2,FALSE)+1),1)</f>
        <v>1.4850847116472585</v>
      </c>
      <c r="T485" s="56">
        <f>VLOOKUP(B485,'Player Data'!$A1:$AE667,8,FALSE)*$Q485*IFERROR((VLOOKUP(P485,Settings!$E$28:$F$33,2,FALSE)+1),1)</f>
        <v>11.212134516751622</v>
      </c>
      <c r="U485" s="56">
        <f>SUM(S485:T485)</f>
        <v>12.697219228398881</v>
      </c>
      <c r="V485" s="56">
        <f>VLOOKUP(B485,'Player Data'!$A1:$AE667,10,FALSE)*$Q485*IFERROR(((VLOOKUP(P485,Settings!$E$28:$F$33,2,FALSE)/2)+1),1)</f>
        <v>45.902272013559816</v>
      </c>
      <c r="W485" s="56">
        <f>VLOOKUP(B485,'Player Data'!$A1:$AE667,11,FALSE)*$Q485*IFERROR((VLOOKUP(P485,Settings!$E$28:$F$33,2,FALSE)+1),1)</f>
        <v>2.2207273002924379E-2</v>
      </c>
      <c r="X485" s="56">
        <f>VLOOKUP(B485,'Player Data'!$A1:$AE667,12,FALSE)*$Q485*IFERROR((VLOOKUP(P485,Settings!$E$28:$F$33,2,FALSE)+1),1)</f>
        <v>0.14839857906532256</v>
      </c>
      <c r="Y485" s="56">
        <f>VLOOKUP(B485,'Player Data'!$A1:$AE667,13,FALSE)*$Q485</f>
        <v>3.5431417898282587E-2</v>
      </c>
      <c r="Z485" s="56">
        <f>VLOOKUP(B485,'Player Data'!$A1:$AE667,14,FALSE)*$Q485</f>
        <v>0.96920257530241138</v>
      </c>
      <c r="AA485" s="56">
        <f>VLOOKUP(B485,'Player Data'!$A1:$AE667,15,FALSE)*$Q485</f>
        <v>114.32208015827167</v>
      </c>
      <c r="AB485" s="56">
        <f>VLOOKUP(B485,'Player Data'!$A1:$AE667,16,FALSE)*$Q485</f>
        <v>118.86605109816435</v>
      </c>
      <c r="AC485" s="56">
        <f>VLOOKUP(B485,'Player Data'!$A1:$AE667,17,FALSE)*$Q485*IFERROR((VLOOKUP(P485,Settings!$E$28:$F$33,2,FALSE)+1),1)</f>
        <v>0.18359307727423621</v>
      </c>
      <c r="AD485" s="56">
        <f>VLOOKUP(B485,'Player Data'!$A1:$AE667,18,FALSE)*$Q485</f>
        <v>49.65957094742857</v>
      </c>
      <c r="AE485" s="56">
        <f>VLOOKUP(B485,'Player Data'!$A1:$AE667,19,FALSE)*$Q485*IFERROR((VLOOKUP(P485,Settings!$E$28:$F$33,2,FALSE)+1),1)</f>
        <v>0.25361415866921017</v>
      </c>
      <c r="AF485" s="56">
        <f>VLOOKUP(B485,'Player Data'!$A1:$AE667,20,FALSE)*$Q485</f>
        <v>0</v>
      </c>
      <c r="AG485" s="56">
        <f>VLOOKUP(B485,'Player Data'!$A1:$AE667,21,FALSE)*$Q485</f>
        <v>0</v>
      </c>
      <c r="AH485" s="58">
        <f>VLOOKUP(B485,'Player Data'!$A1:$AE667,22,FALSE)</f>
        <v>0</v>
      </c>
      <c r="AI485" s="54"/>
      <c r="AJ485" s="64"/>
      <c r="AK485" s="56"/>
      <c r="AL485" s="56"/>
      <c r="AM485" s="56"/>
      <c r="AN485" s="56"/>
      <c r="AO485" s="56"/>
      <c r="AP485" s="56"/>
      <c r="AQ485" s="59"/>
      <c r="AR485" s="60"/>
      <c r="AS485" s="54"/>
    </row>
    <row r="486" spans="1:45" ht="21.25" customHeight="1" x14ac:dyDescent="0.15">
      <c r="A486" s="45">
        <f>RANK(K486,K$1:K$665)</f>
        <v>485</v>
      </c>
      <c r="B486" s="9" t="s">
        <v>611</v>
      </c>
      <c r="C486" s="46" t="s">
        <v>127</v>
      </c>
      <c r="D486" s="47" t="str">
        <f>VLOOKUP(B486,'Player Data'!A1:D667,4,FALSE)</f>
        <v>RW</v>
      </c>
      <c r="E486" s="61">
        <f>VLOOKUP(B486,RW!A1:F136,3,FALSE)</f>
        <v>102</v>
      </c>
      <c r="F486" s="55" t="str">
        <f>VLOOKUP(B486,'Player Data'!A1:B667,2,FALSE)</f>
        <v>DAL</v>
      </c>
      <c r="G486" s="63">
        <f>VLOOKUP(B486,'Player Data'!A1:D667,3,FALSE)</f>
        <v>35</v>
      </c>
      <c r="H486" s="67">
        <f>IFERROR(VLOOKUP(B486,ADP!A1:G665,7,FALSE)/1000000,VLOOKUP(B486,ADP!A1:G665,7,FALSE))</f>
        <v>2.25</v>
      </c>
      <c r="I486" s="51">
        <f>IF(Settings!$E$15="POINTS",((R486*Q486)*Settings!$B$12)+(S486*Settings!$B$2)+(T486*Settings!$B$3)+(U486*Settings!$B$4)+(V486*Settings!$B$5)+(X486*Settings!$B$9)+(AA486*Settings!$B$6)+(W486*Settings!$B$8)+(AB486*Settings!$B$7)+(AC486*Settings!$B$14)+(AD486*Settings!$B$15)+(AE486*Settings!$B$16)+(AF486*Settings!$B$17)+(AG486*Settings!$B$18)+(Y486*Settings!$B$10)+(Z486*Settings!$B$11),VLOOKUP(B486,'Standard Deviations'!A1:C666,3,FALSE))</f>
        <v>151.89374177257309</v>
      </c>
      <c r="J486" s="52">
        <f>IF(D486="G",I486/AJ486,I486/Q486)</f>
        <v>2.0282246197432645</v>
      </c>
      <c r="K486" s="51">
        <f>IF(Settings!$E$18="C/LW/RW",VLOOKUP(B486,RW!A1:F136,6,FALSE),VLOOKUP(B486,F!A1:F392,6,FALSE))</f>
        <v>-216.9539813337193</v>
      </c>
      <c r="L486" s="53">
        <f>IFERROR(K486/H486,"N/A")</f>
        <v>-96.423991703875245</v>
      </c>
      <c r="M486" s="83" t="str">
        <f>IF(Settings!$E$9="YAHOO",VLOOKUP(B486,ADP!A1:E665,2,FALSE),IF(Settings!$E$9="ESPN",VLOOKUP(B486,ADP!A1:E665,3,FALSE),IF(Settings!$E$9="FANTRAX",VLOOKUP(B486,ADP!A1:E665,4,FALSE),VLOOKUP(B486,ADP!A1:E665,5,FALSE))))</f>
        <v>—</v>
      </c>
      <c r="N486" s="83" t="str">
        <f>IFERROR(M486-A486,"N/A")</f>
        <v>N/A</v>
      </c>
      <c r="O486" s="54"/>
      <c r="P486" s="55" t="str">
        <f>IF(Settings!$E$27="ON",VLOOKUP(B486,ADP!A1:H665,8,FALSE)," ")</f>
        <v xml:space="preserve"> </v>
      </c>
      <c r="Q486" s="56">
        <f>IF(Settings!$E$12="YES",VLOOKUP(B486,'Player Data'!A1:E667,5,FALSE),82)</f>
        <v>74.89</v>
      </c>
      <c r="R486" s="54">
        <f>VLOOKUP(B486,'Player Data'!$A1:$AE667,6,FALSE)</f>
        <v>12.398037118493599</v>
      </c>
      <c r="S486" s="56">
        <f>VLOOKUP(B486,'Player Data'!$A1:$AE667,7,FALSE)*$Q486*IFERROR((VLOOKUP(P486,Settings!$E$28:$F$33,2,FALSE)+1),1)</f>
        <v>10.943516111381928</v>
      </c>
      <c r="T486" s="56">
        <f>VLOOKUP(B486,'Player Data'!$A1:$AE667,8,FALSE)*$Q486*IFERROR((VLOOKUP(P486,Settings!$E$28:$F$33,2,FALSE)+1),1)</f>
        <v>16.692334313883332</v>
      </c>
      <c r="U486" s="56">
        <f>SUM(S486:T486)</f>
        <v>27.635850425265261</v>
      </c>
      <c r="V486" s="56">
        <f>VLOOKUP(B486,'Player Data'!$A1:$AE667,10,FALSE)*$Q486*IFERROR(((VLOOKUP(P486,Settings!$E$28:$F$33,2,FALSE)/2)+1),1)</f>
        <v>101.72292135373195</v>
      </c>
      <c r="W486" s="56">
        <f>VLOOKUP(B486,'Player Data'!$A1:$AE667,11,FALSE)*$Q486*IFERROR((VLOOKUP(P486,Settings!$E$28:$F$33,2,FALSE)+1),1)</f>
        <v>0.92246721619353811</v>
      </c>
      <c r="X486" s="56">
        <f>VLOOKUP(B486,'Player Data'!$A1:$AE667,12,FALSE)*$Q486*IFERROR((VLOOKUP(P486,Settings!$E$28:$F$33,2,FALSE)+1),1)</f>
        <v>2.7623871409441616</v>
      </c>
      <c r="Y486" s="56">
        <f>VLOOKUP(B486,'Player Data'!$A1:$AE667,13,FALSE)*$Q486</f>
        <v>1.8695101617006119E-3</v>
      </c>
      <c r="Z486" s="56">
        <f>VLOOKUP(B486,'Player Data'!$A1:$AE667,14,FALSE)*$Q486</f>
        <v>3.2390315237531319E-3</v>
      </c>
      <c r="AA486" s="56">
        <f>VLOOKUP(B486,'Player Data'!$A1:$AE667,15,FALSE)*$Q486</f>
        <v>30.718207294886898</v>
      </c>
      <c r="AB486" s="56">
        <f>VLOOKUP(B486,'Player Data'!$A1:$AE667,16,FALSE)*$Q486</f>
        <v>50.768991970702217</v>
      </c>
      <c r="AC486" s="56">
        <f>VLOOKUP(B486,'Player Data'!$A1:$AE667,17,FALSE)*$Q486*IFERROR((VLOOKUP(P486,Settings!$E$28:$F$33,2,FALSE)+1),1)</f>
        <v>3.5020141891742944</v>
      </c>
      <c r="AD486" s="56">
        <f>VLOOKUP(B486,'Player Data'!$A1:$AE667,18,FALSE)*$Q486</f>
        <v>17.055378948053061</v>
      </c>
      <c r="AE486" s="56">
        <f>VLOOKUP(B486,'Player Data'!$A1:$AE667,19,FALSE)*$Q486*IFERROR((VLOOKUP(P486,Settings!$E$28:$F$33,2,FALSE)+1),1)</f>
        <v>1.7500730207370792</v>
      </c>
      <c r="AF486" s="56">
        <f>VLOOKUP(B486,'Player Data'!$A1:$AE667,20,FALSE)*$Q486</f>
        <v>0.86861129837411788</v>
      </c>
      <c r="AG486" s="56">
        <f>VLOOKUP(B486,'Player Data'!$A1:$AE667,21,FALSE)*$Q486</f>
        <v>4.5342466173846674</v>
      </c>
      <c r="AH486" s="58">
        <f>VLOOKUP(B486,'Player Data'!$A1:$AE667,22,FALSE)</f>
        <v>0.160768858244559</v>
      </c>
      <c r="AI486" s="54"/>
      <c r="AJ486" s="64"/>
      <c r="AK486" s="56"/>
      <c r="AL486" s="56"/>
      <c r="AM486" s="56"/>
      <c r="AN486" s="56"/>
      <c r="AO486" s="56"/>
      <c r="AP486" s="56"/>
      <c r="AQ486" s="59"/>
      <c r="AR486" s="60"/>
      <c r="AS486" s="64"/>
    </row>
    <row r="487" spans="1:45" ht="21.25" customHeight="1" x14ac:dyDescent="0.15">
      <c r="A487" s="45">
        <f>RANK(K487,K$1:K$665)</f>
        <v>486</v>
      </c>
      <c r="B487" s="9" t="s">
        <v>612</v>
      </c>
      <c r="C487" s="46" t="s">
        <v>127</v>
      </c>
      <c r="D487" s="47" t="str">
        <f>VLOOKUP(B487,'Player Data'!A1:D667,4,FALSE)</f>
        <v>RW</v>
      </c>
      <c r="E487" s="61">
        <f>VLOOKUP(B487,RW!A1:F136,3,FALSE)</f>
        <v>103</v>
      </c>
      <c r="F487" s="72" t="str">
        <f>VLOOKUP(B487,'Player Data'!A1:B667,2,FALSE)</f>
        <v>L.A</v>
      </c>
      <c r="G487" s="69">
        <f>VLOOKUP(B487,'Player Data'!A1:D667,3,FALSE)</f>
        <v>22</v>
      </c>
      <c r="H487" s="67">
        <f>IFERROR(VLOOKUP(B487,ADP!A1:G665,7,FALSE)/1000000,VLOOKUP(B487,ADP!A1:G665,7,FALSE))</f>
        <v>0.875</v>
      </c>
      <c r="I487" s="51">
        <f>IF(Settings!$E$15="POINTS",((R487*Q487)*Settings!$B$12)+(S487*Settings!$B$2)+(T487*Settings!$B$3)+(U487*Settings!$B$4)+(V487*Settings!$B$5)+(X487*Settings!$B$9)+(AA487*Settings!$B$6)+(W487*Settings!$B$8)+(AB487*Settings!$B$7)+(AC487*Settings!$B$14)+(AD487*Settings!$B$15)+(AE487*Settings!$B$16)+(AF487*Settings!$B$17)+(AG487*Settings!$B$18)+(Y487*Settings!$B$10)+(Z487*Settings!$B$11),VLOOKUP(B487,'Standard Deviations'!A1:C666,3,FALSE))</f>
        <v>151.09188628155823</v>
      </c>
      <c r="J487" s="52">
        <f>IF(D487="G",I487/AJ487,I487/Q487)</f>
        <v>1.8742403557843856</v>
      </c>
      <c r="K487" s="51">
        <f>IF(Settings!$E$18="C/LW/RW",VLOOKUP(B487,RW!A1:F136,6,FALSE),VLOOKUP(B487,F!A1:F392,6,FALSE))</f>
        <v>-217.75583682473416</v>
      </c>
      <c r="L487" s="53">
        <f>IFERROR(K487/H487,"N/A")</f>
        <v>-248.86381351398191</v>
      </c>
      <c r="M487" s="83" t="str">
        <f>IF(Settings!$E$9="YAHOO",VLOOKUP(B487,ADP!A1:E665,2,FALSE),IF(Settings!$E$9="ESPN",VLOOKUP(B487,ADP!A1:E665,3,FALSE),IF(Settings!$E$9="FANTRAX",VLOOKUP(B487,ADP!A1:E665,4,FALSE),VLOOKUP(B487,ADP!A1:E665,5,FALSE))))</f>
        <v>—</v>
      </c>
      <c r="N487" s="83" t="str">
        <f>IFERROR(M487-A487,"N/A")</f>
        <v>N/A</v>
      </c>
      <c r="O487" s="54"/>
      <c r="P487" s="55" t="str">
        <f>IF(Settings!$E$27="ON",VLOOKUP(B487,ADP!A1:H665,8,FALSE)," ")</f>
        <v xml:space="preserve"> </v>
      </c>
      <c r="Q487" s="56">
        <f>IF(Settings!$E$12="YES",VLOOKUP(B487,'Player Data'!A1:E667,5,FALSE),82)</f>
        <v>80.614999999999995</v>
      </c>
      <c r="R487" s="54">
        <f>VLOOKUP(B487,'Player Data'!$A1:$AE667,6,FALSE)</f>
        <v>12.3957657527663</v>
      </c>
      <c r="S487" s="56">
        <f>VLOOKUP(B487,'Player Data'!$A1:$AE667,7,FALSE)*$Q487*IFERROR((VLOOKUP(P487,Settings!$E$28:$F$33,2,FALSE)+1),1)</f>
        <v>12.003744520838469</v>
      </c>
      <c r="T487" s="56">
        <f>VLOOKUP(B487,'Player Data'!$A1:$AE667,8,FALSE)*$Q487*IFERROR((VLOOKUP(P487,Settings!$E$28:$F$33,2,FALSE)+1),1)</f>
        <v>11.076698737853938</v>
      </c>
      <c r="U487" s="56">
        <f>SUM(S487:T487)</f>
        <v>23.080443258692405</v>
      </c>
      <c r="V487" s="56">
        <f>VLOOKUP(B487,'Player Data'!$A1:$AE667,10,FALSE)*$Q487*IFERROR(((VLOOKUP(P487,Settings!$E$28:$F$33,2,FALSE)/2)+1),1)</f>
        <v>131.05218989866259</v>
      </c>
      <c r="W487" s="56">
        <f>VLOOKUP(B487,'Player Data'!$A1:$AE667,11,FALSE)*$Q487*IFERROR((VLOOKUP(P487,Settings!$E$28:$F$33,2,FALSE)+1),1)</f>
        <v>0.23076315570407019</v>
      </c>
      <c r="X487" s="56">
        <f>VLOOKUP(B487,'Player Data'!$A1:$AE667,12,FALSE)*$Q487*IFERROR((VLOOKUP(P487,Settings!$E$28:$F$33,2,FALSE)+1),1)</f>
        <v>1.1040211121659256</v>
      </c>
      <c r="Y487" s="56">
        <f>VLOOKUP(B487,'Player Data'!$A1:$AE667,13,FALSE)*$Q487</f>
        <v>0.3876841788196777</v>
      </c>
      <c r="Z487" s="56">
        <f>VLOOKUP(B487,'Player Data'!$A1:$AE667,14,FALSE)*$Q487</f>
        <v>0.66269895946723545</v>
      </c>
      <c r="AA487" s="56">
        <f>VLOOKUP(B487,'Player Data'!$A1:$AE667,15,FALSE)*$Q487</f>
        <v>29.115482969033096</v>
      </c>
      <c r="AB487" s="56">
        <f>VLOOKUP(B487,'Player Data'!$A1:$AE667,16,FALSE)*$Q487</f>
        <v>100.40506639042493</v>
      </c>
      <c r="AC487" s="56">
        <f>VLOOKUP(B487,'Player Data'!$A1:$AE667,17,FALSE)*$Q487*IFERROR((VLOOKUP(P487,Settings!$E$28:$F$33,2,FALSE)+1),1)</f>
        <v>-7.5944234006254316E-2</v>
      </c>
      <c r="AD487" s="56">
        <f>VLOOKUP(B487,'Player Data'!$A1:$AE667,18,FALSE)*$Q487</f>
        <v>39.91552640725407</v>
      </c>
      <c r="AE487" s="56">
        <f>VLOOKUP(B487,'Player Data'!$A1:$AE667,19,FALSE)*$Q487*IFERROR((VLOOKUP(P487,Settings!$E$28:$F$33,2,FALSE)+1),1)</f>
        <v>2.1392073616270473</v>
      </c>
      <c r="AF487" s="56">
        <f>VLOOKUP(B487,'Player Data'!$A1:$AE667,20,FALSE)*$Q487</f>
        <v>6.5324921489678385</v>
      </c>
      <c r="AG487" s="56">
        <f>VLOOKUP(B487,'Player Data'!$A1:$AE667,21,FALSE)*$Q487</f>
        <v>5.5992789848295912</v>
      </c>
      <c r="AH487" s="58">
        <f>VLOOKUP(B487,'Player Data'!$A1:$AE667,22,FALSE)</f>
        <v>0.53846153846153799</v>
      </c>
      <c r="AI487" s="54"/>
      <c r="AJ487" s="56"/>
      <c r="AK487" s="56"/>
      <c r="AL487" s="56"/>
      <c r="AM487" s="56"/>
      <c r="AN487" s="56"/>
      <c r="AO487" s="56"/>
      <c r="AP487" s="56"/>
      <c r="AQ487" s="59"/>
      <c r="AR487" s="60"/>
      <c r="AS487" s="54"/>
    </row>
    <row r="488" spans="1:45" ht="21.25" customHeight="1" x14ac:dyDescent="0.15">
      <c r="A488" s="45">
        <f>RANK(K488,K$1:K$665)</f>
        <v>487</v>
      </c>
      <c r="B488" s="9" t="s">
        <v>613</v>
      </c>
      <c r="C488" s="46" t="s">
        <v>127</v>
      </c>
      <c r="D488" s="47" t="str">
        <f>VLOOKUP(B488,'Player Data'!A1:D667,4,FALSE)</f>
        <v>G</v>
      </c>
      <c r="E488" s="73">
        <f>VLOOKUP(B488,G!A1:D65,3,FALSE)</f>
        <v>45</v>
      </c>
      <c r="F488" s="65" t="str">
        <f>VLOOKUP(B488,'Player Data'!A1:B667,2,FALSE)</f>
        <v>PIT</v>
      </c>
      <c r="G488" s="10">
        <f>VLOOKUP(B488,'Player Data'!A1:D667,3,FALSE)</f>
        <v>28</v>
      </c>
      <c r="H488" s="50">
        <f>IFERROR(VLOOKUP(B488,ADP!A1:G665,7,FALSE)/1000000,VLOOKUP(B488,ADP!A1:G665,7,FALSE))</f>
        <v>2.5</v>
      </c>
      <c r="I488" s="51">
        <f>IF(Settings!$E$15="POINTS",(AJ488*Settings!$B$29)+(AK488*Settings!$B$21)+(AL488*Settings!$B$22)+(AN488*Settings!$B$24)+(AO488*Settings!$B$25)+(AP488*Settings!$B$27)+(AM488*Settings!$B$23),VLOOKUP(B488,'Standard Deviations'!A1:C666,3,FALSE))</f>
        <v>192.75773850605896</v>
      </c>
      <c r="J488" s="52">
        <f>IF(D488="G",I488/AJ488,I488/Q488)</f>
        <v>6.4252579502019653</v>
      </c>
      <c r="K488" s="51">
        <f>VLOOKUP(B488,G!A1:F65,6,FALSE)</f>
        <v>-217.90200426336122</v>
      </c>
      <c r="L488" s="53">
        <f>IFERROR(K488/H488,"N/A")</f>
        <v>-87.160801705344483</v>
      </c>
      <c r="M488" s="54">
        <f>IF(Settings!$E$9="YAHOO",VLOOKUP(B488,ADP!A1:E665,2,FALSE),IF(Settings!$E$9="ESPN",VLOOKUP(B488,ADP!A1:E665,3,FALSE),IF(Settings!$E$9="FANTRAX",VLOOKUP(B488,ADP!A1:E665,4,FALSE),VLOOKUP(B488,ADP!A1:E665,5,FALSE))))</f>
        <v>177.5</v>
      </c>
      <c r="N488" s="54">
        <f>IFERROR(M488-A488,"N/A")</f>
        <v>-309.5</v>
      </c>
      <c r="O488" s="54"/>
      <c r="P488" s="55" t="str">
        <f>IF(Settings!$E$27="ON",VLOOKUP(B488,ADP!A1:H665,8,FALSE)," ")</f>
        <v xml:space="preserve"> </v>
      </c>
      <c r="Q488" s="56"/>
      <c r="R488" s="54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8"/>
      <c r="AI488" s="54"/>
      <c r="AJ488" s="64">
        <f>VLOOKUP(B488,'Player Data'!$A1:$AE667,24,FALSE)</f>
        <v>30</v>
      </c>
      <c r="AK488" s="56">
        <f>VLOOKUP(B488,'Player Data'!$A1:$AE667,25,FALSE)*$AJ488*IFERROR((VLOOKUP(P488,Settings!$E$28:$F$33,2,FALSE)+1),1)</f>
        <v>14.81203760792382</v>
      </c>
      <c r="AL488" s="56">
        <f>AJ488-AK488-AM488</f>
        <v>11.43796239207618</v>
      </c>
      <c r="AM488" s="56">
        <f>VLOOKUP(B488,'Player Data'!$A1:$AE667,27,FALSE)*$AJ488</f>
        <v>3.75</v>
      </c>
      <c r="AN488" s="56">
        <f>VLOOKUP(B488,'Player Data'!$A1:$AE667,28,FALSE)*AJ488</f>
        <v>1.2483254574909719</v>
      </c>
      <c r="AO488" s="56">
        <f>VLOOKUP(B488,'Player Data'!$A1:$AE667,29,FALSE)*$AJ488*IFERROR((VLOOKUP(P488,Settings!$E$28:$F$33,2,FALSE)/4)+1,1)</f>
        <v>841.02271901235304</v>
      </c>
      <c r="AP488" s="56">
        <f>VLOOKUP(B488,'Player Data'!$A1:$AE667,31,FALSE)*$AJ488*(IFERROR(1-(VLOOKUP(P488,Settings!$E$28:$F$33,2,FALSE)/4),1))</f>
        <v>91.146019760459993</v>
      </c>
      <c r="AQ488" s="59">
        <f>1-(AP488/(AO488+AP488))</f>
        <v>0.90222154426627477</v>
      </c>
      <c r="AR488" s="60">
        <f>AP488/AJ488</f>
        <v>3.0382006586819998</v>
      </c>
      <c r="AS488" s="54"/>
    </row>
    <row r="489" spans="1:45" ht="21.25" customHeight="1" x14ac:dyDescent="0.15">
      <c r="A489" s="45">
        <f>RANK(K489,K$1:K$665)</f>
        <v>488</v>
      </c>
      <c r="B489" s="9" t="s">
        <v>614</v>
      </c>
      <c r="C489" s="46" t="s">
        <v>127</v>
      </c>
      <c r="D489" s="47" t="str">
        <f>VLOOKUP(B489,'Player Data'!A1:D667,4,FALSE)</f>
        <v>D</v>
      </c>
      <c r="E489" s="66">
        <f>VLOOKUP(B489,D!A1:C213,3,FALSE)</f>
        <v>185</v>
      </c>
      <c r="F489" s="72" t="str">
        <f>VLOOKUP(B489,'Player Data'!A1:B667,2,FALSE)</f>
        <v>L.A</v>
      </c>
      <c r="G489" s="63">
        <f>VLOOKUP(B489,'Player Data'!A1:D667,3,FALSE)</f>
        <v>31</v>
      </c>
      <c r="H489" s="50">
        <f>IFERROR(VLOOKUP(B489,ADP!A1:G665,7,FALSE)/1000000,VLOOKUP(B489,ADP!A1:G665,7,FALSE))</f>
        <v>3.85</v>
      </c>
      <c r="I489" s="51">
        <f>IF(Settings!$E$15="POINTS",((R489*Q489)*Settings!$B$12)+(S489*Settings!$B$2)+(T489*Settings!$B$3)+(U489*Settings!$B$4)+(V489*Settings!$B$5)+(X489*Settings!$B$9)+(AA489*Settings!$B$6)+(W489*Settings!$B$8)+(AB489*Settings!$B$7)+(AC489*Settings!$B$14)+(AD489*Settings!$B$15)+(AE489*Settings!$B$16)+(AF489*Settings!$B$17)+(AG489*Settings!$B$18)+(U489*Settings!$B$13)+(Y489*Settings!$B$10)+(Z489*Settings!$B$11),VLOOKUP(B489,'Standard Deviations'!A1:C666,3,FALSE))</f>
        <v>117.8995499419608</v>
      </c>
      <c r="J489" s="52">
        <f>IF(D489="G",I489/AJ489,I489/Q489)</f>
        <v>1.7288591530458364</v>
      </c>
      <c r="K489" s="51">
        <f>VLOOKUP(B489,D!A1:F213,6,FALSE)</f>
        <v>-218.33457510363411</v>
      </c>
      <c r="L489" s="53">
        <f>IFERROR(K489/H489,"N/A")</f>
        <v>-56.710279247697173</v>
      </c>
      <c r="M489" s="83" t="str">
        <f>IF(Settings!$E$9="YAHOO",VLOOKUP(B489,ADP!A1:E665,2,FALSE),IF(Settings!$E$9="ESPN",VLOOKUP(B489,ADP!A1:E665,3,FALSE),IF(Settings!$E$9="FANTRAX",VLOOKUP(B489,ADP!A1:E665,4,FALSE),VLOOKUP(B489,ADP!A1:E665,5,FALSE))))</f>
        <v>—</v>
      </c>
      <c r="N489" s="83" t="str">
        <f>IFERROR(M489-A489,"N/A")</f>
        <v>N/A</v>
      </c>
      <c r="O489" s="54"/>
      <c r="P489" s="55" t="str">
        <f>IF(Settings!$E$27="ON",VLOOKUP(B489,ADP!A1:H665,8,FALSE)," ")</f>
        <v xml:space="preserve"> </v>
      </c>
      <c r="Q489" s="56">
        <f>IF(Settings!$E$12="YES",VLOOKUP(B489,'Player Data'!A1:E667,5,FALSE),82)</f>
        <v>68.194999999999993</v>
      </c>
      <c r="R489" s="54">
        <f>VLOOKUP(B489,'Player Data'!$A1:$AE667,6,FALSE)</f>
        <v>16.935425427399199</v>
      </c>
      <c r="S489" s="56">
        <f>VLOOKUP(B489,'Player Data'!$A1:$AE667,7,FALSE)*$Q489*IFERROR((VLOOKUP(P489,Settings!$E$28:$F$33,2,FALSE)+1),1)</f>
        <v>2.3808522497295495</v>
      </c>
      <c r="T489" s="56">
        <f>VLOOKUP(B489,'Player Data'!$A1:$AE667,8,FALSE)*$Q489*IFERROR((VLOOKUP(P489,Settings!$E$28:$F$33,2,FALSE)+1),1)</f>
        <v>9.0728308518286926</v>
      </c>
      <c r="U489" s="56">
        <f>SUM(S489:T489)</f>
        <v>11.453683101558243</v>
      </c>
      <c r="V489" s="56">
        <f>VLOOKUP(B489,'Player Data'!$A1:$AE667,10,FALSE)*$Q489*IFERROR(((VLOOKUP(P489,Settings!$E$28:$F$33,2,FALSE)/2)+1),1)</f>
        <v>62.269318243822624</v>
      </c>
      <c r="W489" s="56">
        <f>VLOOKUP(B489,'Player Data'!$A1:$AE667,11,FALSE)*$Q489*IFERROR((VLOOKUP(P489,Settings!$E$28:$F$33,2,FALSE)+1),1)</f>
        <v>1.2377145998897148E-2</v>
      </c>
      <c r="X489" s="56">
        <f>VLOOKUP(B489,'Player Data'!$A1:$AE667,12,FALSE)*$Q489*IFERROR((VLOOKUP(P489,Settings!$E$28:$F$33,2,FALSE)+1),1)</f>
        <v>8.254201577121402E-2</v>
      </c>
      <c r="Y489" s="56">
        <f>VLOOKUP(B489,'Player Data'!$A1:$AE667,13,FALSE)*$Q489</f>
        <v>2.9747646722839267E-2</v>
      </c>
      <c r="Z489" s="56">
        <f>VLOOKUP(B489,'Player Data'!$A1:$AE667,14,FALSE)*$Q489</f>
        <v>0.3812581747885771</v>
      </c>
      <c r="AA489" s="56">
        <f>VLOOKUP(B489,'Player Data'!$A1:$AE667,15,FALSE)*$Q489</f>
        <v>103.88008264962993</v>
      </c>
      <c r="AB489" s="56">
        <f>VLOOKUP(B489,'Player Data'!$A1:$AE667,16,FALSE)*$Q489</f>
        <v>105.95075272630555</v>
      </c>
      <c r="AC489" s="56">
        <f>VLOOKUP(B489,'Player Data'!$A1:$AE667,17,FALSE)*$Q489*IFERROR((VLOOKUP(P489,Settings!$E$28:$F$33,2,FALSE)+1),1)</f>
        <v>-0.73220556700708694</v>
      </c>
      <c r="AD489" s="56">
        <f>VLOOKUP(B489,'Player Data'!$A1:$AE667,18,FALSE)*$Q489</f>
        <v>35.475800698944219</v>
      </c>
      <c r="AE489" s="56">
        <f>VLOOKUP(B489,'Player Data'!$A1:$AE667,19,FALSE)*$Q489*IFERROR((VLOOKUP(P489,Settings!$E$28:$F$33,2,FALSE)+1),1)</f>
        <v>0.42429565630342214</v>
      </c>
      <c r="AF489" s="56">
        <f>VLOOKUP(B489,'Player Data'!$A1:$AE667,20,FALSE)*$Q489</f>
        <v>0</v>
      </c>
      <c r="AG489" s="56">
        <f>VLOOKUP(B489,'Player Data'!$A1:$AE667,21,FALSE)*$Q489</f>
        <v>0</v>
      </c>
      <c r="AH489" s="58">
        <f>VLOOKUP(B489,'Player Data'!$A1:$AE667,22,FALSE)</f>
        <v>0</v>
      </c>
      <c r="AI489" s="54"/>
      <c r="AJ489" s="64"/>
      <c r="AK489" s="56"/>
      <c r="AL489" s="56"/>
      <c r="AM489" s="56"/>
      <c r="AN489" s="56"/>
      <c r="AO489" s="56"/>
      <c r="AP489" s="56"/>
      <c r="AQ489" s="59"/>
      <c r="AR489" s="60"/>
      <c r="AS489" s="54"/>
    </row>
    <row r="490" spans="1:45" ht="21.25" customHeight="1" x14ac:dyDescent="0.15">
      <c r="A490" s="45">
        <f>RANK(K490,K$1:K$665)</f>
        <v>489</v>
      </c>
      <c r="B490" s="9" t="s">
        <v>615</v>
      </c>
      <c r="C490" s="46" t="s">
        <v>127</v>
      </c>
      <c r="D490" s="47" t="str">
        <f>VLOOKUP(B490,'Player Data'!A1:D667,4,FALSE)</f>
        <v>D</v>
      </c>
      <c r="E490" s="66">
        <f>VLOOKUP(B490,D!A1:C213,3,FALSE)</f>
        <v>186</v>
      </c>
      <c r="F490" s="62" t="str">
        <f>VLOOKUP(B490,'Player Data'!A1:B667,2,FALSE)</f>
        <v>SEA</v>
      </c>
      <c r="G490" s="69">
        <f>VLOOKUP(B490,'Player Data'!A1:D667,3,FALSE)</f>
        <v>22</v>
      </c>
      <c r="H490" s="67">
        <f>IFERROR(VLOOKUP(B490,ADP!A1:G665,7,FALSE)/1000000,VLOOKUP(B490,ADP!A1:G665,7,FALSE))</f>
        <v>0.89749999999999996</v>
      </c>
      <c r="I490" s="51">
        <f>IF(Settings!$E$15="POINTS",((R490*Q490)*Settings!$B$12)+(S490*Settings!$B$2)+(T490*Settings!$B$3)+(U490*Settings!$B$4)+(V490*Settings!$B$5)+(X490*Settings!$B$9)+(AA490*Settings!$B$6)+(W490*Settings!$B$8)+(AB490*Settings!$B$7)+(AC490*Settings!$B$14)+(AD490*Settings!$B$15)+(AE490*Settings!$B$16)+(AF490*Settings!$B$17)+(AG490*Settings!$B$18)+(U490*Settings!$B$13)+(Y490*Settings!$B$10)+(Z490*Settings!$B$11),VLOOKUP(B490,'Standard Deviations'!A1:C666,3,FALSE))</f>
        <v>117.59218811344608</v>
      </c>
      <c r="J490" s="52">
        <f>IF(D490="G",I490/AJ490,I490/Q490)</f>
        <v>1.8683220227748027</v>
      </c>
      <c r="K490" s="51">
        <f>VLOOKUP(B490,D!A1:F213,6,FALSE)</f>
        <v>-218.64193693214884</v>
      </c>
      <c r="L490" s="53">
        <f>IFERROR(K490/H490,"N/A")</f>
        <v>-243.61218599682323</v>
      </c>
      <c r="M490" s="83" t="str">
        <f>IF(Settings!$E$9="YAHOO",VLOOKUP(B490,ADP!A1:E665,2,FALSE),IF(Settings!$E$9="ESPN",VLOOKUP(B490,ADP!A1:E665,3,FALSE),IF(Settings!$E$9="FANTRAX",VLOOKUP(B490,ADP!A1:E665,4,FALSE),VLOOKUP(B490,ADP!A1:E665,5,FALSE))))</f>
        <v>—</v>
      </c>
      <c r="N490" s="83" t="str">
        <f>IFERROR(M490-A490,"N/A")</f>
        <v>N/A</v>
      </c>
      <c r="O490" s="54"/>
      <c r="P490" s="55" t="str">
        <f>IF(Settings!$E$27="ON",VLOOKUP(B490,ADP!A1:H665,8,FALSE)," ")</f>
        <v xml:space="preserve"> </v>
      </c>
      <c r="Q490" s="56">
        <f>IF(Settings!$E$12="YES",VLOOKUP(B490,'Player Data'!A1:E667,5,FALSE),82)</f>
        <v>62.94</v>
      </c>
      <c r="R490" s="81">
        <f>VLOOKUP(B490,'Player Data'!$A1:$AE667,6,FALSE)</f>
        <v>17.454479517582499</v>
      </c>
      <c r="S490" s="56">
        <f>VLOOKUP(B490,'Player Data'!$A1:$AE667,7,FALSE)*$Q490*IFERROR((VLOOKUP(P490,Settings!$E$28:$F$33,2,FALSE)+1),1)</f>
        <v>2.608878149849243</v>
      </c>
      <c r="T490" s="56">
        <f>VLOOKUP(B490,'Player Data'!$A1:$AE667,8,FALSE)*$Q490*IFERROR((VLOOKUP(P490,Settings!$E$28:$F$33,2,FALSE)+1),1)</f>
        <v>11.261197291483692</v>
      </c>
      <c r="U490" s="56">
        <f>SUM(S490:T490)</f>
        <v>13.870075441332935</v>
      </c>
      <c r="V490" s="56">
        <f>VLOOKUP(B490,'Player Data'!$A1:$AE667,10,FALSE)*$Q490*IFERROR(((VLOOKUP(P490,Settings!$E$28:$F$33,2,FALSE)/2)+1),1)</f>
        <v>70.594684835148868</v>
      </c>
      <c r="W490" s="56">
        <f>VLOOKUP(B490,'Player Data'!$A1:$AE667,11,FALSE)*$Q490*IFERROR((VLOOKUP(P490,Settings!$E$28:$F$33,2,FALSE)+1),1)</f>
        <v>0.14363834435449174</v>
      </c>
      <c r="X490" s="56">
        <f>VLOOKUP(B490,'Player Data'!$A1:$AE667,12,FALSE)*$Q490*IFERROR((VLOOKUP(P490,Settings!$E$28:$F$33,2,FALSE)+1),1)</f>
        <v>3.032411856184293</v>
      </c>
      <c r="Y490" s="56">
        <f>VLOOKUP(B490,'Player Data'!$A1:$AE667,13,FALSE)*$Q490</f>
        <v>3.2541285339339192E-2</v>
      </c>
      <c r="Z490" s="56">
        <f>VLOOKUP(B490,'Player Data'!$A1:$AE667,14,FALSE)*$Q490</f>
        <v>0.15811092633928703</v>
      </c>
      <c r="AA490" s="56">
        <f>VLOOKUP(B490,'Player Data'!$A1:$AE667,15,FALSE)*$Q490</f>
        <v>74.988193178698495</v>
      </c>
      <c r="AB490" s="56">
        <f>VLOOKUP(B490,'Player Data'!$A1:$AE667,16,FALSE)*$Q490</f>
        <v>92.549360757363829</v>
      </c>
      <c r="AC490" s="56">
        <f>VLOOKUP(B490,'Player Data'!$A1:$AE667,17,FALSE)*$Q490*IFERROR((VLOOKUP(P490,Settings!$E$28:$F$33,2,FALSE)+1),1)</f>
        <v>-0.50880275845513556</v>
      </c>
      <c r="AD490" s="56">
        <f>VLOOKUP(B490,'Player Data'!$A1:$AE667,18,FALSE)*$Q490</f>
        <v>29.222818651936233</v>
      </c>
      <c r="AE490" s="56">
        <f>VLOOKUP(B490,'Player Data'!$A1:$AE667,19,FALSE)*$Q490*IFERROR((VLOOKUP(P490,Settings!$E$28:$F$33,2,FALSE)+1),1)</f>
        <v>0.39615207058991159</v>
      </c>
      <c r="AF490" s="56">
        <f>VLOOKUP(B490,'Player Data'!$A1:$AE667,20,FALSE)*$Q490</f>
        <v>0</v>
      </c>
      <c r="AG490" s="56">
        <f>VLOOKUP(B490,'Player Data'!$A1:$AE667,21,FALSE)*$Q490</f>
        <v>0</v>
      </c>
      <c r="AH490" s="58">
        <f>VLOOKUP(B490,'Player Data'!$A1:$AE667,22,FALSE)</f>
        <v>0</v>
      </c>
      <c r="AI490" s="54"/>
      <c r="AJ490" s="56"/>
      <c r="AK490" s="56"/>
      <c r="AL490" s="56"/>
      <c r="AM490" s="56"/>
      <c r="AN490" s="56"/>
      <c r="AO490" s="56"/>
      <c r="AP490" s="56"/>
      <c r="AQ490" s="59"/>
      <c r="AR490" s="60"/>
      <c r="AS490" s="54"/>
    </row>
    <row r="491" spans="1:45" ht="21.25" customHeight="1" x14ac:dyDescent="0.15">
      <c r="A491" s="45">
        <f>RANK(K491,K$1:K$665)</f>
        <v>490</v>
      </c>
      <c r="B491" s="9" t="s">
        <v>616</v>
      </c>
      <c r="C491" s="46" t="s">
        <v>127</v>
      </c>
      <c r="D491" s="47" t="str">
        <f>VLOOKUP(B491,'Player Data'!A1:D667,4,FALSE)</f>
        <v>C</v>
      </c>
      <c r="E491" s="48">
        <f>VLOOKUP(B491,'C'!A1:C206,3,FALSE)</f>
        <v>134</v>
      </c>
      <c r="F491" s="62" t="str">
        <f>VLOOKUP(B491,'Player Data'!A1:B667,2,FALSE)</f>
        <v>MTL</v>
      </c>
      <c r="G491" s="69">
        <f>VLOOKUP(B491,'Player Data'!A1:D667,3,FALSE)</f>
        <v>23</v>
      </c>
      <c r="H491" s="50">
        <f>IFERROR(VLOOKUP(B491,ADP!A1:G665,7,FALSE)/1000000,VLOOKUP(B491,ADP!A1:G665,7,FALSE))</f>
        <v>3.3624999999999998</v>
      </c>
      <c r="I491" s="51">
        <f>IF(Settings!$E$15="POINTS",((R491*Q491)*Settings!$B$12)+(S491*Settings!$B$2)+(T491*Settings!$B$3)+(U491*Settings!$B$4)+(V491*Settings!$B$5)+(X491*Settings!$B$9)+(AA491*Settings!$B$6)+(W491*Settings!$B$8)+(AB491*Settings!$B$7)+(AC491*Settings!$B$14)+(AD491*Settings!$B$15)+(AE491*Settings!$B$16)+(AF491*Settings!$B$17)+(AG491*Settings!$B$18)+(Y491*Settings!$B$10)+(Z491*Settings!$B$11),VLOOKUP(B491,'Standard Deviations'!A1:C666,3,FALSE))</f>
        <v>171.24830458929992</v>
      </c>
      <c r="J491" s="52">
        <f>IF(D491="G",I491/AJ491,I491/Q491)</f>
        <v>2.7040629178793609</v>
      </c>
      <c r="K491" s="51">
        <f>IF(Settings!$E$18="C/LW/RW",VLOOKUP(B491,'C'!A1:F206,6,FALSE),VLOOKUP(B491,F!A1:F392,6,FALSE))</f>
        <v>-218.68885318878117</v>
      </c>
      <c r="L491" s="53">
        <f>IFERROR(K491/H491,"N/A")</f>
        <v>-65.037577156514843</v>
      </c>
      <c r="M491" s="83" t="str">
        <f>IF(Settings!$E$9="YAHOO",VLOOKUP(B491,ADP!A1:E665,2,FALSE),IF(Settings!$E$9="ESPN",VLOOKUP(B491,ADP!A1:E665,3,FALSE),IF(Settings!$E$9="FANTRAX",VLOOKUP(B491,ADP!A1:E665,4,FALSE),VLOOKUP(B491,ADP!A1:E665,5,FALSE))))</f>
        <v>—</v>
      </c>
      <c r="N491" s="83" t="str">
        <f>IFERROR(M491-A491,"N/A")</f>
        <v>N/A</v>
      </c>
      <c r="O491" s="54"/>
      <c r="P491" s="55" t="str">
        <f>IF(Settings!$E$27="ON",VLOOKUP(B491,ADP!A1:H665,8,FALSE)," ")</f>
        <v xml:space="preserve"> </v>
      </c>
      <c r="Q491" s="56">
        <f>IF(Settings!$E$12="YES",VLOOKUP(B491,'Player Data'!A1:E667,5,FALSE),82)</f>
        <v>63.33</v>
      </c>
      <c r="R491" s="75">
        <f>VLOOKUP(B491,'Player Data'!$A1:$AE667,6,FALSE)</f>
        <v>15.649299484078799</v>
      </c>
      <c r="S491" s="56">
        <f>VLOOKUP(B491,'Player Data'!$A1:$AE667,7,FALSE)*$Q491*IFERROR((VLOOKUP(P491,Settings!$E$28:$F$33,2,FALSE)+1),1)</f>
        <v>11.804712464408199</v>
      </c>
      <c r="T491" s="56">
        <f>VLOOKUP(B491,'Player Data'!$A1:$AE667,8,FALSE)*$Q491*IFERROR((VLOOKUP(P491,Settings!$E$28:$F$33,2,FALSE)+1),1)</f>
        <v>19.772299830589752</v>
      </c>
      <c r="U491" s="56">
        <f>SUM(S491:T491)</f>
        <v>31.577012294997949</v>
      </c>
      <c r="V491" s="56">
        <f>VLOOKUP(B491,'Player Data'!$A1:$AE667,10,FALSE)*$Q491*IFERROR(((VLOOKUP(P491,Settings!$E$28:$F$33,2,FALSE)/2)+1),1)</f>
        <v>103.63105441104315</v>
      </c>
      <c r="W491" s="56">
        <f>VLOOKUP(B491,'Player Data'!$A1:$AE667,11,FALSE)*$Q491*IFERROR((VLOOKUP(P491,Settings!$E$28:$F$33,2,FALSE)+1),1)</f>
        <v>2.4167860317861423</v>
      </c>
      <c r="X491" s="56">
        <f>VLOOKUP(B491,'Player Data'!$A1:$AE667,12,FALSE)*$Q491*IFERROR((VLOOKUP(P491,Settings!$E$28:$F$33,2,FALSE)+1),1)</f>
        <v>6.7020212987744641</v>
      </c>
      <c r="Y491" s="56">
        <f>VLOOKUP(B491,'Player Data'!$A1:$AE667,13,FALSE)*$Q491</f>
        <v>0.11398561257491716</v>
      </c>
      <c r="Z491" s="56">
        <f>VLOOKUP(B491,'Player Data'!$A1:$AE667,14,FALSE)*$Q491</f>
        <v>0.92729201203818401</v>
      </c>
      <c r="AA491" s="56">
        <f>VLOOKUP(B491,'Player Data'!$A1:$AE667,15,FALSE)*$Q491</f>
        <v>34.144854375943673</v>
      </c>
      <c r="AB491" s="56">
        <f>VLOOKUP(B491,'Player Data'!$A1:$AE667,16,FALSE)*$Q491</f>
        <v>54.957456312817229</v>
      </c>
      <c r="AC491" s="56">
        <f>VLOOKUP(B491,'Player Data'!$A1:$AE667,17,FALSE)*$Q491*IFERROR((VLOOKUP(P491,Settings!$E$28:$F$33,2,FALSE)+1),1)</f>
        <v>-2.3551221023327922</v>
      </c>
      <c r="AD491" s="56">
        <f>VLOOKUP(B491,'Player Data'!$A1:$AE667,18,FALSE)*$Q491</f>
        <v>37.112778310987125</v>
      </c>
      <c r="AE491" s="56">
        <f>VLOOKUP(B491,'Player Data'!$A1:$AE667,19,FALSE)*$Q491*IFERROR((VLOOKUP(P491,Settings!$E$28:$F$33,2,FALSE)+1),1)</f>
        <v>1.3681811980670968</v>
      </c>
      <c r="AF491" s="56">
        <f>VLOOKUP(B491,'Player Data'!$A1:$AE667,20,FALSE)*$Q491</f>
        <v>117.02693993054314</v>
      </c>
      <c r="AG491" s="56">
        <f>VLOOKUP(B491,'Player Data'!$A1:$AE667,21,FALSE)*$Q491</f>
        <v>209.33883152006814</v>
      </c>
      <c r="AH491" s="58">
        <f>VLOOKUP(B491,'Player Data'!$A1:$AE667,22,FALSE)</f>
        <v>0.358576021653216</v>
      </c>
      <c r="AI491" s="54"/>
      <c r="AJ491" s="56"/>
      <c r="AK491" s="56"/>
      <c r="AL491" s="56"/>
      <c r="AM491" s="56"/>
      <c r="AN491" s="56"/>
      <c r="AO491" s="56"/>
      <c r="AP491" s="56"/>
      <c r="AQ491" s="59"/>
      <c r="AR491" s="60"/>
      <c r="AS491" s="54"/>
    </row>
    <row r="492" spans="1:45" ht="21.25" customHeight="1" x14ac:dyDescent="0.15">
      <c r="A492" s="45">
        <f>RANK(K492,K$1:K$665)</f>
        <v>491</v>
      </c>
      <c r="B492" s="9" t="s">
        <v>617</v>
      </c>
      <c r="C492" s="46" t="s">
        <v>127</v>
      </c>
      <c r="D492" s="47" t="str">
        <f>VLOOKUP(B492,'Player Data'!A1:D667,4,FALSE)</f>
        <v>D</v>
      </c>
      <c r="E492" s="66">
        <f>VLOOKUP(B492,D!A1:C213,3,FALSE)</f>
        <v>187</v>
      </c>
      <c r="F492" s="71" t="str">
        <f>VLOOKUP(B492,'Player Data'!A1:B667,2,FALSE)</f>
        <v>VAN</v>
      </c>
      <c r="G492" s="63">
        <f>VLOOKUP(B492,'Player Data'!A1:D667,3,FALSE)</f>
        <v>32</v>
      </c>
      <c r="H492" s="67">
        <f>IFERROR(VLOOKUP(B492,ADP!A1:G665,7,FALSE)/1000000,VLOOKUP(B492,ADP!A1:G665,7,FALSE))</f>
        <v>1.5</v>
      </c>
      <c r="I492" s="51">
        <f>IF(Settings!$E$15="POINTS",((R492*Q492)*Settings!$B$12)+(S492*Settings!$B$2)+(T492*Settings!$B$3)+(U492*Settings!$B$4)+(V492*Settings!$B$5)+(X492*Settings!$B$9)+(AA492*Settings!$B$6)+(W492*Settings!$B$8)+(AB492*Settings!$B$7)+(AC492*Settings!$B$14)+(AD492*Settings!$B$15)+(AE492*Settings!$B$16)+(AF492*Settings!$B$17)+(AG492*Settings!$B$18)+(U492*Settings!$B$13)+(Y492*Settings!$B$10)+(Z492*Settings!$B$11),VLOOKUP(B492,'Standard Deviations'!A1:C666,3,FALSE))</f>
        <v>117.45941696826743</v>
      </c>
      <c r="J492" s="52">
        <f>IF(D492="G",I492/AJ492,I492/Q492)</f>
        <v>1.6964710881858449</v>
      </c>
      <c r="K492" s="51">
        <f>VLOOKUP(B492,D!A1:F213,6,FALSE)</f>
        <v>-218.77470807732749</v>
      </c>
      <c r="L492" s="53">
        <f>IFERROR(K492/H492,"N/A")</f>
        <v>-145.849805384885</v>
      </c>
      <c r="M492" s="83" t="str">
        <f>IF(Settings!$E$9="YAHOO",VLOOKUP(B492,ADP!A1:E665,2,FALSE),IF(Settings!$E$9="ESPN",VLOOKUP(B492,ADP!A1:E665,3,FALSE),IF(Settings!$E$9="FANTRAX",VLOOKUP(B492,ADP!A1:E665,4,FALSE),VLOOKUP(B492,ADP!A1:E665,5,FALSE))))</f>
        <v>—</v>
      </c>
      <c r="N492" s="83" t="str">
        <f>IFERROR(M492-A492,"N/A")</f>
        <v>N/A</v>
      </c>
      <c r="O492" s="54"/>
      <c r="P492" s="55" t="str">
        <f>IF(Settings!$E$27="ON",VLOOKUP(B492,ADP!A1:H665,8,FALSE)," ")</f>
        <v xml:space="preserve"> </v>
      </c>
      <c r="Q492" s="56">
        <f>IF(Settings!$E$12="YES",VLOOKUP(B492,'Player Data'!A1:E667,5,FALSE),82)</f>
        <v>69.237499999999997</v>
      </c>
      <c r="R492" s="54">
        <f>VLOOKUP(B492,'Player Data'!$A1:$AE667,6,FALSE)</f>
        <v>17.393541569567599</v>
      </c>
      <c r="S492" s="56">
        <f>VLOOKUP(B492,'Player Data'!$A1:$AE667,7,FALSE)*$Q492*IFERROR((VLOOKUP(P492,Settings!$E$28:$F$33,2,FALSE)+1),1)</f>
        <v>3.0568991333515236</v>
      </c>
      <c r="T492" s="56">
        <f>VLOOKUP(B492,'Player Data'!$A1:$AE667,8,FALSE)*$Q492*IFERROR((VLOOKUP(P492,Settings!$E$28:$F$33,2,FALSE)+1),1)</f>
        <v>8.8341015312892495</v>
      </c>
      <c r="U492" s="56">
        <f>SUM(S492:T492)</f>
        <v>11.891000664640773</v>
      </c>
      <c r="V492" s="56">
        <f>VLOOKUP(B492,'Player Data'!$A1:$AE667,10,FALSE)*$Q492*IFERROR(((VLOOKUP(P492,Settings!$E$28:$F$33,2,FALSE)/2)+1),1)</f>
        <v>50.014320656091222</v>
      </c>
      <c r="W492" s="56">
        <f>VLOOKUP(B492,'Player Data'!$A1:$AE667,11,FALSE)*$Q492*IFERROR((VLOOKUP(P492,Settings!$E$28:$F$33,2,FALSE)+1),1)</f>
        <v>1.0467934573555054E-2</v>
      </c>
      <c r="X492" s="56">
        <f>VLOOKUP(B492,'Player Data'!$A1:$AE667,12,FALSE)*$Q492*IFERROR((VLOOKUP(P492,Settings!$E$28:$F$33,2,FALSE)+1),1)</f>
        <v>6.8661399256397235E-2</v>
      </c>
      <c r="Y492" s="56">
        <f>VLOOKUP(B492,'Player Data'!$A1:$AE667,13,FALSE)*$Q492</f>
        <v>0.53134696400832926</v>
      </c>
      <c r="Z492" s="56">
        <f>VLOOKUP(B492,'Player Data'!$A1:$AE667,14,FALSE)*$Q492</f>
        <v>0.80414537408203723</v>
      </c>
      <c r="AA492" s="56">
        <f>VLOOKUP(B492,'Player Data'!$A1:$AE667,15,FALSE)*$Q492</f>
        <v>111.81289574592213</v>
      </c>
      <c r="AB492" s="56">
        <f>VLOOKUP(B492,'Player Data'!$A1:$AE667,16,FALSE)*$Q492</f>
        <v>120.4694590809854</v>
      </c>
      <c r="AC492" s="56">
        <f>VLOOKUP(B492,'Player Data'!$A1:$AE667,17,FALSE)*$Q492*IFERROR((VLOOKUP(P492,Settings!$E$28:$F$33,2,FALSE)+1),1)</f>
        <v>1.7521387929833954</v>
      </c>
      <c r="AD492" s="56">
        <f>VLOOKUP(B492,'Player Data'!$A1:$AE667,18,FALSE)*$Q492</f>
        <v>31.524149960992684</v>
      </c>
      <c r="AE492" s="56">
        <f>VLOOKUP(B492,'Player Data'!$A1:$AE667,19,FALSE)*$Q492*IFERROR((VLOOKUP(P492,Settings!$E$28:$F$33,2,FALSE)+1),1)</f>
        <v>0.52203951448779695</v>
      </c>
      <c r="AF492" s="56">
        <f>VLOOKUP(B492,'Player Data'!$A1:$AE667,20,FALSE)*$Q492</f>
        <v>0</v>
      </c>
      <c r="AG492" s="56">
        <f>VLOOKUP(B492,'Player Data'!$A1:$AE667,21,FALSE)*$Q492</f>
        <v>0</v>
      </c>
      <c r="AH492" s="58">
        <f>VLOOKUP(B492,'Player Data'!$A1:$AE667,22,FALSE)</f>
        <v>0</v>
      </c>
      <c r="AI492" s="54"/>
      <c r="AJ492" s="64"/>
      <c r="AK492" s="56"/>
      <c r="AL492" s="56"/>
      <c r="AM492" s="56"/>
      <c r="AN492" s="56"/>
      <c r="AO492" s="56"/>
      <c r="AP492" s="56"/>
      <c r="AQ492" s="59"/>
      <c r="AR492" s="60"/>
      <c r="AS492" s="54"/>
    </row>
    <row r="493" spans="1:45" ht="21.25" customHeight="1" x14ac:dyDescent="0.15">
      <c r="A493" s="45">
        <f>RANK(K493,K$1:K$665)</f>
        <v>492</v>
      </c>
      <c r="B493" s="9" t="s">
        <v>618</v>
      </c>
      <c r="C493" s="46" t="s">
        <v>127</v>
      </c>
      <c r="D493" s="47" t="str">
        <f>VLOOKUP(B493,'Player Data'!A1:D667,4,FALSE)</f>
        <v>D</v>
      </c>
      <c r="E493" s="66">
        <f>VLOOKUP(B493,D!A1:C213,3,FALSE)</f>
        <v>188</v>
      </c>
      <c r="F493" s="77" t="str">
        <f>VLOOKUP(B493,'Player Data'!A1:B667,2,FALSE)</f>
        <v>STL</v>
      </c>
      <c r="G493" s="69">
        <f>VLOOKUP(B493,'Player Data'!A1:D667,3,FALSE)</f>
        <v>21</v>
      </c>
      <c r="H493" s="50">
        <f>IFERROR(VLOOKUP(B493,ADP!A1:G665,7,FALSE)/1000000,VLOOKUP(B493,ADP!A1:G665,7,FALSE))</f>
        <v>0.86299999999999999</v>
      </c>
      <c r="I493" s="51">
        <f>IF(Settings!$E$15="POINTS",((R493*Q493)*Settings!$B$12)+(S493*Settings!$B$2)+(T493*Settings!$B$3)+(U493*Settings!$B$4)+(V493*Settings!$B$5)+(X493*Settings!$B$9)+(AA493*Settings!$B$6)+(W493*Settings!$B$8)+(AB493*Settings!$B$7)+(AC493*Settings!$B$14)+(AD493*Settings!$B$15)+(AE493*Settings!$B$16)+(AF493*Settings!$B$17)+(AG493*Settings!$B$18)+(U493*Settings!$B$13)+(Y493*Settings!$B$10)+(Z493*Settings!$B$11),VLOOKUP(B493,'Standard Deviations'!A1:C666,3,FALSE))</f>
        <v>115.69702646214395</v>
      </c>
      <c r="J493" s="52">
        <f>IF(D493="G",I493/AJ493,I493/Q493)</f>
        <v>1.9819619094157421</v>
      </c>
      <c r="K493" s="51">
        <f>VLOOKUP(B493,D!A1:F213,6,FALSE)</f>
        <v>-220.53709858345096</v>
      </c>
      <c r="L493" s="53">
        <f>IFERROR(K493/H493,"N/A")</f>
        <v>-255.54704354976937</v>
      </c>
      <c r="M493" s="83" t="str">
        <f>IF(Settings!$E$9="YAHOO",VLOOKUP(B493,ADP!A1:E665,2,FALSE),IF(Settings!$E$9="ESPN",VLOOKUP(B493,ADP!A1:E665,3,FALSE),IF(Settings!$E$9="FANTRAX",VLOOKUP(B493,ADP!A1:E665,4,FALSE),VLOOKUP(B493,ADP!A1:E665,5,FALSE))))</f>
        <v>—</v>
      </c>
      <c r="N493" s="83" t="str">
        <f>IFERROR(M493-A493,"N/A")</f>
        <v>N/A</v>
      </c>
      <c r="O493" s="54"/>
      <c r="P493" s="55" t="str">
        <f>IF(Settings!$E$27="ON",VLOOKUP(B493,ADP!A1:H665,8,FALSE)," ")</f>
        <v xml:space="preserve"> </v>
      </c>
      <c r="Q493" s="56">
        <f>IF(Settings!$E$12="YES",VLOOKUP(B493,'Player Data'!A1:E667,5,FALSE),82)</f>
        <v>58.375</v>
      </c>
      <c r="R493" s="54">
        <f>VLOOKUP(B493,'Player Data'!$A1:$AE667,6,FALSE)</f>
        <v>11.931934497784701</v>
      </c>
      <c r="S493" s="56">
        <f>VLOOKUP(B493,'Player Data'!$A1:$AE667,7,FALSE)*$Q493*IFERROR((VLOOKUP(P493,Settings!$E$28:$F$33,2,FALSE)+1),1)</f>
        <v>9.6793505111400577</v>
      </c>
      <c r="T493" s="56">
        <f>VLOOKUP(B493,'Player Data'!$A1:$AE667,8,FALSE)*$Q493*IFERROR((VLOOKUP(P493,Settings!$E$28:$F$33,2,FALSE)+1),1)</f>
        <v>10.468246951323167</v>
      </c>
      <c r="U493" s="56">
        <f>SUM(S493:T493)</f>
        <v>20.147597462463224</v>
      </c>
      <c r="V493" s="56">
        <f>VLOOKUP(B493,'Player Data'!$A1:$AE667,10,FALSE)*$Q493*IFERROR(((VLOOKUP(P493,Settings!$E$28:$F$33,2,FALSE)/2)+1),1)</f>
        <v>81.088477102939166</v>
      </c>
      <c r="W493" s="56">
        <f>VLOOKUP(B493,'Player Data'!$A1:$AE667,11,FALSE)*$Q493*IFERROR((VLOOKUP(P493,Settings!$E$28:$F$33,2,FALSE)+1),1)</f>
        <v>0.49861018248228389</v>
      </c>
      <c r="X493" s="56">
        <f>VLOOKUP(B493,'Player Data'!$A1:$AE667,12,FALSE)*$Q493*IFERROR((VLOOKUP(P493,Settings!$E$28:$F$33,2,FALSE)+1),1)</f>
        <v>1.1555112662298406</v>
      </c>
      <c r="Y493" s="56">
        <f>VLOOKUP(B493,'Player Data'!$A1:$AE667,13,FALSE)*$Q493</f>
        <v>1.6969545877506163E-3</v>
      </c>
      <c r="Z493" s="56">
        <f>VLOOKUP(B493,'Player Data'!$A1:$AE667,14,FALSE)*$Q493</f>
        <v>2.8810725728447054E-3</v>
      </c>
      <c r="AA493" s="56">
        <f>VLOOKUP(B493,'Player Data'!$A1:$AE667,15,FALSE)*$Q493</f>
        <v>27.103206368964027</v>
      </c>
      <c r="AB493" s="56">
        <f>VLOOKUP(B493,'Player Data'!$A1:$AE667,16,FALSE)*$Q493</f>
        <v>43.420483165177799</v>
      </c>
      <c r="AC493" s="56">
        <f>VLOOKUP(B493,'Player Data'!$A1:$AE667,17,FALSE)*$Q493*IFERROR((VLOOKUP(P493,Settings!$E$28:$F$33,2,FALSE)+1),1)</f>
        <v>-2.6085919163688955</v>
      </c>
      <c r="AD493" s="56">
        <f>VLOOKUP(B493,'Player Data'!$A1:$AE667,18,FALSE)*$Q493</f>
        <v>17.104915135033494</v>
      </c>
      <c r="AE493" s="56">
        <f>VLOOKUP(B493,'Player Data'!$A1:$AE667,19,FALSE)*$Q493*IFERROR((VLOOKUP(P493,Settings!$E$28:$F$33,2,FALSE)+1),1)</f>
        <v>1.1653366289506828</v>
      </c>
      <c r="AF493" s="56">
        <f>VLOOKUP(B493,'Player Data'!$A1:$AE667,20,FALSE)*$Q493</f>
        <v>2.3188184176981879</v>
      </c>
      <c r="AG493" s="56">
        <f>VLOOKUP(B493,'Player Data'!$A1:$AE667,21,FALSE)*$Q493</f>
        <v>2.3188184176981936</v>
      </c>
      <c r="AH493" s="58">
        <f>VLOOKUP(B493,'Player Data'!$A1:$AE667,22,FALSE)</f>
        <v>0.5</v>
      </c>
      <c r="AI493" s="54"/>
      <c r="AJ493" s="56"/>
      <c r="AK493" s="56"/>
      <c r="AL493" s="56"/>
      <c r="AM493" s="56"/>
      <c r="AN493" s="56"/>
      <c r="AO493" s="56"/>
      <c r="AP493" s="56"/>
      <c r="AQ493" s="59"/>
      <c r="AR493" s="60"/>
      <c r="AS493" s="54"/>
    </row>
    <row r="494" spans="1:45" ht="21.25" customHeight="1" x14ac:dyDescent="0.15">
      <c r="A494" s="45">
        <f>RANK(K494,K$1:K$665)</f>
        <v>493</v>
      </c>
      <c r="B494" s="9" t="s">
        <v>619</v>
      </c>
      <c r="C494" s="46" t="s">
        <v>127</v>
      </c>
      <c r="D494" s="47" t="str">
        <f>VLOOKUP(B494,'Player Data'!A1:D667,4,FALSE)</f>
        <v>D</v>
      </c>
      <c r="E494" s="66">
        <f>VLOOKUP(B494,D!A1:C213,3,FALSE)</f>
        <v>189</v>
      </c>
      <c r="F494" s="55" t="str">
        <f>VLOOKUP(B494,'Player Data'!A1:B667,2,FALSE)</f>
        <v>DAL</v>
      </c>
      <c r="G494" s="63">
        <f>VLOOKUP(B494,'Player Data'!A1:D667,3,FALSE)</f>
        <v>35</v>
      </c>
      <c r="H494" s="67">
        <f>IFERROR(VLOOKUP(B494,ADP!A1:G665,7,FALSE)/1000000,VLOOKUP(B494,ADP!A1:G665,7,FALSE))</f>
        <v>1</v>
      </c>
      <c r="I494" s="51">
        <f>IF(Settings!$E$15="POINTS",((R494*Q494)*Settings!$B$12)+(S494*Settings!$B$2)+(T494*Settings!$B$3)+(U494*Settings!$B$4)+(V494*Settings!$B$5)+(X494*Settings!$B$9)+(AA494*Settings!$B$6)+(W494*Settings!$B$8)+(AB494*Settings!$B$7)+(AC494*Settings!$B$14)+(AD494*Settings!$B$15)+(AE494*Settings!$B$16)+(AF494*Settings!$B$17)+(AG494*Settings!$B$18)+(U494*Settings!$B$13)+(Y494*Settings!$B$10)+(Z494*Settings!$B$11),VLOOKUP(B494,'Standard Deviations'!A1:C666,3,FALSE))</f>
        <v>115.41569454327581</v>
      </c>
      <c r="J494" s="52">
        <f>IF(D494="G",I494/AJ494,I494/Q494)</f>
        <v>1.6044999762732535</v>
      </c>
      <c r="K494" s="51">
        <f>VLOOKUP(B494,D!A1:F213,6,FALSE)</f>
        <v>-220.8184305023191</v>
      </c>
      <c r="L494" s="53">
        <f>IFERROR(K494/H494,"N/A")</f>
        <v>-220.8184305023191</v>
      </c>
      <c r="M494" s="83" t="str">
        <f>IF(Settings!$E$9="YAHOO",VLOOKUP(B494,ADP!A1:E665,2,FALSE),IF(Settings!$E$9="ESPN",VLOOKUP(B494,ADP!A1:E665,3,FALSE),IF(Settings!$E$9="FANTRAX",VLOOKUP(B494,ADP!A1:E665,4,FALSE),VLOOKUP(B494,ADP!A1:E665,5,FALSE))))</f>
        <v>—</v>
      </c>
      <c r="N494" s="83" t="str">
        <f>IFERROR(M494-A494,"N/A")</f>
        <v>N/A</v>
      </c>
      <c r="O494" s="54"/>
      <c r="P494" s="55" t="str">
        <f>IF(Settings!$E$27="ON",VLOOKUP(B494,ADP!A1:H665,8,FALSE)," ")</f>
        <v xml:space="preserve"> </v>
      </c>
      <c r="Q494" s="56">
        <f>IF(Settings!$E$12="YES",VLOOKUP(B494,'Player Data'!A1:E667,5,FALSE),82)</f>
        <v>71.932500000000005</v>
      </c>
      <c r="R494" s="54">
        <f>VLOOKUP(B494,'Player Data'!$A1:$AE667,6,FALSE)</f>
        <v>15.292630329854299</v>
      </c>
      <c r="S494" s="56">
        <f>VLOOKUP(B494,'Player Data'!$A1:$AE667,7,FALSE)*$Q494*IFERROR((VLOOKUP(P494,Settings!$E$28:$F$33,2,FALSE)+1),1)</f>
        <v>2.8902184625530811</v>
      </c>
      <c r="T494" s="56">
        <f>VLOOKUP(B494,'Player Data'!$A1:$AE667,8,FALSE)*$Q494*IFERROR((VLOOKUP(P494,Settings!$E$28:$F$33,2,FALSE)+1),1)</f>
        <v>7.7371071383364267</v>
      </c>
      <c r="U494" s="56">
        <f>SUM(S494:T494)</f>
        <v>10.627325600889508</v>
      </c>
      <c r="V494" s="56">
        <f>VLOOKUP(B494,'Player Data'!$A1:$AE667,10,FALSE)*$Q494*IFERROR(((VLOOKUP(P494,Settings!$E$28:$F$33,2,FALSE)/2)+1),1)</f>
        <v>67.297947454147248</v>
      </c>
      <c r="W494" s="56">
        <f>VLOOKUP(B494,'Player Data'!$A1:$AE667,11,FALSE)*$Q494*IFERROR((VLOOKUP(P494,Settings!$E$28:$F$33,2,FALSE)+1),1)</f>
        <v>1.6741134379394899E-2</v>
      </c>
      <c r="X494" s="56">
        <f>VLOOKUP(B494,'Player Data'!$A1:$AE667,12,FALSE)*$Q494*IFERROR((VLOOKUP(P494,Settings!$E$28:$F$33,2,FALSE)+1),1)</f>
        <v>0.110450967603303</v>
      </c>
      <c r="Y494" s="56">
        <f>VLOOKUP(B494,'Player Data'!$A1:$AE667,13,FALSE)*$Q494</f>
        <v>2.7287832155344482E-2</v>
      </c>
      <c r="Z494" s="56">
        <f>VLOOKUP(B494,'Player Data'!$A1:$AE667,14,FALSE)*$Q494</f>
        <v>0.34599169144443015</v>
      </c>
      <c r="AA494" s="56">
        <f>VLOOKUP(B494,'Player Data'!$A1:$AE667,15,FALSE)*$Q494</f>
        <v>98.856602708971877</v>
      </c>
      <c r="AB494" s="56">
        <f>VLOOKUP(B494,'Player Data'!$A1:$AE667,16,FALSE)*$Q494</f>
        <v>114.83549144117563</v>
      </c>
      <c r="AC494" s="56">
        <f>VLOOKUP(B494,'Player Data'!$A1:$AE667,17,FALSE)*$Q494*IFERROR((VLOOKUP(P494,Settings!$E$28:$F$33,2,FALSE)+1),1)</f>
        <v>1.1768807633983962</v>
      </c>
      <c r="AD494" s="56">
        <f>VLOOKUP(B494,'Player Data'!$A1:$AE667,18,FALSE)*$Q494</f>
        <v>57.077222946832997</v>
      </c>
      <c r="AE494" s="56">
        <f>VLOOKUP(B494,'Player Data'!$A1:$AE667,19,FALSE)*$Q494*IFERROR((VLOOKUP(P494,Settings!$E$28:$F$33,2,FALSE)+1),1)</f>
        <v>0.46220001906787667</v>
      </c>
      <c r="AF494" s="56">
        <f>VLOOKUP(B494,'Player Data'!$A1:$AE667,20,FALSE)*$Q494</f>
        <v>0</v>
      </c>
      <c r="AG494" s="56">
        <f>VLOOKUP(B494,'Player Data'!$A1:$AE667,21,FALSE)*$Q494</f>
        <v>0</v>
      </c>
      <c r="AH494" s="58">
        <f>VLOOKUP(B494,'Player Data'!$A1:$AE667,22,FALSE)</f>
        <v>0</v>
      </c>
      <c r="AI494" s="54"/>
      <c r="AJ494" s="64"/>
      <c r="AK494" s="56"/>
      <c r="AL494" s="56"/>
      <c r="AM494" s="56"/>
      <c r="AN494" s="56"/>
      <c r="AO494" s="56"/>
      <c r="AP494" s="56"/>
      <c r="AQ494" s="59"/>
      <c r="AR494" s="60"/>
      <c r="AS494" s="54"/>
    </row>
    <row r="495" spans="1:45" ht="21.25" customHeight="1" x14ac:dyDescent="0.15">
      <c r="A495" s="45">
        <f>RANK(K495,K$1:K$665)</f>
        <v>494</v>
      </c>
      <c r="B495" s="9" t="s">
        <v>620</v>
      </c>
      <c r="C495" s="46" t="s">
        <v>127</v>
      </c>
      <c r="D495" s="47" t="str">
        <f>VLOOKUP(B495,'Player Data'!A1:D667,4,FALSE)</f>
        <v>C</v>
      </c>
      <c r="E495" s="48">
        <f>VLOOKUP(B495,'C'!A1:C206,3,FALSE)</f>
        <v>136</v>
      </c>
      <c r="F495" s="65" t="str">
        <f>VLOOKUP(B495,'Player Data'!A1:B667,2,FALSE)</f>
        <v>WSH</v>
      </c>
      <c r="G495" s="69">
        <f>VLOOKUP(B495,'Player Data'!A1:D667,3,FALSE)</f>
        <v>23</v>
      </c>
      <c r="H495" s="50">
        <f>IFERROR(VLOOKUP(B495,ADP!A1:G665,7,FALSE)/1000000,VLOOKUP(B495,ADP!A1:G665,7,FALSE))</f>
        <v>3.375</v>
      </c>
      <c r="I495" s="51">
        <f>IF(Settings!$E$15="POINTS",((R495*Q495)*Settings!$B$12)+(S495*Settings!$B$2)+(T495*Settings!$B$3)+(U495*Settings!$B$4)+(V495*Settings!$B$5)+(X495*Settings!$B$9)+(AA495*Settings!$B$6)+(W495*Settings!$B$8)+(AB495*Settings!$B$7)+(AC495*Settings!$B$14)+(AD495*Settings!$B$15)+(AE495*Settings!$B$16)+(AF495*Settings!$B$17)+(AG495*Settings!$B$18)+(Y495*Settings!$B$10)+(Z495*Settings!$B$11),VLOOKUP(B495,'Standard Deviations'!A1:C666,3,FALSE))</f>
        <v>168.74665236531024</v>
      </c>
      <c r="J495" s="52">
        <f>IF(D495="G",I495/AJ495,I495/Q495)</f>
        <v>2.3078043266590567</v>
      </c>
      <c r="K495" s="51">
        <f>IF(Settings!$E$18="C/LW/RW",VLOOKUP(B495,'C'!A1:F206,6,FALSE),VLOOKUP(B495,F!A1:F392,6,FALSE))</f>
        <v>-221.19050541277085</v>
      </c>
      <c r="L495" s="53">
        <f>IFERROR(K495/H495,"N/A")</f>
        <v>-65.537927529709876</v>
      </c>
      <c r="M495" s="83" t="str">
        <f>IF(Settings!$E$9="YAHOO",VLOOKUP(B495,ADP!A1:E665,2,FALSE),IF(Settings!$E$9="ESPN",VLOOKUP(B495,ADP!A1:E665,3,FALSE),IF(Settings!$E$9="FANTRAX",VLOOKUP(B495,ADP!A1:E665,4,FALSE),VLOOKUP(B495,ADP!A1:E665,5,FALSE))))</f>
        <v>—</v>
      </c>
      <c r="N495" s="83" t="str">
        <f>IFERROR(M495-A495,"N/A")</f>
        <v>N/A</v>
      </c>
      <c r="O495" s="54"/>
      <c r="P495" s="55" t="str">
        <f>IF(Settings!$E$27="ON",VLOOKUP(B495,ADP!A1:H665,8,FALSE)," ")</f>
        <v xml:space="preserve"> </v>
      </c>
      <c r="Q495" s="56">
        <f>IF(Settings!$E$12="YES",VLOOKUP(B495,'Player Data'!A1:E667,5,FALSE),82)</f>
        <v>73.12</v>
      </c>
      <c r="R495" s="54">
        <f>VLOOKUP(B495,'Player Data'!$A1:$AE667,6,FALSE)</f>
        <v>14.501291792403901</v>
      </c>
      <c r="S495" s="56">
        <f>VLOOKUP(B495,'Player Data'!$A1:$AE667,7,FALSE)*$Q495*IFERROR((VLOOKUP(P495,Settings!$E$28:$F$33,2,FALSE)+1),1)</f>
        <v>8.1515976344264054</v>
      </c>
      <c r="T495" s="56">
        <f>VLOOKUP(B495,'Player Data'!$A1:$AE667,8,FALSE)*$Q495*IFERROR((VLOOKUP(P495,Settings!$E$28:$F$33,2,FALSE)+1),1)</f>
        <v>20.953941469862897</v>
      </c>
      <c r="U495" s="56">
        <f>SUM(S495:T495)</f>
        <v>29.105539104289303</v>
      </c>
      <c r="V495" s="56">
        <f>VLOOKUP(B495,'Player Data'!$A1:$AE667,10,FALSE)*$Q495*IFERROR(((VLOOKUP(P495,Settings!$E$28:$F$33,2,FALSE)/2)+1),1)</f>
        <v>114.90609103922496</v>
      </c>
      <c r="W495" s="56">
        <f>VLOOKUP(B495,'Player Data'!$A1:$AE667,11,FALSE)*$Q495*IFERROR((VLOOKUP(P495,Settings!$E$28:$F$33,2,FALSE)+1),1)</f>
        <v>0.20313111477278611</v>
      </c>
      <c r="X495" s="56">
        <f>VLOOKUP(B495,'Player Data'!$A1:$AE667,12,FALSE)*$Q495*IFERROR((VLOOKUP(P495,Settings!$E$28:$F$33,2,FALSE)+1),1)</f>
        <v>0.51123634559106268</v>
      </c>
      <c r="Y495" s="56">
        <f>VLOOKUP(B495,'Player Data'!$A1:$AE667,13,FALSE)*$Q495</f>
        <v>0.2109659175111806</v>
      </c>
      <c r="Z495" s="56">
        <f>VLOOKUP(B495,'Player Data'!$A1:$AE667,14,FALSE)*$Q495</f>
        <v>1.2444714171779421</v>
      </c>
      <c r="AA495" s="56">
        <f>VLOOKUP(B495,'Player Data'!$A1:$AE667,15,FALSE)*$Q495</f>
        <v>44.442563540121661</v>
      </c>
      <c r="AB495" s="56">
        <f>VLOOKUP(B495,'Player Data'!$A1:$AE667,16,FALSE)*$Q495</f>
        <v>46.221587874953741</v>
      </c>
      <c r="AC495" s="56">
        <f>VLOOKUP(B495,'Player Data'!$A1:$AE667,17,FALSE)*$Q495*IFERROR((VLOOKUP(P495,Settings!$E$28:$F$33,2,FALSE)+1),1)</f>
        <v>-1.0342779084633538</v>
      </c>
      <c r="AD495" s="56">
        <f>VLOOKUP(B495,'Player Data'!$A1:$AE667,18,FALSE)*$Q495</f>
        <v>14.970497629865077</v>
      </c>
      <c r="AE495" s="56">
        <f>VLOOKUP(B495,'Player Data'!$A1:$AE667,19,FALSE)*$Q495*IFERROR((VLOOKUP(P495,Settings!$E$28:$F$33,2,FALSE)+1),1)</f>
        <v>1.1568138848798</v>
      </c>
      <c r="AF495" s="56">
        <f>VLOOKUP(B495,'Player Data'!$A1:$AE667,20,FALSE)*$Q495</f>
        <v>45.421121817198539</v>
      </c>
      <c r="AG495" s="56">
        <f>VLOOKUP(B495,'Player Data'!$A1:$AE667,21,FALSE)*$Q495</f>
        <v>72.035425344707932</v>
      </c>
      <c r="AH495" s="58">
        <f>VLOOKUP(B495,'Player Data'!$A1:$AE667,22,FALSE)</f>
        <v>0.38670574705885402</v>
      </c>
      <c r="AI495" s="54"/>
      <c r="AJ495" s="56"/>
      <c r="AK495" s="56"/>
      <c r="AL495" s="56"/>
      <c r="AM495" s="56"/>
      <c r="AN495" s="56"/>
      <c r="AO495" s="56"/>
      <c r="AP495" s="56"/>
      <c r="AQ495" s="59"/>
      <c r="AR495" s="60"/>
      <c r="AS495" s="54"/>
    </row>
    <row r="496" spans="1:45" ht="21.25" customHeight="1" x14ac:dyDescent="0.15">
      <c r="A496" s="45">
        <f>RANK(K496,K$1:K$665)</f>
        <v>495</v>
      </c>
      <c r="B496" s="9" t="s">
        <v>621</v>
      </c>
      <c r="C496" s="46" t="s">
        <v>127</v>
      </c>
      <c r="D496" s="47" t="str">
        <f>VLOOKUP(B496,'Player Data'!A1:D667,4,FALSE)</f>
        <v>LW/RW</v>
      </c>
      <c r="E496" s="68">
        <f>VLOOKUP(B496,RW!A1:C136,3,FALSE)</f>
        <v>104</v>
      </c>
      <c r="F496" s="77" t="str">
        <f>VLOOKUP(B496,'Player Data'!A1:B667,2,FALSE)</f>
        <v>STL</v>
      </c>
      <c r="G496" s="10">
        <f>VLOOKUP(B496,'Player Data'!A1:D667,3,FALSE)</f>
        <v>24</v>
      </c>
      <c r="H496" s="50">
        <f>IFERROR(VLOOKUP(B496,ADP!A1:G665,7,FALSE)/1000000,VLOOKUP(B496,ADP!A1:G665,7,FALSE))</f>
        <v>2.1</v>
      </c>
      <c r="I496" s="51">
        <f>IF(Settings!$E$15="POINTS",((R496*Q496)*Settings!$B$12)+(S496*Settings!$B$2)+(T496*Settings!$B$3)+(U496*Settings!$B$4)+(V496*Settings!$B$5)+(X496*Settings!$B$9)+(AA496*Settings!$B$6)+(W496*Settings!$B$8)+(AB496*Settings!$B$7)+(AC496*Settings!$B$14)+(AD496*Settings!$B$15)+(AE496*Settings!$B$16)+(AF496*Settings!$B$17)+(AG496*Settings!$B$18)+(Y496*Settings!$B$10)+(Z496*Settings!$B$11),VLOOKUP(B496,'Standard Deviations'!A1:C666,3,FALSE))</f>
        <v>147.21908751931383</v>
      </c>
      <c r="J496" s="52">
        <f>IF(D496="G",I496/AJ496,I496/Q496)</f>
        <v>2.0089255623008744</v>
      </c>
      <c r="K496" s="51">
        <f>IF(Settings!$E$18="C/LW/RW",VLOOKUP(B496,RW!A1:F136,6,FALSE),VLOOKUP(B496,F!A1:F392,6,FALSE))</f>
        <v>-221.62863558697856</v>
      </c>
      <c r="L496" s="53">
        <f>IFERROR(K496/H496,"N/A")</f>
        <v>-105.53744551760883</v>
      </c>
      <c r="M496" s="83" t="str">
        <f>IF(Settings!$E$9="YAHOO",VLOOKUP(B496,ADP!A1:E665,2,FALSE),IF(Settings!$E$9="ESPN",VLOOKUP(B496,ADP!A1:E665,3,FALSE),IF(Settings!$E$9="FANTRAX",VLOOKUP(B496,ADP!A1:E665,4,FALSE),VLOOKUP(B496,ADP!A1:E665,5,FALSE))))</f>
        <v>—</v>
      </c>
      <c r="N496" s="83" t="str">
        <f>IFERROR(M496-A496,"N/A")</f>
        <v>N/A</v>
      </c>
      <c r="O496" s="54"/>
      <c r="P496" s="55" t="str">
        <f>IF(Settings!$E$27="ON",VLOOKUP(B496,ADP!A1:H665,8,FALSE)," ")</f>
        <v xml:space="preserve"> </v>
      </c>
      <c r="Q496" s="56">
        <f>IF(Settings!$E$12="YES",VLOOKUP(B496,'Player Data'!A1:E667,5,FALSE),82)</f>
        <v>73.282499999999999</v>
      </c>
      <c r="R496" s="81">
        <f>VLOOKUP(B496,'Player Data'!$A1:$AE667,6,FALSE)</f>
        <v>13.8899632674241</v>
      </c>
      <c r="S496" s="56">
        <f>VLOOKUP(B496,'Player Data'!$A1:$AE667,7,FALSE)*$Q496*IFERROR((VLOOKUP(P496,Settings!$E$28:$F$33,2,FALSE)+1),1)</f>
        <v>11.163025880648775</v>
      </c>
      <c r="T496" s="56">
        <f>VLOOKUP(B496,'Player Data'!$A1:$AE667,8,FALSE)*$Q496*IFERROR((VLOOKUP(P496,Settings!$E$28:$F$33,2,FALSE)+1),1)</f>
        <v>15.101289630457563</v>
      </c>
      <c r="U496" s="56">
        <f>SUM(S496:T496)</f>
        <v>26.264315511106339</v>
      </c>
      <c r="V496" s="56">
        <f>VLOOKUP(B496,'Player Data'!$A1:$AE667,10,FALSE)*$Q496*IFERROR(((VLOOKUP(P496,Settings!$E$28:$F$33,2,FALSE)/2)+1),1)</f>
        <v>101.11857094370977</v>
      </c>
      <c r="W496" s="56">
        <f>VLOOKUP(B496,'Player Data'!$A1:$AE667,11,FALSE)*$Q496*IFERROR((VLOOKUP(P496,Settings!$E$28:$F$33,2,FALSE)+1),1)</f>
        <v>0.24592518826733181</v>
      </c>
      <c r="X496" s="56">
        <f>VLOOKUP(B496,'Player Data'!$A1:$AE667,12,FALSE)*$Q496*IFERROR((VLOOKUP(P496,Settings!$E$28:$F$33,2,FALSE)+1),1)</f>
        <v>0.96584863666374909</v>
      </c>
      <c r="Y496" s="56">
        <f>VLOOKUP(B496,'Player Data'!$A1:$AE667,13,FALSE)*$Q496</f>
        <v>0.93439196257943924</v>
      </c>
      <c r="Z496" s="56">
        <f>VLOOKUP(B496,'Player Data'!$A1:$AE667,14,FALSE)*$Q496</f>
        <v>1.1267125809271412</v>
      </c>
      <c r="AA496" s="56">
        <f>VLOOKUP(B496,'Player Data'!$A1:$AE667,15,FALSE)*$Q496</f>
        <v>31.548588593098078</v>
      </c>
      <c r="AB496" s="56">
        <f>VLOOKUP(B496,'Player Data'!$A1:$AE667,16,FALSE)*$Q496</f>
        <v>52.338179743972276</v>
      </c>
      <c r="AC496" s="56">
        <f>VLOOKUP(B496,'Player Data'!$A1:$AE667,17,FALSE)*$Q496*IFERROR((VLOOKUP(P496,Settings!$E$28:$F$33,2,FALSE)+1),1)</f>
        <v>-7.9353217917376728</v>
      </c>
      <c r="AD496" s="56">
        <f>VLOOKUP(B496,'Player Data'!$A1:$AE667,18,FALSE)*$Q496</f>
        <v>29.501520220637691</v>
      </c>
      <c r="AE496" s="56">
        <f>VLOOKUP(B496,'Player Data'!$A1:$AE667,19,FALSE)*$Q496*IFERROR((VLOOKUP(P496,Settings!$E$28:$F$33,2,FALSE)+1),1)</f>
        <v>1.3439623798800033</v>
      </c>
      <c r="AF496" s="56">
        <f>VLOOKUP(B496,'Player Data'!$A1:$AE667,20,FALSE)*$Q496</f>
        <v>7.8237418055341577</v>
      </c>
      <c r="AG496" s="56">
        <f>VLOOKUP(B496,'Player Data'!$A1:$AE667,21,FALSE)*$Q496</f>
        <v>16.394080609900108</v>
      </c>
      <c r="AH496" s="58">
        <f>VLOOKUP(B496,'Player Data'!$A1:$AE667,22,FALSE)</f>
        <v>0.32305719611470901</v>
      </c>
      <c r="AI496" s="54"/>
      <c r="AJ496" s="64"/>
      <c r="AK496" s="56"/>
      <c r="AL496" s="56"/>
      <c r="AM496" s="56"/>
      <c r="AN496" s="56"/>
      <c r="AO496" s="56"/>
      <c r="AP496" s="56"/>
      <c r="AQ496" s="59"/>
      <c r="AR496" s="60"/>
      <c r="AS496" s="54"/>
    </row>
    <row r="497" spans="1:45" ht="21.25" customHeight="1" x14ac:dyDescent="0.15">
      <c r="A497" s="45">
        <f>RANK(K497,K$1:K$665)</f>
        <v>496</v>
      </c>
      <c r="B497" s="9" t="s">
        <v>622</v>
      </c>
      <c r="C497" s="46" t="s">
        <v>127</v>
      </c>
      <c r="D497" s="47" t="str">
        <f>VLOOKUP(B497,'Player Data'!A1:D667,4,FALSE)</f>
        <v>D</v>
      </c>
      <c r="E497" s="66">
        <f>VLOOKUP(B497,D!A1:C213,3,FALSE)</f>
        <v>190</v>
      </c>
      <c r="F497" s="77" t="str">
        <f>VLOOKUP(B497,'Player Data'!A1:B667,2,FALSE)</f>
        <v>STL</v>
      </c>
      <c r="G497" s="10">
        <f>VLOOKUP(B497,'Player Data'!A1:D667,3,FALSE)</f>
        <v>25</v>
      </c>
      <c r="H497" s="67">
        <f>IFERROR(VLOOKUP(B497,ADP!A1:G665,7,FALSE)/1000000,VLOOKUP(B497,ADP!A1:G665,7,FALSE))</f>
        <v>0.95</v>
      </c>
      <c r="I497" s="51">
        <f>IF(Settings!$E$15="POINTS",((R497*Q497)*Settings!$B$12)+(S497*Settings!$B$2)+(T497*Settings!$B$3)+(U497*Settings!$B$4)+(V497*Settings!$B$5)+(X497*Settings!$B$9)+(AA497*Settings!$B$6)+(W497*Settings!$B$8)+(AB497*Settings!$B$7)+(AC497*Settings!$B$14)+(AD497*Settings!$B$15)+(AE497*Settings!$B$16)+(AF497*Settings!$B$17)+(AG497*Settings!$B$18)+(U497*Settings!$B$13)+(Y497*Settings!$B$10)+(Z497*Settings!$B$11),VLOOKUP(B497,'Standard Deviations'!A1:C666,3,FALSE))</f>
        <v>114.55790173401107</v>
      </c>
      <c r="J497" s="52">
        <f>IF(D497="G",I497/AJ497,I497/Q497)</f>
        <v>1.6239557959245996</v>
      </c>
      <c r="K497" s="51">
        <f>VLOOKUP(B497,D!A1:F213,6,FALSE)</f>
        <v>-221.67622331158384</v>
      </c>
      <c r="L497" s="53">
        <f>IFERROR(K497/H497,"N/A")</f>
        <v>-233.34339295956195</v>
      </c>
      <c r="M497" s="83" t="str">
        <f>IF(Settings!$E$9="YAHOO",VLOOKUP(B497,ADP!A1:E665,2,FALSE),IF(Settings!$E$9="ESPN",VLOOKUP(B497,ADP!A1:E665,3,FALSE),IF(Settings!$E$9="FANTRAX",VLOOKUP(B497,ADP!A1:E665,4,FALSE),VLOOKUP(B497,ADP!A1:E665,5,FALSE))))</f>
        <v>—</v>
      </c>
      <c r="N497" s="83" t="str">
        <f>IFERROR(M497-A497,"N/A")</f>
        <v>N/A</v>
      </c>
      <c r="O497" s="54"/>
      <c r="P497" s="55" t="str">
        <f>IF(Settings!$E$27="ON",VLOOKUP(B497,ADP!A1:H665,8,FALSE)," ")</f>
        <v xml:space="preserve"> </v>
      </c>
      <c r="Q497" s="56">
        <f>IF(Settings!$E$12="YES",VLOOKUP(B497,'Player Data'!A1:E667,5,FALSE),82)</f>
        <v>70.542500000000004</v>
      </c>
      <c r="R497" s="54">
        <f>VLOOKUP(B497,'Player Data'!$A1:$AE667,6,FALSE)</f>
        <v>14.8304849268095</v>
      </c>
      <c r="S497" s="56">
        <f>VLOOKUP(B497,'Player Data'!$A1:$AE667,7,FALSE)*$Q497*IFERROR((VLOOKUP(P497,Settings!$E$28:$F$33,2,FALSE)+1),1)</f>
        <v>3.2769458944992875</v>
      </c>
      <c r="T497" s="56">
        <f>VLOOKUP(B497,'Player Data'!$A1:$AE667,8,FALSE)*$Q497*IFERROR((VLOOKUP(P497,Settings!$E$28:$F$33,2,FALSE)+1),1)</f>
        <v>12.757744879449913</v>
      </c>
      <c r="U497" s="56">
        <f>SUM(S497:T497)</f>
        <v>16.034690773949201</v>
      </c>
      <c r="V497" s="56">
        <f>VLOOKUP(B497,'Player Data'!$A1:$AE667,10,FALSE)*$Q497*IFERROR(((VLOOKUP(P497,Settings!$E$28:$F$33,2,FALSE)/2)+1),1)</f>
        <v>71.029988427890515</v>
      </c>
      <c r="W497" s="56">
        <f>VLOOKUP(B497,'Player Data'!$A1:$AE667,11,FALSE)*$Q497*IFERROR((VLOOKUP(P497,Settings!$E$28:$F$33,2,FALSE)+1),1)</f>
        <v>4.2596219836933721E-2</v>
      </c>
      <c r="X497" s="56">
        <f>VLOOKUP(B497,'Player Data'!$A1:$AE667,12,FALSE)*$Q497*IFERROR((VLOOKUP(P497,Settings!$E$28:$F$33,2,FALSE)+1),1)</f>
        <v>0.175510763636821</v>
      </c>
      <c r="Y497" s="56">
        <f>VLOOKUP(B497,'Player Data'!$A1:$AE667,13,FALSE)*$Q497</f>
        <v>9.8227282372356332E-3</v>
      </c>
      <c r="Z497" s="56">
        <f>VLOOKUP(B497,'Player Data'!$A1:$AE667,14,FALSE)*$Q497</f>
        <v>4.8280299798502208E-2</v>
      </c>
      <c r="AA497" s="56">
        <f>VLOOKUP(B497,'Player Data'!$A1:$AE667,15,FALSE)*$Q497</f>
        <v>61.430088269565758</v>
      </c>
      <c r="AB497" s="56">
        <f>VLOOKUP(B497,'Player Data'!$A1:$AE667,16,FALSE)*$Q497</f>
        <v>76.70419561086068</v>
      </c>
      <c r="AC497" s="56">
        <f>VLOOKUP(B497,'Player Data'!$A1:$AE667,17,FALSE)*$Q497*IFERROR((VLOOKUP(P497,Settings!$E$28:$F$33,2,FALSE)+1),1)</f>
        <v>-0.24467488875149779</v>
      </c>
      <c r="AD497" s="56">
        <f>VLOOKUP(B497,'Player Data'!$A1:$AE667,18,FALSE)*$Q497</f>
        <v>28.375181685125035</v>
      </c>
      <c r="AE497" s="56">
        <f>VLOOKUP(B497,'Player Data'!$A1:$AE667,19,FALSE)*$Q497*IFERROR((VLOOKUP(P497,Settings!$E$28:$F$33,2,FALSE)+1),1)</f>
        <v>0.39452492990666604</v>
      </c>
      <c r="AF497" s="56">
        <f>VLOOKUP(B497,'Player Data'!$A1:$AE667,20,FALSE)*$Q497</f>
        <v>0</v>
      </c>
      <c r="AG497" s="56">
        <f>VLOOKUP(B497,'Player Data'!$A1:$AE667,21,FALSE)*$Q497</f>
        <v>0</v>
      </c>
      <c r="AH497" s="58">
        <f>VLOOKUP(B497,'Player Data'!$A1:$AE667,22,FALSE)</f>
        <v>0</v>
      </c>
      <c r="AI497" s="54"/>
      <c r="AJ497" s="56"/>
      <c r="AK497" s="56"/>
      <c r="AL497" s="56"/>
      <c r="AM497" s="56"/>
      <c r="AN497" s="56"/>
      <c r="AO497" s="56"/>
      <c r="AP497" s="56"/>
      <c r="AQ497" s="59"/>
      <c r="AR497" s="60"/>
      <c r="AS497" s="54"/>
    </row>
    <row r="498" spans="1:45" ht="21.25" customHeight="1" x14ac:dyDescent="0.15">
      <c r="A498" s="45">
        <f>RANK(K498,K$1:K$665)</f>
        <v>497</v>
      </c>
      <c r="B498" s="9" t="s">
        <v>623</v>
      </c>
      <c r="C498" s="46" t="s">
        <v>127</v>
      </c>
      <c r="D498" s="47" t="str">
        <f>VLOOKUP(B498,'Player Data'!A1:D667,4,FALSE)</f>
        <v>D</v>
      </c>
      <c r="E498" s="66">
        <f>VLOOKUP(B498,D!A1:C213,3,FALSE)</f>
        <v>191</v>
      </c>
      <c r="F498" s="77" t="str">
        <f>VLOOKUP(B498,'Player Data'!A1:B667,2,FALSE)</f>
        <v>STL</v>
      </c>
      <c r="G498" s="69">
        <f>VLOOKUP(B498,'Player Data'!A1:D667,3,FALSE)</f>
        <v>24</v>
      </c>
      <c r="H498" s="50">
        <f>IFERROR(VLOOKUP(B498,ADP!A1:G665,7,FALSE)/1000000,VLOOKUP(B498,ADP!A1:G665,7,FALSE))</f>
        <v>0.8</v>
      </c>
      <c r="I498" s="51">
        <f>IF(Settings!$E$15="POINTS",((R498*Q498)*Settings!$B$12)+(S498*Settings!$B$2)+(T498*Settings!$B$3)+(U498*Settings!$B$4)+(V498*Settings!$B$5)+(X498*Settings!$B$9)+(AA498*Settings!$B$6)+(W498*Settings!$B$8)+(AB498*Settings!$B$7)+(AC498*Settings!$B$14)+(AD498*Settings!$B$15)+(AE498*Settings!$B$16)+(AF498*Settings!$B$17)+(AG498*Settings!$B$18)+(U498*Settings!$B$13)+(Y498*Settings!$B$10)+(Z498*Settings!$B$11),VLOOKUP(B498,'Standard Deviations'!A1:C666,3,FALSE))</f>
        <v>114.46905531406757</v>
      </c>
      <c r="J498" s="52">
        <f>IF(D498="G",I498/AJ498,I498/Q498)</f>
        <v>1.7834237799184789</v>
      </c>
      <c r="K498" s="51">
        <f>VLOOKUP(B498,D!A1:F213,6,FALSE)</f>
        <v>-221.76506973152732</v>
      </c>
      <c r="L498" s="53">
        <f>IFERROR(K498/H498,"N/A")</f>
        <v>-277.20633716440915</v>
      </c>
      <c r="M498" s="83" t="str">
        <f>IF(Settings!$E$9="YAHOO",VLOOKUP(B498,ADP!A1:E665,2,FALSE),IF(Settings!$E$9="ESPN",VLOOKUP(B498,ADP!A1:E665,3,FALSE),IF(Settings!$E$9="FANTRAX",VLOOKUP(B498,ADP!A1:E665,4,FALSE),VLOOKUP(B498,ADP!A1:E665,5,FALSE))))</f>
        <v>—</v>
      </c>
      <c r="N498" s="83" t="str">
        <f>IFERROR(M498-A498,"N/A")</f>
        <v>N/A</v>
      </c>
      <c r="O498" s="54"/>
      <c r="P498" s="55" t="str">
        <f>IF(Settings!$E$27="ON",VLOOKUP(B498,ADP!A1:H665,8,FALSE)," ")</f>
        <v xml:space="preserve"> </v>
      </c>
      <c r="Q498" s="56">
        <f>IF(Settings!$E$12="YES",VLOOKUP(B498,'Player Data'!A1:E667,5,FALSE),82)</f>
        <v>64.185000000000002</v>
      </c>
      <c r="R498" s="54">
        <f>VLOOKUP(B498,'Player Data'!$A1:$AE667,6,FALSE)</f>
        <v>16.4893215651033</v>
      </c>
      <c r="S498" s="56">
        <f>VLOOKUP(B498,'Player Data'!$A1:$AE667,7,FALSE)*$Q498*IFERROR((VLOOKUP(P498,Settings!$E$28:$F$33,2,FALSE)+1),1)</f>
        <v>2.4035588999920234</v>
      </c>
      <c r="T498" s="56">
        <f>VLOOKUP(B498,'Player Data'!$A1:$AE667,8,FALSE)*$Q498*IFERROR((VLOOKUP(P498,Settings!$E$28:$F$33,2,FALSE)+1),1)</f>
        <v>10.986813329721395</v>
      </c>
      <c r="U498" s="56">
        <f>SUM(S498:T498)</f>
        <v>13.390372229713417</v>
      </c>
      <c r="V498" s="56">
        <f>VLOOKUP(B498,'Player Data'!$A1:$AE667,10,FALSE)*$Q498*IFERROR(((VLOOKUP(P498,Settings!$E$28:$F$33,2,FALSE)/2)+1),1)</f>
        <v>54.956592007588291</v>
      </c>
      <c r="W498" s="56">
        <f>VLOOKUP(B498,'Player Data'!$A1:$AE667,11,FALSE)*$Q498*IFERROR((VLOOKUP(P498,Settings!$E$28:$F$33,2,FALSE)+1),1)</f>
        <v>1.5738226720221064E-2</v>
      </c>
      <c r="X498" s="56">
        <f>VLOOKUP(B498,'Player Data'!$A1:$AE667,12,FALSE)*$Q498*IFERROR((VLOOKUP(P498,Settings!$E$28:$F$33,2,FALSE)+1),1)</f>
        <v>9.9268464723409083E-2</v>
      </c>
      <c r="Y498" s="56">
        <f>VLOOKUP(B498,'Player Data'!$A1:$AE667,13,FALSE)*$Q498</f>
        <v>1.0420176160890035E-2</v>
      </c>
      <c r="Z498" s="56">
        <f>VLOOKUP(B498,'Player Data'!$A1:$AE667,14,FALSE)*$Q498</f>
        <v>5.0799215495643792E-2</v>
      </c>
      <c r="AA498" s="56">
        <f>VLOOKUP(B498,'Player Data'!$A1:$AE667,15,FALSE)*$Q498</f>
        <v>93.339149881828249</v>
      </c>
      <c r="AB498" s="56">
        <f>VLOOKUP(B498,'Player Data'!$A1:$AE667,16,FALSE)*$Q498</f>
        <v>77.437400464777667</v>
      </c>
      <c r="AC498" s="56">
        <f>VLOOKUP(B498,'Player Data'!$A1:$AE667,17,FALSE)*$Q498*IFERROR((VLOOKUP(P498,Settings!$E$28:$F$33,2,FALSE)+1),1)</f>
        <v>-3.2780951498054378</v>
      </c>
      <c r="AD498" s="56">
        <f>VLOOKUP(B498,'Player Data'!$A1:$AE667,18,FALSE)*$Q498</f>
        <v>22.747886250206228</v>
      </c>
      <c r="AE498" s="56">
        <f>VLOOKUP(B498,'Player Data'!$A1:$AE667,19,FALSE)*$Q498*IFERROR((VLOOKUP(P498,Settings!$E$28:$F$33,2,FALSE)+1),1)</f>
        <v>0.28937429456423502</v>
      </c>
      <c r="AF498" s="56">
        <f>VLOOKUP(B498,'Player Data'!$A1:$AE667,20,FALSE)*$Q498</f>
        <v>0</v>
      </c>
      <c r="AG498" s="56">
        <f>VLOOKUP(B498,'Player Data'!$A1:$AE667,21,FALSE)*$Q498</f>
        <v>0</v>
      </c>
      <c r="AH498" s="58">
        <f>VLOOKUP(B498,'Player Data'!$A1:$AE667,22,FALSE)</f>
        <v>0</v>
      </c>
      <c r="AI498" s="54"/>
      <c r="AJ498" s="64"/>
      <c r="AK498" s="56"/>
      <c r="AL498" s="56"/>
      <c r="AM498" s="56"/>
      <c r="AN498" s="56"/>
      <c r="AO498" s="56"/>
      <c r="AP498" s="56"/>
      <c r="AQ498" s="59"/>
      <c r="AR498" s="60"/>
      <c r="AS498" s="54"/>
    </row>
    <row r="499" spans="1:45" ht="21.25" customHeight="1" x14ac:dyDescent="0.15">
      <c r="A499" s="45">
        <f>RANK(K499,K$1:K$665)</f>
        <v>498</v>
      </c>
      <c r="B499" s="9" t="s">
        <v>624</v>
      </c>
      <c r="C499" s="46" t="s">
        <v>127</v>
      </c>
      <c r="D499" s="47" t="str">
        <f>VLOOKUP(B499,'Player Data'!A1:D667,4,FALSE)</f>
        <v>LW</v>
      </c>
      <c r="E499" s="70">
        <f>VLOOKUP(B499,LW!A1:C152,3,FALSE)</f>
        <v>112</v>
      </c>
      <c r="F499" s="65" t="str">
        <f>VLOOKUP(B499,'Player Data'!A1:B667,2,FALSE)</f>
        <v>BUF</v>
      </c>
      <c r="G499" s="10">
        <f>VLOOKUP(B499,'Player Data'!A1:D667,3,FALSE)</f>
        <v>27</v>
      </c>
      <c r="H499" s="67">
        <f>IFERROR(VLOOKUP(B499,ADP!A1:G665,7,FALSE)/1000000,VLOOKUP(B499,ADP!A1:G665,7,FALSE))</f>
        <v>3</v>
      </c>
      <c r="I499" s="51">
        <f>IF(Settings!$E$15="POINTS",((R499*Q499)*Settings!$B$12)+(S499*Settings!$B$2)+(T499*Settings!$B$3)+(U499*Settings!$B$4)+(V499*Settings!$B$5)+(X499*Settings!$B$9)+(AA499*Settings!$B$6)+(W499*Settings!$B$8)+(AB499*Settings!$B$7)+(AC499*Settings!$B$14)+(AD499*Settings!$B$15)+(AE499*Settings!$B$16)+(AF499*Settings!$B$17)+(AG499*Settings!$B$18)+(Y499*Settings!$B$10)+(Z499*Settings!$B$11),VLOOKUP(B499,'Standard Deviations'!A1:C666,3,FALSE))</f>
        <v>158.99573111552934</v>
      </c>
      <c r="J499" s="52">
        <f>IF(D499="G",I499/AJ499,I499/Q499)</f>
        <v>2.1308102136299034</v>
      </c>
      <c r="K499" s="51">
        <f>IF(Settings!$E$18="C/LW/RW",VLOOKUP(B499,LW!A1:F152,6,FALSE),VLOOKUP(B499,F!A1:F392,6,FALSE))</f>
        <v>-222.06578118697041</v>
      </c>
      <c r="L499" s="53">
        <f>IFERROR(K499/H499,"N/A")</f>
        <v>-74.021927062323471</v>
      </c>
      <c r="M499" s="83" t="str">
        <f>IF(Settings!$E$9="YAHOO",VLOOKUP(B499,ADP!A1:E665,2,FALSE),IF(Settings!$E$9="ESPN",VLOOKUP(B499,ADP!A1:E665,3,FALSE),IF(Settings!$E$9="FANTRAX",VLOOKUP(B499,ADP!A1:E665,4,FALSE),VLOOKUP(B499,ADP!A1:E665,5,FALSE))))</f>
        <v>—</v>
      </c>
      <c r="N499" s="83" t="str">
        <f>IFERROR(M499-A499,"N/A")</f>
        <v>N/A</v>
      </c>
      <c r="O499" s="54"/>
      <c r="P499" s="55" t="str">
        <f>IF(Settings!$E$27="ON",VLOOKUP(B499,ADP!A1:H665,8,FALSE)," ")</f>
        <v xml:space="preserve"> </v>
      </c>
      <c r="Q499" s="56">
        <f>IF(Settings!$E$12="YES",VLOOKUP(B499,'Player Data'!A1:E667,5,FALSE),82)</f>
        <v>74.617500000000007</v>
      </c>
      <c r="R499" s="81">
        <f>VLOOKUP(B499,'Player Data'!$A1:$AE667,6,FALSE)</f>
        <v>15.043414606390799</v>
      </c>
      <c r="S499" s="56">
        <f>VLOOKUP(B499,'Player Data'!$A1:$AE667,7,FALSE)*$Q499*IFERROR((VLOOKUP(P499,Settings!$E$28:$F$33,2,FALSE)+1),1)</f>
        <v>9.458187005389286</v>
      </c>
      <c r="T499" s="56">
        <f>VLOOKUP(B499,'Player Data'!$A1:$AE667,8,FALSE)*$Q499*IFERROR((VLOOKUP(P499,Settings!$E$28:$F$33,2,FALSE)+1),1)</f>
        <v>14.684358275127369</v>
      </c>
      <c r="U499" s="56">
        <f>SUM(S499:T499)</f>
        <v>24.142545280516657</v>
      </c>
      <c r="V499" s="56">
        <f>VLOOKUP(B499,'Player Data'!$A1:$AE667,10,FALSE)*$Q499*IFERROR(((VLOOKUP(P499,Settings!$E$28:$F$33,2,FALSE)/2)+1),1)</f>
        <v>109.81931026829027</v>
      </c>
      <c r="W499" s="56">
        <f>VLOOKUP(B499,'Player Data'!$A1:$AE667,11,FALSE)*$Q499*IFERROR((VLOOKUP(P499,Settings!$E$28:$F$33,2,FALSE)+1),1)</f>
        <v>0.31686928755548732</v>
      </c>
      <c r="X499" s="56">
        <f>VLOOKUP(B499,'Player Data'!$A1:$AE667,12,FALSE)*$Q499*IFERROR((VLOOKUP(P499,Settings!$E$28:$F$33,2,FALSE)+1),1)</f>
        <v>1.1266576360692095</v>
      </c>
      <c r="Y499" s="56">
        <f>VLOOKUP(B499,'Player Data'!$A1:$AE667,13,FALSE)*$Q499</f>
        <v>0.11393694942266812</v>
      </c>
      <c r="Z499" s="56">
        <f>VLOOKUP(B499,'Player Data'!$A1:$AE667,14,FALSE)*$Q499</f>
        <v>0.91754308598445911</v>
      </c>
      <c r="AA499" s="56">
        <f>VLOOKUP(B499,'Player Data'!$A1:$AE667,15,FALSE)*$Q499</f>
        <v>59.228478835561155</v>
      </c>
      <c r="AB499" s="56">
        <f>VLOOKUP(B499,'Player Data'!$A1:$AE667,16,FALSE)*$Q499</f>
        <v>130.8341097911628</v>
      </c>
      <c r="AC499" s="56">
        <f>VLOOKUP(B499,'Player Data'!$A1:$AE667,17,FALSE)*$Q499*IFERROR((VLOOKUP(P499,Settings!$E$28:$F$33,2,FALSE)+1),1)</f>
        <v>-0.46780322858151674</v>
      </c>
      <c r="AD499" s="56">
        <f>VLOOKUP(B499,'Player Data'!$A1:$AE667,18,FALSE)*$Q499</f>
        <v>50.202322864397594</v>
      </c>
      <c r="AE499" s="56">
        <f>VLOOKUP(B499,'Player Data'!$A1:$AE667,19,FALSE)*$Q499*IFERROR((VLOOKUP(P499,Settings!$E$28:$F$33,2,FALSE)+1),1)</f>
        <v>1.3379119654140912</v>
      </c>
      <c r="AF499" s="56">
        <f>VLOOKUP(B499,'Player Data'!$A1:$AE667,20,FALSE)*$Q499</f>
        <v>13.920515892583296</v>
      </c>
      <c r="AG499" s="56">
        <f>VLOOKUP(B499,'Player Data'!$A1:$AE667,21,FALSE)*$Q499</f>
        <v>37.956014438831332</v>
      </c>
      <c r="AH499" s="58">
        <f>VLOOKUP(B499,'Player Data'!$A1:$AE667,22,FALSE)</f>
        <v>0.26833937820536002</v>
      </c>
      <c r="AI499" s="54"/>
      <c r="AJ499" s="64"/>
      <c r="AK499" s="56"/>
      <c r="AL499" s="56"/>
      <c r="AM499" s="56"/>
      <c r="AN499" s="56"/>
      <c r="AO499" s="56"/>
      <c r="AP499" s="56"/>
      <c r="AQ499" s="59"/>
      <c r="AR499" s="60"/>
      <c r="AS499" s="54"/>
    </row>
    <row r="500" spans="1:45" ht="21.25" customHeight="1" x14ac:dyDescent="0.15">
      <c r="A500" s="45">
        <f>RANK(K500,K$1:K$665)</f>
        <v>499</v>
      </c>
      <c r="B500" s="9" t="s">
        <v>625</v>
      </c>
      <c r="C500" s="46" t="s">
        <v>127</v>
      </c>
      <c r="D500" s="47" t="str">
        <f>VLOOKUP(B500,'Player Data'!A1:D667,4,FALSE)</f>
        <v>G</v>
      </c>
      <c r="E500" s="73">
        <f>VLOOKUP(B500,G!A1:D65,3,FALSE)</f>
        <v>46</v>
      </c>
      <c r="F500" s="77" t="str">
        <f>VLOOKUP(B500,'Player Data'!A1:B667,2,FALSE)</f>
        <v>S.J</v>
      </c>
      <c r="G500" s="69">
        <f>VLOOKUP(B500,'Player Data'!A1:D667,3,FALSE)</f>
        <v>27</v>
      </c>
      <c r="H500" s="67">
        <f>IFERROR(VLOOKUP(B500,ADP!A1:G665,7,FALSE)/1000000,VLOOKUP(B500,ADP!A1:G665,7,FALSE))</f>
        <v>2.35</v>
      </c>
      <c r="I500" s="51">
        <f>IF(Settings!$E$15="POINTS",(AJ500*Settings!$B$29)+(AK500*Settings!$B$21)+(AL500*Settings!$B$22)+(AN500*Settings!$B$24)+(AO500*Settings!$B$25)+(AP500*Settings!$B$27)+(AM500*Settings!$B$23),VLOOKUP(B500,'Standard Deviations'!A1:C666,3,FALSE))</f>
        <v>188.55837391838486</v>
      </c>
      <c r="J500" s="52">
        <f>IF(D500="G",I500/AJ500,I500/Q500)</f>
        <v>6.2852791306128291</v>
      </c>
      <c r="K500" s="51">
        <f>VLOOKUP(B500,G!A1:F65,6,FALSE)</f>
        <v>-222.10136885103532</v>
      </c>
      <c r="L500" s="53">
        <f>IFERROR(K500/H500,"N/A")</f>
        <v>-94.511220787674603</v>
      </c>
      <c r="M500" s="83" t="str">
        <f>IF(Settings!$E$9="YAHOO",VLOOKUP(B500,ADP!A1:E665,2,FALSE),IF(Settings!$E$9="ESPN",VLOOKUP(B500,ADP!A1:E665,3,FALSE),IF(Settings!$E$9="FANTRAX",VLOOKUP(B500,ADP!A1:E665,4,FALSE),VLOOKUP(B500,ADP!A1:E665,5,FALSE))))</f>
        <v>—</v>
      </c>
      <c r="N500" s="83" t="str">
        <f>IFERROR(M500-A500,"N/A")</f>
        <v>N/A</v>
      </c>
      <c r="O500" s="54"/>
      <c r="P500" s="55" t="str">
        <f>IF(Settings!$E$27="ON",VLOOKUP(B500,ADP!A1:H665,8,FALSE)," ")</f>
        <v xml:space="preserve"> </v>
      </c>
      <c r="Q500" s="56"/>
      <c r="R500" s="54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8"/>
      <c r="AI500" s="54"/>
      <c r="AJ500" s="64">
        <f>VLOOKUP(B500,'Player Data'!$A1:$AE667,24,FALSE)</f>
        <v>30</v>
      </c>
      <c r="AK500" s="56">
        <f>VLOOKUP(B500,'Player Data'!$A1:$AE667,25,FALSE)*$AJ500*IFERROR((VLOOKUP(P500,Settings!$E$28:$F$33,2,FALSE)+1),1)</f>
        <v>10.145026222369529</v>
      </c>
      <c r="AL500" s="56">
        <f>AJ500-AK500-AM500</f>
        <v>16.10497377763047</v>
      </c>
      <c r="AM500" s="56">
        <f>VLOOKUP(B500,'Player Data'!$A1:$AE667,27,FALSE)*$AJ500</f>
        <v>3.75</v>
      </c>
      <c r="AN500" s="56">
        <f>VLOOKUP(B500,'Player Data'!$A1:$AE667,28,FALSE)*AJ500</f>
        <v>0.93150853128226796</v>
      </c>
      <c r="AO500" s="56">
        <f>VLOOKUP(B500,'Player Data'!$A1:$AE667,29,FALSE)*$AJ500*IFERROR((VLOOKUP(P500,Settings!$E$28:$F$33,2,FALSE)/4)+1,1)</f>
        <v>884.48131595160601</v>
      </c>
      <c r="AP500" s="56">
        <f>VLOOKUP(B500,'Player Data'!$A1:$AE667,31,FALSE)*$AJ500*(IFERROR(1-(VLOOKUP(P500,Settings!$E$28:$F$33,2,FALSE)/4),1))</f>
        <v>95.016290418603006</v>
      </c>
      <c r="AQ500" s="59">
        <f>1-(AP500/(AO500+AP500))</f>
        <v>0.90299487226853836</v>
      </c>
      <c r="AR500" s="60">
        <f>AP500/AJ500</f>
        <v>3.1672096806201</v>
      </c>
      <c r="AS500" s="54"/>
    </row>
    <row r="501" spans="1:45" ht="21.25" customHeight="1" x14ac:dyDescent="0.15">
      <c r="A501" s="45">
        <f>RANK(K501,K$1:K$665)</f>
        <v>500</v>
      </c>
      <c r="B501" s="9" t="s">
        <v>626</v>
      </c>
      <c r="C501" s="46" t="s">
        <v>127</v>
      </c>
      <c r="D501" s="47" t="str">
        <f>VLOOKUP(B501,'Player Data'!A1:D667,4,FALSE)</f>
        <v>C</v>
      </c>
      <c r="E501" s="48">
        <f>VLOOKUP(B501,'C'!A1:C206,3,FALSE)</f>
        <v>137</v>
      </c>
      <c r="F501" s="55" t="str">
        <f>VLOOKUP(B501,'Player Data'!A1:B667,2,FALSE)</f>
        <v>UTA</v>
      </c>
      <c r="G501" s="10">
        <f>VLOOKUP(B501,'Player Data'!A1:D667,3,FALSE)</f>
        <v>24</v>
      </c>
      <c r="H501" s="50">
        <f>IFERROR(VLOOKUP(B501,ADP!A1:G665,7,FALSE)/1000000,VLOOKUP(B501,ADP!A1:G665,7,FALSE))</f>
        <v>2.65</v>
      </c>
      <c r="I501" s="51">
        <f>IF(Settings!$E$15="POINTS",((R501*Q501)*Settings!$B$12)+(S501*Settings!$B$2)+(T501*Settings!$B$3)+(U501*Settings!$B$4)+(V501*Settings!$B$5)+(X501*Settings!$B$9)+(AA501*Settings!$B$6)+(W501*Settings!$B$8)+(AB501*Settings!$B$7)+(AC501*Settings!$B$14)+(AD501*Settings!$B$15)+(AE501*Settings!$B$16)+(AF501*Settings!$B$17)+(AG501*Settings!$B$18)+(Y501*Settings!$B$10)+(Z501*Settings!$B$11),VLOOKUP(B501,'Standard Deviations'!A1:C666,3,FALSE))</f>
        <v>167.49327545909148</v>
      </c>
      <c r="J501" s="52">
        <f>IF(D501="G",I501/AJ501,I501/Q501)</f>
        <v>2.3546659467766702</v>
      </c>
      <c r="K501" s="51">
        <f>IF(Settings!$E$18="C/LW/RW",VLOOKUP(B501,'C'!A1:F206,6,FALSE),VLOOKUP(B501,F!A1:F392,6,FALSE))</f>
        <v>-222.44388231898961</v>
      </c>
      <c r="L501" s="53">
        <f>IFERROR(K501/H501,"N/A")</f>
        <v>-83.941087667543258</v>
      </c>
      <c r="M501" s="83" t="str">
        <f>IF(Settings!$E$9="YAHOO",VLOOKUP(B501,ADP!A1:E665,2,FALSE),IF(Settings!$E$9="ESPN",VLOOKUP(B501,ADP!A1:E665,3,FALSE),IF(Settings!$E$9="FANTRAX",VLOOKUP(B501,ADP!A1:E665,4,FALSE),VLOOKUP(B501,ADP!A1:E665,5,FALSE))))</f>
        <v>—</v>
      </c>
      <c r="N501" s="83" t="str">
        <f>IFERROR(M501-A501,"N/A")</f>
        <v>N/A</v>
      </c>
      <c r="O501" s="54"/>
      <c r="P501" s="55" t="str">
        <f>IF(Settings!$E$27="ON",VLOOKUP(B501,ADP!A1:H665,8,FALSE)," ")</f>
        <v xml:space="preserve"> </v>
      </c>
      <c r="Q501" s="56">
        <f>IF(Settings!$E$12="YES",VLOOKUP(B501,'Player Data'!A1:E667,5,FALSE),82)</f>
        <v>71.132499999999993</v>
      </c>
      <c r="R501" s="81">
        <f>VLOOKUP(B501,'Player Data'!$A1:$AE667,6,FALSE)</f>
        <v>15.473124964981899</v>
      </c>
      <c r="S501" s="56">
        <f>VLOOKUP(B501,'Player Data'!$A1:$AE667,7,FALSE)*$Q501*IFERROR((VLOOKUP(P501,Settings!$E$28:$F$33,2,FALSE)+1),1)</f>
        <v>12.063718962691006</v>
      </c>
      <c r="T501" s="56">
        <f>VLOOKUP(B501,'Player Data'!$A1:$AE667,8,FALSE)*$Q501*IFERROR((VLOOKUP(P501,Settings!$E$28:$F$33,2,FALSE)+1),1)</f>
        <v>16.819207196406879</v>
      </c>
      <c r="U501" s="56">
        <f>SUM(S501:T501)</f>
        <v>28.882926159097885</v>
      </c>
      <c r="V501" s="56">
        <f>VLOOKUP(B501,'Player Data'!$A1:$AE667,10,FALSE)*$Q501*IFERROR(((VLOOKUP(P501,Settings!$E$28:$F$33,2,FALSE)/2)+1),1)</f>
        <v>122.16736308760088</v>
      </c>
      <c r="W501" s="56">
        <f>VLOOKUP(B501,'Player Data'!$A1:$AE667,11,FALSE)*$Q501*IFERROR((VLOOKUP(P501,Settings!$E$28:$F$33,2,FALSE)+1),1)</f>
        <v>1.623012534021105</v>
      </c>
      <c r="X501" s="56">
        <f>VLOOKUP(B501,'Player Data'!$A1:$AE667,12,FALSE)*$Q501*IFERROR((VLOOKUP(P501,Settings!$E$28:$F$33,2,FALSE)+1),1)</f>
        <v>4.023901546010646</v>
      </c>
      <c r="Y501" s="56">
        <f>VLOOKUP(B501,'Player Data'!$A1:$AE667,13,FALSE)*$Q501</f>
        <v>7.5035971461080347E-2</v>
      </c>
      <c r="Z501" s="56">
        <f>VLOOKUP(B501,'Player Data'!$A1:$AE667,14,FALSE)*$Q501</f>
        <v>0.31397857205620705</v>
      </c>
      <c r="AA501" s="56">
        <f>VLOOKUP(B501,'Player Data'!$A1:$AE667,15,FALSE)*$Q501</f>
        <v>30.845870639861083</v>
      </c>
      <c r="AB501" s="56">
        <f>VLOOKUP(B501,'Player Data'!$A1:$AE667,16,FALSE)*$Q501</f>
        <v>60.221771369285001</v>
      </c>
      <c r="AC501" s="56">
        <f>VLOOKUP(B501,'Player Data'!$A1:$AE667,17,FALSE)*$Q501*IFERROR((VLOOKUP(P501,Settings!$E$28:$F$33,2,FALSE)+1),1)</f>
        <v>-0.20139710541264622</v>
      </c>
      <c r="AD501" s="56">
        <f>VLOOKUP(B501,'Player Data'!$A1:$AE667,18,FALSE)*$Q501</f>
        <v>29.498832394221832</v>
      </c>
      <c r="AE501" s="56">
        <f>VLOOKUP(B501,'Player Data'!$A1:$AE667,19,FALSE)*$Q501*IFERROR((VLOOKUP(P501,Settings!$E$28:$F$33,2,FALSE)+1),1)</f>
        <v>1.7652766712360344</v>
      </c>
      <c r="AF501" s="56">
        <f>VLOOKUP(B501,'Player Data'!$A1:$AE667,20,FALSE)*$Q501</f>
        <v>442.56806878478153</v>
      </c>
      <c r="AG501" s="56">
        <f>VLOOKUP(B501,'Player Data'!$A1:$AE667,21,FALSE)*$Q501</f>
        <v>442.0526437607482</v>
      </c>
      <c r="AH501" s="58">
        <f>VLOOKUP(B501,'Player Data'!$A1:$AE667,22,FALSE)</f>
        <v>0.50029132543288002</v>
      </c>
      <c r="AI501" s="54"/>
      <c r="AJ501" s="64"/>
      <c r="AK501" s="56"/>
      <c r="AL501" s="56"/>
      <c r="AM501" s="56"/>
      <c r="AN501" s="56"/>
      <c r="AO501" s="56"/>
      <c r="AP501" s="56"/>
      <c r="AQ501" s="59"/>
      <c r="AR501" s="60"/>
      <c r="AS501" s="54"/>
    </row>
    <row r="502" spans="1:45" ht="21.25" customHeight="1" x14ac:dyDescent="0.15">
      <c r="A502" s="45">
        <f>RANK(K502,K$1:K$665)</f>
        <v>501</v>
      </c>
      <c r="B502" s="9" t="s">
        <v>627</v>
      </c>
      <c r="C502" s="46" t="s">
        <v>127</v>
      </c>
      <c r="D502" s="47" t="str">
        <f>VLOOKUP(B502,'Player Data'!A1:D667,4,FALSE)</f>
        <v>C</v>
      </c>
      <c r="E502" s="48">
        <f>VLOOKUP(B502,'C'!A1:C206,3,FALSE)</f>
        <v>138</v>
      </c>
      <c r="F502" s="62" t="str">
        <f>VLOOKUP(B502,'Player Data'!A1:B667,2,FALSE)</f>
        <v>T.B</v>
      </c>
      <c r="G502" s="10">
        <f>VLOOKUP(B502,'Player Data'!A1:D667,3,FALSE)</f>
        <v>27</v>
      </c>
      <c r="H502" s="67">
        <f>IFERROR(VLOOKUP(B502,ADP!A1:G665,7,FALSE)/1000000,VLOOKUP(B502,ADP!A1:G665,7,FALSE))</f>
        <v>0.8</v>
      </c>
      <c r="I502" s="51">
        <f>IF(Settings!$E$15="POINTS",((R502*Q502)*Settings!$B$12)+(S502*Settings!$B$2)+(T502*Settings!$B$3)+(U502*Settings!$B$4)+(V502*Settings!$B$5)+(X502*Settings!$B$9)+(AA502*Settings!$B$6)+(W502*Settings!$B$8)+(AB502*Settings!$B$7)+(AC502*Settings!$B$14)+(AD502*Settings!$B$15)+(AE502*Settings!$B$16)+(AF502*Settings!$B$17)+(AG502*Settings!$B$18)+(Y502*Settings!$B$10)+(Z502*Settings!$B$11),VLOOKUP(B502,'Standard Deviations'!A1:C666,3,FALSE))</f>
        <v>166.98474741286995</v>
      </c>
      <c r="J502" s="52">
        <f>IF(D502="G",I502/AJ502,I502/Q502)</f>
        <v>2.2204680351433788</v>
      </c>
      <c r="K502" s="51">
        <f>IF(Settings!$E$18="C/LW/RW",VLOOKUP(B502,'C'!A1:F206,6,FALSE),VLOOKUP(B502,F!A1:F392,6,FALSE))</f>
        <v>-222.95241036521114</v>
      </c>
      <c r="L502" s="53">
        <f>IFERROR(K502/H502,"N/A")</f>
        <v>-278.69051295651389</v>
      </c>
      <c r="M502" s="83" t="str">
        <f>IF(Settings!$E$9="YAHOO",VLOOKUP(B502,ADP!A1:E665,2,FALSE),IF(Settings!$E$9="ESPN",VLOOKUP(B502,ADP!A1:E665,3,FALSE),IF(Settings!$E$9="FANTRAX",VLOOKUP(B502,ADP!A1:E665,4,FALSE),VLOOKUP(B502,ADP!A1:E665,5,FALSE))))</f>
        <v>—</v>
      </c>
      <c r="N502" s="83" t="str">
        <f>IFERROR(M502-A502,"N/A")</f>
        <v>N/A</v>
      </c>
      <c r="O502" s="54"/>
      <c r="P502" s="55" t="str">
        <f>IF(Settings!$E$27="ON",VLOOKUP(B502,ADP!A1:H665,8,FALSE)," ")</f>
        <v xml:space="preserve"> </v>
      </c>
      <c r="Q502" s="56">
        <f>IF(Settings!$E$12="YES",VLOOKUP(B502,'Player Data'!A1:E667,5,FALSE),82)</f>
        <v>75.202500000000001</v>
      </c>
      <c r="R502" s="75">
        <f>VLOOKUP(B502,'Player Data'!$A1:$AE667,6,FALSE)</f>
        <v>13.1794684523064</v>
      </c>
      <c r="S502" s="56">
        <f>VLOOKUP(B502,'Player Data'!$A1:$AE667,7,FALSE)*$Q502*IFERROR((VLOOKUP(P502,Settings!$E$28:$F$33,2,FALSE)+1),1)</f>
        <v>9.9317082547355326</v>
      </c>
      <c r="T502" s="56">
        <f>VLOOKUP(B502,'Player Data'!$A1:$AE667,8,FALSE)*$Q502*IFERROR((VLOOKUP(P502,Settings!$E$28:$F$33,2,FALSE)+1),1)</f>
        <v>14.758665386599688</v>
      </c>
      <c r="U502" s="56">
        <f>SUM(S502:T502)</f>
        <v>24.690373641335221</v>
      </c>
      <c r="V502" s="56">
        <f>VLOOKUP(B502,'Player Data'!$A1:$AE667,10,FALSE)*$Q502*IFERROR(((VLOOKUP(P502,Settings!$E$28:$F$33,2,FALSE)/2)+1),1)</f>
        <v>151.90170426984801</v>
      </c>
      <c r="W502" s="56">
        <f>VLOOKUP(B502,'Player Data'!$A1:$AE667,11,FALSE)*$Q502*IFERROR((VLOOKUP(P502,Settings!$E$28:$F$33,2,FALSE)+1),1)</f>
        <v>0.38867956282941712</v>
      </c>
      <c r="X502" s="56">
        <f>VLOOKUP(B502,'Player Data'!$A1:$AE667,12,FALSE)*$Q502*IFERROR((VLOOKUP(P502,Settings!$E$28:$F$33,2,FALSE)+1),1)</f>
        <v>0.83659179314768028</v>
      </c>
      <c r="Y502" s="56">
        <f>VLOOKUP(B502,'Player Data'!$A1:$AE667,13,FALSE)*$Q502</f>
        <v>4.0074911692356899E-3</v>
      </c>
      <c r="Z502" s="56">
        <f>VLOOKUP(B502,'Player Data'!$A1:$AE667,14,FALSE)*$Q502</f>
        <v>6.8527477868834822E-3</v>
      </c>
      <c r="AA502" s="56">
        <f>VLOOKUP(B502,'Player Data'!$A1:$AE667,15,FALSE)*$Q502</f>
        <v>32.23865962601139</v>
      </c>
      <c r="AB502" s="56">
        <f>VLOOKUP(B502,'Player Data'!$A1:$AE667,16,FALSE)*$Q502</f>
        <v>137.7471855719829</v>
      </c>
      <c r="AC502" s="56">
        <f>VLOOKUP(B502,'Player Data'!$A1:$AE667,17,FALSE)*$Q502*IFERROR((VLOOKUP(P502,Settings!$E$28:$F$33,2,FALSE)+1),1)</f>
        <v>1.99240685488058</v>
      </c>
      <c r="AD502" s="56">
        <f>VLOOKUP(B502,'Player Data'!$A1:$AE667,18,FALSE)*$Q502</f>
        <v>56.939453250361673</v>
      </c>
      <c r="AE502" s="56">
        <f>VLOOKUP(B502,'Player Data'!$A1:$AE667,19,FALSE)*$Q502*IFERROR((VLOOKUP(P502,Settings!$E$28:$F$33,2,FALSE)+1),1)</f>
        <v>1.5648560616494596</v>
      </c>
      <c r="AF502" s="56">
        <f>VLOOKUP(B502,'Player Data'!$A1:$AE667,20,FALSE)*$Q502</f>
        <v>7.6016135284054638</v>
      </c>
      <c r="AG502" s="56">
        <f>VLOOKUP(B502,'Player Data'!$A1:$AE667,21,FALSE)*$Q502</f>
        <v>10.450169738472756</v>
      </c>
      <c r="AH502" s="58">
        <f>VLOOKUP(B502,'Player Data'!$A1:$AE667,22,FALSE)</f>
        <v>0.42110042071871301</v>
      </c>
      <c r="AI502" s="54"/>
      <c r="AJ502" s="56"/>
      <c r="AK502" s="56"/>
      <c r="AL502" s="56"/>
      <c r="AM502" s="56"/>
      <c r="AN502" s="56"/>
      <c r="AO502" s="56"/>
      <c r="AP502" s="56"/>
      <c r="AQ502" s="59"/>
      <c r="AR502" s="60"/>
      <c r="AS502" s="54"/>
    </row>
    <row r="503" spans="1:45" ht="21.25" customHeight="1" x14ac:dyDescent="0.15">
      <c r="A503" s="45">
        <f>RANK(K503,K$1:K$665)</f>
        <v>502</v>
      </c>
      <c r="B503" s="9" t="s">
        <v>628</v>
      </c>
      <c r="C503" s="46" t="s">
        <v>127</v>
      </c>
      <c r="D503" s="47" t="str">
        <f>VLOOKUP(B503,'Player Data'!A1:D667,4,FALSE)</f>
        <v>C</v>
      </c>
      <c r="E503" s="48">
        <f>VLOOKUP(B503,'C'!A1:C206,3,FALSE)</f>
        <v>139</v>
      </c>
      <c r="F503" s="65" t="str">
        <f>VLOOKUP(B503,'Player Data'!A1:B667,2,FALSE)</f>
        <v>NSH</v>
      </c>
      <c r="G503" s="69">
        <f>VLOOKUP(B503,'Player Data'!A1:D667,3,FALSE)</f>
        <v>23</v>
      </c>
      <c r="H503" s="65" t="str">
        <f>IFERROR(VLOOKUP(B503,ADP!A1:G665,7,FALSE)/1000000,VLOOKUP(B503,ADP!A1:G665,7,FALSE))</f>
        <v>RFA</v>
      </c>
      <c r="I503" s="51">
        <f>IF(Settings!$E$15="POINTS",((R503*Q503)*Settings!$B$12)+(S503*Settings!$B$2)+(T503*Settings!$B$3)+(U503*Settings!$B$4)+(V503*Settings!$B$5)+(X503*Settings!$B$9)+(AA503*Settings!$B$6)+(W503*Settings!$B$8)+(AB503*Settings!$B$7)+(AC503*Settings!$B$14)+(AD503*Settings!$B$15)+(AE503*Settings!$B$16)+(AF503*Settings!$B$17)+(AG503*Settings!$B$18)+(Y503*Settings!$B$10)+(Z503*Settings!$B$11),VLOOKUP(B503,'Standard Deviations'!A1:C666,3,FALSE))</f>
        <v>166.5837645772792</v>
      </c>
      <c r="J503" s="52">
        <f>IF(D503="G",I503/AJ503,I503/Q503)</f>
        <v>2.4811403720178613</v>
      </c>
      <c r="K503" s="51">
        <f>IF(Settings!$E$18="C/LW/RW",VLOOKUP(B503,'C'!A1:F206,6,FALSE),VLOOKUP(B503,F!A1:F392,6,FALSE))</f>
        <v>-223.35339320080189</v>
      </c>
      <c r="L503" s="76" t="str">
        <f>IFERROR(K503/H503,"N/A")</f>
        <v>N/A</v>
      </c>
      <c r="M503" s="83" t="str">
        <f>IF(Settings!$E$9="YAHOO",VLOOKUP(B503,ADP!A1:E665,2,FALSE),IF(Settings!$E$9="ESPN",VLOOKUP(B503,ADP!A1:E665,3,FALSE),IF(Settings!$E$9="FANTRAX",VLOOKUP(B503,ADP!A1:E665,4,FALSE),VLOOKUP(B503,ADP!A1:E665,5,FALSE))))</f>
        <v>—</v>
      </c>
      <c r="N503" s="83" t="str">
        <f>IFERROR(M503-A503,"N/A")</f>
        <v>N/A</v>
      </c>
      <c r="O503" s="54"/>
      <c r="P503" s="55" t="str">
        <f>IF(Settings!$E$27="ON",VLOOKUP(B503,ADP!A1:H665,8,FALSE)," ")</f>
        <v xml:space="preserve"> </v>
      </c>
      <c r="Q503" s="56">
        <f>IF(Settings!$E$12="YES",VLOOKUP(B503,'Player Data'!A1:E667,5,FALSE),82)</f>
        <v>67.14</v>
      </c>
      <c r="R503" s="54">
        <f>VLOOKUP(B503,'Player Data'!$A1:$AE667,6,FALSE)</f>
        <v>13.0759227716082</v>
      </c>
      <c r="S503" s="56">
        <f>VLOOKUP(B503,'Player Data'!$A1:$AE667,7,FALSE)*$Q503*IFERROR((VLOOKUP(P503,Settings!$E$28:$F$33,2,FALSE)+1),1)</f>
        <v>10.86199126297066</v>
      </c>
      <c r="T503" s="56">
        <f>VLOOKUP(B503,'Player Data'!$A1:$AE667,8,FALSE)*$Q503*IFERROR((VLOOKUP(P503,Settings!$E$28:$F$33,2,FALSE)+1),1)</f>
        <v>20.207133700769393</v>
      </c>
      <c r="U503" s="56">
        <f>SUM(S503:T503)</f>
        <v>31.069124963740052</v>
      </c>
      <c r="V503" s="56">
        <f>VLOOKUP(B503,'Player Data'!$A1:$AE667,10,FALSE)*$Q503*IFERROR(((VLOOKUP(P503,Settings!$E$28:$F$33,2,FALSE)/2)+1),1)</f>
        <v>108.09058475662317</v>
      </c>
      <c r="W503" s="56">
        <f>VLOOKUP(B503,'Player Data'!$A1:$AE667,11,FALSE)*$Q503*IFERROR((VLOOKUP(P503,Settings!$E$28:$F$33,2,FALSE)+1),1)</f>
        <v>1.240881107471884</v>
      </c>
      <c r="X503" s="56">
        <f>VLOOKUP(B503,'Player Data'!$A1:$AE667,12,FALSE)*$Q503*IFERROR((VLOOKUP(P503,Settings!$E$28:$F$33,2,FALSE)+1),1)</f>
        <v>3.6143073774426284</v>
      </c>
      <c r="Y503" s="56">
        <f>VLOOKUP(B503,'Player Data'!$A1:$AE667,13,FALSE)*$Q503</f>
        <v>2.620074569861099E-4</v>
      </c>
      <c r="Z503" s="56">
        <f>VLOOKUP(B503,'Player Data'!$A1:$AE667,14,FALSE)*$Q503</f>
        <v>4.3668445649763766E-4</v>
      </c>
      <c r="AA503" s="56">
        <f>VLOOKUP(B503,'Player Data'!$A1:$AE667,15,FALSE)*$Q503</f>
        <v>31.432706491696678</v>
      </c>
      <c r="AB503" s="56">
        <f>VLOOKUP(B503,'Player Data'!$A1:$AE667,16,FALSE)*$Q503</f>
        <v>44.04536820740018</v>
      </c>
      <c r="AC503" s="56">
        <f>VLOOKUP(B503,'Player Data'!$A1:$AE667,17,FALSE)*$Q503*IFERROR((VLOOKUP(P503,Settings!$E$28:$F$33,2,FALSE)+1),1)</f>
        <v>1.0238831500246548</v>
      </c>
      <c r="AD503" s="56">
        <f>VLOOKUP(B503,'Player Data'!$A1:$AE667,18,FALSE)*$Q503</f>
        <v>16.60884694319974</v>
      </c>
      <c r="AE503" s="56">
        <f>VLOOKUP(B503,'Player Data'!$A1:$AE667,19,FALSE)*$Q503*IFERROR((VLOOKUP(P503,Settings!$E$28:$F$33,2,FALSE)+1),1)</f>
        <v>1.5379799739928783</v>
      </c>
      <c r="AF503" s="56">
        <f>VLOOKUP(B503,'Player Data'!$A1:$AE667,20,FALSE)*$Q503</f>
        <v>13.153250676248163</v>
      </c>
      <c r="AG503" s="56">
        <f>VLOOKUP(B503,'Player Data'!$A1:$AE667,21,FALSE)*$Q503</f>
        <v>24.171184543903607</v>
      </c>
      <c r="AH503" s="58">
        <f>VLOOKUP(B503,'Player Data'!$A1:$AE667,22,FALSE)</f>
        <v>0.35240320713939799</v>
      </c>
      <c r="AI503" s="54"/>
      <c r="AJ503" s="56"/>
      <c r="AK503" s="56"/>
      <c r="AL503" s="56"/>
      <c r="AM503" s="56"/>
      <c r="AN503" s="56"/>
      <c r="AO503" s="56"/>
      <c r="AP503" s="56"/>
      <c r="AQ503" s="59"/>
      <c r="AR503" s="60"/>
      <c r="AS503" s="54"/>
    </row>
    <row r="504" spans="1:45" ht="21.25" customHeight="1" x14ac:dyDescent="0.15">
      <c r="A504" s="45">
        <f>RANK(K504,K$1:K$665)</f>
        <v>503</v>
      </c>
      <c r="B504" s="9" t="s">
        <v>629</v>
      </c>
      <c r="C504" s="46" t="s">
        <v>127</v>
      </c>
      <c r="D504" s="47" t="str">
        <f>VLOOKUP(B504,'Player Data'!A1:D667,4,FALSE)</f>
        <v>D</v>
      </c>
      <c r="E504" s="66">
        <f>VLOOKUP(B504,D!A1:C213,3,FALSE)</f>
        <v>192</v>
      </c>
      <c r="F504" s="55" t="str">
        <f>VLOOKUP(B504,'Player Data'!A1:B667,2,FALSE)</f>
        <v>WPG</v>
      </c>
      <c r="G504" s="10">
        <f>VLOOKUP(B504,'Player Data'!A1:D667,3,FALSE)</f>
        <v>26</v>
      </c>
      <c r="H504" s="50">
        <f>IFERROR(VLOOKUP(B504,ADP!A1:G665,7,FALSE)/1000000,VLOOKUP(B504,ADP!A1:G665,7,FALSE))</f>
        <v>1.25</v>
      </c>
      <c r="I504" s="51">
        <f>IF(Settings!$E$15="POINTS",((R504*Q504)*Settings!$B$12)+(S504*Settings!$B$2)+(T504*Settings!$B$3)+(U504*Settings!$B$4)+(V504*Settings!$B$5)+(X504*Settings!$B$9)+(AA504*Settings!$B$6)+(W504*Settings!$B$8)+(AB504*Settings!$B$7)+(AC504*Settings!$B$14)+(AD504*Settings!$B$15)+(AE504*Settings!$B$16)+(AF504*Settings!$B$17)+(AG504*Settings!$B$18)+(U504*Settings!$B$13)+(Y504*Settings!$B$10)+(Z504*Settings!$B$11),VLOOKUP(B504,'Standard Deviations'!A1:C666,3,FALSE))</f>
        <v>112.76192002534184</v>
      </c>
      <c r="J504" s="52">
        <f>IF(D504="G",I504/AJ504,I504/Q504)</f>
        <v>1.8531129009916489</v>
      </c>
      <c r="K504" s="51">
        <f>VLOOKUP(B504,D!A1:F213,6,FALSE)</f>
        <v>-223.47220502025306</v>
      </c>
      <c r="L504" s="53">
        <f>IFERROR(K504/H504,"N/A")</f>
        <v>-178.77776401620244</v>
      </c>
      <c r="M504" s="83" t="str">
        <f>IF(Settings!$E$9="YAHOO",VLOOKUP(B504,ADP!A1:E665,2,FALSE),IF(Settings!$E$9="ESPN",VLOOKUP(B504,ADP!A1:E665,3,FALSE),IF(Settings!$E$9="FANTRAX",VLOOKUP(B504,ADP!A1:E665,4,FALSE),VLOOKUP(B504,ADP!A1:E665,5,FALSE))))</f>
        <v>—</v>
      </c>
      <c r="N504" s="83" t="str">
        <f>IFERROR(M504-A504,"N/A")</f>
        <v>N/A</v>
      </c>
      <c r="O504" s="54"/>
      <c r="P504" s="55" t="str">
        <f>IF(Settings!$E$27="ON",VLOOKUP(B504,ADP!A1:H665,8,FALSE)," ")</f>
        <v xml:space="preserve"> </v>
      </c>
      <c r="Q504" s="56">
        <f>IF(Settings!$E$12="YES",VLOOKUP(B504,'Player Data'!A1:E667,5,FALSE),82)</f>
        <v>60.85</v>
      </c>
      <c r="R504" s="75">
        <f>VLOOKUP(B504,'Player Data'!$A1:$AE667,6,FALSE)</f>
        <v>15.3139008076229</v>
      </c>
      <c r="S504" s="56">
        <f>VLOOKUP(B504,'Player Data'!$A1:$AE667,7,FALSE)*$Q504*IFERROR((VLOOKUP(P504,Settings!$E$28:$F$33,2,FALSE)+1),1)</f>
        <v>2.471403571029485</v>
      </c>
      <c r="T504" s="56">
        <f>VLOOKUP(B504,'Player Data'!$A1:$AE667,8,FALSE)*$Q504*IFERROR((VLOOKUP(P504,Settings!$E$28:$F$33,2,FALSE)+1),1)</f>
        <v>9.2059892912766603</v>
      </c>
      <c r="U504" s="56">
        <f>SUM(S504:T504)</f>
        <v>11.677392862306146</v>
      </c>
      <c r="V504" s="56">
        <f>VLOOKUP(B504,'Player Data'!$A1:$AE667,10,FALSE)*$Q504*IFERROR(((VLOOKUP(P504,Settings!$E$28:$F$33,2,FALSE)/2)+1),1)</f>
        <v>69.434236755259377</v>
      </c>
      <c r="W504" s="56">
        <f>VLOOKUP(B504,'Player Data'!$A1:$AE667,11,FALSE)*$Q504*IFERROR((VLOOKUP(P504,Settings!$E$28:$F$33,2,FALSE)+1),1)</f>
        <v>2.0319303414687691E-2</v>
      </c>
      <c r="X504" s="56">
        <f>VLOOKUP(B504,'Player Data'!$A1:$AE667,12,FALSE)*$Q504*IFERROR((VLOOKUP(P504,Settings!$E$28:$F$33,2,FALSE)+1),1)</f>
        <v>0.1301917447718203</v>
      </c>
      <c r="Y504" s="56">
        <f>VLOOKUP(B504,'Player Data'!$A1:$AE667,13,FALSE)*$Q504</f>
        <v>2.2515225665537288E-2</v>
      </c>
      <c r="Z504" s="56">
        <f>VLOOKUP(B504,'Player Data'!$A1:$AE667,14,FALSE)*$Q504</f>
        <v>0.25721190212625938</v>
      </c>
      <c r="AA504" s="56">
        <f>VLOOKUP(B504,'Player Data'!$A1:$AE667,15,FALSE)*$Q504</f>
        <v>85.250438827791257</v>
      </c>
      <c r="AB504" s="56">
        <f>VLOOKUP(B504,'Player Data'!$A1:$AE667,16,FALSE)*$Q504</f>
        <v>105.03310412111176</v>
      </c>
      <c r="AC504" s="56">
        <f>VLOOKUP(B504,'Player Data'!$A1:$AE667,17,FALSE)*$Q504*IFERROR((VLOOKUP(P504,Settings!$E$28:$F$33,2,FALSE)+1),1)</f>
        <v>1.3852314543048752</v>
      </c>
      <c r="AD504" s="56">
        <f>VLOOKUP(B504,'Player Data'!$A1:$AE667,18,FALSE)*$Q504</f>
        <v>48.019060540679789</v>
      </c>
      <c r="AE504" s="56">
        <f>VLOOKUP(B504,'Player Data'!$A1:$AE667,19,FALSE)*$Q504*IFERROR((VLOOKUP(P504,Settings!$E$28:$F$33,2,FALSE)+1),1)</f>
        <v>0.41081290870470216</v>
      </c>
      <c r="AF504" s="56">
        <f>VLOOKUP(B504,'Player Data'!$A1:$AE667,20,FALSE)*$Q504</f>
        <v>0</v>
      </c>
      <c r="AG504" s="56">
        <f>VLOOKUP(B504,'Player Data'!$A1:$AE667,21,FALSE)*$Q504</f>
        <v>0</v>
      </c>
      <c r="AH504" s="58">
        <f>VLOOKUP(B504,'Player Data'!$A1:$AE667,22,FALSE)</f>
        <v>0</v>
      </c>
      <c r="AI504" s="54"/>
      <c r="AJ504" s="56"/>
      <c r="AK504" s="56"/>
      <c r="AL504" s="56"/>
      <c r="AM504" s="56"/>
      <c r="AN504" s="56"/>
      <c r="AO504" s="56"/>
      <c r="AP504" s="56"/>
      <c r="AQ504" s="59"/>
      <c r="AR504" s="60"/>
      <c r="AS504" s="54"/>
    </row>
    <row r="505" spans="1:45" ht="21.25" customHeight="1" x14ac:dyDescent="0.15">
      <c r="A505" s="45">
        <f>RANK(K505,K$1:K$665)</f>
        <v>504</v>
      </c>
      <c r="B505" s="9" t="s">
        <v>630</v>
      </c>
      <c r="C505" s="46" t="s">
        <v>127</v>
      </c>
      <c r="D505" s="47" t="str">
        <f>VLOOKUP(B505,'Player Data'!A1:D667,4,FALSE)</f>
        <v>D</v>
      </c>
      <c r="E505" s="66">
        <f>VLOOKUP(B505,D!A1:C213,3,FALSE)</f>
        <v>193</v>
      </c>
      <c r="F505" s="55" t="str">
        <f>VLOOKUP(B505,'Player Data'!A1:B667,2,FALSE)</f>
        <v>N.J</v>
      </c>
      <c r="G505" s="10">
        <f>VLOOKUP(B505,'Player Data'!A1:D667,3,FALSE)</f>
        <v>27</v>
      </c>
      <c r="H505" s="67">
        <f>IFERROR(VLOOKUP(B505,ADP!A1:G665,7,FALSE)/1000000,VLOOKUP(B505,ADP!A1:G665,7,FALSE))</f>
        <v>0.76666699999999999</v>
      </c>
      <c r="I505" s="51">
        <f>IF(Settings!$E$15="POINTS",((R505*Q505)*Settings!$B$12)+(S505*Settings!$B$2)+(T505*Settings!$B$3)+(U505*Settings!$B$4)+(V505*Settings!$B$5)+(X505*Settings!$B$9)+(AA505*Settings!$B$6)+(W505*Settings!$B$8)+(AB505*Settings!$B$7)+(AC505*Settings!$B$14)+(AD505*Settings!$B$15)+(AE505*Settings!$B$16)+(AF505*Settings!$B$17)+(AG505*Settings!$B$18)+(U505*Settings!$B$13)+(Y505*Settings!$B$10)+(Z505*Settings!$B$11),VLOOKUP(B505,'Standard Deviations'!A1:C666,3,FALSE))</f>
        <v>112.5099708011748</v>
      </c>
      <c r="J505" s="52">
        <f>IF(D505="G",I505/AJ505,I505/Q505)</f>
        <v>1.6074575247515774</v>
      </c>
      <c r="K505" s="51">
        <f>VLOOKUP(B505,D!A1:F213,6,FALSE)</f>
        <v>-223.72415424442011</v>
      </c>
      <c r="L505" s="53">
        <f>IFERROR(K505/H505,"N/A")</f>
        <v>-291.81398735620564</v>
      </c>
      <c r="M505" s="83" t="str">
        <f>IF(Settings!$E$9="YAHOO",VLOOKUP(B505,ADP!A1:E665,2,FALSE),IF(Settings!$E$9="ESPN",VLOOKUP(B505,ADP!A1:E665,3,FALSE),IF(Settings!$E$9="FANTRAX",VLOOKUP(B505,ADP!A1:E665,4,FALSE),VLOOKUP(B505,ADP!A1:E665,5,FALSE))))</f>
        <v>—</v>
      </c>
      <c r="N505" s="83" t="str">
        <f>IFERROR(M505-A505,"N/A")</f>
        <v>N/A</v>
      </c>
      <c r="O505" s="54"/>
      <c r="P505" s="55" t="str">
        <f>IF(Settings!$E$27="ON",VLOOKUP(B505,ADP!A1:H665,8,FALSE)," ")</f>
        <v xml:space="preserve"> </v>
      </c>
      <c r="Q505" s="56">
        <f>IF(Settings!$E$12="YES",VLOOKUP(B505,'Player Data'!A1:E667,5,FALSE),82)</f>
        <v>69.992500000000007</v>
      </c>
      <c r="R505" s="81">
        <f>VLOOKUP(B505,'Player Data'!$A1:$AE667,6,FALSE)</f>
        <v>15.3083897912369</v>
      </c>
      <c r="S505" s="56">
        <f>VLOOKUP(B505,'Player Data'!$A1:$AE667,7,FALSE)*$Q505*IFERROR((VLOOKUP(P505,Settings!$E$28:$F$33,2,FALSE)+1),1)</f>
        <v>4.0584401311461811</v>
      </c>
      <c r="T505" s="56">
        <f>VLOOKUP(B505,'Player Data'!$A1:$AE667,8,FALSE)*$Q505*IFERROR((VLOOKUP(P505,Settings!$E$28:$F$33,2,FALSE)+1),1)</f>
        <v>9.624180128757061</v>
      </c>
      <c r="U505" s="56">
        <f>SUM(S505:T505)</f>
        <v>13.682620259903242</v>
      </c>
      <c r="V505" s="56">
        <f>VLOOKUP(B505,'Player Data'!$A1:$AE667,10,FALSE)*$Q505*IFERROR(((VLOOKUP(P505,Settings!$E$28:$F$33,2,FALSE)/2)+1),1)</f>
        <v>62.64976304375562</v>
      </c>
      <c r="W505" s="56">
        <f>VLOOKUP(B505,'Player Data'!$A1:$AE667,11,FALSE)*$Q505*IFERROR((VLOOKUP(P505,Settings!$E$28:$F$33,2,FALSE)+1),1)</f>
        <v>1.5908960185635371E-2</v>
      </c>
      <c r="X505" s="56">
        <f>VLOOKUP(B505,'Player Data'!$A1:$AE667,12,FALSE)*$Q505*IFERROR((VLOOKUP(P505,Settings!$E$28:$F$33,2,FALSE)+1),1)</f>
        <v>0.10212562202447503</v>
      </c>
      <c r="Y505" s="56">
        <f>VLOOKUP(B505,'Player Data'!$A1:$AE667,13,FALSE)*$Q505</f>
        <v>1.3390500228410119E-2</v>
      </c>
      <c r="Z505" s="56">
        <f>VLOOKUP(B505,'Player Data'!$A1:$AE667,14,FALSE)*$Q505</f>
        <v>6.6437939910720265E-2</v>
      </c>
      <c r="AA505" s="56">
        <f>VLOOKUP(B505,'Player Data'!$A1:$AE667,15,FALSE)*$Q505</f>
        <v>79.937329875304144</v>
      </c>
      <c r="AB505" s="56">
        <f>VLOOKUP(B505,'Player Data'!$A1:$AE667,16,FALSE)*$Q505</f>
        <v>82.487678053247663</v>
      </c>
      <c r="AC505" s="56">
        <f>VLOOKUP(B505,'Player Data'!$A1:$AE667,17,FALSE)*$Q505*IFERROR((VLOOKUP(P505,Settings!$E$28:$F$33,2,FALSE)+1),1)</f>
        <v>-2.9269419527795808</v>
      </c>
      <c r="AD505" s="56">
        <f>VLOOKUP(B505,'Player Data'!$A1:$AE667,18,FALSE)*$Q505</f>
        <v>31.824867577997829</v>
      </c>
      <c r="AE505" s="56">
        <f>VLOOKUP(B505,'Player Data'!$A1:$AE667,19,FALSE)*$Q505*IFERROR((VLOOKUP(P505,Settings!$E$28:$F$33,2,FALSE)+1),1)</f>
        <v>0.61232251627598866</v>
      </c>
      <c r="AF505" s="56">
        <f>VLOOKUP(B505,'Player Data'!$A1:$AE667,20,FALSE)*$Q505</f>
        <v>0</v>
      </c>
      <c r="AG505" s="56">
        <f>VLOOKUP(B505,'Player Data'!$A1:$AE667,21,FALSE)*$Q505</f>
        <v>0</v>
      </c>
      <c r="AH505" s="58">
        <f>VLOOKUP(B505,'Player Data'!$A1:$AE667,22,FALSE)</f>
        <v>0</v>
      </c>
      <c r="AI505" s="54"/>
      <c r="AJ505" s="56"/>
      <c r="AK505" s="56"/>
      <c r="AL505" s="56"/>
      <c r="AM505" s="56"/>
      <c r="AN505" s="56"/>
      <c r="AO505" s="56"/>
      <c r="AP505" s="56"/>
      <c r="AQ505" s="59"/>
      <c r="AR505" s="60"/>
      <c r="AS505" s="54"/>
    </row>
    <row r="506" spans="1:45" ht="21.25" customHeight="1" x14ac:dyDescent="0.15">
      <c r="A506" s="45">
        <f>RANK(K506,K$1:K$665)</f>
        <v>505</v>
      </c>
      <c r="B506" s="9" t="s">
        <v>631</v>
      </c>
      <c r="C506" s="46" t="s">
        <v>127</v>
      </c>
      <c r="D506" s="47" t="str">
        <f>VLOOKUP(B506,'Player Data'!A1:D667,4,FALSE)</f>
        <v>D</v>
      </c>
      <c r="E506" s="66">
        <f>VLOOKUP(B506,D!A1:C213,3,FALSE)</f>
        <v>194</v>
      </c>
      <c r="F506" s="65" t="str">
        <f>VLOOKUP(B506,'Player Data'!A1:B667,2,FALSE)</f>
        <v>CGY</v>
      </c>
      <c r="G506" s="10">
        <f>VLOOKUP(B506,'Player Data'!A1:D667,3,FALSE)</f>
        <v>25</v>
      </c>
      <c r="H506" s="67">
        <f>IFERROR(VLOOKUP(B506,ADP!A1:G665,7,FALSE)/1000000,VLOOKUP(B506,ADP!A1:G665,7,FALSE))</f>
        <v>0.77500000000000002</v>
      </c>
      <c r="I506" s="51">
        <f>IF(Settings!$E$15="POINTS",((R506*Q506)*Settings!$B$12)+(S506*Settings!$B$2)+(T506*Settings!$B$3)+(U506*Settings!$B$4)+(V506*Settings!$B$5)+(X506*Settings!$B$9)+(AA506*Settings!$B$6)+(W506*Settings!$B$8)+(AB506*Settings!$B$7)+(AC506*Settings!$B$14)+(AD506*Settings!$B$15)+(AE506*Settings!$B$16)+(AF506*Settings!$B$17)+(AG506*Settings!$B$18)+(U506*Settings!$B$13)+(Y506*Settings!$B$10)+(Z506*Settings!$B$11),VLOOKUP(B506,'Standard Deviations'!A1:C666,3,FALSE))</f>
        <v>112.41047236323075</v>
      </c>
      <c r="J506" s="52">
        <f>IF(D506="G",I506/AJ506,I506/Q506)</f>
        <v>1.7194718525924397</v>
      </c>
      <c r="K506" s="51">
        <f>VLOOKUP(B506,D!A1:F213,6,FALSE)</f>
        <v>-223.82365268236416</v>
      </c>
      <c r="L506" s="53">
        <f>IFERROR(K506/H506,"N/A")</f>
        <v>-288.8047131385344</v>
      </c>
      <c r="M506" s="83" t="str">
        <f>IF(Settings!$E$9="YAHOO",VLOOKUP(B506,ADP!A1:E665,2,FALSE),IF(Settings!$E$9="ESPN",VLOOKUP(B506,ADP!A1:E665,3,FALSE),IF(Settings!$E$9="FANTRAX",VLOOKUP(B506,ADP!A1:E665,4,FALSE),VLOOKUP(B506,ADP!A1:E665,5,FALSE))))</f>
        <v>—</v>
      </c>
      <c r="N506" s="83" t="str">
        <f>IFERROR(M506-A506,"N/A")</f>
        <v>N/A</v>
      </c>
      <c r="O506" s="54"/>
      <c r="P506" s="55" t="str">
        <f>IF(Settings!$E$27="ON",VLOOKUP(B506,ADP!A1:H665,8,FALSE)," ")</f>
        <v xml:space="preserve"> </v>
      </c>
      <c r="Q506" s="56">
        <f>IF(Settings!$E$12="YES",VLOOKUP(B506,'Player Data'!A1:E667,5,FALSE),82)</f>
        <v>65.375</v>
      </c>
      <c r="R506" s="54">
        <f>VLOOKUP(B506,'Player Data'!$A1:$AE667,6,FALSE)</f>
        <v>15.029630294242301</v>
      </c>
      <c r="S506" s="56">
        <f>VLOOKUP(B506,'Player Data'!$A1:$AE667,7,FALSE)*$Q506*IFERROR((VLOOKUP(P506,Settings!$E$28:$F$33,2,FALSE)+1),1)</f>
        <v>2.6256220266719623</v>
      </c>
      <c r="T506" s="56">
        <f>VLOOKUP(B506,'Player Data'!$A1:$AE667,8,FALSE)*$Q506*IFERROR((VLOOKUP(P506,Settings!$E$28:$F$33,2,FALSE)+1),1)</f>
        <v>8.5931581152282597</v>
      </c>
      <c r="U506" s="56">
        <f>SUM(S506:T506)</f>
        <v>11.218780141900222</v>
      </c>
      <c r="V506" s="56">
        <f>VLOOKUP(B506,'Player Data'!$A1:$AE667,10,FALSE)*$Q506*IFERROR(((VLOOKUP(P506,Settings!$E$28:$F$33,2,FALSE)/2)+1),1)</f>
        <v>69.619713253560207</v>
      </c>
      <c r="W506" s="56">
        <f>VLOOKUP(B506,'Player Data'!$A1:$AE667,11,FALSE)*$Q506*IFERROR((VLOOKUP(P506,Settings!$E$28:$F$33,2,FALSE)+1),1)</f>
        <v>1.1137061342670793E-2</v>
      </c>
      <c r="X506" s="56">
        <f>VLOOKUP(B506,'Player Data'!$A1:$AE667,12,FALSE)*$Q506*IFERROR((VLOOKUP(P506,Settings!$E$28:$F$33,2,FALSE)+1),1)</f>
        <v>7.1333908559539749E-2</v>
      </c>
      <c r="Y506" s="56">
        <f>VLOOKUP(B506,'Player Data'!$A1:$AE667,13,FALSE)*$Q506</f>
        <v>4.1447403561173976E-2</v>
      </c>
      <c r="Z506" s="56">
        <f>VLOOKUP(B506,'Player Data'!$A1:$AE667,14,FALSE)*$Q506</f>
        <v>0.978066535445686</v>
      </c>
      <c r="AA506" s="56">
        <f>VLOOKUP(B506,'Player Data'!$A1:$AE667,15,FALSE)*$Q506</f>
        <v>85.789749733489501</v>
      </c>
      <c r="AB506" s="56">
        <f>VLOOKUP(B506,'Player Data'!$A1:$AE667,16,FALSE)*$Q506</f>
        <v>135.63319909988709</v>
      </c>
      <c r="AC506" s="56">
        <f>VLOOKUP(B506,'Player Data'!$A1:$AE667,17,FALSE)*$Q506*IFERROR((VLOOKUP(P506,Settings!$E$28:$F$33,2,FALSE)+1),1)</f>
        <v>-0.51707238352141316</v>
      </c>
      <c r="AD506" s="56">
        <f>VLOOKUP(B506,'Player Data'!$A1:$AE667,18,FALSE)*$Q506</f>
        <v>44.848850893562073</v>
      </c>
      <c r="AE506" s="56">
        <f>VLOOKUP(B506,'Player Data'!$A1:$AE667,19,FALSE)*$Q506*IFERROR((VLOOKUP(P506,Settings!$E$28:$F$33,2,FALSE)+1),1)</f>
        <v>0.38146028854409453</v>
      </c>
      <c r="AF506" s="56">
        <f>VLOOKUP(B506,'Player Data'!$A1:$AE667,20,FALSE)*$Q506</f>
        <v>0</v>
      </c>
      <c r="AG506" s="56">
        <f>VLOOKUP(B506,'Player Data'!$A1:$AE667,21,FALSE)*$Q506</f>
        <v>0</v>
      </c>
      <c r="AH506" s="58">
        <f>VLOOKUP(B506,'Player Data'!$A1:$AE667,22,FALSE)</f>
        <v>0</v>
      </c>
      <c r="AI506" s="54"/>
      <c r="AJ506" s="64"/>
      <c r="AK506" s="56"/>
      <c r="AL506" s="56"/>
      <c r="AM506" s="56"/>
      <c r="AN506" s="56"/>
      <c r="AO506" s="56"/>
      <c r="AP506" s="56"/>
      <c r="AQ506" s="59"/>
      <c r="AR506" s="60"/>
      <c r="AS506" s="54"/>
    </row>
    <row r="507" spans="1:45" ht="21.25" customHeight="1" x14ac:dyDescent="0.15">
      <c r="A507" s="45">
        <f>RANK(K507,K$1:K$665)</f>
        <v>506</v>
      </c>
      <c r="B507" s="9" t="s">
        <v>632</v>
      </c>
      <c r="C507" s="46" t="s">
        <v>127</v>
      </c>
      <c r="D507" s="47" t="str">
        <f>VLOOKUP(B507,'Player Data'!A1:D667,4,FALSE)</f>
        <v>RW</v>
      </c>
      <c r="E507" s="61">
        <f>VLOOKUP(B507,RW!A1:F136,3,FALSE)</f>
        <v>105</v>
      </c>
      <c r="F507" s="62" t="str">
        <f>VLOOKUP(B507,'Player Data'!A1:B667,2,FALSE)</f>
        <v>BOS</v>
      </c>
      <c r="G507" s="10">
        <f>VLOOKUP(B507,'Player Data'!A1:D667,3,FALSE)</f>
        <v>26</v>
      </c>
      <c r="H507" s="67">
        <f>IFERROR(VLOOKUP(B507,ADP!A1:G665,7,FALSE)/1000000,VLOOKUP(B507,ADP!A1:G665,7,FALSE))</f>
        <v>0.77500000000000002</v>
      </c>
      <c r="I507" s="51">
        <f>IF(Settings!$E$15="POINTS",((R507*Q507)*Settings!$B$12)+(S507*Settings!$B$2)+(T507*Settings!$B$3)+(U507*Settings!$B$4)+(V507*Settings!$B$5)+(X507*Settings!$B$9)+(AA507*Settings!$B$6)+(W507*Settings!$B$8)+(AB507*Settings!$B$7)+(AC507*Settings!$B$14)+(AD507*Settings!$B$15)+(AE507*Settings!$B$16)+(AF507*Settings!$B$17)+(AG507*Settings!$B$18)+(Y507*Settings!$B$10)+(Z507*Settings!$B$11),VLOOKUP(B507,'Standard Deviations'!A1:C666,3,FALSE))</f>
        <v>143.25990504320984</v>
      </c>
      <c r="J507" s="52">
        <f>IF(D507="G",I507/AJ507,I507/Q507)</f>
        <v>2.5634768729213535</v>
      </c>
      <c r="K507" s="51">
        <f>IF(Settings!$E$18="C/LW/RW",VLOOKUP(B507,RW!A1:F136,6,FALSE),VLOOKUP(B507,F!A1:F392,6,FALSE))</f>
        <v>-225.58781806308255</v>
      </c>
      <c r="L507" s="53">
        <f>IFERROR(K507/H507,"N/A")</f>
        <v>-291.08105556526777</v>
      </c>
      <c r="M507" s="83" t="str">
        <f>IF(Settings!$E$9="YAHOO",VLOOKUP(B507,ADP!A1:E665,2,FALSE),IF(Settings!$E$9="ESPN",VLOOKUP(B507,ADP!A1:E665,3,FALSE),IF(Settings!$E$9="FANTRAX",VLOOKUP(B507,ADP!A1:E665,4,FALSE),VLOOKUP(B507,ADP!A1:E665,5,FALSE))))</f>
        <v>—</v>
      </c>
      <c r="N507" s="83" t="str">
        <f>IFERROR(M507-A507,"N/A")</f>
        <v>N/A</v>
      </c>
      <c r="O507" s="54"/>
      <c r="P507" s="55" t="str">
        <f>IF(Settings!$E$27="ON",VLOOKUP(B507,ADP!A1:H665,8,FALSE)," ")</f>
        <v xml:space="preserve"> </v>
      </c>
      <c r="Q507" s="56">
        <f>IF(Settings!$E$12="YES",VLOOKUP(B507,'Player Data'!A1:E667,5,FALSE),82)</f>
        <v>55.884999999999998</v>
      </c>
      <c r="R507" s="75">
        <f>VLOOKUP(B507,'Player Data'!$A1:$AE667,6,FALSE)</f>
        <v>13.2423263850715</v>
      </c>
      <c r="S507" s="56">
        <f>VLOOKUP(B507,'Player Data'!$A1:$AE667,7,FALSE)*$Q507*IFERROR((VLOOKUP(P507,Settings!$E$28:$F$33,2,FALSE)+1),1)</f>
        <v>12.770132230507659</v>
      </c>
      <c r="T507" s="56">
        <f>VLOOKUP(B507,'Player Data'!$A1:$AE667,8,FALSE)*$Q507*IFERROR((VLOOKUP(P507,Settings!$E$28:$F$33,2,FALSE)+1),1)</f>
        <v>12.348481051362523</v>
      </c>
      <c r="U507" s="56">
        <f>SUM(S507:T507)</f>
        <v>25.118613281870182</v>
      </c>
      <c r="V507" s="56">
        <f>VLOOKUP(B507,'Player Data'!$A1:$AE667,10,FALSE)*$Q507*IFERROR(((VLOOKUP(P507,Settings!$E$28:$F$33,2,FALSE)/2)+1),1)</f>
        <v>95.578887587243344</v>
      </c>
      <c r="W507" s="56">
        <f>VLOOKUP(B507,'Player Data'!$A1:$AE667,11,FALSE)*$Q507*IFERROR((VLOOKUP(P507,Settings!$E$28:$F$33,2,FALSE)+1),1)</f>
        <v>2.6166005566417527</v>
      </c>
      <c r="X507" s="56">
        <f>VLOOKUP(B507,'Player Data'!$A1:$AE667,12,FALSE)*$Q507*IFERROR((VLOOKUP(P507,Settings!$E$28:$F$33,2,FALSE)+1),1)</f>
        <v>3.9484211047232947</v>
      </c>
      <c r="Y507" s="56">
        <f>VLOOKUP(B507,'Player Data'!$A1:$AE667,13,FALSE)*$Q507</f>
        <v>0</v>
      </c>
      <c r="Z507" s="56">
        <f>VLOOKUP(B507,'Player Data'!$A1:$AE667,14,FALSE)*$Q507</f>
        <v>0</v>
      </c>
      <c r="AA507" s="56">
        <f>VLOOKUP(B507,'Player Data'!$A1:$AE667,15,FALSE)*$Q507</f>
        <v>32.332400598508634</v>
      </c>
      <c r="AB507" s="56">
        <f>VLOOKUP(B507,'Player Data'!$A1:$AE667,16,FALSE)*$Q507</f>
        <v>97.401584445661811</v>
      </c>
      <c r="AC507" s="56">
        <f>VLOOKUP(B507,'Player Data'!$A1:$AE667,17,FALSE)*$Q507*IFERROR((VLOOKUP(P507,Settings!$E$28:$F$33,2,FALSE)+1),1)</f>
        <v>1.8221034045749485</v>
      </c>
      <c r="AD507" s="56">
        <f>VLOOKUP(B507,'Player Data'!$A1:$AE667,18,FALSE)*$Q507</f>
        <v>16.705039332392676</v>
      </c>
      <c r="AE507" s="56">
        <f>VLOOKUP(B507,'Player Data'!$A1:$AE667,19,FALSE)*$Q507*IFERROR((VLOOKUP(P507,Settings!$E$28:$F$33,2,FALSE)+1),1)</f>
        <v>1.9889955738378493</v>
      </c>
      <c r="AF507" s="56">
        <f>VLOOKUP(B507,'Player Data'!$A1:$AE667,20,FALSE)*$Q507</f>
        <v>10.510544099271703</v>
      </c>
      <c r="AG507" s="56">
        <f>VLOOKUP(B507,'Player Data'!$A1:$AE667,21,FALSE)*$Q507</f>
        <v>24.524602898300675</v>
      </c>
      <c r="AH507" s="58">
        <f>VLOOKUP(B507,'Player Data'!$A1:$AE667,22,FALSE)</f>
        <v>0.3</v>
      </c>
      <c r="AI507" s="54"/>
      <c r="AJ507" s="56"/>
      <c r="AK507" s="56"/>
      <c r="AL507" s="56"/>
      <c r="AM507" s="56"/>
      <c r="AN507" s="56"/>
      <c r="AO507" s="56"/>
      <c r="AP507" s="56"/>
      <c r="AQ507" s="59"/>
      <c r="AR507" s="60"/>
      <c r="AS507" s="64"/>
    </row>
    <row r="508" spans="1:45" ht="21.25" customHeight="1" x14ac:dyDescent="0.15">
      <c r="A508" s="45">
        <f>RANK(K508,K$1:K$665)</f>
        <v>507</v>
      </c>
      <c r="B508" s="9" t="s">
        <v>633</v>
      </c>
      <c r="C508" s="46" t="s">
        <v>127</v>
      </c>
      <c r="D508" s="47" t="str">
        <f>VLOOKUP(B508,'Player Data'!A1:D667,4,FALSE)</f>
        <v>D</v>
      </c>
      <c r="E508" s="66">
        <f>VLOOKUP(B508,D!A1:C213,3,FALSE)</f>
        <v>195</v>
      </c>
      <c r="F508" s="80" t="str">
        <f>VLOOKUP(B508,'Player Data'!A1:B667,2,FALSE)</f>
        <v>PHI</v>
      </c>
      <c r="G508" s="69">
        <f>VLOOKUP(B508,'Player Data'!A1:D667,3,FALSE)</f>
        <v>24</v>
      </c>
      <c r="H508" s="50">
        <f>IFERROR(VLOOKUP(B508,ADP!A1:G665,7,FALSE)/1000000,VLOOKUP(B508,ADP!A1:G665,7,FALSE))</f>
        <v>1.7</v>
      </c>
      <c r="I508" s="51">
        <f>IF(Settings!$E$15="POINTS",((R508*Q508)*Settings!$B$12)+(S508*Settings!$B$2)+(T508*Settings!$B$3)+(U508*Settings!$B$4)+(V508*Settings!$B$5)+(X508*Settings!$B$9)+(AA508*Settings!$B$6)+(W508*Settings!$B$8)+(AB508*Settings!$B$7)+(AC508*Settings!$B$14)+(AD508*Settings!$B$15)+(AE508*Settings!$B$16)+(AF508*Settings!$B$17)+(AG508*Settings!$B$18)+(U508*Settings!$B$13)+(Y508*Settings!$B$10)+(Z508*Settings!$B$11),VLOOKUP(B508,'Standard Deviations'!A1:C666,3,FALSE))</f>
        <v>110.50983658132643</v>
      </c>
      <c r="J508" s="52">
        <f>IF(D508="G",I508/AJ508,I508/Q508)</f>
        <v>1.7642055648359902</v>
      </c>
      <c r="K508" s="51">
        <f>VLOOKUP(B508,D!A1:F213,6,FALSE)</f>
        <v>-225.72428846426848</v>
      </c>
      <c r="L508" s="53">
        <f>IFERROR(K508/H508,"N/A")</f>
        <v>-132.77899321427557</v>
      </c>
      <c r="M508" s="83" t="str">
        <f>IF(Settings!$E$9="YAHOO",VLOOKUP(B508,ADP!A1:E665,2,FALSE),IF(Settings!$E$9="ESPN",VLOOKUP(B508,ADP!A1:E665,3,FALSE),IF(Settings!$E$9="FANTRAX",VLOOKUP(B508,ADP!A1:E665,4,FALSE),VLOOKUP(B508,ADP!A1:E665,5,FALSE))))</f>
        <v>—</v>
      </c>
      <c r="N508" s="83" t="str">
        <f>IFERROR(M508-A508,"N/A")</f>
        <v>N/A</v>
      </c>
      <c r="O508" s="54"/>
      <c r="P508" s="55" t="str">
        <f>IF(Settings!$E$27="ON",VLOOKUP(B508,ADP!A1:H665,8,FALSE)," ")</f>
        <v xml:space="preserve"> </v>
      </c>
      <c r="Q508" s="56">
        <f>IF(Settings!$E$12="YES",VLOOKUP(B508,'Player Data'!A1:E667,5,FALSE),82)</f>
        <v>62.64</v>
      </c>
      <c r="R508" s="54">
        <f>VLOOKUP(B508,'Player Data'!$A1:$AE667,6,FALSE)</f>
        <v>15.132553654873499</v>
      </c>
      <c r="S508" s="56">
        <f>VLOOKUP(B508,'Player Data'!$A1:$AE667,7,FALSE)*$Q508*IFERROR((VLOOKUP(P508,Settings!$E$28:$F$33,2,FALSE)+1),1)</f>
        <v>3.1329416322766441</v>
      </c>
      <c r="T508" s="56">
        <f>VLOOKUP(B508,'Player Data'!$A1:$AE667,8,FALSE)*$Q508*IFERROR((VLOOKUP(P508,Settings!$E$28:$F$33,2,FALSE)+1),1)</f>
        <v>11.508952288445254</v>
      </c>
      <c r="U508" s="56">
        <f>SUM(S508:T508)</f>
        <v>14.641893920721898</v>
      </c>
      <c r="V508" s="56">
        <f>VLOOKUP(B508,'Player Data'!$A1:$AE667,10,FALSE)*$Q508*IFERROR(((VLOOKUP(P508,Settings!$E$28:$F$33,2,FALSE)/2)+1),1)</f>
        <v>54.376721448685913</v>
      </c>
      <c r="W508" s="56">
        <f>VLOOKUP(B508,'Player Data'!$A1:$AE667,11,FALSE)*$Q508*IFERROR((VLOOKUP(P508,Settings!$E$28:$F$33,2,FALSE)+1),1)</f>
        <v>0.49491907558043519</v>
      </c>
      <c r="X508" s="56">
        <f>VLOOKUP(B508,'Player Data'!$A1:$AE667,12,FALSE)*$Q508*IFERROR((VLOOKUP(P508,Settings!$E$28:$F$33,2,FALSE)+1),1)</f>
        <v>2.1610625611312462</v>
      </c>
      <c r="Y508" s="56">
        <f>VLOOKUP(B508,'Player Data'!$A1:$AE667,13,FALSE)*$Q508</f>
        <v>1.0776600243202025E-2</v>
      </c>
      <c r="Z508" s="56">
        <f>VLOOKUP(B508,'Player Data'!$A1:$AE667,14,FALSE)*$Q508</f>
        <v>0.25225516654920954</v>
      </c>
      <c r="AA508" s="56">
        <f>VLOOKUP(B508,'Player Data'!$A1:$AE667,15,FALSE)*$Q508</f>
        <v>73.964952734274647</v>
      </c>
      <c r="AB508" s="56">
        <f>VLOOKUP(B508,'Player Data'!$A1:$AE667,16,FALSE)*$Q508</f>
        <v>53.419349572665681</v>
      </c>
      <c r="AC508" s="56">
        <f>VLOOKUP(B508,'Player Data'!$A1:$AE667,17,FALSE)*$Q508*IFERROR((VLOOKUP(P508,Settings!$E$28:$F$33,2,FALSE)+1),1)</f>
        <v>-2.3438645199823731</v>
      </c>
      <c r="AD508" s="56">
        <f>VLOOKUP(B508,'Player Data'!$A1:$AE667,18,FALSE)*$Q508</f>
        <v>25.139242256701166</v>
      </c>
      <c r="AE508" s="56">
        <f>VLOOKUP(B508,'Player Data'!$A1:$AE667,19,FALSE)*$Q508*IFERROR((VLOOKUP(P508,Settings!$E$28:$F$33,2,FALSE)+1),1)</f>
        <v>0.45411840773438988</v>
      </c>
      <c r="AF508" s="56">
        <f>VLOOKUP(B508,'Player Data'!$A1:$AE667,20,FALSE)*$Q508</f>
        <v>0</v>
      </c>
      <c r="AG508" s="56">
        <f>VLOOKUP(B508,'Player Data'!$A1:$AE667,21,FALSE)*$Q508</f>
        <v>0</v>
      </c>
      <c r="AH508" s="58">
        <f>VLOOKUP(B508,'Player Data'!$A1:$AE667,22,FALSE)</f>
        <v>0</v>
      </c>
      <c r="AI508" s="54"/>
      <c r="AJ508" s="56"/>
      <c r="AK508" s="56"/>
      <c r="AL508" s="56"/>
      <c r="AM508" s="56"/>
      <c r="AN508" s="56"/>
      <c r="AO508" s="56"/>
      <c r="AP508" s="56"/>
      <c r="AQ508" s="59"/>
      <c r="AR508" s="60"/>
      <c r="AS508" s="54"/>
    </row>
    <row r="509" spans="1:45" ht="21.25" customHeight="1" x14ac:dyDescent="0.15">
      <c r="A509" s="45">
        <f>RANK(K509,K$1:K$665)</f>
        <v>508</v>
      </c>
      <c r="B509" s="9" t="s">
        <v>634</v>
      </c>
      <c r="C509" s="46" t="s">
        <v>127</v>
      </c>
      <c r="D509" s="47" t="str">
        <f>VLOOKUP(B509,'Player Data'!A1:D667,4,FALSE)</f>
        <v>LW</v>
      </c>
      <c r="E509" s="70">
        <f>VLOOKUP(B509,LW!A1:C152,3,FALSE)</f>
        <v>113</v>
      </c>
      <c r="F509" s="74" t="str">
        <f>VLOOKUP(B509,'Player Data'!A1:B667,2,FALSE)</f>
        <v>PIT</v>
      </c>
      <c r="G509" s="10">
        <f>VLOOKUP(B509,'Player Data'!A1:D667,3,FALSE)</f>
        <v>27</v>
      </c>
      <c r="H509" s="67">
        <f>IFERROR(VLOOKUP(B509,ADP!A1:G665,7,FALSE)/1000000,VLOOKUP(B509,ADP!A1:G665,7,FALSE))</f>
        <v>1.25</v>
      </c>
      <c r="I509" s="51">
        <f>IF(Settings!$E$15="POINTS",((R509*Q509)*Settings!$B$12)+(S509*Settings!$B$2)+(T509*Settings!$B$3)+(U509*Settings!$B$4)+(V509*Settings!$B$5)+(X509*Settings!$B$9)+(AA509*Settings!$B$6)+(W509*Settings!$B$8)+(AB509*Settings!$B$7)+(AC509*Settings!$B$14)+(AD509*Settings!$B$15)+(AE509*Settings!$B$16)+(AF509*Settings!$B$17)+(AG509*Settings!$B$18)+(Y509*Settings!$B$10)+(Z509*Settings!$B$11),VLOOKUP(B509,'Standard Deviations'!A1:C666,3,FALSE))</f>
        <v>154.92208278722021</v>
      </c>
      <c r="J509" s="52">
        <f>IF(D509="G",I509/AJ509,I509/Q509)</f>
        <v>2.0009310014494055</v>
      </c>
      <c r="K509" s="51">
        <f>IF(Settings!$E$18="C/LW/RW",VLOOKUP(B509,LW!A1:F152,6,FALSE),VLOOKUP(B509,F!A1:F392,6,FALSE))</f>
        <v>-226.13942951527955</v>
      </c>
      <c r="L509" s="53">
        <f>IFERROR(K509/H509,"N/A")</f>
        <v>-180.91154361222362</v>
      </c>
      <c r="M509" s="83" t="str">
        <f>IF(Settings!$E$9="YAHOO",VLOOKUP(B509,ADP!A1:E665,2,FALSE),IF(Settings!$E$9="ESPN",VLOOKUP(B509,ADP!A1:E665,3,FALSE),IF(Settings!$E$9="FANTRAX",VLOOKUP(B509,ADP!A1:E665,4,FALSE),VLOOKUP(B509,ADP!A1:E665,5,FALSE))))</f>
        <v>—</v>
      </c>
      <c r="N509" s="83" t="str">
        <f>IFERROR(M509-A509,"N/A")</f>
        <v>N/A</v>
      </c>
      <c r="O509" s="54"/>
      <c r="P509" s="55" t="str">
        <f>IF(Settings!$E$27="ON",VLOOKUP(B509,ADP!A1:H665,8,FALSE)," ")</f>
        <v xml:space="preserve"> </v>
      </c>
      <c r="Q509" s="56">
        <f>IF(Settings!$E$12="YES",VLOOKUP(B509,'Player Data'!A1:E667,5,FALSE),82)</f>
        <v>77.424999999999997</v>
      </c>
      <c r="R509" s="54">
        <f>VLOOKUP(B509,'Player Data'!$A1:$AE667,6,FALSE)</f>
        <v>12.984038200669101</v>
      </c>
      <c r="S509" s="56">
        <f>VLOOKUP(B509,'Player Data'!$A1:$AE667,7,FALSE)*$Q509*IFERROR((VLOOKUP(P509,Settings!$E$28:$F$33,2,FALSE)+1),1)</f>
        <v>8.9214179423268885</v>
      </c>
      <c r="T509" s="56">
        <f>VLOOKUP(B509,'Player Data'!$A1:$AE667,8,FALSE)*$Q509*IFERROR((VLOOKUP(P509,Settings!$E$28:$F$33,2,FALSE)+1),1)</f>
        <v>15.590995000632185</v>
      </c>
      <c r="U509" s="56">
        <f>SUM(S509:T509)</f>
        <v>24.512412942959074</v>
      </c>
      <c r="V509" s="56">
        <f>VLOOKUP(B509,'Player Data'!$A1:$AE667,10,FALSE)*$Q509*IFERROR(((VLOOKUP(P509,Settings!$E$28:$F$33,2,FALSE)/2)+1),1)</f>
        <v>123.80829862378965</v>
      </c>
      <c r="W509" s="56">
        <f>VLOOKUP(B509,'Player Data'!$A1:$AE667,11,FALSE)*$Q509*IFERROR((VLOOKUP(P509,Settings!$E$28:$F$33,2,FALSE)+1),1)</f>
        <v>0.97679453286606643</v>
      </c>
      <c r="X509" s="56">
        <f>VLOOKUP(B509,'Player Data'!$A1:$AE667,12,FALSE)*$Q509*IFERROR((VLOOKUP(P509,Settings!$E$28:$F$33,2,FALSE)+1),1)</f>
        <v>1.9297345598620483</v>
      </c>
      <c r="Y509" s="56">
        <f>VLOOKUP(B509,'Player Data'!$A1:$AE667,13,FALSE)*$Q509</f>
        <v>5.8087139534401646E-3</v>
      </c>
      <c r="Z509" s="56">
        <f>VLOOKUP(B509,'Player Data'!$A1:$AE667,14,FALSE)*$Q509</f>
        <v>9.94659743279077E-3</v>
      </c>
      <c r="AA509" s="56">
        <f>VLOOKUP(B509,'Player Data'!$A1:$AE667,15,FALSE)*$Q509</f>
        <v>35.082026978306608</v>
      </c>
      <c r="AB509" s="56">
        <f>VLOOKUP(B509,'Player Data'!$A1:$AE667,16,FALSE)*$Q509</f>
        <v>64.276724580067594</v>
      </c>
      <c r="AC509" s="56">
        <f>VLOOKUP(B509,'Player Data'!$A1:$AE667,17,FALSE)*$Q509*IFERROR((VLOOKUP(P509,Settings!$E$28:$F$33,2,FALSE)+1),1)</f>
        <v>-0.75380350121865003</v>
      </c>
      <c r="AD509" s="56">
        <f>VLOOKUP(B509,'Player Data'!$A1:$AE667,18,FALSE)*$Q509</f>
        <v>16.794571148998042</v>
      </c>
      <c r="AE509" s="56">
        <f>VLOOKUP(B509,'Player Data'!$A1:$AE667,19,FALSE)*$Q509*IFERROR((VLOOKUP(P509,Settings!$E$28:$F$33,2,FALSE)+1),1)</f>
        <v>1.3225368875971786</v>
      </c>
      <c r="AF509" s="56">
        <f>VLOOKUP(B509,'Player Data'!$A1:$AE667,20,FALSE)*$Q509</f>
        <v>22.450754658544689</v>
      </c>
      <c r="AG509" s="56">
        <f>VLOOKUP(B509,'Player Data'!$A1:$AE667,21,FALSE)*$Q509</f>
        <v>39.186411217740265</v>
      </c>
      <c r="AH509" s="58">
        <f>VLOOKUP(B509,'Player Data'!$A1:$AE667,22,FALSE)</f>
        <v>0.36424054122810801</v>
      </c>
      <c r="AI509" s="54"/>
      <c r="AJ509" s="56"/>
      <c r="AK509" s="56"/>
      <c r="AL509" s="56"/>
      <c r="AM509" s="56"/>
      <c r="AN509" s="56"/>
      <c r="AO509" s="56"/>
      <c r="AP509" s="56"/>
      <c r="AQ509" s="59"/>
      <c r="AR509" s="60"/>
      <c r="AS509" s="54"/>
    </row>
    <row r="510" spans="1:45" ht="21.25" customHeight="1" x14ac:dyDescent="0.15">
      <c r="A510" s="45">
        <f>RANK(K510,K$1:K$665)</f>
        <v>509</v>
      </c>
      <c r="B510" s="9" t="s">
        <v>635</v>
      </c>
      <c r="C510" s="46" t="s">
        <v>127</v>
      </c>
      <c r="D510" s="47" t="str">
        <f>VLOOKUP(B510,'Player Data'!A1:D667,4,FALSE)</f>
        <v>D</v>
      </c>
      <c r="E510" s="66">
        <f>VLOOKUP(B510,D!A1:C213,3,FALSE)</f>
        <v>196</v>
      </c>
      <c r="F510" s="65" t="str">
        <f>VLOOKUP(B510,'Player Data'!A1:B667,2,FALSE)</f>
        <v>NSH</v>
      </c>
      <c r="G510" s="69">
        <f>VLOOKUP(B510,'Player Data'!A1:D667,3,FALSE)</f>
        <v>24</v>
      </c>
      <c r="H510" s="50">
        <f>IFERROR(VLOOKUP(B510,ADP!A1:G665,7,FALSE)/1000000,VLOOKUP(B510,ADP!A1:G665,7,FALSE))</f>
        <v>0.82499999999999996</v>
      </c>
      <c r="I510" s="51">
        <f>IF(Settings!$E$15="POINTS",((R510*Q510)*Settings!$B$12)+(S510*Settings!$B$2)+(T510*Settings!$B$3)+(U510*Settings!$B$4)+(V510*Settings!$B$5)+(X510*Settings!$B$9)+(AA510*Settings!$B$6)+(W510*Settings!$B$8)+(AB510*Settings!$B$7)+(AC510*Settings!$B$14)+(AD510*Settings!$B$15)+(AE510*Settings!$B$16)+(AF510*Settings!$B$17)+(AG510*Settings!$B$18)+(U510*Settings!$B$13)+(Y510*Settings!$B$10)+(Z510*Settings!$B$11),VLOOKUP(B510,'Standard Deviations'!A1:C666,3,FALSE))</f>
        <v>110.06945939135943</v>
      </c>
      <c r="J510" s="52">
        <f>IF(D510="G",I510/AJ510,I510/Q510)</f>
        <v>1.7457487611635121</v>
      </c>
      <c r="K510" s="51">
        <f>VLOOKUP(B510,D!A1:F213,6,FALSE)</f>
        <v>-226.16466565423548</v>
      </c>
      <c r="L510" s="53">
        <f>IFERROR(K510/H510,"N/A")</f>
        <v>-274.13898867180058</v>
      </c>
      <c r="M510" s="83" t="str">
        <f>IF(Settings!$E$9="YAHOO",VLOOKUP(B510,ADP!A1:E665,2,FALSE),IF(Settings!$E$9="ESPN",VLOOKUP(B510,ADP!A1:E665,3,FALSE),IF(Settings!$E$9="FANTRAX",VLOOKUP(B510,ADP!A1:E665,4,FALSE),VLOOKUP(B510,ADP!A1:E665,5,FALSE))))</f>
        <v>—</v>
      </c>
      <c r="N510" s="83" t="str">
        <f>IFERROR(M510-A510,"N/A")</f>
        <v>N/A</v>
      </c>
      <c r="O510" s="54"/>
      <c r="P510" s="55" t="str">
        <f>IF(Settings!$E$27="ON",VLOOKUP(B510,ADP!A1:H665,8,FALSE)," ")</f>
        <v xml:space="preserve"> </v>
      </c>
      <c r="Q510" s="56">
        <f>IF(Settings!$E$12="YES",VLOOKUP(B510,'Player Data'!A1:E667,5,FALSE),82)</f>
        <v>63.05</v>
      </c>
      <c r="R510" s="54">
        <f>VLOOKUP(B510,'Player Data'!$A1:$AE667,6,FALSE)</f>
        <v>16.203753272178201</v>
      </c>
      <c r="S510" s="56">
        <f>VLOOKUP(B510,'Player Data'!$A1:$AE667,7,FALSE)*$Q510*IFERROR((VLOOKUP(P510,Settings!$E$28:$F$33,2,FALSE)+1),1)</f>
        <v>4.0445803837950747</v>
      </c>
      <c r="T510" s="56">
        <f>VLOOKUP(B510,'Player Data'!$A1:$AE667,8,FALSE)*$Q510*IFERROR((VLOOKUP(P510,Settings!$E$28:$F$33,2,FALSE)+1),1)</f>
        <v>10.057000533400252</v>
      </c>
      <c r="U510" s="56">
        <f>SUM(S510:T510)</f>
        <v>14.101580917195328</v>
      </c>
      <c r="V510" s="56">
        <f>VLOOKUP(B510,'Player Data'!$A1:$AE667,10,FALSE)*$Q510*IFERROR(((VLOOKUP(P510,Settings!$E$28:$F$33,2,FALSE)/2)+1),1)</f>
        <v>52.159543603192333</v>
      </c>
      <c r="W510" s="56">
        <f>VLOOKUP(B510,'Player Data'!$A1:$AE667,11,FALSE)*$Q510*IFERROR((VLOOKUP(P510,Settings!$E$28:$F$33,2,FALSE)+1),1)</f>
        <v>2.3706728321106187E-2</v>
      </c>
      <c r="X510" s="56">
        <f>VLOOKUP(B510,'Player Data'!$A1:$AE667,12,FALSE)*$Q510*IFERROR((VLOOKUP(P510,Settings!$E$28:$F$33,2,FALSE)+1),1)</f>
        <v>0.15216823188841003</v>
      </c>
      <c r="Y510" s="56">
        <f>VLOOKUP(B510,'Player Data'!$A1:$AE667,13,FALSE)*$Q510</f>
        <v>1.6372904757933411E-2</v>
      </c>
      <c r="Z510" s="56">
        <f>VLOOKUP(B510,'Player Data'!$A1:$AE667,14,FALSE)*$Q510</f>
        <v>0.25606312566425105</v>
      </c>
      <c r="AA510" s="56">
        <f>VLOOKUP(B510,'Player Data'!$A1:$AE667,15,FALSE)*$Q510</f>
        <v>82.553426961249244</v>
      </c>
      <c r="AB510" s="56">
        <f>VLOOKUP(B510,'Player Data'!$A1:$AE667,16,FALSE)*$Q510</f>
        <v>56.464379496640447</v>
      </c>
      <c r="AC510" s="56">
        <f>VLOOKUP(B510,'Player Data'!$A1:$AE667,17,FALSE)*$Q510*IFERROR((VLOOKUP(P510,Settings!$E$28:$F$33,2,FALSE)+1),1)</f>
        <v>2.5969282117454493</v>
      </c>
      <c r="AD510" s="56">
        <f>VLOOKUP(B510,'Player Data'!$A1:$AE667,18,FALSE)*$Q510</f>
        <v>19.122811199548256</v>
      </c>
      <c r="AE510" s="56">
        <f>VLOOKUP(B510,'Player Data'!$A1:$AE667,19,FALSE)*$Q510*IFERROR((VLOOKUP(P510,Settings!$E$28:$F$33,2,FALSE)+1),1)</f>
        <v>0.5726835423526212</v>
      </c>
      <c r="AF510" s="56">
        <f>VLOOKUP(B510,'Player Data'!$A1:$AE667,20,FALSE)*$Q510</f>
        <v>0</v>
      </c>
      <c r="AG510" s="56">
        <f>VLOOKUP(B510,'Player Data'!$A1:$AE667,21,FALSE)*$Q510</f>
        <v>0</v>
      </c>
      <c r="AH510" s="58">
        <f>VLOOKUP(B510,'Player Data'!$A1:$AE667,22,FALSE)</f>
        <v>0</v>
      </c>
      <c r="AI510" s="54"/>
      <c r="AJ510" s="56"/>
      <c r="AK510" s="56"/>
      <c r="AL510" s="56"/>
      <c r="AM510" s="56"/>
      <c r="AN510" s="56"/>
      <c r="AO510" s="56"/>
      <c r="AP510" s="56"/>
      <c r="AQ510" s="59"/>
      <c r="AR510" s="60"/>
      <c r="AS510" s="54"/>
    </row>
    <row r="511" spans="1:45" ht="21.25" customHeight="1" x14ac:dyDescent="0.15">
      <c r="A511" s="45">
        <f>RANK(K511,K$1:K$665)</f>
        <v>510</v>
      </c>
      <c r="B511" s="9" t="s">
        <v>636</v>
      </c>
      <c r="C511" s="46" t="s">
        <v>127</v>
      </c>
      <c r="D511" s="47" t="str">
        <f>VLOOKUP(B511,'Player Data'!A1:D667,4,FALSE)</f>
        <v>D</v>
      </c>
      <c r="E511" s="66">
        <f>VLOOKUP(B511,D!A1:C213,3,FALSE)</f>
        <v>197</v>
      </c>
      <c r="F511" s="77" t="str">
        <f>VLOOKUP(B511,'Player Data'!A1:B667,2,FALSE)</f>
        <v>S.J</v>
      </c>
      <c r="G511" s="10">
        <f>VLOOKUP(B511,'Player Data'!A1:D667,3,FALSE)</f>
        <v>30</v>
      </c>
      <c r="H511" s="50">
        <f>IFERROR(VLOOKUP(B511,ADP!A1:G665,7,FALSE)/1000000,VLOOKUP(B511,ADP!A1:G665,7,FALSE))</f>
        <v>1.25</v>
      </c>
      <c r="I511" s="51">
        <f>IF(Settings!$E$15="POINTS",((R511*Q511)*Settings!$B$12)+(S511*Settings!$B$2)+(T511*Settings!$B$3)+(U511*Settings!$B$4)+(V511*Settings!$B$5)+(X511*Settings!$B$9)+(AA511*Settings!$B$6)+(W511*Settings!$B$8)+(AB511*Settings!$B$7)+(AC511*Settings!$B$14)+(AD511*Settings!$B$15)+(AE511*Settings!$B$16)+(AF511*Settings!$B$17)+(AG511*Settings!$B$18)+(U511*Settings!$B$13)+(Y511*Settings!$B$10)+(Z511*Settings!$B$11),VLOOKUP(B511,'Standard Deviations'!A1:C666,3,FALSE))</f>
        <v>109.98226253674591</v>
      </c>
      <c r="J511" s="52">
        <f>IF(D511="G",I511/AJ511,I511/Q511)</f>
        <v>1.6276186693809744</v>
      </c>
      <c r="K511" s="51">
        <f>VLOOKUP(B511,D!A1:F213,6,FALSE)</f>
        <v>-226.251862508849</v>
      </c>
      <c r="L511" s="53">
        <f>IFERROR(K511/H511,"N/A")</f>
        <v>-181.00149000707921</v>
      </c>
      <c r="M511" s="83" t="str">
        <f>IF(Settings!$E$9="YAHOO",VLOOKUP(B511,ADP!A1:E665,2,FALSE),IF(Settings!$E$9="ESPN",VLOOKUP(B511,ADP!A1:E665,3,FALSE),IF(Settings!$E$9="FANTRAX",VLOOKUP(B511,ADP!A1:E665,4,FALSE),VLOOKUP(B511,ADP!A1:E665,5,FALSE))))</f>
        <v>—</v>
      </c>
      <c r="N511" s="83" t="str">
        <f>IFERROR(M511-A511,"N/A")</f>
        <v>N/A</v>
      </c>
      <c r="O511" s="54"/>
      <c r="P511" s="55" t="str">
        <f>IF(Settings!$E$27="ON",VLOOKUP(B511,ADP!A1:H665,8,FALSE)," ")</f>
        <v xml:space="preserve"> </v>
      </c>
      <c r="Q511" s="56">
        <f>IF(Settings!$E$12="YES",VLOOKUP(B511,'Player Data'!A1:E667,5,FALSE),82)</f>
        <v>67.572500000000005</v>
      </c>
      <c r="R511" s="81">
        <f>VLOOKUP(B511,'Player Data'!$A1:$AE667,6,FALSE)</f>
        <v>15.7640850453526</v>
      </c>
      <c r="S511" s="56">
        <f>VLOOKUP(B511,'Player Data'!$A1:$AE667,7,FALSE)*$Q511*IFERROR((VLOOKUP(P511,Settings!$E$28:$F$33,2,FALSE)+1),1)</f>
        <v>0.94820973072806047</v>
      </c>
      <c r="T511" s="56">
        <f>VLOOKUP(B511,'Player Data'!$A1:$AE667,8,FALSE)*$Q511*IFERROR((VLOOKUP(P511,Settings!$E$28:$F$33,2,FALSE)+1),1)</f>
        <v>14.011738053076733</v>
      </c>
      <c r="U511" s="56">
        <f>SUM(S511:T511)</f>
        <v>14.959947783804793</v>
      </c>
      <c r="V511" s="56">
        <f>VLOOKUP(B511,'Player Data'!$A1:$AE667,10,FALSE)*$Q511*IFERROR(((VLOOKUP(P511,Settings!$E$28:$F$33,2,FALSE)/2)+1),1)</f>
        <v>53.763446327973</v>
      </c>
      <c r="W511" s="56">
        <f>VLOOKUP(B511,'Player Data'!$A1:$AE667,11,FALSE)*$Q511*IFERROR((VLOOKUP(P511,Settings!$E$28:$F$33,2,FALSE)+1),1)</f>
        <v>1.355122416907663E-3</v>
      </c>
      <c r="X511" s="56">
        <f>VLOOKUP(B511,'Player Data'!$A1:$AE667,12,FALSE)*$Q511*IFERROR((VLOOKUP(P511,Settings!$E$28:$F$33,2,FALSE)+1),1)</f>
        <v>1.3436631297972049E-2</v>
      </c>
      <c r="Y511" s="56">
        <f>VLOOKUP(B511,'Player Data'!$A1:$AE667,13,FALSE)*$Q511</f>
        <v>2.7674818190216101E-3</v>
      </c>
      <c r="Z511" s="56">
        <f>VLOOKUP(B511,'Player Data'!$A1:$AE667,14,FALSE)*$Q511</f>
        <v>5.0463387707198541E-2</v>
      </c>
      <c r="AA511" s="56">
        <f>VLOOKUP(B511,'Player Data'!$A1:$AE667,15,FALSE)*$Q511</f>
        <v>76.313592004679691</v>
      </c>
      <c r="AB511" s="56">
        <f>VLOOKUP(B511,'Player Data'!$A1:$AE667,16,FALSE)*$Q511</f>
        <v>83.498152758601933</v>
      </c>
      <c r="AC511" s="56">
        <f>VLOOKUP(B511,'Player Data'!$A1:$AE667,17,FALSE)*$Q511*IFERROR((VLOOKUP(P511,Settings!$E$28:$F$33,2,FALSE)+1),1)</f>
        <v>-7.7263593097752024</v>
      </c>
      <c r="AD511" s="56">
        <f>VLOOKUP(B511,'Player Data'!$A1:$AE667,18,FALSE)*$Q511</f>
        <v>27.855622621940711</v>
      </c>
      <c r="AE511" s="56">
        <f>VLOOKUP(B511,'Player Data'!$A1:$AE667,19,FALSE)*$Q511*IFERROR((VLOOKUP(P511,Settings!$E$28:$F$33,2,FALSE)+1),1)</f>
        <v>0.10127839978772821</v>
      </c>
      <c r="AF511" s="56">
        <f>VLOOKUP(B511,'Player Data'!$A1:$AE667,20,FALSE)*$Q511</f>
        <v>0</v>
      </c>
      <c r="AG511" s="56">
        <f>VLOOKUP(B511,'Player Data'!$A1:$AE667,21,FALSE)*$Q511</f>
        <v>0</v>
      </c>
      <c r="AH511" s="58">
        <f>VLOOKUP(B511,'Player Data'!$A1:$AE667,22,FALSE)</f>
        <v>0</v>
      </c>
      <c r="AI511" s="54"/>
      <c r="AJ511" s="56"/>
      <c r="AK511" s="56"/>
      <c r="AL511" s="56"/>
      <c r="AM511" s="56"/>
      <c r="AN511" s="56"/>
      <c r="AO511" s="56"/>
      <c r="AP511" s="56"/>
      <c r="AQ511" s="59"/>
      <c r="AR511" s="60"/>
      <c r="AS511" s="54"/>
    </row>
    <row r="512" spans="1:45" ht="21.25" customHeight="1" x14ac:dyDescent="0.15">
      <c r="A512" s="45">
        <f>RANK(K512,K$1:K$665)</f>
        <v>511</v>
      </c>
      <c r="B512" s="9" t="s">
        <v>637</v>
      </c>
      <c r="C512" s="46" t="s">
        <v>127</v>
      </c>
      <c r="D512" s="47" t="str">
        <f>VLOOKUP(B512,'Player Data'!A1:D667,4,FALSE)</f>
        <v>D</v>
      </c>
      <c r="E512" s="66">
        <f>VLOOKUP(B512,D!A1:C213,3,FALSE)</f>
        <v>198</v>
      </c>
      <c r="F512" s="65" t="str">
        <f>VLOOKUP(B512,'Player Data'!A1:B667,2,FALSE)</f>
        <v>TOR</v>
      </c>
      <c r="G512" s="10">
        <f>VLOOKUP(B512,'Player Data'!A1:D667,3,FALSE)</f>
        <v>25</v>
      </c>
      <c r="H512" s="67">
        <f>IFERROR(VLOOKUP(B512,ADP!A1:G665,7,FALSE)/1000000,VLOOKUP(B512,ADP!A1:G665,7,FALSE))</f>
        <v>1.1000000000000001</v>
      </c>
      <c r="I512" s="51">
        <f>IF(Settings!$E$15="POINTS",((R512*Q512)*Settings!$B$12)+(S512*Settings!$B$2)+(T512*Settings!$B$3)+(U512*Settings!$B$4)+(V512*Settings!$B$5)+(X512*Settings!$B$9)+(AA512*Settings!$B$6)+(W512*Settings!$B$8)+(AB512*Settings!$B$7)+(AC512*Settings!$B$14)+(AD512*Settings!$B$15)+(AE512*Settings!$B$16)+(AF512*Settings!$B$17)+(AG512*Settings!$B$18)+(U512*Settings!$B$13)+(Y512*Settings!$B$10)+(Z512*Settings!$B$11),VLOOKUP(B512,'Standard Deviations'!A1:C666,3,FALSE))</f>
        <v>109.94290212220139</v>
      </c>
      <c r="J512" s="52">
        <f>IF(D512="G",I512/AJ512,I512/Q512)</f>
        <v>1.8681886511843906</v>
      </c>
      <c r="K512" s="51">
        <f>VLOOKUP(B512,D!A1:F213,6,FALSE)</f>
        <v>-226.29122292339352</v>
      </c>
      <c r="L512" s="53">
        <f>IFERROR(K512/H512,"N/A")</f>
        <v>-205.71929356672138</v>
      </c>
      <c r="M512" s="83" t="str">
        <f>IF(Settings!$E$9="YAHOO",VLOOKUP(B512,ADP!A1:E665,2,FALSE),IF(Settings!$E$9="ESPN",VLOOKUP(B512,ADP!A1:E665,3,FALSE),IF(Settings!$E$9="FANTRAX",VLOOKUP(B512,ADP!A1:E665,4,FALSE),VLOOKUP(B512,ADP!A1:E665,5,FALSE))))</f>
        <v>—</v>
      </c>
      <c r="N512" s="83" t="str">
        <f>IFERROR(M512-A512,"N/A")</f>
        <v>N/A</v>
      </c>
      <c r="O512" s="54"/>
      <c r="P512" s="55" t="str">
        <f>IF(Settings!$E$27="ON",VLOOKUP(B512,ADP!A1:H665,8,FALSE)," ")</f>
        <v xml:space="preserve"> </v>
      </c>
      <c r="Q512" s="56">
        <f>IF(Settings!$E$12="YES",VLOOKUP(B512,'Player Data'!A1:E667,5,FALSE),82)</f>
        <v>58.85</v>
      </c>
      <c r="R512" s="81">
        <f>VLOOKUP(B512,'Player Data'!$A1:$AE667,6,FALSE)</f>
        <v>14.889833443933901</v>
      </c>
      <c r="S512" s="56">
        <f>VLOOKUP(B512,'Player Data'!$A1:$AE667,7,FALSE)*$Q512*IFERROR((VLOOKUP(P512,Settings!$E$28:$F$33,2,FALSE)+1),1)</f>
        <v>3.0118433530113307</v>
      </c>
      <c r="T512" s="56">
        <f>VLOOKUP(B512,'Player Data'!$A1:$AE667,8,FALSE)*$Q512*IFERROR((VLOOKUP(P512,Settings!$E$28:$F$33,2,FALSE)+1),1)</f>
        <v>14.219040347538202</v>
      </c>
      <c r="U512" s="56">
        <f>SUM(S512:T512)</f>
        <v>17.230883700549533</v>
      </c>
      <c r="V512" s="56">
        <f>VLOOKUP(B512,'Player Data'!$A1:$AE667,10,FALSE)*$Q512*IFERROR(((VLOOKUP(P512,Settings!$E$28:$F$33,2,FALSE)/2)+1),1)</f>
        <v>51.593665109825949</v>
      </c>
      <c r="W512" s="56">
        <f>VLOOKUP(B512,'Player Data'!$A1:$AE667,11,FALSE)*$Q512*IFERROR((VLOOKUP(P512,Settings!$E$28:$F$33,2,FALSE)+1),1)</f>
        <v>9.0644796109404902E-2</v>
      </c>
      <c r="X512" s="56">
        <f>VLOOKUP(B512,'Player Data'!$A1:$AE667,12,FALSE)*$Q512*IFERROR((VLOOKUP(P512,Settings!$E$28:$F$33,2,FALSE)+1),1)</f>
        <v>2.1380269361373063</v>
      </c>
      <c r="Y512" s="56">
        <f>VLOOKUP(B512,'Player Data'!$A1:$AE667,13,FALSE)*$Q512</f>
        <v>4.0437301264687501E-3</v>
      </c>
      <c r="Z512" s="56">
        <f>VLOOKUP(B512,'Player Data'!$A1:$AE667,14,FALSE)*$Q512</f>
        <v>1.9845485920953549E-2</v>
      </c>
      <c r="AA512" s="56">
        <f>VLOOKUP(B512,'Player Data'!$A1:$AE667,15,FALSE)*$Q512</f>
        <v>60.591092087163133</v>
      </c>
      <c r="AB512" s="56">
        <f>VLOOKUP(B512,'Player Data'!$A1:$AE667,16,FALSE)*$Q512</f>
        <v>76.656901565353479</v>
      </c>
      <c r="AC512" s="56">
        <f>VLOOKUP(B512,'Player Data'!$A1:$AE667,17,FALSE)*$Q512*IFERROR((VLOOKUP(P512,Settings!$E$28:$F$33,2,FALSE)+1),1)</f>
        <v>4.8645036556528973</v>
      </c>
      <c r="AD512" s="56">
        <f>VLOOKUP(B512,'Player Data'!$A1:$AE667,18,FALSE)*$Q512</f>
        <v>24.425629909068576</v>
      </c>
      <c r="AE512" s="56">
        <f>VLOOKUP(B512,'Player Data'!$A1:$AE667,19,FALSE)*$Q512*IFERROR((VLOOKUP(P512,Settings!$E$28:$F$33,2,FALSE)+1),1)</f>
        <v>0.4818409473784323</v>
      </c>
      <c r="AF512" s="56">
        <f>VLOOKUP(B512,'Player Data'!$A1:$AE667,20,FALSE)*$Q512</f>
        <v>0</v>
      </c>
      <c r="AG512" s="56">
        <f>VLOOKUP(B512,'Player Data'!$A1:$AE667,21,FALSE)*$Q512</f>
        <v>0</v>
      </c>
      <c r="AH512" s="58">
        <f>VLOOKUP(B512,'Player Data'!$A1:$AE667,22,FALSE)</f>
        <v>0</v>
      </c>
      <c r="AI512" s="54"/>
      <c r="AJ512" s="56"/>
      <c r="AK512" s="56"/>
      <c r="AL512" s="56"/>
      <c r="AM512" s="56"/>
      <c r="AN512" s="56"/>
      <c r="AO512" s="56"/>
      <c r="AP512" s="56"/>
      <c r="AQ512" s="59"/>
      <c r="AR512" s="60"/>
      <c r="AS512" s="54"/>
    </row>
    <row r="513" spans="1:45" ht="21.25" customHeight="1" x14ac:dyDescent="0.15">
      <c r="A513" s="45">
        <f>RANK(K513,K$1:K$665)</f>
        <v>512</v>
      </c>
      <c r="B513" s="9" t="s">
        <v>638</v>
      </c>
      <c r="C513" s="46" t="s">
        <v>127</v>
      </c>
      <c r="D513" s="47" t="str">
        <f>VLOOKUP(B513,'Player Data'!A1:D667,4,FALSE)</f>
        <v>C</v>
      </c>
      <c r="E513" s="48">
        <f>VLOOKUP(B513,'C'!A1:C206,3,FALSE)</f>
        <v>140</v>
      </c>
      <c r="F513" s="80" t="str">
        <f>VLOOKUP(B513,'Player Data'!A1:B667,2,FALSE)</f>
        <v>PHI</v>
      </c>
      <c r="G513" s="10">
        <f>VLOOKUP(B513,'Player Data'!A1:D667,3,FALSE)</f>
        <v>25</v>
      </c>
      <c r="H513" s="50">
        <f>IFERROR(VLOOKUP(B513,ADP!A1:G665,7,FALSE)/1000000,VLOOKUP(B513,ADP!A1:G665,7,FALSE))</f>
        <v>1.9</v>
      </c>
      <c r="I513" s="51">
        <f>IF(Settings!$E$15="POINTS",((R513*Q513)*Settings!$B$12)+(S513*Settings!$B$2)+(T513*Settings!$B$3)+(U513*Settings!$B$4)+(V513*Settings!$B$5)+(X513*Settings!$B$9)+(AA513*Settings!$B$6)+(W513*Settings!$B$8)+(AB513*Settings!$B$7)+(AC513*Settings!$B$14)+(AD513*Settings!$B$15)+(AE513*Settings!$B$16)+(AF513*Settings!$B$17)+(AG513*Settings!$B$18)+(Y513*Settings!$B$10)+(Z513*Settings!$B$11),VLOOKUP(B513,'Standard Deviations'!A1:C666,3,FALSE))</f>
        <v>163.53285271878252</v>
      </c>
      <c r="J513" s="52">
        <f>IF(D513="G",I513/AJ513,I513/Q513)</f>
        <v>2.1905144025019427</v>
      </c>
      <c r="K513" s="51">
        <f>IF(Settings!$E$18="C/LW/RW",VLOOKUP(B513,'C'!A1:F206,6,FALSE),VLOOKUP(B513,F!A1:F392,6,FALSE))</f>
        <v>-226.40430505929857</v>
      </c>
      <c r="L513" s="53">
        <f>IFERROR(K513/H513,"N/A")</f>
        <v>-119.16016055752557</v>
      </c>
      <c r="M513" s="83" t="str">
        <f>IF(Settings!$E$9="YAHOO",VLOOKUP(B513,ADP!A1:E665,2,FALSE),IF(Settings!$E$9="ESPN",VLOOKUP(B513,ADP!A1:E665,3,FALSE),IF(Settings!$E$9="FANTRAX",VLOOKUP(B513,ADP!A1:E665,4,FALSE),VLOOKUP(B513,ADP!A1:E665,5,FALSE))))</f>
        <v>—</v>
      </c>
      <c r="N513" s="83" t="str">
        <f>IFERROR(M513-A513,"N/A")</f>
        <v>N/A</v>
      </c>
      <c r="O513" s="54"/>
      <c r="P513" s="55" t="str">
        <f>IF(Settings!$E$27="ON",VLOOKUP(B513,ADP!A1:H665,8,FALSE)," ")</f>
        <v xml:space="preserve"> </v>
      </c>
      <c r="Q513" s="56">
        <f>IF(Settings!$E$12="YES",VLOOKUP(B513,'Player Data'!A1:E667,5,FALSE),82)</f>
        <v>74.655000000000001</v>
      </c>
      <c r="R513" s="81">
        <f>VLOOKUP(B513,'Player Data'!$A1:$AE667,6,FALSE)</f>
        <v>13.154931575484101</v>
      </c>
      <c r="S513" s="56">
        <f>VLOOKUP(B513,'Player Data'!$A1:$AE667,7,FALSE)*$Q513*IFERROR((VLOOKUP(P513,Settings!$E$28:$F$33,2,FALSE)+1),1)</f>
        <v>10.191233843583158</v>
      </c>
      <c r="T513" s="56">
        <f>VLOOKUP(B513,'Player Data'!$A1:$AE667,8,FALSE)*$Q513*IFERROR((VLOOKUP(P513,Settings!$E$28:$F$33,2,FALSE)+1),1)</f>
        <v>14.107889492387939</v>
      </c>
      <c r="U513" s="56">
        <f>SUM(S513:T513)</f>
        <v>24.299123335971096</v>
      </c>
      <c r="V513" s="56">
        <f>VLOOKUP(B513,'Player Data'!$A1:$AE667,10,FALSE)*$Q513*IFERROR(((VLOOKUP(P513,Settings!$E$28:$F$33,2,FALSE)/2)+1),1)</f>
        <v>97.640369427269164</v>
      </c>
      <c r="W513" s="56">
        <f>VLOOKUP(B513,'Player Data'!$A1:$AE667,11,FALSE)*$Q513*IFERROR((VLOOKUP(P513,Settings!$E$28:$F$33,2,FALSE)+1),1)</f>
        <v>0.25863050190662634</v>
      </c>
      <c r="X513" s="56">
        <f>VLOOKUP(B513,'Player Data'!$A1:$AE667,12,FALSE)*$Q513*IFERROR((VLOOKUP(P513,Settings!$E$28:$F$33,2,FALSE)+1),1)</f>
        <v>0.40451049476298873</v>
      </c>
      <c r="Y513" s="56">
        <f>VLOOKUP(B513,'Player Data'!$A1:$AE667,13,FALSE)*$Q513</f>
        <v>2.4072952170085968</v>
      </c>
      <c r="Z513" s="56">
        <f>VLOOKUP(B513,'Player Data'!$A1:$AE667,14,FALSE)*$Q513</f>
        <v>3.4267107552688136</v>
      </c>
      <c r="AA513" s="56">
        <f>VLOOKUP(B513,'Player Data'!$A1:$AE667,15,FALSE)*$Q513</f>
        <v>75.968153494405755</v>
      </c>
      <c r="AB513" s="56">
        <f>VLOOKUP(B513,'Player Data'!$A1:$AE667,16,FALSE)*$Q513</f>
        <v>63.383060767033825</v>
      </c>
      <c r="AC513" s="56">
        <f>VLOOKUP(B513,'Player Data'!$A1:$AE667,17,FALSE)*$Q513*IFERROR((VLOOKUP(P513,Settings!$E$28:$F$33,2,FALSE)+1),1)</f>
        <v>-2.7001577743630469</v>
      </c>
      <c r="AD513" s="56">
        <f>VLOOKUP(B513,'Player Data'!$A1:$AE667,18,FALSE)*$Q513</f>
        <v>12.180038125556701</v>
      </c>
      <c r="AE513" s="56">
        <f>VLOOKUP(B513,'Player Data'!$A1:$AE667,19,FALSE)*$Q513*IFERROR((VLOOKUP(P513,Settings!$E$28:$F$33,2,FALSE)+1),1)</f>
        <v>1.4772145252299922</v>
      </c>
      <c r="AF513" s="56">
        <f>VLOOKUP(B513,'Player Data'!$A1:$AE667,20,FALSE)*$Q513</f>
        <v>368.37636432878298</v>
      </c>
      <c r="AG513" s="56">
        <f>VLOOKUP(B513,'Player Data'!$A1:$AE667,21,FALSE)*$Q513</f>
        <v>404.80462177470258</v>
      </c>
      <c r="AH513" s="58">
        <f>VLOOKUP(B513,'Player Data'!$A1:$AE667,22,FALSE)</f>
        <v>0.476442606517328</v>
      </c>
      <c r="AI513" s="54"/>
      <c r="AJ513" s="56"/>
      <c r="AK513" s="56"/>
      <c r="AL513" s="56"/>
      <c r="AM513" s="56"/>
      <c r="AN513" s="56"/>
      <c r="AO513" s="56"/>
      <c r="AP513" s="56"/>
      <c r="AQ513" s="59"/>
      <c r="AR513" s="60"/>
      <c r="AS513" s="54"/>
    </row>
    <row r="514" spans="1:45" ht="21.25" customHeight="1" x14ac:dyDescent="0.15">
      <c r="A514" s="45">
        <f>RANK(K514,K$1:K$665)</f>
        <v>513</v>
      </c>
      <c r="B514" s="9" t="s">
        <v>639</v>
      </c>
      <c r="C514" s="46" t="s">
        <v>127</v>
      </c>
      <c r="D514" s="47" t="str">
        <f>VLOOKUP(B514,'Player Data'!A1:D667,4,FALSE)</f>
        <v>RW</v>
      </c>
      <c r="E514" s="61">
        <f>VLOOKUP(B514,RW!A1:F136,3,FALSE)</f>
        <v>106</v>
      </c>
      <c r="F514" s="62" t="str">
        <f>VLOOKUP(B514,'Player Data'!A1:B667,2,FALSE)</f>
        <v>MTL</v>
      </c>
      <c r="G514" s="63">
        <f>VLOOKUP(B514,'Player Data'!A1:D667,3,FALSE)</f>
        <v>30</v>
      </c>
      <c r="H514" s="50">
        <f>IFERROR(VLOOKUP(B514,ADP!A1:G665,7,FALSE)/1000000,VLOOKUP(B514,ADP!A1:G665,7,FALSE))</f>
        <v>5.5</v>
      </c>
      <c r="I514" s="51">
        <f>IF(Settings!$E$15="POINTS",((R514*Q514)*Settings!$B$12)+(S514*Settings!$B$2)+(T514*Settings!$B$3)+(U514*Settings!$B$4)+(V514*Settings!$B$5)+(X514*Settings!$B$9)+(AA514*Settings!$B$6)+(W514*Settings!$B$8)+(AB514*Settings!$B$7)+(AC514*Settings!$B$14)+(AD514*Settings!$B$15)+(AE514*Settings!$B$16)+(AF514*Settings!$B$17)+(AG514*Settings!$B$18)+(Y514*Settings!$B$10)+(Z514*Settings!$B$11),VLOOKUP(B514,'Standard Deviations'!A1:C666,3,FALSE))</f>
        <v>142.41041185107616</v>
      </c>
      <c r="J514" s="52">
        <f>IF(D514="G",I514/AJ514,I514/Q514)</f>
        <v>1.820348472196033</v>
      </c>
      <c r="K514" s="51">
        <f>IF(Settings!$E$18="C/LW/RW",VLOOKUP(B514,RW!A1:F136,6,FALSE),VLOOKUP(B514,F!A1:F392,6,FALSE))</f>
        <v>-226.43731125521623</v>
      </c>
      <c r="L514" s="53">
        <f>IFERROR(K514/H514,"N/A")</f>
        <v>-41.170420228221133</v>
      </c>
      <c r="M514" s="83" t="str">
        <f>IF(Settings!$E$9="YAHOO",VLOOKUP(B514,ADP!A1:E665,2,FALSE),IF(Settings!$E$9="ESPN",VLOOKUP(B514,ADP!A1:E665,3,FALSE),IF(Settings!$E$9="FANTRAX",VLOOKUP(B514,ADP!A1:E665,4,FALSE),VLOOKUP(B514,ADP!A1:E665,5,FALSE))))</f>
        <v>—</v>
      </c>
      <c r="N514" s="83" t="str">
        <f>IFERROR(M514-A514,"N/A")</f>
        <v>N/A</v>
      </c>
      <c r="O514" s="54"/>
      <c r="P514" s="55" t="str">
        <f>IF(Settings!$E$27="ON",VLOOKUP(B514,ADP!A1:H665,8,FALSE)," ")</f>
        <v xml:space="preserve"> </v>
      </c>
      <c r="Q514" s="56">
        <f>IF(Settings!$E$12="YES",VLOOKUP(B514,'Player Data'!A1:E667,5,FALSE),82)</f>
        <v>78.232500000000002</v>
      </c>
      <c r="R514" s="81">
        <f>VLOOKUP(B514,'Player Data'!$A1:$AE667,6,FALSE)</f>
        <v>12.4850969146562</v>
      </c>
      <c r="S514" s="56">
        <f>VLOOKUP(B514,'Player Data'!$A1:$AE667,7,FALSE)*$Q514*IFERROR((VLOOKUP(P514,Settings!$E$28:$F$33,2,FALSE)+1),1)</f>
        <v>11.030557852185616</v>
      </c>
      <c r="T514" s="56">
        <f>VLOOKUP(B514,'Player Data'!$A1:$AE667,8,FALSE)*$Q514*IFERROR((VLOOKUP(P514,Settings!$E$28:$F$33,2,FALSE)+1),1)</f>
        <v>9.9120422029444608</v>
      </c>
      <c r="U514" s="56">
        <f>SUM(S514:T514)</f>
        <v>20.942600055130079</v>
      </c>
      <c r="V514" s="56">
        <f>VLOOKUP(B514,'Player Data'!$A1:$AE667,10,FALSE)*$Q514*IFERROR(((VLOOKUP(P514,Settings!$E$28:$F$33,2,FALSE)/2)+1),1)</f>
        <v>118.80702519586511</v>
      </c>
      <c r="W514" s="56">
        <f>VLOOKUP(B514,'Player Data'!$A1:$AE667,11,FALSE)*$Q514*IFERROR((VLOOKUP(P514,Settings!$E$28:$F$33,2,FALSE)+1),1)</f>
        <v>1.5960581863566354</v>
      </c>
      <c r="X514" s="56">
        <f>VLOOKUP(B514,'Player Data'!$A1:$AE667,12,FALSE)*$Q514*IFERROR((VLOOKUP(P514,Settings!$E$28:$F$33,2,FALSE)+1),1)</f>
        <v>3.2704806104928301</v>
      </c>
      <c r="Y514" s="56">
        <f>VLOOKUP(B514,'Player Data'!$A1:$AE667,13,FALSE)*$Q514</f>
        <v>3.7723926704243668E-2</v>
      </c>
      <c r="Z514" s="56">
        <f>VLOOKUP(B514,'Player Data'!$A1:$AE667,14,FALSE)*$Q514</f>
        <v>4.5481230231016717E-2</v>
      </c>
      <c r="AA514" s="56">
        <f>VLOOKUP(B514,'Player Data'!$A1:$AE667,15,FALSE)*$Q514</f>
        <v>33.726274494059084</v>
      </c>
      <c r="AB514" s="56">
        <f>VLOOKUP(B514,'Player Data'!$A1:$AE667,16,FALSE)*$Q514</f>
        <v>129.70817732107585</v>
      </c>
      <c r="AC514" s="56">
        <f>VLOOKUP(B514,'Player Data'!$A1:$AE667,17,FALSE)*$Q514*IFERROR((VLOOKUP(P514,Settings!$E$28:$F$33,2,FALSE)+1),1)</f>
        <v>-5.896838832380447</v>
      </c>
      <c r="AD514" s="56">
        <f>VLOOKUP(B514,'Player Data'!$A1:$AE667,18,FALSE)*$Q514</f>
        <v>49.425990848794648</v>
      </c>
      <c r="AE514" s="56">
        <f>VLOOKUP(B514,'Player Data'!$A1:$AE667,19,FALSE)*$Q514*IFERROR((VLOOKUP(P514,Settings!$E$28:$F$33,2,FALSE)+1),1)</f>
        <v>1.2784556932711624</v>
      </c>
      <c r="AF514" s="56">
        <f>VLOOKUP(B514,'Player Data'!$A1:$AE667,20,FALSE)*$Q514</f>
        <v>13.059960486364789</v>
      </c>
      <c r="AG514" s="56">
        <f>VLOOKUP(B514,'Player Data'!$A1:$AE667,21,FALSE)*$Q514</f>
        <v>15.060091581329061</v>
      </c>
      <c r="AH514" s="58">
        <f>VLOOKUP(B514,'Player Data'!$A1:$AE667,22,FALSE)</f>
        <v>0.46443585719277403</v>
      </c>
      <c r="AI514" s="54"/>
      <c r="AJ514" s="64"/>
      <c r="AK514" s="56"/>
      <c r="AL514" s="56"/>
      <c r="AM514" s="56"/>
      <c r="AN514" s="56"/>
      <c r="AO514" s="56"/>
      <c r="AP514" s="56"/>
      <c r="AQ514" s="59"/>
      <c r="AR514" s="60"/>
      <c r="AS514" s="54"/>
    </row>
    <row r="515" spans="1:45" ht="21.25" customHeight="1" x14ac:dyDescent="0.15">
      <c r="A515" s="45">
        <f>RANK(K515,K$1:K$665)</f>
        <v>514</v>
      </c>
      <c r="B515" s="9" t="s">
        <v>640</v>
      </c>
      <c r="C515" s="46" t="s">
        <v>127</v>
      </c>
      <c r="D515" s="47" t="str">
        <f>VLOOKUP(B515,'Player Data'!A1:D667,4,FALSE)</f>
        <v>C</v>
      </c>
      <c r="E515" s="48">
        <f>VLOOKUP(B515,'C'!A1:C206,3,FALSE)</f>
        <v>141</v>
      </c>
      <c r="F515" s="65" t="str">
        <f>VLOOKUP(B515,'Player Data'!A1:B667,2,FALSE)</f>
        <v>DET</v>
      </c>
      <c r="G515" s="10">
        <f>VLOOKUP(B515,'Player Data'!A1:D667,3,FALSE)</f>
        <v>24</v>
      </c>
      <c r="H515" s="50">
        <f>IFERROR(VLOOKUP(B515,ADP!A1:G665,7,FALSE)/1000000,VLOOKUP(B515,ADP!A1:G665,7,FALSE))</f>
        <v>2.2749999999999999</v>
      </c>
      <c r="I515" s="51">
        <f>IF(Settings!$E$15="POINTS",((R515*Q515)*Settings!$B$12)+(S515*Settings!$B$2)+(T515*Settings!$B$3)+(U515*Settings!$B$4)+(V515*Settings!$B$5)+(X515*Settings!$B$9)+(AA515*Settings!$B$6)+(W515*Settings!$B$8)+(AB515*Settings!$B$7)+(AC515*Settings!$B$14)+(AD515*Settings!$B$15)+(AE515*Settings!$B$16)+(AF515*Settings!$B$17)+(AG515*Settings!$B$18)+(Y515*Settings!$B$10)+(Z515*Settings!$B$11),VLOOKUP(B515,'Standard Deviations'!A1:C666,3,FALSE))</f>
        <v>163.45466230693174</v>
      </c>
      <c r="J515" s="52">
        <f>IF(D515="G",I515/AJ515,I515/Q515)</f>
        <v>2.0447807638083719</v>
      </c>
      <c r="K515" s="51">
        <f>IF(Settings!$E$18="C/LW/RW",VLOOKUP(B515,'C'!A1:F206,6,FALSE),VLOOKUP(B515,F!A1:F392,6,FALSE))</f>
        <v>-226.48249547114935</v>
      </c>
      <c r="L515" s="53">
        <f>IFERROR(K515/H515,"N/A")</f>
        <v>-99.552745262043672</v>
      </c>
      <c r="M515" s="83" t="str">
        <f>IF(Settings!$E$9="YAHOO",VLOOKUP(B515,ADP!A1:E665,2,FALSE),IF(Settings!$E$9="ESPN",VLOOKUP(B515,ADP!A1:E665,3,FALSE),IF(Settings!$E$9="FANTRAX",VLOOKUP(B515,ADP!A1:E665,4,FALSE),VLOOKUP(B515,ADP!A1:E665,5,FALSE))))</f>
        <v>—</v>
      </c>
      <c r="N515" s="83" t="str">
        <f>IFERROR(M515-A515,"N/A")</f>
        <v>N/A</v>
      </c>
      <c r="O515" s="54"/>
      <c r="P515" s="55" t="str">
        <f>IF(Settings!$E$27="ON",VLOOKUP(B515,ADP!A1:H665,8,FALSE)," ")</f>
        <v xml:space="preserve"> </v>
      </c>
      <c r="Q515" s="56">
        <f>IF(Settings!$E$12="YES",VLOOKUP(B515,'Player Data'!A1:E667,5,FALSE),82)</f>
        <v>79.9375</v>
      </c>
      <c r="R515" s="54">
        <f>VLOOKUP(B515,'Player Data'!$A1:$AE667,6,FALSE)</f>
        <v>13.910039642747799</v>
      </c>
      <c r="S515" s="56">
        <f>VLOOKUP(B515,'Player Data'!$A1:$AE667,7,FALSE)*$Q515*IFERROR((VLOOKUP(P515,Settings!$E$28:$F$33,2,FALSE)+1),1)</f>
        <v>12.871108736459851</v>
      </c>
      <c r="T515" s="56">
        <f>VLOOKUP(B515,'Player Data'!$A1:$AE667,8,FALSE)*$Q515*IFERROR((VLOOKUP(P515,Settings!$E$28:$F$33,2,FALSE)+1),1)</f>
        <v>16.373523470246028</v>
      </c>
      <c r="U515" s="56">
        <f>SUM(S515:T515)</f>
        <v>29.24463220670588</v>
      </c>
      <c r="V515" s="56">
        <f>VLOOKUP(B515,'Player Data'!$A1:$AE667,10,FALSE)*$Q515*IFERROR(((VLOOKUP(P515,Settings!$E$28:$F$33,2,FALSE)/2)+1),1)</f>
        <v>96.730437016154227</v>
      </c>
      <c r="W515" s="56">
        <f>VLOOKUP(B515,'Player Data'!$A1:$AE667,11,FALSE)*$Q515*IFERROR((VLOOKUP(P515,Settings!$E$28:$F$33,2,FALSE)+1),1)</f>
        <v>3.9331416818740101</v>
      </c>
      <c r="X515" s="56">
        <f>VLOOKUP(B515,'Player Data'!$A1:$AE667,12,FALSE)*$Q515*IFERROR((VLOOKUP(P515,Settings!$E$28:$F$33,2,FALSE)+1),1)</f>
        <v>8.6514210477301212</v>
      </c>
      <c r="Y515" s="56">
        <f>VLOOKUP(B515,'Player Data'!$A1:$AE667,13,FALSE)*$Q515</f>
        <v>0.12972697273900013</v>
      </c>
      <c r="Z515" s="56">
        <f>VLOOKUP(B515,'Player Data'!$A1:$AE667,14,FALSE)*$Q515</f>
        <v>0.21957407257080844</v>
      </c>
      <c r="AA515" s="56">
        <f>VLOOKUP(B515,'Player Data'!$A1:$AE667,15,FALSE)*$Q515</f>
        <v>36.969104116872124</v>
      </c>
      <c r="AB515" s="56">
        <f>VLOOKUP(B515,'Player Data'!$A1:$AE667,16,FALSE)*$Q515</f>
        <v>113.39675808728417</v>
      </c>
      <c r="AC515" s="56">
        <f>VLOOKUP(B515,'Player Data'!$A1:$AE667,17,FALSE)*$Q515*IFERROR((VLOOKUP(P515,Settings!$E$28:$F$33,2,FALSE)+1),1)</f>
        <v>-4.4011447868897031</v>
      </c>
      <c r="AD515" s="56">
        <f>VLOOKUP(B515,'Player Data'!$A1:$AE667,18,FALSE)*$Q515</f>
        <v>28.666703310151672</v>
      </c>
      <c r="AE515" s="56">
        <f>VLOOKUP(B515,'Player Data'!$A1:$AE667,19,FALSE)*$Q515*IFERROR((VLOOKUP(P515,Settings!$E$28:$F$33,2,FALSE)+1),1)</f>
        <v>1.7677523769895265</v>
      </c>
      <c r="AF515" s="56">
        <f>VLOOKUP(B515,'Player Data'!$A1:$AE667,20,FALSE)*$Q515</f>
        <v>292.00596101959547</v>
      </c>
      <c r="AG515" s="56">
        <f>VLOOKUP(B515,'Player Data'!$A1:$AE667,21,FALSE)*$Q515</f>
        <v>334.81671267158617</v>
      </c>
      <c r="AH515" s="58">
        <f>VLOOKUP(B515,'Player Data'!$A1:$AE667,22,FALSE)</f>
        <v>0.46585098669142799</v>
      </c>
      <c r="AI515" s="54"/>
      <c r="AJ515" s="64"/>
      <c r="AK515" s="56"/>
      <c r="AL515" s="56"/>
      <c r="AM515" s="56"/>
      <c r="AN515" s="56"/>
      <c r="AO515" s="56"/>
      <c r="AP515" s="56"/>
      <c r="AQ515" s="59"/>
      <c r="AR515" s="60"/>
      <c r="AS515" s="54"/>
    </row>
    <row r="516" spans="1:45" ht="21.25" customHeight="1" x14ac:dyDescent="0.15">
      <c r="A516" s="45">
        <f>RANK(K516,K$1:K$665)</f>
        <v>515</v>
      </c>
      <c r="B516" s="9" t="s">
        <v>641</v>
      </c>
      <c r="C516" s="46" t="s">
        <v>127</v>
      </c>
      <c r="D516" s="47" t="str">
        <f>VLOOKUP(B516,'Player Data'!A1:D667,4,FALSE)</f>
        <v>D</v>
      </c>
      <c r="E516" s="66">
        <f>VLOOKUP(B516,D!A1:C213,3,FALSE)</f>
        <v>199</v>
      </c>
      <c r="F516" s="55" t="str">
        <f>VLOOKUP(B516,'Player Data'!A1:B667,2,FALSE)</f>
        <v>VGK</v>
      </c>
      <c r="G516" s="69">
        <f>VLOOKUP(B516,'Player Data'!A1:D667,3,FALSE)</f>
        <v>23</v>
      </c>
      <c r="H516" s="50">
        <f>IFERROR(VLOOKUP(B516,ADP!A1:G665,7,FALSE)/1000000,VLOOKUP(B516,ADP!A1:G665,7,FALSE))</f>
        <v>0.82499999999999996</v>
      </c>
      <c r="I516" s="51">
        <f>IF(Settings!$E$15="POINTS",((R516*Q516)*Settings!$B$12)+(S516*Settings!$B$2)+(T516*Settings!$B$3)+(U516*Settings!$B$4)+(V516*Settings!$B$5)+(X516*Settings!$B$9)+(AA516*Settings!$B$6)+(W516*Settings!$B$8)+(AB516*Settings!$B$7)+(AC516*Settings!$B$14)+(AD516*Settings!$B$15)+(AE516*Settings!$B$16)+(AF516*Settings!$B$17)+(AG516*Settings!$B$18)+(U516*Settings!$B$13)+(Y516*Settings!$B$10)+(Z516*Settings!$B$11),VLOOKUP(B516,'Standard Deviations'!A1:C666,3,FALSE))</f>
        <v>109.04570096810984</v>
      </c>
      <c r="J516" s="52">
        <f>IF(D516="G",I516/AJ516,I516/Q516)</f>
        <v>1.8548341719358707</v>
      </c>
      <c r="K516" s="51">
        <f>VLOOKUP(B516,D!A1:F213,6,FALSE)</f>
        <v>-227.18842407748508</v>
      </c>
      <c r="L516" s="53">
        <f>IFERROR(K516/H516,"N/A")</f>
        <v>-275.37990797270919</v>
      </c>
      <c r="M516" s="83" t="str">
        <f>IF(Settings!$E$9="YAHOO",VLOOKUP(B516,ADP!A1:E665,2,FALSE),IF(Settings!$E$9="ESPN",VLOOKUP(B516,ADP!A1:E665,3,FALSE),IF(Settings!$E$9="FANTRAX",VLOOKUP(B516,ADP!A1:E665,4,FALSE),VLOOKUP(B516,ADP!A1:E665,5,FALSE))))</f>
        <v>—</v>
      </c>
      <c r="N516" s="83" t="str">
        <f>IFERROR(M516-A516,"N/A")</f>
        <v>N/A</v>
      </c>
      <c r="O516" s="54"/>
      <c r="P516" s="55" t="str">
        <f>IF(Settings!$E$27="ON",VLOOKUP(B516,ADP!A1:H665,8,FALSE)," ")</f>
        <v xml:space="preserve"> </v>
      </c>
      <c r="Q516" s="56">
        <f>IF(Settings!$E$12="YES",VLOOKUP(B516,'Player Data'!A1:E667,5,FALSE),82)</f>
        <v>58.79</v>
      </c>
      <c r="R516" s="81">
        <f>VLOOKUP(B516,'Player Data'!$A1:$AE667,6,FALSE)</f>
        <v>15.152866451049301</v>
      </c>
      <c r="S516" s="56">
        <f>VLOOKUP(B516,'Player Data'!$A1:$AE667,7,FALSE)*$Q516*IFERROR((VLOOKUP(P516,Settings!$E$28:$F$33,2,FALSE)+1),1)</f>
        <v>2.2572118853697631</v>
      </c>
      <c r="T516" s="56">
        <f>VLOOKUP(B516,'Player Data'!$A1:$AE667,8,FALSE)*$Q516*IFERROR((VLOOKUP(P516,Settings!$E$28:$F$33,2,FALSE)+1),1)</f>
        <v>12.29953972801478</v>
      </c>
      <c r="U516" s="56">
        <f>SUM(S516:T516)</f>
        <v>14.556751613384543</v>
      </c>
      <c r="V516" s="56">
        <f>VLOOKUP(B516,'Player Data'!$A1:$AE667,10,FALSE)*$Q516*IFERROR(((VLOOKUP(P516,Settings!$E$28:$F$33,2,FALSE)/2)+1),1)</f>
        <v>63.778213128173945</v>
      </c>
      <c r="W516" s="56">
        <f>VLOOKUP(B516,'Player Data'!$A1:$AE667,11,FALSE)*$Q516*IFERROR((VLOOKUP(P516,Settings!$E$28:$F$33,2,FALSE)+1),1)</f>
        <v>3.8438340350249893E-2</v>
      </c>
      <c r="X516" s="56">
        <f>VLOOKUP(B516,'Player Data'!$A1:$AE667,12,FALSE)*$Q516*IFERROR((VLOOKUP(P516,Settings!$E$28:$F$33,2,FALSE)+1),1)</f>
        <v>0.35323080596063333</v>
      </c>
      <c r="Y516" s="56">
        <f>VLOOKUP(B516,'Player Data'!$A1:$AE667,13,FALSE)*$Q516</f>
        <v>1.2112259927278992E-2</v>
      </c>
      <c r="Z516" s="56">
        <f>VLOOKUP(B516,'Player Data'!$A1:$AE667,14,FALSE)*$Q516</f>
        <v>5.8457358850454576E-2</v>
      </c>
      <c r="AA516" s="56">
        <f>VLOOKUP(B516,'Player Data'!$A1:$AE667,15,FALSE)*$Q516</f>
        <v>66.149302798116281</v>
      </c>
      <c r="AB516" s="56">
        <f>VLOOKUP(B516,'Player Data'!$A1:$AE667,16,FALSE)*$Q516</f>
        <v>84.862438696123149</v>
      </c>
      <c r="AC516" s="56">
        <f>VLOOKUP(B516,'Player Data'!$A1:$AE667,17,FALSE)*$Q516*IFERROR((VLOOKUP(P516,Settings!$E$28:$F$33,2,FALSE)+1),1)</f>
        <v>2.1657584259222289</v>
      </c>
      <c r="AD516" s="56">
        <f>VLOOKUP(B516,'Player Data'!$A1:$AE667,18,FALSE)*$Q516</f>
        <v>18.127828606342749</v>
      </c>
      <c r="AE516" s="56">
        <f>VLOOKUP(B516,'Player Data'!$A1:$AE667,19,FALSE)*$Q516*IFERROR((VLOOKUP(P516,Settings!$E$28:$F$33,2,FALSE)+1),1)</f>
        <v>0.34332483722058116</v>
      </c>
      <c r="AF516" s="56">
        <f>VLOOKUP(B516,'Player Data'!$A1:$AE667,20,FALSE)*$Q516</f>
        <v>0</v>
      </c>
      <c r="AG516" s="56">
        <f>VLOOKUP(B516,'Player Data'!$A1:$AE667,21,FALSE)*$Q516</f>
        <v>0</v>
      </c>
      <c r="AH516" s="58">
        <f>VLOOKUP(B516,'Player Data'!$A1:$AE667,22,FALSE)</f>
        <v>0</v>
      </c>
      <c r="AI516" s="54"/>
      <c r="AJ516" s="56"/>
      <c r="AK516" s="56"/>
      <c r="AL516" s="56"/>
      <c r="AM516" s="56"/>
      <c r="AN516" s="56"/>
      <c r="AO516" s="56"/>
      <c r="AP516" s="56"/>
      <c r="AQ516" s="59"/>
      <c r="AR516" s="60"/>
      <c r="AS516" s="54"/>
    </row>
    <row r="517" spans="1:45" ht="21.25" customHeight="1" x14ac:dyDescent="0.15">
      <c r="A517" s="45">
        <f>RANK(K517,K$1:K$665)</f>
        <v>516</v>
      </c>
      <c r="B517" s="9" t="s">
        <v>642</v>
      </c>
      <c r="C517" s="46" t="s">
        <v>127</v>
      </c>
      <c r="D517" s="47" t="str">
        <f>VLOOKUP(B517,'Player Data'!A1:D667,4,FALSE)</f>
        <v>C</v>
      </c>
      <c r="E517" s="48">
        <f>VLOOKUP(B517,'C'!A1:C206,3,FALSE)</f>
        <v>142</v>
      </c>
      <c r="F517" s="72" t="str">
        <f>VLOOKUP(B517,'Player Data'!A1:B667,2,FALSE)</f>
        <v>CAR</v>
      </c>
      <c r="G517" s="63">
        <f>VLOOKUP(B517,'Player Data'!A1:D667,3,FALSE)</f>
        <v>35</v>
      </c>
      <c r="H517" s="50">
        <f>IFERROR(VLOOKUP(B517,ADP!A1:G665,7,FALSE)/1000000,VLOOKUP(B517,ADP!A1:G665,7,FALSE))</f>
        <v>2.9</v>
      </c>
      <c r="I517" s="51">
        <f>IF(Settings!$E$15="POINTS",((R517*Q517)*Settings!$B$12)+(S517*Settings!$B$2)+(T517*Settings!$B$3)+(U517*Settings!$B$4)+(V517*Settings!$B$5)+(X517*Settings!$B$9)+(AA517*Settings!$B$6)+(W517*Settings!$B$8)+(AB517*Settings!$B$7)+(AC517*Settings!$B$14)+(AD517*Settings!$B$15)+(AE517*Settings!$B$16)+(AF517*Settings!$B$17)+(AG517*Settings!$B$18)+(Y517*Settings!$B$10)+(Z517*Settings!$B$11),VLOOKUP(B517,'Standard Deviations'!A1:C666,3,FALSE))</f>
        <v>162.70857249584458</v>
      </c>
      <c r="J517" s="52">
        <f>IF(D517="G",I517/AJ517,I517/Q517)</f>
        <v>2.005343675807667</v>
      </c>
      <c r="K517" s="51">
        <f>IF(Settings!$E$18="C/LW/RW",VLOOKUP(B517,'C'!A1:F206,6,FALSE),VLOOKUP(B517,F!A1:F392,6,FALSE))</f>
        <v>-227.22858528223651</v>
      </c>
      <c r="L517" s="53">
        <f>IFERROR(K517/H517,"N/A")</f>
        <v>-78.354684580081553</v>
      </c>
      <c r="M517" s="83" t="str">
        <f>IF(Settings!$E$9="YAHOO",VLOOKUP(B517,ADP!A1:E665,2,FALSE),IF(Settings!$E$9="ESPN",VLOOKUP(B517,ADP!A1:E665,3,FALSE),IF(Settings!$E$9="FANTRAX",VLOOKUP(B517,ADP!A1:E665,4,FALSE),VLOOKUP(B517,ADP!A1:E665,5,FALSE))))</f>
        <v>—</v>
      </c>
      <c r="N517" s="83" t="str">
        <f>IFERROR(M517-A517,"N/A")</f>
        <v>N/A</v>
      </c>
      <c r="O517" s="54"/>
      <c r="P517" s="55" t="str">
        <f>IF(Settings!$E$27="ON",VLOOKUP(B517,ADP!A1:H665,8,FALSE)," ")</f>
        <v xml:space="preserve"> </v>
      </c>
      <c r="Q517" s="56">
        <f>IF(Settings!$E$12="YES",VLOOKUP(B517,'Player Data'!A1:E667,5,FALSE),82)</f>
        <v>81.137500000000003</v>
      </c>
      <c r="R517" s="54">
        <f>VLOOKUP(B517,'Player Data'!$A1:$AE667,6,FALSE)</f>
        <v>15.167390971493401</v>
      </c>
      <c r="S517" s="56">
        <f>VLOOKUP(B517,'Player Data'!$A1:$AE667,7,FALSE)*$Q517*IFERROR((VLOOKUP(P517,Settings!$E$28:$F$33,2,FALSE)+1),1)</f>
        <v>10.668706518367619</v>
      </c>
      <c r="T517" s="56">
        <f>VLOOKUP(B517,'Player Data'!$A1:$AE667,8,FALSE)*$Q517*IFERROR((VLOOKUP(P517,Settings!$E$28:$F$33,2,FALSE)+1),1)</f>
        <v>15.937156559769971</v>
      </c>
      <c r="U517" s="56">
        <f>SUM(S517:T517)</f>
        <v>26.605863078137588</v>
      </c>
      <c r="V517" s="56">
        <f>VLOOKUP(B517,'Player Data'!$A1:$AE667,10,FALSE)*$Q517*IFERROR(((VLOOKUP(P517,Settings!$E$28:$F$33,2,FALSE)/2)+1),1)</f>
        <v>123.3735871785279</v>
      </c>
      <c r="W517" s="56">
        <f>VLOOKUP(B517,'Player Data'!$A1:$AE667,11,FALSE)*$Q517*IFERROR((VLOOKUP(P517,Settings!$E$28:$F$33,2,FALSE)+1),1)</f>
        <v>4.9313985738947609E-2</v>
      </c>
      <c r="X517" s="56">
        <f>VLOOKUP(B517,'Player Data'!$A1:$AE667,12,FALSE)*$Q517*IFERROR((VLOOKUP(P517,Settings!$E$28:$F$33,2,FALSE)+1),1)</f>
        <v>0.11439268226143311</v>
      </c>
      <c r="Y517" s="56">
        <f>VLOOKUP(B517,'Player Data'!$A1:$AE667,13,FALSE)*$Q517</f>
        <v>0.43551875596812045</v>
      </c>
      <c r="Z517" s="56">
        <f>VLOOKUP(B517,'Player Data'!$A1:$AE667,14,FALSE)*$Q517</f>
        <v>1.2461949327597261</v>
      </c>
      <c r="AA517" s="56">
        <f>VLOOKUP(B517,'Player Data'!$A1:$AE667,15,FALSE)*$Q517</f>
        <v>39.687204114293422</v>
      </c>
      <c r="AB517" s="56">
        <f>VLOOKUP(B517,'Player Data'!$A1:$AE667,16,FALSE)*$Q517</f>
        <v>142.01797187955918</v>
      </c>
      <c r="AC517" s="56">
        <f>VLOOKUP(B517,'Player Data'!$A1:$AE667,17,FALSE)*$Q517*IFERROR((VLOOKUP(P517,Settings!$E$28:$F$33,2,FALSE)+1),1)</f>
        <v>5.6740745123135703</v>
      </c>
      <c r="AD517" s="56">
        <f>VLOOKUP(B517,'Player Data'!$A1:$AE667,18,FALSE)*$Q517</f>
        <v>32.566481857980619</v>
      </c>
      <c r="AE517" s="56">
        <f>VLOOKUP(B517,'Player Data'!$A1:$AE667,19,FALSE)*$Q517*IFERROR((VLOOKUP(P517,Settings!$E$28:$F$33,2,FALSE)+1),1)</f>
        <v>1.8487330626505252</v>
      </c>
      <c r="AF517" s="56">
        <f>VLOOKUP(B517,'Player Data'!$A1:$AE667,20,FALSE)*$Q517</f>
        <v>771.28263419524751</v>
      </c>
      <c r="AG517" s="56">
        <f>VLOOKUP(B517,'Player Data'!$A1:$AE667,21,FALSE)*$Q517</f>
        <v>580.66800851423318</v>
      </c>
      <c r="AH517" s="58">
        <f>VLOOKUP(B517,'Player Data'!$A1:$AE667,22,FALSE)</f>
        <v>0.57049614818001004</v>
      </c>
      <c r="AI517" s="54"/>
      <c r="AJ517" s="64"/>
      <c r="AK517" s="56"/>
      <c r="AL517" s="56"/>
      <c r="AM517" s="56"/>
      <c r="AN517" s="56"/>
      <c r="AO517" s="56"/>
      <c r="AP517" s="56"/>
      <c r="AQ517" s="59"/>
      <c r="AR517" s="60"/>
      <c r="AS517" s="64"/>
    </row>
    <row r="518" spans="1:45" ht="21.25" customHeight="1" x14ac:dyDescent="0.15">
      <c r="A518" s="45">
        <f>RANK(K518,K$1:K$665)</f>
        <v>517</v>
      </c>
      <c r="B518" s="9" t="s">
        <v>643</v>
      </c>
      <c r="C518" s="46" t="s">
        <v>127</v>
      </c>
      <c r="D518" s="47" t="str">
        <f>VLOOKUP(B518,'Player Data'!A1:D667,4,FALSE)</f>
        <v>LW</v>
      </c>
      <c r="E518" s="70">
        <f>VLOOKUP(B518,LW!A1:C152,3,FALSE)</f>
        <v>114</v>
      </c>
      <c r="F518" s="72" t="str">
        <f>VLOOKUP(B518,'Player Data'!A1:B667,2,FALSE)</f>
        <v>NYI</v>
      </c>
      <c r="G518" s="10">
        <f>VLOOKUP(B518,'Player Data'!A1:D667,3,FALSE)</f>
        <v>28</v>
      </c>
      <c r="H518" s="50">
        <f>IFERROR(VLOOKUP(B518,ADP!A1:G665,7,FALSE)/1000000,VLOOKUP(B518,ADP!A1:G665,7,FALSE))</f>
        <v>3</v>
      </c>
      <c r="I518" s="51">
        <f>IF(Settings!$E$15="POINTS",((R518*Q518)*Settings!$B$12)+(S518*Settings!$B$2)+(T518*Settings!$B$3)+(U518*Settings!$B$4)+(V518*Settings!$B$5)+(X518*Settings!$B$9)+(AA518*Settings!$B$6)+(W518*Settings!$B$8)+(AB518*Settings!$B$7)+(AC518*Settings!$B$14)+(AD518*Settings!$B$15)+(AE518*Settings!$B$16)+(AF518*Settings!$B$17)+(AG518*Settings!$B$18)+(Y518*Settings!$B$10)+(Z518*Settings!$B$11),VLOOKUP(B518,'Standard Deviations'!A1:C666,3,FALSE))</f>
        <v>153.74992262461927</v>
      </c>
      <c r="J518" s="52">
        <f>IF(D518="G",I518/AJ518,I518/Q518)</f>
        <v>1.9367628975829094</v>
      </c>
      <c r="K518" s="51">
        <f>IF(Settings!$E$18="C/LW/RW",VLOOKUP(B518,LW!A1:F152,6,FALSE),VLOOKUP(B518,F!A1:F392,6,FALSE))</f>
        <v>-227.31158967788048</v>
      </c>
      <c r="L518" s="53">
        <f>IFERROR(K518/H518,"N/A")</f>
        <v>-75.770529892626826</v>
      </c>
      <c r="M518" s="83" t="str">
        <f>IF(Settings!$E$9="YAHOO",VLOOKUP(B518,ADP!A1:E665,2,FALSE),IF(Settings!$E$9="ESPN",VLOOKUP(B518,ADP!A1:E665,3,FALSE),IF(Settings!$E$9="FANTRAX",VLOOKUP(B518,ADP!A1:E665,4,FALSE),VLOOKUP(B518,ADP!A1:E665,5,FALSE))))</f>
        <v>—</v>
      </c>
      <c r="N518" s="83" t="str">
        <f>IFERROR(M518-A518,"N/A")</f>
        <v>N/A</v>
      </c>
      <c r="O518" s="54"/>
      <c r="P518" s="55" t="str">
        <f>IF(Settings!$E$27="ON",VLOOKUP(B518,ADP!A1:H665,8,FALSE)," ")</f>
        <v xml:space="preserve"> </v>
      </c>
      <c r="Q518" s="56">
        <f>IF(Settings!$E$12="YES",VLOOKUP(B518,'Player Data'!A1:E667,5,FALSE),82)</f>
        <v>79.385000000000005</v>
      </c>
      <c r="R518" s="81">
        <f>VLOOKUP(B518,'Player Data'!$A1:$AE667,6,FALSE)</f>
        <v>13.517954426513301</v>
      </c>
      <c r="S518" s="56">
        <f>VLOOKUP(B518,'Player Data'!$A1:$AE667,7,FALSE)*$Q518*IFERROR((VLOOKUP(P518,Settings!$E$28:$F$33,2,FALSE)+1),1)</f>
        <v>10.926779049077805</v>
      </c>
      <c r="T518" s="56">
        <f>VLOOKUP(B518,'Player Data'!$A1:$AE667,8,FALSE)*$Q518*IFERROR((VLOOKUP(P518,Settings!$E$28:$F$33,2,FALSE)+1),1)</f>
        <v>14.396414361065313</v>
      </c>
      <c r="U518" s="56">
        <f>SUM(S518:T518)</f>
        <v>25.323193410143119</v>
      </c>
      <c r="V518" s="56">
        <f>VLOOKUP(B518,'Player Data'!$A1:$AE667,10,FALSE)*$Q518*IFERROR(((VLOOKUP(P518,Settings!$E$28:$F$33,2,FALSE)/2)+1),1)</f>
        <v>129.7911651320602</v>
      </c>
      <c r="W518" s="56">
        <f>VLOOKUP(B518,'Player Data'!$A1:$AE667,11,FALSE)*$Q518*IFERROR((VLOOKUP(P518,Settings!$E$28:$F$33,2,FALSE)+1),1)</f>
        <v>1.2005601006071265</v>
      </c>
      <c r="X518" s="56">
        <f>VLOOKUP(B518,'Player Data'!$A1:$AE667,12,FALSE)*$Q518*IFERROR((VLOOKUP(P518,Settings!$E$28:$F$33,2,FALSE)+1),1)</f>
        <v>3.6920066708960237</v>
      </c>
      <c r="Y518" s="56">
        <f>VLOOKUP(B518,'Player Data'!$A1:$AE667,13,FALSE)*$Q518</f>
        <v>2.2866226616070559E-3</v>
      </c>
      <c r="Z518" s="56">
        <f>VLOOKUP(B518,'Player Data'!$A1:$AE667,14,FALSE)*$Q518</f>
        <v>3.5869149847307939E-3</v>
      </c>
      <c r="AA518" s="56">
        <f>VLOOKUP(B518,'Player Data'!$A1:$AE667,15,FALSE)*$Q518</f>
        <v>18.378332484558072</v>
      </c>
      <c r="AB518" s="56">
        <f>VLOOKUP(B518,'Player Data'!$A1:$AE667,16,FALSE)*$Q518</f>
        <v>41.907366296957868</v>
      </c>
      <c r="AC518" s="56">
        <f>VLOOKUP(B518,'Player Data'!$A1:$AE667,17,FALSE)*$Q518*IFERROR((VLOOKUP(P518,Settings!$E$28:$F$33,2,FALSE)+1),1)</f>
        <v>3.4219369663645702</v>
      </c>
      <c r="AD518" s="56">
        <f>VLOOKUP(B518,'Player Data'!$A1:$AE667,18,FALSE)*$Q518</f>
        <v>25.852563443528148</v>
      </c>
      <c r="AE518" s="56">
        <f>VLOOKUP(B518,'Player Data'!$A1:$AE667,19,FALSE)*$Q518*IFERROR((VLOOKUP(P518,Settings!$E$28:$F$33,2,FALSE)+1),1)</f>
        <v>1.7172409938968201</v>
      </c>
      <c r="AF518" s="56">
        <f>VLOOKUP(B518,'Player Data'!$A1:$AE667,20,FALSE)*$Q518</f>
        <v>26.321279516181722</v>
      </c>
      <c r="AG518" s="56">
        <f>VLOOKUP(B518,'Player Data'!$A1:$AE667,21,FALSE)*$Q518</f>
        <v>29.637897147825978</v>
      </c>
      <c r="AH518" s="58">
        <f>VLOOKUP(B518,'Player Data'!$A1:$AE667,22,FALSE)</f>
        <v>0.47036573955011901</v>
      </c>
      <c r="AI518" s="54"/>
      <c r="AJ518" s="56"/>
      <c r="AK518" s="56"/>
      <c r="AL518" s="56"/>
      <c r="AM518" s="56"/>
      <c r="AN518" s="56"/>
      <c r="AO518" s="56"/>
      <c r="AP518" s="56"/>
      <c r="AQ518" s="59"/>
      <c r="AR518" s="60"/>
      <c r="AS518" s="54"/>
    </row>
    <row r="519" spans="1:45" ht="21.25" customHeight="1" x14ac:dyDescent="0.15">
      <c r="A519" s="45">
        <f>RANK(K519,K$1:K$665)</f>
        <v>518</v>
      </c>
      <c r="B519" s="9" t="s">
        <v>644</v>
      </c>
      <c r="C519" s="46" t="s">
        <v>127</v>
      </c>
      <c r="D519" s="47" t="str">
        <f>VLOOKUP(B519,'Player Data'!A1:D667,4,FALSE)</f>
        <v>D</v>
      </c>
      <c r="E519" s="66">
        <f>VLOOKUP(B519,D!A1:C213,3,FALSE)</f>
        <v>200</v>
      </c>
      <c r="F519" s="72" t="str">
        <f>VLOOKUP(B519,'Player Data'!A1:B667,2,FALSE)</f>
        <v>MIN</v>
      </c>
      <c r="G519" s="69">
        <f>VLOOKUP(B519,'Player Data'!A1:D667,3,FALSE)</f>
        <v>24</v>
      </c>
      <c r="H519" s="67">
        <f>IFERROR(VLOOKUP(B519,ADP!A1:G665,7,FALSE)/1000000,VLOOKUP(B519,ADP!A1:G665,7,FALSE))</f>
        <v>1</v>
      </c>
      <c r="I519" s="51">
        <f>IF(Settings!$E$15="POINTS",((R519*Q519)*Settings!$B$12)+(S519*Settings!$B$2)+(T519*Settings!$B$3)+(U519*Settings!$B$4)+(V519*Settings!$B$5)+(X519*Settings!$B$9)+(AA519*Settings!$B$6)+(W519*Settings!$B$8)+(AB519*Settings!$B$7)+(AC519*Settings!$B$14)+(AD519*Settings!$B$15)+(AE519*Settings!$B$16)+(AF519*Settings!$B$17)+(AG519*Settings!$B$18)+(U519*Settings!$B$13)+(Y519*Settings!$B$10)+(Z519*Settings!$B$11),VLOOKUP(B519,'Standard Deviations'!A1:C666,3,FALSE))</f>
        <v>107.80066233393589</v>
      </c>
      <c r="J519" s="52">
        <f>IF(D519="G",I519/AJ519,I519/Q519)</f>
        <v>1.7711437169791486</v>
      </c>
      <c r="K519" s="51">
        <f>VLOOKUP(B519,D!A1:F213,6,FALSE)</f>
        <v>-228.43346271165902</v>
      </c>
      <c r="L519" s="53">
        <f>IFERROR(K519/H519,"N/A")</f>
        <v>-228.43346271165902</v>
      </c>
      <c r="M519" s="83" t="str">
        <f>IF(Settings!$E$9="YAHOO",VLOOKUP(B519,ADP!A1:E665,2,FALSE),IF(Settings!$E$9="ESPN",VLOOKUP(B519,ADP!A1:E665,3,FALSE),IF(Settings!$E$9="FANTRAX",VLOOKUP(B519,ADP!A1:E665,4,FALSE),VLOOKUP(B519,ADP!A1:E665,5,FALSE))))</f>
        <v>—</v>
      </c>
      <c r="N519" s="83" t="str">
        <f>IFERROR(M519-A519,"N/A")</f>
        <v>N/A</v>
      </c>
      <c r="O519" s="54"/>
      <c r="P519" s="55" t="str">
        <f>IF(Settings!$E$27="ON",VLOOKUP(B519,ADP!A1:H665,8,FALSE)," ")</f>
        <v xml:space="preserve"> </v>
      </c>
      <c r="Q519" s="56">
        <f>IF(Settings!$E$12="YES",VLOOKUP(B519,'Player Data'!A1:E667,5,FALSE),82)</f>
        <v>60.865000000000002</v>
      </c>
      <c r="R519" s="81">
        <f>VLOOKUP(B519,'Player Data'!$A1:$AE667,6,FALSE)</f>
        <v>15.504456441265299</v>
      </c>
      <c r="S519" s="56">
        <f>VLOOKUP(B519,'Player Data'!$A1:$AE667,7,FALSE)*$Q519*IFERROR((VLOOKUP(P519,Settings!$E$28:$F$33,2,FALSE)+1),1)</f>
        <v>3.5772412933060851</v>
      </c>
      <c r="T519" s="56">
        <f>VLOOKUP(B519,'Player Data'!$A1:$AE667,8,FALSE)*$Q519*IFERROR((VLOOKUP(P519,Settings!$E$28:$F$33,2,FALSE)+1),1)</f>
        <v>10.130334694711655</v>
      </c>
      <c r="U519" s="56">
        <f>SUM(S519:T519)</f>
        <v>13.707575988017741</v>
      </c>
      <c r="V519" s="56">
        <f>VLOOKUP(B519,'Player Data'!$A1:$AE667,10,FALSE)*$Q519*IFERROR(((VLOOKUP(P519,Settings!$E$28:$F$33,2,FALSE)/2)+1),1)</f>
        <v>55.556491682002346</v>
      </c>
      <c r="W519" s="56">
        <f>VLOOKUP(B519,'Player Data'!$A1:$AE667,11,FALSE)*$Q519*IFERROR((VLOOKUP(P519,Settings!$E$28:$F$33,2,FALSE)+1),1)</f>
        <v>1.1032147708087765</v>
      </c>
      <c r="X519" s="56">
        <f>VLOOKUP(B519,'Player Data'!$A1:$AE667,12,FALSE)*$Q519*IFERROR((VLOOKUP(P519,Settings!$E$28:$F$33,2,FALSE)+1),1)</f>
        <v>3.4127031757286503</v>
      </c>
      <c r="Y519" s="56">
        <f>VLOOKUP(B519,'Player Data'!$A1:$AE667,13,FALSE)*$Q519</f>
        <v>2.1592471857770069E-2</v>
      </c>
      <c r="Z519" s="56">
        <f>VLOOKUP(B519,'Player Data'!$A1:$AE667,14,FALSE)*$Q519</f>
        <v>0.10676867463015773</v>
      </c>
      <c r="AA519" s="56">
        <f>VLOOKUP(B519,'Player Data'!$A1:$AE667,15,FALSE)*$Q519</f>
        <v>70.760433357045372</v>
      </c>
      <c r="AB519" s="56">
        <f>VLOOKUP(B519,'Player Data'!$A1:$AE667,16,FALSE)*$Q519</f>
        <v>55.240712886648893</v>
      </c>
      <c r="AC519" s="56">
        <f>VLOOKUP(B519,'Player Data'!$A1:$AE667,17,FALSE)*$Q519*IFERROR((VLOOKUP(P519,Settings!$E$28:$F$33,2,FALSE)+1),1)</f>
        <v>-0.17283319109371004</v>
      </c>
      <c r="AD519" s="56">
        <f>VLOOKUP(B519,'Player Data'!$A1:$AE667,18,FALSE)*$Q519</f>
        <v>19.750372206405345</v>
      </c>
      <c r="AE519" s="56">
        <f>VLOOKUP(B519,'Player Data'!$A1:$AE667,19,FALSE)*$Q519*IFERROR((VLOOKUP(P519,Settings!$E$28:$F$33,2,FALSE)+1),1)</f>
        <v>0.59052786993474959</v>
      </c>
      <c r="AF519" s="56">
        <f>VLOOKUP(B519,'Player Data'!$A1:$AE667,20,FALSE)*$Q519</f>
        <v>0</v>
      </c>
      <c r="AG519" s="56">
        <f>VLOOKUP(B519,'Player Data'!$A1:$AE667,21,FALSE)*$Q519</f>
        <v>0</v>
      </c>
      <c r="AH519" s="58">
        <f>VLOOKUP(B519,'Player Data'!$A1:$AE667,22,FALSE)</f>
        <v>0</v>
      </c>
      <c r="AI519" s="54"/>
      <c r="AJ519" s="64"/>
      <c r="AK519" s="56"/>
      <c r="AL519" s="56"/>
      <c r="AM519" s="56"/>
      <c r="AN519" s="56"/>
      <c r="AO519" s="56"/>
      <c r="AP519" s="56"/>
      <c r="AQ519" s="59"/>
      <c r="AR519" s="60"/>
      <c r="AS519" s="54"/>
    </row>
    <row r="520" spans="1:45" ht="21.25" customHeight="1" x14ac:dyDescent="0.15">
      <c r="A520" s="45">
        <f>RANK(K520,K$1:K$665)</f>
        <v>519</v>
      </c>
      <c r="B520" s="9" t="s">
        <v>645</v>
      </c>
      <c r="C520" s="46" t="s">
        <v>127</v>
      </c>
      <c r="D520" s="47" t="str">
        <f>VLOOKUP(B520,'Player Data'!A1:D667,4,FALSE)</f>
        <v>LW</v>
      </c>
      <c r="E520" s="70">
        <f>VLOOKUP(B520,LW!A1:C152,3,FALSE)</f>
        <v>115</v>
      </c>
      <c r="F520" s="65" t="str">
        <f>VLOOKUP(B520,'Player Data'!A1:B667,2,FALSE)</f>
        <v>DET</v>
      </c>
      <c r="G520" s="10">
        <f>VLOOKUP(B520,'Player Data'!A1:D667,3,FALSE)</f>
        <v>24</v>
      </c>
      <c r="H520" s="65" t="str">
        <f>IFERROR(VLOOKUP(B520,ADP!A1:G665,7,FALSE)/1000000,VLOOKUP(B520,ADP!A1:G665,7,FALSE))</f>
        <v>RFA</v>
      </c>
      <c r="I520" s="51">
        <f>IF(Settings!$E$15="POINTS",((R520*Q520)*Settings!$B$12)+(S520*Settings!$B$2)+(T520*Settings!$B$3)+(U520*Settings!$B$4)+(V520*Settings!$B$5)+(X520*Settings!$B$9)+(AA520*Settings!$B$6)+(W520*Settings!$B$8)+(AB520*Settings!$B$7)+(AC520*Settings!$B$14)+(AD520*Settings!$B$15)+(AE520*Settings!$B$16)+(AF520*Settings!$B$17)+(AG520*Settings!$B$18)+(Y520*Settings!$B$10)+(Z520*Settings!$B$11),VLOOKUP(B520,'Standard Deviations'!A1:C666,3,FALSE))</f>
        <v>152.61529531913425</v>
      </c>
      <c r="J520" s="52">
        <f>IF(D520="G",I520/AJ520,I520/Q520)</f>
        <v>2.4093664651558471</v>
      </c>
      <c r="K520" s="51">
        <f>IF(Settings!$E$18="C/LW/RW",VLOOKUP(B520,LW!A1:F152,6,FALSE),VLOOKUP(B520,F!A1:F392,6,FALSE))</f>
        <v>-228.4462169833655</v>
      </c>
      <c r="L520" s="76" t="str">
        <f>IFERROR(K520/H520,"N/A")</f>
        <v>N/A</v>
      </c>
      <c r="M520" s="83" t="str">
        <f>IF(Settings!$E$9="YAHOO",VLOOKUP(B520,ADP!A1:E665,2,FALSE),IF(Settings!$E$9="ESPN",VLOOKUP(B520,ADP!A1:E665,3,FALSE),IF(Settings!$E$9="FANTRAX",VLOOKUP(B520,ADP!A1:E665,4,FALSE),VLOOKUP(B520,ADP!A1:E665,5,FALSE))))</f>
        <v>—</v>
      </c>
      <c r="N520" s="83" t="str">
        <f>IFERROR(M520-A520,"N/A")</f>
        <v>N/A</v>
      </c>
      <c r="O520" s="54"/>
      <c r="P520" s="55" t="str">
        <f>IF(Settings!$E$27="ON",VLOOKUP(B520,ADP!A1:H665,8,FALSE)," ")</f>
        <v xml:space="preserve"> </v>
      </c>
      <c r="Q520" s="56">
        <f>IF(Settings!$E$12="YES",VLOOKUP(B520,'Player Data'!A1:E667,5,FALSE),82)</f>
        <v>63.342500000000001</v>
      </c>
      <c r="R520" s="75">
        <f>VLOOKUP(B520,'Player Data'!$A1:$AE667,6,FALSE)</f>
        <v>13.251773360177699</v>
      </c>
      <c r="S520" s="56">
        <f>VLOOKUP(B520,'Player Data'!$A1:$AE667,7,FALSE)*$Q520*IFERROR((VLOOKUP(P520,Settings!$E$28:$F$33,2,FALSE)+1),1)</f>
        <v>12.855447566656949</v>
      </c>
      <c r="T520" s="56">
        <f>VLOOKUP(B520,'Player Data'!$A1:$AE667,8,FALSE)*$Q520*IFERROR((VLOOKUP(P520,Settings!$E$28:$F$33,2,FALSE)+1),1)</f>
        <v>15.140030472627247</v>
      </c>
      <c r="U520" s="56">
        <f>SUM(S520:T520)</f>
        <v>27.995478039284194</v>
      </c>
      <c r="V520" s="56">
        <f>VLOOKUP(B520,'Player Data'!$A1:$AE667,10,FALSE)*$Q520*IFERROR(((VLOOKUP(P520,Settings!$E$28:$F$33,2,FALSE)/2)+1),1)</f>
        <v>93.753527880655156</v>
      </c>
      <c r="W520" s="56">
        <f>VLOOKUP(B520,'Player Data'!$A1:$AE667,11,FALSE)*$Q520*IFERROR((VLOOKUP(P520,Settings!$E$28:$F$33,2,FALSE)+1),1)</f>
        <v>3.2217946884360411</v>
      </c>
      <c r="X520" s="56">
        <f>VLOOKUP(B520,'Player Data'!$A1:$AE667,12,FALSE)*$Q520*IFERROR((VLOOKUP(P520,Settings!$E$28:$F$33,2,FALSE)+1),1)</f>
        <v>6.6409370494546884</v>
      </c>
      <c r="Y520" s="56">
        <f>VLOOKUP(B520,'Player Data'!$A1:$AE667,13,FALSE)*$Q520</f>
        <v>0</v>
      </c>
      <c r="Z520" s="56">
        <f>VLOOKUP(B520,'Player Data'!$A1:$AE667,14,FALSE)*$Q520</f>
        <v>0</v>
      </c>
      <c r="AA520" s="56">
        <f>VLOOKUP(B520,'Player Data'!$A1:$AE667,15,FALSE)*$Q520</f>
        <v>30.222320422998781</v>
      </c>
      <c r="AB520" s="56">
        <f>VLOOKUP(B520,'Player Data'!$A1:$AE667,16,FALSE)*$Q520</f>
        <v>37.519582512626236</v>
      </c>
      <c r="AC520" s="56">
        <f>VLOOKUP(B520,'Player Data'!$A1:$AE667,17,FALSE)*$Q520*IFERROR((VLOOKUP(P520,Settings!$E$28:$F$33,2,FALSE)+1),1)</f>
        <v>-2.4244891085079883</v>
      </c>
      <c r="AD520" s="56">
        <f>VLOOKUP(B520,'Player Data'!$A1:$AE667,18,FALSE)*$Q520</f>
        <v>16.625969930261881</v>
      </c>
      <c r="AE520" s="56">
        <f>VLOOKUP(B520,'Player Data'!$A1:$AE667,19,FALSE)*$Q520*IFERROR((VLOOKUP(P520,Settings!$E$28:$F$33,2,FALSE)+1),1)</f>
        <v>1.7656014301898113</v>
      </c>
      <c r="AF520" s="56">
        <f>VLOOKUP(B520,'Player Data'!$A1:$AE667,20,FALSE)*$Q520</f>
        <v>1.3973553113790207</v>
      </c>
      <c r="AG520" s="56">
        <f>VLOOKUP(B520,'Player Data'!$A1:$AE667,21,FALSE)*$Q520</f>
        <v>1.8842963781482098</v>
      </c>
      <c r="AH520" s="58">
        <f>VLOOKUP(B520,'Player Data'!$A1:$AE667,22,FALSE)</f>
        <v>0.42580853898615101</v>
      </c>
      <c r="AI520" s="54"/>
      <c r="AJ520" s="56"/>
      <c r="AK520" s="56"/>
      <c r="AL520" s="56"/>
      <c r="AM520" s="56"/>
      <c r="AN520" s="56"/>
      <c r="AO520" s="56"/>
      <c r="AP520" s="56"/>
      <c r="AQ520" s="59"/>
      <c r="AR520" s="60"/>
      <c r="AS520" s="54"/>
    </row>
    <row r="521" spans="1:45" ht="21.25" customHeight="1" x14ac:dyDescent="0.15">
      <c r="A521" s="45">
        <f>RANK(K521,K$1:K$665)</f>
        <v>520</v>
      </c>
      <c r="B521" s="9" t="s">
        <v>646</v>
      </c>
      <c r="C521" s="46" t="s">
        <v>127</v>
      </c>
      <c r="D521" s="47" t="str">
        <f>VLOOKUP(B521,'Player Data'!A1:D667,4,FALSE)</f>
        <v>LW</v>
      </c>
      <c r="E521" s="70">
        <f>VLOOKUP(B521,LW!A1:C152,3,FALSE)</f>
        <v>116</v>
      </c>
      <c r="F521" s="80" t="str">
        <f>VLOOKUP(B521,'Player Data'!A1:B667,2,FALSE)</f>
        <v>PHI</v>
      </c>
      <c r="G521" s="10">
        <f>VLOOKUP(B521,'Player Data'!A1:D667,3,FALSE)</f>
        <v>25</v>
      </c>
      <c r="H521" s="67">
        <f>IFERROR(VLOOKUP(B521,ADP!A1:G665,7,FALSE)/1000000,VLOOKUP(B521,ADP!A1:G665,7,FALSE))</f>
        <v>2.625</v>
      </c>
      <c r="I521" s="51">
        <f>IF(Settings!$E$15="POINTS",((R521*Q521)*Settings!$B$12)+(S521*Settings!$B$2)+(T521*Settings!$B$3)+(U521*Settings!$B$4)+(V521*Settings!$B$5)+(X521*Settings!$B$9)+(AA521*Settings!$B$6)+(W521*Settings!$B$8)+(AB521*Settings!$B$7)+(AC521*Settings!$B$14)+(AD521*Settings!$B$15)+(AE521*Settings!$B$16)+(AF521*Settings!$B$17)+(AG521*Settings!$B$18)+(Y521*Settings!$B$10)+(Z521*Settings!$B$11),VLOOKUP(B521,'Standard Deviations'!A1:C666,3,FALSE))</f>
        <v>152.57222613205596</v>
      </c>
      <c r="J521" s="52">
        <f>IF(D521="G",I521/AJ521,I521/Q521)</f>
        <v>2.0168839172749395</v>
      </c>
      <c r="K521" s="51">
        <f>IF(Settings!$E$18="C/LW/RW",VLOOKUP(B521,LW!A1:F152,6,FALSE),VLOOKUP(B521,F!A1:F392,6,FALSE))</f>
        <v>-228.48928617044379</v>
      </c>
      <c r="L521" s="53">
        <f>IFERROR(K521/H521,"N/A")</f>
        <v>-87.043537588740492</v>
      </c>
      <c r="M521" s="83" t="str">
        <f>IF(Settings!$E$9="YAHOO",VLOOKUP(B521,ADP!A1:E665,2,FALSE),IF(Settings!$E$9="ESPN",VLOOKUP(B521,ADP!A1:E665,3,FALSE),IF(Settings!$E$9="FANTRAX",VLOOKUP(B521,ADP!A1:E665,4,FALSE),VLOOKUP(B521,ADP!A1:E665,5,FALSE))))</f>
        <v>—</v>
      </c>
      <c r="N521" s="83" t="str">
        <f>IFERROR(M521-A521,"N/A")</f>
        <v>N/A</v>
      </c>
      <c r="O521" s="54"/>
      <c r="P521" s="55" t="str">
        <f>IF(Settings!$E$27="ON",VLOOKUP(B521,ADP!A1:H665,8,FALSE)," ")</f>
        <v xml:space="preserve"> </v>
      </c>
      <c r="Q521" s="56">
        <f>IF(Settings!$E$12="YES",VLOOKUP(B521,'Player Data'!A1:E667,5,FALSE),82)</f>
        <v>75.647499999999994</v>
      </c>
      <c r="R521" s="54">
        <f>VLOOKUP(B521,'Player Data'!$A1:$AE667,6,FALSE)</f>
        <v>14.0755368639855</v>
      </c>
      <c r="S521" s="56">
        <f>VLOOKUP(B521,'Player Data'!$A1:$AE667,7,FALSE)*$Q521*IFERROR((VLOOKUP(P521,Settings!$E$28:$F$33,2,FALSE)+1),1)</f>
        <v>9.3054535649840453</v>
      </c>
      <c r="T521" s="56">
        <f>VLOOKUP(B521,'Player Data'!$A1:$AE667,8,FALSE)*$Q521*IFERROR((VLOOKUP(P521,Settings!$E$28:$F$33,2,FALSE)+1),1)</f>
        <v>16.645538825476013</v>
      </c>
      <c r="U521" s="56">
        <f>SUM(S521:T521)</f>
        <v>25.950992390460058</v>
      </c>
      <c r="V521" s="56">
        <f>VLOOKUP(B521,'Player Data'!$A1:$AE667,10,FALSE)*$Q521*IFERROR(((VLOOKUP(P521,Settings!$E$28:$F$33,2,FALSE)/2)+1),1)</f>
        <v>97.202078914779378</v>
      </c>
      <c r="W521" s="56">
        <f>VLOOKUP(B521,'Player Data'!$A1:$AE667,11,FALSE)*$Q521*IFERROR((VLOOKUP(P521,Settings!$E$28:$F$33,2,FALSE)+1),1)</f>
        <v>0.31506448828516936</v>
      </c>
      <c r="X521" s="56">
        <f>VLOOKUP(B521,'Player Data'!$A1:$AE667,12,FALSE)*$Q521*IFERROR((VLOOKUP(P521,Settings!$E$28:$F$33,2,FALSE)+1),1)</f>
        <v>0.74663558994551005</v>
      </c>
      <c r="Y521" s="56">
        <f>VLOOKUP(B521,'Player Data'!$A1:$AE667,13,FALSE)*$Q521</f>
        <v>0.45755070152058697</v>
      </c>
      <c r="Z521" s="56">
        <f>VLOOKUP(B521,'Player Data'!$A1:$AE667,14,FALSE)*$Q521</f>
        <v>1.984644732240699</v>
      </c>
      <c r="AA521" s="56">
        <f>VLOOKUP(B521,'Player Data'!$A1:$AE667,15,FALSE)*$Q521</f>
        <v>46.773858362199761</v>
      </c>
      <c r="AB521" s="56">
        <f>VLOOKUP(B521,'Player Data'!$A1:$AE667,16,FALSE)*$Q521</f>
        <v>70.37634909138923</v>
      </c>
      <c r="AC521" s="56">
        <f>VLOOKUP(B521,'Player Data'!$A1:$AE667,17,FALSE)*$Q521*IFERROR((VLOOKUP(P521,Settings!$E$28:$F$33,2,FALSE)+1),1)</f>
        <v>-1.5305117135607675</v>
      </c>
      <c r="AD521" s="56">
        <f>VLOOKUP(B521,'Player Data'!$A1:$AE667,18,FALSE)*$Q521</f>
        <v>11.601745000944476</v>
      </c>
      <c r="AE521" s="56">
        <f>VLOOKUP(B521,'Player Data'!$A1:$AE667,19,FALSE)*$Q521*IFERROR((VLOOKUP(P521,Settings!$E$28:$F$33,2,FALSE)+1),1)</f>
        <v>1.3488210928162307</v>
      </c>
      <c r="AF521" s="56">
        <f>VLOOKUP(B521,'Player Data'!$A1:$AE667,20,FALSE)*$Q521</f>
        <v>197.02610165263647</v>
      </c>
      <c r="AG521" s="56">
        <f>VLOOKUP(B521,'Player Data'!$A1:$AE667,21,FALSE)*$Q521</f>
        <v>307.27480173515414</v>
      </c>
      <c r="AH521" s="58">
        <f>VLOOKUP(B521,'Player Data'!$A1:$AE667,22,FALSE)</f>
        <v>0.39069155008261103</v>
      </c>
      <c r="AI521" s="54"/>
      <c r="AJ521" s="64"/>
      <c r="AK521" s="56"/>
      <c r="AL521" s="56"/>
      <c r="AM521" s="56"/>
      <c r="AN521" s="56"/>
      <c r="AO521" s="56"/>
      <c r="AP521" s="56"/>
      <c r="AQ521" s="59"/>
      <c r="AR521" s="60"/>
      <c r="AS521" s="54"/>
    </row>
    <row r="522" spans="1:45" ht="21.25" customHeight="1" x14ac:dyDescent="0.15">
      <c r="A522" s="45">
        <f>RANK(K522,K$1:K$665)</f>
        <v>521</v>
      </c>
      <c r="B522" s="9" t="s">
        <v>647</v>
      </c>
      <c r="C522" s="46" t="s">
        <v>127</v>
      </c>
      <c r="D522" s="47" t="str">
        <f>VLOOKUP(B522,'Player Data'!A1:D667,4,FALSE)</f>
        <v>C</v>
      </c>
      <c r="E522" s="48">
        <f>VLOOKUP(B522,'C'!A1:C206,3,FALSE)</f>
        <v>143</v>
      </c>
      <c r="F522" s="71" t="str">
        <f>VLOOKUP(B522,'Player Data'!A1:B667,2,FALSE)</f>
        <v>VAN</v>
      </c>
      <c r="G522" s="10">
        <f>VLOOKUP(B522,'Player Data'!A1:D667,3,FALSE)</f>
        <v>28</v>
      </c>
      <c r="H522" s="67">
        <f>IFERROR(VLOOKUP(B522,ADP!A1:G665,7,FALSE)/1000000,VLOOKUP(B522,ADP!A1:G665,7,FALSE))</f>
        <v>1.6</v>
      </c>
      <c r="I522" s="51">
        <f>IF(Settings!$E$15="POINTS",((R522*Q522)*Settings!$B$12)+(S522*Settings!$B$2)+(T522*Settings!$B$3)+(U522*Settings!$B$4)+(V522*Settings!$B$5)+(X522*Settings!$B$9)+(AA522*Settings!$B$6)+(W522*Settings!$B$8)+(AB522*Settings!$B$7)+(AC522*Settings!$B$14)+(AD522*Settings!$B$15)+(AE522*Settings!$B$16)+(AF522*Settings!$B$17)+(AG522*Settings!$B$18)+(Y522*Settings!$B$10)+(Z522*Settings!$B$11),VLOOKUP(B522,'Standard Deviations'!A1:C666,3,FALSE))</f>
        <v>161.15513376518038</v>
      </c>
      <c r="J522" s="52">
        <f>IF(D522="G",I522/AJ522,I522/Q522)</f>
        <v>2.041101054590341</v>
      </c>
      <c r="K522" s="51">
        <f>IF(Settings!$E$18="C/LW/RW",VLOOKUP(B522,'C'!A1:F206,6,FALSE),VLOOKUP(B522,F!A1:F392,6,FALSE))</f>
        <v>-228.78202401290071</v>
      </c>
      <c r="L522" s="53">
        <f>IFERROR(K522/H522,"N/A")</f>
        <v>-142.98876500806293</v>
      </c>
      <c r="M522" s="83" t="str">
        <f>IF(Settings!$E$9="YAHOO",VLOOKUP(B522,ADP!A1:E665,2,FALSE),IF(Settings!$E$9="ESPN",VLOOKUP(B522,ADP!A1:E665,3,FALSE),IF(Settings!$E$9="FANTRAX",VLOOKUP(B522,ADP!A1:E665,4,FALSE),VLOOKUP(B522,ADP!A1:E665,5,FALSE))))</f>
        <v>—</v>
      </c>
      <c r="N522" s="83" t="str">
        <f>IFERROR(M522-A522,"N/A")</f>
        <v>N/A</v>
      </c>
      <c r="O522" s="54"/>
      <c r="P522" s="55" t="str">
        <f>IF(Settings!$E$27="ON",VLOOKUP(B522,ADP!A1:H665,8,FALSE)," ")</f>
        <v xml:space="preserve"> </v>
      </c>
      <c r="Q522" s="56">
        <f>IF(Settings!$E$12="YES",VLOOKUP(B522,'Player Data'!A1:E667,5,FALSE),82)</f>
        <v>78.954999999999998</v>
      </c>
      <c r="R522" s="54">
        <f>VLOOKUP(B522,'Player Data'!$A1:$AE667,6,FALSE)</f>
        <v>14.5022853004947</v>
      </c>
      <c r="S522" s="56">
        <f>VLOOKUP(B522,'Player Data'!$A1:$AE667,7,FALSE)*$Q522*IFERROR((VLOOKUP(P522,Settings!$E$28:$F$33,2,FALSE)+1),1)</f>
        <v>12.885450050099713</v>
      </c>
      <c r="T522" s="56">
        <f>VLOOKUP(B522,'Player Data'!$A1:$AE667,8,FALSE)*$Q522*IFERROR((VLOOKUP(P522,Settings!$E$28:$F$33,2,FALSE)+1),1)</f>
        <v>14.342190117963559</v>
      </c>
      <c r="U522" s="56">
        <f>SUM(S522:T522)</f>
        <v>27.227640168063274</v>
      </c>
      <c r="V522" s="56">
        <f>VLOOKUP(B522,'Player Data'!$A1:$AE667,10,FALSE)*$Q522*IFERROR(((VLOOKUP(P522,Settings!$E$28:$F$33,2,FALSE)/2)+1),1)</f>
        <v>119.29176864998361</v>
      </c>
      <c r="W522" s="56">
        <f>VLOOKUP(B522,'Player Data'!$A1:$AE667,11,FALSE)*$Q522*IFERROR((VLOOKUP(P522,Settings!$E$28:$F$33,2,FALSE)+1),1)</f>
        <v>1.2880103027946526</v>
      </c>
      <c r="X522" s="56">
        <f>VLOOKUP(B522,'Player Data'!$A1:$AE667,12,FALSE)*$Q522*IFERROR((VLOOKUP(P522,Settings!$E$28:$F$33,2,FALSE)+1),1)</f>
        <v>3.5804089687871148</v>
      </c>
      <c r="Y522" s="56">
        <f>VLOOKUP(B522,'Player Data'!$A1:$AE667,13,FALSE)*$Q522</f>
        <v>0.73369493318467116</v>
      </c>
      <c r="Z522" s="56">
        <f>VLOOKUP(B522,'Player Data'!$A1:$AE667,14,FALSE)*$Q522</f>
        <v>0.8006504516112567</v>
      </c>
      <c r="AA522" s="56">
        <f>VLOOKUP(B522,'Player Data'!$A1:$AE667,15,FALSE)*$Q522</f>
        <v>30.890539031200763</v>
      </c>
      <c r="AB522" s="56">
        <f>VLOOKUP(B522,'Player Data'!$A1:$AE667,16,FALSE)*$Q522</f>
        <v>57.80229738948622</v>
      </c>
      <c r="AC522" s="56">
        <f>VLOOKUP(B522,'Player Data'!$A1:$AE667,17,FALSE)*$Q522*IFERROR((VLOOKUP(P522,Settings!$E$28:$F$33,2,FALSE)+1),1)</f>
        <v>5.6141486605038624</v>
      </c>
      <c r="AD522" s="56">
        <f>VLOOKUP(B522,'Player Data'!$A1:$AE667,18,FALSE)*$Q522</f>
        <v>17.619391579082343</v>
      </c>
      <c r="AE522" s="56">
        <f>VLOOKUP(B522,'Player Data'!$A1:$AE667,19,FALSE)*$Q522*IFERROR((VLOOKUP(P522,Settings!$E$28:$F$33,2,FALSE)+1),1)</f>
        <v>2.2005024682432901</v>
      </c>
      <c r="AF522" s="56">
        <f>VLOOKUP(B522,'Player Data'!$A1:$AE667,20,FALSE)*$Q522</f>
        <v>242.40743359890658</v>
      </c>
      <c r="AG522" s="56">
        <f>VLOOKUP(B522,'Player Data'!$A1:$AE667,21,FALSE)*$Q522</f>
        <v>257.46570078639832</v>
      </c>
      <c r="AH522" s="58">
        <f>VLOOKUP(B522,'Player Data'!$A1:$AE667,22,FALSE)</f>
        <v>0.48493791109017198</v>
      </c>
      <c r="AI522" s="54"/>
      <c r="AJ522" s="64"/>
      <c r="AK522" s="56"/>
      <c r="AL522" s="56"/>
      <c r="AM522" s="56"/>
      <c r="AN522" s="56"/>
      <c r="AO522" s="56"/>
      <c r="AP522" s="56"/>
      <c r="AQ522" s="59"/>
      <c r="AR522" s="60"/>
      <c r="AS522" s="54"/>
    </row>
    <row r="523" spans="1:45" ht="21.25" customHeight="1" x14ac:dyDescent="0.15">
      <c r="A523" s="45">
        <f>RANK(K523,K$1:K$665)</f>
        <v>522</v>
      </c>
      <c r="B523" s="9" t="s">
        <v>648</v>
      </c>
      <c r="C523" s="46" t="s">
        <v>127</v>
      </c>
      <c r="D523" s="47" t="str">
        <f>VLOOKUP(B523,'Player Data'!A1:D667,4,FALSE)</f>
        <v>D</v>
      </c>
      <c r="E523" s="66">
        <f>VLOOKUP(B523,D!A1:C213,3,FALSE)</f>
        <v>201</v>
      </c>
      <c r="F523" s="55" t="str">
        <f>VLOOKUP(B523,'Player Data'!A1:B667,2,FALSE)</f>
        <v>WPG</v>
      </c>
      <c r="G523" s="10">
        <f>VLOOKUP(B523,'Player Data'!A1:D667,3,FALSE)</f>
        <v>28</v>
      </c>
      <c r="H523" s="67">
        <f>IFERROR(VLOOKUP(B523,ADP!A1:G665,7,FALSE)/1000000,VLOOKUP(B523,ADP!A1:G665,7,FALSE))</f>
        <v>0.77500000000000002</v>
      </c>
      <c r="I523" s="51">
        <f>IF(Settings!$E$15="POINTS",((R523*Q523)*Settings!$B$12)+(S523*Settings!$B$2)+(T523*Settings!$B$3)+(U523*Settings!$B$4)+(V523*Settings!$B$5)+(X523*Settings!$B$9)+(AA523*Settings!$B$6)+(W523*Settings!$B$8)+(AB523*Settings!$B$7)+(AC523*Settings!$B$14)+(AD523*Settings!$B$15)+(AE523*Settings!$B$16)+(AF523*Settings!$B$17)+(AG523*Settings!$B$18)+(U523*Settings!$B$13)+(Y523*Settings!$B$10)+(Z523*Settings!$B$11),VLOOKUP(B523,'Standard Deviations'!A1:C666,3,FALSE))</f>
        <v>107.16438017116505</v>
      </c>
      <c r="J523" s="52">
        <f>IF(D523="G",I523/AJ523,I523/Q523)</f>
        <v>1.7906241726248391</v>
      </c>
      <c r="K523" s="51">
        <f>VLOOKUP(B523,D!A1:F213,6,FALSE)</f>
        <v>-229.06974487442986</v>
      </c>
      <c r="L523" s="53">
        <f>IFERROR(K523/H523,"N/A")</f>
        <v>-295.57386435410302</v>
      </c>
      <c r="M523" s="83" t="str">
        <f>IF(Settings!$E$9="YAHOO",VLOOKUP(B523,ADP!A1:E665,2,FALSE),IF(Settings!$E$9="ESPN",VLOOKUP(B523,ADP!A1:E665,3,FALSE),IF(Settings!$E$9="FANTRAX",VLOOKUP(B523,ADP!A1:E665,4,FALSE),VLOOKUP(B523,ADP!A1:E665,5,FALSE))))</f>
        <v>—</v>
      </c>
      <c r="N523" s="83" t="str">
        <f>IFERROR(M523-A523,"N/A")</f>
        <v>N/A</v>
      </c>
      <c r="O523" s="54"/>
      <c r="P523" s="55" t="str">
        <f>IF(Settings!$E$27="ON",VLOOKUP(B523,ADP!A1:H665,8,FALSE)," ")</f>
        <v xml:space="preserve"> </v>
      </c>
      <c r="Q523" s="56">
        <f>IF(Settings!$E$12="YES",VLOOKUP(B523,'Player Data'!A1:E667,5,FALSE),82)</f>
        <v>59.847499999999997</v>
      </c>
      <c r="R523" s="54">
        <f>VLOOKUP(B523,'Player Data'!$A1:$AE667,6,FALSE)</f>
        <v>16.216651321232</v>
      </c>
      <c r="S523" s="56">
        <f>VLOOKUP(B523,'Player Data'!$A1:$AE667,7,FALSE)*$Q523*IFERROR((VLOOKUP(P523,Settings!$E$28:$F$33,2,FALSE)+1),1)</f>
        <v>2.2464835848130775</v>
      </c>
      <c r="T523" s="56">
        <f>VLOOKUP(B523,'Player Data'!$A1:$AE667,8,FALSE)*$Q523*IFERROR((VLOOKUP(P523,Settings!$E$28:$F$33,2,FALSE)+1),1)</f>
        <v>7.3673507534835778</v>
      </c>
      <c r="U523" s="56">
        <f>SUM(S523:T523)</f>
        <v>9.6138343382966553</v>
      </c>
      <c r="V523" s="56">
        <f>VLOOKUP(B523,'Player Data'!$A1:$AE667,10,FALSE)*$Q523*IFERROR(((VLOOKUP(P523,Settings!$E$28:$F$33,2,FALSE)/2)+1),1)</f>
        <v>68.284569271391405</v>
      </c>
      <c r="W523" s="56">
        <f>VLOOKUP(B523,'Player Data'!$A1:$AE667,11,FALSE)*$Q523*IFERROR((VLOOKUP(P523,Settings!$E$28:$F$33,2,FALSE)+1),1)</f>
        <v>1.4023656948181857E-2</v>
      </c>
      <c r="X523" s="56">
        <f>VLOOKUP(B523,'Player Data'!$A1:$AE667,12,FALSE)*$Q523*IFERROR((VLOOKUP(P523,Settings!$E$28:$F$33,2,FALSE)+1),1)</f>
        <v>9.1011840078887449E-2</v>
      </c>
      <c r="Y523" s="56">
        <f>VLOOKUP(B523,'Player Data'!$A1:$AE667,13,FALSE)*$Q523</f>
        <v>2.845280370502129E-2</v>
      </c>
      <c r="Z523" s="56">
        <f>VLOOKUP(B523,'Player Data'!$A1:$AE667,14,FALSE)*$Q523</f>
        <v>0.14272107882460414</v>
      </c>
      <c r="AA523" s="56">
        <f>VLOOKUP(B523,'Player Data'!$A1:$AE667,15,FALSE)*$Q523</f>
        <v>87.893719203351779</v>
      </c>
      <c r="AB523" s="56">
        <f>VLOOKUP(B523,'Player Data'!$A1:$AE667,16,FALSE)*$Q523</f>
        <v>82.582171286208549</v>
      </c>
      <c r="AC523" s="56">
        <f>VLOOKUP(B523,'Player Data'!$A1:$AE667,17,FALSE)*$Q523*IFERROR((VLOOKUP(P523,Settings!$E$28:$F$33,2,FALSE)+1),1)</f>
        <v>0.82388602203876704</v>
      </c>
      <c r="AD523" s="56">
        <f>VLOOKUP(B523,'Player Data'!$A1:$AE667,18,FALSE)*$Q523</f>
        <v>21.725333281877496</v>
      </c>
      <c r="AE523" s="56">
        <f>VLOOKUP(B523,'Player Data'!$A1:$AE667,19,FALSE)*$Q523*IFERROR((VLOOKUP(P523,Settings!$E$28:$F$33,2,FALSE)+1),1)</f>
        <v>0.37342523360116059</v>
      </c>
      <c r="AF523" s="56">
        <f>VLOOKUP(B523,'Player Data'!$A1:$AE667,20,FALSE)*$Q523</f>
        <v>0</v>
      </c>
      <c r="AG523" s="56">
        <f>VLOOKUP(B523,'Player Data'!$A1:$AE667,21,FALSE)*$Q523</f>
        <v>0</v>
      </c>
      <c r="AH523" s="58">
        <f>VLOOKUP(B523,'Player Data'!$A1:$AE667,22,FALSE)</f>
        <v>0</v>
      </c>
      <c r="AI523" s="54"/>
      <c r="AJ523" s="64"/>
      <c r="AK523" s="56"/>
      <c r="AL523" s="56"/>
      <c r="AM523" s="56"/>
      <c r="AN523" s="56"/>
      <c r="AO523" s="56"/>
      <c r="AP523" s="56"/>
      <c r="AQ523" s="59"/>
      <c r="AR523" s="60"/>
      <c r="AS523" s="54"/>
    </row>
    <row r="524" spans="1:45" ht="21.25" customHeight="1" x14ac:dyDescent="0.15">
      <c r="A524" s="45">
        <f>RANK(K524,K$1:K$665)</f>
        <v>523</v>
      </c>
      <c r="B524" s="9" t="s">
        <v>649</v>
      </c>
      <c r="C524" s="46" t="s">
        <v>127</v>
      </c>
      <c r="D524" s="47" t="str">
        <f>VLOOKUP(B524,'Player Data'!A1:D667,4,FALSE)</f>
        <v>G</v>
      </c>
      <c r="E524" s="73">
        <f>VLOOKUP(B524,G!A1:D65,3,FALSE)</f>
        <v>47</v>
      </c>
      <c r="F524" s="65" t="str">
        <f>VLOOKUP(B524,'Player Data'!A1:B667,2,FALSE)</f>
        <v>MIN</v>
      </c>
      <c r="G524" s="63">
        <f>VLOOKUP(B524,'Player Data'!A1:D667,3,FALSE)</f>
        <v>39</v>
      </c>
      <c r="H524" s="67">
        <f>IFERROR(VLOOKUP(B524,ADP!A1:G665,7,FALSE)/1000000,VLOOKUP(B524,ADP!A1:G665,7,FALSE))</f>
        <v>2.5</v>
      </c>
      <c r="I524" s="51">
        <f>IF(Settings!$E$15="POINTS",(AJ524*Settings!$B$29)+(AK524*Settings!$B$21)+(AL524*Settings!$B$22)+(AN524*Settings!$B$24)+(AO524*Settings!$B$25)+(AP524*Settings!$B$27)+(AM524*Settings!$B$23),VLOOKUP(B524,'Standard Deviations'!A1:C666,3,FALSE))</f>
        <v>180.89706206575624</v>
      </c>
      <c r="J524" s="52">
        <f>IF(D524="G",I524/AJ524,I524/Q524)</f>
        <v>6.0299020688585419</v>
      </c>
      <c r="K524" s="51">
        <f>VLOOKUP(B524,G!A1:F65,6,FALSE)</f>
        <v>-229.76268070366393</v>
      </c>
      <c r="L524" s="53">
        <f>IFERROR(K524/H524,"N/A")</f>
        <v>-91.905072281465578</v>
      </c>
      <c r="M524" s="54">
        <f>IF(Settings!$E$9="YAHOO",VLOOKUP(B524,ADP!A1:E665,2,FALSE),IF(Settings!$E$9="ESPN",VLOOKUP(B524,ADP!A1:E665,3,FALSE),IF(Settings!$E$9="FANTRAX",VLOOKUP(B524,ADP!A1:E665,4,FALSE),VLOOKUP(B524,ADP!A1:E665,5,FALSE))))</f>
        <v>165.6</v>
      </c>
      <c r="N524" s="54">
        <f>IFERROR(M524-A524,"N/A")</f>
        <v>-357.4</v>
      </c>
      <c r="O524" s="54"/>
      <c r="P524" s="55" t="str">
        <f>IF(Settings!$E$27="ON",VLOOKUP(B524,ADP!A1:H665,8,FALSE)," ")</f>
        <v xml:space="preserve"> </v>
      </c>
      <c r="Q524" s="56"/>
      <c r="R524" s="54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8"/>
      <c r="AI524" s="54"/>
      <c r="AJ524" s="64">
        <f>VLOOKUP(B524,'Player Data'!$A1:$AE667,24,FALSE)</f>
        <v>30</v>
      </c>
      <c r="AK524" s="56">
        <f>VLOOKUP(B524,'Player Data'!$A1:$AE667,25,FALSE)*$AJ524*IFERROR((VLOOKUP(P524,Settings!$E$28:$F$33,2,FALSE)+1),1)</f>
        <v>14.50433492716548</v>
      </c>
      <c r="AL524" s="56">
        <f>AJ524-AK524-AM524</f>
        <v>11.74566507283452</v>
      </c>
      <c r="AM524" s="56">
        <f>VLOOKUP(B524,'Player Data'!$A1:$AE667,27,FALSE)*$AJ524</f>
        <v>3.75</v>
      </c>
      <c r="AN524" s="56">
        <f>VLOOKUP(B524,'Player Data'!$A1:$AE667,28,FALSE)*AJ524</f>
        <v>1.9260445905973202</v>
      </c>
      <c r="AO524" s="56">
        <f>VLOOKUP(B524,'Player Data'!$A1:$AE667,29,FALSE)*$AJ524*IFERROR((VLOOKUP(P524,Settings!$E$28:$F$33,2,FALSE)/4)+1,1)</f>
        <v>756.77516362727692</v>
      </c>
      <c r="AP524" s="56">
        <f>VLOOKUP(B524,'Player Data'!$A1:$AE667,31,FALSE)*$AJ524*(IFERROR(1-(VLOOKUP(P524,Settings!$E$28:$F$33,2,FALSE)/4),1))</f>
        <v>80.976523039992003</v>
      </c>
      <c r="AQ524" s="59">
        <f>1-(AP524/(AO524+AP524))</f>
        <v>0.90334066247943756</v>
      </c>
      <c r="AR524" s="60">
        <f>AP524/AJ524</f>
        <v>2.6992174346664002</v>
      </c>
      <c r="AS524" s="54"/>
    </row>
    <row r="525" spans="1:45" ht="21.25" customHeight="1" x14ac:dyDescent="0.15">
      <c r="A525" s="45">
        <f>RANK(K525,K$1:K$665)</f>
        <v>524</v>
      </c>
      <c r="B525" s="9" t="s">
        <v>650</v>
      </c>
      <c r="C525" s="46" t="s">
        <v>127</v>
      </c>
      <c r="D525" s="47" t="str">
        <f>VLOOKUP(B525,'Player Data'!A1:D667,4,FALSE)</f>
        <v>D</v>
      </c>
      <c r="E525" s="66">
        <f>VLOOKUP(B525,D!A1:C213,3,FALSE)</f>
        <v>202</v>
      </c>
      <c r="F525" s="62" t="str">
        <f>VLOOKUP(B525,'Player Data'!A1:B667,2,FALSE)</f>
        <v>BOS</v>
      </c>
      <c r="G525" s="10">
        <f>VLOOKUP(B525,'Player Data'!A1:D667,3,FALSE)</f>
        <v>27</v>
      </c>
      <c r="H525" s="67">
        <f>IFERROR(VLOOKUP(B525,ADP!A1:G665,7,FALSE)/1000000,VLOOKUP(B525,ADP!A1:G665,7,FALSE))</f>
        <v>0.8</v>
      </c>
      <c r="I525" s="51">
        <f>IF(Settings!$E$15="POINTS",((R525*Q525)*Settings!$B$12)+(S525*Settings!$B$2)+(T525*Settings!$B$3)+(U525*Settings!$B$4)+(V525*Settings!$B$5)+(X525*Settings!$B$9)+(AA525*Settings!$B$6)+(W525*Settings!$B$8)+(AB525*Settings!$B$7)+(AC525*Settings!$B$14)+(AD525*Settings!$B$15)+(AE525*Settings!$B$16)+(AF525*Settings!$B$17)+(AG525*Settings!$B$18)+(U525*Settings!$B$13)+(Y525*Settings!$B$10)+(Z525*Settings!$B$11),VLOOKUP(B525,'Standard Deviations'!A1:C666,3,FALSE))</f>
        <v>106.29040561773725</v>
      </c>
      <c r="J525" s="52">
        <f>IF(D525="G",I525/AJ525,I525/Q525)</f>
        <v>1.7416804820406742</v>
      </c>
      <c r="K525" s="51">
        <f>VLOOKUP(B525,D!A1:F213,6,FALSE)</f>
        <v>-229.94371942785767</v>
      </c>
      <c r="L525" s="53">
        <f>IFERROR(K525/H525,"N/A")</f>
        <v>-287.42964928482206</v>
      </c>
      <c r="M525" s="83" t="str">
        <f>IF(Settings!$E$9="YAHOO",VLOOKUP(B525,ADP!A1:E665,2,FALSE),IF(Settings!$E$9="ESPN",VLOOKUP(B525,ADP!A1:E665,3,FALSE),IF(Settings!$E$9="FANTRAX",VLOOKUP(B525,ADP!A1:E665,4,FALSE),VLOOKUP(B525,ADP!A1:E665,5,FALSE))))</f>
        <v>—</v>
      </c>
      <c r="N525" s="83" t="str">
        <f>IFERROR(M525-A525,"N/A")</f>
        <v>N/A</v>
      </c>
      <c r="O525" s="54"/>
      <c r="P525" s="55" t="str">
        <f>IF(Settings!$E$27="ON",VLOOKUP(B525,ADP!A1:H665,8,FALSE)," ")</f>
        <v xml:space="preserve"> </v>
      </c>
      <c r="Q525" s="56">
        <f>IF(Settings!$E$12="YES",VLOOKUP(B525,'Player Data'!A1:E667,5,FALSE),82)</f>
        <v>61.027500000000003</v>
      </c>
      <c r="R525" s="54">
        <f>VLOOKUP(B525,'Player Data'!$A1:$AE667,6,FALSE)</f>
        <v>16.7600869781174</v>
      </c>
      <c r="S525" s="56">
        <f>VLOOKUP(B525,'Player Data'!$A1:$AE667,7,FALSE)*$Q525*IFERROR((VLOOKUP(P525,Settings!$E$28:$F$33,2,FALSE)+1),1)</f>
        <v>1.3514152981202414</v>
      </c>
      <c r="T525" s="56">
        <f>VLOOKUP(B525,'Player Data'!$A1:$AE667,8,FALSE)*$Q525*IFERROR((VLOOKUP(P525,Settings!$E$28:$F$33,2,FALSE)+1),1)</f>
        <v>10.998979237727397</v>
      </c>
      <c r="U525" s="56">
        <f>SUM(S525:T525)</f>
        <v>12.350394535847638</v>
      </c>
      <c r="V525" s="56">
        <f>VLOOKUP(B525,'Player Data'!$A1:$AE667,10,FALSE)*$Q525*IFERROR(((VLOOKUP(P525,Settings!$E$28:$F$33,2,FALSE)/2)+1),1)</f>
        <v>52.947046762235665</v>
      </c>
      <c r="W525" s="56">
        <f>VLOOKUP(B525,'Player Data'!$A1:$AE667,11,FALSE)*$Q525*IFERROR((VLOOKUP(P525,Settings!$E$28:$F$33,2,FALSE)+1),1)</f>
        <v>2.0382000085866315E-2</v>
      </c>
      <c r="X525" s="56">
        <f>VLOOKUP(B525,'Player Data'!$A1:$AE667,12,FALSE)*$Q525*IFERROR((VLOOKUP(P525,Settings!$E$28:$F$33,2,FALSE)+1),1)</f>
        <v>0.13168010010105574</v>
      </c>
      <c r="Y525" s="56">
        <f>VLOOKUP(B525,'Player Data'!$A1:$AE667,13,FALSE)*$Q525</f>
        <v>2.2341586230787993E-2</v>
      </c>
      <c r="Z525" s="56">
        <f>VLOOKUP(B525,'Player Data'!$A1:$AE667,14,FALSE)*$Q525</f>
        <v>0.11156135738883514</v>
      </c>
      <c r="AA525" s="56">
        <f>VLOOKUP(B525,'Player Data'!$A1:$AE667,15,FALSE)*$Q525</f>
        <v>85.044914343173204</v>
      </c>
      <c r="AB525" s="56">
        <f>VLOOKUP(B525,'Player Data'!$A1:$AE667,16,FALSE)*$Q525</f>
        <v>103.44339198900387</v>
      </c>
      <c r="AC525" s="56">
        <f>VLOOKUP(B525,'Player Data'!$A1:$AE667,17,FALSE)*$Q525*IFERROR((VLOOKUP(P525,Settings!$E$28:$F$33,2,FALSE)+1),1)</f>
        <v>2.0693345594465953</v>
      </c>
      <c r="AD525" s="56">
        <f>VLOOKUP(B525,'Player Data'!$A1:$AE667,18,FALSE)*$Q525</f>
        <v>34.491986205696691</v>
      </c>
      <c r="AE525" s="56">
        <f>VLOOKUP(B525,'Player Data'!$A1:$AE667,19,FALSE)*$Q525*IFERROR((VLOOKUP(P525,Settings!$E$28:$F$33,2,FALSE)+1),1)</f>
        <v>0.21048795720035141</v>
      </c>
      <c r="AF525" s="56">
        <f>VLOOKUP(B525,'Player Data'!$A1:$AE667,20,FALSE)*$Q525</f>
        <v>0</v>
      </c>
      <c r="AG525" s="56">
        <f>VLOOKUP(B525,'Player Data'!$A1:$AE667,21,FALSE)*$Q525</f>
        <v>0</v>
      </c>
      <c r="AH525" s="58">
        <f>VLOOKUP(B525,'Player Data'!$A1:$AE667,22,FALSE)</f>
        <v>0</v>
      </c>
      <c r="AI525" s="54"/>
      <c r="AJ525" s="64"/>
      <c r="AK525" s="56"/>
      <c r="AL525" s="56"/>
      <c r="AM525" s="56"/>
      <c r="AN525" s="56"/>
      <c r="AO525" s="56"/>
      <c r="AP525" s="56"/>
      <c r="AQ525" s="59"/>
      <c r="AR525" s="60"/>
      <c r="AS525" s="54"/>
    </row>
    <row r="526" spans="1:45" ht="21.25" customHeight="1" x14ac:dyDescent="0.15">
      <c r="A526" s="45">
        <f>RANK(K526,K$1:K$665)</f>
        <v>525</v>
      </c>
      <c r="B526" s="9" t="s">
        <v>651</v>
      </c>
      <c r="C526" s="46" t="s">
        <v>127</v>
      </c>
      <c r="D526" s="47" t="str">
        <f>VLOOKUP(B526,'Player Data'!A1:D667,4,FALSE)</f>
        <v>D</v>
      </c>
      <c r="E526" s="66">
        <f>VLOOKUP(B526,D!A1:C213,3,FALSE)</f>
        <v>203</v>
      </c>
      <c r="F526" s="55" t="str">
        <f>VLOOKUP(B526,'Player Data'!A1:B667,2,FALSE)</f>
        <v>CHI</v>
      </c>
      <c r="G526" s="69">
        <f>VLOOKUP(B526,'Player Data'!A1:D667,3,FALSE)</f>
        <v>22</v>
      </c>
      <c r="H526" s="67">
        <f>IFERROR(VLOOKUP(B526,ADP!A1:G665,7,FALSE)/1000000,VLOOKUP(B526,ADP!A1:G665,7,FALSE))</f>
        <v>0.91676999999999997</v>
      </c>
      <c r="I526" s="51">
        <f>IF(Settings!$E$15="POINTS",((R526*Q526)*Settings!$B$12)+(S526*Settings!$B$2)+(T526*Settings!$B$3)+(U526*Settings!$B$4)+(V526*Settings!$B$5)+(X526*Settings!$B$9)+(AA526*Settings!$B$6)+(W526*Settings!$B$8)+(AB526*Settings!$B$7)+(AC526*Settings!$B$14)+(AD526*Settings!$B$15)+(AE526*Settings!$B$16)+(AF526*Settings!$B$17)+(AG526*Settings!$B$18)+(U526*Settings!$B$13)+(Y526*Settings!$B$10)+(Z526*Settings!$B$11),VLOOKUP(B526,'Standard Deviations'!A1:C666,3,FALSE))</f>
        <v>105.76078029256882</v>
      </c>
      <c r="J526" s="52">
        <f>IF(D526="G",I526/AJ526,I526/Q526)</f>
        <v>1.7258612972024938</v>
      </c>
      <c r="K526" s="51">
        <f>VLOOKUP(B526,D!A1:F213,6,FALSE)</f>
        <v>-230.47334475302608</v>
      </c>
      <c r="L526" s="53">
        <f>IFERROR(K526/H526,"N/A")</f>
        <v>-251.39712769072514</v>
      </c>
      <c r="M526" s="83" t="str">
        <f>IF(Settings!$E$9="YAHOO",VLOOKUP(B526,ADP!A1:E665,2,FALSE),IF(Settings!$E$9="ESPN",VLOOKUP(B526,ADP!A1:E665,3,FALSE),IF(Settings!$E$9="FANTRAX",VLOOKUP(B526,ADP!A1:E665,4,FALSE),VLOOKUP(B526,ADP!A1:E665,5,FALSE))))</f>
        <v>—</v>
      </c>
      <c r="N526" s="83" t="str">
        <f>IFERROR(M526-A526,"N/A")</f>
        <v>N/A</v>
      </c>
      <c r="O526" s="54"/>
      <c r="P526" s="55" t="str">
        <f>IF(Settings!$E$27="ON",VLOOKUP(B526,ADP!A1:H665,8,FALSE)," ")</f>
        <v xml:space="preserve"> </v>
      </c>
      <c r="Q526" s="56">
        <f>IF(Settings!$E$12="YES",VLOOKUP(B526,'Player Data'!A1:E667,5,FALSE),82)</f>
        <v>61.28</v>
      </c>
      <c r="R526" s="81">
        <f>VLOOKUP(B526,'Player Data'!$A1:$AE667,6,FALSE)</f>
        <v>16.024051929516801</v>
      </c>
      <c r="S526" s="56">
        <f>VLOOKUP(B526,'Player Data'!$A1:$AE667,7,FALSE)*$Q526*IFERROR((VLOOKUP(P526,Settings!$E$28:$F$33,2,FALSE)+1),1)</f>
        <v>1.523794712697744</v>
      </c>
      <c r="T526" s="56">
        <f>VLOOKUP(B526,'Player Data'!$A1:$AE667,8,FALSE)*$Q526*IFERROR((VLOOKUP(P526,Settings!$E$28:$F$33,2,FALSE)+1),1)</f>
        <v>13.208684655069533</v>
      </c>
      <c r="U526" s="56">
        <f>SUM(S526:T526)</f>
        <v>14.732479367767276</v>
      </c>
      <c r="V526" s="56">
        <f>VLOOKUP(B526,'Player Data'!$A1:$AE667,10,FALSE)*$Q526*IFERROR(((VLOOKUP(P526,Settings!$E$28:$F$33,2,FALSE)/2)+1),1)</f>
        <v>49.720005544439545</v>
      </c>
      <c r="W526" s="56">
        <f>VLOOKUP(B526,'Player Data'!$A1:$AE667,11,FALSE)*$Q526*IFERROR((VLOOKUP(P526,Settings!$E$28:$F$33,2,FALSE)+1),1)</f>
        <v>2.4375629807919671E-2</v>
      </c>
      <c r="X526" s="56">
        <f>VLOOKUP(B526,'Player Data'!$A1:$AE667,12,FALSE)*$Q526*IFERROR((VLOOKUP(P526,Settings!$E$28:$F$33,2,FALSE)+1),1)</f>
        <v>0.14501058227493702</v>
      </c>
      <c r="Y526" s="56">
        <f>VLOOKUP(B526,'Player Data'!$A1:$AE667,13,FALSE)*$Q526</f>
        <v>1.4030271876024092E-2</v>
      </c>
      <c r="Z526" s="56">
        <f>VLOOKUP(B526,'Player Data'!$A1:$AE667,14,FALSE)*$Q526</f>
        <v>6.45113862099779E-2</v>
      </c>
      <c r="AA526" s="56">
        <f>VLOOKUP(B526,'Player Data'!$A1:$AE667,15,FALSE)*$Q526</f>
        <v>72.987634897124664</v>
      </c>
      <c r="AB526" s="56">
        <f>VLOOKUP(B526,'Player Data'!$A1:$AE667,16,FALSE)*$Q526</f>
        <v>61.115012232514395</v>
      </c>
      <c r="AC526" s="56">
        <f>VLOOKUP(B526,'Player Data'!$A1:$AE667,17,FALSE)*$Q526*IFERROR((VLOOKUP(P526,Settings!$E$28:$F$33,2,FALSE)+1),1)</f>
        <v>-4.6855977077289266</v>
      </c>
      <c r="AD526" s="56">
        <f>VLOOKUP(B526,'Player Data'!$A1:$AE667,18,FALSE)*$Q526</f>
        <v>29.601742695473689</v>
      </c>
      <c r="AE526" s="56">
        <f>VLOOKUP(B526,'Player Data'!$A1:$AE667,19,FALSE)*$Q526*IFERROR((VLOOKUP(P526,Settings!$E$28:$F$33,2,FALSE)+1),1)</f>
        <v>0.19692798351993379</v>
      </c>
      <c r="AF526" s="56">
        <f>VLOOKUP(B526,'Player Data'!$A1:$AE667,20,FALSE)*$Q526</f>
        <v>0</v>
      </c>
      <c r="AG526" s="56">
        <f>VLOOKUP(B526,'Player Data'!$A1:$AE667,21,FALSE)*$Q526</f>
        <v>0</v>
      </c>
      <c r="AH526" s="58">
        <f>VLOOKUP(B526,'Player Data'!$A1:$AE667,22,FALSE)</f>
        <v>0</v>
      </c>
      <c r="AI526" s="54"/>
      <c r="AJ526" s="64"/>
      <c r="AK526" s="56"/>
      <c r="AL526" s="56"/>
      <c r="AM526" s="56"/>
      <c r="AN526" s="56"/>
      <c r="AO526" s="56"/>
      <c r="AP526" s="56"/>
      <c r="AQ526" s="59"/>
      <c r="AR526" s="60"/>
      <c r="AS526" s="54"/>
    </row>
    <row r="527" spans="1:45" ht="21.25" customHeight="1" x14ac:dyDescent="0.15">
      <c r="A527" s="45">
        <f>RANK(K527,K$1:K$665)</f>
        <v>526</v>
      </c>
      <c r="B527" s="9" t="s">
        <v>652</v>
      </c>
      <c r="C527" s="46" t="s">
        <v>127</v>
      </c>
      <c r="D527" s="47" t="str">
        <f>VLOOKUP(B527,'Player Data'!A1:D667,4,FALSE)</f>
        <v>G</v>
      </c>
      <c r="E527" s="73">
        <f>VLOOKUP(B527,G!A1:D65,3,FALSE)</f>
        <v>48</v>
      </c>
      <c r="F527" s="65" t="str">
        <f>VLOOKUP(B527,'Player Data'!A1:B667,2,FALSE)</f>
        <v>NYI</v>
      </c>
      <c r="G527" s="63">
        <f>VLOOKUP(B527,'Player Data'!A1:D667,3,FALSE)</f>
        <v>36</v>
      </c>
      <c r="H527" s="50">
        <f>IFERROR(VLOOKUP(B527,ADP!A1:G665,7,FALSE)/1000000,VLOOKUP(B527,ADP!A1:G665,7,FALSE))</f>
        <v>2.75</v>
      </c>
      <c r="I527" s="51">
        <f>IF(Settings!$E$15="POINTS",(AJ527*Settings!$B$29)+(AK527*Settings!$B$21)+(AL527*Settings!$B$22)+(AN527*Settings!$B$24)+(AO527*Settings!$B$25)+(AP527*Settings!$B$27)+(AM527*Settings!$B$23),VLOOKUP(B527,'Standard Deviations'!A1:C666,3,FALSE))</f>
        <v>180.13275968199662</v>
      </c>
      <c r="J527" s="52">
        <f>IF(D527="G",I527/AJ527,I527/Q527)</f>
        <v>6.9281830646921776</v>
      </c>
      <c r="K527" s="51">
        <f>VLOOKUP(B527,G!A1:F65,6,FALSE)</f>
        <v>-230.52698308742356</v>
      </c>
      <c r="L527" s="53">
        <f>IFERROR(K527/H527,"N/A")</f>
        <v>-83.827993849972202</v>
      </c>
      <c r="M527" s="54">
        <f>IF(Settings!$E$9="YAHOO",VLOOKUP(B527,ADP!A1:E665,2,FALSE),IF(Settings!$E$9="ESPN",VLOOKUP(B527,ADP!A1:E665,3,FALSE),IF(Settings!$E$9="FANTRAX",VLOOKUP(B527,ADP!A1:E665,4,FALSE),VLOOKUP(B527,ADP!A1:E665,5,FALSE))))</f>
        <v>165.4</v>
      </c>
      <c r="N527" s="54">
        <f>IFERROR(M527-A527,"N/A")</f>
        <v>-360.6</v>
      </c>
      <c r="O527" s="54"/>
      <c r="P527" s="55" t="str">
        <f>IF(Settings!$E$27="ON",VLOOKUP(B527,ADP!A1:H665,8,FALSE)," ")</f>
        <v xml:space="preserve"> </v>
      </c>
      <c r="Q527" s="56"/>
      <c r="R527" s="54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8"/>
      <c r="AI527" s="54"/>
      <c r="AJ527" s="64">
        <f>VLOOKUP(B527,'Player Data'!$A1:$AE667,24,FALSE)</f>
        <v>26</v>
      </c>
      <c r="AK527" s="56">
        <f>VLOOKUP(B527,'Player Data'!$A1:$AE667,25,FALSE)*$AJ527*IFERROR((VLOOKUP(P527,Settings!$E$28:$F$33,2,FALSE)+1),1)</f>
        <v>13.567196012035822</v>
      </c>
      <c r="AL527" s="56">
        <f>AJ527-AK527-AM527</f>
        <v>9.1828039879641778</v>
      </c>
      <c r="AM527" s="56">
        <f>VLOOKUP(B527,'Player Data'!$A1:$AE667,27,FALSE)*$AJ527</f>
        <v>3.25</v>
      </c>
      <c r="AN527" s="56">
        <f>VLOOKUP(B527,'Player Data'!$A1:$AE667,28,FALSE)*AJ527</f>
        <v>1.7591566500387985</v>
      </c>
      <c r="AO527" s="56">
        <f>VLOOKUP(B527,'Player Data'!$A1:$AE667,29,FALSE)*$AJ527*IFERROR((VLOOKUP(P527,Settings!$E$28:$F$33,2,FALSE)/4)+1,1)</f>
        <v>690.31070982296797</v>
      </c>
      <c r="AP527" s="56">
        <f>VLOOKUP(B527,'Player Data'!$A1:$AE667,31,FALSE)*$AJ527*(IFERROR(1-(VLOOKUP(P527,Settings!$E$28:$F$33,2,FALSE)/4),1))</f>
        <v>69.161113305211202</v>
      </c>
      <c r="AQ527" s="59">
        <f>1-(AP527/(AO527+AP527))</f>
        <v>0.90893524789327362</v>
      </c>
      <c r="AR527" s="60">
        <f>AP527/AJ527</f>
        <v>2.6600428194312</v>
      </c>
      <c r="AS527" s="54"/>
    </row>
    <row r="528" spans="1:45" ht="21.25" customHeight="1" x14ac:dyDescent="0.15">
      <c r="A528" s="45">
        <f>RANK(K528,K$1:K$665)</f>
        <v>527</v>
      </c>
      <c r="B528" s="9" t="s">
        <v>653</v>
      </c>
      <c r="C528" s="46" t="s">
        <v>127</v>
      </c>
      <c r="D528" s="47" t="str">
        <f>VLOOKUP(B528,'Player Data'!A1:D667,4,FALSE)</f>
        <v>C</v>
      </c>
      <c r="E528" s="48">
        <f>VLOOKUP(B528,'C'!A1:C206,3,FALSE)</f>
        <v>145</v>
      </c>
      <c r="F528" s="65" t="str">
        <f>VLOOKUP(B528,'Player Data'!A1:B667,2,FALSE)</f>
        <v>BUF</v>
      </c>
      <c r="G528" s="10">
        <f>VLOOKUP(B528,'Player Data'!A1:D667,3,FALSE)</f>
        <v>24</v>
      </c>
      <c r="H528" s="67">
        <f>IFERROR(VLOOKUP(B528,ADP!A1:G665,7,FALSE)/1000000,VLOOKUP(B528,ADP!A1:G665,7,FALSE))</f>
        <v>2.1</v>
      </c>
      <c r="I528" s="51">
        <f>IF(Settings!$E$15="POINTS",((R528*Q528)*Settings!$B$12)+(S528*Settings!$B$2)+(T528*Settings!$B$3)+(U528*Settings!$B$4)+(V528*Settings!$B$5)+(X528*Settings!$B$9)+(AA528*Settings!$B$6)+(W528*Settings!$B$8)+(AB528*Settings!$B$7)+(AC528*Settings!$B$14)+(AD528*Settings!$B$15)+(AE528*Settings!$B$16)+(AF528*Settings!$B$17)+(AG528*Settings!$B$18)+(Y528*Settings!$B$10)+(Z528*Settings!$B$11),VLOOKUP(B528,'Standard Deviations'!A1:C666,3,FALSE))</f>
        <v>159.24967837082897</v>
      </c>
      <c r="J528" s="52">
        <f>IF(D528="G",I528/AJ528,I528/Q528)</f>
        <v>2.059751385511595</v>
      </c>
      <c r="K528" s="51">
        <f>IF(Settings!$E$18="C/LW/RW",VLOOKUP(B528,'C'!A1:F206,6,FALSE),VLOOKUP(B528,F!A1:F392,6,FALSE))</f>
        <v>-230.68747940725211</v>
      </c>
      <c r="L528" s="53">
        <f>IFERROR(K528/H528,"N/A")</f>
        <v>-109.85118067012004</v>
      </c>
      <c r="M528" s="83" t="str">
        <f>IF(Settings!$E$9="YAHOO",VLOOKUP(B528,ADP!A1:E665,2,FALSE),IF(Settings!$E$9="ESPN",VLOOKUP(B528,ADP!A1:E665,3,FALSE),IF(Settings!$E$9="FANTRAX",VLOOKUP(B528,ADP!A1:E665,4,FALSE),VLOOKUP(B528,ADP!A1:E665,5,FALSE))))</f>
        <v>—</v>
      </c>
      <c r="N528" s="83" t="str">
        <f>IFERROR(M528-A528,"N/A")</f>
        <v>N/A</v>
      </c>
      <c r="O528" s="54"/>
      <c r="P528" s="55" t="str">
        <f>IF(Settings!$E$27="ON",VLOOKUP(B528,ADP!A1:H665,8,FALSE)," ")</f>
        <v xml:space="preserve"> </v>
      </c>
      <c r="Q528" s="56">
        <f>IF(Settings!$E$12="YES",VLOOKUP(B528,'Player Data'!A1:E667,5,FALSE),82)</f>
        <v>77.314999999999998</v>
      </c>
      <c r="R528" s="54">
        <f>VLOOKUP(B528,'Player Data'!$A1:$AE667,6,FALSE)</f>
        <v>14.4970871314751</v>
      </c>
      <c r="S528" s="56">
        <f>VLOOKUP(B528,'Player Data'!$A1:$AE667,7,FALSE)*$Q528*IFERROR((VLOOKUP(P528,Settings!$E$28:$F$33,2,FALSE)+1),1)</f>
        <v>12.353658847249759</v>
      </c>
      <c r="T528" s="56">
        <f>VLOOKUP(B528,'Player Data'!$A1:$AE667,8,FALSE)*$Q528*IFERROR((VLOOKUP(P528,Settings!$E$28:$F$33,2,FALSE)+1),1)</f>
        <v>16.427158469553383</v>
      </c>
      <c r="U528" s="56">
        <f>SUM(S528:T528)</f>
        <v>28.780817316803144</v>
      </c>
      <c r="V528" s="56">
        <f>VLOOKUP(B528,'Player Data'!$A1:$AE667,10,FALSE)*$Q528*IFERROR(((VLOOKUP(P528,Settings!$E$28:$F$33,2,FALSE)/2)+1),1)</f>
        <v>106.98384136184757</v>
      </c>
      <c r="W528" s="56">
        <f>VLOOKUP(B528,'Player Data'!$A1:$AE667,11,FALSE)*$Q528*IFERROR((VLOOKUP(P528,Settings!$E$28:$F$33,2,FALSE)+1),1)</f>
        <v>0.35130742108590579</v>
      </c>
      <c r="X528" s="56">
        <f>VLOOKUP(B528,'Player Data'!$A1:$AE667,12,FALSE)*$Q528*IFERROR((VLOOKUP(P528,Settings!$E$28:$F$33,2,FALSE)+1),1)</f>
        <v>1.0210329484809868</v>
      </c>
      <c r="Y528" s="56">
        <f>VLOOKUP(B528,'Player Data'!$A1:$AE667,13,FALSE)*$Q528</f>
        <v>0.57262448396956478</v>
      </c>
      <c r="Z528" s="56">
        <f>VLOOKUP(B528,'Player Data'!$A1:$AE667,14,FALSE)*$Q528</f>
        <v>1.7257337300367233</v>
      </c>
      <c r="AA528" s="56">
        <f>VLOOKUP(B528,'Player Data'!$A1:$AE667,15,FALSE)*$Q528</f>
        <v>33.337078121956068</v>
      </c>
      <c r="AB528" s="56">
        <f>VLOOKUP(B528,'Player Data'!$A1:$AE667,16,FALSE)*$Q528</f>
        <v>65.765469346391427</v>
      </c>
      <c r="AC528" s="56">
        <f>VLOOKUP(B528,'Player Data'!$A1:$AE667,17,FALSE)*$Q528*IFERROR((VLOOKUP(P528,Settings!$E$28:$F$33,2,FALSE)+1),1)</f>
        <v>7.1210379542298252</v>
      </c>
      <c r="AD528" s="56">
        <f>VLOOKUP(B528,'Player Data'!$A1:$AE667,18,FALSE)*$Q528</f>
        <v>18.304980312713841</v>
      </c>
      <c r="AE528" s="56">
        <f>VLOOKUP(B528,'Player Data'!$A1:$AE667,19,FALSE)*$Q528*IFERROR((VLOOKUP(P528,Settings!$E$28:$F$33,2,FALSE)+1),1)</f>
        <v>1.7474921968619737</v>
      </c>
      <c r="AF528" s="56">
        <f>VLOOKUP(B528,'Player Data'!$A1:$AE667,20,FALSE)*$Q528</f>
        <v>347.52552067112742</v>
      </c>
      <c r="AG528" s="56">
        <f>VLOOKUP(B528,'Player Data'!$A1:$AE667,21,FALSE)*$Q528</f>
        <v>358.63167137095712</v>
      </c>
      <c r="AH528" s="58">
        <f>VLOOKUP(B528,'Player Data'!$A1:$AE667,22,FALSE)</f>
        <v>0.49213620506525402</v>
      </c>
      <c r="AI528" s="54"/>
      <c r="AJ528" s="56"/>
      <c r="AK528" s="56"/>
      <c r="AL528" s="56"/>
      <c r="AM528" s="56"/>
      <c r="AN528" s="56"/>
      <c r="AO528" s="56"/>
      <c r="AP528" s="56"/>
      <c r="AQ528" s="59"/>
      <c r="AR528" s="60"/>
      <c r="AS528" s="54"/>
    </row>
    <row r="529" spans="1:45" ht="21.25" customHeight="1" x14ac:dyDescent="0.15">
      <c r="A529" s="45">
        <f>RANK(K529,K$1:K$665)</f>
        <v>528</v>
      </c>
      <c r="B529" s="9" t="s">
        <v>654</v>
      </c>
      <c r="C529" s="46" t="s">
        <v>127</v>
      </c>
      <c r="D529" s="47" t="str">
        <f>VLOOKUP(B529,'Player Data'!A1:D667,4,FALSE)</f>
        <v>C</v>
      </c>
      <c r="E529" s="48">
        <f>VLOOKUP(B529,'C'!A1:C206,3,FALSE)</f>
        <v>146</v>
      </c>
      <c r="F529" s="55" t="str">
        <f>VLOOKUP(B529,'Player Data'!A1:B667,2,FALSE)</f>
        <v>CHI</v>
      </c>
      <c r="G529" s="10">
        <f>VLOOKUP(B529,'Player Data'!A1:D667,3,FALSE)</f>
        <v>28</v>
      </c>
      <c r="H529" s="67">
        <f>IFERROR(VLOOKUP(B529,ADP!A1:G665,7,FALSE)/1000000,VLOOKUP(B529,ADP!A1:G665,7,FALSE))</f>
        <v>2</v>
      </c>
      <c r="I529" s="51">
        <f>IF(Settings!$E$15="POINTS",((R529*Q529)*Settings!$B$12)+(S529*Settings!$B$2)+(T529*Settings!$B$3)+(U529*Settings!$B$4)+(V529*Settings!$B$5)+(X529*Settings!$B$9)+(AA529*Settings!$B$6)+(W529*Settings!$B$8)+(AB529*Settings!$B$7)+(AC529*Settings!$B$14)+(AD529*Settings!$B$15)+(AE529*Settings!$B$16)+(AF529*Settings!$B$17)+(AG529*Settings!$B$18)+(Y529*Settings!$B$10)+(Z529*Settings!$B$11),VLOOKUP(B529,'Standard Deviations'!A1:C666,3,FALSE))</f>
        <v>158.92983137838078</v>
      </c>
      <c r="J529" s="52">
        <f>IF(D529="G",I529/AJ529,I529/Q529)</f>
        <v>2.0115790447537361</v>
      </c>
      <c r="K529" s="51">
        <f>IF(Settings!$E$18="C/LW/RW",VLOOKUP(B529,'C'!A1:F206,6,FALSE),VLOOKUP(B529,F!A1:F392,6,FALSE))</f>
        <v>-231.0073263997003</v>
      </c>
      <c r="L529" s="53">
        <f>IFERROR(K529/H529,"N/A")</f>
        <v>-115.50366319985015</v>
      </c>
      <c r="M529" s="83" t="str">
        <f>IF(Settings!$E$9="YAHOO",VLOOKUP(B529,ADP!A1:E665,2,FALSE),IF(Settings!$E$9="ESPN",VLOOKUP(B529,ADP!A1:E665,3,FALSE),IF(Settings!$E$9="FANTRAX",VLOOKUP(B529,ADP!A1:E665,4,FALSE),VLOOKUP(B529,ADP!A1:E665,5,FALSE))))</f>
        <v>—</v>
      </c>
      <c r="N529" s="83" t="str">
        <f>IFERROR(M529-A529,"N/A")</f>
        <v>N/A</v>
      </c>
      <c r="O529" s="54"/>
      <c r="P529" s="55" t="str">
        <f>IF(Settings!$E$27="ON",VLOOKUP(B529,ADP!A1:H665,8,FALSE)," ")</f>
        <v xml:space="preserve"> </v>
      </c>
      <c r="Q529" s="56">
        <f>IF(Settings!$E$12="YES",VLOOKUP(B529,'Player Data'!A1:E667,5,FALSE),82)</f>
        <v>79.007499999999993</v>
      </c>
      <c r="R529" s="81">
        <f>VLOOKUP(B529,'Player Data'!$A1:$AE667,6,FALSE)</f>
        <v>12.477816941071501</v>
      </c>
      <c r="S529" s="56">
        <f>VLOOKUP(B529,'Player Data'!$A1:$AE667,7,FALSE)*$Q529*IFERROR((VLOOKUP(P529,Settings!$E$28:$F$33,2,FALSE)+1),1)</f>
        <v>12.090945563064238</v>
      </c>
      <c r="T529" s="56">
        <f>VLOOKUP(B529,'Player Data'!$A1:$AE667,8,FALSE)*$Q529*IFERROR((VLOOKUP(P529,Settings!$E$28:$F$33,2,FALSE)+1),1)</f>
        <v>14.562383283982829</v>
      </c>
      <c r="U529" s="56">
        <f>SUM(S529:T529)</f>
        <v>26.653328847047067</v>
      </c>
      <c r="V529" s="56">
        <f>VLOOKUP(B529,'Player Data'!$A1:$AE667,10,FALSE)*$Q529*IFERROR(((VLOOKUP(P529,Settings!$E$28:$F$33,2,FALSE)/2)+1),1)</f>
        <v>131.59821137974535</v>
      </c>
      <c r="W529" s="56">
        <f>VLOOKUP(B529,'Player Data'!$A1:$AE667,11,FALSE)*$Q529*IFERROR((VLOOKUP(P529,Settings!$E$28:$F$33,2,FALSE)+1),1)</f>
        <v>0.45256997761219819</v>
      </c>
      <c r="X529" s="56">
        <f>VLOOKUP(B529,'Player Data'!$A1:$AE667,12,FALSE)*$Q529*IFERROR((VLOOKUP(P529,Settings!$E$28:$F$33,2,FALSE)+1),1)</f>
        <v>1.30014889983108</v>
      </c>
      <c r="Y529" s="56">
        <f>VLOOKUP(B529,'Player Data'!$A1:$AE667,13,FALSE)*$Q529</f>
        <v>0.12483668759599285</v>
      </c>
      <c r="Z529" s="56">
        <f>VLOOKUP(B529,'Player Data'!$A1:$AE667,14,FALSE)*$Q529</f>
        <v>0.2124444485281986</v>
      </c>
      <c r="AA529" s="56">
        <f>VLOOKUP(B529,'Player Data'!$A1:$AE667,15,FALSE)*$Q529</f>
        <v>23.316291598015241</v>
      </c>
      <c r="AB529" s="56">
        <f>VLOOKUP(B529,'Player Data'!$A1:$AE667,16,FALSE)*$Q529</f>
        <v>92.980656910501963</v>
      </c>
      <c r="AC529" s="56">
        <f>VLOOKUP(B529,'Player Data'!$A1:$AE667,17,FALSE)*$Q529*IFERROR((VLOOKUP(P529,Settings!$E$28:$F$33,2,FALSE)+1),1)</f>
        <v>-5.7627855176240042</v>
      </c>
      <c r="AD529" s="56">
        <f>VLOOKUP(B529,'Player Data'!$A1:$AE667,18,FALSE)*$Q529</f>
        <v>29.832805247243691</v>
      </c>
      <c r="AE529" s="56">
        <f>VLOOKUP(B529,'Player Data'!$A1:$AE667,19,FALSE)*$Q529*IFERROR((VLOOKUP(P529,Settings!$E$28:$F$33,2,FALSE)+1),1)</f>
        <v>1.5625763160498833</v>
      </c>
      <c r="AF529" s="56">
        <f>VLOOKUP(B529,'Player Data'!$A1:$AE667,20,FALSE)*$Q529</f>
        <v>74.130160420258562</v>
      </c>
      <c r="AG529" s="56">
        <f>VLOOKUP(B529,'Player Data'!$A1:$AE667,21,FALSE)*$Q529</f>
        <v>100.70638673434051</v>
      </c>
      <c r="AH529" s="58">
        <f>VLOOKUP(B529,'Player Data'!$A1:$AE667,22,FALSE)</f>
        <v>0.42399693672003902</v>
      </c>
      <c r="AI529" s="54"/>
      <c r="AJ529" s="64"/>
      <c r="AK529" s="56"/>
      <c r="AL529" s="56"/>
      <c r="AM529" s="56"/>
      <c r="AN529" s="56"/>
      <c r="AO529" s="56"/>
      <c r="AP529" s="56"/>
      <c r="AQ529" s="59"/>
      <c r="AR529" s="60"/>
      <c r="AS529" s="54"/>
    </row>
    <row r="530" spans="1:45" ht="21.25" customHeight="1" x14ac:dyDescent="0.15">
      <c r="A530" s="45">
        <f>RANK(K530,K$1:K$665)</f>
        <v>529</v>
      </c>
      <c r="B530" s="9" t="s">
        <v>655</v>
      </c>
      <c r="C530" s="46" t="s">
        <v>127</v>
      </c>
      <c r="D530" s="47" t="str">
        <f>VLOOKUP(B530,'Player Data'!A1:D667,4,FALSE)</f>
        <v>C</v>
      </c>
      <c r="E530" s="48">
        <f>VLOOKUP(B530,'C'!A1:C206,3,FALSE)</f>
        <v>147</v>
      </c>
      <c r="F530" s="62" t="str">
        <f>VLOOKUP(B530,'Player Data'!A1:B667,2,FALSE)</f>
        <v>OTT</v>
      </c>
      <c r="G530" s="10">
        <f>VLOOKUP(B530,'Player Data'!A1:D667,3,FALSE)</f>
        <v>28</v>
      </c>
      <c r="H530" s="50">
        <f>IFERROR(VLOOKUP(B530,ADP!A1:G665,7,FALSE)/1000000,VLOOKUP(B530,ADP!A1:G665,7,FALSE))</f>
        <v>2.6</v>
      </c>
      <c r="I530" s="51">
        <f>IF(Settings!$E$15="POINTS",((R530*Q530)*Settings!$B$12)+(S530*Settings!$B$2)+(T530*Settings!$B$3)+(U530*Settings!$B$4)+(V530*Settings!$B$5)+(X530*Settings!$B$9)+(AA530*Settings!$B$6)+(W530*Settings!$B$8)+(AB530*Settings!$B$7)+(AC530*Settings!$B$14)+(AD530*Settings!$B$15)+(AE530*Settings!$B$16)+(AF530*Settings!$B$17)+(AG530*Settings!$B$18)+(Y530*Settings!$B$10)+(Z530*Settings!$B$11),VLOOKUP(B530,'Standard Deviations'!A1:C666,3,FALSE))</f>
        <v>158.56234459362454</v>
      </c>
      <c r="J530" s="52">
        <f>IF(D530="G",I530/AJ530,I530/Q530)</f>
        <v>2.0926797491569822</v>
      </c>
      <c r="K530" s="51">
        <f>IF(Settings!$E$18="C/LW/RW",VLOOKUP(B530,'C'!A1:F206,6,FALSE),VLOOKUP(B530,F!A1:F392,6,FALSE))</f>
        <v>-231.37481318445654</v>
      </c>
      <c r="L530" s="53">
        <f>IFERROR(K530/H530,"N/A")</f>
        <v>-88.990312763252518</v>
      </c>
      <c r="M530" s="83" t="str">
        <f>IF(Settings!$E$9="YAHOO",VLOOKUP(B530,ADP!A1:E665,2,FALSE),IF(Settings!$E$9="ESPN",VLOOKUP(B530,ADP!A1:E665,3,FALSE),IF(Settings!$E$9="FANTRAX",VLOOKUP(B530,ADP!A1:E665,4,FALSE),VLOOKUP(B530,ADP!A1:E665,5,FALSE))))</f>
        <v>—</v>
      </c>
      <c r="N530" s="83" t="str">
        <f>IFERROR(M530-A530,"N/A")</f>
        <v>N/A</v>
      </c>
      <c r="O530" s="54"/>
      <c r="P530" s="55" t="str">
        <f>IF(Settings!$E$27="ON",VLOOKUP(B530,ADP!A1:H665,8,FALSE)," ")</f>
        <v xml:space="preserve"> </v>
      </c>
      <c r="Q530" s="56">
        <f>IF(Settings!$E$12="YES",VLOOKUP(B530,'Player Data'!A1:E667,5,FALSE),82)</f>
        <v>75.77</v>
      </c>
      <c r="R530" s="54">
        <f>VLOOKUP(B530,'Player Data'!$A1:$AE667,6,FALSE)</f>
        <v>13.4449361832101</v>
      </c>
      <c r="S530" s="56">
        <f>VLOOKUP(B530,'Player Data'!$A1:$AE667,7,FALSE)*$Q530*IFERROR((VLOOKUP(P530,Settings!$E$28:$F$33,2,FALSE)+1),1)</f>
        <v>14.189638629508146</v>
      </c>
      <c r="T530" s="56">
        <f>VLOOKUP(B530,'Player Data'!$A1:$AE667,8,FALSE)*$Q530*IFERROR((VLOOKUP(P530,Settings!$E$28:$F$33,2,FALSE)+1),1)</f>
        <v>12.841423132829622</v>
      </c>
      <c r="U530" s="56">
        <f>SUM(S530:T530)</f>
        <v>27.031061762337767</v>
      </c>
      <c r="V530" s="56">
        <f>VLOOKUP(B530,'Player Data'!$A1:$AE667,10,FALSE)*$Q530*IFERROR(((VLOOKUP(P530,Settings!$E$28:$F$33,2,FALSE)/2)+1),1)</f>
        <v>113.52138563409542</v>
      </c>
      <c r="W530" s="56">
        <f>VLOOKUP(B530,'Player Data'!$A1:$AE667,11,FALSE)*$Q530*IFERROR((VLOOKUP(P530,Settings!$E$28:$F$33,2,FALSE)+1),1)</f>
        <v>1.1064019866447574</v>
      </c>
      <c r="X530" s="56">
        <f>VLOOKUP(B530,'Player Data'!$A1:$AE667,12,FALSE)*$Q530*IFERROR((VLOOKUP(P530,Settings!$E$28:$F$33,2,FALSE)+1),1)</f>
        <v>2.0861244279961784</v>
      </c>
      <c r="Y530" s="56">
        <f>VLOOKUP(B530,'Player Data'!$A1:$AE667,13,FALSE)*$Q530</f>
        <v>0.22228461729762428</v>
      </c>
      <c r="Z530" s="56">
        <f>VLOOKUP(B530,'Player Data'!$A1:$AE667,14,FALSE)*$Q530</f>
        <v>0.37643711410159064</v>
      </c>
      <c r="AA530" s="56">
        <f>VLOOKUP(B530,'Player Data'!$A1:$AE667,15,FALSE)*$Q530</f>
        <v>36.4918098949315</v>
      </c>
      <c r="AB530" s="56">
        <f>VLOOKUP(B530,'Player Data'!$A1:$AE667,16,FALSE)*$Q530</f>
        <v>59.5803421253501</v>
      </c>
      <c r="AC530" s="56">
        <f>VLOOKUP(B530,'Player Data'!$A1:$AE667,17,FALSE)*$Q530*IFERROR((VLOOKUP(P530,Settings!$E$28:$F$33,2,FALSE)+1),1)</f>
        <v>2.1996077181271652</v>
      </c>
      <c r="AD530" s="56">
        <f>VLOOKUP(B530,'Player Data'!$A1:$AE667,18,FALSE)*$Q530</f>
        <v>19.843419918774355</v>
      </c>
      <c r="AE530" s="56">
        <f>VLOOKUP(B530,'Player Data'!$A1:$AE667,19,FALSE)*$Q530*IFERROR((VLOOKUP(P530,Settings!$E$28:$F$33,2,FALSE)+1),1)</f>
        <v>2.2031434471130922</v>
      </c>
      <c r="AF530" s="56">
        <f>VLOOKUP(B530,'Player Data'!$A1:$AE667,20,FALSE)*$Q530</f>
        <v>62.566429432922831</v>
      </c>
      <c r="AG530" s="56">
        <f>VLOOKUP(B530,'Player Data'!$A1:$AE667,21,FALSE)*$Q530</f>
        <v>65.578760934573396</v>
      </c>
      <c r="AH530" s="58">
        <f>VLOOKUP(B530,'Player Data'!$A1:$AE667,22,FALSE)</f>
        <v>0.488246412163376</v>
      </c>
      <c r="AI530" s="54"/>
      <c r="AJ530" s="64"/>
      <c r="AK530" s="56"/>
      <c r="AL530" s="56"/>
      <c r="AM530" s="56"/>
      <c r="AN530" s="56"/>
      <c r="AO530" s="56"/>
      <c r="AP530" s="56"/>
      <c r="AQ530" s="59"/>
      <c r="AR530" s="60"/>
      <c r="AS530" s="54"/>
    </row>
    <row r="531" spans="1:45" ht="21.25" customHeight="1" x14ac:dyDescent="0.15">
      <c r="A531" s="45">
        <f>RANK(K531,K$1:K$665)</f>
        <v>530</v>
      </c>
      <c r="B531" s="9" t="s">
        <v>656</v>
      </c>
      <c r="C531" s="46" t="s">
        <v>127</v>
      </c>
      <c r="D531" s="47" t="str">
        <f>VLOOKUP(B531,'Player Data'!A1:D667,4,FALSE)</f>
        <v>G</v>
      </c>
      <c r="E531" s="73">
        <f>VLOOKUP(B531,G!A1:D65,3,FALSE)</f>
        <v>49</v>
      </c>
      <c r="F531" s="71" t="str">
        <f>VLOOKUP(B531,'Player Data'!A1:B667,2,FALSE)</f>
        <v>COL</v>
      </c>
      <c r="G531" s="69">
        <f>VLOOKUP(B531,'Player Data'!A1:D667,3,FALSE)</f>
        <v>24</v>
      </c>
      <c r="H531" s="50">
        <f>IFERROR(VLOOKUP(B531,ADP!A1:G665,7,FALSE)/1000000,VLOOKUP(B531,ADP!A1:G665,7,FALSE))</f>
        <v>0.83750000000000002</v>
      </c>
      <c r="I531" s="51">
        <f>IF(Settings!$E$15="POINTS",(AJ531*Settings!$B$29)+(AK531*Settings!$B$21)+(AL531*Settings!$B$22)+(AN531*Settings!$B$24)+(AO531*Settings!$B$25)+(AP531*Settings!$B$27)+(AM531*Settings!$B$23),VLOOKUP(B531,'Standard Deviations'!A1:C666,3,FALSE))</f>
        <v>178.8766642425922</v>
      </c>
      <c r="J531" s="52">
        <f>IF(D531="G",I531/AJ531,I531/Q531)</f>
        <v>6.8798717016381614</v>
      </c>
      <c r="K531" s="51">
        <f>VLOOKUP(B531,G!A1:F65,6,FALSE)</f>
        <v>-231.78307852682798</v>
      </c>
      <c r="L531" s="53">
        <f>IFERROR(K531/H531,"N/A")</f>
        <v>-276.75591465889909</v>
      </c>
      <c r="M531" s="54">
        <f>IF(Settings!$E$9="YAHOO",VLOOKUP(B531,ADP!A1:E665,2,FALSE),IF(Settings!$E$9="ESPN",VLOOKUP(B531,ADP!A1:E665,3,FALSE),IF(Settings!$E$9="FANTRAX",VLOOKUP(B531,ADP!A1:E665,4,FALSE),VLOOKUP(B531,ADP!A1:E665,5,FALSE))))</f>
        <v>166</v>
      </c>
      <c r="N531" s="54">
        <f>IFERROR(M531-A531,"N/A")</f>
        <v>-364</v>
      </c>
      <c r="O531" s="54"/>
      <c r="P531" s="55" t="str">
        <f>IF(Settings!$E$27="ON",VLOOKUP(B531,ADP!A1:H665,8,FALSE)," ")</f>
        <v xml:space="preserve"> </v>
      </c>
      <c r="Q531" s="56"/>
      <c r="R531" s="54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8"/>
      <c r="AI531" s="54"/>
      <c r="AJ531" s="64">
        <f>VLOOKUP(B531,'Player Data'!$A1:$AE667,24,FALSE)</f>
        <v>26</v>
      </c>
      <c r="AK531" s="56">
        <f>VLOOKUP(B531,'Player Data'!$A1:$AE667,25,FALSE)*$AJ531*IFERROR((VLOOKUP(P531,Settings!$E$28:$F$33,2,FALSE)+1),1)</f>
        <v>15.216851921761256</v>
      </c>
      <c r="AL531" s="56">
        <f>AJ531-AK531-AM531</f>
        <v>7.5331480782387441</v>
      </c>
      <c r="AM531" s="56">
        <f>VLOOKUP(B531,'Player Data'!$A1:$AE667,27,FALSE)*$AJ531</f>
        <v>3.25</v>
      </c>
      <c r="AN531" s="56">
        <f>VLOOKUP(B531,'Player Data'!$A1:$AE667,28,FALSE)*AJ531</f>
        <v>1.321739359856331</v>
      </c>
      <c r="AO531" s="56">
        <f>VLOOKUP(B531,'Player Data'!$A1:$AE667,29,FALSE)*$AJ531*IFERROR((VLOOKUP(P531,Settings!$E$28:$F$33,2,FALSE)/4)+1,1)</f>
        <v>710.10965200717624</v>
      </c>
      <c r="AP531" s="56">
        <f>VLOOKUP(B531,'Player Data'!$A1:$AE667,31,FALSE)*$AJ531*(IFERROR(1-(VLOOKUP(P531,Settings!$E$28:$F$33,2,FALSE)/4),1))</f>
        <v>74.383485628711995</v>
      </c>
      <c r="AQ531" s="59">
        <f>1-(AP531/(AO531+AP531))</f>
        <v>0.90518274531645926</v>
      </c>
      <c r="AR531" s="60">
        <f>AP531/AJ531</f>
        <v>2.860903293412</v>
      </c>
      <c r="AS531" s="54"/>
    </row>
    <row r="532" spans="1:45" ht="21.25" customHeight="1" x14ac:dyDescent="0.15">
      <c r="A532" s="45">
        <f>RANK(K532,K$1:K$665)</f>
        <v>531</v>
      </c>
      <c r="B532" s="9" t="s">
        <v>657</v>
      </c>
      <c r="C532" s="46" t="s">
        <v>127</v>
      </c>
      <c r="D532" s="47" t="str">
        <f>VLOOKUP(B532,'Player Data'!A1:D667,4,FALSE)</f>
        <v>LW</v>
      </c>
      <c r="E532" s="70">
        <f>VLOOKUP(B532,LW!A1:C152,3,FALSE)</f>
        <v>117</v>
      </c>
      <c r="F532" s="72" t="str">
        <f>VLOOKUP(B532,'Player Data'!A1:B667,2,FALSE)</f>
        <v>CAR</v>
      </c>
      <c r="G532" s="69">
        <f>VLOOKUP(B532,'Player Data'!A1:D667,3,FALSE)</f>
        <v>19</v>
      </c>
      <c r="H532" s="50">
        <f>IFERROR(VLOOKUP(B532,ADP!A1:G665,7,FALSE)/1000000,VLOOKUP(B532,ADP!A1:G665,7,FALSE))</f>
        <v>0.91833299999999995</v>
      </c>
      <c r="I532" s="51">
        <f>IF(Settings!$E$15="POINTS",((R532*Q532)*Settings!$B$12)+(S532*Settings!$B$2)+(T532*Settings!$B$3)+(U532*Settings!$B$4)+(V532*Settings!$B$5)+(X532*Settings!$B$9)+(AA532*Settings!$B$6)+(W532*Settings!$B$8)+(AB532*Settings!$B$7)+(AC532*Settings!$B$14)+(AD532*Settings!$B$15)+(AE532*Settings!$B$16)+(AF532*Settings!$B$17)+(AG532*Settings!$B$18)+(Y532*Settings!$B$10)+(Z532*Settings!$B$11),VLOOKUP(B532,'Standard Deviations'!A1:C666,3,FALSE))</f>
        <v>147.76559891746672</v>
      </c>
      <c r="J532" s="52">
        <f>IF(D532="G",I532/AJ532,I532/Q532)</f>
        <v>2.4627599819577788</v>
      </c>
      <c r="K532" s="51">
        <f>IF(Settings!$E$18="C/LW/RW",VLOOKUP(B532,LW!A1:F152,6,FALSE),VLOOKUP(B532,F!A1:F392,6,FALSE))</f>
        <v>-233.29591338503303</v>
      </c>
      <c r="L532" s="53">
        <f>IFERROR(K532/H532,"N/A")</f>
        <v>-254.04282910995582</v>
      </c>
      <c r="M532" s="54">
        <f>IF(Settings!$E$9="YAHOO",VLOOKUP(B532,ADP!A1:E665,2,FALSE),IF(Settings!$E$9="ESPN",VLOOKUP(B532,ADP!A1:E665,3,FALSE),IF(Settings!$E$9="FANTRAX",VLOOKUP(B532,ADP!A1:E665,4,FALSE),VLOOKUP(B532,ADP!A1:E665,5,FALSE))))</f>
        <v>0</v>
      </c>
      <c r="N532" s="54">
        <f>IFERROR(M532-A532,"N/A")</f>
        <v>-531</v>
      </c>
      <c r="O532" s="54"/>
      <c r="P532" s="85">
        <f>IF(Settings!$E$27="ON",VLOOKUP(B532,ADP!A1:H665,8,FALSE)," ")</f>
        <v>0</v>
      </c>
      <c r="Q532" s="56">
        <f>IF(Settings!$E$12="YES",VLOOKUP(B532,'Player Data'!A1:E667,5,FALSE),82)</f>
        <v>60</v>
      </c>
      <c r="R532" s="54">
        <f>VLOOKUP(B532,'Player Data'!$A1:$AE667,6,FALSE)</f>
        <v>14</v>
      </c>
      <c r="S532" s="56">
        <f>VLOOKUP(B532,'Player Data'!$A1:$AE667,7,FALSE)*$Q532*IFERROR((VLOOKUP(P532,Settings!$E$28:$F$33,2,FALSE)+1),1)</f>
        <v>10.71257362620972</v>
      </c>
      <c r="T532" s="56">
        <f>VLOOKUP(B532,'Player Data'!$A1:$AE667,8,FALSE)*$Q532*IFERROR((VLOOKUP(P532,Settings!$E$28:$F$33,2,FALSE)+1),1)</f>
        <v>16.369442777885098</v>
      </c>
      <c r="U532" s="56">
        <f>SUM(S532:T532)</f>
        <v>27.082016404094816</v>
      </c>
      <c r="V532" s="56">
        <f>VLOOKUP(B532,'Player Data'!$A1:$AE667,10,FALSE)*$Q532*IFERROR(((VLOOKUP(P532,Settings!$E$28:$F$33,2,FALSE)/2)+1),1)</f>
        <v>96.446657018796003</v>
      </c>
      <c r="W532" s="56">
        <f>VLOOKUP(B532,'Player Data'!$A1:$AE667,11,FALSE)*$Q532*IFERROR((VLOOKUP(P532,Settings!$E$28:$F$33,2,FALSE)+1),1)</f>
        <v>2.2589883045748738</v>
      </c>
      <c r="X532" s="56">
        <f>VLOOKUP(B532,'Player Data'!$A1:$AE667,12,FALSE)*$Q532*IFERROR((VLOOKUP(P532,Settings!$E$28:$F$33,2,FALSE)+1),1)</f>
        <v>5.7108553421257442</v>
      </c>
      <c r="Y532" s="56">
        <f>VLOOKUP(B532,'Player Data'!$A1:$AE667,13,FALSE)*$Q532</f>
        <v>0</v>
      </c>
      <c r="Z532" s="56">
        <f>VLOOKUP(B532,'Player Data'!$A1:$AE667,14,FALSE)*$Q532</f>
        <v>0</v>
      </c>
      <c r="AA532" s="56">
        <f>VLOOKUP(B532,'Player Data'!$A1:$AE667,15,FALSE)*$Q532</f>
        <v>25.17073170731706</v>
      </c>
      <c r="AB532" s="56">
        <f>VLOOKUP(B532,'Player Data'!$A1:$AE667,16,FALSE)*$Q532</f>
        <v>70.985544196035605</v>
      </c>
      <c r="AC532" s="56">
        <f>VLOOKUP(B532,'Player Data'!$A1:$AE667,17,FALSE)*$Q532*IFERROR((VLOOKUP(P532,Settings!$E$28:$F$33,2,FALSE)+1),1)</f>
        <v>3.4623541818858961</v>
      </c>
      <c r="AD532" s="56">
        <f>VLOOKUP(B532,'Player Data'!$A1:$AE667,18,FALSE)*$Q532</f>
        <v>24.244013903010242</v>
      </c>
      <c r="AE532" s="56">
        <f>VLOOKUP(B532,'Player Data'!$A1:$AE667,19,FALSE)*$Q532*IFERROR((VLOOKUP(P532,Settings!$E$28:$F$33,2,FALSE)+1),1)</f>
        <v>1.8563346001462739</v>
      </c>
      <c r="AF532" s="56">
        <f>VLOOKUP(B532,'Player Data'!$A1:$AE667,20,FALSE)*$Q532</f>
        <v>0</v>
      </c>
      <c r="AG532" s="56">
        <f>VLOOKUP(B532,'Player Data'!$A1:$AE667,21,FALSE)*$Q532</f>
        <v>0</v>
      </c>
      <c r="AH532" s="58">
        <f>VLOOKUP(B532,'Player Data'!$A1:$AE667,22,FALSE)</f>
        <v>0</v>
      </c>
      <c r="AI532" s="54"/>
      <c r="AJ532" s="56"/>
      <c r="AK532" s="56"/>
      <c r="AL532" s="56"/>
      <c r="AM532" s="56"/>
      <c r="AN532" s="56"/>
      <c r="AO532" s="56"/>
      <c r="AP532" s="56"/>
      <c r="AQ532" s="59"/>
      <c r="AR532" s="60"/>
      <c r="AS532" s="54"/>
    </row>
    <row r="533" spans="1:45" ht="21.25" customHeight="1" x14ac:dyDescent="0.15">
      <c r="A533" s="45">
        <f>RANK(K533,K$1:K$665)</f>
        <v>532</v>
      </c>
      <c r="B533" s="9" t="s">
        <v>658</v>
      </c>
      <c r="C533" s="46" t="s">
        <v>127</v>
      </c>
      <c r="D533" s="47" t="str">
        <f>VLOOKUP(B533,'Player Data'!A1:D667,4,FALSE)</f>
        <v>G</v>
      </c>
      <c r="E533" s="73">
        <f>VLOOKUP(B533,G!A1:D65,3,FALSE)</f>
        <v>50</v>
      </c>
      <c r="F533" s="77" t="str">
        <f>VLOOKUP(B533,'Player Data'!A1:B667,2,FALSE)</f>
        <v>MTL</v>
      </c>
      <c r="G533" s="69">
        <f>VLOOKUP(B533,'Player Data'!A1:D667,3,FALSE)</f>
        <v>24</v>
      </c>
      <c r="H533" s="67">
        <f>IFERROR(VLOOKUP(B533,ADP!A1:G665,7,FALSE)/1000000,VLOOKUP(B533,ADP!A1:G665,7,FALSE))</f>
        <v>0.89</v>
      </c>
      <c r="I533" s="51">
        <f>IF(Settings!$E$15="POINTS",(AJ533*Settings!$B$29)+(AK533*Settings!$B$21)+(AL533*Settings!$B$22)+(AN533*Settings!$B$24)+(AO533*Settings!$B$25)+(AP533*Settings!$B$27)+(AM533*Settings!$B$23),VLOOKUP(B533,'Standard Deviations'!A1:C666,3,FALSE))</f>
        <v>177.34598743601799</v>
      </c>
      <c r="J533" s="52">
        <f>IF(D533="G",I533/AJ533,I533/Q533)</f>
        <v>6.3337852655720708</v>
      </c>
      <c r="K533" s="51">
        <f>VLOOKUP(B533,G!A1:F65,6,FALSE)</f>
        <v>-233.31375533340218</v>
      </c>
      <c r="L533" s="53">
        <f>IFERROR(K533/H533,"N/A")</f>
        <v>-262.15028689146311</v>
      </c>
      <c r="M533" s="83" t="str">
        <f>IF(Settings!$E$9="YAHOO",VLOOKUP(B533,ADP!A1:E665,2,FALSE),IF(Settings!$E$9="ESPN",VLOOKUP(B533,ADP!A1:E665,3,FALSE),IF(Settings!$E$9="FANTRAX",VLOOKUP(B533,ADP!A1:E665,4,FALSE),VLOOKUP(B533,ADP!A1:E665,5,FALSE))))</f>
        <v>—</v>
      </c>
      <c r="N533" s="83" t="str">
        <f>IFERROR(M533-A533,"N/A")</f>
        <v>N/A</v>
      </c>
      <c r="O533" s="54"/>
      <c r="P533" s="55" t="str">
        <f>IF(Settings!$E$27="ON",VLOOKUP(B533,ADP!A1:H665,8,FALSE)," ")</f>
        <v xml:space="preserve"> </v>
      </c>
      <c r="Q533" s="56"/>
      <c r="R533" s="54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8"/>
      <c r="AI533" s="54"/>
      <c r="AJ533" s="64">
        <f>VLOOKUP(B533,'Player Data'!$A1:$AE667,24,FALSE)</f>
        <v>28</v>
      </c>
      <c r="AK533" s="56">
        <f>VLOOKUP(B533,'Player Data'!$A1:$AE667,25,FALSE)*$AJ533*IFERROR((VLOOKUP(P533,Settings!$E$28:$F$33,2,FALSE)+1),1)</f>
        <v>12.151818493027891</v>
      </c>
      <c r="AL533" s="56">
        <f>AJ533-AK533-AM533</f>
        <v>12.348181506972109</v>
      </c>
      <c r="AM533" s="56">
        <f>VLOOKUP(B533,'Player Data'!$A1:$AE667,27,FALSE)*$AJ533</f>
        <v>3.5</v>
      </c>
      <c r="AN533" s="56">
        <f>VLOOKUP(B533,'Player Data'!$A1:$AE667,28,FALSE)*AJ533</f>
        <v>0.92234193803928122</v>
      </c>
      <c r="AO533" s="56">
        <f>VLOOKUP(B533,'Player Data'!$A1:$AE667,29,FALSE)*$AJ533*IFERROR((VLOOKUP(P533,Settings!$E$28:$F$33,2,FALSE)/4)+1,1)</f>
        <v>804.14845475823881</v>
      </c>
      <c r="AP533" s="56">
        <f>VLOOKUP(B533,'Player Data'!$A1:$AE667,31,FALSE)*$AJ533*(IFERROR(1-(VLOOKUP(P533,Settings!$E$28:$F$33,2,FALSE)/4),1))</f>
        <v>87.368679120074802</v>
      </c>
      <c r="AQ533" s="59">
        <f>1-(AP533/(AO533+AP533))</f>
        <v>0.90199999999999991</v>
      </c>
      <c r="AR533" s="60">
        <f>AP533/AJ533</f>
        <v>3.1203099685741003</v>
      </c>
      <c r="AS533" s="54"/>
    </row>
    <row r="534" spans="1:45" ht="21.25" customHeight="1" x14ac:dyDescent="0.15">
      <c r="A534" s="45">
        <f>RANK(K534,K$1:K$665)</f>
        <v>533</v>
      </c>
      <c r="B534" s="9" t="s">
        <v>659</v>
      </c>
      <c r="C534" s="46" t="s">
        <v>127</v>
      </c>
      <c r="D534" s="47" t="str">
        <f>VLOOKUP(B534,'Player Data'!A1:D667,4,FALSE)</f>
        <v>LW</v>
      </c>
      <c r="E534" s="70">
        <f>VLOOKUP(B534,LW!A1:C152,3,FALSE)</f>
        <v>118</v>
      </c>
      <c r="F534" s="55" t="str">
        <f>VLOOKUP(B534,'Player Data'!A1:B667,2,FALSE)</f>
        <v>N.J</v>
      </c>
      <c r="G534" s="63">
        <f>VLOOKUP(B534,'Player Data'!A1:D667,3,FALSE)</f>
        <v>33</v>
      </c>
      <c r="H534" s="67">
        <f>IFERROR(VLOOKUP(B534,ADP!A1:G665,7,FALSE)/1000000,VLOOKUP(B534,ADP!A1:G665,7,FALSE))</f>
        <v>1.8</v>
      </c>
      <c r="I534" s="51">
        <f>IF(Settings!$E$15="POINTS",((R534*Q534)*Settings!$B$12)+(S534*Settings!$B$2)+(T534*Settings!$B$3)+(U534*Settings!$B$4)+(V534*Settings!$B$5)+(X534*Settings!$B$9)+(AA534*Settings!$B$6)+(W534*Settings!$B$8)+(AB534*Settings!$B$7)+(AC534*Settings!$B$14)+(AD534*Settings!$B$15)+(AE534*Settings!$B$16)+(AF534*Settings!$B$17)+(AG534*Settings!$B$18)+(Y534*Settings!$B$10)+(Z534*Settings!$B$11),VLOOKUP(B534,'Standard Deviations'!A1:C666,3,FALSE))</f>
        <v>147.52965474221415</v>
      </c>
      <c r="J534" s="52">
        <f>IF(D534="G",I534/AJ534,I534/Q534)</f>
        <v>1.8603991770771016</v>
      </c>
      <c r="K534" s="51">
        <f>IF(Settings!$E$18="C/LW/RW",VLOOKUP(B534,LW!A1:F152,6,FALSE),VLOOKUP(B534,F!A1:F392,6,FALSE))</f>
        <v>-233.5318575602856</v>
      </c>
      <c r="L534" s="53">
        <f>IFERROR(K534/H534,"N/A")</f>
        <v>-129.73992086682534</v>
      </c>
      <c r="M534" s="83" t="str">
        <f>IF(Settings!$E$9="YAHOO",VLOOKUP(B534,ADP!A1:E665,2,FALSE),IF(Settings!$E$9="ESPN",VLOOKUP(B534,ADP!A1:E665,3,FALSE),IF(Settings!$E$9="FANTRAX",VLOOKUP(B534,ADP!A1:E665,4,FALSE),VLOOKUP(B534,ADP!A1:E665,5,FALSE))))</f>
        <v>—</v>
      </c>
      <c r="N534" s="83" t="str">
        <f>IFERROR(M534-A534,"N/A")</f>
        <v>N/A</v>
      </c>
      <c r="O534" s="54"/>
      <c r="P534" s="55" t="str">
        <f>IF(Settings!$E$27="ON",VLOOKUP(B534,ADP!A1:H665,8,FALSE)," ")</f>
        <v xml:space="preserve"> </v>
      </c>
      <c r="Q534" s="56">
        <f>IF(Settings!$E$12="YES",VLOOKUP(B534,'Player Data'!A1:E667,5,FALSE),82)</f>
        <v>79.3</v>
      </c>
      <c r="R534" s="54">
        <f>VLOOKUP(B534,'Player Data'!$A1:$AE667,6,FALSE)</f>
        <v>12.717663200383701</v>
      </c>
      <c r="S534" s="56">
        <f>VLOOKUP(B534,'Player Data'!$A1:$AE667,7,FALSE)*$Q534*IFERROR((VLOOKUP(P534,Settings!$E$28:$F$33,2,FALSE)+1),1)</f>
        <v>11.453630212598968</v>
      </c>
      <c r="T534" s="56">
        <f>VLOOKUP(B534,'Player Data'!$A1:$AE667,8,FALSE)*$Q534*IFERROR((VLOOKUP(P534,Settings!$E$28:$F$33,2,FALSE)+1),1)</f>
        <v>16.432200336112238</v>
      </c>
      <c r="U534" s="56">
        <f>SUM(S534:T534)</f>
        <v>27.885830548711205</v>
      </c>
      <c r="V534" s="56">
        <f>VLOOKUP(B534,'Player Data'!$A1:$AE667,10,FALSE)*$Q534*IFERROR(((VLOOKUP(P534,Settings!$E$28:$F$33,2,FALSE)/2)+1),1)</f>
        <v>96.949328300542774</v>
      </c>
      <c r="W534" s="56">
        <f>VLOOKUP(B534,'Player Data'!$A1:$AE667,11,FALSE)*$Q534*IFERROR((VLOOKUP(P534,Settings!$E$28:$F$33,2,FALSE)+1),1)</f>
        <v>0.18784124140860228</v>
      </c>
      <c r="X534" s="56">
        <f>VLOOKUP(B534,'Player Data'!$A1:$AE667,12,FALSE)*$Q534*IFERROR((VLOOKUP(P534,Settings!$E$28:$F$33,2,FALSE)+1),1)</f>
        <v>0.60632701887330109</v>
      </c>
      <c r="Y534" s="56">
        <f>VLOOKUP(B534,'Player Data'!$A1:$AE667,13,FALSE)*$Q534</f>
        <v>8.4124903658514369E-2</v>
      </c>
      <c r="Z534" s="56">
        <f>VLOOKUP(B534,'Player Data'!$A1:$AE667,14,FALSE)*$Q534</f>
        <v>0.14529892254743271</v>
      </c>
      <c r="AA534" s="56">
        <f>VLOOKUP(B534,'Player Data'!$A1:$AE667,15,FALSE)*$Q534</f>
        <v>29.291746008776855</v>
      </c>
      <c r="AB534" s="56">
        <f>VLOOKUP(B534,'Player Data'!$A1:$AE667,16,FALSE)*$Q534</f>
        <v>58.749767149873158</v>
      </c>
      <c r="AC534" s="56">
        <f>VLOOKUP(B534,'Player Data'!$A1:$AE667,17,FALSE)*$Q534*IFERROR((VLOOKUP(P534,Settings!$E$28:$F$33,2,FALSE)+1),1)</f>
        <v>0.8859240612023106</v>
      </c>
      <c r="AD534" s="56">
        <f>VLOOKUP(B534,'Player Data'!$A1:$AE667,18,FALSE)*$Q534</f>
        <v>23.590978033151519</v>
      </c>
      <c r="AE534" s="56">
        <f>VLOOKUP(B534,'Player Data'!$A1:$AE667,19,FALSE)*$Q534*IFERROR((VLOOKUP(P534,Settings!$E$28:$F$33,2,FALSE)+1),1)</f>
        <v>1.7280815893895172</v>
      </c>
      <c r="AF534" s="56">
        <f>VLOOKUP(B534,'Player Data'!$A1:$AE667,20,FALSE)*$Q534</f>
        <v>9.9342796145993173</v>
      </c>
      <c r="AG534" s="56">
        <f>VLOOKUP(B534,'Player Data'!$A1:$AE667,21,FALSE)*$Q534</f>
        <v>19.118159699602618</v>
      </c>
      <c r="AH534" s="58">
        <f>VLOOKUP(B534,'Player Data'!$A1:$AE667,22,FALSE)</f>
        <v>0.34194304674936898</v>
      </c>
      <c r="AI534" s="54"/>
      <c r="AJ534" s="56"/>
      <c r="AK534" s="56"/>
      <c r="AL534" s="56"/>
      <c r="AM534" s="56"/>
      <c r="AN534" s="56"/>
      <c r="AO534" s="56"/>
      <c r="AP534" s="56"/>
      <c r="AQ534" s="59"/>
      <c r="AR534" s="60"/>
      <c r="AS534" s="54"/>
    </row>
    <row r="535" spans="1:45" ht="21.25" customHeight="1" x14ac:dyDescent="0.15">
      <c r="A535" s="45">
        <f>RANK(K535,K$1:K$665)</f>
        <v>534</v>
      </c>
      <c r="B535" s="9" t="s">
        <v>660</v>
      </c>
      <c r="C535" s="46" t="s">
        <v>127</v>
      </c>
      <c r="D535" s="47" t="str">
        <f>VLOOKUP(B535,'Player Data'!A1:D667,4,FALSE)</f>
        <v>C</v>
      </c>
      <c r="E535" s="48">
        <f>VLOOKUP(B535,'C'!A1:C206,3,FALSE)</f>
        <v>148</v>
      </c>
      <c r="F535" s="62" t="str">
        <f>VLOOKUP(B535,'Player Data'!A1:B667,2,FALSE)</f>
        <v>BOS</v>
      </c>
      <c r="G535" s="69">
        <f>VLOOKUP(B535,'Player Data'!A1:D667,3,FALSE)</f>
        <v>20</v>
      </c>
      <c r="H535" s="50">
        <f>IFERROR(VLOOKUP(B535,ADP!A1:G665,7,FALSE)/1000000,VLOOKUP(B535,ADP!A1:G665,7,FALSE))</f>
        <v>0.87</v>
      </c>
      <c r="I535" s="51">
        <f>IF(Settings!$E$15="POINTS",((R535*Q535)*Settings!$B$12)+(S535*Settings!$B$2)+(T535*Settings!$B$3)+(U535*Settings!$B$4)+(V535*Settings!$B$5)+(X535*Settings!$B$9)+(AA535*Settings!$B$6)+(W535*Settings!$B$8)+(AB535*Settings!$B$7)+(AC535*Settings!$B$14)+(AD535*Settings!$B$15)+(AE535*Settings!$B$16)+(AF535*Settings!$B$17)+(AG535*Settings!$B$18)+(Y535*Settings!$B$10)+(Z535*Settings!$B$11),VLOOKUP(B535,'Standard Deviations'!A1:C666,3,FALSE))</f>
        <v>156.18138795572915</v>
      </c>
      <c r="J535" s="52">
        <f>IF(D535="G",I535/AJ535,I535/Q535)</f>
        <v>2.5315080307274358</v>
      </c>
      <c r="K535" s="51">
        <f>IF(Settings!$E$18="C/LW/RW",VLOOKUP(B535,'C'!A1:F206,6,FALSE),VLOOKUP(B535,F!A1:F392,6,FALSE))</f>
        <v>-233.75576982235194</v>
      </c>
      <c r="L535" s="53">
        <f>IFERROR(K535/H535,"N/A")</f>
        <v>-268.68479289925511</v>
      </c>
      <c r="M535" s="83" t="str">
        <f>IF(Settings!$E$9="YAHOO",VLOOKUP(B535,ADP!A1:E665,2,FALSE),IF(Settings!$E$9="ESPN",VLOOKUP(B535,ADP!A1:E665,3,FALSE),IF(Settings!$E$9="FANTRAX",VLOOKUP(B535,ADP!A1:E665,4,FALSE),VLOOKUP(B535,ADP!A1:E665,5,FALSE))))</f>
        <v>—</v>
      </c>
      <c r="N535" s="83" t="str">
        <f>IFERROR(M535-A535,"N/A")</f>
        <v>N/A</v>
      </c>
      <c r="O535" s="54"/>
      <c r="P535" s="55" t="str">
        <f>IF(Settings!$E$27="ON",VLOOKUP(B535,ADP!A1:H665,8,FALSE)," ")</f>
        <v xml:space="preserve"> </v>
      </c>
      <c r="Q535" s="56">
        <f>IF(Settings!$E$12="YES",VLOOKUP(B535,'Player Data'!A1:E667,5,FALSE),82)</f>
        <v>61.695</v>
      </c>
      <c r="R535" s="54">
        <f>VLOOKUP(B535,'Player Data'!$A1:$AE667,6,FALSE)</f>
        <v>14.1465655406636</v>
      </c>
      <c r="S535" s="56">
        <f>VLOOKUP(B535,'Player Data'!$A1:$AE667,7,FALSE)*$Q535*IFERROR((VLOOKUP(P535,Settings!$E$28:$F$33,2,FALSE)+1),1)</f>
        <v>12.022681192805866</v>
      </c>
      <c r="T535" s="56">
        <f>VLOOKUP(B535,'Player Data'!$A1:$AE667,8,FALSE)*$Q535*IFERROR((VLOOKUP(P535,Settings!$E$28:$F$33,2,FALSE)+1),1)</f>
        <v>19.18464574187929</v>
      </c>
      <c r="U535" s="56">
        <f>SUM(S535:T535)</f>
        <v>31.207326934685156</v>
      </c>
      <c r="V535" s="56">
        <f>VLOOKUP(B535,'Player Data'!$A1:$AE667,10,FALSE)*$Q535*IFERROR(((VLOOKUP(P535,Settings!$E$28:$F$33,2,FALSE)/2)+1),1)</f>
        <v>89.532002690902573</v>
      </c>
      <c r="W535" s="56">
        <f>VLOOKUP(B535,'Player Data'!$A1:$AE667,11,FALSE)*$Q535*IFERROR((VLOOKUP(P535,Settings!$E$28:$F$33,2,FALSE)+1),1)</f>
        <v>1.1268660258203482</v>
      </c>
      <c r="X535" s="56">
        <f>VLOOKUP(B535,'Player Data'!$A1:$AE667,12,FALSE)*$Q535*IFERROR((VLOOKUP(P535,Settings!$E$28:$F$33,2,FALSE)+1),1)</f>
        <v>3.4597326603553187</v>
      </c>
      <c r="Y535" s="56">
        <f>VLOOKUP(B535,'Player Data'!$A1:$AE667,13,FALSE)*$Q535</f>
        <v>7.6756860423038524E-3</v>
      </c>
      <c r="Z535" s="56">
        <f>VLOOKUP(B535,'Player Data'!$A1:$AE667,14,FALSE)*$Q535</f>
        <v>1.2787309688493365E-2</v>
      </c>
      <c r="AA535" s="56">
        <f>VLOOKUP(B535,'Player Data'!$A1:$AE667,15,FALSE)*$Q535</f>
        <v>28.641771672357191</v>
      </c>
      <c r="AB535" s="56">
        <f>VLOOKUP(B535,'Player Data'!$A1:$AE667,16,FALSE)*$Q535</f>
        <v>46.649606426205004</v>
      </c>
      <c r="AC535" s="56">
        <f>VLOOKUP(B535,'Player Data'!$A1:$AE667,17,FALSE)*$Q535*IFERROR((VLOOKUP(P535,Settings!$E$28:$F$33,2,FALSE)+1),1)</f>
        <v>2.0607568042365743</v>
      </c>
      <c r="AD535" s="56">
        <f>VLOOKUP(B535,'Player Data'!$A1:$AE667,18,FALSE)*$Q535</f>
        <v>18.758638344594218</v>
      </c>
      <c r="AE535" s="56">
        <f>VLOOKUP(B535,'Player Data'!$A1:$AE667,19,FALSE)*$Q535*IFERROR((VLOOKUP(P535,Settings!$E$28:$F$33,2,FALSE)+1),1)</f>
        <v>1.8725772957171489</v>
      </c>
      <c r="AF535" s="56">
        <f>VLOOKUP(B535,'Player Data'!$A1:$AE667,20,FALSE)*$Q535</f>
        <v>219.14568297886672</v>
      </c>
      <c r="AG535" s="56">
        <f>VLOOKUP(B535,'Player Data'!$A1:$AE667,21,FALSE)*$Q535</f>
        <v>282.32281681061249</v>
      </c>
      <c r="AH535" s="58">
        <f>VLOOKUP(B535,'Player Data'!$A1:$AE667,22,FALSE)</f>
        <v>0.43700787401574798</v>
      </c>
      <c r="AI535" s="54"/>
      <c r="AJ535" s="64"/>
      <c r="AK535" s="56"/>
      <c r="AL535" s="56"/>
      <c r="AM535" s="56"/>
      <c r="AN535" s="56"/>
      <c r="AO535" s="56"/>
      <c r="AP535" s="56"/>
      <c r="AQ535" s="59"/>
      <c r="AR535" s="60"/>
      <c r="AS535" s="54"/>
    </row>
    <row r="536" spans="1:45" ht="21.25" customHeight="1" x14ac:dyDescent="0.15">
      <c r="A536" s="45">
        <f>RANK(K536,K$1:K$665)</f>
        <v>535</v>
      </c>
      <c r="B536" s="9" t="s">
        <v>661</v>
      </c>
      <c r="C536" s="46" t="s">
        <v>127</v>
      </c>
      <c r="D536" s="47" t="str">
        <f>VLOOKUP(B536,'Player Data'!A1:D667,4,FALSE)</f>
        <v>LW</v>
      </c>
      <c r="E536" s="70">
        <f>VLOOKUP(B536,LW!A1:C152,3,FALSE)</f>
        <v>120</v>
      </c>
      <c r="F536" s="72" t="str">
        <f>VLOOKUP(B536,'Player Data'!A1:B667,2,FALSE)</f>
        <v>CAR</v>
      </c>
      <c r="G536" s="10">
        <f>VLOOKUP(B536,'Player Data'!A1:D667,3,FALSE)</f>
        <v>29</v>
      </c>
      <c r="H536" s="50">
        <f>IFERROR(VLOOKUP(B536,ADP!A1:G665,7,FALSE)/1000000,VLOOKUP(B536,ADP!A1:G665,7,FALSE))</f>
        <v>2</v>
      </c>
      <c r="I536" s="51">
        <f>IF(Settings!$E$15="POINTS",((R536*Q536)*Settings!$B$12)+(S536*Settings!$B$2)+(T536*Settings!$B$3)+(U536*Settings!$B$4)+(V536*Settings!$B$5)+(X536*Settings!$B$9)+(AA536*Settings!$B$6)+(W536*Settings!$B$8)+(AB536*Settings!$B$7)+(AC536*Settings!$B$14)+(AD536*Settings!$B$15)+(AE536*Settings!$B$16)+(AF536*Settings!$B$17)+(AG536*Settings!$B$18)+(Y536*Settings!$B$10)+(Z536*Settings!$B$11),VLOOKUP(B536,'Standard Deviations'!A1:C666,3,FALSE))</f>
        <v>147.17738721402088</v>
      </c>
      <c r="J536" s="52">
        <f>IF(D536="G",I536/AJ536,I536/Q536)</f>
        <v>2.1354040728937704</v>
      </c>
      <c r="K536" s="51">
        <f>IF(Settings!$E$18="C/LW/RW",VLOOKUP(B536,LW!A1:F152,6,FALSE),VLOOKUP(B536,F!A1:F392,6,FALSE))</f>
        <v>-233.88412508847887</v>
      </c>
      <c r="L536" s="53">
        <f>IFERROR(K536/H536,"N/A")</f>
        <v>-116.94206254423943</v>
      </c>
      <c r="M536" s="83" t="str">
        <f>IF(Settings!$E$9="YAHOO",VLOOKUP(B536,ADP!A1:E665,2,FALSE),IF(Settings!$E$9="ESPN",VLOOKUP(B536,ADP!A1:E665,3,FALSE),IF(Settings!$E$9="FANTRAX",VLOOKUP(B536,ADP!A1:E665,4,FALSE),VLOOKUP(B536,ADP!A1:E665,5,FALSE))))</f>
        <v>—</v>
      </c>
      <c r="N536" s="83" t="str">
        <f>IFERROR(M536-A536,"N/A")</f>
        <v>N/A</v>
      </c>
      <c r="O536" s="54"/>
      <c r="P536" s="55" t="str">
        <f>IF(Settings!$E$27="ON",VLOOKUP(B536,ADP!A1:H665,8,FALSE)," ")</f>
        <v xml:space="preserve"> </v>
      </c>
      <c r="Q536" s="56">
        <f>IF(Settings!$E$12="YES",VLOOKUP(B536,'Player Data'!A1:E667,5,FALSE),82)</f>
        <v>68.922499999999999</v>
      </c>
      <c r="R536" s="75">
        <f>VLOOKUP(B536,'Player Data'!$A1:$AE667,6,FALSE)</f>
        <v>12.279223848952901</v>
      </c>
      <c r="S536" s="56">
        <f>VLOOKUP(B536,'Player Data'!$A1:$AE667,7,FALSE)*$Q536*IFERROR((VLOOKUP(P536,Settings!$E$28:$F$33,2,FALSE)+1),1)</f>
        <v>13.259535099668897</v>
      </c>
      <c r="T536" s="56">
        <f>VLOOKUP(B536,'Player Data'!$A1:$AE667,8,FALSE)*$Q536*IFERROR((VLOOKUP(P536,Settings!$E$28:$F$33,2,FALSE)+1),1)</f>
        <v>9.8837112813556036</v>
      </c>
      <c r="U536" s="56">
        <f>SUM(S536:T536)</f>
        <v>23.1432463810245</v>
      </c>
      <c r="V536" s="56">
        <f>VLOOKUP(B536,'Player Data'!$A1:$AE667,10,FALSE)*$Q536*IFERROR(((VLOOKUP(P536,Settings!$E$28:$F$33,2,FALSE)/2)+1),1)</f>
        <v>125.4535548915476</v>
      </c>
      <c r="W536" s="56">
        <f>VLOOKUP(B536,'Player Data'!$A1:$AE667,11,FALSE)*$Q536*IFERROR((VLOOKUP(P536,Settings!$E$28:$F$33,2,FALSE)+1),1)</f>
        <v>3.0329982896612082E-2</v>
      </c>
      <c r="X536" s="56">
        <f>VLOOKUP(B536,'Player Data'!$A1:$AE667,12,FALSE)*$Q536*IFERROR((VLOOKUP(P536,Settings!$E$28:$F$33,2,FALSE)+1),1)</f>
        <v>6.9707430398462389E-2</v>
      </c>
      <c r="Y536" s="56">
        <f>VLOOKUP(B536,'Player Data'!$A1:$AE667,13,FALSE)*$Q536</f>
        <v>2.214947815588713E-2</v>
      </c>
      <c r="Z536" s="56">
        <f>VLOOKUP(B536,'Player Data'!$A1:$AE667,14,FALSE)*$Q536</f>
        <v>3.7294204155851954E-2</v>
      </c>
      <c r="AA536" s="56">
        <f>VLOOKUP(B536,'Player Data'!$A1:$AE667,15,FALSE)*$Q536</f>
        <v>29.827737981238556</v>
      </c>
      <c r="AB536" s="56">
        <f>VLOOKUP(B536,'Player Data'!$A1:$AE667,16,FALSE)*$Q536</f>
        <v>154.26130084002577</v>
      </c>
      <c r="AC536" s="56">
        <f>VLOOKUP(B536,'Player Data'!$A1:$AE667,17,FALSE)*$Q536*IFERROR((VLOOKUP(P536,Settings!$E$28:$F$33,2,FALSE)+1),1)</f>
        <v>3.773860559612717</v>
      </c>
      <c r="AD536" s="56">
        <f>VLOOKUP(B536,'Player Data'!$A1:$AE667,18,FALSE)*$Q536</f>
        <v>28.792635931808736</v>
      </c>
      <c r="AE536" s="56">
        <f>VLOOKUP(B536,'Player Data'!$A1:$AE667,19,FALSE)*$Q536*IFERROR((VLOOKUP(P536,Settings!$E$28:$F$33,2,FALSE)+1),1)</f>
        <v>2.2976863120126119</v>
      </c>
      <c r="AF536" s="56">
        <f>VLOOKUP(B536,'Player Data'!$A1:$AE667,20,FALSE)*$Q536</f>
        <v>6.9803416416804396</v>
      </c>
      <c r="AG536" s="56">
        <f>VLOOKUP(B536,'Player Data'!$A1:$AE667,21,FALSE)*$Q536</f>
        <v>13.026213777245909</v>
      </c>
      <c r="AH536" s="58">
        <f>VLOOKUP(B536,'Player Data'!$A1:$AE667,22,FALSE)</f>
        <v>0.34890272190868898</v>
      </c>
      <c r="AI536" s="54"/>
      <c r="AJ536" s="56"/>
      <c r="AK536" s="56"/>
      <c r="AL536" s="56"/>
      <c r="AM536" s="56"/>
      <c r="AN536" s="56"/>
      <c r="AO536" s="56"/>
      <c r="AP536" s="56"/>
      <c r="AQ536" s="59"/>
      <c r="AR536" s="60"/>
      <c r="AS536" s="54"/>
    </row>
    <row r="537" spans="1:45" ht="21.25" customHeight="1" x14ac:dyDescent="0.15">
      <c r="A537" s="45">
        <f>RANK(K537,K$1:K$665)</f>
        <v>536</v>
      </c>
      <c r="B537" s="9" t="s">
        <v>662</v>
      </c>
      <c r="C537" s="46" t="s">
        <v>127</v>
      </c>
      <c r="D537" s="47" t="str">
        <f>VLOOKUP(B537,'Player Data'!A1:D667,4,FALSE)</f>
        <v>D</v>
      </c>
      <c r="E537" s="66">
        <f>VLOOKUP(B537,D!A1:C213,3,FALSE)</f>
        <v>204</v>
      </c>
      <c r="F537" s="55" t="str">
        <f>VLOOKUP(B537,'Player Data'!A1:B667,2,FALSE)</f>
        <v>UTA</v>
      </c>
      <c r="G537" s="69">
        <f>VLOOKUP(B537,'Player Data'!A1:D667,3,FALSE)</f>
        <v>23</v>
      </c>
      <c r="H537" s="50">
        <f>IFERROR(VLOOKUP(B537,ADP!A1:G665,7,FALSE)/1000000,VLOOKUP(B537,ADP!A1:G665,7,FALSE))</f>
        <v>0.87833300000000003</v>
      </c>
      <c r="I537" s="51">
        <f>IF(Settings!$E$15="POINTS",((R537*Q537)*Settings!$B$12)+(S537*Settings!$B$2)+(T537*Settings!$B$3)+(U537*Settings!$B$4)+(V537*Settings!$B$5)+(X537*Settings!$B$9)+(AA537*Settings!$B$6)+(W537*Settings!$B$8)+(AB537*Settings!$B$7)+(AC537*Settings!$B$14)+(AD537*Settings!$B$15)+(AE537*Settings!$B$16)+(AF537*Settings!$B$17)+(AG537*Settings!$B$18)+(U537*Settings!$B$13)+(Y537*Settings!$B$10)+(Z537*Settings!$B$11),VLOOKUP(B537,'Standard Deviations'!A1:C666,3,FALSE))</f>
        <v>102.31474387689971</v>
      </c>
      <c r="J537" s="52">
        <f>IF(D537="G",I537/AJ537,I537/Q537)</f>
        <v>1.6502378044661243</v>
      </c>
      <c r="K537" s="51">
        <f>VLOOKUP(B537,D!A1:F213,6,FALSE)</f>
        <v>-233.9193811686952</v>
      </c>
      <c r="L537" s="53">
        <f>IFERROR(K537/H537,"N/A")</f>
        <v>-266.32197716435019</v>
      </c>
      <c r="M537" s="83" t="str">
        <f>IF(Settings!$E$9="YAHOO",VLOOKUP(B537,ADP!A1:E665,2,FALSE),IF(Settings!$E$9="ESPN",VLOOKUP(B537,ADP!A1:E665,3,FALSE),IF(Settings!$E$9="FANTRAX",VLOOKUP(B537,ADP!A1:E665,4,FALSE),VLOOKUP(B537,ADP!A1:E665,5,FALSE))))</f>
        <v>—</v>
      </c>
      <c r="N537" s="83" t="str">
        <f>IFERROR(M537-A537,"N/A")</f>
        <v>N/A</v>
      </c>
      <c r="O537" s="54"/>
      <c r="P537" s="55" t="str">
        <f>IF(Settings!$E$27="ON",VLOOKUP(B537,ADP!A1:H665,8,FALSE)," ")</f>
        <v xml:space="preserve"> </v>
      </c>
      <c r="Q537" s="56">
        <f>IF(Settings!$E$12="YES",VLOOKUP(B537,'Player Data'!A1:E667,5,FALSE),82)</f>
        <v>62</v>
      </c>
      <c r="R537" s="54">
        <f>VLOOKUP(B537,'Player Data'!$A1:$AE667,6,FALSE)</f>
        <v>15.19</v>
      </c>
      <c r="S537" s="56">
        <f>VLOOKUP(B537,'Player Data'!$A1:$AE667,7,FALSE)*$Q537*IFERROR((VLOOKUP(P537,Settings!$E$28:$F$33,2,FALSE)+1),1)</f>
        <v>1.6296586501983459</v>
      </c>
      <c r="T537" s="56">
        <f>VLOOKUP(B537,'Player Data'!$A1:$AE667,8,FALSE)*$Q537*IFERROR((VLOOKUP(P537,Settings!$E$28:$F$33,2,FALSE)+1),1)</f>
        <v>9.8511198376608426</v>
      </c>
      <c r="U537" s="56">
        <f>SUM(S537:T537)</f>
        <v>11.480778487859189</v>
      </c>
      <c r="V537" s="56">
        <f>VLOOKUP(B537,'Player Data'!$A1:$AE667,10,FALSE)*$Q537*IFERROR(((VLOOKUP(P537,Settings!$E$28:$F$33,2,FALSE)/2)+1),1)</f>
        <v>56.810078604203248</v>
      </c>
      <c r="W537" s="56">
        <f>VLOOKUP(B537,'Player Data'!$A1:$AE667,11,FALSE)*$Q537*IFERROR((VLOOKUP(P537,Settings!$E$28:$F$33,2,FALSE)+1),1)</f>
        <v>0</v>
      </c>
      <c r="X537" s="56">
        <f>VLOOKUP(B537,'Player Data'!$A1:$AE667,12,FALSE)*$Q537*IFERROR((VLOOKUP(P537,Settings!$E$28:$F$33,2,FALSE)+1),1)</f>
        <v>0</v>
      </c>
      <c r="Y537" s="56">
        <f>VLOOKUP(B537,'Player Data'!$A1:$AE667,13,FALSE)*$Q537</f>
        <v>0</v>
      </c>
      <c r="Z537" s="56">
        <f>VLOOKUP(B537,'Player Data'!$A1:$AE667,14,FALSE)*$Q537</f>
        <v>0</v>
      </c>
      <c r="AA537" s="56">
        <f>VLOOKUP(B537,'Player Data'!$A1:$AE667,15,FALSE)*$Q537</f>
        <v>78.934738222441055</v>
      </c>
      <c r="AB537" s="56">
        <f>VLOOKUP(B537,'Player Data'!$A1:$AE667,16,FALSE)*$Q537</f>
        <v>68.368299115010615</v>
      </c>
      <c r="AC537" s="56">
        <f>VLOOKUP(B537,'Player Data'!$A1:$AE667,17,FALSE)*$Q537*IFERROR((VLOOKUP(P537,Settings!$E$28:$F$33,2,FALSE)+1),1)</f>
        <v>-0.36333605023715299</v>
      </c>
      <c r="AD537" s="56">
        <f>VLOOKUP(B537,'Player Data'!$A1:$AE667,18,FALSE)*$Q537</f>
        <v>28.222488517573538</v>
      </c>
      <c r="AE537" s="56">
        <f>VLOOKUP(B537,'Player Data'!$A1:$AE667,19,FALSE)*$Q537*IFERROR((VLOOKUP(P537,Settings!$E$28:$F$33,2,FALSE)+1),1)</f>
        <v>0.23846696082444432</v>
      </c>
      <c r="AF537" s="56">
        <f>VLOOKUP(B537,'Player Data'!$A1:$AE667,20,FALSE)*$Q537</f>
        <v>0</v>
      </c>
      <c r="AG537" s="56">
        <f>VLOOKUP(B537,'Player Data'!$A1:$AE667,21,FALSE)*$Q537</f>
        <v>0</v>
      </c>
      <c r="AH537" s="58">
        <f>VLOOKUP(B537,'Player Data'!$A1:$AE667,22,FALSE)</f>
        <v>0</v>
      </c>
      <c r="AI537" s="54"/>
      <c r="AJ537" s="64"/>
      <c r="AK537" s="56"/>
      <c r="AL537" s="56"/>
      <c r="AM537" s="56"/>
      <c r="AN537" s="56"/>
      <c r="AO537" s="56"/>
      <c r="AP537" s="56"/>
      <c r="AQ537" s="59"/>
      <c r="AR537" s="60"/>
      <c r="AS537" s="54"/>
    </row>
    <row r="538" spans="1:45" ht="21.25" customHeight="1" x14ac:dyDescent="0.15">
      <c r="A538" s="45">
        <f>RANK(K538,K$1:K$665)</f>
        <v>537</v>
      </c>
      <c r="B538" s="9" t="s">
        <v>663</v>
      </c>
      <c r="C538" s="46" t="s">
        <v>127</v>
      </c>
      <c r="D538" s="47" t="str">
        <f>VLOOKUP(B538,'Player Data'!A1:D667,4,FALSE)</f>
        <v>RW</v>
      </c>
      <c r="E538" s="61">
        <f>VLOOKUP(B538,RW!A1:F136,3,FALSE)</f>
        <v>107</v>
      </c>
      <c r="F538" s="77" t="str">
        <f>VLOOKUP(B538,'Player Data'!A1:B667,2,FALSE)</f>
        <v>STL</v>
      </c>
      <c r="G538" s="10">
        <f>VLOOKUP(B538,'Player Data'!A1:D667,3,FALSE)</f>
        <v>28</v>
      </c>
      <c r="H538" s="67">
        <f>IFERROR(VLOOKUP(B538,ADP!A1:G665,7,FALSE)/1000000,VLOOKUP(B538,ADP!A1:G665,7,FALSE))</f>
        <v>1</v>
      </c>
      <c r="I538" s="51">
        <f>IF(Settings!$E$15="POINTS",((R538*Q538)*Settings!$B$12)+(S538*Settings!$B$2)+(T538*Settings!$B$3)+(U538*Settings!$B$4)+(V538*Settings!$B$5)+(X538*Settings!$B$9)+(AA538*Settings!$B$6)+(W538*Settings!$B$8)+(AB538*Settings!$B$7)+(AC538*Settings!$B$14)+(AD538*Settings!$B$15)+(AE538*Settings!$B$16)+(AF538*Settings!$B$17)+(AG538*Settings!$B$18)+(Y538*Settings!$B$10)+(Z538*Settings!$B$11),VLOOKUP(B538,'Standard Deviations'!A1:C666,3,FALSE))</f>
        <v>134.87939529381953</v>
      </c>
      <c r="J538" s="52">
        <f>IF(D538="G",I538/AJ538,I538/Q538)</f>
        <v>1.7307207557029418</v>
      </c>
      <c r="K538" s="51">
        <f>IF(Settings!$E$18="C/LW/RW",VLOOKUP(B538,RW!A1:F136,6,FALSE),VLOOKUP(B538,F!A1:F392,6,FALSE))</f>
        <v>-233.96832781247286</v>
      </c>
      <c r="L538" s="53">
        <f>IFERROR(K538/H538,"N/A")</f>
        <v>-233.96832781247286</v>
      </c>
      <c r="M538" s="83" t="str">
        <f>IF(Settings!$E$9="YAHOO",VLOOKUP(B538,ADP!A1:E665,2,FALSE),IF(Settings!$E$9="ESPN",VLOOKUP(B538,ADP!A1:E665,3,FALSE),IF(Settings!$E$9="FANTRAX",VLOOKUP(B538,ADP!A1:E665,4,FALSE),VLOOKUP(B538,ADP!A1:E665,5,FALSE))))</f>
        <v>—</v>
      </c>
      <c r="N538" s="83" t="str">
        <f>IFERROR(M538-A538,"N/A")</f>
        <v>N/A</v>
      </c>
      <c r="O538" s="54"/>
      <c r="P538" s="55" t="str">
        <f>IF(Settings!$E$27="ON",VLOOKUP(B538,ADP!A1:H665,8,FALSE)," ")</f>
        <v xml:space="preserve"> </v>
      </c>
      <c r="Q538" s="56">
        <f>IF(Settings!$E$12="YES",VLOOKUP(B538,'Player Data'!A1:E667,5,FALSE),82)</f>
        <v>77.932500000000005</v>
      </c>
      <c r="R538" s="81">
        <f>VLOOKUP(B538,'Player Data'!$A1:$AE667,6,FALSE)</f>
        <v>12.574532046367199</v>
      </c>
      <c r="S538" s="56">
        <f>VLOOKUP(B538,'Player Data'!$A1:$AE667,7,FALSE)*$Q538*IFERROR((VLOOKUP(P538,Settings!$E$28:$F$33,2,FALSE)+1),1)</f>
        <v>8.0701828308719694</v>
      </c>
      <c r="T538" s="56">
        <f>VLOOKUP(B538,'Player Data'!$A1:$AE667,8,FALSE)*$Q538*IFERROR((VLOOKUP(P538,Settings!$E$28:$F$33,2,FALSE)+1),1)</f>
        <v>14.69328997654841</v>
      </c>
      <c r="U538" s="56">
        <f>SUM(S538:T538)</f>
        <v>22.763472807420378</v>
      </c>
      <c r="V538" s="56">
        <f>VLOOKUP(B538,'Player Data'!$A1:$AE667,10,FALSE)*$Q538*IFERROR(((VLOOKUP(P538,Settings!$E$28:$F$33,2,FALSE)/2)+1),1)</f>
        <v>102.17633939911263</v>
      </c>
      <c r="W538" s="56">
        <f>VLOOKUP(B538,'Player Data'!$A1:$AE667,11,FALSE)*$Q538*IFERROR((VLOOKUP(P538,Settings!$E$28:$F$33,2,FALSE)+1),1)</f>
        <v>0.52690182824900966</v>
      </c>
      <c r="X538" s="56">
        <f>VLOOKUP(B538,'Player Data'!$A1:$AE667,12,FALSE)*$Q538*IFERROR((VLOOKUP(P538,Settings!$E$28:$F$33,2,FALSE)+1),1)</f>
        <v>1.4654480036543296</v>
      </c>
      <c r="Y538" s="56">
        <f>VLOOKUP(B538,'Player Data'!$A1:$AE667,13,FALSE)*$Q538</f>
        <v>0.41007886269721033</v>
      </c>
      <c r="Z538" s="56">
        <f>VLOOKUP(B538,'Player Data'!$A1:$AE667,14,FALSE)*$Q538</f>
        <v>0.69149546573992049</v>
      </c>
      <c r="AA538" s="56">
        <f>VLOOKUP(B538,'Player Data'!$A1:$AE667,15,FALSE)*$Q538</f>
        <v>26.687727405215615</v>
      </c>
      <c r="AB538" s="56">
        <f>VLOOKUP(B538,'Player Data'!$A1:$AE667,16,FALSE)*$Q538</f>
        <v>78.955582280046343</v>
      </c>
      <c r="AC538" s="56">
        <f>VLOOKUP(B538,'Player Data'!$A1:$AE667,17,FALSE)*$Q538*IFERROR((VLOOKUP(P538,Settings!$E$28:$F$33,2,FALSE)+1),1)</f>
        <v>-4.830763409689788</v>
      </c>
      <c r="AD538" s="56">
        <f>VLOOKUP(B538,'Player Data'!$A1:$AE667,18,FALSE)*$Q538</f>
        <v>18.719950942093696</v>
      </c>
      <c r="AE538" s="56">
        <f>VLOOKUP(B538,'Player Data'!$A1:$AE667,19,FALSE)*$Q538*IFERROR((VLOOKUP(P538,Settings!$E$28:$F$33,2,FALSE)+1),1)</f>
        <v>0.97160234504580756</v>
      </c>
      <c r="AF538" s="56">
        <f>VLOOKUP(B538,'Player Data'!$A1:$AE667,20,FALSE)*$Q538</f>
        <v>14.117442638030381</v>
      </c>
      <c r="AG538" s="56">
        <f>VLOOKUP(B538,'Player Data'!$A1:$AE667,21,FALSE)*$Q538</f>
        <v>23.644920715701502</v>
      </c>
      <c r="AH538" s="58">
        <f>VLOOKUP(B538,'Player Data'!$A1:$AE667,22,FALSE)</f>
        <v>0.373849552417783</v>
      </c>
      <c r="AI538" s="54"/>
      <c r="AJ538" s="56"/>
      <c r="AK538" s="56"/>
      <c r="AL538" s="56"/>
      <c r="AM538" s="56"/>
      <c r="AN538" s="56"/>
      <c r="AO538" s="56"/>
      <c r="AP538" s="56"/>
      <c r="AQ538" s="59"/>
      <c r="AR538" s="60"/>
      <c r="AS538" s="54"/>
    </row>
    <row r="539" spans="1:45" ht="21.25" customHeight="1" x14ac:dyDescent="0.15">
      <c r="A539" s="45">
        <f>RANK(K539,K$1:K$665)</f>
        <v>538</v>
      </c>
      <c r="B539" s="9" t="s">
        <v>664</v>
      </c>
      <c r="C539" s="46" t="s">
        <v>127</v>
      </c>
      <c r="D539" s="47" t="str">
        <f>VLOOKUP(B539,'Player Data'!A1:D667,4,FALSE)</f>
        <v>LW/RW</v>
      </c>
      <c r="E539" s="68">
        <f>VLOOKUP(B539,RW!A1:C136,3,FALSE)</f>
        <v>108</v>
      </c>
      <c r="F539" s="72" t="str">
        <f>VLOOKUP(B539,'Player Data'!A1:B667,2,FALSE)</f>
        <v>MIN</v>
      </c>
      <c r="G539" s="63">
        <f>VLOOKUP(B539,'Player Data'!A1:D667,3,FALSE)</f>
        <v>33</v>
      </c>
      <c r="H539" s="50">
        <f>IFERROR(VLOOKUP(B539,ADP!A1:G665,7,FALSE)/1000000,VLOOKUP(B539,ADP!A1:G665,7,FALSE))</f>
        <v>4</v>
      </c>
      <c r="I539" s="51">
        <f>IF(Settings!$E$15="POINTS",((R539*Q539)*Settings!$B$12)+(S539*Settings!$B$2)+(T539*Settings!$B$3)+(U539*Settings!$B$4)+(V539*Settings!$B$5)+(X539*Settings!$B$9)+(AA539*Settings!$B$6)+(W539*Settings!$B$8)+(AB539*Settings!$B$7)+(AC539*Settings!$B$14)+(AD539*Settings!$B$15)+(AE539*Settings!$B$16)+(AF539*Settings!$B$17)+(AG539*Settings!$B$18)+(Y539*Settings!$B$10)+(Z539*Settings!$B$11),VLOOKUP(B539,'Standard Deviations'!A1:C666,3,FALSE))</f>
        <v>134.63087707693344</v>
      </c>
      <c r="J539" s="52">
        <f>IF(D539="G",I539/AJ539,I539/Q539)</f>
        <v>1.8168809322123274</v>
      </c>
      <c r="K539" s="51">
        <f>IF(Settings!$E$18="C/LW/RW",VLOOKUP(B539,RW!A1:F136,6,FALSE),VLOOKUP(B539,F!A1:F392,6,FALSE))</f>
        <v>-234.21684602935895</v>
      </c>
      <c r="L539" s="53">
        <f>IFERROR(K539/H539,"N/A")</f>
        <v>-58.554211507339737</v>
      </c>
      <c r="M539" s="83" t="str">
        <f>IF(Settings!$E$9="YAHOO",VLOOKUP(B539,ADP!A1:E665,2,FALSE),IF(Settings!$E$9="ESPN",VLOOKUP(B539,ADP!A1:E665,3,FALSE),IF(Settings!$E$9="FANTRAX",VLOOKUP(B539,ADP!A1:E665,4,FALSE),VLOOKUP(B539,ADP!A1:E665,5,FALSE))))</f>
        <v>—</v>
      </c>
      <c r="N539" s="83" t="str">
        <f>IFERROR(M539-A539,"N/A")</f>
        <v>N/A</v>
      </c>
      <c r="O539" s="54"/>
      <c r="P539" s="55" t="str">
        <f>IF(Settings!$E$27="ON",VLOOKUP(B539,ADP!A1:H665,8,FALSE)," ")</f>
        <v xml:space="preserve"> </v>
      </c>
      <c r="Q539" s="56">
        <f>IF(Settings!$E$12="YES",VLOOKUP(B539,'Player Data'!A1:E667,5,FALSE),82)</f>
        <v>74.099999999999994</v>
      </c>
      <c r="R539" s="54">
        <f>VLOOKUP(B539,'Player Data'!$A1:$AE667,6,FALSE)</f>
        <v>14.0367789246464</v>
      </c>
      <c r="S539" s="56">
        <f>VLOOKUP(B539,'Player Data'!$A1:$AE667,7,FALSE)*$Q539*IFERROR((VLOOKUP(P539,Settings!$E$28:$F$33,2,FALSE)+1),1)</f>
        <v>9.9718446980942321</v>
      </c>
      <c r="T539" s="56">
        <f>VLOOKUP(B539,'Player Data'!$A1:$AE667,8,FALSE)*$Q539*IFERROR((VLOOKUP(P539,Settings!$E$28:$F$33,2,FALSE)+1),1)</f>
        <v>13.26766989254096</v>
      </c>
      <c r="U539" s="56">
        <f>SUM(S539:T539)</f>
        <v>23.239514590635192</v>
      </c>
      <c r="V539" s="56">
        <f>VLOOKUP(B539,'Player Data'!$A1:$AE667,10,FALSE)*$Q539*IFERROR(((VLOOKUP(P539,Settings!$E$28:$F$33,2,FALSE)/2)+1),1)</f>
        <v>78.741339638583128</v>
      </c>
      <c r="W539" s="56">
        <f>VLOOKUP(B539,'Player Data'!$A1:$AE667,11,FALSE)*$Q539*IFERROR((VLOOKUP(P539,Settings!$E$28:$F$33,2,FALSE)+1),1)</f>
        <v>0.35652984995676723</v>
      </c>
      <c r="X539" s="56">
        <f>VLOOKUP(B539,'Player Data'!$A1:$AE667,12,FALSE)*$Q539*IFERROR((VLOOKUP(P539,Settings!$E$28:$F$33,2,FALSE)+1),1)</f>
        <v>0.86131038510192737</v>
      </c>
      <c r="Y539" s="56">
        <f>VLOOKUP(B539,'Player Data'!$A1:$AE667,13,FALSE)*$Q539</f>
        <v>0.13711788331144109</v>
      </c>
      <c r="Z539" s="56">
        <f>VLOOKUP(B539,'Player Data'!$A1:$AE667,14,FALSE)*$Q539</f>
        <v>0.76695364601723004</v>
      </c>
      <c r="AA539" s="56">
        <f>VLOOKUP(B539,'Player Data'!$A1:$AE667,15,FALSE)*$Q539</f>
        <v>47.826798909234249</v>
      </c>
      <c r="AB539" s="56">
        <f>VLOOKUP(B539,'Player Data'!$A1:$AE667,16,FALSE)*$Q539</f>
        <v>215.44826667132381</v>
      </c>
      <c r="AC539" s="56">
        <f>VLOOKUP(B539,'Player Data'!$A1:$AE667,17,FALSE)*$Q539*IFERROR((VLOOKUP(P539,Settings!$E$28:$F$33,2,FALSE)+1),1)</f>
        <v>0.48441253101020931</v>
      </c>
      <c r="AD539" s="56">
        <f>VLOOKUP(B539,'Player Data'!$A1:$AE667,18,FALSE)*$Q539</f>
        <v>64.574512989715402</v>
      </c>
      <c r="AE539" s="56">
        <f>VLOOKUP(B539,'Player Data'!$A1:$AE667,19,FALSE)*$Q539*IFERROR((VLOOKUP(P539,Settings!$E$28:$F$33,2,FALSE)+1),1)</f>
        <v>1.646143417807699</v>
      </c>
      <c r="AF539" s="56">
        <f>VLOOKUP(B539,'Player Data'!$A1:$AE667,20,FALSE)*$Q539</f>
        <v>10.271672518777562</v>
      </c>
      <c r="AG539" s="56">
        <f>VLOOKUP(B539,'Player Data'!$A1:$AE667,21,FALSE)*$Q539</f>
        <v>10.578814866170633</v>
      </c>
      <c r="AH539" s="58">
        <f>VLOOKUP(B539,'Player Data'!$A1:$AE667,22,FALSE)</f>
        <v>0.49263464825252001</v>
      </c>
      <c r="AI539" s="54"/>
      <c r="AJ539" s="56"/>
      <c r="AK539" s="56"/>
      <c r="AL539" s="56"/>
      <c r="AM539" s="56"/>
      <c r="AN539" s="56"/>
      <c r="AO539" s="56"/>
      <c r="AP539" s="56"/>
      <c r="AQ539" s="59"/>
      <c r="AR539" s="60"/>
      <c r="AS539" s="54"/>
    </row>
    <row r="540" spans="1:45" ht="21.25" customHeight="1" x14ac:dyDescent="0.15">
      <c r="A540" s="45">
        <f>RANK(K540,K$1:K$665)</f>
        <v>539</v>
      </c>
      <c r="B540" s="9" t="s">
        <v>665</v>
      </c>
      <c r="C540" s="46" t="s">
        <v>127</v>
      </c>
      <c r="D540" s="47" t="str">
        <f>VLOOKUP(B540,'Player Data'!A1:D667,4,FALSE)</f>
        <v>RW</v>
      </c>
      <c r="E540" s="61">
        <f>VLOOKUP(B540,RW!A1:F136,3,FALSE)</f>
        <v>109</v>
      </c>
      <c r="F540" s="62" t="str">
        <f>VLOOKUP(B540,'Player Data'!A1:B667,2,FALSE)</f>
        <v>MTL</v>
      </c>
      <c r="G540" s="69">
        <f>VLOOKUP(B540,'Player Data'!A1:D667,3,FALSE)</f>
        <v>21</v>
      </c>
      <c r="H540" s="50">
        <f>IFERROR(VLOOKUP(B540,ADP!A1:G665,7,FALSE)/1000000,VLOOKUP(B540,ADP!A1:G665,7,FALSE))</f>
        <v>0.83499999999999996</v>
      </c>
      <c r="I540" s="51">
        <f>IF(Settings!$E$15="POINTS",((R540*Q540)*Settings!$B$12)+(S540*Settings!$B$2)+(T540*Settings!$B$3)+(U540*Settings!$B$4)+(V540*Settings!$B$5)+(X540*Settings!$B$9)+(AA540*Settings!$B$6)+(W540*Settings!$B$8)+(AB540*Settings!$B$7)+(AC540*Settings!$B$14)+(AD540*Settings!$B$15)+(AE540*Settings!$B$16)+(AF540*Settings!$B$17)+(AG540*Settings!$B$18)+(Y540*Settings!$B$10)+(Z540*Settings!$B$11),VLOOKUP(B540,'Standard Deviations'!A1:C666,3,FALSE))</f>
        <v>134.57393912636479</v>
      </c>
      <c r="J540" s="52">
        <f>IF(D540="G",I540/AJ540,I540/Q540)</f>
        <v>2.209027234510256</v>
      </c>
      <c r="K540" s="51">
        <f>IF(Settings!$E$18="C/LW/RW",VLOOKUP(B540,RW!A1:F136,6,FALSE),VLOOKUP(B540,F!A1:F392,6,FALSE))</f>
        <v>-234.2737839799276</v>
      </c>
      <c r="L540" s="53">
        <f>IFERROR(K540/H540,"N/A")</f>
        <v>-280.56740596398515</v>
      </c>
      <c r="M540" s="83" t="str">
        <f>IF(Settings!$E$9="YAHOO",VLOOKUP(B540,ADP!A1:E665,2,FALSE),IF(Settings!$E$9="ESPN",VLOOKUP(B540,ADP!A1:E665,3,FALSE),IF(Settings!$E$9="FANTRAX",VLOOKUP(B540,ADP!A1:E665,4,FALSE),VLOOKUP(B540,ADP!A1:E665,5,FALSE))))</f>
        <v>—</v>
      </c>
      <c r="N540" s="83" t="str">
        <f>IFERROR(M540-A540,"N/A")</f>
        <v>N/A</v>
      </c>
      <c r="O540" s="54"/>
      <c r="P540" s="55" t="str">
        <f>IF(Settings!$E$27="ON",VLOOKUP(B540,ADP!A1:H665,8,FALSE)," ")</f>
        <v xml:space="preserve"> </v>
      </c>
      <c r="Q540" s="56">
        <f>IF(Settings!$E$12="YES",VLOOKUP(B540,'Player Data'!A1:E667,5,FALSE),82)</f>
        <v>60.92</v>
      </c>
      <c r="R540" s="54">
        <f>VLOOKUP(B540,'Player Data'!$A1:$AE667,6,FALSE)</f>
        <v>11.7440206758841</v>
      </c>
      <c r="S540" s="56">
        <f>VLOOKUP(B540,'Player Data'!$A1:$AE667,7,FALSE)*$Q540*IFERROR((VLOOKUP(P540,Settings!$E$28:$F$33,2,FALSE)+1),1)</f>
        <v>10.076189922804248</v>
      </c>
      <c r="T540" s="56">
        <f>VLOOKUP(B540,'Player Data'!$A1:$AE667,8,FALSE)*$Q540*IFERROR((VLOOKUP(P540,Settings!$E$28:$F$33,2,FALSE)+1),1)</f>
        <v>13.168145840418813</v>
      </c>
      <c r="U540" s="56">
        <f>SUM(S540:T540)</f>
        <v>23.244335763223063</v>
      </c>
      <c r="V540" s="56">
        <f>VLOOKUP(B540,'Player Data'!$A1:$AE667,10,FALSE)*$Q540*IFERROR(((VLOOKUP(P540,Settings!$E$28:$F$33,2,FALSE)/2)+1),1)</f>
        <v>85.125234067949052</v>
      </c>
      <c r="W540" s="56">
        <f>VLOOKUP(B540,'Player Data'!$A1:$AE667,11,FALSE)*$Q540*IFERROR((VLOOKUP(P540,Settings!$E$28:$F$33,2,FALSE)+1),1)</f>
        <v>0.51500877202405348</v>
      </c>
      <c r="X540" s="56">
        <f>VLOOKUP(B540,'Player Data'!$A1:$AE667,12,FALSE)*$Q540*IFERROR((VLOOKUP(P540,Settings!$E$28:$F$33,2,FALSE)+1),1)</f>
        <v>1.1829599347562401</v>
      </c>
      <c r="Y540" s="56">
        <f>VLOOKUP(B540,'Player Data'!$A1:$AE667,13,FALSE)*$Q540</f>
        <v>0</v>
      </c>
      <c r="Z540" s="56">
        <f>VLOOKUP(B540,'Player Data'!$A1:$AE667,14,FALSE)*$Q540</f>
        <v>0</v>
      </c>
      <c r="AA540" s="56">
        <f>VLOOKUP(B540,'Player Data'!$A1:$AE667,15,FALSE)*$Q540</f>
        <v>42.19070973592968</v>
      </c>
      <c r="AB540" s="56">
        <f>VLOOKUP(B540,'Player Data'!$A1:$AE667,16,FALSE)*$Q540</f>
        <v>49.885997372243629</v>
      </c>
      <c r="AC540" s="56">
        <f>VLOOKUP(B540,'Player Data'!$A1:$AE667,17,FALSE)*$Q540*IFERROR((VLOOKUP(P540,Settings!$E$28:$F$33,2,FALSE)+1),1)</f>
        <v>-2.5648432369736955</v>
      </c>
      <c r="AD540" s="56">
        <f>VLOOKUP(B540,'Player Data'!$A1:$AE667,18,FALSE)*$Q540</f>
        <v>13.801779144548972</v>
      </c>
      <c r="AE540" s="56">
        <f>VLOOKUP(B540,'Player Data'!$A1:$AE667,19,FALSE)*$Q540*IFERROR((VLOOKUP(P540,Settings!$E$28:$F$33,2,FALSE)+1),1)</f>
        <v>1.1678432356653776</v>
      </c>
      <c r="AF540" s="56">
        <f>VLOOKUP(B540,'Player Data'!$A1:$AE667,20,FALSE)*$Q540</f>
        <v>5.1244188631225898</v>
      </c>
      <c r="AG540" s="56">
        <f>VLOOKUP(B540,'Player Data'!$A1:$AE667,21,FALSE)*$Q540</f>
        <v>12.81104715780646</v>
      </c>
      <c r="AH540" s="58">
        <f>VLOOKUP(B540,'Player Data'!$A1:$AE667,22,FALSE)</f>
        <v>0.28571428571428598</v>
      </c>
      <c r="AI540" s="54"/>
      <c r="AJ540" s="56"/>
      <c r="AK540" s="56"/>
      <c r="AL540" s="56"/>
      <c r="AM540" s="56"/>
      <c r="AN540" s="56"/>
      <c r="AO540" s="56"/>
      <c r="AP540" s="56"/>
      <c r="AQ540" s="59"/>
      <c r="AR540" s="60"/>
      <c r="AS540" s="54"/>
    </row>
    <row r="541" spans="1:45" ht="21.25" customHeight="1" x14ac:dyDescent="0.15">
      <c r="A541" s="45">
        <f>RANK(K541,K$1:K$665)</f>
        <v>540</v>
      </c>
      <c r="B541" s="9" t="s">
        <v>666</v>
      </c>
      <c r="C541" s="46" t="s">
        <v>127</v>
      </c>
      <c r="D541" s="47" t="str">
        <f>VLOOKUP(B541,'Player Data'!A1:D667,4,FALSE)</f>
        <v>C</v>
      </c>
      <c r="E541" s="48">
        <f>VLOOKUP(B541,'C'!A1:C206,3,FALSE)</f>
        <v>149</v>
      </c>
      <c r="F541" s="74" t="str">
        <f>VLOOKUP(B541,'Player Data'!A1:B667,2,FALSE)</f>
        <v>PIT</v>
      </c>
      <c r="G541" s="63">
        <f>VLOOKUP(B541,'Player Data'!A1:D667,3,FALSE)</f>
        <v>35</v>
      </c>
      <c r="H541" s="67">
        <f>IFERROR(VLOOKUP(B541,ADP!A1:G665,7,FALSE)/1000000,VLOOKUP(B541,ADP!A1:G665,7,FALSE))</f>
        <v>2.4500000000000002</v>
      </c>
      <c r="I541" s="51">
        <f>IF(Settings!$E$15="POINTS",((R541*Q541)*Settings!$B$12)+(S541*Settings!$B$2)+(T541*Settings!$B$3)+(U541*Settings!$B$4)+(V541*Settings!$B$5)+(X541*Settings!$B$9)+(AA541*Settings!$B$6)+(W541*Settings!$B$8)+(AB541*Settings!$B$7)+(AC541*Settings!$B$14)+(AD541*Settings!$B$15)+(AE541*Settings!$B$16)+(AF541*Settings!$B$17)+(AG541*Settings!$B$18)+(Y541*Settings!$B$10)+(Z541*Settings!$B$11),VLOOKUP(B541,'Standard Deviations'!A1:C666,3,FALSE))</f>
        <v>155.30875340317388</v>
      </c>
      <c r="J541" s="52">
        <f>IF(D541="G",I541/AJ541,I541/Q541)</f>
        <v>1.9101992915955215</v>
      </c>
      <c r="K541" s="51">
        <f>IF(Settings!$E$18="C/LW/RW",VLOOKUP(B541,'C'!A1:F206,6,FALSE),VLOOKUP(B541,F!A1:F392,6,FALSE))</f>
        <v>-234.62840437490721</v>
      </c>
      <c r="L541" s="53">
        <f>IFERROR(K541/H541,"N/A")</f>
        <v>-95.766695663227424</v>
      </c>
      <c r="M541" s="83" t="str">
        <f>IF(Settings!$E$9="YAHOO",VLOOKUP(B541,ADP!A1:E665,2,FALSE),IF(Settings!$E$9="ESPN",VLOOKUP(B541,ADP!A1:E665,3,FALSE),IF(Settings!$E$9="FANTRAX",VLOOKUP(B541,ADP!A1:E665,4,FALSE),VLOOKUP(B541,ADP!A1:E665,5,FALSE))))</f>
        <v>—</v>
      </c>
      <c r="N541" s="83" t="str">
        <f>IFERROR(M541-A541,"N/A")</f>
        <v>N/A</v>
      </c>
      <c r="O541" s="54"/>
      <c r="P541" s="55" t="str">
        <f>IF(Settings!$E$27="ON",VLOOKUP(B541,ADP!A1:H665,8,FALSE)," ")</f>
        <v xml:space="preserve"> </v>
      </c>
      <c r="Q541" s="56">
        <f>IF(Settings!$E$12="YES",VLOOKUP(B541,'Player Data'!A1:E667,5,FALSE),82)</f>
        <v>81.305000000000007</v>
      </c>
      <c r="R541" s="81">
        <f>VLOOKUP(B541,'Player Data'!$A1:$AE667,6,FALSE)</f>
        <v>14.757865903903999</v>
      </c>
      <c r="S541" s="56">
        <f>VLOOKUP(B541,'Player Data'!$A1:$AE667,7,FALSE)*$Q541*IFERROR((VLOOKUP(P541,Settings!$E$28:$F$33,2,FALSE)+1),1)</f>
        <v>8.8789515637461651</v>
      </c>
      <c r="T541" s="56">
        <f>VLOOKUP(B541,'Player Data'!$A1:$AE667,8,FALSE)*$Q541*IFERROR((VLOOKUP(P541,Settings!$E$28:$F$33,2,FALSE)+1),1)</f>
        <v>11.899481424153677</v>
      </c>
      <c r="U541" s="56">
        <f>SUM(S541:T541)</f>
        <v>20.778432987899841</v>
      </c>
      <c r="V541" s="56">
        <f>VLOOKUP(B541,'Player Data'!$A1:$AE667,10,FALSE)*$Q541*IFERROR(((VLOOKUP(P541,Settings!$E$28:$F$33,2,FALSE)/2)+1),1)</f>
        <v>130.07214304512922</v>
      </c>
      <c r="W541" s="56">
        <f>VLOOKUP(B541,'Player Data'!$A1:$AE667,11,FALSE)*$Q541*IFERROR((VLOOKUP(P541,Settings!$E$28:$F$33,2,FALSE)+1),1)</f>
        <v>0.80286854019722265</v>
      </c>
      <c r="X541" s="56">
        <f>VLOOKUP(B541,'Player Data'!$A1:$AE667,12,FALSE)*$Q541*IFERROR((VLOOKUP(P541,Settings!$E$28:$F$33,2,FALSE)+1),1)</f>
        <v>1.3590688002614024</v>
      </c>
      <c r="Y541" s="56">
        <f>VLOOKUP(B541,'Player Data'!$A1:$AE667,13,FALSE)*$Q541</f>
        <v>0.76633079592461684</v>
      </c>
      <c r="Z541" s="56">
        <f>VLOOKUP(B541,'Player Data'!$A1:$AE667,14,FALSE)*$Q541</f>
        <v>1.3282336599575122</v>
      </c>
      <c r="AA541" s="56">
        <f>VLOOKUP(B541,'Player Data'!$A1:$AE667,15,FALSE)*$Q541</f>
        <v>50.500160913381634</v>
      </c>
      <c r="AB541" s="56">
        <f>VLOOKUP(B541,'Player Data'!$A1:$AE667,16,FALSE)*$Q541</f>
        <v>68.538330767240566</v>
      </c>
      <c r="AC541" s="56">
        <f>VLOOKUP(B541,'Player Data'!$A1:$AE667,17,FALSE)*$Q541*IFERROR((VLOOKUP(P541,Settings!$E$28:$F$33,2,FALSE)+1),1)</f>
        <v>-0.52337848930261399</v>
      </c>
      <c r="AD541" s="56">
        <f>VLOOKUP(B541,'Player Data'!$A1:$AE667,18,FALSE)*$Q541</f>
        <v>36.388324500441989</v>
      </c>
      <c r="AE541" s="56">
        <f>VLOOKUP(B541,'Player Data'!$A1:$AE667,19,FALSE)*$Q541*IFERROR((VLOOKUP(P541,Settings!$E$28:$F$33,2,FALSE)+1),1)</f>
        <v>1.3162415483900261</v>
      </c>
      <c r="AF541" s="56">
        <f>VLOOKUP(B541,'Player Data'!$A1:$AE667,20,FALSE)*$Q541</f>
        <v>469.56261181429551</v>
      </c>
      <c r="AG541" s="56">
        <f>VLOOKUP(B541,'Player Data'!$A1:$AE667,21,FALSE)*$Q541</f>
        <v>431.61846600997325</v>
      </c>
      <c r="AH541" s="58">
        <f>VLOOKUP(B541,'Player Data'!$A1:$AE667,22,FALSE)</f>
        <v>0.521052453684409</v>
      </c>
      <c r="AI541" s="54"/>
      <c r="AJ541" s="64"/>
      <c r="AK541" s="56"/>
      <c r="AL541" s="56"/>
      <c r="AM541" s="56"/>
      <c r="AN541" s="56"/>
      <c r="AO541" s="56"/>
      <c r="AP541" s="56"/>
      <c r="AQ541" s="59"/>
      <c r="AR541" s="60"/>
      <c r="AS541" s="54"/>
    </row>
    <row r="542" spans="1:45" ht="21.25" customHeight="1" x14ac:dyDescent="0.15">
      <c r="A542" s="45">
        <f>RANK(K542,K$1:K$665)</f>
        <v>541</v>
      </c>
      <c r="B542" s="9" t="s">
        <v>667</v>
      </c>
      <c r="C542" s="46" t="s">
        <v>127</v>
      </c>
      <c r="D542" s="47" t="str">
        <f>VLOOKUP(B542,'Player Data'!A1:D667,4,FALSE)</f>
        <v>LW</v>
      </c>
      <c r="E542" s="70">
        <f>VLOOKUP(B542,LW!A1:C152,3,FALSE)</f>
        <v>121</v>
      </c>
      <c r="F542" s="65" t="str">
        <f>VLOOKUP(B542,'Player Data'!A1:B667,2,FALSE)</f>
        <v>WSH</v>
      </c>
      <c r="G542" s="10">
        <f>VLOOKUP(B542,'Player Data'!A1:D667,3,FALSE)</f>
        <v>28</v>
      </c>
      <c r="H542" s="50">
        <f>IFERROR(VLOOKUP(B542,ADP!A1:G665,7,FALSE)/1000000,VLOOKUP(B542,ADP!A1:G665,7,FALSE))</f>
        <v>1.9</v>
      </c>
      <c r="I542" s="51">
        <f>IF(Settings!$E$15="POINTS",((R542*Q542)*Settings!$B$12)+(S542*Settings!$B$2)+(T542*Settings!$B$3)+(U542*Settings!$B$4)+(V542*Settings!$B$5)+(X542*Settings!$B$9)+(AA542*Settings!$B$6)+(W542*Settings!$B$8)+(AB542*Settings!$B$7)+(AC542*Settings!$B$14)+(AD542*Settings!$B$15)+(AE542*Settings!$B$16)+(AF542*Settings!$B$17)+(AG542*Settings!$B$18)+(Y542*Settings!$B$10)+(Z542*Settings!$B$11),VLOOKUP(B542,'Standard Deviations'!A1:C666,3,FALSE))</f>
        <v>146.2673734166483</v>
      </c>
      <c r="J542" s="52">
        <f>IF(D542="G",I542/AJ542,I542/Q542)</f>
        <v>2.0287440398994181</v>
      </c>
      <c r="K542" s="51">
        <f>IF(Settings!$E$18="C/LW/RW",VLOOKUP(B542,LW!A1:F152,6,FALSE),VLOOKUP(B542,F!A1:F392,6,FALSE))</f>
        <v>-234.79413888585145</v>
      </c>
      <c r="L542" s="53">
        <f>IFERROR(K542/H542,"N/A")</f>
        <v>-123.57586257150076</v>
      </c>
      <c r="M542" s="83" t="str">
        <f>IF(Settings!$E$9="YAHOO",VLOOKUP(B542,ADP!A1:E665,2,FALSE),IF(Settings!$E$9="ESPN",VLOOKUP(B542,ADP!A1:E665,3,FALSE),IF(Settings!$E$9="FANTRAX",VLOOKUP(B542,ADP!A1:E665,4,FALSE),VLOOKUP(B542,ADP!A1:E665,5,FALSE))))</f>
        <v>—</v>
      </c>
      <c r="N542" s="83" t="str">
        <f>IFERROR(M542-A542,"N/A")</f>
        <v>N/A</v>
      </c>
      <c r="O542" s="54"/>
      <c r="P542" s="55" t="str">
        <f>IF(Settings!$E$27="ON",VLOOKUP(B542,ADP!A1:H665,8,FALSE)," ")</f>
        <v xml:space="preserve"> </v>
      </c>
      <c r="Q542" s="56">
        <f>IF(Settings!$E$12="YES",VLOOKUP(B542,'Player Data'!A1:E667,5,FALSE),82)</f>
        <v>72.097499999999997</v>
      </c>
      <c r="R542" s="54">
        <f>VLOOKUP(B542,'Player Data'!$A1:$AE667,6,FALSE)</f>
        <v>12.788692690227499</v>
      </c>
      <c r="S542" s="56">
        <f>VLOOKUP(B542,'Player Data'!$A1:$AE667,7,FALSE)*$Q542*IFERROR((VLOOKUP(P542,Settings!$E$28:$F$33,2,FALSE)+1),1)</f>
        <v>13.557359253570992</v>
      </c>
      <c r="T542" s="56">
        <f>VLOOKUP(B542,'Player Data'!$A1:$AE667,8,FALSE)*$Q542*IFERROR((VLOOKUP(P542,Settings!$E$28:$F$33,2,FALSE)+1),1)</f>
        <v>15.524319192248482</v>
      </c>
      <c r="U542" s="56">
        <f>SUM(S542:T542)</f>
        <v>29.081678445819474</v>
      </c>
      <c r="V542" s="56">
        <f>VLOOKUP(B542,'Player Data'!$A1:$AE667,10,FALSE)*$Q542*IFERROR(((VLOOKUP(P542,Settings!$E$28:$F$33,2,FALSE)/2)+1),1)</f>
        <v>84.199310467273179</v>
      </c>
      <c r="W542" s="56">
        <f>VLOOKUP(B542,'Player Data'!$A1:$AE667,11,FALSE)*$Q542*IFERROR((VLOOKUP(P542,Settings!$E$28:$F$33,2,FALSE)+1),1)</f>
        <v>2.7420437765440058</v>
      </c>
      <c r="X542" s="56">
        <f>VLOOKUP(B542,'Player Data'!$A1:$AE667,12,FALSE)*$Q542*IFERROR((VLOOKUP(P542,Settings!$E$28:$F$33,2,FALSE)+1),1)</f>
        <v>5.5791251718692232</v>
      </c>
      <c r="Y542" s="56">
        <f>VLOOKUP(B542,'Player Data'!$A1:$AE667,13,FALSE)*$Q542</f>
        <v>2.0120992288209538E-3</v>
      </c>
      <c r="Z542" s="56">
        <f>VLOOKUP(B542,'Player Data'!$A1:$AE667,14,FALSE)*$Q542</f>
        <v>3.4136320584251174E-3</v>
      </c>
      <c r="AA542" s="56">
        <f>VLOOKUP(B542,'Player Data'!$A1:$AE667,15,FALSE)*$Q542</f>
        <v>22.680288083251224</v>
      </c>
      <c r="AB542" s="56">
        <f>VLOOKUP(B542,'Player Data'!$A1:$AE667,16,FALSE)*$Q542</f>
        <v>43.538500350827242</v>
      </c>
      <c r="AC542" s="56">
        <f>VLOOKUP(B542,'Player Data'!$A1:$AE667,17,FALSE)*$Q542*IFERROR((VLOOKUP(P542,Settings!$E$28:$F$33,2,FALSE)+1),1)</f>
        <v>-0.81326087382329393</v>
      </c>
      <c r="AD542" s="56">
        <f>VLOOKUP(B542,'Player Data'!$A1:$AE667,18,FALSE)*$Q542</f>
        <v>17.128631832689649</v>
      </c>
      <c r="AE542" s="56">
        <f>VLOOKUP(B542,'Player Data'!$A1:$AE667,19,FALSE)*$Q542*IFERROR((VLOOKUP(P542,Settings!$E$28:$F$33,2,FALSE)+1),1)</f>
        <v>1.9239592200428974</v>
      </c>
      <c r="AF542" s="56">
        <f>VLOOKUP(B542,'Player Data'!$A1:$AE667,20,FALSE)*$Q542</f>
        <v>0</v>
      </c>
      <c r="AG542" s="56">
        <f>VLOOKUP(B542,'Player Data'!$A1:$AE667,21,FALSE)*$Q542</f>
        <v>0.38325919898312777</v>
      </c>
      <c r="AH542" s="58">
        <f>VLOOKUP(B542,'Player Data'!$A1:$AE667,22,FALSE)</f>
        <v>0</v>
      </c>
      <c r="AI542" s="54"/>
      <c r="AJ542" s="56"/>
      <c r="AK542" s="56"/>
      <c r="AL542" s="56"/>
      <c r="AM542" s="56"/>
      <c r="AN542" s="56"/>
      <c r="AO542" s="56"/>
      <c r="AP542" s="56"/>
      <c r="AQ542" s="59"/>
      <c r="AR542" s="60"/>
      <c r="AS542" s="54"/>
    </row>
    <row r="543" spans="1:45" ht="21.25" customHeight="1" x14ac:dyDescent="0.15">
      <c r="A543" s="45">
        <f>RANK(K543,K$1:K$665)</f>
        <v>542</v>
      </c>
      <c r="B543" s="9" t="s">
        <v>668</v>
      </c>
      <c r="C543" s="46" t="s">
        <v>127</v>
      </c>
      <c r="D543" s="47" t="str">
        <f>VLOOKUP(B543,'Player Data'!A1:D667,4,FALSE)</f>
        <v>C</v>
      </c>
      <c r="E543" s="48">
        <f>VLOOKUP(B543,'C'!A1:C206,3,FALSE)</f>
        <v>150</v>
      </c>
      <c r="F543" s="65" t="str">
        <f>VLOOKUP(B543,'Player Data'!A1:B667,2,FALSE)</f>
        <v>WSH</v>
      </c>
      <c r="G543" s="63">
        <f>VLOOKUP(B543,'Player Data'!A1:D667,3,FALSE)</f>
        <v>34</v>
      </c>
      <c r="H543" s="67">
        <f>IFERROR(VLOOKUP(B543,ADP!A1:G665,7,FALSE)/1000000,VLOOKUP(B543,ADP!A1:G665,7,FALSE))</f>
        <v>1.3</v>
      </c>
      <c r="I543" s="51">
        <f>IF(Settings!$E$15="POINTS",((R543*Q543)*Settings!$B$12)+(S543*Settings!$B$2)+(T543*Settings!$B$3)+(U543*Settings!$B$4)+(V543*Settings!$B$5)+(X543*Settings!$B$9)+(AA543*Settings!$B$6)+(W543*Settings!$B$8)+(AB543*Settings!$B$7)+(AC543*Settings!$B$14)+(AD543*Settings!$B$15)+(AE543*Settings!$B$16)+(AF543*Settings!$B$17)+(AG543*Settings!$B$18)+(Y543*Settings!$B$10)+(Z543*Settings!$B$11),VLOOKUP(B543,'Standard Deviations'!A1:C666,3,FALSE))</f>
        <v>154.76260569544934</v>
      </c>
      <c r="J543" s="52">
        <f>IF(D543="G",I543/AJ543,I543/Q543)</f>
        <v>2.0718579028140076</v>
      </c>
      <c r="K543" s="51">
        <f>IF(Settings!$E$18="C/LW/RW",VLOOKUP(B543,'C'!A1:F206,6,FALSE),VLOOKUP(B543,F!A1:F392,6,FALSE))</f>
        <v>-235.17455208263175</v>
      </c>
      <c r="L543" s="53">
        <f>IFERROR(K543/H543,"N/A")</f>
        <v>-180.90350160202442</v>
      </c>
      <c r="M543" s="83" t="str">
        <f>IF(Settings!$E$9="YAHOO",VLOOKUP(B543,ADP!A1:E665,2,FALSE),IF(Settings!$E$9="ESPN",VLOOKUP(B543,ADP!A1:E665,3,FALSE),IF(Settings!$E$9="FANTRAX",VLOOKUP(B543,ADP!A1:E665,4,FALSE),VLOOKUP(B543,ADP!A1:E665,5,FALSE))))</f>
        <v>—</v>
      </c>
      <c r="N543" s="83" t="str">
        <f>IFERROR(M543-A543,"N/A")</f>
        <v>N/A</v>
      </c>
      <c r="O543" s="54"/>
      <c r="P543" s="55" t="str">
        <f>IF(Settings!$E$27="ON",VLOOKUP(B543,ADP!A1:H665,8,FALSE)," ")</f>
        <v xml:space="preserve"> </v>
      </c>
      <c r="Q543" s="56">
        <f>IF(Settings!$E$12="YES",VLOOKUP(B543,'Player Data'!A1:E667,5,FALSE),82)</f>
        <v>74.697500000000005</v>
      </c>
      <c r="R543" s="54">
        <f>VLOOKUP(B543,'Player Data'!$A1:$AE667,6,FALSE)</f>
        <v>14.984419908246901</v>
      </c>
      <c r="S543" s="56">
        <f>VLOOKUP(B543,'Player Data'!$A1:$AE667,7,FALSE)*$Q543*IFERROR((VLOOKUP(P543,Settings!$E$28:$F$33,2,FALSE)+1),1)</f>
        <v>12.57452476638923</v>
      </c>
      <c r="T543" s="56">
        <f>VLOOKUP(B543,'Player Data'!$A1:$AE667,8,FALSE)*$Q543*IFERROR((VLOOKUP(P543,Settings!$E$28:$F$33,2,FALSE)+1),1)</f>
        <v>12.479957331055001</v>
      </c>
      <c r="U543" s="56">
        <f>SUM(S543:T543)</f>
        <v>25.054482097444229</v>
      </c>
      <c r="V543" s="56">
        <f>VLOOKUP(B543,'Player Data'!$A1:$AE667,10,FALSE)*$Q543*IFERROR(((VLOOKUP(P543,Settings!$E$28:$F$33,2,FALSE)/2)+1),1)</f>
        <v>81.296446226382457</v>
      </c>
      <c r="W543" s="56">
        <f>VLOOKUP(B543,'Player Data'!$A1:$AE667,11,FALSE)*$Q543*IFERROR((VLOOKUP(P543,Settings!$E$28:$F$33,2,FALSE)+1),1)</f>
        <v>5.9219769373873944E-2</v>
      </c>
      <c r="X543" s="56">
        <f>VLOOKUP(B543,'Player Data'!$A1:$AE667,12,FALSE)*$Q543*IFERROR((VLOOKUP(P543,Settings!$E$28:$F$33,2,FALSE)+1),1)</f>
        <v>0.15343652644532788</v>
      </c>
      <c r="Y543" s="56">
        <f>VLOOKUP(B543,'Player Data'!$A1:$AE667,13,FALSE)*$Q543</f>
        <v>0.27106801255420282</v>
      </c>
      <c r="Z543" s="56">
        <f>VLOOKUP(B543,'Player Data'!$A1:$AE667,14,FALSE)*$Q543</f>
        <v>0.66299615953740343</v>
      </c>
      <c r="AA543" s="56">
        <f>VLOOKUP(B543,'Player Data'!$A1:$AE667,15,FALSE)*$Q543</f>
        <v>76.26900720788538</v>
      </c>
      <c r="AB543" s="56">
        <f>VLOOKUP(B543,'Player Data'!$A1:$AE667,16,FALSE)*$Q543</f>
        <v>136.59576558829585</v>
      </c>
      <c r="AC543" s="56">
        <f>VLOOKUP(B543,'Player Data'!$A1:$AE667,17,FALSE)*$Q543*IFERROR((VLOOKUP(P543,Settings!$E$28:$F$33,2,FALSE)+1),1)</f>
        <v>-2.3930067096738892</v>
      </c>
      <c r="AD543" s="56">
        <f>VLOOKUP(B543,'Player Data'!$A1:$AE667,18,FALSE)*$Q543</f>
        <v>43.63620236164553</v>
      </c>
      <c r="AE543" s="56">
        <f>VLOOKUP(B543,'Player Data'!$A1:$AE667,19,FALSE)*$Q543*IFERROR((VLOOKUP(P543,Settings!$E$28:$F$33,2,FALSE)+1),1)</f>
        <v>1.7844826864479495</v>
      </c>
      <c r="AF543" s="56">
        <f>VLOOKUP(B543,'Player Data'!$A1:$AE667,20,FALSE)*$Q543</f>
        <v>586.11428687651073</v>
      </c>
      <c r="AG543" s="56">
        <f>VLOOKUP(B543,'Player Data'!$A1:$AE667,21,FALSE)*$Q543</f>
        <v>578.27518073924796</v>
      </c>
      <c r="AH543" s="58">
        <f>VLOOKUP(B543,'Player Data'!$A1:$AE667,22,FALSE)</f>
        <v>0.50336618732618499</v>
      </c>
      <c r="AI543" s="54"/>
      <c r="AJ543" s="56"/>
      <c r="AK543" s="56"/>
      <c r="AL543" s="56"/>
      <c r="AM543" s="56"/>
      <c r="AN543" s="56"/>
      <c r="AO543" s="56"/>
      <c r="AP543" s="56"/>
      <c r="AQ543" s="59"/>
      <c r="AR543" s="60"/>
      <c r="AS543" s="54"/>
    </row>
    <row r="544" spans="1:45" ht="21.25" customHeight="1" x14ac:dyDescent="0.15">
      <c r="A544" s="45">
        <f>RANK(K544,K$1:K$665)</f>
        <v>543</v>
      </c>
      <c r="B544" s="9" t="s">
        <v>669</v>
      </c>
      <c r="C544" s="46" t="s">
        <v>127</v>
      </c>
      <c r="D544" s="47" t="str">
        <f>VLOOKUP(B544,'Player Data'!A1:D667,4,FALSE)</f>
        <v>C</v>
      </c>
      <c r="E544" s="48">
        <f>VLOOKUP(B544,'C'!A1:C206,3,FALSE)</f>
        <v>151</v>
      </c>
      <c r="F544" s="72" t="str">
        <f>VLOOKUP(B544,'Player Data'!A1:B667,2,FALSE)</f>
        <v>CAR</v>
      </c>
      <c r="G544" s="10">
        <f>VLOOKUP(B544,'Player Data'!A1:D667,3,FALSE)</f>
        <v>24</v>
      </c>
      <c r="H544" s="50">
        <f>IFERROR(VLOOKUP(B544,ADP!A1:G665,7,FALSE)/1000000,VLOOKUP(B544,ADP!A1:G665,7,FALSE))</f>
        <v>1.7250000000000001</v>
      </c>
      <c r="I544" s="51">
        <f>IF(Settings!$E$15="POINTS",((R544*Q544)*Settings!$B$12)+(S544*Settings!$B$2)+(T544*Settings!$B$3)+(U544*Settings!$B$4)+(V544*Settings!$B$5)+(X544*Settings!$B$9)+(AA544*Settings!$B$6)+(W544*Settings!$B$8)+(AB544*Settings!$B$7)+(AC544*Settings!$B$14)+(AD544*Settings!$B$15)+(AE544*Settings!$B$16)+(AF544*Settings!$B$17)+(AG544*Settings!$B$18)+(Y544*Settings!$B$10)+(Z544*Settings!$B$11),VLOOKUP(B544,'Standard Deviations'!A1:C666,3,FALSE))</f>
        <v>154.31706123261708</v>
      </c>
      <c r="J544" s="52">
        <f>IF(D544="G",I544/AJ544,I544/Q544)</f>
        <v>2.1995020130076552</v>
      </c>
      <c r="K544" s="51">
        <f>IF(Settings!$E$18="C/LW/RW",VLOOKUP(B544,'C'!A1:F206,6,FALSE),VLOOKUP(B544,F!A1:F392,6,FALSE))</f>
        <v>-235.62009654546401</v>
      </c>
      <c r="L544" s="53">
        <f>IFERROR(K544/H544,"N/A")</f>
        <v>-136.59136031621102</v>
      </c>
      <c r="M544" s="83" t="str">
        <f>IF(Settings!$E$9="YAHOO",VLOOKUP(B544,ADP!A1:E665,2,FALSE),IF(Settings!$E$9="ESPN",VLOOKUP(B544,ADP!A1:E665,3,FALSE),IF(Settings!$E$9="FANTRAX",VLOOKUP(B544,ADP!A1:E665,4,FALSE),VLOOKUP(B544,ADP!A1:E665,5,FALSE))))</f>
        <v>—</v>
      </c>
      <c r="N544" s="83" t="str">
        <f>IFERROR(M544-A544,"N/A")</f>
        <v>N/A</v>
      </c>
      <c r="O544" s="54"/>
      <c r="P544" s="55" t="str">
        <f>IF(Settings!$E$27="ON",VLOOKUP(B544,ADP!A1:H665,8,FALSE)," ")</f>
        <v xml:space="preserve"> </v>
      </c>
      <c r="Q544" s="56">
        <f>IF(Settings!$E$12="YES",VLOOKUP(B544,'Player Data'!A1:E667,5,FALSE),82)</f>
        <v>70.16</v>
      </c>
      <c r="R544" s="54">
        <f>VLOOKUP(B544,'Player Data'!$A1:$AE667,6,FALSE)</f>
        <v>12.7434690642738</v>
      </c>
      <c r="S544" s="56">
        <f>VLOOKUP(B544,'Player Data'!$A1:$AE667,7,FALSE)*$Q544*IFERROR((VLOOKUP(P544,Settings!$E$28:$F$33,2,FALSE)+1),1)</f>
        <v>8.2397056556474411</v>
      </c>
      <c r="T544" s="56">
        <f>VLOOKUP(B544,'Player Data'!$A1:$AE667,8,FALSE)*$Q544*IFERROR((VLOOKUP(P544,Settings!$E$28:$F$33,2,FALSE)+1),1)</f>
        <v>16.512314015943229</v>
      </c>
      <c r="U544" s="56">
        <f>SUM(S544:T544)</f>
        <v>24.75201967159067</v>
      </c>
      <c r="V544" s="56">
        <f>VLOOKUP(B544,'Player Data'!$A1:$AE667,10,FALSE)*$Q544*IFERROR(((VLOOKUP(P544,Settings!$E$28:$F$33,2,FALSE)/2)+1),1)</f>
        <v>111.3372459258987</v>
      </c>
      <c r="W544" s="56">
        <f>VLOOKUP(B544,'Player Data'!$A1:$AE667,11,FALSE)*$Q544*IFERROR((VLOOKUP(P544,Settings!$E$28:$F$33,2,FALSE)+1),1)</f>
        <v>2.2996835591849885</v>
      </c>
      <c r="X544" s="56">
        <f>VLOOKUP(B544,'Player Data'!$A1:$AE667,12,FALSE)*$Q544*IFERROR((VLOOKUP(P544,Settings!$E$28:$F$33,2,FALSE)+1),1)</f>
        <v>7.4401973346524617</v>
      </c>
      <c r="Y544" s="56">
        <f>VLOOKUP(B544,'Player Data'!$A1:$AE667,13,FALSE)*$Q544</f>
        <v>9.3642356870806645E-2</v>
      </c>
      <c r="Z544" s="56">
        <f>VLOOKUP(B544,'Player Data'!$A1:$AE667,14,FALSE)*$Q544</f>
        <v>0.15685283667899821</v>
      </c>
      <c r="AA544" s="56">
        <f>VLOOKUP(B544,'Player Data'!$A1:$AE667,15,FALSE)*$Q544</f>
        <v>33.590658167128566</v>
      </c>
      <c r="AB544" s="56">
        <f>VLOOKUP(B544,'Player Data'!$A1:$AE667,16,FALSE)*$Q544</f>
        <v>46.368264823554924</v>
      </c>
      <c r="AC544" s="56">
        <f>VLOOKUP(B544,'Player Data'!$A1:$AE667,17,FALSE)*$Q544*IFERROR((VLOOKUP(P544,Settings!$E$28:$F$33,2,FALSE)+1),1)</f>
        <v>5.2495968145826</v>
      </c>
      <c r="AD544" s="56">
        <f>VLOOKUP(B544,'Player Data'!$A1:$AE667,18,FALSE)*$Q544</f>
        <v>29.324535918153099</v>
      </c>
      <c r="AE544" s="56">
        <f>VLOOKUP(B544,'Player Data'!$A1:$AE667,19,FALSE)*$Q544*IFERROR((VLOOKUP(P544,Settings!$E$28:$F$33,2,FALSE)+1),1)</f>
        <v>1.4278222243603962</v>
      </c>
      <c r="AF544" s="56">
        <f>VLOOKUP(B544,'Player Data'!$A1:$AE667,20,FALSE)*$Q544</f>
        <v>341.11389929440247</v>
      </c>
      <c r="AG544" s="56">
        <f>VLOOKUP(B544,'Player Data'!$A1:$AE667,21,FALSE)*$Q544</f>
        <v>278.24562877484436</v>
      </c>
      <c r="AH544" s="58">
        <f>VLOOKUP(B544,'Player Data'!$A1:$AE667,22,FALSE)</f>
        <v>0.550752646621535</v>
      </c>
      <c r="AI544" s="54"/>
      <c r="AJ544" s="56"/>
      <c r="AK544" s="56"/>
      <c r="AL544" s="56"/>
      <c r="AM544" s="56"/>
      <c r="AN544" s="56"/>
      <c r="AO544" s="56"/>
      <c r="AP544" s="56"/>
      <c r="AQ544" s="59"/>
      <c r="AR544" s="60"/>
      <c r="AS544" s="54"/>
    </row>
    <row r="545" spans="1:45" ht="21.25" customHeight="1" x14ac:dyDescent="0.15">
      <c r="A545" s="45">
        <f>RANK(K545,K$1:K$665)</f>
        <v>544</v>
      </c>
      <c r="B545" s="9" t="s">
        <v>670</v>
      </c>
      <c r="C545" s="46" t="s">
        <v>127</v>
      </c>
      <c r="D545" s="47" t="str">
        <f>VLOOKUP(B545,'Player Data'!A1:D667,4,FALSE)</f>
        <v>D</v>
      </c>
      <c r="E545" s="66">
        <f>VLOOKUP(B545,D!A1:C213,3,FALSE)</f>
        <v>205</v>
      </c>
      <c r="F545" s="65" t="str">
        <f>VLOOKUP(B545,'Player Data'!A1:B667,2,FALSE)</f>
        <v>DET</v>
      </c>
      <c r="G545" s="63">
        <f>VLOOKUP(B545,'Player Data'!A1:D667,3,FALSE)</f>
        <v>32</v>
      </c>
      <c r="H545" s="50">
        <f>IFERROR(VLOOKUP(B545,ADP!A1:G665,7,FALSE)/1000000,VLOOKUP(B545,ADP!A1:G665,7,FALSE))</f>
        <v>3.4</v>
      </c>
      <c r="I545" s="51">
        <f>IF(Settings!$E$15="POINTS",((R545*Q545)*Settings!$B$12)+(S545*Settings!$B$2)+(T545*Settings!$B$3)+(U545*Settings!$B$4)+(V545*Settings!$B$5)+(X545*Settings!$B$9)+(AA545*Settings!$B$6)+(W545*Settings!$B$8)+(AB545*Settings!$B$7)+(AC545*Settings!$B$14)+(AD545*Settings!$B$15)+(AE545*Settings!$B$16)+(AF545*Settings!$B$17)+(AG545*Settings!$B$18)+(U545*Settings!$B$13)+(Y545*Settings!$B$10)+(Z545*Settings!$B$11),VLOOKUP(B545,'Standard Deviations'!A1:C666,3,FALSE))</f>
        <v>100.45450627195373</v>
      </c>
      <c r="J545" s="52">
        <f>IF(D545="G",I545/AJ545,I545/Q545)</f>
        <v>1.3828137693159026</v>
      </c>
      <c r="K545" s="51">
        <f>VLOOKUP(B545,D!A1:F213,6,FALSE)</f>
        <v>-235.77961877364118</v>
      </c>
      <c r="L545" s="53">
        <f>IFERROR(K545/H545,"N/A")</f>
        <v>-69.346946698129756</v>
      </c>
      <c r="M545" s="83" t="str">
        <f>IF(Settings!$E$9="YAHOO",VLOOKUP(B545,ADP!A1:E665,2,FALSE),IF(Settings!$E$9="ESPN",VLOOKUP(B545,ADP!A1:E665,3,FALSE),IF(Settings!$E$9="FANTRAX",VLOOKUP(B545,ADP!A1:E665,4,FALSE),VLOOKUP(B545,ADP!A1:E665,5,FALSE))))</f>
        <v>—</v>
      </c>
      <c r="N545" s="83" t="str">
        <f>IFERROR(M545-A545,"N/A")</f>
        <v>N/A</v>
      </c>
      <c r="O545" s="54"/>
      <c r="P545" s="55" t="str">
        <f>IF(Settings!$E$27="ON",VLOOKUP(B545,ADP!A1:H665,8,FALSE)," ")</f>
        <v xml:space="preserve"> </v>
      </c>
      <c r="Q545" s="56">
        <f>IF(Settings!$E$12="YES",VLOOKUP(B545,'Player Data'!A1:E667,5,FALSE),82)</f>
        <v>72.644999999999996</v>
      </c>
      <c r="R545" s="54">
        <f>VLOOKUP(B545,'Player Data'!$A1:$AE667,6,FALSE)</f>
        <v>14.9923083178829</v>
      </c>
      <c r="S545" s="56">
        <f>VLOOKUP(B545,'Player Data'!$A1:$AE667,7,FALSE)*$Q545*IFERROR((VLOOKUP(P545,Settings!$E$28:$F$33,2,FALSE)+1),1)</f>
        <v>1.4065380192203254</v>
      </c>
      <c r="T545" s="56">
        <f>VLOOKUP(B545,'Player Data'!$A1:$AE667,8,FALSE)*$Q545*IFERROR((VLOOKUP(P545,Settings!$E$28:$F$33,2,FALSE)+1),1)</f>
        <v>11.53745890792492</v>
      </c>
      <c r="U545" s="56">
        <f>SUM(S545:T545)</f>
        <v>12.943996927145246</v>
      </c>
      <c r="V545" s="56">
        <f>VLOOKUP(B545,'Player Data'!$A1:$AE667,10,FALSE)*$Q545*IFERROR(((VLOOKUP(P545,Settings!$E$28:$F$33,2,FALSE)/2)+1),1)</f>
        <v>40.356782983302047</v>
      </c>
      <c r="W545" s="56">
        <f>VLOOKUP(B545,'Player Data'!$A1:$AE667,11,FALSE)*$Q545*IFERROR((VLOOKUP(P545,Settings!$E$28:$F$33,2,FALSE)+1),1)</f>
        <v>1.2747454920855607E-2</v>
      </c>
      <c r="X545" s="56">
        <f>VLOOKUP(B545,'Player Data'!$A1:$AE667,12,FALSE)*$Q545*IFERROR((VLOOKUP(P545,Settings!$E$28:$F$33,2,FALSE)+1),1)</f>
        <v>9.4849759217641189E-2</v>
      </c>
      <c r="Y545" s="56">
        <f>VLOOKUP(B545,'Player Data'!$A1:$AE667,13,FALSE)*$Q545</f>
        <v>7.1861668489897113E-2</v>
      </c>
      <c r="Z545" s="56">
        <f>VLOOKUP(B545,'Player Data'!$A1:$AE667,14,FALSE)*$Q545</f>
        <v>0.27606618952293066</v>
      </c>
      <c r="AA545" s="56">
        <f>VLOOKUP(B545,'Player Data'!$A1:$AE667,15,FALSE)*$Q545</f>
        <v>82.146416100252793</v>
      </c>
      <c r="AB545" s="56">
        <f>VLOOKUP(B545,'Player Data'!$A1:$AE667,16,FALSE)*$Q545</f>
        <v>103.95320616257305</v>
      </c>
      <c r="AC545" s="56">
        <f>VLOOKUP(B545,'Player Data'!$A1:$AE667,17,FALSE)*$Q545*IFERROR((VLOOKUP(P545,Settings!$E$28:$F$33,2,FALSE)+1),1)</f>
        <v>-1.8993568228887556</v>
      </c>
      <c r="AD545" s="56">
        <f>VLOOKUP(B545,'Player Data'!$A1:$AE667,18,FALSE)*$Q545</f>
        <v>30.413945173262114</v>
      </c>
      <c r="AE545" s="56">
        <f>VLOOKUP(B545,'Player Data'!$A1:$AE667,19,FALSE)*$Q545*IFERROR((VLOOKUP(P545,Settings!$E$28:$F$33,2,FALSE)+1),1)</f>
        <v>0.19317768016050105</v>
      </c>
      <c r="AF545" s="56">
        <f>VLOOKUP(B545,'Player Data'!$A1:$AE667,20,FALSE)*$Q545</f>
        <v>0</v>
      </c>
      <c r="AG545" s="56">
        <f>VLOOKUP(B545,'Player Data'!$A1:$AE667,21,FALSE)*$Q545</f>
        <v>0</v>
      </c>
      <c r="AH545" s="58">
        <f>VLOOKUP(B545,'Player Data'!$A1:$AE667,22,FALSE)</f>
        <v>0</v>
      </c>
      <c r="AI545" s="54"/>
      <c r="AJ545" s="56"/>
      <c r="AK545" s="56"/>
      <c r="AL545" s="56"/>
      <c r="AM545" s="56"/>
      <c r="AN545" s="56"/>
      <c r="AO545" s="56"/>
      <c r="AP545" s="56"/>
      <c r="AQ545" s="59"/>
      <c r="AR545" s="60"/>
      <c r="AS545" s="54"/>
    </row>
    <row r="546" spans="1:45" ht="21.25" customHeight="1" x14ac:dyDescent="0.15">
      <c r="A546" s="45">
        <f>RANK(K546,K$1:K$665)</f>
        <v>545</v>
      </c>
      <c r="B546" s="9" t="s">
        <v>671</v>
      </c>
      <c r="C546" s="46" t="s">
        <v>127</v>
      </c>
      <c r="D546" s="47" t="str">
        <f>VLOOKUP(B546,'Player Data'!A1:D667,4,FALSE)</f>
        <v>G</v>
      </c>
      <c r="E546" s="73">
        <f>VLOOKUP(B546,G!A1:D65,3,FALSE)</f>
        <v>51</v>
      </c>
      <c r="F546" s="62" t="str">
        <f>VLOOKUP(B546,'Player Data'!A1:B667,2,FALSE)</f>
        <v>STL</v>
      </c>
      <c r="G546" s="69">
        <f>VLOOKUP(B546,'Player Data'!A1:D667,3,FALSE)</f>
        <v>23</v>
      </c>
      <c r="H546" s="67">
        <f>IFERROR(VLOOKUP(B546,ADP!A1:G665,7,FALSE)/1000000,VLOOKUP(B546,ADP!A1:G665,7,FALSE))</f>
        <v>0.77500000000000002</v>
      </c>
      <c r="I546" s="51">
        <f>IF(Settings!$E$15="POINTS",(AJ546*Settings!$B$29)+(AK546*Settings!$B$21)+(AL546*Settings!$B$22)+(AN546*Settings!$B$24)+(AO546*Settings!$B$25)+(AP546*Settings!$B$27)+(AM546*Settings!$B$23),VLOOKUP(B546,'Standard Deviations'!A1:C666,3,FALSE))</f>
        <v>174.02206335662538</v>
      </c>
      <c r="J546" s="52">
        <f>IF(D546="G",I546/AJ546,I546/Q546)</f>
        <v>6.6931562829471298</v>
      </c>
      <c r="K546" s="51">
        <f>VLOOKUP(B546,G!A1:F65,6,FALSE)</f>
        <v>-236.6376794127948</v>
      </c>
      <c r="L546" s="53">
        <f>IFERROR(K546/H546,"N/A")</f>
        <v>-305.33894117779971</v>
      </c>
      <c r="M546" s="83" t="str">
        <f>IF(Settings!$E$9="YAHOO",VLOOKUP(B546,ADP!A1:E665,2,FALSE),IF(Settings!$E$9="ESPN",VLOOKUP(B546,ADP!A1:E665,3,FALSE),IF(Settings!$E$9="FANTRAX",VLOOKUP(B546,ADP!A1:E665,4,FALSE),VLOOKUP(B546,ADP!A1:E665,5,FALSE))))</f>
        <v>—</v>
      </c>
      <c r="N546" s="83" t="str">
        <f>IFERROR(M546-A546,"N/A")</f>
        <v>N/A</v>
      </c>
      <c r="O546" s="54"/>
      <c r="P546" s="55" t="str">
        <f>IF(Settings!$E$27="ON",VLOOKUP(B546,ADP!A1:H665,8,FALSE)," ")</f>
        <v xml:space="preserve"> </v>
      </c>
      <c r="Q546" s="56"/>
      <c r="R546" s="54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8"/>
      <c r="AI546" s="54"/>
      <c r="AJ546" s="64">
        <f>VLOOKUP(B546,'Player Data'!$A1:$AE667,24,FALSE)</f>
        <v>26</v>
      </c>
      <c r="AK546" s="56">
        <f>VLOOKUP(B546,'Player Data'!$A1:$AE667,25,FALSE)*$AJ546*IFERROR((VLOOKUP(P546,Settings!$E$28:$F$33,2,FALSE)+1),1)</f>
        <v>11.541917654427419</v>
      </c>
      <c r="AL546" s="56">
        <f>AJ546-AK546-AM546</f>
        <v>11.208082345572581</v>
      </c>
      <c r="AM546" s="56">
        <f>VLOOKUP(B546,'Player Data'!$A1:$AE667,27,FALSE)*$AJ546</f>
        <v>3.25</v>
      </c>
      <c r="AN546" s="56">
        <f>VLOOKUP(B546,'Player Data'!$A1:$AE667,28,FALSE)*AJ546</f>
        <v>1.1064548189544043</v>
      </c>
      <c r="AO546" s="56">
        <f>VLOOKUP(B546,'Player Data'!$A1:$AE667,29,FALSE)*$AJ546*IFERROR((VLOOKUP(P546,Settings!$E$28:$F$33,2,FALSE)/4)+1,1)</f>
        <v>748.58732213054657</v>
      </c>
      <c r="AP546" s="56">
        <f>VLOOKUP(B546,'Player Data'!$A1:$AE667,31,FALSE)*$AJ546*(IFERROR(1-(VLOOKUP(P546,Settings!$E$28:$F$33,2,FALSE)/4),1))</f>
        <v>78.667935163628201</v>
      </c>
      <c r="AQ546" s="59">
        <f>1-(AP546/(AO546+AP546))</f>
        <v>0.90490488338395214</v>
      </c>
      <c r="AR546" s="60">
        <f>AP546/AJ546</f>
        <v>3.0256898139857</v>
      </c>
      <c r="AS546" s="54"/>
    </row>
    <row r="547" spans="1:45" ht="21.25" customHeight="1" x14ac:dyDescent="0.15">
      <c r="A547" s="45">
        <f>RANK(K547,K$1:K$665)</f>
        <v>546</v>
      </c>
      <c r="B547" s="9" t="s">
        <v>672</v>
      </c>
      <c r="C547" s="46" t="s">
        <v>127</v>
      </c>
      <c r="D547" s="47" t="str">
        <f>VLOOKUP(B547,'Player Data'!A1:D667,4,FALSE)</f>
        <v>D</v>
      </c>
      <c r="E547" s="66">
        <f>VLOOKUP(B547,D!A1:C213,3,FALSE)</f>
        <v>206</v>
      </c>
      <c r="F547" s="71" t="str">
        <f>VLOOKUP(B547,'Player Data'!A1:B667,2,FALSE)</f>
        <v>NYR</v>
      </c>
      <c r="G547" s="69">
        <f>VLOOKUP(B547,'Player Data'!A1:D667,3,FALSE)</f>
        <v>23</v>
      </c>
      <c r="H547" s="67">
        <f>IFERROR(VLOOKUP(B547,ADP!A1:G665,7,FALSE)/1000000,VLOOKUP(B547,ADP!A1:G665,7,FALSE))</f>
        <v>0.8125</v>
      </c>
      <c r="I547" s="51">
        <f>IF(Settings!$E$15="POINTS",((R547*Q547)*Settings!$B$12)+(S547*Settings!$B$2)+(T547*Settings!$B$3)+(U547*Settings!$B$4)+(V547*Settings!$B$5)+(X547*Settings!$B$9)+(AA547*Settings!$B$6)+(W547*Settings!$B$8)+(AB547*Settings!$B$7)+(AC547*Settings!$B$14)+(AD547*Settings!$B$15)+(AE547*Settings!$B$16)+(AF547*Settings!$B$17)+(AG547*Settings!$B$18)+(U547*Settings!$B$13)+(Y547*Settings!$B$10)+(Z547*Settings!$B$11),VLOOKUP(B547,'Standard Deviations'!A1:C666,3,FALSE))</f>
        <v>99.314129054792645</v>
      </c>
      <c r="J547" s="52">
        <f>IF(D547="G",I547/AJ547,I547/Q547)</f>
        <v>1.7453385888984252</v>
      </c>
      <c r="K547" s="51">
        <f>VLOOKUP(B547,D!A1:F213,6,FALSE)</f>
        <v>-236.91999599080225</v>
      </c>
      <c r="L547" s="53">
        <f>IFERROR(K547/H547,"N/A")</f>
        <v>-291.5938412194489</v>
      </c>
      <c r="M547" s="83" t="str">
        <f>IF(Settings!$E$9="YAHOO",VLOOKUP(B547,ADP!A1:E665,2,FALSE),IF(Settings!$E$9="ESPN",VLOOKUP(B547,ADP!A1:E665,3,FALSE),IF(Settings!$E$9="FANTRAX",VLOOKUP(B547,ADP!A1:E665,4,FALSE),VLOOKUP(B547,ADP!A1:E665,5,FALSE))))</f>
        <v>—</v>
      </c>
      <c r="N547" s="83" t="str">
        <f>IFERROR(M547-A547,"N/A")</f>
        <v>N/A</v>
      </c>
      <c r="O547" s="54"/>
      <c r="P547" s="55" t="str">
        <f>IF(Settings!$E$27="ON",VLOOKUP(B547,ADP!A1:H665,8,FALSE)," ")</f>
        <v xml:space="preserve"> </v>
      </c>
      <c r="Q547" s="56">
        <f>IF(Settings!$E$12="YES",VLOOKUP(B547,'Player Data'!A1:E667,5,FALSE),82)</f>
        <v>56.902500000000003</v>
      </c>
      <c r="R547" s="54">
        <f>VLOOKUP(B547,'Player Data'!$A1:$AE667,6,FALSE)</f>
        <v>14.6430171797816</v>
      </c>
      <c r="S547" s="56">
        <f>VLOOKUP(B547,'Player Data'!$A1:$AE667,7,FALSE)*$Q547*IFERROR((VLOOKUP(P547,Settings!$E$28:$F$33,2,FALSE)+1),1)</f>
        <v>3.0921874836561321</v>
      </c>
      <c r="T547" s="56">
        <f>VLOOKUP(B547,'Player Data'!$A1:$AE667,8,FALSE)*$Q547*IFERROR((VLOOKUP(P547,Settings!$E$28:$F$33,2,FALSE)+1),1)</f>
        <v>10.029880489259863</v>
      </c>
      <c r="U547" s="56">
        <f>SUM(S547:T547)</f>
        <v>13.122067972915996</v>
      </c>
      <c r="V547" s="56">
        <f>VLOOKUP(B547,'Player Data'!$A1:$AE667,10,FALSE)*$Q547*IFERROR(((VLOOKUP(P547,Settings!$E$28:$F$33,2,FALSE)/2)+1),1)</f>
        <v>65.19085227076873</v>
      </c>
      <c r="W547" s="56">
        <f>VLOOKUP(B547,'Player Data'!$A1:$AE667,11,FALSE)*$Q547*IFERROR((VLOOKUP(P547,Settings!$E$28:$F$33,2,FALSE)+1),1)</f>
        <v>1.3233143499036686E-2</v>
      </c>
      <c r="X547" s="56">
        <f>VLOOKUP(B547,'Player Data'!$A1:$AE667,12,FALSE)*$Q547*IFERROR((VLOOKUP(P547,Settings!$E$28:$F$33,2,FALSE)+1),1)</f>
        <v>8.4258069508010333E-2</v>
      </c>
      <c r="Y547" s="56">
        <f>VLOOKUP(B547,'Player Data'!$A1:$AE667,13,FALSE)*$Q547</f>
        <v>6.1083263222297289E-3</v>
      </c>
      <c r="Z547" s="56">
        <f>VLOOKUP(B547,'Player Data'!$A1:$AE667,14,FALSE)*$Q547</f>
        <v>3.0060565570381559E-2</v>
      </c>
      <c r="AA547" s="56">
        <f>VLOOKUP(B547,'Player Data'!$A1:$AE667,15,FALSE)*$Q547</f>
        <v>54.47636073116383</v>
      </c>
      <c r="AB547" s="56">
        <f>VLOOKUP(B547,'Player Data'!$A1:$AE667,16,FALSE)*$Q547</f>
        <v>56.026030495288971</v>
      </c>
      <c r="AC547" s="56">
        <f>VLOOKUP(B547,'Player Data'!$A1:$AE667,17,FALSE)*$Q547*IFERROR((VLOOKUP(P547,Settings!$E$28:$F$33,2,FALSE)+1),1)</f>
        <v>1.3296072957372744</v>
      </c>
      <c r="AD547" s="56">
        <f>VLOOKUP(B547,'Player Data'!$A1:$AE667,18,FALSE)*$Q547</f>
        <v>17.927281459066904</v>
      </c>
      <c r="AE547" s="56">
        <f>VLOOKUP(B547,'Player Data'!$A1:$AE667,19,FALSE)*$Q547*IFERROR((VLOOKUP(P547,Settings!$E$28:$F$33,2,FALSE)+1),1)</f>
        <v>0.50544372125310832</v>
      </c>
      <c r="AF547" s="56">
        <f>VLOOKUP(B547,'Player Data'!$A1:$AE667,20,FALSE)*$Q547</f>
        <v>0</v>
      </c>
      <c r="AG547" s="56">
        <f>VLOOKUP(B547,'Player Data'!$A1:$AE667,21,FALSE)*$Q547</f>
        <v>0</v>
      </c>
      <c r="AH547" s="58">
        <f>VLOOKUP(B547,'Player Data'!$A1:$AE667,22,FALSE)</f>
        <v>0</v>
      </c>
      <c r="AI547" s="54"/>
      <c r="AJ547" s="56"/>
      <c r="AK547" s="56"/>
      <c r="AL547" s="56"/>
      <c r="AM547" s="56"/>
      <c r="AN547" s="56"/>
      <c r="AO547" s="56"/>
      <c r="AP547" s="56"/>
      <c r="AQ547" s="59"/>
      <c r="AR547" s="60"/>
      <c r="AS547" s="54"/>
    </row>
    <row r="548" spans="1:45" ht="21.25" customHeight="1" x14ac:dyDescent="0.15">
      <c r="A548" s="45">
        <f>RANK(K548,K$1:K$665)</f>
        <v>547</v>
      </c>
      <c r="B548" s="9" t="s">
        <v>673</v>
      </c>
      <c r="C548" s="46" t="s">
        <v>127</v>
      </c>
      <c r="D548" s="47" t="str">
        <f>VLOOKUP(B548,'Player Data'!A1:D667,4,FALSE)</f>
        <v>RW</v>
      </c>
      <c r="E548" s="61">
        <f>VLOOKUP(B548,RW!A1:F136,3,FALSE)</f>
        <v>110</v>
      </c>
      <c r="F548" s="80" t="str">
        <f>VLOOKUP(B548,'Player Data'!A1:B667,2,FALSE)</f>
        <v>PHI</v>
      </c>
      <c r="G548" s="63">
        <f>VLOOKUP(B548,'Player Data'!A1:D667,3,FALSE)</f>
        <v>32</v>
      </c>
      <c r="H548" s="50">
        <f>IFERROR(VLOOKUP(B548,ADP!A1:G665,7,FALSE)/1000000,VLOOKUP(B548,ADP!A1:G665,7,FALSE))</f>
        <v>2.375</v>
      </c>
      <c r="I548" s="51">
        <f>IF(Settings!$E$15="POINTS",((R548*Q548)*Settings!$B$12)+(S548*Settings!$B$2)+(T548*Settings!$B$3)+(U548*Settings!$B$4)+(V548*Settings!$B$5)+(X548*Settings!$B$9)+(AA548*Settings!$B$6)+(W548*Settings!$B$8)+(AB548*Settings!$B$7)+(AC548*Settings!$B$14)+(AD548*Settings!$B$15)+(AE548*Settings!$B$16)+(AF548*Settings!$B$17)+(AG548*Settings!$B$18)+(Y548*Settings!$B$10)+(Z548*Settings!$B$11),VLOOKUP(B548,'Standard Deviations'!A1:C666,3,FALSE))</f>
        <v>131.2552429609822</v>
      </c>
      <c r="J548" s="52">
        <f>IF(D548="G",I548/AJ548,I548/Q548)</f>
        <v>1.6064530072943175</v>
      </c>
      <c r="K548" s="51">
        <f>IF(Settings!$E$18="C/LW/RW",VLOOKUP(B548,RW!A1:F136,6,FALSE),VLOOKUP(B548,F!A1:F392,6,FALSE))</f>
        <v>-237.59248014531019</v>
      </c>
      <c r="L548" s="53">
        <f>IFERROR(K548/H548,"N/A")</f>
        <v>-100.03893900855167</v>
      </c>
      <c r="M548" s="83" t="str">
        <f>IF(Settings!$E$9="YAHOO",VLOOKUP(B548,ADP!A1:E665,2,FALSE),IF(Settings!$E$9="ESPN",VLOOKUP(B548,ADP!A1:E665,3,FALSE),IF(Settings!$E$9="FANTRAX",VLOOKUP(B548,ADP!A1:E665,4,FALSE),VLOOKUP(B548,ADP!A1:E665,5,FALSE))))</f>
        <v>—</v>
      </c>
      <c r="N548" s="83" t="str">
        <f>IFERROR(M548-A548,"N/A")</f>
        <v>N/A</v>
      </c>
      <c r="O548" s="54"/>
      <c r="P548" s="55" t="str">
        <f>IF(Settings!$E$27="ON",VLOOKUP(B548,ADP!A1:H665,8,FALSE)," ")</f>
        <v xml:space="preserve"> </v>
      </c>
      <c r="Q548" s="56">
        <f>IF(Settings!$E$12="YES",VLOOKUP(B548,'Player Data'!A1:E667,5,FALSE),82)</f>
        <v>81.704999999999998</v>
      </c>
      <c r="R548" s="81">
        <f>VLOOKUP(B548,'Player Data'!$A1:$AE667,6,FALSE)</f>
        <v>11.4962450614894</v>
      </c>
      <c r="S548" s="56">
        <f>VLOOKUP(B548,'Player Data'!$A1:$AE667,7,FALSE)*$Q548*IFERROR((VLOOKUP(P548,Settings!$E$28:$F$33,2,FALSE)+1),1)</f>
        <v>7.8657695506087695</v>
      </c>
      <c r="T548" s="56">
        <f>VLOOKUP(B548,'Player Data'!$A1:$AE667,8,FALSE)*$Q548*IFERROR((VLOOKUP(P548,Settings!$E$28:$F$33,2,FALSE)+1),1)</f>
        <v>8.5693140539840016</v>
      </c>
      <c r="U548" s="56">
        <f>SUM(S548:T548)</f>
        <v>16.435083604592769</v>
      </c>
      <c r="V548" s="56">
        <f>VLOOKUP(B548,'Player Data'!$A1:$AE667,10,FALSE)*$Q548*IFERROR(((VLOOKUP(P548,Settings!$E$28:$F$33,2,FALSE)/2)+1),1)</f>
        <v>93.387265763294522</v>
      </c>
      <c r="W548" s="56">
        <f>VLOOKUP(B548,'Player Data'!$A1:$AE667,11,FALSE)*$Q548*IFERROR((VLOOKUP(P548,Settings!$E$28:$F$33,2,FALSE)+1),1)</f>
        <v>5.7755406269433714E-2</v>
      </c>
      <c r="X548" s="56">
        <f>VLOOKUP(B548,'Player Data'!$A1:$AE667,12,FALSE)*$Q548*IFERROR((VLOOKUP(P548,Settings!$E$28:$F$33,2,FALSE)+1),1)</f>
        <v>0.134855035958309</v>
      </c>
      <c r="Y548" s="56">
        <f>VLOOKUP(B548,'Player Data'!$A1:$AE667,13,FALSE)*$Q548</f>
        <v>0.50624871478464561</v>
      </c>
      <c r="Z548" s="56">
        <f>VLOOKUP(B548,'Player Data'!$A1:$AE667,14,FALSE)*$Q548</f>
        <v>1.8064485581387231</v>
      </c>
      <c r="AA548" s="56">
        <f>VLOOKUP(B548,'Player Data'!$A1:$AE667,15,FALSE)*$Q548</f>
        <v>66.630111342919193</v>
      </c>
      <c r="AB548" s="56">
        <f>VLOOKUP(B548,'Player Data'!$A1:$AE667,16,FALSE)*$Q548</f>
        <v>256.8846597785631</v>
      </c>
      <c r="AC548" s="56">
        <f>VLOOKUP(B548,'Player Data'!$A1:$AE667,17,FALSE)*$Q548*IFERROR((VLOOKUP(P548,Settings!$E$28:$F$33,2,FALSE)+1),1)</f>
        <v>-2.0287647520174845</v>
      </c>
      <c r="AD548" s="56">
        <f>VLOOKUP(B548,'Player Data'!$A1:$AE667,18,FALSE)*$Q548</f>
        <v>51.766201617430028</v>
      </c>
      <c r="AE548" s="56">
        <f>VLOOKUP(B548,'Player Data'!$A1:$AE667,19,FALSE)*$Q548*IFERROR((VLOOKUP(P548,Settings!$E$28:$F$33,2,FALSE)+1),1)</f>
        <v>1.1401395758951369</v>
      </c>
      <c r="AF548" s="56">
        <f>VLOOKUP(B548,'Player Data'!$A1:$AE667,20,FALSE)*$Q548</f>
        <v>12.027606553361665</v>
      </c>
      <c r="AG548" s="56">
        <f>VLOOKUP(B548,'Player Data'!$A1:$AE667,21,FALSE)*$Q548</f>
        <v>15.038237884206966</v>
      </c>
      <c r="AH548" s="58">
        <f>VLOOKUP(B548,'Player Data'!$A1:$AE667,22,FALSE)</f>
        <v>0.44438319968568302</v>
      </c>
      <c r="AI548" s="54"/>
      <c r="AJ548" s="56"/>
      <c r="AK548" s="56"/>
      <c r="AL548" s="56"/>
      <c r="AM548" s="56"/>
      <c r="AN548" s="56"/>
      <c r="AO548" s="56"/>
      <c r="AP548" s="56"/>
      <c r="AQ548" s="59"/>
      <c r="AR548" s="60"/>
      <c r="AS548" s="54"/>
    </row>
    <row r="549" spans="1:45" ht="21.25" customHeight="1" x14ac:dyDescent="0.15">
      <c r="A549" s="45">
        <f>RANK(K549,K$1:K$665)</f>
        <v>548</v>
      </c>
      <c r="B549" s="9" t="s">
        <v>674</v>
      </c>
      <c r="C549" s="46" t="s">
        <v>127</v>
      </c>
      <c r="D549" s="47" t="str">
        <f>VLOOKUP(B549,'Player Data'!A1:D667,4,FALSE)</f>
        <v>C/LW</v>
      </c>
      <c r="E549" s="68">
        <f>VLOOKUP(B549,LW!A1:C152,3,FALSE)</f>
        <v>122</v>
      </c>
      <c r="F549" s="65" t="str">
        <f>VLOOKUP(B549,'Player Data'!A1:B667,2,FALSE)</f>
        <v>NSH</v>
      </c>
      <c r="G549" s="63">
        <f>VLOOKUP(B549,'Player Data'!A1:D667,3,FALSE)</f>
        <v>30</v>
      </c>
      <c r="H549" s="50">
        <f>IFERROR(VLOOKUP(B549,ADP!A1:G665,7,FALSE)/1000000,VLOOKUP(B549,ADP!A1:G665,7,FALSE))</f>
        <v>2.8570000000000002</v>
      </c>
      <c r="I549" s="51">
        <f>IF(Settings!$E$15="POINTS",((R549*Q549)*Settings!$B$12)+(S549*Settings!$B$2)+(T549*Settings!$B$3)+(U549*Settings!$B$4)+(V549*Settings!$B$5)+(X549*Settings!$B$9)+(AA549*Settings!$B$6)+(W549*Settings!$B$8)+(AB549*Settings!$B$7)+(AC549*Settings!$B$14)+(AD549*Settings!$B$15)+(AE549*Settings!$B$16)+(AF549*Settings!$B$17)+(AG549*Settings!$B$18)+(Y549*Settings!$B$10)+(Z549*Settings!$B$11),VLOOKUP(B549,'Standard Deviations'!A1:C666,3,FALSE))</f>
        <v>143.11292293614355</v>
      </c>
      <c r="J549" s="52">
        <f>IF(D549="G",I549/AJ549,I549/Q549)</f>
        <v>1.7548563555518661</v>
      </c>
      <c r="K549" s="51">
        <f>IF(Settings!$E$18="C/LW/RW",VLOOKUP(B549,LW!A1:F152,6,FALSE),VLOOKUP(B549,F!A1:F392,6,FALSE))</f>
        <v>-237.9485893663562</v>
      </c>
      <c r="L549" s="53">
        <f>IFERROR(K549/H549,"N/A")</f>
        <v>-83.286170586753997</v>
      </c>
      <c r="M549" s="83" t="str">
        <f>IF(Settings!$E$9="YAHOO",VLOOKUP(B549,ADP!A1:E665,2,FALSE),IF(Settings!$E$9="ESPN",VLOOKUP(B549,ADP!A1:E665,3,FALSE),IF(Settings!$E$9="FANTRAX",VLOOKUP(B549,ADP!A1:E665,4,FALSE),VLOOKUP(B549,ADP!A1:E665,5,FALSE))))</f>
        <v>—</v>
      </c>
      <c r="N549" s="83" t="str">
        <f>IFERROR(M549-A549,"N/A")</f>
        <v>N/A</v>
      </c>
      <c r="O549" s="54"/>
      <c r="P549" s="55" t="str">
        <f>IF(Settings!$E$27="ON",VLOOKUP(B549,ADP!A1:H665,8,FALSE)," ")</f>
        <v xml:space="preserve"> </v>
      </c>
      <c r="Q549" s="56">
        <f>IF(Settings!$E$12="YES",VLOOKUP(B549,'Player Data'!A1:E667,5,FALSE),82)</f>
        <v>81.552499999999995</v>
      </c>
      <c r="R549" s="81">
        <f>VLOOKUP(B549,'Player Data'!$A1:$AE667,6,FALSE)</f>
        <v>13.9944978537822</v>
      </c>
      <c r="S549" s="56">
        <f>VLOOKUP(B549,'Player Data'!$A1:$AE667,7,FALSE)*$Q549*IFERROR((VLOOKUP(P549,Settings!$E$28:$F$33,2,FALSE)+1),1)</f>
        <v>8.6362452787088042</v>
      </c>
      <c r="T549" s="56">
        <f>VLOOKUP(B549,'Player Data'!$A1:$AE667,8,FALSE)*$Q549*IFERROR((VLOOKUP(P549,Settings!$E$28:$F$33,2,FALSE)+1),1)</f>
        <v>13.714037890149154</v>
      </c>
      <c r="U549" s="56">
        <f>SUM(S549:T549)</f>
        <v>22.350283168857956</v>
      </c>
      <c r="V549" s="56">
        <f>VLOOKUP(B549,'Player Data'!$A1:$AE667,10,FALSE)*$Q549*IFERROR(((VLOOKUP(P549,Settings!$E$28:$F$33,2,FALSE)/2)+1),1)</f>
        <v>91.640785254459331</v>
      </c>
      <c r="W549" s="56">
        <f>VLOOKUP(B549,'Player Data'!$A1:$AE667,11,FALSE)*$Q549*IFERROR((VLOOKUP(P549,Settings!$E$28:$F$33,2,FALSE)+1),1)</f>
        <v>0.5685502576640501</v>
      </c>
      <c r="X549" s="56">
        <f>VLOOKUP(B549,'Player Data'!$A1:$AE667,12,FALSE)*$Q549*IFERROR((VLOOKUP(P549,Settings!$E$28:$F$33,2,FALSE)+1),1)</f>
        <v>1.5964823993605659</v>
      </c>
      <c r="Y549" s="56">
        <f>VLOOKUP(B549,'Player Data'!$A1:$AE667,13,FALSE)*$Q549</f>
        <v>1.2293659143569118</v>
      </c>
      <c r="Z549" s="56">
        <f>VLOOKUP(B549,'Player Data'!$A1:$AE667,14,FALSE)*$Q549</f>
        <v>1.6785755772825812</v>
      </c>
      <c r="AA549" s="56">
        <f>VLOOKUP(B549,'Player Data'!$A1:$AE667,15,FALSE)*$Q549</f>
        <v>53.933245651393769</v>
      </c>
      <c r="AB549" s="56">
        <f>VLOOKUP(B549,'Player Data'!$A1:$AE667,16,FALSE)*$Q549</f>
        <v>126.51293460462806</v>
      </c>
      <c r="AC549" s="56">
        <f>VLOOKUP(B549,'Player Data'!$A1:$AE667,17,FALSE)*$Q549*IFERROR((VLOOKUP(P549,Settings!$E$28:$F$33,2,FALSE)+1),1)</f>
        <v>0.93068746971687155</v>
      </c>
      <c r="AD549" s="56">
        <f>VLOOKUP(B549,'Player Data'!$A1:$AE667,18,FALSE)*$Q549</f>
        <v>27.24308056814715</v>
      </c>
      <c r="AE549" s="56">
        <f>VLOOKUP(B549,'Player Data'!$A1:$AE667,19,FALSE)*$Q549*IFERROR((VLOOKUP(P549,Settings!$E$28:$F$33,2,FALSE)+1),1)</f>
        <v>1.2228303234256239</v>
      </c>
      <c r="AF549" s="56">
        <f>VLOOKUP(B549,'Player Data'!$A1:$AE667,20,FALSE)*$Q549</f>
        <v>545.43196106228845</v>
      </c>
      <c r="AG549" s="56">
        <f>VLOOKUP(B549,'Player Data'!$A1:$AE667,21,FALSE)*$Q549</f>
        <v>472.47553662924247</v>
      </c>
      <c r="AH549" s="58">
        <f>VLOOKUP(B549,'Player Data'!$A1:$AE667,22,FALSE)</f>
        <v>0.53583647070018703</v>
      </c>
      <c r="AI549" s="54"/>
      <c r="AJ549" s="64"/>
      <c r="AK549" s="56"/>
      <c r="AL549" s="56"/>
      <c r="AM549" s="56"/>
      <c r="AN549" s="56"/>
      <c r="AO549" s="56"/>
      <c r="AP549" s="56"/>
      <c r="AQ549" s="59"/>
      <c r="AR549" s="60"/>
      <c r="AS549" s="64"/>
    </row>
    <row r="550" spans="1:45" ht="21.25" customHeight="1" x14ac:dyDescent="0.15">
      <c r="A550" s="45">
        <f>RANK(K550,K$1:K$665)</f>
        <v>549</v>
      </c>
      <c r="B550" s="9" t="s">
        <v>675</v>
      </c>
      <c r="C550" s="46" t="s">
        <v>127</v>
      </c>
      <c r="D550" s="47" t="str">
        <f>VLOOKUP(B550,'Player Data'!A1:D667,4,FALSE)</f>
        <v>D</v>
      </c>
      <c r="E550" s="66">
        <f>VLOOKUP(B550,D!A1:C213,3,FALSE)</f>
        <v>207</v>
      </c>
      <c r="F550" s="74" t="str">
        <f>VLOOKUP(B550,'Player Data'!A1:B667,2,FALSE)</f>
        <v>PIT</v>
      </c>
      <c r="G550" s="10">
        <f>VLOOKUP(B550,'Player Data'!A1:D667,3,FALSE)</f>
        <v>25</v>
      </c>
      <c r="H550" s="50">
        <f>IFERROR(VLOOKUP(B550,ADP!A1:G665,7,FALSE)/1000000,VLOOKUP(B550,ADP!A1:G665,7,FALSE))</f>
        <v>0.77500000000000002</v>
      </c>
      <c r="I550" s="51">
        <f>IF(Settings!$E$15="POINTS",((R550*Q550)*Settings!$B$12)+(S550*Settings!$B$2)+(T550*Settings!$B$3)+(U550*Settings!$B$4)+(V550*Settings!$B$5)+(X550*Settings!$B$9)+(AA550*Settings!$B$6)+(W550*Settings!$B$8)+(AB550*Settings!$B$7)+(AC550*Settings!$B$14)+(AD550*Settings!$B$15)+(AE550*Settings!$B$16)+(AF550*Settings!$B$17)+(AG550*Settings!$B$18)+(U550*Settings!$B$13)+(Y550*Settings!$B$10)+(Z550*Settings!$B$11),VLOOKUP(B550,'Standard Deviations'!A1:C666,3,FALSE))</f>
        <v>98.100538665034009</v>
      </c>
      <c r="J550" s="52">
        <f>IF(D550="G",I550/AJ550,I550/Q550)</f>
        <v>1.6350089777505667</v>
      </c>
      <c r="K550" s="51">
        <f>VLOOKUP(B550,D!A1:F213,6,FALSE)</f>
        <v>-238.1335863805609</v>
      </c>
      <c r="L550" s="53">
        <f>IFERROR(K550/H550,"N/A")</f>
        <v>-307.26914371685274</v>
      </c>
      <c r="M550" s="83" t="str">
        <f>IF(Settings!$E$9="YAHOO",VLOOKUP(B550,ADP!A1:E665,2,FALSE),IF(Settings!$E$9="ESPN",VLOOKUP(B550,ADP!A1:E665,3,FALSE),IF(Settings!$E$9="FANTRAX",VLOOKUP(B550,ADP!A1:E665,4,FALSE),VLOOKUP(B550,ADP!A1:E665,5,FALSE))))</f>
        <v>—</v>
      </c>
      <c r="N550" s="83" t="str">
        <f>IFERROR(M550-A550,"N/A")</f>
        <v>N/A</v>
      </c>
      <c r="O550" s="54"/>
      <c r="P550" s="55" t="str">
        <f>IF(Settings!$E$27="ON",VLOOKUP(B550,ADP!A1:H665,8,FALSE)," ")</f>
        <v xml:space="preserve"> </v>
      </c>
      <c r="Q550" s="56">
        <f>IF(Settings!$E$12="YES",VLOOKUP(B550,'Player Data'!A1:E667,5,FALSE),82)</f>
        <v>60</v>
      </c>
      <c r="R550" s="75">
        <f>VLOOKUP(B550,'Player Data'!$A1:$AE667,6,FALSE)</f>
        <v>15.5349783590035</v>
      </c>
      <c r="S550" s="56">
        <f>VLOOKUP(B550,'Player Data'!$A1:$AE667,7,FALSE)*$Q550*IFERROR((VLOOKUP(P550,Settings!$E$28:$F$33,2,FALSE)+1),1)</f>
        <v>2.1762549980541719</v>
      </c>
      <c r="T550" s="56">
        <f>VLOOKUP(B550,'Player Data'!$A1:$AE667,8,FALSE)*$Q550*IFERROR((VLOOKUP(P550,Settings!$E$28:$F$33,2,FALSE)+1),1)</f>
        <v>8.2179804150380402</v>
      </c>
      <c r="U550" s="56">
        <f>SUM(S550:T550)</f>
        <v>10.394235413092211</v>
      </c>
      <c r="V550" s="56">
        <f>VLOOKUP(B550,'Player Data'!$A1:$AE667,10,FALSE)*$Q550*IFERROR(((VLOOKUP(P550,Settings!$E$28:$F$33,2,FALSE)/2)+1),1)</f>
        <v>56.566738901153158</v>
      </c>
      <c r="W550" s="56">
        <f>VLOOKUP(B550,'Player Data'!$A1:$AE667,11,FALSE)*$Q550*IFERROR((VLOOKUP(P550,Settings!$E$28:$F$33,2,FALSE)+1),1)</f>
        <v>1.3700116974845819E-2</v>
      </c>
      <c r="X550" s="56">
        <f>VLOOKUP(B550,'Player Data'!$A1:$AE667,12,FALSE)*$Q550*IFERROR((VLOOKUP(P550,Settings!$E$28:$F$33,2,FALSE)+1),1)</f>
        <v>8.7479197015776597E-2</v>
      </c>
      <c r="Y550" s="56">
        <f>VLOOKUP(B550,'Player Data'!$A1:$AE667,13,FALSE)*$Q550</f>
        <v>9.9637752579532196E-2</v>
      </c>
      <c r="Z550" s="56">
        <f>VLOOKUP(B550,'Player Data'!$A1:$AE667,14,FALSE)*$Q550</f>
        <v>0.43318203090833401</v>
      </c>
      <c r="AA550" s="56">
        <f>VLOOKUP(B550,'Player Data'!$A1:$AE667,15,FALSE)*$Q550</f>
        <v>76.227603494513389</v>
      </c>
      <c r="AB550" s="56">
        <f>VLOOKUP(B550,'Player Data'!$A1:$AE667,16,FALSE)*$Q550</f>
        <v>99.112817939893205</v>
      </c>
      <c r="AC550" s="56">
        <f>VLOOKUP(B550,'Player Data'!$A1:$AE667,17,FALSE)*$Q550*IFERROR((VLOOKUP(P550,Settings!$E$28:$F$33,2,FALSE)+1),1)</f>
        <v>-0.20928735020480099</v>
      </c>
      <c r="AD550" s="56">
        <f>VLOOKUP(B550,'Player Data'!$A1:$AE667,18,FALSE)*$Q550</f>
        <v>20.386815141968341</v>
      </c>
      <c r="AE550" s="56">
        <f>VLOOKUP(B550,'Player Data'!$A1:$AE667,19,FALSE)*$Q550*IFERROR((VLOOKUP(P550,Settings!$E$28:$F$33,2,FALSE)+1),1)</f>
        <v>0.32261435686014661</v>
      </c>
      <c r="AF550" s="56">
        <f>VLOOKUP(B550,'Player Data'!$A1:$AE667,20,FALSE)*$Q550</f>
        <v>0</v>
      </c>
      <c r="AG550" s="56">
        <f>VLOOKUP(B550,'Player Data'!$A1:$AE667,21,FALSE)*$Q550</f>
        <v>0</v>
      </c>
      <c r="AH550" s="58">
        <f>VLOOKUP(B550,'Player Data'!$A1:$AE667,22,FALSE)</f>
        <v>0</v>
      </c>
      <c r="AI550" s="54"/>
      <c r="AJ550" s="64"/>
      <c r="AK550" s="56"/>
      <c r="AL550" s="56"/>
      <c r="AM550" s="56"/>
      <c r="AN550" s="56"/>
      <c r="AO550" s="56"/>
      <c r="AP550" s="56"/>
      <c r="AQ550" s="59"/>
      <c r="AR550" s="60"/>
      <c r="AS550" s="54"/>
    </row>
    <row r="551" spans="1:45" ht="21.25" customHeight="1" x14ac:dyDescent="0.15">
      <c r="A551" s="45">
        <f>RANK(K551,K$1:K$665)</f>
        <v>550</v>
      </c>
      <c r="B551" s="9" t="s">
        <v>676</v>
      </c>
      <c r="C551" s="46" t="s">
        <v>127</v>
      </c>
      <c r="D551" s="47" t="str">
        <f>VLOOKUP(B551,'Player Data'!A1:D667,4,FALSE)</f>
        <v>RW</v>
      </c>
      <c r="E551" s="61">
        <f>VLOOKUP(B551,RW!A1:F136,3,FALSE)</f>
        <v>111</v>
      </c>
      <c r="F551" s="72" t="str">
        <f>VLOOKUP(B551,'Player Data'!A1:B667,2,FALSE)</f>
        <v>NYI</v>
      </c>
      <c r="G551" s="10">
        <f>VLOOKUP(B551,'Player Data'!A1:D667,3,FALSE)</f>
        <v>26</v>
      </c>
      <c r="H551" s="50">
        <f>IFERROR(VLOOKUP(B551,ADP!A1:G665,7,FALSE)/1000000,VLOOKUP(B551,ADP!A1:G665,7,FALSE))</f>
        <v>0.95</v>
      </c>
      <c r="I551" s="51">
        <f>IF(Settings!$E$15="POINTS",((R551*Q551)*Settings!$B$12)+(S551*Settings!$B$2)+(T551*Settings!$B$3)+(U551*Settings!$B$4)+(V551*Settings!$B$5)+(X551*Settings!$B$9)+(AA551*Settings!$B$6)+(W551*Settings!$B$8)+(AB551*Settings!$B$7)+(AC551*Settings!$B$14)+(AD551*Settings!$B$15)+(AE551*Settings!$B$16)+(AF551*Settings!$B$17)+(AG551*Settings!$B$18)+(Y551*Settings!$B$10)+(Z551*Settings!$B$11),VLOOKUP(B551,'Standard Deviations'!A1:C666,3,FALSE))</f>
        <v>130.02220151438976</v>
      </c>
      <c r="J551" s="52">
        <f>IF(D551="G",I551/AJ551,I551/Q551)</f>
        <v>2.1670366919064961</v>
      </c>
      <c r="K551" s="51">
        <f>IF(Settings!$E$18="C/LW/RW",VLOOKUP(B551,RW!A1:F136,6,FALSE),VLOOKUP(B551,F!A1:F392,6,FALSE))</f>
        <v>-238.82552159190263</v>
      </c>
      <c r="L551" s="53">
        <f>IFERROR(K551/H551,"N/A")</f>
        <v>-251.39528588621332</v>
      </c>
      <c r="M551" s="54">
        <f>IF(Settings!$E$9="YAHOO",VLOOKUP(B551,ADP!A1:E665,2,FALSE),IF(Settings!$E$9="ESPN",VLOOKUP(B551,ADP!A1:E665,3,FALSE),IF(Settings!$E$9="FANTRAX",VLOOKUP(B551,ADP!A1:E665,4,FALSE),VLOOKUP(B551,ADP!A1:E665,5,FALSE))))</f>
        <v>0</v>
      </c>
      <c r="N551" s="54">
        <f>IFERROR(M551-A551,"N/A")</f>
        <v>-550</v>
      </c>
      <c r="O551" s="54"/>
      <c r="P551" s="85">
        <f>IF(Settings!$E$27="ON",VLOOKUP(B551,ADP!A1:H665,8,FALSE)," ")</f>
        <v>0</v>
      </c>
      <c r="Q551" s="56">
        <f>IF(Settings!$E$12="YES",VLOOKUP(B551,'Player Data'!A1:E667,5,FALSE),82)</f>
        <v>60</v>
      </c>
      <c r="R551" s="54">
        <f>VLOOKUP(B551,'Player Data'!$A1:$AE667,6,FALSE)</f>
        <v>14</v>
      </c>
      <c r="S551" s="56">
        <f>VLOOKUP(B551,'Player Data'!$A1:$AE667,7,FALSE)*$Q551*IFERROR((VLOOKUP(P551,Settings!$E$28:$F$33,2,FALSE)+1),1)</f>
        <v>11.738331192508079</v>
      </c>
      <c r="T551" s="56">
        <f>VLOOKUP(B551,'Player Data'!$A1:$AE667,8,FALSE)*$Q551*IFERROR((VLOOKUP(P551,Settings!$E$28:$F$33,2,FALSE)+1),1)</f>
        <v>9.4160594222108998</v>
      </c>
      <c r="U551" s="56">
        <f>SUM(S551:T551)</f>
        <v>21.154390614718977</v>
      </c>
      <c r="V551" s="56">
        <f>VLOOKUP(B551,'Player Data'!$A1:$AE667,10,FALSE)*$Q551*IFERROR(((VLOOKUP(P551,Settings!$E$28:$F$33,2,FALSE)/2)+1),1)</f>
        <v>101.2677175803978</v>
      </c>
      <c r="W551" s="56">
        <f>VLOOKUP(B551,'Player Data'!$A1:$AE667,11,FALSE)*$Q551*IFERROR((VLOOKUP(P551,Settings!$E$28:$F$33,2,FALSE)+1),1)</f>
        <v>1.85321989330764</v>
      </c>
      <c r="X551" s="56">
        <f>VLOOKUP(B551,'Player Data'!$A1:$AE667,12,FALSE)*$Q551*IFERROR((VLOOKUP(P551,Settings!$E$28:$F$33,2,FALSE)+1),1)</f>
        <v>3.3398050263753962</v>
      </c>
      <c r="Y551" s="56">
        <f>VLOOKUP(B551,'Player Data'!$A1:$AE667,13,FALSE)*$Q551</f>
        <v>0</v>
      </c>
      <c r="Z551" s="56">
        <f>VLOOKUP(B551,'Player Data'!$A1:$AE667,14,FALSE)*$Q551</f>
        <v>0</v>
      </c>
      <c r="AA551" s="56">
        <f>VLOOKUP(B551,'Player Data'!$A1:$AE667,15,FALSE)*$Q551</f>
        <v>25.17073170731706</v>
      </c>
      <c r="AB551" s="56">
        <f>VLOOKUP(B551,'Player Data'!$A1:$AE667,16,FALSE)*$Q551</f>
        <v>70.985544196035605</v>
      </c>
      <c r="AC551" s="56">
        <f>VLOOKUP(B551,'Player Data'!$A1:$AE667,17,FALSE)*$Q551*IFERROR((VLOOKUP(P551,Settings!$E$28:$F$33,2,FALSE)+1),1)</f>
        <v>1.6918128726753361</v>
      </c>
      <c r="AD551" s="56">
        <f>VLOOKUP(B551,'Player Data'!$A1:$AE667,18,FALSE)*$Q551</f>
        <v>24.244013903010242</v>
      </c>
      <c r="AE551" s="56">
        <f>VLOOKUP(B551,'Player Data'!$A1:$AE667,19,FALSE)*$Q551*IFERROR((VLOOKUP(P551,Settings!$E$28:$F$33,2,FALSE)+1),1)</f>
        <v>1.844783667096654</v>
      </c>
      <c r="AF551" s="56">
        <f>VLOOKUP(B551,'Player Data'!$A1:$AE667,20,FALSE)*$Q551</f>
        <v>0</v>
      </c>
      <c r="AG551" s="56">
        <f>VLOOKUP(B551,'Player Data'!$A1:$AE667,21,FALSE)*$Q551</f>
        <v>0</v>
      </c>
      <c r="AH551" s="58">
        <f>VLOOKUP(B551,'Player Data'!$A1:$AE667,22,FALSE)</f>
        <v>0</v>
      </c>
      <c r="AI551" s="54"/>
      <c r="AJ551" s="64"/>
      <c r="AK551" s="56"/>
      <c r="AL551" s="56"/>
      <c r="AM551" s="56"/>
      <c r="AN551" s="56"/>
      <c r="AO551" s="56"/>
      <c r="AP551" s="56"/>
      <c r="AQ551" s="59"/>
      <c r="AR551" s="60"/>
      <c r="AS551" s="54"/>
    </row>
    <row r="552" spans="1:45" ht="21.25" customHeight="1" x14ac:dyDescent="0.15">
      <c r="A552" s="45">
        <f>RANK(K552,K$1:K$665)</f>
        <v>551</v>
      </c>
      <c r="B552" s="9" t="s">
        <v>677</v>
      </c>
      <c r="C552" s="46" t="s">
        <v>127</v>
      </c>
      <c r="D552" s="47" t="str">
        <f>VLOOKUP(B552,'Player Data'!A1:D667,4,FALSE)</f>
        <v>LW</v>
      </c>
      <c r="E552" s="70">
        <f>VLOOKUP(B552,LW!A1:C152,3,FALSE)</f>
        <v>123</v>
      </c>
      <c r="F552" s="72" t="str">
        <f>VLOOKUP(B552,'Player Data'!A1:B667,2,FALSE)</f>
        <v>L.A</v>
      </c>
      <c r="G552" s="10">
        <f>VLOOKUP(B552,'Player Data'!A1:D667,3,FALSE)</f>
        <v>27</v>
      </c>
      <c r="H552" s="67">
        <f>IFERROR(VLOOKUP(B552,ADP!A1:G665,7,FALSE)/1000000,VLOOKUP(B552,ADP!A1:G665,7,FALSE))</f>
        <v>2.665</v>
      </c>
      <c r="I552" s="51">
        <f>IF(Settings!$E$15="POINTS",((R552*Q552)*Settings!$B$12)+(S552*Settings!$B$2)+(T552*Settings!$B$3)+(U552*Settings!$B$4)+(V552*Settings!$B$5)+(X552*Settings!$B$9)+(AA552*Settings!$B$6)+(W552*Settings!$B$8)+(AB552*Settings!$B$7)+(AC552*Settings!$B$14)+(AD552*Settings!$B$15)+(AE552*Settings!$B$16)+(AF552*Settings!$B$17)+(AG552*Settings!$B$18)+(Y552*Settings!$B$10)+(Z552*Settings!$B$11),VLOOKUP(B552,'Standard Deviations'!A1:C666,3,FALSE))</f>
        <v>142.03203341883673</v>
      </c>
      <c r="J552" s="52">
        <f>IF(D552="G",I552/AJ552,I552/Q552)</f>
        <v>1.8611896271100636</v>
      </c>
      <c r="K552" s="51">
        <f>IF(Settings!$E$18="C/LW/RW",VLOOKUP(B552,LW!A1:F152,6,FALSE),VLOOKUP(B552,F!A1:F392,6,FALSE))</f>
        <v>-239.02947888366302</v>
      </c>
      <c r="L552" s="53">
        <f>IFERROR(K552/H552,"N/A")</f>
        <v>-89.692112151468294</v>
      </c>
      <c r="M552" s="54">
        <f>IF(Settings!$E$9="YAHOO",VLOOKUP(B552,ADP!A1:E665,2,FALSE),IF(Settings!$E$9="ESPN",VLOOKUP(B552,ADP!A1:E665,3,FALSE),IF(Settings!$E$9="FANTRAX",VLOOKUP(B552,ADP!A1:E665,4,FALSE),VLOOKUP(B552,ADP!A1:E665,5,FALSE))))</f>
        <v>181</v>
      </c>
      <c r="N552" s="54">
        <f>IFERROR(M552-A552,"N/A")</f>
        <v>-370</v>
      </c>
      <c r="O552" s="54"/>
      <c r="P552" s="55" t="str">
        <f>IF(Settings!$E$27="ON",VLOOKUP(B552,ADP!A1:H665,8,FALSE)," ")</f>
        <v xml:space="preserve"> </v>
      </c>
      <c r="Q552" s="56">
        <f>IF(Settings!$E$12="YES",VLOOKUP(B552,'Player Data'!A1:E667,5,FALSE),82)</f>
        <v>76.3125</v>
      </c>
      <c r="R552" s="54">
        <f>VLOOKUP(B552,'Player Data'!$A1:$AE667,6,FALSE)</f>
        <v>12.7032986637335</v>
      </c>
      <c r="S552" s="56">
        <f>VLOOKUP(B552,'Player Data'!$A1:$AE667,7,FALSE)*$Q552*IFERROR((VLOOKUP(P552,Settings!$E$28:$F$33,2,FALSE)+1),1)</f>
        <v>10.962012037166485</v>
      </c>
      <c r="T552" s="56">
        <f>VLOOKUP(B552,'Player Data'!$A1:$AE667,8,FALSE)*$Q552*IFERROR((VLOOKUP(P552,Settings!$E$28:$F$33,2,FALSE)+1),1)</f>
        <v>12.488129496564975</v>
      </c>
      <c r="U552" s="56">
        <f>SUM(S552:T552)</f>
        <v>23.450141533731461</v>
      </c>
      <c r="V552" s="56">
        <f>VLOOKUP(B552,'Player Data'!$A1:$AE667,10,FALSE)*$Q552*IFERROR(((VLOOKUP(P552,Settings!$E$28:$F$33,2,FALSE)/2)+1),1)</f>
        <v>96.075667719631511</v>
      </c>
      <c r="W552" s="56">
        <f>VLOOKUP(B552,'Player Data'!$A1:$AE667,11,FALSE)*$Q552*IFERROR((VLOOKUP(P552,Settings!$E$28:$F$33,2,FALSE)+1),1)</f>
        <v>1.3171267654254812</v>
      </c>
      <c r="X552" s="56">
        <f>VLOOKUP(B552,'Player Data'!$A1:$AE667,12,FALSE)*$Q552*IFERROR((VLOOKUP(P552,Settings!$E$28:$F$33,2,FALSE)+1),1)</f>
        <v>2.6776462440179283</v>
      </c>
      <c r="Y552" s="56">
        <f>VLOOKUP(B552,'Player Data'!$A1:$AE667,13,FALSE)*$Q552</f>
        <v>8.8300872387001006E-4</v>
      </c>
      <c r="Z552" s="56">
        <f>VLOOKUP(B552,'Player Data'!$A1:$AE667,14,FALSE)*$Q552</f>
        <v>2.0236665897102406E-3</v>
      </c>
      <c r="AA552" s="56">
        <f>VLOOKUP(B552,'Player Data'!$A1:$AE667,15,FALSE)*$Q552</f>
        <v>41.928210094437915</v>
      </c>
      <c r="AB552" s="56">
        <f>VLOOKUP(B552,'Player Data'!$A1:$AE667,16,FALSE)*$Q552</f>
        <v>261.19343849883541</v>
      </c>
      <c r="AC552" s="56">
        <f>VLOOKUP(B552,'Player Data'!$A1:$AE667,17,FALSE)*$Q552*IFERROR((VLOOKUP(P552,Settings!$E$28:$F$33,2,FALSE)+1),1)</f>
        <v>0.76841746053180149</v>
      </c>
      <c r="AD552" s="56">
        <f>VLOOKUP(B552,'Player Data'!$A1:$AE667,18,FALSE)*$Q552</f>
        <v>71.21946279980213</v>
      </c>
      <c r="AE552" s="56">
        <f>VLOOKUP(B552,'Player Data'!$A1:$AE667,19,FALSE)*$Q552*IFERROR((VLOOKUP(P552,Settings!$E$28:$F$33,2,FALSE)+1),1)</f>
        <v>1.9535584756441342</v>
      </c>
      <c r="AF552" s="56">
        <f>VLOOKUP(B552,'Player Data'!$A1:$AE667,20,FALSE)*$Q552</f>
        <v>25.285621589830381</v>
      </c>
      <c r="AG552" s="56">
        <f>VLOOKUP(B552,'Player Data'!$A1:$AE667,21,FALSE)*$Q552</f>
        <v>36.785665304071948</v>
      </c>
      <c r="AH552" s="58">
        <f>VLOOKUP(B552,'Player Data'!$A1:$AE667,22,FALSE)</f>
        <v>0.40736422354269503</v>
      </c>
      <c r="AI552" s="54"/>
      <c r="AJ552" s="56"/>
      <c r="AK552" s="56"/>
      <c r="AL552" s="56"/>
      <c r="AM552" s="56"/>
      <c r="AN552" s="56"/>
      <c r="AO552" s="56"/>
      <c r="AP552" s="56"/>
      <c r="AQ552" s="59"/>
      <c r="AR552" s="60"/>
      <c r="AS552" s="54"/>
    </row>
    <row r="553" spans="1:45" ht="21.25" customHeight="1" x14ac:dyDescent="0.15">
      <c r="A553" s="45">
        <f>RANK(K553,K$1:K$665)</f>
        <v>552</v>
      </c>
      <c r="B553" s="9" t="s">
        <v>678</v>
      </c>
      <c r="C553" s="46" t="s">
        <v>127</v>
      </c>
      <c r="D553" s="47" t="str">
        <f>VLOOKUP(B553,'Player Data'!A1:D667,4,FALSE)</f>
        <v>LW</v>
      </c>
      <c r="E553" s="70">
        <f>VLOOKUP(B553,LW!A1:C152,3,FALSE)</f>
        <v>124</v>
      </c>
      <c r="F553" s="65" t="str">
        <f>VLOOKUP(B553,'Player Data'!A1:B667,2,FALSE)</f>
        <v>BUF</v>
      </c>
      <c r="G553" s="10">
        <f>VLOOKUP(B553,'Player Data'!A1:D667,3,FALSE)</f>
        <v>26</v>
      </c>
      <c r="H553" s="50">
        <f>IFERROR(VLOOKUP(B553,ADP!A1:G665,7,FALSE)/1000000,VLOOKUP(B553,ADP!A1:G665,7,FALSE))</f>
        <v>1.35</v>
      </c>
      <c r="I553" s="51">
        <f>IF(Settings!$E$15="POINTS",((R553*Q553)*Settings!$B$12)+(S553*Settings!$B$2)+(T553*Settings!$B$3)+(U553*Settings!$B$4)+(V553*Settings!$B$5)+(X553*Settings!$B$9)+(AA553*Settings!$B$6)+(W553*Settings!$B$8)+(AB553*Settings!$B$7)+(AC553*Settings!$B$14)+(AD553*Settings!$B$15)+(AE553*Settings!$B$16)+(AF553*Settings!$B$17)+(AG553*Settings!$B$18)+(Y553*Settings!$B$10)+(Z553*Settings!$B$11),VLOOKUP(B553,'Standard Deviations'!A1:C666,3,FALSE))</f>
        <v>141.63742334045151</v>
      </c>
      <c r="J553" s="52">
        <f>IF(D553="G",I553/AJ553,I553/Q553)</f>
        <v>1.8169708904839679</v>
      </c>
      <c r="K553" s="51">
        <f>IF(Settings!$E$18="C/LW/RW",VLOOKUP(B553,LW!A1:F152,6,FALSE),VLOOKUP(B553,F!A1:F392,6,FALSE))</f>
        <v>-239.42408896204824</v>
      </c>
      <c r="L553" s="53">
        <f>IFERROR(K553/H553,"N/A")</f>
        <v>-177.35117700892462</v>
      </c>
      <c r="M553" s="83" t="str">
        <f>IF(Settings!$E$9="YAHOO",VLOOKUP(B553,ADP!A1:E665,2,FALSE),IF(Settings!$E$9="ESPN",VLOOKUP(B553,ADP!A1:E665,3,FALSE),IF(Settings!$E$9="FANTRAX",VLOOKUP(B553,ADP!A1:E665,4,FALSE),VLOOKUP(B553,ADP!A1:E665,5,FALSE))))</f>
        <v>—</v>
      </c>
      <c r="N553" s="83" t="str">
        <f>IFERROR(M553-A553,"N/A")</f>
        <v>N/A</v>
      </c>
      <c r="O553" s="54"/>
      <c r="P553" s="55" t="str">
        <f>IF(Settings!$E$27="ON",VLOOKUP(B553,ADP!A1:H665,8,FALSE)," ")</f>
        <v xml:space="preserve"> </v>
      </c>
      <c r="Q553" s="56">
        <f>IF(Settings!$E$12="YES",VLOOKUP(B553,'Player Data'!A1:E667,5,FALSE),82)</f>
        <v>77.952500000000001</v>
      </c>
      <c r="R553" s="54">
        <f>VLOOKUP(B553,'Player Data'!$A1:$AE667,6,FALSE)</f>
        <v>13.461050047982701</v>
      </c>
      <c r="S553" s="56">
        <f>VLOOKUP(B553,'Player Data'!$A1:$AE667,7,FALSE)*$Q553*IFERROR((VLOOKUP(P553,Settings!$E$28:$F$33,2,FALSE)+1),1)</f>
        <v>6.4172317503784519</v>
      </c>
      <c r="T553" s="56">
        <f>VLOOKUP(B553,'Player Data'!$A1:$AE667,8,FALSE)*$Q553*IFERROR((VLOOKUP(P553,Settings!$E$28:$F$33,2,FALSE)+1),1)</f>
        <v>12.624086679717042</v>
      </c>
      <c r="U553" s="56">
        <f>SUM(S553:T553)</f>
        <v>19.041318430095494</v>
      </c>
      <c r="V553" s="56">
        <f>VLOOKUP(B553,'Player Data'!$A1:$AE667,10,FALSE)*$Q553*IFERROR(((VLOOKUP(P553,Settings!$E$28:$F$33,2,FALSE)/2)+1),1)</f>
        <v>89.702252018301223</v>
      </c>
      <c r="W553" s="56">
        <f>VLOOKUP(B553,'Player Data'!$A1:$AE667,11,FALSE)*$Q553*IFERROR((VLOOKUP(P553,Settings!$E$28:$F$33,2,FALSE)+1),1)</f>
        <v>3.7932941574737464E-2</v>
      </c>
      <c r="X553" s="56">
        <f>VLOOKUP(B553,'Player Data'!$A1:$AE667,12,FALSE)*$Q553*IFERROR((VLOOKUP(P553,Settings!$E$28:$F$33,2,FALSE)+1),1)</f>
        <v>8.8714098814530198E-2</v>
      </c>
      <c r="Y553" s="56">
        <f>VLOOKUP(B553,'Player Data'!$A1:$AE667,13,FALSE)*$Q553</f>
        <v>0.12141381277900018</v>
      </c>
      <c r="Z553" s="56">
        <f>VLOOKUP(B553,'Player Data'!$A1:$AE667,14,FALSE)*$Q553</f>
        <v>0.97780314172769767</v>
      </c>
      <c r="AA553" s="56">
        <f>VLOOKUP(B553,'Player Data'!$A1:$AE667,15,FALSE)*$Q553</f>
        <v>77.191649600944316</v>
      </c>
      <c r="AB553" s="56">
        <f>VLOOKUP(B553,'Player Data'!$A1:$AE667,16,FALSE)*$Q553</f>
        <v>197.27031242399457</v>
      </c>
      <c r="AC553" s="56">
        <f>VLOOKUP(B553,'Player Data'!$A1:$AE667,17,FALSE)*$Q553*IFERROR((VLOOKUP(P553,Settings!$E$28:$F$33,2,FALSE)+1),1)</f>
        <v>-2.8513391561159147</v>
      </c>
      <c r="AD553" s="56">
        <f>VLOOKUP(B553,'Player Data'!$A1:$AE667,18,FALSE)*$Q553</f>
        <v>26.660843238221101</v>
      </c>
      <c r="AE553" s="56">
        <f>VLOOKUP(B553,'Player Data'!$A1:$AE667,19,FALSE)*$Q553*IFERROR((VLOOKUP(P553,Settings!$E$28:$F$33,2,FALSE)+1),1)</f>
        <v>0.90775231434675585</v>
      </c>
      <c r="AF553" s="56">
        <f>VLOOKUP(B553,'Player Data'!$A1:$AE667,20,FALSE)*$Q553</f>
        <v>21.608564683455693</v>
      </c>
      <c r="AG553" s="56">
        <f>VLOOKUP(B553,'Player Data'!$A1:$AE667,21,FALSE)*$Q553</f>
        <v>24.641944505224266</v>
      </c>
      <c r="AH553" s="58">
        <f>VLOOKUP(B553,'Player Data'!$A1:$AE667,22,FALSE)</f>
        <v>0.46720706566284598</v>
      </c>
      <c r="AI553" s="54"/>
      <c r="AJ553" s="56"/>
      <c r="AK553" s="56"/>
      <c r="AL553" s="56"/>
      <c r="AM553" s="56"/>
      <c r="AN553" s="56"/>
      <c r="AO553" s="56"/>
      <c r="AP553" s="56"/>
      <c r="AQ553" s="59"/>
      <c r="AR553" s="60"/>
      <c r="AS553" s="54"/>
    </row>
    <row r="554" spans="1:45" ht="21.25" customHeight="1" x14ac:dyDescent="0.15">
      <c r="A554" s="45">
        <f>RANK(K554,K$1:K$665)</f>
        <v>553</v>
      </c>
      <c r="B554" s="9" t="s">
        <v>679</v>
      </c>
      <c r="C554" s="46" t="s">
        <v>127</v>
      </c>
      <c r="D554" s="47" t="str">
        <f>VLOOKUP(B554,'Player Data'!A1:D667,4,FALSE)</f>
        <v>LW</v>
      </c>
      <c r="E554" s="70">
        <f>VLOOKUP(B554,LW!A1:C152,3,FALSE)</f>
        <v>125</v>
      </c>
      <c r="F554" s="62" t="str">
        <f>VLOOKUP(B554,'Player Data'!A1:B667,2,FALSE)</f>
        <v>SEA</v>
      </c>
      <c r="G554" s="63">
        <f>VLOOKUP(B554,'Player Data'!A1:D667,3,FALSE)</f>
        <v>32</v>
      </c>
      <c r="H554" s="67">
        <f>IFERROR(VLOOKUP(B554,ADP!A1:G665,7,FALSE)/1000000,VLOOKUP(B554,ADP!A1:G665,7,FALSE))</f>
        <v>3.5</v>
      </c>
      <c r="I554" s="51">
        <f>IF(Settings!$E$15="POINTS",((R554*Q554)*Settings!$B$12)+(S554*Settings!$B$2)+(T554*Settings!$B$3)+(U554*Settings!$B$4)+(V554*Settings!$B$5)+(X554*Settings!$B$9)+(AA554*Settings!$B$6)+(W554*Settings!$B$8)+(AB554*Settings!$B$7)+(AC554*Settings!$B$14)+(AD554*Settings!$B$15)+(AE554*Settings!$B$16)+(AF554*Settings!$B$17)+(AG554*Settings!$B$18)+(Y554*Settings!$B$10)+(Z554*Settings!$B$11),VLOOKUP(B554,'Standard Deviations'!A1:C666,3,FALSE))</f>
        <v>141.03598966649247</v>
      </c>
      <c r="J554" s="52">
        <f>IF(D554="G",I554/AJ554,I554/Q554)</f>
        <v>1.9061493399985467</v>
      </c>
      <c r="K554" s="51">
        <f>IF(Settings!$E$18="C/LW/RW",VLOOKUP(B554,LW!A1:F152,6,FALSE),VLOOKUP(B554,F!A1:F392,6,FALSE))</f>
        <v>-240.02552263600728</v>
      </c>
      <c r="L554" s="53">
        <f>IFERROR(K554/H554,"N/A")</f>
        <v>-68.578720753144935</v>
      </c>
      <c r="M554" s="83" t="str">
        <f>IF(Settings!$E$9="YAHOO",VLOOKUP(B554,ADP!A1:E665,2,FALSE),IF(Settings!$E$9="ESPN",VLOOKUP(B554,ADP!A1:E665,3,FALSE),IF(Settings!$E$9="FANTRAX",VLOOKUP(B554,ADP!A1:E665,4,FALSE),VLOOKUP(B554,ADP!A1:E665,5,FALSE))))</f>
        <v>—</v>
      </c>
      <c r="N554" s="83" t="str">
        <f>IFERROR(M554-A554,"N/A")</f>
        <v>N/A</v>
      </c>
      <c r="O554" s="54"/>
      <c r="P554" s="55" t="str">
        <f>IF(Settings!$E$27="ON",VLOOKUP(B554,ADP!A1:H665,8,FALSE)," ")</f>
        <v xml:space="preserve"> </v>
      </c>
      <c r="Q554" s="56">
        <f>IF(Settings!$E$12="YES",VLOOKUP(B554,'Player Data'!A1:E667,5,FALSE),82)</f>
        <v>73.989999999999995</v>
      </c>
      <c r="R554" s="54">
        <f>VLOOKUP(B554,'Player Data'!$A1:$AE667,6,FALSE)</f>
        <v>14.0428909123642</v>
      </c>
      <c r="S554" s="56">
        <f>VLOOKUP(B554,'Player Data'!$A1:$AE667,7,FALSE)*$Q554*IFERROR((VLOOKUP(P554,Settings!$E$28:$F$33,2,FALSE)+1),1)</f>
        <v>9.5125193024018291</v>
      </c>
      <c r="T554" s="56">
        <f>VLOOKUP(B554,'Player Data'!$A1:$AE667,8,FALSE)*$Q554*IFERROR((VLOOKUP(P554,Settings!$E$28:$F$33,2,FALSE)+1),1)</f>
        <v>12.126873238515802</v>
      </c>
      <c r="U554" s="56">
        <f>SUM(S554:T554)</f>
        <v>21.639392540917633</v>
      </c>
      <c r="V554" s="56">
        <f>VLOOKUP(B554,'Player Data'!$A1:$AE667,10,FALSE)*$Q554*IFERROR(((VLOOKUP(P554,Settings!$E$28:$F$33,2,FALSE)/2)+1),1)</f>
        <v>86.227027409529313</v>
      </c>
      <c r="W554" s="56">
        <f>VLOOKUP(B554,'Player Data'!$A1:$AE667,11,FALSE)*$Q554*IFERROR((VLOOKUP(P554,Settings!$E$28:$F$33,2,FALSE)+1),1)</f>
        <v>8.5581667494228117E-2</v>
      </c>
      <c r="X554" s="56">
        <f>VLOOKUP(B554,'Player Data'!$A1:$AE667,12,FALSE)*$Q554*IFERROR((VLOOKUP(P554,Settings!$E$28:$F$33,2,FALSE)+1),1)</f>
        <v>0.16080756090271606</v>
      </c>
      <c r="Y554" s="56">
        <f>VLOOKUP(B554,'Player Data'!$A1:$AE667,13,FALSE)*$Q554</f>
        <v>0.57154164329166668</v>
      </c>
      <c r="Z554" s="56">
        <f>VLOOKUP(B554,'Player Data'!$A1:$AE667,14,FALSE)*$Q554</f>
        <v>1.2155320641919902</v>
      </c>
      <c r="AA554" s="56">
        <f>VLOOKUP(B554,'Player Data'!$A1:$AE667,15,FALSE)*$Q554</f>
        <v>63.255917427760416</v>
      </c>
      <c r="AB554" s="56">
        <f>VLOOKUP(B554,'Player Data'!$A1:$AE667,16,FALSE)*$Q554</f>
        <v>150.70464736061703</v>
      </c>
      <c r="AC554" s="56">
        <f>VLOOKUP(B554,'Player Data'!$A1:$AE667,17,FALSE)*$Q554*IFERROR((VLOOKUP(P554,Settings!$E$28:$F$33,2,FALSE)+1),1)</f>
        <v>-1.3656556500247483</v>
      </c>
      <c r="AD554" s="56">
        <f>VLOOKUP(B554,'Player Data'!$A1:$AE667,18,FALSE)*$Q554</f>
        <v>38.425366177785122</v>
      </c>
      <c r="AE554" s="56">
        <f>VLOOKUP(B554,'Player Data'!$A1:$AE667,19,FALSE)*$Q554*IFERROR((VLOOKUP(P554,Settings!$E$28:$F$33,2,FALSE)+1),1)</f>
        <v>1.4444538999994068</v>
      </c>
      <c r="AF554" s="56">
        <f>VLOOKUP(B554,'Player Data'!$A1:$AE667,20,FALSE)*$Q554</f>
        <v>6.9700218953860142</v>
      </c>
      <c r="AG554" s="56">
        <f>VLOOKUP(B554,'Player Data'!$A1:$AE667,21,FALSE)*$Q554</f>
        <v>21.607052355251064</v>
      </c>
      <c r="AH554" s="58">
        <f>VLOOKUP(B554,'Player Data'!$A1:$AE667,22,FALSE)</f>
        <v>0.243902571489824</v>
      </c>
      <c r="AI554" s="54"/>
      <c r="AJ554" s="56"/>
      <c r="AK554" s="56"/>
      <c r="AL554" s="56"/>
      <c r="AM554" s="56"/>
      <c r="AN554" s="56"/>
      <c r="AO554" s="56"/>
      <c r="AP554" s="56"/>
      <c r="AQ554" s="59"/>
      <c r="AR554" s="60"/>
      <c r="AS554" s="54"/>
    </row>
    <row r="555" spans="1:45" ht="21.25" customHeight="1" x14ac:dyDescent="0.15">
      <c r="A555" s="45">
        <f>RANK(K555,K$1:K$665)</f>
        <v>554</v>
      </c>
      <c r="B555" s="9" t="s">
        <v>680</v>
      </c>
      <c r="C555" s="46" t="s">
        <v>127</v>
      </c>
      <c r="D555" s="47" t="str">
        <f>VLOOKUP(B555,'Player Data'!A1:D667,4,FALSE)</f>
        <v>LW</v>
      </c>
      <c r="E555" s="70">
        <f>VLOOKUP(B555,LW!A1:C152,3,FALSE)</f>
        <v>126</v>
      </c>
      <c r="F555" s="55" t="str">
        <f>VLOOKUP(B555,'Player Data'!A1:B667,2,FALSE)</f>
        <v>CHI</v>
      </c>
      <c r="G555" s="69">
        <f>VLOOKUP(B555,'Player Data'!A1:D667,3,FALSE)</f>
        <v>22</v>
      </c>
      <c r="H555" s="50">
        <f>IFERROR(VLOOKUP(B555,ADP!A1:G665,7,FALSE)/1000000,VLOOKUP(B555,ADP!A1:G665,7,FALSE))</f>
        <v>1.2</v>
      </c>
      <c r="I555" s="51">
        <f>IF(Settings!$E$15="POINTS",((R555*Q555)*Settings!$B$12)+(S555*Settings!$B$2)+(T555*Settings!$B$3)+(U555*Settings!$B$4)+(V555*Settings!$B$5)+(X555*Settings!$B$9)+(AA555*Settings!$B$6)+(W555*Settings!$B$8)+(AB555*Settings!$B$7)+(AC555*Settings!$B$14)+(AD555*Settings!$B$15)+(AE555*Settings!$B$16)+(AF555*Settings!$B$17)+(AG555*Settings!$B$18)+(Y555*Settings!$B$10)+(Z555*Settings!$B$11),VLOOKUP(B555,'Standard Deviations'!A1:C666,3,FALSE))</f>
        <v>140.94002575311623</v>
      </c>
      <c r="J555" s="52">
        <f>IF(D555="G",I555/AJ555,I555/Q555)</f>
        <v>2.1004474776917474</v>
      </c>
      <c r="K555" s="51">
        <f>IF(Settings!$E$18="C/LW/RW",VLOOKUP(B555,LW!A1:F152,6,FALSE),VLOOKUP(B555,F!A1:F392,6,FALSE))</f>
        <v>-240.12148654938352</v>
      </c>
      <c r="L555" s="53">
        <f>IFERROR(K555/H555,"N/A")</f>
        <v>-200.10123879115295</v>
      </c>
      <c r="M555" s="83" t="str">
        <f>IF(Settings!$E$9="YAHOO",VLOOKUP(B555,ADP!A1:E665,2,FALSE),IF(Settings!$E$9="ESPN",VLOOKUP(B555,ADP!A1:E665,3,FALSE),IF(Settings!$E$9="FANTRAX",VLOOKUP(B555,ADP!A1:E665,4,FALSE),VLOOKUP(B555,ADP!A1:E665,5,FALSE))))</f>
        <v>—</v>
      </c>
      <c r="N555" s="83" t="str">
        <f>IFERROR(M555-A555,"N/A")</f>
        <v>N/A</v>
      </c>
      <c r="O555" s="54"/>
      <c r="P555" s="55" t="str">
        <f>IF(Settings!$E$27="ON",VLOOKUP(B555,ADP!A1:H665,8,FALSE)," ")</f>
        <v xml:space="preserve"> </v>
      </c>
      <c r="Q555" s="56">
        <f>IF(Settings!$E$12="YES",VLOOKUP(B555,'Player Data'!A1:E667,5,FALSE),82)</f>
        <v>67.099999999999994</v>
      </c>
      <c r="R555" s="54">
        <f>VLOOKUP(B555,'Player Data'!$A1:$AE667,6,FALSE)</f>
        <v>14.0137716181209</v>
      </c>
      <c r="S555" s="56">
        <f>VLOOKUP(B555,'Player Data'!$A1:$AE667,7,FALSE)*$Q555*IFERROR((VLOOKUP(P555,Settings!$E$28:$F$33,2,FALSE)+1),1)</f>
        <v>9.9813512091352976</v>
      </c>
      <c r="T555" s="56">
        <f>VLOOKUP(B555,'Player Data'!$A1:$AE667,8,FALSE)*$Q555*IFERROR((VLOOKUP(P555,Settings!$E$28:$F$33,2,FALSE)+1),1)</f>
        <v>15.336717253755953</v>
      </c>
      <c r="U555" s="56">
        <f>SUM(S555:T555)</f>
        <v>25.318068462891251</v>
      </c>
      <c r="V555" s="56">
        <f>VLOOKUP(B555,'Player Data'!$A1:$AE667,10,FALSE)*$Q555*IFERROR(((VLOOKUP(P555,Settings!$E$28:$F$33,2,FALSE)/2)+1),1)</f>
        <v>94.015759699624041</v>
      </c>
      <c r="W555" s="56">
        <f>VLOOKUP(B555,'Player Data'!$A1:$AE667,11,FALSE)*$Q555*IFERROR((VLOOKUP(P555,Settings!$E$28:$F$33,2,FALSE)+1),1)</f>
        <v>1.8918824004725368</v>
      </c>
      <c r="X555" s="56">
        <f>VLOOKUP(B555,'Player Data'!$A1:$AE667,12,FALSE)*$Q555*IFERROR((VLOOKUP(P555,Settings!$E$28:$F$33,2,FALSE)+1),1)</f>
        <v>4.0345730441878445</v>
      </c>
      <c r="Y555" s="56">
        <f>VLOOKUP(B555,'Player Data'!$A1:$AE667,13,FALSE)*$Q555</f>
        <v>5.5745351573449779E-2</v>
      </c>
      <c r="Z555" s="56">
        <f>VLOOKUP(B555,'Player Data'!$A1:$AE667,14,FALSE)*$Q555</f>
        <v>9.3264790237888737E-2</v>
      </c>
      <c r="AA555" s="56">
        <f>VLOOKUP(B555,'Player Data'!$A1:$AE667,15,FALSE)*$Q555</f>
        <v>27.700205360409409</v>
      </c>
      <c r="AB555" s="56">
        <f>VLOOKUP(B555,'Player Data'!$A1:$AE667,16,FALSE)*$Q555</f>
        <v>35.535992076910041</v>
      </c>
      <c r="AC555" s="56">
        <f>VLOOKUP(B555,'Player Data'!$A1:$AE667,17,FALSE)*$Q555*IFERROR((VLOOKUP(P555,Settings!$E$28:$F$33,2,FALSE)+1),1)</f>
        <v>-7.8940322825981575</v>
      </c>
      <c r="AD555" s="56">
        <f>VLOOKUP(B555,'Player Data'!$A1:$AE667,18,FALSE)*$Q555</f>
        <v>16.582639199296732</v>
      </c>
      <c r="AE555" s="56">
        <f>VLOOKUP(B555,'Player Data'!$A1:$AE667,19,FALSE)*$Q555*IFERROR((VLOOKUP(P555,Settings!$E$28:$F$33,2,FALSE)+1),1)</f>
        <v>1.2899423721843266</v>
      </c>
      <c r="AF555" s="56">
        <f>VLOOKUP(B555,'Player Data'!$A1:$AE667,20,FALSE)*$Q555</f>
        <v>80.408949817509807</v>
      </c>
      <c r="AG555" s="56">
        <f>VLOOKUP(B555,'Player Data'!$A1:$AE667,21,FALSE)*$Q555</f>
        <v>112.45714002144292</v>
      </c>
      <c r="AH555" s="58">
        <f>VLOOKUP(B555,'Player Data'!$A1:$AE667,22,FALSE)</f>
        <v>0.416915953886209</v>
      </c>
      <c r="AI555" s="54"/>
      <c r="AJ555" s="56"/>
      <c r="AK555" s="56"/>
      <c r="AL555" s="56"/>
      <c r="AM555" s="56"/>
      <c r="AN555" s="56"/>
      <c r="AO555" s="56"/>
      <c r="AP555" s="56"/>
      <c r="AQ555" s="59"/>
      <c r="AR555" s="60"/>
      <c r="AS555" s="54"/>
    </row>
    <row r="556" spans="1:45" ht="21.25" customHeight="1" x14ac:dyDescent="0.15">
      <c r="A556" s="45">
        <f>RANK(K556,K$1:K$665)</f>
        <v>555</v>
      </c>
      <c r="B556" s="9" t="s">
        <v>681</v>
      </c>
      <c r="C556" s="46" t="s">
        <v>127</v>
      </c>
      <c r="D556" s="47" t="str">
        <f>VLOOKUP(B556,'Player Data'!A1:D667,4,FALSE)</f>
        <v>LW</v>
      </c>
      <c r="E556" s="70">
        <f>VLOOKUP(B556,LW!A1:C152,3,FALSE)</f>
        <v>127</v>
      </c>
      <c r="F556" s="55" t="str">
        <f>VLOOKUP(B556,'Player Data'!A1:B667,2,FALSE)</f>
        <v>COL</v>
      </c>
      <c r="G556" s="63">
        <f>VLOOKUP(B556,'Player Data'!A1:D667,3,FALSE)</f>
        <v>31</v>
      </c>
      <c r="H556" s="50">
        <f>IFERROR(VLOOKUP(B556,ADP!A1:G665,7,FALSE)/1000000,VLOOKUP(B556,ADP!A1:G665,7,FALSE))</f>
        <v>7</v>
      </c>
      <c r="I556" s="51">
        <f>IF(Settings!$E$15="POINTS",((R556*Q556)*Settings!$B$12)+(S556*Settings!$B$2)+(T556*Settings!$B$3)+(U556*Settings!$B$4)+(V556*Settings!$B$5)+(X556*Settings!$B$9)+(AA556*Settings!$B$6)+(W556*Settings!$B$8)+(AB556*Settings!$B$7)+(AC556*Settings!$B$14)+(AD556*Settings!$B$15)+(AE556*Settings!$B$16)+(AF556*Settings!$B$17)+(AG556*Settings!$B$18)+(Y556*Settings!$B$10)+(Z556*Settings!$B$11),VLOOKUP(B556,'Standard Deviations'!A1:C666,3,FALSE))</f>
        <v>140.85144761486248</v>
      </c>
      <c r="J556" s="52">
        <f>IF(D556="G",I556/AJ556,I556/Q556)</f>
        <v>3.4354011613381092</v>
      </c>
      <c r="K556" s="51">
        <f>IF(Settings!$E$18="C/LW/RW",VLOOKUP(B556,LW!A1:F152,6,FALSE),VLOOKUP(B556,F!A1:F392,6,FALSE))</f>
        <v>-240.21006468763727</v>
      </c>
      <c r="L556" s="53">
        <f>IFERROR(K556/H556,"N/A")</f>
        <v>-34.315723526805321</v>
      </c>
      <c r="M556" s="54">
        <f>IF(Settings!$E$9="YAHOO",VLOOKUP(B556,ADP!A1:E665,2,FALSE),IF(Settings!$E$9="ESPN",VLOOKUP(B556,ADP!A1:E665,3,FALSE),IF(Settings!$E$9="FANTRAX",VLOOKUP(B556,ADP!A1:E665,4,FALSE),VLOOKUP(B556,ADP!A1:E665,5,FALSE))))</f>
        <v>136.9</v>
      </c>
      <c r="N556" s="54">
        <f>IFERROR(M556-A556,"N/A")</f>
        <v>-418.1</v>
      </c>
      <c r="O556" s="54"/>
      <c r="P556" s="55" t="str">
        <f>IF(Settings!$E$27="ON",VLOOKUP(B556,ADP!A1:H665,8,FALSE)," ")</f>
        <v xml:space="preserve"> </v>
      </c>
      <c r="Q556" s="56">
        <f>IF(Settings!$E$12="YES",VLOOKUP(B556,'Player Data'!A1:E667,5,FALSE),82)</f>
        <v>41</v>
      </c>
      <c r="R556" s="54">
        <f>VLOOKUP(B556,'Player Data'!$A1:$AE667,6,FALSE)</f>
        <v>15.8359688326638</v>
      </c>
      <c r="S556" s="56">
        <f>VLOOKUP(B556,'Player Data'!$A1:$AE667,7,FALSE)*$Q556*IFERROR((VLOOKUP(P556,Settings!$E$28:$F$33,2,FALSE)+1),1)</f>
        <v>13.209533350485996</v>
      </c>
      <c r="T556" s="56">
        <f>VLOOKUP(B556,'Player Data'!$A1:$AE667,8,FALSE)*$Q556*IFERROR((VLOOKUP(P556,Settings!$E$28:$F$33,2,FALSE)+1),1)</f>
        <v>14.798137325079189</v>
      </c>
      <c r="U556" s="56">
        <f>SUM(S556:T556)</f>
        <v>28.007670675565187</v>
      </c>
      <c r="V556" s="56">
        <f>VLOOKUP(B556,'Player Data'!$A1:$AE667,10,FALSE)*$Q556*IFERROR(((VLOOKUP(P556,Settings!$E$28:$F$33,2,FALSE)/2)+1),1)</f>
        <v>85.351599963815673</v>
      </c>
      <c r="W556" s="56">
        <f>VLOOKUP(B556,'Player Data'!$A1:$AE667,11,FALSE)*$Q556*IFERROR((VLOOKUP(P556,Settings!$E$28:$F$33,2,FALSE)+1),1)</f>
        <v>1.6895843437312721</v>
      </c>
      <c r="X556" s="56">
        <f>VLOOKUP(B556,'Player Data'!$A1:$AE667,12,FALSE)*$Q556*IFERROR((VLOOKUP(P556,Settings!$E$28:$F$33,2,FALSE)+1),1)</f>
        <v>3.8954671843340427</v>
      </c>
      <c r="Y556" s="56">
        <f>VLOOKUP(B556,'Player Data'!$A1:$AE667,13,FALSE)*$Q556</f>
        <v>0</v>
      </c>
      <c r="Z556" s="56">
        <f>VLOOKUP(B556,'Player Data'!$A1:$AE667,14,FALSE)*$Q556</f>
        <v>0</v>
      </c>
      <c r="AA556" s="56">
        <f>VLOOKUP(B556,'Player Data'!$A1:$AE667,15,FALSE)*$Q556</f>
        <v>20.514336843850053</v>
      </c>
      <c r="AB556" s="56">
        <f>VLOOKUP(B556,'Player Data'!$A1:$AE667,16,FALSE)*$Q556</f>
        <v>47.056952594234083</v>
      </c>
      <c r="AC556" s="56">
        <f>VLOOKUP(B556,'Player Data'!$A1:$AE667,17,FALSE)*$Q556*IFERROR((VLOOKUP(P556,Settings!$E$28:$F$33,2,FALSE)+1),1)</f>
        <v>0.34755948611035309</v>
      </c>
      <c r="AD556" s="56">
        <f>VLOOKUP(B556,'Player Data'!$A1:$AE667,18,FALSE)*$Q556</f>
        <v>27.730503141661146</v>
      </c>
      <c r="AE556" s="56">
        <f>VLOOKUP(B556,'Player Data'!$A1:$AE667,19,FALSE)*$Q556*IFERROR((VLOOKUP(P556,Settings!$E$28:$F$33,2,FALSE)+1),1)</f>
        <v>1.973645025297563</v>
      </c>
      <c r="AF556" s="56">
        <f>VLOOKUP(B556,'Player Data'!$A1:$AE667,20,FALSE)*$Q556</f>
        <v>151.01204259955998</v>
      </c>
      <c r="AG556" s="56">
        <f>VLOOKUP(B556,'Player Data'!$A1:$AE667,21,FALSE)*$Q556</f>
        <v>124.06798380209166</v>
      </c>
      <c r="AH556" s="58">
        <f>VLOOKUP(B556,'Player Data'!$A1:$AE667,22,FALSE)</f>
        <v>0.54897494585471396</v>
      </c>
      <c r="AI556" s="54"/>
      <c r="AJ556" s="56"/>
      <c r="AK556" s="56"/>
      <c r="AL556" s="56"/>
      <c r="AM556" s="56"/>
      <c r="AN556" s="56"/>
      <c r="AO556" s="56"/>
      <c r="AP556" s="56"/>
      <c r="AQ556" s="59"/>
      <c r="AR556" s="60"/>
      <c r="AS556" s="54"/>
    </row>
    <row r="557" spans="1:45" ht="21.25" customHeight="1" x14ac:dyDescent="0.15">
      <c r="A557" s="45">
        <f>RANK(K557,K$1:K$665)</f>
        <v>556</v>
      </c>
      <c r="B557" s="9" t="s">
        <v>682</v>
      </c>
      <c r="C557" s="46" t="s">
        <v>127</v>
      </c>
      <c r="D557" s="47" t="str">
        <f>VLOOKUP(B557,'Player Data'!A1:D667,4,FALSE)</f>
        <v>RW</v>
      </c>
      <c r="E557" s="61">
        <f>VLOOKUP(B557,RW!A1:F136,3,FALSE)</f>
        <v>112</v>
      </c>
      <c r="F557" s="62" t="str">
        <f>VLOOKUP(B557,'Player Data'!A1:B667,2,FALSE)</f>
        <v>MTL</v>
      </c>
      <c r="G557" s="63">
        <f>VLOOKUP(B557,'Player Data'!A1:D667,3,FALSE)</f>
        <v>31</v>
      </c>
      <c r="H557" s="67">
        <f>IFERROR(VLOOKUP(B557,ADP!A1:G665,7,FALSE)/1000000,VLOOKUP(B557,ADP!A1:G665,7,FALSE))</f>
        <v>3.4</v>
      </c>
      <c r="I557" s="51">
        <f>IF(Settings!$E$15="POINTS",((R557*Q557)*Settings!$B$12)+(S557*Settings!$B$2)+(T557*Settings!$B$3)+(U557*Settings!$B$4)+(V557*Settings!$B$5)+(X557*Settings!$B$9)+(AA557*Settings!$B$6)+(W557*Settings!$B$8)+(AB557*Settings!$B$7)+(AC557*Settings!$B$14)+(AD557*Settings!$B$15)+(AE557*Settings!$B$16)+(AF557*Settings!$B$17)+(AG557*Settings!$B$18)+(Y557*Settings!$B$10)+(Z557*Settings!$B$11),VLOOKUP(B557,'Standard Deviations'!A1:C666,3,FALSE))</f>
        <v>127.75332011987439</v>
      </c>
      <c r="J557" s="52">
        <f>IF(D557="G",I557/AJ557,I557/Q557)</f>
        <v>1.7835792135684534</v>
      </c>
      <c r="K557" s="51">
        <f>IF(Settings!$E$18="C/LW/RW",VLOOKUP(B557,RW!A1:F136,6,FALSE),VLOOKUP(B557,F!A1:F392,6,FALSE))</f>
        <v>-241.094402986418</v>
      </c>
      <c r="L557" s="53">
        <f>IFERROR(K557/H557,"N/A")</f>
        <v>-70.910118525417062</v>
      </c>
      <c r="M557" s="83" t="str">
        <f>IF(Settings!$E$9="YAHOO",VLOOKUP(B557,ADP!A1:E665,2,FALSE),IF(Settings!$E$9="ESPN",VLOOKUP(B557,ADP!A1:E665,3,FALSE),IF(Settings!$E$9="FANTRAX",VLOOKUP(B557,ADP!A1:E665,4,FALSE),VLOOKUP(B557,ADP!A1:E665,5,FALSE))))</f>
        <v>—</v>
      </c>
      <c r="N557" s="83" t="str">
        <f>IFERROR(M557-A557,"N/A")</f>
        <v>N/A</v>
      </c>
      <c r="O557" s="54"/>
      <c r="P557" s="55" t="str">
        <f>IF(Settings!$E$27="ON",VLOOKUP(B557,ADP!A1:H665,8,FALSE)," ")</f>
        <v xml:space="preserve"> </v>
      </c>
      <c r="Q557" s="56">
        <f>IF(Settings!$E$12="YES",VLOOKUP(B557,'Player Data'!A1:E667,5,FALSE),82)</f>
        <v>71.627499999999998</v>
      </c>
      <c r="R557" s="81">
        <f>VLOOKUP(B557,'Player Data'!$A1:$AE667,6,FALSE)</f>
        <v>12.814924512289901</v>
      </c>
      <c r="S557" s="56">
        <f>VLOOKUP(B557,'Player Data'!$A1:$AE667,7,FALSE)*$Q557*IFERROR((VLOOKUP(P557,Settings!$E$28:$F$33,2,FALSE)+1),1)</f>
        <v>10.23611607202557</v>
      </c>
      <c r="T557" s="56">
        <f>VLOOKUP(B557,'Player Data'!$A1:$AE667,8,FALSE)*$Q557*IFERROR((VLOOKUP(P557,Settings!$E$28:$F$33,2,FALSE)+1),1)</f>
        <v>6.784006002212787</v>
      </c>
      <c r="U557" s="56">
        <f>SUM(S557:T557)</f>
        <v>17.020122074238358</v>
      </c>
      <c r="V557" s="56">
        <f>VLOOKUP(B557,'Player Data'!$A1:$AE667,10,FALSE)*$Q557*IFERROR(((VLOOKUP(P557,Settings!$E$28:$F$33,2,FALSE)/2)+1),1)</f>
        <v>110.44832162669898</v>
      </c>
      <c r="W557" s="56">
        <f>VLOOKUP(B557,'Player Data'!$A1:$AE667,11,FALSE)*$Q557*IFERROR((VLOOKUP(P557,Settings!$E$28:$F$33,2,FALSE)+1),1)</f>
        <v>0.21801265073039697</v>
      </c>
      <c r="X557" s="56">
        <f>VLOOKUP(B557,'Player Data'!$A1:$AE667,12,FALSE)*$Q557*IFERROR((VLOOKUP(P557,Settings!$E$28:$F$33,2,FALSE)+1),1)</f>
        <v>0.60857350589081616</v>
      </c>
      <c r="Y557" s="56">
        <f>VLOOKUP(B557,'Player Data'!$A1:$AE667,13,FALSE)*$Q557</f>
        <v>1.8590102914656148</v>
      </c>
      <c r="Z557" s="56">
        <f>VLOOKUP(B557,'Player Data'!$A1:$AE667,14,FALSE)*$Q557</f>
        <v>1.9495474733048681</v>
      </c>
      <c r="AA557" s="56">
        <f>VLOOKUP(B557,'Player Data'!$A1:$AE667,15,FALSE)*$Q557</f>
        <v>37.8213442092283</v>
      </c>
      <c r="AB557" s="56">
        <f>VLOOKUP(B557,'Player Data'!$A1:$AE667,16,FALSE)*$Q557</f>
        <v>58.931664826050891</v>
      </c>
      <c r="AC557" s="56">
        <f>VLOOKUP(B557,'Player Data'!$A1:$AE667,17,FALSE)*$Q557*IFERROR((VLOOKUP(P557,Settings!$E$28:$F$33,2,FALSE)+1),1)</f>
        <v>-3.8546708952753006</v>
      </c>
      <c r="AD557" s="56">
        <f>VLOOKUP(B557,'Player Data'!$A1:$AE667,18,FALSE)*$Q557</f>
        <v>29.688558504118408</v>
      </c>
      <c r="AE557" s="56">
        <f>VLOOKUP(B557,'Player Data'!$A1:$AE667,19,FALSE)*$Q557*IFERROR((VLOOKUP(P557,Settings!$E$28:$F$33,2,FALSE)+1),1)</f>
        <v>1.1863788798925157</v>
      </c>
      <c r="AF557" s="56">
        <f>VLOOKUP(B557,'Player Data'!$A1:$AE667,20,FALSE)*$Q557</f>
        <v>4.216016833100892</v>
      </c>
      <c r="AG557" s="56">
        <f>VLOOKUP(B557,'Player Data'!$A1:$AE667,21,FALSE)*$Q557</f>
        <v>10.540780092799025</v>
      </c>
      <c r="AH557" s="58">
        <f>VLOOKUP(B557,'Player Data'!$A1:$AE667,22,FALSE)</f>
        <v>0.28569999670465701</v>
      </c>
      <c r="AI557" s="54"/>
      <c r="AJ557" s="64"/>
      <c r="AK557" s="56"/>
      <c r="AL557" s="56"/>
      <c r="AM557" s="56"/>
      <c r="AN557" s="56"/>
      <c r="AO557" s="56"/>
      <c r="AP557" s="56"/>
      <c r="AQ557" s="59"/>
      <c r="AR557" s="60"/>
      <c r="AS557" s="54"/>
    </row>
    <row r="558" spans="1:45" ht="21.25" customHeight="1" x14ac:dyDescent="0.15">
      <c r="A558" s="45">
        <f>RANK(K558,K$1:K$665)</f>
        <v>557</v>
      </c>
      <c r="B558" s="9" t="s">
        <v>683</v>
      </c>
      <c r="C558" s="46" t="s">
        <v>127</v>
      </c>
      <c r="D558" s="47" t="str">
        <f>VLOOKUP(B558,'Player Data'!A1:D667,4,FALSE)</f>
        <v>D</v>
      </c>
      <c r="E558" s="66">
        <f>VLOOKUP(B558,D!A1:C213,3,FALSE)</f>
        <v>208</v>
      </c>
      <c r="F558" s="55" t="str">
        <f>VLOOKUP(B558,'Player Data'!A1:B667,2,FALSE)</f>
        <v>N.J</v>
      </c>
      <c r="G558" s="10">
        <f>VLOOKUP(B558,'Player Data'!A1:D667,3,FALSE)</f>
        <v>29</v>
      </c>
      <c r="H558" s="50">
        <f>IFERROR(VLOOKUP(B558,ADP!A1:G665,7,FALSE)/1000000,VLOOKUP(B558,ADP!A1:G665,7,FALSE))</f>
        <v>0.77500000000000002</v>
      </c>
      <c r="I558" s="51">
        <f>IF(Settings!$E$15="POINTS",((R558*Q558)*Settings!$B$12)+(S558*Settings!$B$2)+(T558*Settings!$B$3)+(U558*Settings!$B$4)+(V558*Settings!$B$5)+(X558*Settings!$B$9)+(AA558*Settings!$B$6)+(W558*Settings!$B$8)+(AB558*Settings!$B$7)+(AC558*Settings!$B$14)+(AD558*Settings!$B$15)+(AE558*Settings!$B$16)+(AF558*Settings!$B$17)+(AG558*Settings!$B$18)+(U558*Settings!$B$13)+(Y558*Settings!$B$10)+(Z558*Settings!$B$11),VLOOKUP(B558,'Standard Deviations'!A1:C666,3,FALSE))</f>
        <v>95.008497766828015</v>
      </c>
      <c r="J558" s="52">
        <f>IF(D558="G",I558/AJ558,I558/Q558)</f>
        <v>1.5296811748000003</v>
      </c>
      <c r="K558" s="51">
        <f>VLOOKUP(B558,D!A1:F213,6,FALSE)</f>
        <v>-241.22562727876689</v>
      </c>
      <c r="L558" s="53">
        <f>IFERROR(K558/H558,"N/A")</f>
        <v>-311.25887390808629</v>
      </c>
      <c r="M558" s="83" t="str">
        <f>IF(Settings!$E$9="YAHOO",VLOOKUP(B558,ADP!A1:E665,2,FALSE),IF(Settings!$E$9="ESPN",VLOOKUP(B558,ADP!A1:E665,3,FALSE),IF(Settings!$E$9="FANTRAX",VLOOKUP(B558,ADP!A1:E665,4,FALSE),VLOOKUP(B558,ADP!A1:E665,5,FALSE))))</f>
        <v>—</v>
      </c>
      <c r="N558" s="83" t="str">
        <f>IFERROR(M558-A558,"N/A")</f>
        <v>N/A</v>
      </c>
      <c r="O558" s="54"/>
      <c r="P558" s="55" t="str">
        <f>IF(Settings!$E$27="ON",VLOOKUP(B558,ADP!A1:H665,8,FALSE)," ")</f>
        <v xml:space="preserve"> </v>
      </c>
      <c r="Q558" s="56">
        <f>IF(Settings!$E$12="YES",VLOOKUP(B558,'Player Data'!A1:E667,5,FALSE),82)</f>
        <v>62.11</v>
      </c>
      <c r="R558" s="54">
        <f>VLOOKUP(B558,'Player Data'!$A1:$AE667,6,FALSE)</f>
        <v>13.5297619488222</v>
      </c>
      <c r="S558" s="56">
        <f>VLOOKUP(B558,'Player Data'!$A1:$AE667,7,FALSE)*$Q558*IFERROR((VLOOKUP(P558,Settings!$E$28:$F$33,2,FALSE)+1),1)</f>
        <v>2.7998852280789928</v>
      </c>
      <c r="T558" s="56">
        <f>VLOOKUP(B558,'Player Data'!$A1:$AE667,8,FALSE)*$Q558*IFERROR((VLOOKUP(P558,Settings!$E$28:$F$33,2,FALSE)+1),1)</f>
        <v>8.2635440518601069</v>
      </c>
      <c r="U558" s="56">
        <f>SUM(S558:T558)</f>
        <v>11.063429279939101</v>
      </c>
      <c r="V558" s="56">
        <f>VLOOKUP(B558,'Player Data'!$A1:$AE667,10,FALSE)*$Q558*IFERROR(((VLOOKUP(P558,Settings!$E$28:$F$33,2,FALSE)/2)+1),1)</f>
        <v>53.097782418104835</v>
      </c>
      <c r="W558" s="56">
        <f>VLOOKUP(B558,'Player Data'!$A1:$AE667,11,FALSE)*$Q558*IFERROR((VLOOKUP(P558,Settings!$E$28:$F$33,2,FALSE)+1),1)</f>
        <v>1.0193241411753871E-2</v>
      </c>
      <c r="X558" s="56">
        <f>VLOOKUP(B558,'Player Data'!$A1:$AE667,12,FALSE)*$Q558*IFERROR((VLOOKUP(P558,Settings!$E$28:$F$33,2,FALSE)+1),1)</f>
        <v>6.5804235532571934E-2</v>
      </c>
      <c r="Y558" s="56">
        <f>VLOOKUP(B558,'Player Data'!$A1:$AE667,13,FALSE)*$Q558</f>
        <v>1.9239270585622383E-2</v>
      </c>
      <c r="Z558" s="56">
        <f>VLOOKUP(B558,'Player Data'!$A1:$AE667,14,FALSE)*$Q558</f>
        <v>9.5996760451037388E-2</v>
      </c>
      <c r="AA558" s="56">
        <f>VLOOKUP(B558,'Player Data'!$A1:$AE667,15,FALSE)*$Q558</f>
        <v>70.215035443949375</v>
      </c>
      <c r="AB558" s="56">
        <f>VLOOKUP(B558,'Player Data'!$A1:$AE667,16,FALSE)*$Q558</f>
        <v>65.320232902703083</v>
      </c>
      <c r="AC558" s="56">
        <f>VLOOKUP(B558,'Player Data'!$A1:$AE667,17,FALSE)*$Q558*IFERROR((VLOOKUP(P558,Settings!$E$28:$F$33,2,FALSE)+1),1)</f>
        <v>0.17542280907693109</v>
      </c>
      <c r="AD558" s="56">
        <f>VLOOKUP(B558,'Player Data'!$A1:$AE667,18,FALSE)*$Q558</f>
        <v>16.439804559708136</v>
      </c>
      <c r="AE558" s="56">
        <f>VLOOKUP(B558,'Player Data'!$A1:$AE667,19,FALSE)*$Q558*IFERROR((VLOOKUP(P558,Settings!$E$28:$F$33,2,FALSE)+1),1)</f>
        <v>0.42243638263480071</v>
      </c>
      <c r="AF558" s="56">
        <f>VLOOKUP(B558,'Player Data'!$A1:$AE667,20,FALSE)*$Q558</f>
        <v>0</v>
      </c>
      <c r="AG558" s="56">
        <f>VLOOKUP(B558,'Player Data'!$A1:$AE667,21,FALSE)*$Q558</f>
        <v>0</v>
      </c>
      <c r="AH558" s="58">
        <f>VLOOKUP(B558,'Player Data'!$A1:$AE667,22,FALSE)</f>
        <v>0</v>
      </c>
      <c r="AI558" s="54"/>
      <c r="AJ558" s="64"/>
      <c r="AK558" s="56"/>
      <c r="AL558" s="56"/>
      <c r="AM558" s="56"/>
      <c r="AN558" s="56"/>
      <c r="AO558" s="56"/>
      <c r="AP558" s="56"/>
      <c r="AQ558" s="59"/>
      <c r="AR558" s="60"/>
      <c r="AS558" s="54"/>
    </row>
    <row r="559" spans="1:45" ht="21.25" customHeight="1" x14ac:dyDescent="0.15">
      <c r="A559" s="45">
        <f>RANK(K559,K$1:K$665)</f>
        <v>558</v>
      </c>
      <c r="B559" s="9" t="s">
        <v>684</v>
      </c>
      <c r="C559" s="46" t="s">
        <v>127</v>
      </c>
      <c r="D559" s="47" t="str">
        <f>VLOOKUP(B559,'Player Data'!A1:D667,4,FALSE)</f>
        <v>C/LW</v>
      </c>
      <c r="E559" s="68">
        <f>VLOOKUP(B559,LW!A1:C152,3,FALSE)</f>
        <v>128</v>
      </c>
      <c r="F559" s="82" t="str">
        <f>VLOOKUP(B559,'Player Data'!A1:B667,2,FALSE)</f>
        <v>ANA</v>
      </c>
      <c r="G559" s="10">
        <f>VLOOKUP(B559,'Player Data'!A1:D667,3,FALSE)</f>
        <v>28</v>
      </c>
      <c r="H559" s="67">
        <f>IFERROR(VLOOKUP(B559,ADP!A1:G665,7,FALSE)/1000000,VLOOKUP(B559,ADP!A1:G665,7,FALSE))</f>
        <v>4</v>
      </c>
      <c r="I559" s="51">
        <f>IF(Settings!$E$15="POINTS",((R559*Q559)*Settings!$B$12)+(S559*Settings!$B$2)+(T559*Settings!$B$3)+(U559*Settings!$B$4)+(V559*Settings!$B$5)+(X559*Settings!$B$9)+(AA559*Settings!$B$6)+(W559*Settings!$B$8)+(AB559*Settings!$B$7)+(AC559*Settings!$B$14)+(AD559*Settings!$B$15)+(AE559*Settings!$B$16)+(AF559*Settings!$B$17)+(AG559*Settings!$B$18)+(Y559*Settings!$B$10)+(Z559*Settings!$B$11),VLOOKUP(B559,'Standard Deviations'!A1:C666,3,FALSE))</f>
        <v>138.79058816750558</v>
      </c>
      <c r="J559" s="52">
        <f>IF(D559="G",I559/AJ559,I559/Q559)</f>
        <v>1.9964123729503105</v>
      </c>
      <c r="K559" s="51">
        <f>IF(Settings!$E$18="C/LW/RW",VLOOKUP(B559,LW!A1:F152,6,FALSE),VLOOKUP(B559,F!A1:F392,6,FALSE))</f>
        <v>-242.27092413499417</v>
      </c>
      <c r="L559" s="53">
        <f>IFERROR(K559/H559,"N/A")</f>
        <v>-60.567731033748544</v>
      </c>
      <c r="M559" s="83" t="str">
        <f>IF(Settings!$E$9="YAHOO",VLOOKUP(B559,ADP!A1:E665,2,FALSE),IF(Settings!$E$9="ESPN",VLOOKUP(B559,ADP!A1:E665,3,FALSE),IF(Settings!$E$9="FANTRAX",VLOOKUP(B559,ADP!A1:E665,4,FALSE),VLOOKUP(B559,ADP!A1:E665,5,FALSE))))</f>
        <v>—</v>
      </c>
      <c r="N559" s="83" t="str">
        <f>IFERROR(M559-A559,"N/A")</f>
        <v>N/A</v>
      </c>
      <c r="O559" s="54"/>
      <c r="P559" s="55" t="str">
        <f>IF(Settings!$E$27="ON",VLOOKUP(B559,ADP!A1:H665,8,FALSE)," ")</f>
        <v xml:space="preserve"> </v>
      </c>
      <c r="Q559" s="56">
        <f>IF(Settings!$E$12="YES",VLOOKUP(B559,'Player Data'!A1:E667,5,FALSE),82)</f>
        <v>69.52</v>
      </c>
      <c r="R559" s="54">
        <f>VLOOKUP(B559,'Player Data'!$A1:$AE667,6,FALSE)</f>
        <v>12.477499161583999</v>
      </c>
      <c r="S559" s="56">
        <f>VLOOKUP(B559,'Player Data'!$A1:$AE667,7,FALSE)*$Q559*IFERROR((VLOOKUP(P559,Settings!$E$28:$F$33,2,FALSE)+1),1)</f>
        <v>13.140547962333985</v>
      </c>
      <c r="T559" s="56">
        <f>VLOOKUP(B559,'Player Data'!$A1:$AE667,8,FALSE)*$Q559*IFERROR((VLOOKUP(P559,Settings!$E$28:$F$33,2,FALSE)+1),1)</f>
        <v>11.191396828893389</v>
      </c>
      <c r="U559" s="56">
        <f>SUM(S559:T559)</f>
        <v>24.331944791227372</v>
      </c>
      <c r="V559" s="56">
        <f>VLOOKUP(B559,'Player Data'!$A1:$AE667,10,FALSE)*$Q559*IFERROR(((VLOOKUP(P559,Settings!$E$28:$F$33,2,FALSE)/2)+1),1)</f>
        <v>91.87816199399218</v>
      </c>
      <c r="W559" s="56">
        <f>VLOOKUP(B559,'Player Data'!$A1:$AE667,11,FALSE)*$Q559*IFERROR((VLOOKUP(P559,Settings!$E$28:$F$33,2,FALSE)+1),1)</f>
        <v>1.8928178406776215</v>
      </c>
      <c r="X559" s="56">
        <f>VLOOKUP(B559,'Player Data'!$A1:$AE667,12,FALSE)*$Q559*IFERROR((VLOOKUP(P559,Settings!$E$28:$F$33,2,FALSE)+1),1)</f>
        <v>4.4732417581760648</v>
      </c>
      <c r="Y559" s="56">
        <f>VLOOKUP(B559,'Player Data'!$A1:$AE667,13,FALSE)*$Q559</f>
        <v>1.5033052680871939E-2</v>
      </c>
      <c r="Z559" s="56">
        <f>VLOOKUP(B559,'Player Data'!$A1:$AE667,14,FALSE)*$Q559</f>
        <v>2.5415021974213418E-2</v>
      </c>
      <c r="AA559" s="56">
        <f>VLOOKUP(B559,'Player Data'!$A1:$AE667,15,FALSE)*$Q559</f>
        <v>30.714032033354137</v>
      </c>
      <c r="AB559" s="56">
        <f>VLOOKUP(B559,'Player Data'!$A1:$AE667,16,FALSE)*$Q559</f>
        <v>81.92831222814489</v>
      </c>
      <c r="AC559" s="56">
        <f>VLOOKUP(B559,'Player Data'!$A1:$AE667,17,FALSE)*$Q559*IFERROR((VLOOKUP(P559,Settings!$E$28:$F$33,2,FALSE)+1),1)</f>
        <v>-3.1844150489634693</v>
      </c>
      <c r="AD559" s="56">
        <f>VLOOKUP(B559,'Player Data'!$A1:$AE667,18,FALSE)*$Q559</f>
        <v>24.566223391892287</v>
      </c>
      <c r="AE559" s="56">
        <f>VLOOKUP(B559,'Player Data'!$A1:$AE667,19,FALSE)*$Q559*IFERROR((VLOOKUP(P559,Settings!$E$28:$F$33,2,FALSE)+1),1)</f>
        <v>1.5316563484404209</v>
      </c>
      <c r="AF559" s="56">
        <f>VLOOKUP(B559,'Player Data'!$A1:$AE667,20,FALSE)*$Q559</f>
        <v>56.584136375682327</v>
      </c>
      <c r="AG559" s="56">
        <f>VLOOKUP(B559,'Player Data'!$A1:$AE667,21,FALSE)*$Q559</f>
        <v>53.267814449209631</v>
      </c>
      <c r="AH559" s="58">
        <f>VLOOKUP(B559,'Player Data'!$A1:$AE667,22,FALSE)</f>
        <v>0.51509450629492703</v>
      </c>
      <c r="AI559" s="54"/>
      <c r="AJ559" s="64"/>
      <c r="AK559" s="56"/>
      <c r="AL559" s="56"/>
      <c r="AM559" s="56"/>
      <c r="AN559" s="56"/>
      <c r="AO559" s="56"/>
      <c r="AP559" s="56"/>
      <c r="AQ559" s="59"/>
      <c r="AR559" s="60"/>
      <c r="AS559" s="54"/>
    </row>
    <row r="560" spans="1:45" ht="21.25" customHeight="1" x14ac:dyDescent="0.15">
      <c r="A560" s="45">
        <f>RANK(K560,K$1:K$665)</f>
        <v>559</v>
      </c>
      <c r="B560" s="9" t="s">
        <v>685</v>
      </c>
      <c r="C560" s="46" t="s">
        <v>127</v>
      </c>
      <c r="D560" s="47" t="str">
        <f>VLOOKUP(B560,'Player Data'!A1:D667,4,FALSE)</f>
        <v>D</v>
      </c>
      <c r="E560" s="66">
        <f>VLOOKUP(B560,D!A1:C213,3,FALSE)</f>
        <v>209</v>
      </c>
      <c r="F560" s="72" t="str">
        <f>VLOOKUP(B560,'Player Data'!A1:B667,2,FALSE)</f>
        <v>NYI</v>
      </c>
      <c r="G560" s="69">
        <f>VLOOKUP(B560,'Player Data'!A1:D667,3,FALSE)</f>
        <v>23</v>
      </c>
      <c r="H560" s="67">
        <f>IFERROR(VLOOKUP(B560,ADP!A1:G665,7,FALSE)/1000000,VLOOKUP(B560,ADP!A1:G665,7,FALSE))</f>
        <v>0.8</v>
      </c>
      <c r="I560" s="51">
        <f>IF(Settings!$E$15="POINTS",((R560*Q560)*Settings!$B$12)+(S560*Settings!$B$2)+(T560*Settings!$B$3)+(U560*Settings!$B$4)+(V560*Settings!$B$5)+(X560*Settings!$B$9)+(AA560*Settings!$B$6)+(W560*Settings!$B$8)+(AB560*Settings!$B$7)+(AC560*Settings!$B$14)+(AD560*Settings!$B$15)+(AE560*Settings!$B$16)+(AF560*Settings!$B$17)+(AG560*Settings!$B$18)+(U560*Settings!$B$13)+(Y560*Settings!$B$10)+(Z560*Settings!$B$11),VLOOKUP(B560,'Standard Deviations'!A1:C666,3,FALSE))</f>
        <v>93.818448034286163</v>
      </c>
      <c r="J560" s="52">
        <f>IF(D560="G",I560/AJ560,I560/Q560)</f>
        <v>1.5105208184557424</v>
      </c>
      <c r="K560" s="51">
        <f>VLOOKUP(B560,D!A1:F213,6,FALSE)</f>
        <v>-242.41567701130873</v>
      </c>
      <c r="L560" s="53">
        <f>IFERROR(K560/H560,"N/A")</f>
        <v>-303.01959626413588</v>
      </c>
      <c r="M560" s="83" t="str">
        <f>IF(Settings!$E$9="YAHOO",VLOOKUP(B560,ADP!A1:E665,2,FALSE),IF(Settings!$E$9="ESPN",VLOOKUP(B560,ADP!A1:E665,3,FALSE),IF(Settings!$E$9="FANTRAX",VLOOKUP(B560,ADP!A1:E665,4,FALSE),VLOOKUP(B560,ADP!A1:E665,5,FALSE))))</f>
        <v>—</v>
      </c>
      <c r="N560" s="83" t="str">
        <f>IFERROR(M560-A560,"N/A")</f>
        <v>N/A</v>
      </c>
      <c r="O560" s="54"/>
      <c r="P560" s="55" t="str">
        <f>IF(Settings!$E$27="ON",VLOOKUP(B560,ADP!A1:H665,8,FALSE)," ")</f>
        <v xml:space="preserve"> </v>
      </c>
      <c r="Q560" s="56">
        <f>IF(Settings!$E$12="YES",VLOOKUP(B560,'Player Data'!A1:E667,5,FALSE),82)</f>
        <v>62.11</v>
      </c>
      <c r="R560" s="54">
        <f>VLOOKUP(B560,'Player Data'!$A1:$AE667,6,FALSE)</f>
        <v>13.1522150732896</v>
      </c>
      <c r="S560" s="56">
        <f>VLOOKUP(B560,'Player Data'!$A1:$AE667,7,FALSE)*$Q560*IFERROR((VLOOKUP(P560,Settings!$E$28:$F$33,2,FALSE)+1),1)</f>
        <v>3.2861267990929832</v>
      </c>
      <c r="T560" s="56">
        <f>VLOOKUP(B560,'Player Data'!$A1:$AE667,8,FALSE)*$Q560*IFERROR((VLOOKUP(P560,Settings!$E$28:$F$33,2,FALSE)+1),1)</f>
        <v>7.3434153395885389</v>
      </c>
      <c r="U560" s="56">
        <f>SUM(S560:T560)</f>
        <v>10.629542138681522</v>
      </c>
      <c r="V560" s="56">
        <f>VLOOKUP(B560,'Player Data'!$A1:$AE667,10,FALSE)*$Q560*IFERROR(((VLOOKUP(P560,Settings!$E$28:$F$33,2,FALSE)/2)+1),1)</f>
        <v>57.296843595773524</v>
      </c>
      <c r="W560" s="56">
        <f>VLOOKUP(B560,'Player Data'!$A1:$AE667,11,FALSE)*$Q560*IFERROR((VLOOKUP(P560,Settings!$E$28:$F$33,2,FALSE)+1),1)</f>
        <v>0.30213815124842563</v>
      </c>
      <c r="X560" s="56">
        <f>VLOOKUP(B560,'Player Data'!$A1:$AE667,12,FALSE)*$Q560*IFERROR((VLOOKUP(P560,Settings!$E$28:$F$33,2,FALSE)+1),1)</f>
        <v>0.72160962992831901</v>
      </c>
      <c r="Y560" s="56">
        <f>VLOOKUP(B560,'Player Data'!$A1:$AE667,13,FALSE)*$Q560</f>
        <v>7.3856290378465327E-3</v>
      </c>
      <c r="Z560" s="56">
        <f>VLOOKUP(B560,'Player Data'!$A1:$AE667,14,FALSE)*$Q560</f>
        <v>3.6803313737400249E-2</v>
      </c>
      <c r="AA560" s="56">
        <f>VLOOKUP(B560,'Player Data'!$A1:$AE667,15,FALSE)*$Q560</f>
        <v>65.045973753378263</v>
      </c>
      <c r="AB560" s="56">
        <f>VLOOKUP(B560,'Player Data'!$A1:$AE667,16,FALSE)*$Q560</f>
        <v>78.111700887464892</v>
      </c>
      <c r="AC560" s="56">
        <f>VLOOKUP(B560,'Player Data'!$A1:$AE667,17,FALSE)*$Q560*IFERROR((VLOOKUP(P560,Settings!$E$28:$F$33,2,FALSE)+1),1)</f>
        <v>1.1654327802380171</v>
      </c>
      <c r="AD560" s="56">
        <f>VLOOKUP(B560,'Player Data'!$A1:$AE667,18,FALSE)*$Q560</f>
        <v>15.638859482651721</v>
      </c>
      <c r="AE560" s="56">
        <f>VLOOKUP(B560,'Player Data'!$A1:$AE667,19,FALSE)*$Q560*IFERROR((VLOOKUP(P560,Settings!$E$28:$F$33,2,FALSE)+1),1)</f>
        <v>0.51644419871578451</v>
      </c>
      <c r="AF560" s="56">
        <f>VLOOKUP(B560,'Player Data'!$A1:$AE667,20,FALSE)*$Q560</f>
        <v>0</v>
      </c>
      <c r="AG560" s="56">
        <f>VLOOKUP(B560,'Player Data'!$A1:$AE667,21,FALSE)*$Q560</f>
        <v>0</v>
      </c>
      <c r="AH560" s="58">
        <f>VLOOKUP(B560,'Player Data'!$A1:$AE667,22,FALSE)</f>
        <v>0</v>
      </c>
      <c r="AI560" s="54"/>
      <c r="AJ560" s="64"/>
      <c r="AK560" s="56"/>
      <c r="AL560" s="56"/>
      <c r="AM560" s="56"/>
      <c r="AN560" s="56"/>
      <c r="AO560" s="56"/>
      <c r="AP560" s="56"/>
      <c r="AQ560" s="59"/>
      <c r="AR560" s="60"/>
      <c r="AS560" s="54"/>
    </row>
    <row r="561" spans="1:45" ht="21.25" customHeight="1" x14ac:dyDescent="0.15">
      <c r="A561" s="45">
        <f>RANK(K561,K$1:K$665)</f>
        <v>560</v>
      </c>
      <c r="B561" s="9" t="s">
        <v>686</v>
      </c>
      <c r="C561" s="46" t="s">
        <v>127</v>
      </c>
      <c r="D561" s="47" t="str">
        <f>VLOOKUP(B561,'Player Data'!A1:D667,4,FALSE)</f>
        <v>LW</v>
      </c>
      <c r="E561" s="70">
        <f>VLOOKUP(B561,LW!A1:C152,3,FALSE)</f>
        <v>129</v>
      </c>
      <c r="F561" s="71" t="str">
        <f>VLOOKUP(B561,'Player Data'!A1:B667,2,FALSE)</f>
        <v>NYR</v>
      </c>
      <c r="G561" s="63">
        <f>VLOOKUP(B561,'Player Data'!A1:D667,3,FALSE)</f>
        <v>31</v>
      </c>
      <c r="H561" s="67">
        <f>IFERROR(VLOOKUP(B561,ADP!A1:G665,7,FALSE)/1000000,VLOOKUP(B561,ADP!A1:G665,7,FALSE))</f>
        <v>0.8</v>
      </c>
      <c r="I561" s="51">
        <f>IF(Settings!$E$15="POINTS",((R561*Q561)*Settings!$B$12)+(S561*Settings!$B$2)+(T561*Settings!$B$3)+(U561*Settings!$B$4)+(V561*Settings!$B$5)+(X561*Settings!$B$9)+(AA561*Settings!$B$6)+(W561*Settings!$B$8)+(AB561*Settings!$B$7)+(AC561*Settings!$B$14)+(AD561*Settings!$B$15)+(AE561*Settings!$B$16)+(AF561*Settings!$B$17)+(AG561*Settings!$B$18)+(Y561*Settings!$B$10)+(Z561*Settings!$B$11),VLOOKUP(B561,'Standard Deviations'!A1:C666,3,FALSE))</f>
        <v>138.60599509845125</v>
      </c>
      <c r="J561" s="52">
        <f>IF(D561="G",I561/AJ561,I561/Q561)</f>
        <v>1.7296021849752143</v>
      </c>
      <c r="K561" s="51">
        <f>IF(Settings!$E$18="C/LW/RW",VLOOKUP(B561,LW!A1:F152,6,FALSE),VLOOKUP(B561,F!A1:F392,6,FALSE))</f>
        <v>-242.4555172040485</v>
      </c>
      <c r="L561" s="53">
        <f>IFERROR(K561/H561,"N/A")</f>
        <v>-303.06939650506064</v>
      </c>
      <c r="M561" s="83" t="str">
        <f>IF(Settings!$E$9="YAHOO",VLOOKUP(B561,ADP!A1:E665,2,FALSE),IF(Settings!$E$9="ESPN",VLOOKUP(B561,ADP!A1:E665,3,FALSE),IF(Settings!$E$9="FANTRAX",VLOOKUP(B561,ADP!A1:E665,4,FALSE),VLOOKUP(B561,ADP!A1:E665,5,FALSE))))</f>
        <v>—</v>
      </c>
      <c r="N561" s="83" t="str">
        <f>IFERROR(M561-A561,"N/A")</f>
        <v>N/A</v>
      </c>
      <c r="O561" s="54"/>
      <c r="P561" s="55" t="str">
        <f>IF(Settings!$E$27="ON",VLOOKUP(B561,ADP!A1:H665,8,FALSE)," ")</f>
        <v xml:space="preserve"> </v>
      </c>
      <c r="Q561" s="56">
        <f>IF(Settings!$E$12="YES",VLOOKUP(B561,'Player Data'!A1:E667,5,FALSE),82)</f>
        <v>80.137500000000003</v>
      </c>
      <c r="R561" s="54">
        <f>VLOOKUP(B561,'Player Data'!$A1:$AE667,6,FALSE)</f>
        <v>12.453006001601301</v>
      </c>
      <c r="S561" s="56">
        <f>VLOOKUP(B561,'Player Data'!$A1:$AE667,7,FALSE)*$Q561*IFERROR((VLOOKUP(P561,Settings!$E$28:$F$33,2,FALSE)+1),1)</f>
        <v>10.186044503157877</v>
      </c>
      <c r="T561" s="56">
        <f>VLOOKUP(B561,'Player Data'!$A1:$AE667,8,FALSE)*$Q561*IFERROR((VLOOKUP(P561,Settings!$E$28:$F$33,2,FALSE)+1),1)</f>
        <v>11.756744017568829</v>
      </c>
      <c r="U561" s="56">
        <f>SUM(S561:T561)</f>
        <v>21.942788520726708</v>
      </c>
      <c r="V561" s="56">
        <f>VLOOKUP(B561,'Player Data'!$A1:$AE667,10,FALSE)*$Q561*IFERROR(((VLOOKUP(P561,Settings!$E$28:$F$33,2,FALSE)/2)+1),1)</f>
        <v>111.50861148430418</v>
      </c>
      <c r="W561" s="56">
        <f>VLOOKUP(B561,'Player Data'!$A1:$AE667,11,FALSE)*$Q561*IFERROR((VLOOKUP(P561,Settings!$E$28:$F$33,2,FALSE)+1),1)</f>
        <v>0.18927375981538919</v>
      </c>
      <c r="X561" s="56">
        <f>VLOOKUP(B561,'Player Data'!$A1:$AE667,12,FALSE)*$Q561*IFERROR((VLOOKUP(P561,Settings!$E$28:$F$33,2,FALSE)+1),1)</f>
        <v>0.44167529303118974</v>
      </c>
      <c r="Y561" s="56">
        <f>VLOOKUP(B561,'Player Data'!$A1:$AE667,13,FALSE)*$Q561</f>
        <v>0.56038707651742647</v>
      </c>
      <c r="Z561" s="56">
        <f>VLOOKUP(B561,'Player Data'!$A1:$AE667,14,FALSE)*$Q561</f>
        <v>0.63076979338009853</v>
      </c>
      <c r="AA561" s="56">
        <f>VLOOKUP(B561,'Player Data'!$A1:$AE667,15,FALSE)*$Q561</f>
        <v>31.901757415415489</v>
      </c>
      <c r="AB561" s="56">
        <f>VLOOKUP(B561,'Player Data'!$A1:$AE667,16,FALSE)*$Q561</f>
        <v>86.632661652802071</v>
      </c>
      <c r="AC561" s="56">
        <f>VLOOKUP(B561,'Player Data'!$A1:$AE667,17,FALSE)*$Q561*IFERROR((VLOOKUP(P561,Settings!$E$28:$F$33,2,FALSE)+1),1)</f>
        <v>2.2323017251501645</v>
      </c>
      <c r="AD561" s="56">
        <f>VLOOKUP(B561,'Player Data'!$A1:$AE667,18,FALSE)*$Q561</f>
        <v>19.563231696124131</v>
      </c>
      <c r="AE561" s="56">
        <f>VLOOKUP(B561,'Player Data'!$A1:$AE667,19,FALSE)*$Q561*IFERROR((VLOOKUP(P561,Settings!$E$28:$F$33,2,FALSE)+1),1)</f>
        <v>1.664993557388843</v>
      </c>
      <c r="AF561" s="56">
        <f>VLOOKUP(B561,'Player Data'!$A1:$AE667,20,FALSE)*$Q561</f>
        <v>8.4666966380262849</v>
      </c>
      <c r="AG561" s="56">
        <f>VLOOKUP(B561,'Player Data'!$A1:$AE667,21,FALSE)*$Q561</f>
        <v>19.145625760375076</v>
      </c>
      <c r="AH561" s="58">
        <f>VLOOKUP(B561,'Player Data'!$A1:$AE667,22,FALSE)</f>
        <v>0.30662747290378001</v>
      </c>
      <c r="AI561" s="54"/>
      <c r="AJ561" s="56"/>
      <c r="AK561" s="56"/>
      <c r="AL561" s="56"/>
      <c r="AM561" s="56"/>
      <c r="AN561" s="56"/>
      <c r="AO561" s="56"/>
      <c r="AP561" s="56"/>
      <c r="AQ561" s="59"/>
      <c r="AR561" s="60"/>
      <c r="AS561" s="54"/>
    </row>
    <row r="562" spans="1:45" ht="21.25" customHeight="1" x14ac:dyDescent="0.15">
      <c r="A562" s="45">
        <f>RANK(K562,K$1:K$665)</f>
        <v>561</v>
      </c>
      <c r="B562" s="9" t="s">
        <v>687</v>
      </c>
      <c r="C562" s="46" t="s">
        <v>127</v>
      </c>
      <c r="D562" s="47" t="str">
        <f>VLOOKUP(B562,'Player Data'!A1:D667,4,FALSE)</f>
        <v>C</v>
      </c>
      <c r="E562" s="48">
        <f>VLOOKUP(B562,'C'!A1:C206,3,FALSE)</f>
        <v>153</v>
      </c>
      <c r="F562" s="74" t="str">
        <f>VLOOKUP(B562,'Player Data'!A1:B667,2,FALSE)</f>
        <v>PIT</v>
      </c>
      <c r="G562" s="10">
        <f>VLOOKUP(B562,'Player Data'!A1:D667,3,FALSE)</f>
        <v>25</v>
      </c>
      <c r="H562" s="67">
        <f>IFERROR(VLOOKUP(B562,ADP!A1:G665,7,FALSE)/1000000,VLOOKUP(B562,ADP!A1:G665,7,FALSE))</f>
        <v>2.5</v>
      </c>
      <c r="I562" s="51">
        <f>IF(Settings!$E$15="POINTS",((R562*Q562)*Settings!$B$12)+(S562*Settings!$B$2)+(T562*Settings!$B$3)+(U562*Settings!$B$4)+(V562*Settings!$B$5)+(X562*Settings!$B$9)+(AA562*Settings!$B$6)+(W562*Settings!$B$8)+(AB562*Settings!$B$7)+(AC562*Settings!$B$14)+(AD562*Settings!$B$15)+(AE562*Settings!$B$16)+(AF562*Settings!$B$17)+(AG562*Settings!$B$18)+(Y562*Settings!$B$10)+(Z562*Settings!$B$11),VLOOKUP(B562,'Standard Deviations'!A1:C666,3,FALSE))</f>
        <v>147.45374823644912</v>
      </c>
      <c r="J562" s="52">
        <f>IF(D562="G",I562/AJ562,I562/Q562)</f>
        <v>2.086289812690731</v>
      </c>
      <c r="K562" s="51">
        <f>IF(Settings!$E$18="C/LW/RW",VLOOKUP(B562,'C'!A1:F206,6,FALSE),VLOOKUP(B562,F!A1:F392,6,FALSE))</f>
        <v>-242.48340954163197</v>
      </c>
      <c r="L562" s="53">
        <f>IFERROR(K562/H562,"N/A")</f>
        <v>-96.993363816652789</v>
      </c>
      <c r="M562" s="83" t="str">
        <f>IF(Settings!$E$9="YAHOO",VLOOKUP(B562,ADP!A1:E665,2,FALSE),IF(Settings!$E$9="ESPN",VLOOKUP(B562,ADP!A1:E665,3,FALSE),IF(Settings!$E$9="FANTRAX",VLOOKUP(B562,ADP!A1:E665,4,FALSE),VLOOKUP(B562,ADP!A1:E665,5,FALSE))))</f>
        <v>—</v>
      </c>
      <c r="N562" s="83" t="str">
        <f>IFERROR(M562-A562,"N/A")</f>
        <v>N/A</v>
      </c>
      <c r="O562" s="54"/>
      <c r="P562" s="55" t="str">
        <f>IF(Settings!$E$27="ON",VLOOKUP(B562,ADP!A1:H665,8,FALSE)," ")</f>
        <v xml:space="preserve"> </v>
      </c>
      <c r="Q562" s="56">
        <f>IF(Settings!$E$12="YES",VLOOKUP(B562,'Player Data'!A1:E667,5,FALSE),82)</f>
        <v>70.677499999999995</v>
      </c>
      <c r="R562" s="81">
        <f>VLOOKUP(B562,'Player Data'!$A1:$AE667,6,FALSE)</f>
        <v>12.156528630640199</v>
      </c>
      <c r="S562" s="56">
        <f>VLOOKUP(B562,'Player Data'!$A1:$AE667,7,FALSE)*$Q562*IFERROR((VLOOKUP(P562,Settings!$E$28:$F$33,2,FALSE)+1),1)</f>
        <v>9.8900327937696115</v>
      </c>
      <c r="T562" s="56">
        <f>VLOOKUP(B562,'Player Data'!$A1:$AE667,8,FALSE)*$Q562*IFERROR((VLOOKUP(P562,Settings!$E$28:$F$33,2,FALSE)+1),1)</f>
        <v>14.781054479873138</v>
      </c>
      <c r="U562" s="56">
        <f>SUM(S562:T562)</f>
        <v>24.671087273642748</v>
      </c>
      <c r="V562" s="56">
        <f>VLOOKUP(B562,'Player Data'!$A1:$AE667,10,FALSE)*$Q562*IFERROR(((VLOOKUP(P562,Settings!$E$28:$F$33,2,FALSE)/2)+1),1)</f>
        <v>110.00839973742966</v>
      </c>
      <c r="W562" s="56">
        <f>VLOOKUP(B562,'Player Data'!$A1:$AE667,11,FALSE)*$Q562*IFERROR((VLOOKUP(P562,Settings!$E$28:$F$33,2,FALSE)+1),1)</f>
        <v>1.3985046042342302</v>
      </c>
      <c r="X562" s="56">
        <f>VLOOKUP(B562,'Player Data'!$A1:$AE667,12,FALSE)*$Q562*IFERROR((VLOOKUP(P562,Settings!$E$28:$F$33,2,FALSE)+1),1)</f>
        <v>2.713480353653456</v>
      </c>
      <c r="Y562" s="56">
        <f>VLOOKUP(B562,'Player Data'!$A1:$AE667,13,FALSE)*$Q562</f>
        <v>2.9436401504041351E-2</v>
      </c>
      <c r="Z562" s="56">
        <f>VLOOKUP(B562,'Player Data'!$A1:$AE667,14,FALSE)*$Q562</f>
        <v>4.9777590420565496E-2</v>
      </c>
      <c r="AA562" s="56">
        <f>VLOOKUP(B562,'Player Data'!$A1:$AE667,15,FALSE)*$Q562</f>
        <v>31.346057205463957</v>
      </c>
      <c r="AB562" s="56">
        <f>VLOOKUP(B562,'Player Data'!$A1:$AE667,16,FALSE)*$Q562</f>
        <v>59.797232836083374</v>
      </c>
      <c r="AC562" s="56">
        <f>VLOOKUP(B562,'Player Data'!$A1:$AE667,17,FALSE)*$Q562*IFERROR((VLOOKUP(P562,Settings!$E$28:$F$33,2,FALSE)+1),1)</f>
        <v>0.65972601438052259</v>
      </c>
      <c r="AD562" s="56">
        <f>VLOOKUP(B562,'Player Data'!$A1:$AE667,18,FALSE)*$Q562</f>
        <v>21.964874808378539</v>
      </c>
      <c r="AE562" s="56">
        <f>VLOOKUP(B562,'Player Data'!$A1:$AE667,19,FALSE)*$Q562*IFERROR((VLOOKUP(P562,Settings!$E$28:$F$33,2,FALSE)+1),1)</f>
        <v>1.4661271642985632</v>
      </c>
      <c r="AF562" s="56">
        <f>VLOOKUP(B562,'Player Data'!$A1:$AE667,20,FALSE)*$Q562</f>
        <v>197.21064010875929</v>
      </c>
      <c r="AG562" s="56">
        <f>VLOOKUP(B562,'Player Data'!$A1:$AE667,21,FALSE)*$Q562</f>
        <v>214.96308766537464</v>
      </c>
      <c r="AH562" s="58">
        <f>VLOOKUP(B562,'Player Data'!$A1:$AE667,22,FALSE)</f>
        <v>0.47846484824192398</v>
      </c>
      <c r="AI562" s="54"/>
      <c r="AJ562" s="64"/>
      <c r="AK562" s="56"/>
      <c r="AL562" s="56"/>
      <c r="AM562" s="56"/>
      <c r="AN562" s="56"/>
      <c r="AO562" s="56"/>
      <c r="AP562" s="56"/>
      <c r="AQ562" s="59"/>
      <c r="AR562" s="60"/>
      <c r="AS562" s="54"/>
    </row>
    <row r="563" spans="1:45" ht="21.25" customHeight="1" x14ac:dyDescent="0.15">
      <c r="A563" s="45">
        <f>RANK(K563,K$1:K$665)</f>
        <v>562</v>
      </c>
      <c r="B563" s="9" t="s">
        <v>688</v>
      </c>
      <c r="C563" s="46" t="s">
        <v>127</v>
      </c>
      <c r="D563" s="47" t="str">
        <f>VLOOKUP(B563,'Player Data'!A1:D667,4,FALSE)</f>
        <v>RW</v>
      </c>
      <c r="E563" s="61">
        <f>VLOOKUP(B563,RW!A1:F136,3,FALSE)</f>
        <v>113</v>
      </c>
      <c r="F563" s="77" t="str">
        <f>VLOOKUP(B563,'Player Data'!A1:B667,2,FALSE)</f>
        <v>CBJ</v>
      </c>
      <c r="G563" s="63">
        <f>VLOOKUP(B563,'Player Data'!A1:D667,3,FALSE)</f>
        <v>31</v>
      </c>
      <c r="H563" s="67">
        <f>IFERROR(VLOOKUP(B563,ADP!A1:G665,7,FALSE)/1000000,VLOOKUP(B563,ADP!A1:G665,7,FALSE))</f>
        <v>1.1000000000000001</v>
      </c>
      <c r="I563" s="51">
        <f>IF(Settings!$E$15="POINTS",((R563*Q563)*Settings!$B$12)+(S563*Settings!$B$2)+(T563*Settings!$B$3)+(U563*Settings!$B$4)+(V563*Settings!$B$5)+(X563*Settings!$B$9)+(AA563*Settings!$B$6)+(W563*Settings!$B$8)+(AB563*Settings!$B$7)+(AC563*Settings!$B$14)+(AD563*Settings!$B$15)+(AE563*Settings!$B$16)+(AF563*Settings!$B$17)+(AG563*Settings!$B$18)+(Y563*Settings!$B$10)+(Z563*Settings!$B$11),VLOOKUP(B563,'Standard Deviations'!A1:C666,3,FALSE))</f>
        <v>126.25859527639115</v>
      </c>
      <c r="J563" s="52">
        <f>IF(D563="G",I563/AJ563,I563/Q563)</f>
        <v>1.9151127416691238</v>
      </c>
      <c r="K563" s="51">
        <f>IF(Settings!$E$18="C/LW/RW",VLOOKUP(B563,RW!A1:F136,6,FALSE),VLOOKUP(B563,F!A1:F392,6,FALSE))</f>
        <v>-242.58912782990126</v>
      </c>
      <c r="L563" s="53">
        <f>IFERROR(K563/H563,"N/A")</f>
        <v>-220.53557075445568</v>
      </c>
      <c r="M563" s="83" t="str">
        <f>IF(Settings!$E$9="YAHOO",VLOOKUP(B563,ADP!A1:E665,2,FALSE),IF(Settings!$E$9="ESPN",VLOOKUP(B563,ADP!A1:E665,3,FALSE),IF(Settings!$E$9="FANTRAX",VLOOKUP(B563,ADP!A1:E665,4,FALSE),VLOOKUP(B563,ADP!A1:E665,5,FALSE))))</f>
        <v>—</v>
      </c>
      <c r="N563" s="83" t="str">
        <f>IFERROR(M563-A563,"N/A")</f>
        <v>N/A</v>
      </c>
      <c r="O563" s="54"/>
      <c r="P563" s="55" t="str">
        <f>IF(Settings!$E$27="ON",VLOOKUP(B563,ADP!A1:H665,8,FALSE)," ")</f>
        <v xml:space="preserve"> </v>
      </c>
      <c r="Q563" s="56">
        <f>IF(Settings!$E$12="YES",VLOOKUP(B563,'Player Data'!A1:E667,5,FALSE),82)</f>
        <v>65.927499999999995</v>
      </c>
      <c r="R563" s="54">
        <f>VLOOKUP(B563,'Player Data'!$A1:$AE667,6,FALSE)</f>
        <v>13.6498163305888</v>
      </c>
      <c r="S563" s="56">
        <f>VLOOKUP(B563,'Player Data'!$A1:$AE667,7,FALSE)*$Q563*IFERROR((VLOOKUP(P563,Settings!$E$28:$F$33,2,FALSE)+1),1)</f>
        <v>9.5430174757561606</v>
      </c>
      <c r="T563" s="56">
        <f>VLOOKUP(B563,'Player Data'!$A1:$AE667,8,FALSE)*$Q563*IFERROR((VLOOKUP(P563,Settings!$E$28:$F$33,2,FALSE)+1),1)</f>
        <v>12.050656342257367</v>
      </c>
      <c r="U563" s="56">
        <f>SUM(S563:T563)</f>
        <v>21.593673818013528</v>
      </c>
      <c r="V563" s="56">
        <f>VLOOKUP(B563,'Player Data'!$A1:$AE667,10,FALSE)*$Q563*IFERROR(((VLOOKUP(P563,Settings!$E$28:$F$33,2,FALSE)/2)+1),1)</f>
        <v>81.957018044006958</v>
      </c>
      <c r="W563" s="56">
        <f>VLOOKUP(B563,'Player Data'!$A1:$AE667,11,FALSE)*$Q563*IFERROR((VLOOKUP(P563,Settings!$E$28:$F$33,2,FALSE)+1),1)</f>
        <v>0.16542670881187807</v>
      </c>
      <c r="X563" s="56">
        <f>VLOOKUP(B563,'Player Data'!$A1:$AE667,12,FALSE)*$Q563*IFERROR((VLOOKUP(P563,Settings!$E$28:$F$33,2,FALSE)+1),1)</f>
        <v>0.43429748415405578</v>
      </c>
      <c r="Y563" s="56">
        <f>VLOOKUP(B563,'Player Data'!$A1:$AE667,13,FALSE)*$Q563</f>
        <v>0.13804182478755866</v>
      </c>
      <c r="Z563" s="56">
        <f>VLOOKUP(B563,'Player Data'!$A1:$AE667,14,FALSE)*$Q563</f>
        <v>0.23674057942240295</v>
      </c>
      <c r="AA563" s="56">
        <f>VLOOKUP(B563,'Player Data'!$A1:$AE667,15,FALSE)*$Q563</f>
        <v>39.656053473541249</v>
      </c>
      <c r="AB563" s="56">
        <f>VLOOKUP(B563,'Player Data'!$A1:$AE667,16,FALSE)*$Q563</f>
        <v>95.364945783709828</v>
      </c>
      <c r="AC563" s="56">
        <f>VLOOKUP(B563,'Player Data'!$A1:$AE667,17,FALSE)*$Q563*IFERROR((VLOOKUP(P563,Settings!$E$28:$F$33,2,FALSE)+1),1)</f>
        <v>-5.7804069447347226</v>
      </c>
      <c r="AD563" s="56">
        <f>VLOOKUP(B563,'Player Data'!$A1:$AE667,18,FALSE)*$Q563</f>
        <v>18.521846682590049</v>
      </c>
      <c r="AE563" s="56">
        <f>VLOOKUP(B563,'Player Data'!$A1:$AE667,19,FALSE)*$Q563*IFERROR((VLOOKUP(P563,Settings!$E$28:$F$33,2,FALSE)+1),1)</f>
        <v>1.0553083763099111</v>
      </c>
      <c r="AF563" s="56">
        <f>VLOOKUP(B563,'Player Data'!$A1:$AE667,20,FALSE)*$Q563</f>
        <v>153.7083319060639</v>
      </c>
      <c r="AG563" s="56">
        <f>VLOOKUP(B563,'Player Data'!$A1:$AE667,21,FALSE)*$Q563</f>
        <v>160.78016954494703</v>
      </c>
      <c r="AH563" s="58">
        <f>VLOOKUP(B563,'Player Data'!$A1:$AE667,22,FALSE)</f>
        <v>0.488756603808638</v>
      </c>
      <c r="AI563" s="54"/>
      <c r="AJ563" s="56"/>
      <c r="AK563" s="56"/>
      <c r="AL563" s="56"/>
      <c r="AM563" s="56"/>
      <c r="AN563" s="56"/>
      <c r="AO563" s="56"/>
      <c r="AP563" s="56"/>
      <c r="AQ563" s="59"/>
      <c r="AR563" s="60"/>
      <c r="AS563" s="54"/>
    </row>
    <row r="564" spans="1:45" ht="21.25" customHeight="1" x14ac:dyDescent="0.15">
      <c r="A564" s="45">
        <f>RANK(K564,K$1:K$665)</f>
        <v>563</v>
      </c>
      <c r="B564" s="9" t="s">
        <v>689</v>
      </c>
      <c r="C564" s="46" t="s">
        <v>127</v>
      </c>
      <c r="D564" s="47" t="str">
        <f>VLOOKUP(B564,'Player Data'!A1:D667,4,FALSE)</f>
        <v>C</v>
      </c>
      <c r="E564" s="48">
        <f>VLOOKUP(B564,'C'!A1:C206,3,FALSE)</f>
        <v>154</v>
      </c>
      <c r="F564" s="65" t="str">
        <f>VLOOKUP(B564,'Player Data'!A1:B667,2,FALSE)</f>
        <v>TOR</v>
      </c>
      <c r="G564" s="63">
        <f>VLOOKUP(B564,'Player Data'!A1:D667,3,FALSE)</f>
        <v>32</v>
      </c>
      <c r="H564" s="50">
        <f>IFERROR(VLOOKUP(B564,ADP!A1:G665,7,FALSE)/1000000,VLOOKUP(B564,ADP!A1:G665,7,FALSE))</f>
        <v>2.1</v>
      </c>
      <c r="I564" s="51">
        <f>IF(Settings!$E$15="POINTS",((R564*Q564)*Settings!$B$12)+(S564*Settings!$B$2)+(T564*Settings!$B$3)+(U564*Settings!$B$4)+(V564*Settings!$B$5)+(X564*Settings!$B$9)+(AA564*Settings!$B$6)+(W564*Settings!$B$8)+(AB564*Settings!$B$7)+(AC564*Settings!$B$14)+(AD564*Settings!$B$15)+(AE564*Settings!$B$16)+(AF564*Settings!$B$17)+(AG564*Settings!$B$18)+(Y564*Settings!$B$10)+(Z564*Settings!$B$11),VLOOKUP(B564,'Standard Deviations'!A1:C666,3,FALSE))</f>
        <v>146.80606910568514</v>
      </c>
      <c r="J564" s="52">
        <f>IF(D564="G",I564/AJ564,I564/Q564)</f>
        <v>1.9874243626180002</v>
      </c>
      <c r="K564" s="51">
        <f>IF(Settings!$E$18="C/LW/RW",VLOOKUP(B564,'C'!A1:F206,6,FALSE),VLOOKUP(B564,F!A1:F392,6,FALSE))</f>
        <v>-243.13108867239595</v>
      </c>
      <c r="L564" s="53">
        <f>IFERROR(K564/H564,"N/A")</f>
        <v>-115.77670889161712</v>
      </c>
      <c r="M564" s="83" t="str">
        <f>IF(Settings!$E$9="YAHOO",VLOOKUP(B564,ADP!A1:E665,2,FALSE),IF(Settings!$E$9="ESPN",VLOOKUP(B564,ADP!A1:E665,3,FALSE),IF(Settings!$E$9="FANTRAX",VLOOKUP(B564,ADP!A1:E665,4,FALSE),VLOOKUP(B564,ADP!A1:E665,5,FALSE))))</f>
        <v>—</v>
      </c>
      <c r="N564" s="83" t="str">
        <f>IFERROR(M564-A564,"N/A")</f>
        <v>N/A</v>
      </c>
      <c r="O564" s="54"/>
      <c r="P564" s="55" t="str">
        <f>IF(Settings!$E$27="ON",VLOOKUP(B564,ADP!A1:H665,8,FALSE)," ")</f>
        <v xml:space="preserve"> </v>
      </c>
      <c r="Q564" s="56">
        <f>IF(Settings!$E$12="YES",VLOOKUP(B564,'Player Data'!A1:E667,5,FALSE),82)</f>
        <v>73.867500000000007</v>
      </c>
      <c r="R564" s="81">
        <f>VLOOKUP(B564,'Player Data'!$A1:$AE667,6,FALSE)</f>
        <v>13.9248461685564</v>
      </c>
      <c r="S564" s="56">
        <f>VLOOKUP(B564,'Player Data'!$A1:$AE667,7,FALSE)*$Q564*IFERROR((VLOOKUP(P564,Settings!$E$28:$F$33,2,FALSE)+1),1)</f>
        <v>12.554787069464599</v>
      </c>
      <c r="T564" s="56">
        <f>VLOOKUP(B564,'Player Data'!$A1:$AE667,8,FALSE)*$Q564*IFERROR((VLOOKUP(P564,Settings!$E$28:$F$33,2,FALSE)+1),1)</f>
        <v>14.017859146047648</v>
      </c>
      <c r="U564" s="56">
        <f>SUM(S564:T564)</f>
        <v>26.572646215512247</v>
      </c>
      <c r="V564" s="56">
        <f>VLOOKUP(B564,'Player Data'!$A1:$AE667,10,FALSE)*$Q564*IFERROR(((VLOOKUP(P564,Settings!$E$28:$F$33,2,FALSE)/2)+1),1)</f>
        <v>107.32556329986386</v>
      </c>
      <c r="W564" s="56">
        <f>VLOOKUP(B564,'Player Data'!$A1:$AE667,11,FALSE)*$Q564*IFERROR((VLOOKUP(P564,Settings!$E$28:$F$33,2,FALSE)+1),1)</f>
        <v>0.4269905478515042</v>
      </c>
      <c r="X564" s="56">
        <f>VLOOKUP(B564,'Player Data'!$A1:$AE667,12,FALSE)*$Q564*IFERROR((VLOOKUP(P564,Settings!$E$28:$F$33,2,FALSE)+1),1)</f>
        <v>1.0429934805258156</v>
      </c>
      <c r="Y564" s="56">
        <f>VLOOKUP(B564,'Player Data'!$A1:$AE667,13,FALSE)*$Q564</f>
        <v>0.81604408086104674</v>
      </c>
      <c r="Z564" s="56">
        <f>VLOOKUP(B564,'Player Data'!$A1:$AE667,14,FALSE)*$Q564</f>
        <v>1.425823460460476</v>
      </c>
      <c r="AA564" s="56">
        <f>VLOOKUP(B564,'Player Data'!$A1:$AE667,15,FALSE)*$Q564</f>
        <v>21.913063736460423</v>
      </c>
      <c r="AB564" s="56">
        <f>VLOOKUP(B564,'Player Data'!$A1:$AE667,16,FALSE)*$Q564</f>
        <v>70.291499704257603</v>
      </c>
      <c r="AC564" s="56">
        <f>VLOOKUP(B564,'Player Data'!$A1:$AE667,17,FALSE)*$Q564*IFERROR((VLOOKUP(P564,Settings!$E$28:$F$33,2,FALSE)+1),1)</f>
        <v>5.8149786722024999</v>
      </c>
      <c r="AD564" s="56">
        <f>VLOOKUP(B564,'Player Data'!$A1:$AE667,18,FALSE)*$Q564</f>
        <v>17.915691103702745</v>
      </c>
      <c r="AE564" s="56">
        <f>VLOOKUP(B564,'Player Data'!$A1:$AE667,19,FALSE)*$Q564*IFERROR((VLOOKUP(P564,Settings!$E$28:$F$33,2,FALSE)+1),1)</f>
        <v>2.0085408790058503</v>
      </c>
      <c r="AF564" s="56">
        <f>VLOOKUP(B564,'Player Data'!$A1:$AE667,20,FALSE)*$Q564</f>
        <v>99.612236027225507</v>
      </c>
      <c r="AG564" s="56">
        <f>VLOOKUP(B564,'Player Data'!$A1:$AE667,21,FALSE)*$Q564</f>
        <v>107.77368379875318</v>
      </c>
      <c r="AH564" s="58">
        <f>VLOOKUP(B564,'Player Data'!$A1:$AE667,22,FALSE)</f>
        <v>0.48032304271578202</v>
      </c>
      <c r="AI564" s="54"/>
      <c r="AJ564" s="56"/>
      <c r="AK564" s="56"/>
      <c r="AL564" s="56"/>
      <c r="AM564" s="56"/>
      <c r="AN564" s="56"/>
      <c r="AO564" s="56"/>
      <c r="AP564" s="56"/>
      <c r="AQ564" s="59"/>
      <c r="AR564" s="60"/>
      <c r="AS564" s="54"/>
    </row>
    <row r="565" spans="1:45" ht="21.25" customHeight="1" x14ac:dyDescent="0.15">
      <c r="A565" s="45">
        <f>RANK(K565,K$1:K$665)</f>
        <v>564</v>
      </c>
      <c r="B565" s="9" t="s">
        <v>690</v>
      </c>
      <c r="C565" s="46" t="s">
        <v>127</v>
      </c>
      <c r="D565" s="47" t="str">
        <f>VLOOKUP(B565,'Player Data'!A1:D667,4,FALSE)</f>
        <v>RW</v>
      </c>
      <c r="E565" s="61">
        <f>VLOOKUP(B565,RW!A1:F136,3,FALSE)</f>
        <v>114</v>
      </c>
      <c r="F565" s="72" t="str">
        <f>VLOOKUP(B565,'Player Data'!A1:B667,2,FALSE)</f>
        <v>NYI</v>
      </c>
      <c r="G565" s="69">
        <f>VLOOKUP(B565,'Player Data'!A1:D667,3,FALSE)</f>
        <v>23</v>
      </c>
      <c r="H565" s="65" t="str">
        <f>IFERROR(VLOOKUP(B565,ADP!A1:G665,7,FALSE)/1000000,VLOOKUP(B565,ADP!A1:G665,7,FALSE))</f>
        <v>RFA</v>
      </c>
      <c r="I565" s="51">
        <f>IF(Settings!$E$15="POINTS",((R565*Q565)*Settings!$B$12)+(S565*Settings!$B$2)+(T565*Settings!$B$3)+(U565*Settings!$B$4)+(V565*Settings!$B$5)+(X565*Settings!$B$9)+(AA565*Settings!$B$6)+(W565*Settings!$B$8)+(AB565*Settings!$B$7)+(AC565*Settings!$B$14)+(AD565*Settings!$B$15)+(AE565*Settings!$B$16)+(AF565*Settings!$B$17)+(AG565*Settings!$B$18)+(Y565*Settings!$B$10)+(Z565*Settings!$B$11),VLOOKUP(B565,'Standard Deviations'!A1:C666,3,FALSE))</f>
        <v>125.65374754645173</v>
      </c>
      <c r="J565" s="52">
        <f>IF(D565="G",I565/AJ565,I565/Q565)</f>
        <v>1.7168744327440031</v>
      </c>
      <c r="K565" s="51">
        <f>IF(Settings!$E$18="C/LW/RW",VLOOKUP(B565,RW!A1:F136,6,FALSE),VLOOKUP(B565,F!A1:F392,6,FALSE))</f>
        <v>-243.19397555984068</v>
      </c>
      <c r="L565" s="76" t="str">
        <f>IFERROR(K565/H565,"N/A")</f>
        <v>N/A</v>
      </c>
      <c r="M565" s="83" t="str">
        <f>IF(Settings!$E$9="YAHOO",VLOOKUP(B565,ADP!A1:E665,2,FALSE),IF(Settings!$E$9="ESPN",VLOOKUP(B565,ADP!A1:E665,3,FALSE),IF(Settings!$E$9="FANTRAX",VLOOKUP(B565,ADP!A1:E665,4,FALSE),VLOOKUP(B565,ADP!A1:E665,5,FALSE))))</f>
        <v>—</v>
      </c>
      <c r="N565" s="83" t="str">
        <f>IFERROR(M565-A565,"N/A")</f>
        <v>N/A</v>
      </c>
      <c r="O565" s="54"/>
      <c r="P565" s="55" t="str">
        <f>IF(Settings!$E$27="ON",VLOOKUP(B565,ADP!A1:H665,8,FALSE)," ")</f>
        <v xml:space="preserve"> </v>
      </c>
      <c r="Q565" s="56">
        <f>IF(Settings!$E$12="YES",VLOOKUP(B565,'Player Data'!A1:E667,5,FALSE),82)</f>
        <v>73.1875</v>
      </c>
      <c r="R565" s="54">
        <f>VLOOKUP(B565,'Player Data'!$A1:$AE667,6,FALSE)</f>
        <v>12.787452293363</v>
      </c>
      <c r="S565" s="56">
        <f>VLOOKUP(B565,'Player Data'!$A1:$AE667,7,FALSE)*$Q565*IFERROR((VLOOKUP(P565,Settings!$E$28:$F$33,2,FALSE)+1),1)</f>
        <v>11.895680218614858</v>
      </c>
      <c r="T565" s="56">
        <f>VLOOKUP(B565,'Player Data'!$A1:$AE667,8,FALSE)*$Q565*IFERROR((VLOOKUP(P565,Settings!$E$28:$F$33,2,FALSE)+1),1)</f>
        <v>9.0015842675994033</v>
      </c>
      <c r="U565" s="56">
        <f>SUM(S565:T565)</f>
        <v>20.897264486214262</v>
      </c>
      <c r="V565" s="56">
        <f>VLOOKUP(B565,'Player Data'!$A1:$AE667,10,FALSE)*$Q565*IFERROR(((VLOOKUP(P565,Settings!$E$28:$F$33,2,FALSE)/2)+1),1)</f>
        <v>72.652660515498425</v>
      </c>
      <c r="W565" s="56">
        <f>VLOOKUP(B565,'Player Data'!$A1:$AE667,11,FALSE)*$Q565*IFERROR((VLOOKUP(P565,Settings!$E$28:$F$33,2,FALSE)+1),1)</f>
        <v>5.6093779131319223E-2</v>
      </c>
      <c r="X565" s="56">
        <f>VLOOKUP(B565,'Player Data'!$A1:$AE667,12,FALSE)*$Q565*IFERROR((VLOOKUP(P565,Settings!$E$28:$F$33,2,FALSE)+1),1)</f>
        <v>0.13153611117271846</v>
      </c>
      <c r="Y565" s="56">
        <f>VLOOKUP(B565,'Player Data'!$A1:$AE667,13,FALSE)*$Q565</f>
        <v>3.7589363255180395</v>
      </c>
      <c r="Z565" s="56">
        <f>VLOOKUP(B565,'Player Data'!$A1:$AE667,14,FALSE)*$Q565</f>
        <v>5.4779086963562644</v>
      </c>
      <c r="AA565" s="56">
        <f>VLOOKUP(B565,'Player Data'!$A1:$AE667,15,FALSE)*$Q565</f>
        <v>42.052358045061489</v>
      </c>
      <c r="AB565" s="56">
        <f>VLOOKUP(B565,'Player Data'!$A1:$AE667,16,FALSE)*$Q565</f>
        <v>27.969778773866487</v>
      </c>
      <c r="AC565" s="56">
        <f>VLOOKUP(B565,'Player Data'!$A1:$AE667,17,FALSE)*$Q565*IFERROR((VLOOKUP(P565,Settings!$E$28:$F$33,2,FALSE)+1),1)</f>
        <v>-4.7370115249259284E-2</v>
      </c>
      <c r="AD565" s="56">
        <f>VLOOKUP(B565,'Player Data'!$A1:$AE667,18,FALSE)*$Q565</f>
        <v>14.449379414299704</v>
      </c>
      <c r="AE565" s="56">
        <f>VLOOKUP(B565,'Player Data'!$A1:$AE667,19,FALSE)*$Q565*IFERROR((VLOOKUP(P565,Settings!$E$28:$F$33,2,FALSE)+1),1)</f>
        <v>1.8695124729750079</v>
      </c>
      <c r="AF565" s="56">
        <f>VLOOKUP(B565,'Player Data'!$A1:$AE667,20,FALSE)*$Q565</f>
        <v>3.5659432189413525</v>
      </c>
      <c r="AG565" s="56">
        <f>VLOOKUP(B565,'Player Data'!$A1:$AE667,21,FALSE)*$Q565</f>
        <v>12.929374163771621</v>
      </c>
      <c r="AH565" s="58">
        <f>VLOOKUP(B565,'Player Data'!$A1:$AE667,22,FALSE)</f>
        <v>0.21617912139589701</v>
      </c>
      <c r="AI565" s="54"/>
      <c r="AJ565" s="64"/>
      <c r="AK565" s="56"/>
      <c r="AL565" s="56"/>
      <c r="AM565" s="56"/>
      <c r="AN565" s="56"/>
      <c r="AO565" s="56"/>
      <c r="AP565" s="56"/>
      <c r="AQ565" s="59"/>
      <c r="AR565" s="60"/>
      <c r="AS565" s="54"/>
    </row>
    <row r="566" spans="1:45" ht="21.25" customHeight="1" x14ac:dyDescent="0.15">
      <c r="A566" s="45">
        <f>RANK(K566,K$1:K$665)</f>
        <v>565</v>
      </c>
      <c r="B566" s="9" t="s">
        <v>691</v>
      </c>
      <c r="C566" s="46" t="s">
        <v>127</v>
      </c>
      <c r="D566" s="47" t="str">
        <f>VLOOKUP(B566,'Player Data'!A1:D667,4,FALSE)</f>
        <v>C</v>
      </c>
      <c r="E566" s="48">
        <f>VLOOKUP(B566,'C'!A1:C206,3,FALSE)</f>
        <v>155</v>
      </c>
      <c r="F566" s="62" t="str">
        <f>VLOOKUP(B566,'Player Data'!A1:B667,2,FALSE)</f>
        <v>MTL</v>
      </c>
      <c r="G566" s="10">
        <f>VLOOKUP(B566,'Player Data'!A1:D667,3,FALSE)</f>
        <v>28</v>
      </c>
      <c r="H566" s="67">
        <f>IFERROR(VLOOKUP(B566,ADP!A1:G665,7,FALSE)/1000000,VLOOKUP(B566,ADP!A1:G665,7,FALSE))</f>
        <v>1.7</v>
      </c>
      <c r="I566" s="51">
        <f>IF(Settings!$E$15="POINTS",((R566*Q566)*Settings!$B$12)+(S566*Settings!$B$2)+(T566*Settings!$B$3)+(U566*Settings!$B$4)+(V566*Settings!$B$5)+(X566*Settings!$B$9)+(AA566*Settings!$B$6)+(W566*Settings!$B$8)+(AB566*Settings!$B$7)+(AC566*Settings!$B$14)+(AD566*Settings!$B$15)+(AE566*Settings!$B$16)+(AF566*Settings!$B$17)+(AG566*Settings!$B$18)+(Y566*Settings!$B$10)+(Z566*Settings!$B$11),VLOOKUP(B566,'Standard Deviations'!A1:C666,3,FALSE))</f>
        <v>145.93504672908088</v>
      </c>
      <c r="J566" s="52">
        <f>IF(D566="G",I566/AJ566,I566/Q566)</f>
        <v>1.8908402012060233</v>
      </c>
      <c r="K566" s="51">
        <f>IF(Settings!$E$18="C/LW/RW",VLOOKUP(B566,'C'!A1:F206,6,FALSE),VLOOKUP(B566,F!A1:F392,6,FALSE))</f>
        <v>-244.00211104900021</v>
      </c>
      <c r="L566" s="53">
        <f>IFERROR(K566/H566,"N/A")</f>
        <v>-143.53065355823543</v>
      </c>
      <c r="M566" s="83" t="str">
        <f>IF(Settings!$E$9="YAHOO",VLOOKUP(B566,ADP!A1:E665,2,FALSE),IF(Settings!$E$9="ESPN",VLOOKUP(B566,ADP!A1:E665,3,FALSE),IF(Settings!$E$9="FANTRAX",VLOOKUP(B566,ADP!A1:E665,4,FALSE),VLOOKUP(B566,ADP!A1:E665,5,FALSE))))</f>
        <v>—</v>
      </c>
      <c r="N566" s="83" t="str">
        <f>IFERROR(M566-A566,"N/A")</f>
        <v>N/A</v>
      </c>
      <c r="O566" s="54"/>
      <c r="P566" s="55" t="str">
        <f>IF(Settings!$E$27="ON",VLOOKUP(B566,ADP!A1:H665,8,FALSE)," ")</f>
        <v xml:space="preserve"> </v>
      </c>
      <c r="Q566" s="56">
        <f>IF(Settings!$E$12="YES",VLOOKUP(B566,'Player Data'!A1:E667,5,FALSE),82)</f>
        <v>77.180000000000007</v>
      </c>
      <c r="R566" s="81">
        <f>VLOOKUP(B566,'Player Data'!$A1:$AE667,6,FALSE)</f>
        <v>14.6079653733048</v>
      </c>
      <c r="S566" s="56">
        <f>VLOOKUP(B566,'Player Data'!$A1:$AE667,7,FALSE)*$Q566*IFERROR((VLOOKUP(P566,Settings!$E$28:$F$33,2,FALSE)+1),1)</f>
        <v>6.9154003808061679</v>
      </c>
      <c r="T566" s="56">
        <f>VLOOKUP(B566,'Player Data'!$A1:$AE667,8,FALSE)*$Q566*IFERROR((VLOOKUP(P566,Settings!$E$28:$F$33,2,FALSE)+1),1)</f>
        <v>18.411782300165662</v>
      </c>
      <c r="U566" s="56">
        <f>SUM(S566:T566)</f>
        <v>25.327182680971831</v>
      </c>
      <c r="V566" s="56">
        <f>VLOOKUP(B566,'Player Data'!$A1:$AE667,10,FALSE)*$Q566*IFERROR(((VLOOKUP(P566,Settings!$E$28:$F$33,2,FALSE)/2)+1),1)</f>
        <v>82.253774608808342</v>
      </c>
      <c r="W566" s="56">
        <f>VLOOKUP(B566,'Player Data'!$A1:$AE667,11,FALSE)*$Q566*IFERROR((VLOOKUP(P566,Settings!$E$28:$F$33,2,FALSE)+1),1)</f>
        <v>0.24253163691593552</v>
      </c>
      <c r="X566" s="56">
        <f>VLOOKUP(B566,'Player Data'!$A1:$AE667,12,FALSE)*$Q566*IFERROR((VLOOKUP(P566,Settings!$E$28:$F$33,2,FALSE)+1),1)</f>
        <v>0.47773228413808966</v>
      </c>
      <c r="Y566" s="56">
        <f>VLOOKUP(B566,'Player Data'!$A1:$AE667,13,FALSE)*$Q566</f>
        <v>0.51651461104867114</v>
      </c>
      <c r="Z566" s="56">
        <f>VLOOKUP(B566,'Player Data'!$A1:$AE667,14,FALSE)*$Q566</f>
        <v>1.3033873202097432</v>
      </c>
      <c r="AA566" s="56">
        <f>VLOOKUP(B566,'Player Data'!$A1:$AE667,15,FALSE)*$Q566</f>
        <v>54.090983554826785</v>
      </c>
      <c r="AB566" s="56">
        <f>VLOOKUP(B566,'Player Data'!$A1:$AE667,16,FALSE)*$Q566</f>
        <v>73.21937843824206</v>
      </c>
      <c r="AC566" s="56">
        <f>VLOOKUP(B566,'Player Data'!$A1:$AE667,17,FALSE)*$Q566*IFERROR((VLOOKUP(P566,Settings!$E$28:$F$33,2,FALSE)+1),1)</f>
        <v>-4.8346637925897129</v>
      </c>
      <c r="AD566" s="56">
        <f>VLOOKUP(B566,'Player Data'!$A1:$AE667,18,FALSE)*$Q566</f>
        <v>27.157974756093857</v>
      </c>
      <c r="AE566" s="56">
        <f>VLOOKUP(B566,'Player Data'!$A1:$AE667,19,FALSE)*$Q566*IFERROR((VLOOKUP(P566,Settings!$E$28:$F$33,2,FALSE)+1),1)</f>
        <v>0.80150370512216851</v>
      </c>
      <c r="AF566" s="56">
        <f>VLOOKUP(B566,'Player Data'!$A1:$AE667,20,FALSE)*$Q566</f>
        <v>497.6541242047897</v>
      </c>
      <c r="AG566" s="56">
        <f>VLOOKUP(B566,'Player Data'!$A1:$AE667,21,FALSE)*$Q566</f>
        <v>468.29953627412078</v>
      </c>
      <c r="AH566" s="58">
        <f>VLOOKUP(B566,'Player Data'!$A1:$AE667,22,FALSE)</f>
        <v>0.51519461498604102</v>
      </c>
      <c r="AI566" s="54"/>
      <c r="AJ566" s="56"/>
      <c r="AK566" s="56"/>
      <c r="AL566" s="56"/>
      <c r="AM566" s="56"/>
      <c r="AN566" s="56"/>
      <c r="AO566" s="56"/>
      <c r="AP566" s="56"/>
      <c r="AQ566" s="59"/>
      <c r="AR566" s="60"/>
      <c r="AS566" s="54"/>
    </row>
    <row r="567" spans="1:45" ht="21.25" customHeight="1" x14ac:dyDescent="0.15">
      <c r="A567" s="45">
        <f>RANK(K567,K$1:K$665)</f>
        <v>566</v>
      </c>
      <c r="B567" s="9" t="s">
        <v>692</v>
      </c>
      <c r="C567" s="46" t="s">
        <v>127</v>
      </c>
      <c r="D567" s="47" t="str">
        <f>VLOOKUP(B567,'Player Data'!A1:D667,4,FALSE)</f>
        <v>D</v>
      </c>
      <c r="E567" s="66">
        <f>VLOOKUP(B567,D!A1:C213,3,FALSE)</f>
        <v>210</v>
      </c>
      <c r="F567" s="77" t="str">
        <f>VLOOKUP(B567,'Player Data'!A1:B667,2,FALSE)</f>
        <v>CBJ</v>
      </c>
      <c r="G567" s="63">
        <f>VLOOKUP(B567,'Player Data'!A1:D667,3,FALSE)</f>
        <v>37</v>
      </c>
      <c r="H567" s="67">
        <f>IFERROR(VLOOKUP(B567,ADP!A1:G665,7,FALSE)/1000000,VLOOKUP(B567,ADP!A1:G665,7,FALSE))</f>
        <v>0.77500000000000002</v>
      </c>
      <c r="I567" s="51">
        <f>IF(Settings!$E$15="POINTS",((R567*Q567)*Settings!$B$12)+(S567*Settings!$B$2)+(T567*Settings!$B$3)+(U567*Settings!$B$4)+(V567*Settings!$B$5)+(X567*Settings!$B$9)+(AA567*Settings!$B$6)+(W567*Settings!$B$8)+(AB567*Settings!$B$7)+(AC567*Settings!$B$14)+(AD567*Settings!$B$15)+(AE567*Settings!$B$16)+(AF567*Settings!$B$17)+(AG567*Settings!$B$18)+(U567*Settings!$B$13)+(Y567*Settings!$B$10)+(Z567*Settings!$B$11),VLOOKUP(B567,'Standard Deviations'!A1:C666,3,FALSE))</f>
        <v>92.003402801735575</v>
      </c>
      <c r="J567" s="52">
        <f>IF(D567="G",I567/AJ567,I567/Q567)</f>
        <v>1.1356692214378716</v>
      </c>
      <c r="K567" s="51">
        <f>VLOOKUP(B567,D!A1:F213,6,FALSE)</f>
        <v>-244.23072224385933</v>
      </c>
      <c r="L567" s="53">
        <f>IFERROR(K567/H567,"N/A")</f>
        <v>-315.13641579852816</v>
      </c>
      <c r="M567" s="83" t="str">
        <f>IF(Settings!$E$9="YAHOO",VLOOKUP(B567,ADP!A1:E665,2,FALSE),IF(Settings!$E$9="ESPN",VLOOKUP(B567,ADP!A1:E665,3,FALSE),IF(Settings!$E$9="FANTRAX",VLOOKUP(B567,ADP!A1:E665,4,FALSE),VLOOKUP(B567,ADP!A1:E665,5,FALSE))))</f>
        <v>—</v>
      </c>
      <c r="N567" s="83" t="str">
        <f>IFERROR(M567-A567,"N/A")</f>
        <v>N/A</v>
      </c>
      <c r="O567" s="54"/>
      <c r="P567" s="55" t="str">
        <f>IF(Settings!$E$27="ON",VLOOKUP(B567,ADP!A1:H665,8,FALSE)," ")</f>
        <v xml:space="preserve"> </v>
      </c>
      <c r="Q567" s="56">
        <f>IF(Settings!$E$12="YES",VLOOKUP(B567,'Player Data'!A1:E667,5,FALSE),82)</f>
        <v>81.012500000000003</v>
      </c>
      <c r="R567" s="81">
        <f>VLOOKUP(B567,'Player Data'!$A1:$AE667,6,FALSE)</f>
        <v>12.92213327446</v>
      </c>
      <c r="S567" s="56">
        <f>VLOOKUP(B567,'Player Data'!$A1:$AE667,7,FALSE)*$Q567*IFERROR((VLOOKUP(P567,Settings!$E$28:$F$33,2,FALSE)+1),1)</f>
        <v>1.2903421724544062</v>
      </c>
      <c r="T567" s="56">
        <f>VLOOKUP(B567,'Player Data'!$A1:$AE667,8,FALSE)*$Q567*IFERROR((VLOOKUP(P567,Settings!$E$28:$F$33,2,FALSE)+1),1)</f>
        <v>6.4333371495021048</v>
      </c>
      <c r="U567" s="56">
        <f>SUM(S567:T567)</f>
        <v>7.723679321956511</v>
      </c>
      <c r="V567" s="56">
        <f>VLOOKUP(B567,'Player Data'!$A1:$AE667,10,FALSE)*$Q567*IFERROR(((VLOOKUP(P567,Settings!$E$28:$F$33,2,FALSE)/2)+1),1)</f>
        <v>57.172996116310536</v>
      </c>
      <c r="W567" s="56">
        <f>VLOOKUP(B567,'Player Data'!$A1:$AE667,11,FALSE)*$Q567*IFERROR((VLOOKUP(P567,Settings!$E$28:$F$33,2,FALSE)+1),1)</f>
        <v>6.0716819587823528E-3</v>
      </c>
      <c r="X567" s="56">
        <f>VLOOKUP(B567,'Player Data'!$A1:$AE667,12,FALSE)*$Q567*IFERROR((VLOOKUP(P567,Settings!$E$28:$F$33,2,FALSE)+1),1)</f>
        <v>4.7563966606661873E-2</v>
      </c>
      <c r="Y567" s="56">
        <f>VLOOKUP(B567,'Player Data'!$A1:$AE667,13,FALSE)*$Q567</f>
        <v>8.8298662458248245E-3</v>
      </c>
      <c r="Z567" s="56">
        <f>VLOOKUP(B567,'Player Data'!$A1:$AE667,14,FALSE)*$Q567</f>
        <v>0.3534749286160076</v>
      </c>
      <c r="AA567" s="56">
        <f>VLOOKUP(B567,'Player Data'!$A1:$AE667,15,FALSE)*$Q567</f>
        <v>79.689655764976209</v>
      </c>
      <c r="AB567" s="56">
        <f>VLOOKUP(B567,'Player Data'!$A1:$AE667,16,FALSE)*$Q567</f>
        <v>76.675663463523492</v>
      </c>
      <c r="AC567" s="56">
        <f>VLOOKUP(B567,'Player Data'!$A1:$AE667,17,FALSE)*$Q567*IFERROR((VLOOKUP(P567,Settings!$E$28:$F$33,2,FALSE)+1),1)</f>
        <v>1.9259271957669042</v>
      </c>
      <c r="AD567" s="56">
        <f>VLOOKUP(B567,'Player Data'!$A1:$AE667,18,FALSE)*$Q567</f>
        <v>20.78837208138852</v>
      </c>
      <c r="AE567" s="56">
        <f>VLOOKUP(B567,'Player Data'!$A1:$AE667,19,FALSE)*$Q567*IFERROR((VLOOKUP(P567,Settings!$E$28:$F$33,2,FALSE)+1),1)</f>
        <v>0.14269164929818673</v>
      </c>
      <c r="AF567" s="56">
        <f>VLOOKUP(B567,'Player Data'!$A1:$AE667,20,FALSE)*$Q567</f>
        <v>0</v>
      </c>
      <c r="AG567" s="56">
        <f>VLOOKUP(B567,'Player Data'!$A1:$AE667,21,FALSE)*$Q567</f>
        <v>0.12134760323166673</v>
      </c>
      <c r="AH567" s="58">
        <f>VLOOKUP(B567,'Player Data'!$A1:$AE667,22,FALSE)</f>
        <v>0</v>
      </c>
      <c r="AI567" s="54"/>
      <c r="AJ567" s="64"/>
      <c r="AK567" s="56"/>
      <c r="AL567" s="56"/>
      <c r="AM567" s="56"/>
      <c r="AN567" s="56"/>
      <c r="AO567" s="56"/>
      <c r="AP567" s="56"/>
      <c r="AQ567" s="59"/>
      <c r="AR567" s="60"/>
      <c r="AS567" s="54"/>
    </row>
    <row r="568" spans="1:45" ht="21.25" customHeight="1" x14ac:dyDescent="0.15">
      <c r="A568" s="45">
        <f>RANK(K568,K$1:K$665)</f>
        <v>567</v>
      </c>
      <c r="B568" s="9" t="s">
        <v>693</v>
      </c>
      <c r="C568" s="46" t="s">
        <v>127</v>
      </c>
      <c r="D568" s="47" t="str">
        <f>VLOOKUP(B568,'Player Data'!A1:D667,4,FALSE)</f>
        <v>RW</v>
      </c>
      <c r="E568" s="61">
        <f>VLOOKUP(B568,RW!A1:F136,3,FALSE)</f>
        <v>115</v>
      </c>
      <c r="F568" s="82" t="str">
        <f>VLOOKUP(B568,'Player Data'!A1:B667,2,FALSE)</f>
        <v>ANA</v>
      </c>
      <c r="G568" s="10">
        <f>VLOOKUP(B568,'Player Data'!A1:D667,3,FALSE)</f>
        <v>25</v>
      </c>
      <c r="H568" s="67">
        <f>IFERROR(VLOOKUP(B568,ADP!A1:G665,7,FALSE)/1000000,VLOOKUP(B568,ADP!A1:G665,7,FALSE))</f>
        <v>1.05</v>
      </c>
      <c r="I568" s="51">
        <f>IF(Settings!$E$15="POINTS",((R568*Q568)*Settings!$B$12)+(S568*Settings!$B$2)+(T568*Settings!$B$3)+(U568*Settings!$B$4)+(V568*Settings!$B$5)+(X568*Settings!$B$9)+(AA568*Settings!$B$6)+(W568*Settings!$B$8)+(AB568*Settings!$B$7)+(AC568*Settings!$B$14)+(AD568*Settings!$B$15)+(AE568*Settings!$B$16)+(AF568*Settings!$B$17)+(AG568*Settings!$B$18)+(Y568*Settings!$B$10)+(Z568*Settings!$B$11),VLOOKUP(B568,'Standard Deviations'!A1:C666,3,FALSE))</f>
        <v>124.01983851887704</v>
      </c>
      <c r="J568" s="52">
        <f>IF(D568="G",I568/AJ568,I568/Q568)</f>
        <v>1.7444242002795842</v>
      </c>
      <c r="K568" s="51">
        <f>IF(Settings!$E$18="C/LW/RW",VLOOKUP(B568,RW!A1:F136,6,FALSE),VLOOKUP(B568,F!A1:F392,6,FALSE))</f>
        <v>-244.82788458741535</v>
      </c>
      <c r="L568" s="53">
        <f>IFERROR(K568/H568,"N/A")</f>
        <v>-233.16941389277653</v>
      </c>
      <c r="M568" s="83" t="str">
        <f>IF(Settings!$E$9="YAHOO",VLOOKUP(B568,ADP!A1:E665,2,FALSE),IF(Settings!$E$9="ESPN",VLOOKUP(B568,ADP!A1:E665,3,FALSE),IF(Settings!$E$9="FANTRAX",VLOOKUP(B568,ADP!A1:E665,4,FALSE),VLOOKUP(B568,ADP!A1:E665,5,FALSE))))</f>
        <v>—</v>
      </c>
      <c r="N568" s="83" t="str">
        <f>IFERROR(M568-A568,"N/A")</f>
        <v>N/A</v>
      </c>
      <c r="O568" s="54"/>
      <c r="P568" s="55" t="str">
        <f>IF(Settings!$E$27="ON",VLOOKUP(B568,ADP!A1:H665,8,FALSE)," ")</f>
        <v xml:space="preserve"> </v>
      </c>
      <c r="Q568" s="56">
        <f>IF(Settings!$E$12="YES",VLOOKUP(B568,'Player Data'!A1:E667,5,FALSE),82)</f>
        <v>71.094999999999999</v>
      </c>
      <c r="R568" s="81">
        <f>VLOOKUP(B568,'Player Data'!$A1:$AE667,6,FALSE)</f>
        <v>11.5884562272366</v>
      </c>
      <c r="S568" s="56">
        <f>VLOOKUP(B568,'Player Data'!$A1:$AE667,7,FALSE)*$Q568*IFERROR((VLOOKUP(P568,Settings!$E$28:$F$33,2,FALSE)+1),1)</f>
        <v>9.4679534196814181</v>
      </c>
      <c r="T568" s="56">
        <f>VLOOKUP(B568,'Player Data'!$A1:$AE667,8,FALSE)*$Q568*IFERROR((VLOOKUP(P568,Settings!$E$28:$F$33,2,FALSE)+1),1)</f>
        <v>8.6177776992877284</v>
      </c>
      <c r="U568" s="56">
        <f>SUM(S568:T568)</f>
        <v>18.085731118969147</v>
      </c>
      <c r="V568" s="56">
        <f>VLOOKUP(B568,'Player Data'!$A1:$AE667,10,FALSE)*$Q568*IFERROR(((VLOOKUP(P568,Settings!$E$28:$F$33,2,FALSE)/2)+1),1)</f>
        <v>83.971717839033715</v>
      </c>
      <c r="W568" s="56">
        <f>VLOOKUP(B568,'Player Data'!$A1:$AE667,11,FALSE)*$Q568*IFERROR((VLOOKUP(P568,Settings!$E$28:$F$33,2,FALSE)+1),1)</f>
        <v>0.10792451233494312</v>
      </c>
      <c r="X568" s="56">
        <f>VLOOKUP(B568,'Player Data'!$A1:$AE667,12,FALSE)*$Q568*IFERROR((VLOOKUP(P568,Settings!$E$28:$F$33,2,FALSE)+1),1)</f>
        <v>0.25097832769769524</v>
      </c>
      <c r="Y568" s="56">
        <f>VLOOKUP(B568,'Player Data'!$A1:$AE667,13,FALSE)*$Q568</f>
        <v>1.6544892828902442</v>
      </c>
      <c r="Z568" s="56">
        <f>VLOOKUP(B568,'Player Data'!$A1:$AE667,14,FALSE)*$Q568</f>
        <v>1.8513058520512271</v>
      </c>
      <c r="AA568" s="56">
        <f>VLOOKUP(B568,'Player Data'!$A1:$AE667,15,FALSE)*$Q568</f>
        <v>51.349004125407653</v>
      </c>
      <c r="AB568" s="56">
        <f>VLOOKUP(B568,'Player Data'!$A1:$AE667,16,FALSE)*$Q568</f>
        <v>73.295534507667966</v>
      </c>
      <c r="AC568" s="56">
        <f>VLOOKUP(B568,'Player Data'!$A1:$AE667,17,FALSE)*$Q568*IFERROR((VLOOKUP(P568,Settings!$E$28:$F$33,2,FALSE)+1),1)</f>
        <v>-7.0912674267724869</v>
      </c>
      <c r="AD568" s="56">
        <f>VLOOKUP(B568,'Player Data'!$A1:$AE667,18,FALSE)*$Q568</f>
        <v>16.864090273777492</v>
      </c>
      <c r="AE568" s="56">
        <f>VLOOKUP(B568,'Player Data'!$A1:$AE667,19,FALSE)*$Q568*IFERROR((VLOOKUP(P568,Settings!$E$28:$F$33,2,FALSE)+1),1)</f>
        <v>1.1035803836765929</v>
      </c>
      <c r="AF568" s="56">
        <f>VLOOKUP(B568,'Player Data'!$A1:$AE667,20,FALSE)*$Q568</f>
        <v>12.964105622740028</v>
      </c>
      <c r="AG568" s="56">
        <f>VLOOKUP(B568,'Player Data'!$A1:$AE667,21,FALSE)*$Q568</f>
        <v>20.758676374596753</v>
      </c>
      <c r="AH568" s="58">
        <f>VLOOKUP(B568,'Player Data'!$A1:$AE667,22,FALSE)</f>
        <v>0.38443167659666599</v>
      </c>
      <c r="AI568" s="54"/>
      <c r="AJ568" s="56"/>
      <c r="AK568" s="56"/>
      <c r="AL568" s="56"/>
      <c r="AM568" s="56"/>
      <c r="AN568" s="56"/>
      <c r="AO568" s="56"/>
      <c r="AP568" s="56"/>
      <c r="AQ568" s="59"/>
      <c r="AR568" s="60"/>
      <c r="AS568" s="54"/>
    </row>
    <row r="569" spans="1:45" ht="21.25" customHeight="1" x14ac:dyDescent="0.15">
      <c r="A569" s="45">
        <f>RANK(K569,K$1:K$665)</f>
        <v>568</v>
      </c>
      <c r="B569" s="9" t="s">
        <v>694</v>
      </c>
      <c r="C569" s="46" t="s">
        <v>127</v>
      </c>
      <c r="D569" s="47" t="str">
        <f>VLOOKUP(B569,'Player Data'!A1:D667,4,FALSE)</f>
        <v>G</v>
      </c>
      <c r="E569" s="73">
        <f>VLOOKUP(B569,G!A1:D65,3,FALSE)</f>
        <v>52</v>
      </c>
      <c r="F569" s="62" t="str">
        <f>VLOOKUP(B569,'Player Data'!A1:B667,2,FALSE)</f>
        <v>CBJ</v>
      </c>
      <c r="G569" s="69">
        <f>VLOOKUP(B569,'Player Data'!A1:D667,3,FALSE)</f>
        <v>25</v>
      </c>
      <c r="H569" s="67">
        <f>IFERROR(VLOOKUP(B569,ADP!A1:G665,7,FALSE)/1000000,VLOOKUP(B569,ADP!A1:G665,7,FALSE))</f>
        <v>1.05</v>
      </c>
      <c r="I569" s="51">
        <f>IF(Settings!$E$15="POINTS",(AJ569*Settings!$B$29)+(AK569*Settings!$B$21)+(AL569*Settings!$B$22)+(AN569*Settings!$B$24)+(AO569*Settings!$B$25)+(AP569*Settings!$B$27)+(AM569*Settings!$B$23),VLOOKUP(B569,'Standard Deviations'!A1:C666,3,FALSE))</f>
        <v>165.33302393482927</v>
      </c>
      <c r="J569" s="52">
        <f>IF(D569="G",I569/AJ569,I569/Q569)</f>
        <v>6.3589624590318952</v>
      </c>
      <c r="K569" s="51">
        <f>VLOOKUP(B569,G!A1:F65,6,FALSE)</f>
        <v>-245.32671883459091</v>
      </c>
      <c r="L569" s="53">
        <f>IFERROR(K569/H569,"N/A")</f>
        <v>-233.6444941281818</v>
      </c>
      <c r="M569" s="83" t="str">
        <f>IF(Settings!$E$9="YAHOO",VLOOKUP(B569,ADP!A1:E665,2,FALSE),IF(Settings!$E$9="ESPN",VLOOKUP(B569,ADP!A1:E665,3,FALSE),IF(Settings!$E$9="FANTRAX",VLOOKUP(B569,ADP!A1:E665,4,FALSE),VLOOKUP(B569,ADP!A1:E665,5,FALSE))))</f>
        <v>—</v>
      </c>
      <c r="N569" s="83" t="str">
        <f>IFERROR(M569-A569,"N/A")</f>
        <v>N/A</v>
      </c>
      <c r="O569" s="54"/>
      <c r="P569" s="55" t="str">
        <f>IF(Settings!$E$27="ON",VLOOKUP(B569,ADP!A1:H665,8,FALSE)," ")</f>
        <v xml:space="preserve"> </v>
      </c>
      <c r="Q569" s="56"/>
      <c r="R569" s="54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8"/>
      <c r="AI569" s="54"/>
      <c r="AJ569" s="64">
        <f>VLOOKUP(B569,'Player Data'!$A1:$AE667,24,FALSE)</f>
        <v>26</v>
      </c>
      <c r="AK569" s="56">
        <f>VLOOKUP(B569,'Player Data'!$A1:$AE667,25,FALSE)*$AJ569*IFERROR((VLOOKUP(P569,Settings!$E$28:$F$33,2,FALSE)+1),1)</f>
        <v>10.032927776563874</v>
      </c>
      <c r="AL569" s="56">
        <f>AJ569-AK569-AM569</f>
        <v>12.717072223436126</v>
      </c>
      <c r="AM569" s="56">
        <f>VLOOKUP(B569,'Player Data'!$A1:$AE667,27,FALSE)*$AJ569</f>
        <v>3.25</v>
      </c>
      <c r="AN569" s="56">
        <f>VLOOKUP(B569,'Player Data'!$A1:$AE667,28,FALSE)*AJ569</f>
        <v>0.78773041756502604</v>
      </c>
      <c r="AO569" s="56">
        <f>VLOOKUP(B569,'Player Data'!$A1:$AE667,29,FALSE)*$AJ569*IFERROR((VLOOKUP(P569,Settings!$E$28:$F$33,2,FALSE)/4)+1,1)</f>
        <v>758.75033455729294</v>
      </c>
      <c r="AP569" s="56">
        <f>VLOOKUP(B569,'Player Data'!$A1:$AE667,31,FALSE)*$AJ569*(IFERROR(1-(VLOOKUP(P569,Settings!$E$28:$F$33,2,FALSE)/4),1))</f>
        <v>81.64288569702461</v>
      </c>
      <c r="AQ569" s="59">
        <f>1-(AP569/(AO569+AP569))</f>
        <v>0.90285156551796308</v>
      </c>
      <c r="AR569" s="60">
        <f>AP569/AJ569</f>
        <v>3.1401109883471006</v>
      </c>
      <c r="AS569" s="54"/>
    </row>
    <row r="570" spans="1:45" ht="21.25" customHeight="1" x14ac:dyDescent="0.15">
      <c r="A570" s="45">
        <f>RANK(K570,K$1:K$665)</f>
        <v>569</v>
      </c>
      <c r="B570" s="9" t="s">
        <v>695</v>
      </c>
      <c r="C570" s="46" t="s">
        <v>127</v>
      </c>
      <c r="D570" s="47" t="str">
        <f>VLOOKUP(B570,'Player Data'!A1:D667,4,FALSE)</f>
        <v>G</v>
      </c>
      <c r="E570" s="73">
        <f>VLOOKUP(B570,G!A1:D65,3,FALSE)</f>
        <v>53</v>
      </c>
      <c r="F570" s="65" t="str">
        <f>VLOOKUP(B570,'Player Data'!A1:B667,2,FALSE)</f>
        <v>L.A</v>
      </c>
      <c r="G570" s="10">
        <f>VLOOKUP(B570,'Player Data'!A1:D667,3,FALSE)</f>
        <v>31</v>
      </c>
      <c r="H570" s="67">
        <f>IFERROR(VLOOKUP(B570,ADP!A1:G665,7,FALSE)/1000000,VLOOKUP(B570,ADP!A1:G665,7,FALSE))</f>
        <v>1</v>
      </c>
      <c r="I570" s="51">
        <f>IF(Settings!$E$15="POINTS",(AJ570*Settings!$B$29)+(AK570*Settings!$B$21)+(AL570*Settings!$B$22)+(AN570*Settings!$B$24)+(AO570*Settings!$B$25)+(AP570*Settings!$B$27)+(AM570*Settings!$B$23),VLOOKUP(B570,'Standard Deviations'!A1:C666,3,FALSE))</f>
        <v>165.03363648066005</v>
      </c>
      <c r="J570" s="52">
        <f>IF(D570="G",I570/AJ570,I570/Q570)</f>
        <v>6.601345459226402</v>
      </c>
      <c r="K570" s="51">
        <f>VLOOKUP(B570,G!A1:F65,6,FALSE)</f>
        <v>-245.62610628876013</v>
      </c>
      <c r="L570" s="53">
        <f>IFERROR(K570/H570,"N/A")</f>
        <v>-245.62610628876013</v>
      </c>
      <c r="M570" s="83" t="str">
        <f>IF(Settings!$E$9="YAHOO",VLOOKUP(B570,ADP!A1:E665,2,FALSE),IF(Settings!$E$9="ESPN",VLOOKUP(B570,ADP!A1:E665,3,FALSE),IF(Settings!$E$9="FANTRAX",VLOOKUP(B570,ADP!A1:E665,4,FALSE),VLOOKUP(B570,ADP!A1:E665,5,FALSE))))</f>
        <v>—</v>
      </c>
      <c r="N570" s="83" t="str">
        <f>IFERROR(M570-A570,"N/A")</f>
        <v>N/A</v>
      </c>
      <c r="O570" s="54"/>
      <c r="P570" s="55" t="str">
        <f>IF(Settings!$E$27="ON",VLOOKUP(B570,ADP!A1:H665,8,FALSE)," ")</f>
        <v xml:space="preserve"> </v>
      </c>
      <c r="Q570" s="56"/>
      <c r="R570" s="54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8"/>
      <c r="AI570" s="54"/>
      <c r="AJ570" s="64">
        <f>VLOOKUP(B570,'Player Data'!$A1:$AE667,24,FALSE)</f>
        <v>25</v>
      </c>
      <c r="AK570" s="56">
        <f>VLOOKUP(B570,'Player Data'!$A1:$AE667,25,FALSE)*$AJ570*IFERROR((VLOOKUP(P570,Settings!$E$28:$F$33,2,FALSE)+1),1)</f>
        <v>13.897748686721426</v>
      </c>
      <c r="AL570" s="56">
        <f>AJ570-AK570-AM570</f>
        <v>7.9772513132785736</v>
      </c>
      <c r="AM570" s="56">
        <f>VLOOKUP(B570,'Player Data'!$A1:$AE667,27,FALSE)*$AJ570</f>
        <v>3.125</v>
      </c>
      <c r="AN570" s="56">
        <f>VLOOKUP(B570,'Player Data'!$A1:$AE667,28,FALSE)*AJ570</f>
        <v>1.63045856046823</v>
      </c>
      <c r="AO570" s="56">
        <f>VLOOKUP(B570,'Player Data'!$A1:$AE667,29,FALSE)*$AJ570*IFERROR((VLOOKUP(P570,Settings!$E$28:$F$33,2,FALSE)/4)+1,1)</f>
        <v>645.48678738951503</v>
      </c>
      <c r="AP570" s="56">
        <f>VLOOKUP(B570,'Player Data'!$A1:$AE667,31,FALSE)*$AJ570*(IFERROR(1-(VLOOKUP(P570,Settings!$E$28:$F$33,2,FALSE)/4),1))</f>
        <v>67.011153944909992</v>
      </c>
      <c r="AQ570" s="59">
        <f>1-(AP570/(AO570+AP570))</f>
        <v>0.90594898587439288</v>
      </c>
      <c r="AR570" s="60">
        <f>AP570/AJ570</f>
        <v>2.6804461577963998</v>
      </c>
      <c r="AS570" s="54"/>
    </row>
    <row r="571" spans="1:45" ht="21.25" customHeight="1" x14ac:dyDescent="0.15">
      <c r="A571" s="45">
        <f>RANK(K571,K$1:K$665)</f>
        <v>570</v>
      </c>
      <c r="B571" s="9" t="s">
        <v>696</v>
      </c>
      <c r="C571" s="46" t="s">
        <v>127</v>
      </c>
      <c r="D571" s="47" t="str">
        <f>VLOOKUP(B571,'Player Data'!A1:D667,4,FALSE)</f>
        <v>C</v>
      </c>
      <c r="E571" s="48">
        <f>VLOOKUP(B571,'C'!A1:C206,3,FALSE)</f>
        <v>156</v>
      </c>
      <c r="F571" s="72" t="str">
        <f>VLOOKUP(B571,'Player Data'!A1:B667,2,FALSE)</f>
        <v>MIN</v>
      </c>
      <c r="G571" s="63">
        <f>VLOOKUP(B571,'Player Data'!A1:D667,3,FALSE)</f>
        <v>31</v>
      </c>
      <c r="H571" s="50">
        <f>IFERROR(VLOOKUP(B571,ADP!A1:G665,7,FALSE)/1000000,VLOOKUP(B571,ADP!A1:G665,7,FALSE))</f>
        <v>2.1</v>
      </c>
      <c r="I571" s="51">
        <f>IF(Settings!$E$15="POINTS",((R571*Q571)*Settings!$B$12)+(S571*Settings!$B$2)+(T571*Settings!$B$3)+(U571*Settings!$B$4)+(V571*Settings!$B$5)+(X571*Settings!$B$9)+(AA571*Settings!$B$6)+(W571*Settings!$B$8)+(AB571*Settings!$B$7)+(AC571*Settings!$B$14)+(AD571*Settings!$B$15)+(AE571*Settings!$B$16)+(AF571*Settings!$B$17)+(AG571*Settings!$B$18)+(Y571*Settings!$B$10)+(Z571*Settings!$B$11),VLOOKUP(B571,'Standard Deviations'!A1:C666,3,FALSE))</f>
        <v>144.28889112923221</v>
      </c>
      <c r="J571" s="52">
        <f>IF(D571="G",I571/AJ571,I571/Q571)</f>
        <v>1.8318328133967972</v>
      </c>
      <c r="K571" s="51">
        <f>IF(Settings!$E$18="C/LW/RW",VLOOKUP(B571,'C'!A1:F206,6,FALSE),VLOOKUP(B571,F!A1:F392,6,FALSE))</f>
        <v>-245.64826664884887</v>
      </c>
      <c r="L571" s="53">
        <f>IFERROR(K571/H571,"N/A")</f>
        <v>-116.97536507088041</v>
      </c>
      <c r="M571" s="83" t="str">
        <f>IF(Settings!$E$9="YAHOO",VLOOKUP(B571,ADP!A1:E665,2,FALSE),IF(Settings!$E$9="ESPN",VLOOKUP(B571,ADP!A1:E665,3,FALSE),IF(Settings!$E$9="FANTRAX",VLOOKUP(B571,ADP!A1:E665,4,FALSE),VLOOKUP(B571,ADP!A1:E665,5,FALSE))))</f>
        <v>—</v>
      </c>
      <c r="N571" s="83" t="str">
        <f>IFERROR(M571-A571,"N/A")</f>
        <v>N/A</v>
      </c>
      <c r="O571" s="54"/>
      <c r="P571" s="55" t="str">
        <f>IF(Settings!$E$27="ON",VLOOKUP(B571,ADP!A1:H665,8,FALSE)," ")</f>
        <v xml:space="preserve"> </v>
      </c>
      <c r="Q571" s="56">
        <f>IF(Settings!$E$12="YES",VLOOKUP(B571,'Player Data'!A1:E667,5,FALSE),82)</f>
        <v>78.767499999999998</v>
      </c>
      <c r="R571" s="54">
        <f>VLOOKUP(B571,'Player Data'!$A1:$AE667,6,FALSE)</f>
        <v>13.136485581686101</v>
      </c>
      <c r="S571" s="56">
        <f>VLOOKUP(B571,'Player Data'!$A1:$AE667,7,FALSE)*$Q571*IFERROR((VLOOKUP(P571,Settings!$E$28:$F$33,2,FALSE)+1),1)</f>
        <v>8.2535163671411329</v>
      </c>
      <c r="T571" s="56">
        <f>VLOOKUP(B571,'Player Data'!$A1:$AE667,8,FALSE)*$Q571*IFERROR((VLOOKUP(P571,Settings!$E$28:$F$33,2,FALSE)+1),1)</f>
        <v>12.838523350323786</v>
      </c>
      <c r="U571" s="56">
        <f>SUM(S571:T571)</f>
        <v>21.092039717464921</v>
      </c>
      <c r="V571" s="56">
        <f>VLOOKUP(B571,'Player Data'!$A1:$AE667,10,FALSE)*$Q571*IFERROR(((VLOOKUP(P571,Settings!$E$28:$F$33,2,FALSE)/2)+1),1)</f>
        <v>107.00144731501405</v>
      </c>
      <c r="W571" s="56">
        <f>VLOOKUP(B571,'Player Data'!$A1:$AE667,11,FALSE)*$Q571*IFERROR((VLOOKUP(P571,Settings!$E$28:$F$33,2,FALSE)+1),1)</f>
        <v>0.82444014277997668</v>
      </c>
      <c r="X571" s="56">
        <f>VLOOKUP(B571,'Player Data'!$A1:$AE667,12,FALSE)*$Q571*IFERROR((VLOOKUP(P571,Settings!$E$28:$F$33,2,FALSE)+1),1)</f>
        <v>2.1293641127594118</v>
      </c>
      <c r="Y571" s="56">
        <f>VLOOKUP(B571,'Player Data'!$A1:$AE667,13,FALSE)*$Q571</f>
        <v>0.52933258435714647</v>
      </c>
      <c r="Z571" s="56">
        <f>VLOOKUP(B571,'Player Data'!$A1:$AE667,14,FALSE)*$Q571</f>
        <v>1.1306339407263239</v>
      </c>
      <c r="AA571" s="56">
        <f>VLOOKUP(B571,'Player Data'!$A1:$AE667,15,FALSE)*$Q571</f>
        <v>48.504100531689431</v>
      </c>
      <c r="AB571" s="56">
        <f>VLOOKUP(B571,'Player Data'!$A1:$AE667,16,FALSE)*$Q571</f>
        <v>46.660934977126296</v>
      </c>
      <c r="AC571" s="56">
        <f>VLOOKUP(B571,'Player Data'!$A1:$AE667,17,FALSE)*$Q571*IFERROR((VLOOKUP(P571,Settings!$E$28:$F$33,2,FALSE)+1),1)</f>
        <v>-1.5551485097002251</v>
      </c>
      <c r="AD571" s="56">
        <f>VLOOKUP(B571,'Player Data'!$A1:$AE667,18,FALSE)*$Q571</f>
        <v>13.219246036865366</v>
      </c>
      <c r="AE571" s="56">
        <f>VLOOKUP(B571,'Player Data'!$A1:$AE667,19,FALSE)*$Q571*IFERROR((VLOOKUP(P571,Settings!$E$28:$F$33,2,FALSE)+1),1)</f>
        <v>1.3624832769541648</v>
      </c>
      <c r="AF571" s="56">
        <f>VLOOKUP(B571,'Player Data'!$A1:$AE667,20,FALSE)*$Q571</f>
        <v>332.92969838449773</v>
      </c>
      <c r="AG571" s="56">
        <f>VLOOKUP(B571,'Player Data'!$A1:$AE667,21,FALSE)*$Q571</f>
        <v>337.26850188409475</v>
      </c>
      <c r="AH571" s="58">
        <f>VLOOKUP(B571,'Player Data'!$A1:$AE667,22,FALSE)</f>
        <v>0.49676304450097197</v>
      </c>
      <c r="AI571" s="54"/>
      <c r="AJ571" s="56"/>
      <c r="AK571" s="56"/>
      <c r="AL571" s="56"/>
      <c r="AM571" s="56"/>
      <c r="AN571" s="56"/>
      <c r="AO571" s="56"/>
      <c r="AP571" s="56"/>
      <c r="AQ571" s="59"/>
      <c r="AR571" s="60"/>
      <c r="AS571" s="54"/>
    </row>
    <row r="572" spans="1:45" ht="21.25" customHeight="1" x14ac:dyDescent="0.15">
      <c r="A572" s="45">
        <f>RANK(K572,K$1:K$665)</f>
        <v>571</v>
      </c>
      <c r="B572" s="9" t="s">
        <v>697</v>
      </c>
      <c r="C572" s="46" t="s">
        <v>127</v>
      </c>
      <c r="D572" s="47" t="str">
        <f>VLOOKUP(B572,'Player Data'!A1:D667,4,FALSE)</f>
        <v>RW</v>
      </c>
      <c r="E572" s="61">
        <f>VLOOKUP(B572,RW!A1:F136,3,FALSE)</f>
        <v>116</v>
      </c>
      <c r="F572" s="65" t="str">
        <f>VLOOKUP(B572,'Player Data'!A1:B667,2,FALSE)</f>
        <v>NSH</v>
      </c>
      <c r="G572" s="10">
        <f>VLOOKUP(B572,'Player Data'!A1:D667,3,FALSE)</f>
        <v>29</v>
      </c>
      <c r="H572" s="50">
        <f>IFERROR(VLOOKUP(B572,ADP!A1:G665,7,FALSE)/1000000,VLOOKUP(B572,ADP!A1:G665,7,FALSE))</f>
        <v>0.9</v>
      </c>
      <c r="I572" s="51">
        <f>IF(Settings!$E$15="POINTS",((R572*Q572)*Settings!$B$12)+(S572*Settings!$B$2)+(T572*Settings!$B$3)+(U572*Settings!$B$4)+(V572*Settings!$B$5)+(X572*Settings!$B$9)+(AA572*Settings!$B$6)+(W572*Settings!$B$8)+(AB572*Settings!$B$7)+(AC572*Settings!$B$14)+(AD572*Settings!$B$15)+(AE572*Settings!$B$16)+(AF572*Settings!$B$17)+(AG572*Settings!$B$18)+(Y572*Settings!$B$10)+(Z572*Settings!$B$11),VLOOKUP(B572,'Standard Deviations'!A1:C666,3,FALSE))</f>
        <v>122.4031704339334</v>
      </c>
      <c r="J572" s="52">
        <f>IF(D572="G",I572/AJ572,I572/Q572)</f>
        <v>1.7504922478932199</v>
      </c>
      <c r="K572" s="51">
        <f>IF(Settings!$E$18="C/LW/RW",VLOOKUP(B572,RW!A1:F136,6,FALSE),VLOOKUP(B572,F!A1:F392,6,FALSE))</f>
        <v>-246.44455267235901</v>
      </c>
      <c r="L572" s="53">
        <f>IFERROR(K572/H572,"N/A")</f>
        <v>-273.82728074706557</v>
      </c>
      <c r="M572" s="83" t="str">
        <f>IF(Settings!$E$9="YAHOO",VLOOKUP(B572,ADP!A1:E665,2,FALSE),IF(Settings!$E$9="ESPN",VLOOKUP(B572,ADP!A1:E665,3,FALSE),IF(Settings!$E$9="FANTRAX",VLOOKUP(B572,ADP!A1:E665,4,FALSE),VLOOKUP(B572,ADP!A1:E665,5,FALSE))))</f>
        <v>—</v>
      </c>
      <c r="N572" s="83" t="str">
        <f>IFERROR(M572-A572,"N/A")</f>
        <v>N/A</v>
      </c>
      <c r="O572" s="54"/>
      <c r="P572" s="55" t="str">
        <f>IF(Settings!$E$27="ON",VLOOKUP(B572,ADP!A1:H665,8,FALSE)," ")</f>
        <v xml:space="preserve"> </v>
      </c>
      <c r="Q572" s="56">
        <f>IF(Settings!$E$12="YES",VLOOKUP(B572,'Player Data'!A1:E667,5,FALSE),82)</f>
        <v>69.924999999999997</v>
      </c>
      <c r="R572" s="54">
        <f>VLOOKUP(B572,'Player Data'!$A1:$AE667,6,FALSE)</f>
        <v>12.1916847964303</v>
      </c>
      <c r="S572" s="56">
        <f>VLOOKUP(B572,'Player Data'!$A1:$AE667,7,FALSE)*$Q572*IFERROR((VLOOKUP(P572,Settings!$E$28:$F$33,2,FALSE)+1),1)</f>
        <v>9.0962753699909609</v>
      </c>
      <c r="T572" s="56">
        <f>VLOOKUP(B572,'Player Data'!$A1:$AE667,8,FALSE)*$Q572*IFERROR((VLOOKUP(P572,Settings!$E$28:$F$33,2,FALSE)+1),1)</f>
        <v>8.6722141521297171</v>
      </c>
      <c r="U572" s="56">
        <f>SUM(S572:T572)</f>
        <v>17.768489522120678</v>
      </c>
      <c r="V572" s="56">
        <f>VLOOKUP(B572,'Player Data'!$A1:$AE667,10,FALSE)*$Q572*IFERROR(((VLOOKUP(P572,Settings!$E$28:$F$33,2,FALSE)/2)+1),1)</f>
        <v>87.099782536993672</v>
      </c>
      <c r="W572" s="56">
        <f>VLOOKUP(B572,'Player Data'!$A1:$AE667,11,FALSE)*$Q572*IFERROR((VLOOKUP(P572,Settings!$E$28:$F$33,2,FALSE)+1),1)</f>
        <v>6.3299140001280438E-2</v>
      </c>
      <c r="X572" s="56">
        <f>VLOOKUP(B572,'Player Data'!$A1:$AE667,12,FALSE)*$Q572*IFERROR((VLOOKUP(P572,Settings!$E$28:$F$33,2,FALSE)+1),1)</f>
        <v>0.16453008096880686</v>
      </c>
      <c r="Y572" s="56">
        <f>VLOOKUP(B572,'Player Data'!$A1:$AE667,13,FALSE)*$Q572</f>
        <v>0.31570141592860457</v>
      </c>
      <c r="Z572" s="56">
        <f>VLOOKUP(B572,'Player Data'!$A1:$AE667,14,FALSE)*$Q572</f>
        <v>0.72231690720677744</v>
      </c>
      <c r="AA572" s="56">
        <f>VLOOKUP(B572,'Player Data'!$A1:$AE667,15,FALSE)*$Q572</f>
        <v>49.321927221797907</v>
      </c>
      <c r="AB572" s="56">
        <f>VLOOKUP(B572,'Player Data'!$A1:$AE667,16,FALSE)*$Q572</f>
        <v>137.0513214939082</v>
      </c>
      <c r="AC572" s="56">
        <f>VLOOKUP(B572,'Player Data'!$A1:$AE667,17,FALSE)*$Q572*IFERROR((VLOOKUP(P572,Settings!$E$28:$F$33,2,FALSE)+1),1)</f>
        <v>1.5101508022259036</v>
      </c>
      <c r="AD572" s="56">
        <f>VLOOKUP(B572,'Player Data'!$A1:$AE667,18,FALSE)*$Q572</f>
        <v>56.521394789633106</v>
      </c>
      <c r="AE572" s="56">
        <f>VLOOKUP(B572,'Player Data'!$A1:$AE667,19,FALSE)*$Q572*IFERROR((VLOOKUP(P572,Settings!$E$28:$F$33,2,FALSE)+1),1)</f>
        <v>1.2879672813458594</v>
      </c>
      <c r="AF572" s="56">
        <f>VLOOKUP(B572,'Player Data'!$A1:$AE667,20,FALSE)*$Q572</f>
        <v>332.47614770695526</v>
      </c>
      <c r="AG572" s="56">
        <f>VLOOKUP(B572,'Player Data'!$A1:$AE667,21,FALSE)*$Q572</f>
        <v>276.15418852327315</v>
      </c>
      <c r="AH572" s="58">
        <f>VLOOKUP(B572,'Player Data'!$A1:$AE667,22,FALSE)</f>
        <v>0.54626943140275597</v>
      </c>
      <c r="AI572" s="54"/>
      <c r="AJ572" s="56"/>
      <c r="AK572" s="56"/>
      <c r="AL572" s="56"/>
      <c r="AM572" s="56"/>
      <c r="AN572" s="56"/>
      <c r="AO572" s="56"/>
      <c r="AP572" s="56"/>
      <c r="AQ572" s="59"/>
      <c r="AR572" s="60"/>
      <c r="AS572" s="54"/>
    </row>
    <row r="573" spans="1:45" ht="21.25" customHeight="1" x14ac:dyDescent="0.15">
      <c r="A573" s="45">
        <f>RANK(K573,K$1:K$665)</f>
        <v>572</v>
      </c>
      <c r="B573" s="9" t="s">
        <v>698</v>
      </c>
      <c r="C573" s="46" t="s">
        <v>127</v>
      </c>
      <c r="D573" s="47" t="str">
        <f>VLOOKUP(B573,'Player Data'!A1:D667,4,FALSE)</f>
        <v>RW</v>
      </c>
      <c r="E573" s="61">
        <f>VLOOKUP(B573,RW!A1:F136,3,FALSE)</f>
        <v>117</v>
      </c>
      <c r="F573" s="77" t="str">
        <f>VLOOKUP(B573,'Player Data'!A1:B667,2,FALSE)</f>
        <v>S.J</v>
      </c>
      <c r="G573" s="10">
        <f>VLOOKUP(B573,'Player Data'!A1:D667,3,FALSE)</f>
        <v>26</v>
      </c>
      <c r="H573" s="50">
        <f>IFERROR(VLOOKUP(B573,ADP!A1:G665,7,FALSE)/1000000,VLOOKUP(B573,ADP!A1:G665,7,FALSE))</f>
        <v>1.8</v>
      </c>
      <c r="I573" s="51">
        <f>IF(Settings!$E$15="POINTS",((R573*Q573)*Settings!$B$12)+(S573*Settings!$B$2)+(T573*Settings!$B$3)+(U573*Settings!$B$4)+(V573*Settings!$B$5)+(X573*Settings!$B$9)+(AA573*Settings!$B$6)+(W573*Settings!$B$8)+(AB573*Settings!$B$7)+(AC573*Settings!$B$14)+(AD573*Settings!$B$15)+(AE573*Settings!$B$16)+(AF573*Settings!$B$17)+(AG573*Settings!$B$18)+(Y573*Settings!$B$10)+(Z573*Settings!$B$11),VLOOKUP(B573,'Standard Deviations'!A1:C666,3,FALSE))</f>
        <v>122.21354406324278</v>
      </c>
      <c r="J573" s="52">
        <f>IF(D573="G",I573/AJ573,I573/Q573)</f>
        <v>1.7431063514101306</v>
      </c>
      <c r="K573" s="51">
        <f>IF(Settings!$E$18="C/LW/RW",VLOOKUP(B573,RW!A1:F136,6,FALSE),VLOOKUP(B573,F!A1:F392,6,FALSE))</f>
        <v>-246.63417904304961</v>
      </c>
      <c r="L573" s="53">
        <f>IFERROR(K573/H573,"N/A")</f>
        <v>-137.01898835724978</v>
      </c>
      <c r="M573" s="83" t="str">
        <f>IF(Settings!$E$9="YAHOO",VLOOKUP(B573,ADP!A1:E665,2,FALSE),IF(Settings!$E$9="ESPN",VLOOKUP(B573,ADP!A1:E665,3,FALSE),IF(Settings!$E$9="FANTRAX",VLOOKUP(B573,ADP!A1:E665,4,FALSE),VLOOKUP(B573,ADP!A1:E665,5,FALSE))))</f>
        <v>—</v>
      </c>
      <c r="N573" s="83" t="str">
        <f>IFERROR(M573-A573,"N/A")</f>
        <v>N/A</v>
      </c>
      <c r="O573" s="54"/>
      <c r="P573" s="55" t="str">
        <f>IF(Settings!$E$27="ON",VLOOKUP(B573,ADP!A1:H665,8,FALSE)," ")</f>
        <v xml:space="preserve"> </v>
      </c>
      <c r="Q573" s="56">
        <f>IF(Settings!$E$12="YES",VLOOKUP(B573,'Player Data'!A1:E667,5,FALSE),82)</f>
        <v>70.112499999999997</v>
      </c>
      <c r="R573" s="54">
        <f>VLOOKUP(B573,'Player Data'!$A1:$AE667,6,FALSE)</f>
        <v>10.595618333213601</v>
      </c>
      <c r="S573" s="56">
        <f>VLOOKUP(B573,'Player Data'!$A1:$AE667,7,FALSE)*$Q573*IFERROR((VLOOKUP(P573,Settings!$E$28:$F$33,2,FALSE)+1),1)</f>
        <v>10.007420262234938</v>
      </c>
      <c r="T573" s="56">
        <f>VLOOKUP(B573,'Player Data'!$A1:$AE667,8,FALSE)*$Q573*IFERROR((VLOOKUP(P573,Settings!$E$28:$F$33,2,FALSE)+1),1)</f>
        <v>7.7795115651221698</v>
      </c>
      <c r="U573" s="56">
        <f>SUM(S573:T573)</f>
        <v>17.786931827357108</v>
      </c>
      <c r="V573" s="56">
        <f>VLOOKUP(B573,'Player Data'!$A1:$AE667,10,FALSE)*$Q573*IFERROR(((VLOOKUP(P573,Settings!$E$28:$F$33,2,FALSE)/2)+1),1)</f>
        <v>113.92648965559339</v>
      </c>
      <c r="W573" s="56">
        <f>VLOOKUP(B573,'Player Data'!$A1:$AE667,11,FALSE)*$Q573*IFERROR((VLOOKUP(P573,Settings!$E$28:$F$33,2,FALSE)+1),1)</f>
        <v>0.12885787749494837</v>
      </c>
      <c r="X573" s="56">
        <f>VLOOKUP(B573,'Player Data'!$A1:$AE667,12,FALSE)*$Q573*IFERROR((VLOOKUP(P573,Settings!$E$28:$F$33,2,FALSE)+1),1)</f>
        <v>0.20479519954288475</v>
      </c>
      <c r="Y573" s="56">
        <f>VLOOKUP(B573,'Player Data'!$A1:$AE667,13,FALSE)*$Q573</f>
        <v>6.4746687730287592E-2</v>
      </c>
      <c r="Z573" s="56">
        <f>VLOOKUP(B573,'Player Data'!$A1:$AE667,14,FALSE)*$Q573</f>
        <v>7.3825588192646424E-2</v>
      </c>
      <c r="AA573" s="56">
        <f>VLOOKUP(B573,'Player Data'!$A1:$AE667,15,FALSE)*$Q573</f>
        <v>23.22176593127843</v>
      </c>
      <c r="AB573" s="56">
        <f>VLOOKUP(B573,'Player Data'!$A1:$AE667,16,FALSE)*$Q573</f>
        <v>155.63006419508247</v>
      </c>
      <c r="AC573" s="56">
        <f>VLOOKUP(B573,'Player Data'!$A1:$AE667,17,FALSE)*$Q573*IFERROR((VLOOKUP(P573,Settings!$E$28:$F$33,2,FALSE)+1),1)</f>
        <v>1.292795399464528</v>
      </c>
      <c r="AD573" s="56">
        <f>VLOOKUP(B573,'Player Data'!$A1:$AE667,18,FALSE)*$Q573</f>
        <v>20.982013194307786</v>
      </c>
      <c r="AE573" s="56">
        <f>VLOOKUP(B573,'Player Data'!$A1:$AE667,19,FALSE)*$Q573*IFERROR((VLOOKUP(P573,Settings!$E$28:$F$33,2,FALSE)+1),1)</f>
        <v>1.0688938083183628</v>
      </c>
      <c r="AF573" s="56">
        <f>VLOOKUP(B573,'Player Data'!$A1:$AE667,20,FALSE)*$Q573</f>
        <v>4.6790637558434911</v>
      </c>
      <c r="AG573" s="56">
        <f>VLOOKUP(B573,'Player Data'!$A1:$AE667,21,FALSE)*$Q573</f>
        <v>10.068228182627866</v>
      </c>
      <c r="AH573" s="58">
        <f>VLOOKUP(B573,'Player Data'!$A1:$AE667,22,FALSE)</f>
        <v>0.31728291372853301</v>
      </c>
      <c r="AI573" s="54"/>
      <c r="AJ573" s="64"/>
      <c r="AK573" s="56"/>
      <c r="AL573" s="56"/>
      <c r="AM573" s="56"/>
      <c r="AN573" s="56"/>
      <c r="AO573" s="56"/>
      <c r="AP573" s="56"/>
      <c r="AQ573" s="59"/>
      <c r="AR573" s="60"/>
      <c r="AS573" s="54"/>
    </row>
    <row r="574" spans="1:45" ht="21.25" customHeight="1" x14ac:dyDescent="0.15">
      <c r="A574" s="45">
        <f>RANK(K574,K$1:K$665)</f>
        <v>573</v>
      </c>
      <c r="B574" s="9" t="s">
        <v>699</v>
      </c>
      <c r="C574" s="46" t="s">
        <v>127</v>
      </c>
      <c r="D574" s="47" t="str">
        <f>VLOOKUP(B574,'Player Data'!A1:D667,4,FALSE)</f>
        <v>C</v>
      </c>
      <c r="E574" s="48">
        <f>VLOOKUP(B574,'C'!A1:C206,3,FALSE)</f>
        <v>158</v>
      </c>
      <c r="F574" s="55" t="str">
        <f>VLOOKUP(B574,'Player Data'!A1:B667,2,FALSE)</f>
        <v>DAL</v>
      </c>
      <c r="G574" s="69">
        <f>VLOOKUP(B574,'Player Data'!A1:D667,3,FALSE)</f>
        <v>22</v>
      </c>
      <c r="H574" s="50">
        <f>IFERROR(VLOOKUP(B574,ADP!A1:G665,7,FALSE)/1000000,VLOOKUP(B574,ADP!A1:G665,7,FALSE))</f>
        <v>0.89416700000000005</v>
      </c>
      <c r="I574" s="51">
        <f>IF(Settings!$E$15="POINTS",((R574*Q574)*Settings!$B$12)+(S574*Settings!$B$2)+(T574*Settings!$B$3)+(U574*Settings!$B$4)+(V574*Settings!$B$5)+(X574*Settings!$B$9)+(AA574*Settings!$B$6)+(W574*Settings!$B$8)+(AB574*Settings!$B$7)+(AC574*Settings!$B$14)+(AD574*Settings!$B$15)+(AE574*Settings!$B$16)+(AF574*Settings!$B$17)+(AG574*Settings!$B$18)+(Y574*Settings!$B$10)+(Z574*Settings!$B$11),VLOOKUP(B574,'Standard Deviations'!A1:C666,3,FALSE))</f>
        <v>142.03510896582551</v>
      </c>
      <c r="J574" s="52">
        <f>IF(D574="G",I574/AJ574,I574/Q574)</f>
        <v>1.9727098467475765</v>
      </c>
      <c r="K574" s="51">
        <f>IF(Settings!$E$18="C/LW/RW",VLOOKUP(B574,'C'!A1:F206,6,FALSE),VLOOKUP(B574,F!A1:F392,6,FALSE))</f>
        <v>-247.90204881225557</v>
      </c>
      <c r="L574" s="53">
        <f>IFERROR(K574/H574,"N/A")</f>
        <v>-277.24356726680315</v>
      </c>
      <c r="M574" s="83" t="str">
        <f>IF(Settings!$E$9="YAHOO",VLOOKUP(B574,ADP!A1:E665,2,FALSE),IF(Settings!$E$9="ESPN",VLOOKUP(B574,ADP!A1:E665,3,FALSE),IF(Settings!$E$9="FANTRAX",VLOOKUP(B574,ADP!A1:E665,4,FALSE),VLOOKUP(B574,ADP!A1:E665,5,FALSE))))</f>
        <v>—</v>
      </c>
      <c r="N574" s="83" t="str">
        <f>IFERROR(M574-A574,"N/A")</f>
        <v>N/A</v>
      </c>
      <c r="O574" s="54"/>
      <c r="P574" s="55" t="str">
        <f>IF(Settings!$E$27="ON",VLOOKUP(B574,ADP!A1:H665,8,FALSE)," ")</f>
        <v xml:space="preserve"> </v>
      </c>
      <c r="Q574" s="56">
        <f>IF(Settings!$E$12="YES",VLOOKUP(B574,'Player Data'!A1:E667,5,FALSE),82)</f>
        <v>72</v>
      </c>
      <c r="R574" s="54">
        <f>VLOOKUP(B574,'Player Data'!$A1:$AE667,6,FALSE)</f>
        <v>14</v>
      </c>
      <c r="S574" s="56">
        <f>VLOOKUP(B574,'Player Data'!$A1:$AE667,7,FALSE)*$Q574*IFERROR((VLOOKUP(P574,Settings!$E$28:$F$33,2,FALSE)+1),1)</f>
        <v>9.2501050294300313</v>
      </c>
      <c r="T574" s="56">
        <f>VLOOKUP(B574,'Player Data'!$A1:$AE667,8,FALSE)*$Q574*IFERROR((VLOOKUP(P574,Settings!$E$28:$F$33,2,FALSE)+1),1)</f>
        <v>15.362462029488624</v>
      </c>
      <c r="U574" s="56">
        <f>SUM(S574:T574)</f>
        <v>24.612567058918657</v>
      </c>
      <c r="V574" s="56">
        <f>VLOOKUP(B574,'Player Data'!$A1:$AE667,10,FALSE)*$Q574*IFERROR(((VLOOKUP(P574,Settings!$E$28:$F$33,2,FALSE)/2)+1),1)</f>
        <v>98.792566809053028</v>
      </c>
      <c r="W574" s="56">
        <f>VLOOKUP(B574,'Player Data'!$A1:$AE667,11,FALSE)*$Q574*IFERROR((VLOOKUP(P574,Settings!$E$28:$F$33,2,FALSE)+1),1)</f>
        <v>1.3900715016978022</v>
      </c>
      <c r="X574" s="56">
        <f>VLOOKUP(B574,'Player Data'!$A1:$AE667,12,FALSE)*$Q574*IFERROR((VLOOKUP(P574,Settings!$E$28:$F$33,2,FALSE)+1),1)</f>
        <v>3.6986853601528127</v>
      </c>
      <c r="Y574" s="56">
        <f>VLOOKUP(B574,'Player Data'!$A1:$AE667,13,FALSE)*$Q574</f>
        <v>0</v>
      </c>
      <c r="Z574" s="56">
        <f>VLOOKUP(B574,'Player Data'!$A1:$AE667,14,FALSE)*$Q574</f>
        <v>0</v>
      </c>
      <c r="AA574" s="56">
        <f>VLOOKUP(B574,'Player Data'!$A1:$AE667,15,FALSE)*$Q574</f>
        <v>30.204878048780472</v>
      </c>
      <c r="AB574" s="56">
        <f>VLOOKUP(B574,'Player Data'!$A1:$AE667,16,FALSE)*$Q574</f>
        <v>85.182653035242723</v>
      </c>
      <c r="AC574" s="56">
        <f>VLOOKUP(B574,'Player Data'!$A1:$AE667,17,FALSE)*$Q574*IFERROR((VLOOKUP(P574,Settings!$E$28:$F$33,2,FALSE)+1),1)</f>
        <v>3.9995007018342408</v>
      </c>
      <c r="AD574" s="56">
        <f>VLOOKUP(B574,'Player Data'!$A1:$AE667,18,FALSE)*$Q574</f>
        <v>29.092816683612288</v>
      </c>
      <c r="AE574" s="56">
        <f>VLOOKUP(B574,'Player Data'!$A1:$AE667,19,FALSE)*$Q574*IFERROR((VLOOKUP(P574,Settings!$E$28:$F$33,2,FALSE)+1),1)</f>
        <v>1.4792648986145305</v>
      </c>
      <c r="AF574" s="56">
        <f>VLOOKUP(B574,'Player Data'!$A1:$AE667,20,FALSE)*$Q574</f>
        <v>87.804878048780409</v>
      </c>
      <c r="AG574" s="56">
        <f>VLOOKUP(B574,'Player Data'!$A1:$AE667,21,FALSE)*$Q574</f>
        <v>131.70731707317097</v>
      </c>
      <c r="AH574" s="58">
        <f>VLOOKUP(B574,'Player Data'!$A1:$AE667,22,FALSE)</f>
        <v>0.4</v>
      </c>
      <c r="AI574" s="54"/>
      <c r="AJ574" s="64"/>
      <c r="AK574" s="56"/>
      <c r="AL574" s="56"/>
      <c r="AM574" s="56"/>
      <c r="AN574" s="56"/>
      <c r="AO574" s="56"/>
      <c r="AP574" s="56"/>
      <c r="AQ574" s="59"/>
      <c r="AR574" s="60"/>
      <c r="AS574" s="54"/>
    </row>
    <row r="575" spans="1:45" ht="21.25" customHeight="1" x14ac:dyDescent="0.15">
      <c r="A575" s="45">
        <f>RANK(K575,K$1:K$665)</f>
        <v>574</v>
      </c>
      <c r="B575" s="9" t="s">
        <v>700</v>
      </c>
      <c r="C575" s="46" t="s">
        <v>127</v>
      </c>
      <c r="D575" s="47" t="str">
        <f>VLOOKUP(B575,'Player Data'!A1:D667,4,FALSE)</f>
        <v>LW</v>
      </c>
      <c r="E575" s="70">
        <f>VLOOKUP(B575,LW!A1:C152,3,FALSE)</f>
        <v>131</v>
      </c>
      <c r="F575" s="62" t="str">
        <f>VLOOKUP(B575,'Player Data'!A1:B667,2,FALSE)</f>
        <v>T.B</v>
      </c>
      <c r="G575" s="63">
        <f>VLOOKUP(B575,'Player Data'!A1:D667,3,FALSE)</f>
        <v>32</v>
      </c>
      <c r="H575" s="50">
        <f>IFERROR(VLOOKUP(B575,ADP!A1:G665,7,FALSE)/1000000,VLOOKUP(B575,ADP!A1:G665,7,FALSE))</f>
        <v>2</v>
      </c>
      <c r="I575" s="51">
        <f>IF(Settings!$E$15="POINTS",((R575*Q575)*Settings!$B$12)+(S575*Settings!$B$2)+(T575*Settings!$B$3)+(U575*Settings!$B$4)+(V575*Settings!$B$5)+(X575*Settings!$B$9)+(AA575*Settings!$B$6)+(W575*Settings!$B$8)+(AB575*Settings!$B$7)+(AC575*Settings!$B$14)+(AD575*Settings!$B$15)+(AE575*Settings!$B$16)+(AF575*Settings!$B$17)+(AG575*Settings!$B$18)+(Y575*Settings!$B$10)+(Z575*Settings!$B$11),VLOOKUP(B575,'Standard Deviations'!A1:C666,3,FALSE))</f>
        <v>132.04790514047983</v>
      </c>
      <c r="J575" s="52">
        <f>IF(D575="G",I575/AJ575,I575/Q575)</f>
        <v>1.7262856507563462</v>
      </c>
      <c r="K575" s="51">
        <f>IF(Settings!$E$18="C/LW/RW",VLOOKUP(B575,LW!A1:F152,6,FALSE),VLOOKUP(B575,F!A1:F392,6,FALSE))</f>
        <v>-249.01360716201992</v>
      </c>
      <c r="L575" s="53">
        <f>IFERROR(K575/H575,"N/A")</f>
        <v>-124.50680358100996</v>
      </c>
      <c r="M575" s="83" t="str">
        <f>IF(Settings!$E$9="YAHOO",VLOOKUP(B575,ADP!A1:E665,2,FALSE),IF(Settings!$E$9="ESPN",VLOOKUP(B575,ADP!A1:E665,3,FALSE),IF(Settings!$E$9="FANTRAX",VLOOKUP(B575,ADP!A1:E665,4,FALSE),VLOOKUP(B575,ADP!A1:E665,5,FALSE))))</f>
        <v>—</v>
      </c>
      <c r="N575" s="83" t="str">
        <f>IFERROR(M575-A575,"N/A")</f>
        <v>N/A</v>
      </c>
      <c r="O575" s="54"/>
      <c r="P575" s="55" t="str">
        <f>IF(Settings!$E$27="ON",VLOOKUP(B575,ADP!A1:H665,8,FALSE)," ")</f>
        <v xml:space="preserve"> </v>
      </c>
      <c r="Q575" s="56">
        <f>IF(Settings!$E$12="YES",VLOOKUP(B575,'Player Data'!A1:E667,5,FALSE),82)</f>
        <v>76.492500000000007</v>
      </c>
      <c r="R575" s="75">
        <f>VLOOKUP(B575,'Player Data'!$A1:$AE667,6,FALSE)</f>
        <v>12.3018340395413</v>
      </c>
      <c r="S575" s="56">
        <f>VLOOKUP(B575,'Player Data'!$A1:$AE667,7,FALSE)*$Q575*IFERROR((VLOOKUP(P575,Settings!$E$28:$F$33,2,FALSE)+1),1)</f>
        <v>7.8286025628042406</v>
      </c>
      <c r="T575" s="56">
        <f>VLOOKUP(B575,'Player Data'!$A1:$AE667,8,FALSE)*$Q575*IFERROR((VLOOKUP(P575,Settings!$E$28:$F$33,2,FALSE)+1),1)</f>
        <v>13.542510966131804</v>
      </c>
      <c r="U575" s="56">
        <f>SUM(S575:T575)</f>
        <v>21.371113528936043</v>
      </c>
      <c r="V575" s="56">
        <f>VLOOKUP(B575,'Player Data'!$A1:$AE667,10,FALSE)*$Q575*IFERROR(((VLOOKUP(P575,Settings!$E$28:$F$33,2,FALSE)/2)+1),1)</f>
        <v>93.009526296542376</v>
      </c>
      <c r="W575" s="56">
        <f>VLOOKUP(B575,'Player Data'!$A1:$AE667,11,FALSE)*$Q575*IFERROR((VLOOKUP(P575,Settings!$E$28:$F$33,2,FALSE)+1),1)</f>
        <v>0.10566267586108441</v>
      </c>
      <c r="X575" s="56">
        <f>VLOOKUP(B575,'Player Data'!$A1:$AE667,12,FALSE)*$Q575*IFERROR((VLOOKUP(P575,Settings!$E$28:$F$33,2,FALSE)+1),1)</f>
        <v>0.32084447095397112</v>
      </c>
      <c r="Y575" s="56">
        <f>VLOOKUP(B575,'Player Data'!$A1:$AE667,13,FALSE)*$Q575</f>
        <v>0.14143918809366129</v>
      </c>
      <c r="Z575" s="56">
        <f>VLOOKUP(B575,'Player Data'!$A1:$AE667,14,FALSE)*$Q575</f>
        <v>0.17704497423706844</v>
      </c>
      <c r="AA575" s="56">
        <f>VLOOKUP(B575,'Player Data'!$A1:$AE667,15,FALSE)*$Q575</f>
        <v>41.863823920418888</v>
      </c>
      <c r="AB575" s="56">
        <f>VLOOKUP(B575,'Player Data'!$A1:$AE667,16,FALSE)*$Q575</f>
        <v>44.24943712002559</v>
      </c>
      <c r="AC575" s="56">
        <f>VLOOKUP(B575,'Player Data'!$A1:$AE667,17,FALSE)*$Q575*IFERROR((VLOOKUP(P575,Settings!$E$28:$F$33,2,FALSE)+1),1)</f>
        <v>1.1490795185989906</v>
      </c>
      <c r="AD575" s="56">
        <f>VLOOKUP(B575,'Player Data'!$A1:$AE667,18,FALSE)*$Q575</f>
        <v>15.793784086983829</v>
      </c>
      <c r="AE575" s="56">
        <f>VLOOKUP(B575,'Player Data'!$A1:$AE667,19,FALSE)*$Q575*IFERROR((VLOOKUP(P575,Settings!$E$28:$F$33,2,FALSE)+1),1)</f>
        <v>1.2334873176331493</v>
      </c>
      <c r="AF575" s="56">
        <f>VLOOKUP(B575,'Player Data'!$A1:$AE667,20,FALSE)*$Q575</f>
        <v>9.1543954643026346</v>
      </c>
      <c r="AG575" s="56">
        <f>VLOOKUP(B575,'Player Data'!$A1:$AE667,21,FALSE)*$Q575</f>
        <v>11.470964398854836</v>
      </c>
      <c r="AH575" s="58">
        <f>VLOOKUP(B575,'Player Data'!$A1:$AE667,22,FALSE)</f>
        <v>0.443841732946193</v>
      </c>
      <c r="AI575" s="54"/>
      <c r="AJ575" s="56"/>
      <c r="AK575" s="56"/>
      <c r="AL575" s="56"/>
      <c r="AM575" s="56"/>
      <c r="AN575" s="56"/>
      <c r="AO575" s="56"/>
      <c r="AP575" s="56"/>
      <c r="AQ575" s="59"/>
      <c r="AR575" s="60"/>
      <c r="AS575" s="54"/>
    </row>
    <row r="576" spans="1:45" ht="21.25" customHeight="1" x14ac:dyDescent="0.15">
      <c r="A576" s="45">
        <f>RANK(K576,K$1:K$665)</f>
        <v>575</v>
      </c>
      <c r="B576" s="9" t="s">
        <v>701</v>
      </c>
      <c r="C576" s="46" t="s">
        <v>127</v>
      </c>
      <c r="D576" s="47" t="str">
        <f>VLOOKUP(B576,'Player Data'!A1:D667,4,FALSE)</f>
        <v>LW</v>
      </c>
      <c r="E576" s="70">
        <f>VLOOKUP(B576,LW!A1:C152,3,FALSE)</f>
        <v>132</v>
      </c>
      <c r="F576" s="71" t="str">
        <f>VLOOKUP(B576,'Player Data'!A1:B667,2,FALSE)</f>
        <v>NYR</v>
      </c>
      <c r="G576" s="69">
        <f>VLOOKUP(B576,'Player Data'!A1:D667,3,FALSE)</f>
        <v>22</v>
      </c>
      <c r="H576" s="67">
        <f>IFERROR(VLOOKUP(B576,ADP!A1:G665,7,FALSE)/1000000,VLOOKUP(B576,ADP!A1:G665,7,FALSE))</f>
        <v>0.82833299999999999</v>
      </c>
      <c r="I576" s="51">
        <f>IF(Settings!$E$15="POINTS",((R576*Q576)*Settings!$B$12)+(S576*Settings!$B$2)+(T576*Settings!$B$3)+(U576*Settings!$B$4)+(V576*Settings!$B$5)+(X576*Settings!$B$9)+(AA576*Settings!$B$6)+(W576*Settings!$B$8)+(AB576*Settings!$B$7)+(AC576*Settings!$B$14)+(AD576*Settings!$B$15)+(AE576*Settings!$B$16)+(AF576*Settings!$B$17)+(AG576*Settings!$B$18)+(Y576*Settings!$B$10)+(Z576*Settings!$B$11),VLOOKUP(B576,'Standard Deviations'!A1:C666,3,FALSE))</f>
        <v>131.4056862602657</v>
      </c>
      <c r="J576" s="52">
        <f>IF(D576="G",I576/AJ576,I576/Q576)</f>
        <v>1.6371480254191204</v>
      </c>
      <c r="K576" s="51">
        <f>IF(Settings!$E$18="C/LW/RW",VLOOKUP(B576,LW!A1:F152,6,FALSE),VLOOKUP(B576,F!A1:F392,6,FALSE))</f>
        <v>-249.65582604223405</v>
      </c>
      <c r="L576" s="53">
        <f>IFERROR(K576/H576,"N/A")</f>
        <v>-301.39548471717785</v>
      </c>
      <c r="M576" s="83" t="str">
        <f>IF(Settings!$E$9="YAHOO",VLOOKUP(B576,ADP!A1:E665,2,FALSE),IF(Settings!$E$9="ESPN",VLOOKUP(B576,ADP!A1:E665,3,FALSE),IF(Settings!$E$9="FANTRAX",VLOOKUP(B576,ADP!A1:E665,4,FALSE),VLOOKUP(B576,ADP!A1:E665,5,FALSE))))</f>
        <v>—</v>
      </c>
      <c r="N576" s="83" t="str">
        <f>IFERROR(M576-A576,"N/A")</f>
        <v>N/A</v>
      </c>
      <c r="O576" s="54"/>
      <c r="P576" s="55" t="str">
        <f>IF(Settings!$E$27="ON",VLOOKUP(B576,ADP!A1:H665,8,FALSE)," ")</f>
        <v xml:space="preserve"> </v>
      </c>
      <c r="Q576" s="56">
        <f>IF(Settings!$E$12="YES",VLOOKUP(B576,'Player Data'!A1:E667,5,FALSE),82)</f>
        <v>80.265000000000001</v>
      </c>
      <c r="R576" s="54">
        <f>VLOOKUP(B576,'Player Data'!$A1:$AE667,6,FALSE)</f>
        <v>11.0500073304884</v>
      </c>
      <c r="S576" s="56">
        <f>VLOOKUP(B576,'Player Data'!$A1:$AE667,7,FALSE)*$Q576*IFERROR((VLOOKUP(P576,Settings!$E$28:$F$33,2,FALSE)+1),1)</f>
        <v>11.30562300941612</v>
      </c>
      <c r="T576" s="56">
        <f>VLOOKUP(B576,'Player Data'!$A1:$AE667,8,FALSE)*$Q576*IFERROR((VLOOKUP(P576,Settings!$E$28:$F$33,2,FALSE)+1),1)</f>
        <v>8.94019709977613</v>
      </c>
      <c r="U576" s="56">
        <f>SUM(S576:T576)</f>
        <v>20.245820109192252</v>
      </c>
      <c r="V576" s="56">
        <f>VLOOKUP(B576,'Player Data'!$A1:$AE667,10,FALSE)*$Q576*IFERROR(((VLOOKUP(P576,Settings!$E$28:$F$33,2,FALSE)/2)+1),1)</f>
        <v>112.07449024665199</v>
      </c>
      <c r="W576" s="56">
        <f>VLOOKUP(B576,'Player Data'!$A1:$AE667,11,FALSE)*$Q576*IFERROR((VLOOKUP(P576,Settings!$E$28:$F$33,2,FALSE)+1),1)</f>
        <v>0.33450552444075821</v>
      </c>
      <c r="X576" s="56">
        <f>VLOOKUP(B576,'Player Data'!$A1:$AE667,12,FALSE)*$Q576*IFERROR((VLOOKUP(P576,Settings!$E$28:$F$33,2,FALSE)+1),1)</f>
        <v>0.74061170759128392</v>
      </c>
      <c r="Y576" s="56">
        <f>VLOOKUP(B576,'Player Data'!$A1:$AE667,13,FALSE)*$Q576</f>
        <v>2.9040314167881392E-4</v>
      </c>
      <c r="Z576" s="56">
        <f>VLOOKUP(B576,'Player Data'!$A1:$AE667,14,FALSE)*$Q576</f>
        <v>4.9911500544830723E-4</v>
      </c>
      <c r="AA576" s="56">
        <f>VLOOKUP(B576,'Player Data'!$A1:$AE667,15,FALSE)*$Q576</f>
        <v>27.779739973532401</v>
      </c>
      <c r="AB576" s="56">
        <f>VLOOKUP(B576,'Player Data'!$A1:$AE667,16,FALSE)*$Q576</f>
        <v>218.82871949670636</v>
      </c>
      <c r="AC576" s="56">
        <f>VLOOKUP(B576,'Player Data'!$A1:$AE667,17,FALSE)*$Q576*IFERROR((VLOOKUP(P576,Settings!$E$28:$F$33,2,FALSE)+1),1)</f>
        <v>2.9533039437759814</v>
      </c>
      <c r="AD576" s="56">
        <f>VLOOKUP(B576,'Player Data'!$A1:$AE667,18,FALSE)*$Q576</f>
        <v>39.545574418516438</v>
      </c>
      <c r="AE576" s="56">
        <f>VLOOKUP(B576,'Player Data'!$A1:$AE667,19,FALSE)*$Q576*IFERROR((VLOOKUP(P576,Settings!$E$28:$F$33,2,FALSE)+1),1)</f>
        <v>1.8479979610445652</v>
      </c>
      <c r="AF576" s="56">
        <f>VLOOKUP(B576,'Player Data'!$A1:$AE667,20,FALSE)*$Q576</f>
        <v>1.9861194940404781</v>
      </c>
      <c r="AG576" s="56">
        <f>VLOOKUP(B576,'Player Data'!$A1:$AE667,21,FALSE)*$Q576</f>
        <v>8.1989106433787349</v>
      </c>
      <c r="AH576" s="58">
        <f>VLOOKUP(B576,'Player Data'!$A1:$AE667,22,FALSE)</f>
        <v>0.195003791568921</v>
      </c>
      <c r="AI576" s="54"/>
      <c r="AJ576" s="56"/>
      <c r="AK576" s="56"/>
      <c r="AL576" s="56"/>
      <c r="AM576" s="56"/>
      <c r="AN576" s="56"/>
      <c r="AO576" s="56"/>
      <c r="AP576" s="56"/>
      <c r="AQ576" s="59"/>
      <c r="AR576" s="60"/>
      <c r="AS576" s="54"/>
    </row>
    <row r="577" spans="1:45" ht="21.25" customHeight="1" x14ac:dyDescent="0.15">
      <c r="A577" s="45">
        <f>RANK(K577,K$1:K$665)</f>
        <v>576</v>
      </c>
      <c r="B577" s="9" t="s">
        <v>702</v>
      </c>
      <c r="C577" s="46" t="s">
        <v>127</v>
      </c>
      <c r="D577" s="47" t="str">
        <f>VLOOKUP(B577,'Player Data'!A1:D667,4,FALSE)</f>
        <v>D</v>
      </c>
      <c r="E577" s="66">
        <f>VLOOKUP(B577,D!A1:C213,3,FALSE)</f>
        <v>211</v>
      </c>
      <c r="F577" s="55" t="str">
        <f>VLOOKUP(B577,'Player Data'!A1:B667,2,FALSE)</f>
        <v>N.J</v>
      </c>
      <c r="G577" s="69">
        <f>VLOOKUP(B577,'Player Data'!A1:D667,3,FALSE)</f>
        <v>23</v>
      </c>
      <c r="H577" s="50">
        <f>IFERROR(VLOOKUP(B577,ADP!A1:G665,7,FALSE)/1000000,VLOOKUP(B577,ADP!A1:G665,7,FALSE))</f>
        <v>0.77500000000000002</v>
      </c>
      <c r="I577" s="51">
        <f>IF(Settings!$E$15="POINTS",((R577*Q577)*Settings!$B$12)+(S577*Settings!$B$2)+(T577*Settings!$B$3)+(U577*Settings!$B$4)+(V577*Settings!$B$5)+(X577*Settings!$B$9)+(AA577*Settings!$B$6)+(W577*Settings!$B$8)+(AB577*Settings!$B$7)+(AC577*Settings!$B$14)+(AD577*Settings!$B$15)+(AE577*Settings!$B$16)+(AF577*Settings!$B$17)+(AG577*Settings!$B$18)+(U577*Settings!$B$13)+(Y577*Settings!$B$10)+(Z577*Settings!$B$11),VLOOKUP(B577,'Standard Deviations'!A1:C666,3,FALSE))</f>
        <v>85.753168046316389</v>
      </c>
      <c r="J577" s="52">
        <f>IF(D577="G",I577/AJ577,I577/Q577)</f>
        <v>1.5591485099330253</v>
      </c>
      <c r="K577" s="51">
        <f>VLOOKUP(B577,D!A1:F213,6,FALSE)</f>
        <v>-250.48095699927853</v>
      </c>
      <c r="L577" s="53">
        <f>IFERROR(K577/H577,"N/A")</f>
        <v>-323.20123483777877</v>
      </c>
      <c r="M577" s="83" t="str">
        <f>IF(Settings!$E$9="YAHOO",VLOOKUP(B577,ADP!A1:E665,2,FALSE),IF(Settings!$E$9="ESPN",VLOOKUP(B577,ADP!A1:E665,3,FALSE),IF(Settings!$E$9="FANTRAX",VLOOKUP(B577,ADP!A1:E665,4,FALSE),VLOOKUP(B577,ADP!A1:E665,5,FALSE))))</f>
        <v>—</v>
      </c>
      <c r="N577" s="83" t="str">
        <f>IFERROR(M577-A577,"N/A")</f>
        <v>N/A</v>
      </c>
      <c r="O577" s="54"/>
      <c r="P577" s="55" t="str">
        <f>IF(Settings!$E$27="ON",VLOOKUP(B577,ADP!A1:H665,8,FALSE)," ")</f>
        <v xml:space="preserve"> </v>
      </c>
      <c r="Q577" s="56">
        <f>IF(Settings!$E$12="YES",VLOOKUP(B577,'Player Data'!A1:E667,5,FALSE),82)</f>
        <v>55</v>
      </c>
      <c r="R577" s="54">
        <f>VLOOKUP(B577,'Player Data'!$A1:$AE667,6,FALSE)</f>
        <v>13.9889564529031</v>
      </c>
      <c r="S577" s="56">
        <f>VLOOKUP(B577,'Player Data'!$A1:$AE667,7,FALSE)*$Q577*IFERROR((VLOOKUP(P577,Settings!$E$28:$F$33,2,FALSE)+1),1)</f>
        <v>1.798267201789399</v>
      </c>
      <c r="T577" s="56">
        <f>VLOOKUP(B577,'Player Data'!$A1:$AE667,8,FALSE)*$Q577*IFERROR((VLOOKUP(P577,Settings!$E$28:$F$33,2,FALSE)+1),1)</f>
        <v>8.610702758498995</v>
      </c>
      <c r="U577" s="56">
        <f>SUM(S577:T577)</f>
        <v>10.408969960288394</v>
      </c>
      <c r="V577" s="56">
        <f>VLOOKUP(B577,'Player Data'!$A1:$AE667,10,FALSE)*$Q577*IFERROR(((VLOOKUP(P577,Settings!$E$28:$F$33,2,FALSE)/2)+1),1)</f>
        <v>50.00448345596935</v>
      </c>
      <c r="W577" s="56">
        <f>VLOOKUP(B577,'Player Data'!$A1:$AE667,11,FALSE)*$Q577*IFERROR((VLOOKUP(P577,Settings!$E$28:$F$33,2,FALSE)+1),1)</f>
        <v>2.0023415604366133E-3</v>
      </c>
      <c r="X577" s="56">
        <f>VLOOKUP(B577,'Player Data'!$A1:$AE667,12,FALSE)*$Q577*IFERROR((VLOOKUP(P577,Settings!$E$28:$F$33,2,FALSE)+1),1)</f>
        <v>1.2566993060546981E-2</v>
      </c>
      <c r="Y577" s="56">
        <f>VLOOKUP(B577,'Player Data'!$A1:$AE667,13,FALSE)*$Q577</f>
        <v>3.7463066355310201E-2</v>
      </c>
      <c r="Z577" s="56">
        <f>VLOOKUP(B577,'Player Data'!$A1:$AE667,14,FALSE)*$Q577</f>
        <v>0.18172847060300351</v>
      </c>
      <c r="AA577" s="56">
        <f>VLOOKUP(B577,'Player Data'!$A1:$AE667,15,FALSE)*$Q577</f>
        <v>58.659441947605949</v>
      </c>
      <c r="AB577" s="56">
        <f>VLOOKUP(B577,'Player Data'!$A1:$AE667,16,FALSE)*$Q577</f>
        <v>67.170235502777558</v>
      </c>
      <c r="AC577" s="56">
        <f>VLOOKUP(B577,'Player Data'!$A1:$AE667,17,FALSE)*$Q577*IFERROR((VLOOKUP(P577,Settings!$E$28:$F$33,2,FALSE)+1),1)</f>
        <v>2.0552003746326748</v>
      </c>
      <c r="AD577" s="56">
        <f>VLOOKUP(B577,'Player Data'!$A1:$AE667,18,FALSE)*$Q577</f>
        <v>18.370146659685645</v>
      </c>
      <c r="AE577" s="56">
        <f>VLOOKUP(B577,'Player Data'!$A1:$AE667,19,FALSE)*$Q577*IFERROR((VLOOKUP(P577,Settings!$E$28:$F$33,2,FALSE)+1),1)</f>
        <v>0.27131593970939977</v>
      </c>
      <c r="AF577" s="56">
        <f>VLOOKUP(B577,'Player Data'!$A1:$AE667,20,FALSE)*$Q577</f>
        <v>0</v>
      </c>
      <c r="AG577" s="56">
        <f>VLOOKUP(B577,'Player Data'!$A1:$AE667,21,FALSE)*$Q577</f>
        <v>0</v>
      </c>
      <c r="AH577" s="58">
        <f>VLOOKUP(B577,'Player Data'!$A1:$AE667,22,FALSE)</f>
        <v>0</v>
      </c>
      <c r="AI577" s="54"/>
      <c r="AJ577" s="64"/>
      <c r="AK577" s="56"/>
      <c r="AL577" s="56"/>
      <c r="AM577" s="56"/>
      <c r="AN577" s="56"/>
      <c r="AO577" s="56"/>
      <c r="AP577" s="56"/>
      <c r="AQ577" s="59"/>
      <c r="AR577" s="60"/>
      <c r="AS577" s="54"/>
    </row>
    <row r="578" spans="1:45" ht="21.25" customHeight="1" x14ac:dyDescent="0.15">
      <c r="A578" s="45">
        <f>RANK(K578,K$1:K$665)</f>
        <v>577</v>
      </c>
      <c r="B578" s="9" t="s">
        <v>703</v>
      </c>
      <c r="C578" s="46" t="s">
        <v>127</v>
      </c>
      <c r="D578" s="47" t="str">
        <f>VLOOKUP(B578,'Player Data'!A1:D667,4,FALSE)</f>
        <v>RW</v>
      </c>
      <c r="E578" s="61">
        <f>VLOOKUP(B578,RW!A1:F136,3,FALSE)</f>
        <v>118</v>
      </c>
      <c r="F578" s="72" t="str">
        <f>VLOOKUP(B578,'Player Data'!A1:B667,2,FALSE)</f>
        <v>CAR</v>
      </c>
      <c r="G578" s="63">
        <f>VLOOKUP(B578,'Player Data'!A1:D667,3,FALSE)</f>
        <v>32</v>
      </c>
      <c r="H578" s="67">
        <f>IFERROR(VLOOKUP(B578,ADP!A1:G665,7,FALSE)/1000000,VLOOKUP(B578,ADP!A1:G665,7,FALSE))</f>
        <v>2.4</v>
      </c>
      <c r="I578" s="51">
        <f>IF(Settings!$E$15="POINTS",((R578*Q578)*Settings!$B$12)+(S578*Settings!$B$2)+(T578*Settings!$B$3)+(U578*Settings!$B$4)+(V578*Settings!$B$5)+(X578*Settings!$B$9)+(AA578*Settings!$B$6)+(W578*Settings!$B$8)+(AB578*Settings!$B$7)+(AC578*Settings!$B$14)+(AD578*Settings!$B$15)+(AE578*Settings!$B$16)+(AF578*Settings!$B$17)+(AG578*Settings!$B$18)+(Y578*Settings!$B$10)+(Z578*Settings!$B$11),VLOOKUP(B578,'Standard Deviations'!A1:C666,3,FALSE))</f>
        <v>118.06068356356694</v>
      </c>
      <c r="J578" s="52">
        <f>IF(D578="G",I578/AJ578,I578/Q578)</f>
        <v>1.4728588536764113</v>
      </c>
      <c r="K578" s="51">
        <f>IF(Settings!$E$18="C/LW/RW",VLOOKUP(B578,RW!A1:F136,6,FALSE),VLOOKUP(B578,F!A1:F392,6,FALSE))</f>
        <v>-250.78703954272544</v>
      </c>
      <c r="L578" s="53">
        <f>IFERROR(K578/H578,"N/A")</f>
        <v>-104.49459980946894</v>
      </c>
      <c r="M578" s="83" t="str">
        <f>IF(Settings!$E$9="YAHOO",VLOOKUP(B578,ADP!A1:E665,2,FALSE),IF(Settings!$E$9="ESPN",VLOOKUP(B578,ADP!A1:E665,3,FALSE),IF(Settings!$E$9="FANTRAX",VLOOKUP(B578,ADP!A1:E665,4,FALSE),VLOOKUP(B578,ADP!A1:E665,5,FALSE))))</f>
        <v>—</v>
      </c>
      <c r="N578" s="83" t="str">
        <f>IFERROR(M578-A578,"N/A")</f>
        <v>N/A</v>
      </c>
      <c r="O578" s="54"/>
      <c r="P578" s="55" t="str">
        <f>IF(Settings!$E$27="ON",VLOOKUP(B578,ADP!A1:H665,8,FALSE)," ")</f>
        <v xml:space="preserve"> </v>
      </c>
      <c r="Q578" s="56">
        <f>IF(Settings!$E$12="YES",VLOOKUP(B578,'Player Data'!A1:E667,5,FALSE),82)</f>
        <v>80.157499999999999</v>
      </c>
      <c r="R578" s="54">
        <f>VLOOKUP(B578,'Player Data'!$A1:$AE667,6,FALSE)</f>
        <v>12.704051841083199</v>
      </c>
      <c r="S578" s="56">
        <f>VLOOKUP(B578,'Player Data'!$A1:$AE667,7,FALSE)*$Q578*IFERROR((VLOOKUP(P578,Settings!$E$28:$F$33,2,FALSE)+1),1)</f>
        <v>6.8672889454838648</v>
      </c>
      <c r="T578" s="56">
        <f>VLOOKUP(B578,'Player Data'!$A1:$AE667,8,FALSE)*$Q578*IFERROR((VLOOKUP(P578,Settings!$E$28:$F$33,2,FALSE)+1),1)</f>
        <v>13.586676329261147</v>
      </c>
      <c r="U578" s="56">
        <f>SUM(S578:T578)</f>
        <v>20.453965274745013</v>
      </c>
      <c r="V578" s="56">
        <f>VLOOKUP(B578,'Player Data'!$A1:$AE667,10,FALSE)*$Q578*IFERROR(((VLOOKUP(P578,Settings!$E$28:$F$33,2,FALSE)/2)+1),1)</f>
        <v>80.46914125775821</v>
      </c>
      <c r="W578" s="56">
        <f>VLOOKUP(B578,'Player Data'!$A1:$AE667,11,FALSE)*$Q578*IFERROR((VLOOKUP(P578,Settings!$E$28:$F$33,2,FALSE)+1),1)</f>
        <v>5.4492439083165936E-2</v>
      </c>
      <c r="X578" s="56">
        <f>VLOOKUP(B578,'Player Data'!$A1:$AE667,12,FALSE)*$Q578*IFERROR((VLOOKUP(P578,Settings!$E$28:$F$33,2,FALSE)+1),1)</f>
        <v>0.12986634645271555</v>
      </c>
      <c r="Y578" s="56">
        <f>VLOOKUP(B578,'Player Data'!$A1:$AE667,13,FALSE)*$Q578</f>
        <v>8.1217656427903948E-2</v>
      </c>
      <c r="Z578" s="56">
        <f>VLOOKUP(B578,'Player Data'!$A1:$AE667,14,FALSE)*$Q578</f>
        <v>0.92362901777899742</v>
      </c>
      <c r="AA578" s="56">
        <f>VLOOKUP(B578,'Player Data'!$A1:$AE667,15,FALSE)*$Q578</f>
        <v>30.821443492442178</v>
      </c>
      <c r="AB578" s="56">
        <f>VLOOKUP(B578,'Player Data'!$A1:$AE667,16,FALSE)*$Q578</f>
        <v>90.083036516841872</v>
      </c>
      <c r="AC578" s="56">
        <f>VLOOKUP(B578,'Player Data'!$A1:$AE667,17,FALSE)*$Q578*IFERROR((VLOOKUP(P578,Settings!$E$28:$F$33,2,FALSE)+1),1)</f>
        <v>5.8832331123131532</v>
      </c>
      <c r="AD578" s="56">
        <f>VLOOKUP(B578,'Player Data'!$A1:$AE667,18,FALSE)*$Q578</f>
        <v>15.468645193294329</v>
      </c>
      <c r="AE578" s="56">
        <f>VLOOKUP(B578,'Player Data'!$A1:$AE667,19,FALSE)*$Q578*IFERROR((VLOOKUP(P578,Settings!$E$28:$F$33,2,FALSE)+1),1)</f>
        <v>1.1900021902779794</v>
      </c>
      <c r="AF578" s="56">
        <f>VLOOKUP(B578,'Player Data'!$A1:$AE667,20,FALSE)*$Q578</f>
        <v>8.1506222240379405</v>
      </c>
      <c r="AG578" s="56">
        <f>VLOOKUP(B578,'Player Data'!$A1:$AE667,21,FALSE)*$Q578</f>
        <v>11.396060389229238</v>
      </c>
      <c r="AH578" s="58">
        <f>VLOOKUP(B578,'Player Data'!$A1:$AE667,22,FALSE)</f>
        <v>0.416982379327413</v>
      </c>
      <c r="AI578" s="54"/>
      <c r="AJ578" s="56"/>
      <c r="AK578" s="56"/>
      <c r="AL578" s="56"/>
      <c r="AM578" s="56"/>
      <c r="AN578" s="56"/>
      <c r="AO578" s="56"/>
      <c r="AP578" s="56"/>
      <c r="AQ578" s="59"/>
      <c r="AR578" s="60"/>
      <c r="AS578" s="64"/>
    </row>
    <row r="579" spans="1:45" ht="21.25" customHeight="1" x14ac:dyDescent="0.15">
      <c r="A579" s="45">
        <f>RANK(K579,K$1:K$665)</f>
        <v>578</v>
      </c>
      <c r="B579" s="9" t="s">
        <v>704</v>
      </c>
      <c r="C579" s="46" t="s">
        <v>127</v>
      </c>
      <c r="D579" s="47" t="str">
        <f>VLOOKUP(B579,'Player Data'!A1:D667,4,FALSE)</f>
        <v>RW</v>
      </c>
      <c r="E579" s="61">
        <f>VLOOKUP(B579,RW!A1:F136,3,FALSE)</f>
        <v>119</v>
      </c>
      <c r="F579" s="65" t="str">
        <f>VLOOKUP(B579,'Player Data'!A1:B667,2,FALSE)</f>
        <v>EDM</v>
      </c>
      <c r="G579" s="63">
        <f>VLOOKUP(B579,'Player Data'!A1:D667,3,FALSE)</f>
        <v>39</v>
      </c>
      <c r="H579" s="67">
        <f>IFERROR(VLOOKUP(B579,ADP!A1:G665,7,FALSE)/1000000,VLOOKUP(B579,ADP!A1:G665,7,FALSE))</f>
        <v>1.1499999999999999</v>
      </c>
      <c r="I579" s="51">
        <f>IF(Settings!$E$15="POINTS",((R579*Q579)*Settings!$B$12)+(S579*Settings!$B$2)+(T579*Settings!$B$3)+(U579*Settings!$B$4)+(V579*Settings!$B$5)+(X579*Settings!$B$9)+(AA579*Settings!$B$6)+(W579*Settings!$B$8)+(AB579*Settings!$B$7)+(AC579*Settings!$B$14)+(AD579*Settings!$B$15)+(AE579*Settings!$B$16)+(AF579*Settings!$B$17)+(AG579*Settings!$B$18)+(Y579*Settings!$B$10)+(Z579*Settings!$B$11),VLOOKUP(B579,'Standard Deviations'!A1:C666,3,FALSE))</f>
        <v>117.96632521358389</v>
      </c>
      <c r="J579" s="52">
        <f>IF(D579="G",I579/AJ579,I579/Q579)</f>
        <v>1.5335737295795624</v>
      </c>
      <c r="K579" s="51">
        <f>IF(Settings!$E$18="C/LW/RW",VLOOKUP(B579,RW!A1:F136,6,FALSE),VLOOKUP(B579,F!A1:F392,6,FALSE))</f>
        <v>-250.88139789270849</v>
      </c>
      <c r="L579" s="53">
        <f>IFERROR(K579/H579,"N/A")</f>
        <v>-218.15773729800739</v>
      </c>
      <c r="M579" s="83" t="str">
        <f>IF(Settings!$E$9="YAHOO",VLOOKUP(B579,ADP!A1:E665,2,FALSE),IF(Settings!$E$9="ESPN",VLOOKUP(B579,ADP!A1:E665,3,FALSE),IF(Settings!$E$9="FANTRAX",VLOOKUP(B579,ADP!A1:E665,4,FALSE),VLOOKUP(B579,ADP!A1:E665,5,FALSE))))</f>
        <v>—</v>
      </c>
      <c r="N579" s="83" t="str">
        <f>IFERROR(M579-A579,"N/A")</f>
        <v>N/A</v>
      </c>
      <c r="O579" s="54"/>
      <c r="P579" s="55" t="str">
        <f>IF(Settings!$E$27="ON",VLOOKUP(B579,ADP!A1:H665,8,FALSE)," ")</f>
        <v xml:space="preserve"> </v>
      </c>
      <c r="Q579" s="56">
        <f>IF(Settings!$E$12="YES",VLOOKUP(B579,'Player Data'!A1:E667,5,FALSE),82)</f>
        <v>76.922499999999999</v>
      </c>
      <c r="R579" s="81">
        <f>VLOOKUP(B579,'Player Data'!$A1:$AE667,6,FALSE)</f>
        <v>11.244901856215</v>
      </c>
      <c r="S579" s="56">
        <f>VLOOKUP(B579,'Player Data'!$A1:$AE667,7,FALSE)*$Q579*IFERROR((VLOOKUP(P579,Settings!$E$28:$F$33,2,FALSE)+1),1)</f>
        <v>8.7149117950280885</v>
      </c>
      <c r="T579" s="56">
        <f>VLOOKUP(B579,'Player Data'!$A1:$AE667,8,FALSE)*$Q579*IFERROR((VLOOKUP(P579,Settings!$E$28:$F$33,2,FALSE)+1),1)</f>
        <v>9.7233884302549036</v>
      </c>
      <c r="U579" s="56">
        <f>SUM(S579:T579)</f>
        <v>18.438300225282994</v>
      </c>
      <c r="V579" s="56">
        <f>VLOOKUP(B579,'Player Data'!$A1:$AE667,10,FALSE)*$Q579*IFERROR(((VLOOKUP(P579,Settings!$E$28:$F$33,2,FALSE)/2)+1),1)</f>
        <v>96.562262910470338</v>
      </c>
      <c r="W579" s="56">
        <f>VLOOKUP(B579,'Player Data'!$A1:$AE667,11,FALSE)*$Q579*IFERROR((VLOOKUP(P579,Settings!$E$28:$F$33,2,FALSE)+1),1)</f>
        <v>0.77764644651250814</v>
      </c>
      <c r="X579" s="56">
        <f>VLOOKUP(B579,'Player Data'!$A1:$AE667,12,FALSE)*$Q579*IFERROR((VLOOKUP(P579,Settings!$E$28:$F$33,2,FALSE)+1),1)</f>
        <v>1.3429315381137312</v>
      </c>
      <c r="Y579" s="56">
        <f>VLOOKUP(B579,'Player Data'!$A1:$AE667,13,FALSE)*$Q579</f>
        <v>0</v>
      </c>
      <c r="Z579" s="56">
        <f>VLOOKUP(B579,'Player Data'!$A1:$AE667,14,FALSE)*$Q579</f>
        <v>0</v>
      </c>
      <c r="AA579" s="56">
        <f>VLOOKUP(B579,'Player Data'!$A1:$AE667,15,FALSE)*$Q579</f>
        <v>26.054723088772015</v>
      </c>
      <c r="AB579" s="56">
        <f>VLOOKUP(B579,'Player Data'!$A1:$AE667,16,FALSE)*$Q579</f>
        <v>68.260822555060372</v>
      </c>
      <c r="AC579" s="56">
        <f>VLOOKUP(B579,'Player Data'!$A1:$AE667,17,FALSE)*$Q579*IFERROR((VLOOKUP(P579,Settings!$E$28:$F$33,2,FALSE)+1),1)</f>
        <v>4.0827716481846042E-2</v>
      </c>
      <c r="AD579" s="56">
        <f>VLOOKUP(B579,'Player Data'!$A1:$AE667,18,FALSE)*$Q579</f>
        <v>47.959491795638407</v>
      </c>
      <c r="AE579" s="56">
        <f>VLOOKUP(B579,'Player Data'!$A1:$AE667,19,FALSE)*$Q579*IFERROR((VLOOKUP(P579,Settings!$E$28:$F$33,2,FALSE)+1),1)</f>
        <v>1.4072417547903273</v>
      </c>
      <c r="AF579" s="56">
        <f>VLOOKUP(B579,'Player Data'!$A1:$AE667,20,FALSE)*$Q579</f>
        <v>0.20896522813209231</v>
      </c>
      <c r="AG579" s="56">
        <f>VLOOKUP(B579,'Player Data'!$A1:$AE667,21,FALSE)*$Q579</f>
        <v>1.1704249487306861</v>
      </c>
      <c r="AH579" s="58">
        <f>VLOOKUP(B579,'Player Data'!$A1:$AE667,22,FALSE)</f>
        <v>0.151491022364211</v>
      </c>
      <c r="AI579" s="54"/>
      <c r="AJ579" s="56"/>
      <c r="AK579" s="56"/>
      <c r="AL579" s="56"/>
      <c r="AM579" s="56"/>
      <c r="AN579" s="56"/>
      <c r="AO579" s="56"/>
      <c r="AP579" s="56"/>
      <c r="AQ579" s="59"/>
      <c r="AR579" s="60"/>
      <c r="AS579" s="54"/>
    </row>
    <row r="580" spans="1:45" ht="21.25" customHeight="1" x14ac:dyDescent="0.15">
      <c r="A580" s="45">
        <f>RANK(K580,K$1:K$665)</f>
        <v>579</v>
      </c>
      <c r="B580" s="9" t="s">
        <v>705</v>
      </c>
      <c r="C580" s="46" t="s">
        <v>127</v>
      </c>
      <c r="D580" s="47" t="str">
        <f>VLOOKUP(B580,'Player Data'!A1:D667,4,FALSE)</f>
        <v>G</v>
      </c>
      <c r="E580" s="73">
        <f>VLOOKUP(B580,G!A1:D65,3,FALSE)</f>
        <v>54</v>
      </c>
      <c r="F580" s="72" t="str">
        <f>VLOOKUP(B580,'Player Data'!A1:B667,2,FALSE)</f>
        <v>EDM</v>
      </c>
      <c r="G580" s="63">
        <f>VLOOKUP(B580,'Player Data'!A1:D667,3,FALSE)</f>
        <v>32</v>
      </c>
      <c r="H580" s="50">
        <f>IFERROR(VLOOKUP(B580,ADP!A1:G665,7,FALSE)/1000000,VLOOKUP(B580,ADP!A1:G665,7,FALSE))</f>
        <v>1</v>
      </c>
      <c r="I580" s="51">
        <f>IF(Settings!$E$15="POINTS",(AJ580*Settings!$B$29)+(AK580*Settings!$B$21)+(AL580*Settings!$B$22)+(AN580*Settings!$B$24)+(AO580*Settings!$B$25)+(AP580*Settings!$B$27)+(AM580*Settings!$B$23),VLOOKUP(B580,'Standard Deviations'!A1:C666,3,FALSE))</f>
        <v>159.66484646927185</v>
      </c>
      <c r="J580" s="52">
        <f>IF(D580="G",I580/AJ580,I580/Q580)</f>
        <v>6.6527019362196604</v>
      </c>
      <c r="K580" s="51">
        <f>VLOOKUP(B580,G!A1:F65,6,FALSE)</f>
        <v>-250.99489630014833</v>
      </c>
      <c r="L580" s="53">
        <f>IFERROR(K580/H580,"N/A")</f>
        <v>-250.99489630014833</v>
      </c>
      <c r="M580" s="83" t="str">
        <f>IF(Settings!$E$9="YAHOO",VLOOKUP(B580,ADP!A1:E665,2,FALSE),IF(Settings!$E$9="ESPN",VLOOKUP(B580,ADP!A1:E665,3,FALSE),IF(Settings!$E$9="FANTRAX",VLOOKUP(B580,ADP!A1:E665,4,FALSE),VLOOKUP(B580,ADP!A1:E665,5,FALSE))))</f>
        <v>—</v>
      </c>
      <c r="N580" s="83" t="str">
        <f>IFERROR(M580-A580,"N/A")</f>
        <v>N/A</v>
      </c>
      <c r="O580" s="54"/>
      <c r="P580" s="55" t="str">
        <f>IF(Settings!$E$27="ON",VLOOKUP(B580,ADP!A1:H665,8,FALSE)," ")</f>
        <v xml:space="preserve"> </v>
      </c>
      <c r="Q580" s="56"/>
      <c r="R580" s="54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8"/>
      <c r="AI580" s="54"/>
      <c r="AJ580" s="64">
        <f>VLOOKUP(B580,'Player Data'!$A1:$AE667,24,FALSE)</f>
        <v>24</v>
      </c>
      <c r="AK580" s="56">
        <f>VLOOKUP(B580,'Player Data'!$A1:$AE667,25,FALSE)*$AJ580*IFERROR((VLOOKUP(P580,Settings!$E$28:$F$33,2,FALSE)+1),1)</f>
        <v>14.68195881712464</v>
      </c>
      <c r="AL580" s="56">
        <f>AJ580-AK580-AM580</f>
        <v>6.3180411828753602</v>
      </c>
      <c r="AM580" s="56">
        <f>VLOOKUP(B580,'Player Data'!$A1:$AE667,27,FALSE)*$AJ580</f>
        <v>3</v>
      </c>
      <c r="AN580" s="56">
        <f>VLOOKUP(B580,'Player Data'!$A1:$AE667,28,FALSE)*AJ580</f>
        <v>1.0773342907903152</v>
      </c>
      <c r="AO580" s="56">
        <f>VLOOKUP(B580,'Player Data'!$A1:$AE667,29,FALSE)*$AJ580*IFERROR((VLOOKUP(P580,Settings!$E$28:$F$33,2,FALSE)/4)+1,1)</f>
        <v>647.63776019531281</v>
      </c>
      <c r="AP580" s="56">
        <f>VLOOKUP(B580,'Player Data'!$A1:$AE667,31,FALSE)*$AJ580*(IFERROR(1-(VLOOKUP(P580,Settings!$E$28:$F$33,2,FALSE)/4),1))</f>
        <v>69.7590814568496</v>
      </c>
      <c r="AQ580" s="59">
        <f>1-(AP580/(AO580+AP580))</f>
        <v>0.90276081882909509</v>
      </c>
      <c r="AR580" s="60">
        <f>AP580/AJ580</f>
        <v>2.9066283940353999</v>
      </c>
      <c r="AS580" s="54"/>
    </row>
    <row r="581" spans="1:45" ht="21.25" customHeight="1" x14ac:dyDescent="0.15">
      <c r="A581" s="45">
        <f>RANK(K581,K$1:K$665)</f>
        <v>580</v>
      </c>
      <c r="B581" s="9" t="s">
        <v>706</v>
      </c>
      <c r="C581" s="46" t="s">
        <v>127</v>
      </c>
      <c r="D581" s="47" t="str">
        <f>VLOOKUP(B581,'Player Data'!A1:D667,4,FALSE)</f>
        <v>C</v>
      </c>
      <c r="E581" s="48">
        <f>VLOOKUP(B581,'C'!A1:C206,3,FALSE)</f>
        <v>159</v>
      </c>
      <c r="F581" s="72" t="str">
        <f>VLOOKUP(B581,'Player Data'!A1:B667,2,FALSE)</f>
        <v>NYI</v>
      </c>
      <c r="G581" s="63">
        <f>VLOOKUP(B581,'Player Data'!A1:D667,3,FALSE)</f>
        <v>33</v>
      </c>
      <c r="H581" s="50">
        <f>IFERROR(VLOOKUP(B581,ADP!A1:G665,7,FALSE)/1000000,VLOOKUP(B581,ADP!A1:G665,7,FALSE))</f>
        <v>2.5</v>
      </c>
      <c r="I581" s="51">
        <f>IF(Settings!$E$15="POINTS",((R581*Q581)*Settings!$B$12)+(S581*Settings!$B$2)+(T581*Settings!$B$3)+(U581*Settings!$B$4)+(V581*Settings!$B$5)+(X581*Settings!$B$9)+(AA581*Settings!$B$6)+(W581*Settings!$B$8)+(AB581*Settings!$B$7)+(AC581*Settings!$B$14)+(AD581*Settings!$B$15)+(AE581*Settings!$B$16)+(AF581*Settings!$B$17)+(AG581*Settings!$B$18)+(Y581*Settings!$B$10)+(Z581*Settings!$B$11),VLOOKUP(B581,'Standard Deviations'!A1:C666,3,FALSE))</f>
        <v>138.79573651926458</v>
      </c>
      <c r="J581" s="52">
        <f>IF(D581="G",I581/AJ581,I581/Q581)</f>
        <v>1.7577424286118672</v>
      </c>
      <c r="K581" s="51">
        <f>IF(Settings!$E$18="C/LW/RW",VLOOKUP(B581,'C'!A1:F206,6,FALSE),VLOOKUP(B581,F!A1:F392,6,FALSE))</f>
        <v>-251.14142125881651</v>
      </c>
      <c r="L581" s="53">
        <f>IFERROR(K581/H581,"N/A")</f>
        <v>-100.4565685035266</v>
      </c>
      <c r="M581" s="83" t="str">
        <f>IF(Settings!$E$9="YAHOO",VLOOKUP(B581,ADP!A1:E665,2,FALSE),IF(Settings!$E$9="ESPN",VLOOKUP(B581,ADP!A1:E665,3,FALSE),IF(Settings!$E$9="FANTRAX",VLOOKUP(B581,ADP!A1:E665,4,FALSE),VLOOKUP(B581,ADP!A1:E665,5,FALSE))))</f>
        <v>—</v>
      </c>
      <c r="N581" s="83" t="str">
        <f>IFERROR(M581-A581,"N/A")</f>
        <v>N/A</v>
      </c>
      <c r="O581" s="54"/>
      <c r="P581" s="55" t="str">
        <f>IF(Settings!$E$27="ON",VLOOKUP(B581,ADP!A1:H665,8,FALSE)," ")</f>
        <v xml:space="preserve"> </v>
      </c>
      <c r="Q581" s="56">
        <f>IF(Settings!$E$12="YES",VLOOKUP(B581,'Player Data'!A1:E667,5,FALSE),82)</f>
        <v>78.962500000000006</v>
      </c>
      <c r="R581" s="54">
        <f>VLOOKUP(B581,'Player Data'!$A1:$AE667,6,FALSE)</f>
        <v>13.559205672104699</v>
      </c>
      <c r="S581" s="56">
        <f>VLOOKUP(B581,'Player Data'!$A1:$AE667,7,FALSE)*$Q581*IFERROR((VLOOKUP(P581,Settings!$E$28:$F$33,2,FALSE)+1),1)</f>
        <v>7.6491536919422476</v>
      </c>
      <c r="T581" s="56">
        <f>VLOOKUP(B581,'Player Data'!$A1:$AE667,8,FALSE)*$Q581*IFERROR((VLOOKUP(P581,Settings!$E$28:$F$33,2,FALSE)+1),1)</f>
        <v>11.577663109612354</v>
      </c>
      <c r="U581" s="56">
        <f>SUM(S581:T581)</f>
        <v>19.226816801554602</v>
      </c>
      <c r="V581" s="56">
        <f>VLOOKUP(B581,'Player Data'!$A1:$AE667,10,FALSE)*$Q581*IFERROR(((VLOOKUP(P581,Settings!$E$28:$F$33,2,FALSE)/2)+1),1)</f>
        <v>91.33901801497592</v>
      </c>
      <c r="W581" s="56">
        <f>VLOOKUP(B581,'Player Data'!$A1:$AE667,11,FALSE)*$Q581*IFERROR((VLOOKUP(P581,Settings!$E$28:$F$33,2,FALSE)+1),1)</f>
        <v>0.14205537969563195</v>
      </c>
      <c r="X581" s="56">
        <f>VLOOKUP(B581,'Player Data'!$A1:$AE667,12,FALSE)*$Q581*IFERROR((VLOOKUP(P581,Settings!$E$28:$F$33,2,FALSE)+1),1)</f>
        <v>0.46057035123730217</v>
      </c>
      <c r="Y581" s="56">
        <f>VLOOKUP(B581,'Player Data'!$A1:$AE667,13,FALSE)*$Q581</f>
        <v>0.7451757456188286</v>
      </c>
      <c r="Z581" s="56">
        <f>VLOOKUP(B581,'Player Data'!$A1:$AE667,14,FALSE)*$Q581</f>
        <v>1.1603374128872737</v>
      </c>
      <c r="AA581" s="56">
        <f>VLOOKUP(B581,'Player Data'!$A1:$AE667,15,FALSE)*$Q581</f>
        <v>67.649738685976388</v>
      </c>
      <c r="AB581" s="56">
        <f>VLOOKUP(B581,'Player Data'!$A1:$AE667,16,FALSE)*$Q581</f>
        <v>143.48029223515798</v>
      </c>
      <c r="AC581" s="56">
        <f>VLOOKUP(B581,'Player Data'!$A1:$AE667,17,FALSE)*$Q581*IFERROR((VLOOKUP(P581,Settings!$E$28:$F$33,2,FALSE)+1),1)</f>
        <v>0.43568080877779392</v>
      </c>
      <c r="AD581" s="56">
        <f>VLOOKUP(B581,'Player Data'!$A1:$AE667,18,FALSE)*$Q581</f>
        <v>34.522807331458964</v>
      </c>
      <c r="AE581" s="56">
        <f>VLOOKUP(B581,'Player Data'!$A1:$AE667,19,FALSE)*$Q581*IFERROR((VLOOKUP(P581,Settings!$E$28:$F$33,2,FALSE)+1),1)</f>
        <v>1.2021328727726985</v>
      </c>
      <c r="AF581" s="56">
        <f>VLOOKUP(B581,'Player Data'!$A1:$AE667,20,FALSE)*$Q581</f>
        <v>419.1841001039665</v>
      </c>
      <c r="AG581" s="56">
        <f>VLOOKUP(B581,'Player Data'!$A1:$AE667,21,FALSE)*$Q581</f>
        <v>358.6218729053781</v>
      </c>
      <c r="AH581" s="58">
        <f>VLOOKUP(B581,'Player Data'!$A1:$AE667,22,FALSE)</f>
        <v>0.53893144903752299</v>
      </c>
      <c r="AI581" s="54"/>
      <c r="AJ581" s="56"/>
      <c r="AK581" s="56"/>
      <c r="AL581" s="56"/>
      <c r="AM581" s="56"/>
      <c r="AN581" s="56"/>
      <c r="AO581" s="56"/>
      <c r="AP581" s="56"/>
      <c r="AQ581" s="59"/>
      <c r="AR581" s="60"/>
      <c r="AS581" s="54"/>
    </row>
    <row r="582" spans="1:45" ht="21.25" customHeight="1" x14ac:dyDescent="0.15">
      <c r="A582" s="45">
        <f>RANK(K582,K$1:K$665)</f>
        <v>581</v>
      </c>
      <c r="B582" s="9" t="s">
        <v>707</v>
      </c>
      <c r="C582" s="46" t="s">
        <v>127</v>
      </c>
      <c r="D582" s="47" t="str">
        <f>VLOOKUP(B582,'Player Data'!A1:D667,4,FALSE)</f>
        <v>RW</v>
      </c>
      <c r="E582" s="61">
        <f>VLOOKUP(B582,RW!A1:F136,3,FALSE)</f>
        <v>120</v>
      </c>
      <c r="F582" s="65" t="str">
        <f>VLOOKUP(B582,'Player Data'!A1:B667,2,FALSE)</f>
        <v>DET</v>
      </c>
      <c r="G582" s="10">
        <f>VLOOKUP(B582,'Player Data'!A1:D667,3,FALSE)</f>
        <v>27</v>
      </c>
      <c r="H582" s="67">
        <f>IFERROR(VLOOKUP(B582,ADP!A1:G665,7,FALSE)/1000000,VLOOKUP(B582,ADP!A1:G665,7,FALSE))</f>
        <v>1.125</v>
      </c>
      <c r="I582" s="51">
        <f>IF(Settings!$E$15="POINTS",((R582*Q582)*Settings!$B$12)+(S582*Settings!$B$2)+(T582*Settings!$B$3)+(U582*Settings!$B$4)+(V582*Settings!$B$5)+(X582*Settings!$B$9)+(AA582*Settings!$B$6)+(W582*Settings!$B$8)+(AB582*Settings!$B$7)+(AC582*Settings!$B$14)+(AD582*Settings!$B$15)+(AE582*Settings!$B$16)+(AF582*Settings!$B$17)+(AG582*Settings!$B$18)+(Y582*Settings!$B$10)+(Z582*Settings!$B$11),VLOOKUP(B582,'Standard Deviations'!A1:C666,3,FALSE))</f>
        <v>117.41235670265701</v>
      </c>
      <c r="J582" s="52">
        <f>IF(D582="G",I582/AJ582,I582/Q582)</f>
        <v>1.4990884701414919</v>
      </c>
      <c r="K582" s="51">
        <f>IF(Settings!$E$18="C/LW/RW",VLOOKUP(B582,RW!A1:F136,6,FALSE),VLOOKUP(B582,F!A1:F392,6,FALSE))</f>
        <v>-251.43536640363538</v>
      </c>
      <c r="L582" s="53">
        <f>IFERROR(K582/H582,"N/A")</f>
        <v>-223.49810346989813</v>
      </c>
      <c r="M582" s="83" t="str">
        <f>IF(Settings!$E$9="YAHOO",VLOOKUP(B582,ADP!A1:E665,2,FALSE),IF(Settings!$E$9="ESPN",VLOOKUP(B582,ADP!A1:E665,3,FALSE),IF(Settings!$E$9="FANTRAX",VLOOKUP(B582,ADP!A1:E665,4,FALSE),VLOOKUP(B582,ADP!A1:E665,5,FALSE))))</f>
        <v>—</v>
      </c>
      <c r="N582" s="83" t="str">
        <f>IFERROR(M582-A582,"N/A")</f>
        <v>N/A</v>
      </c>
      <c r="O582" s="54"/>
      <c r="P582" s="55" t="str">
        <f>IF(Settings!$E$27="ON",VLOOKUP(B582,ADP!A1:H665,8,FALSE)," ")</f>
        <v xml:space="preserve"> </v>
      </c>
      <c r="Q582" s="56">
        <f>IF(Settings!$E$12="YES",VLOOKUP(B582,'Player Data'!A1:E667,5,FALSE),82)</f>
        <v>78.322500000000005</v>
      </c>
      <c r="R582" s="54">
        <f>VLOOKUP(B582,'Player Data'!$A1:$AE667,6,FALSE)</f>
        <v>11.426023434473899</v>
      </c>
      <c r="S582" s="56">
        <f>VLOOKUP(B582,'Player Data'!$A1:$AE667,7,FALSE)*$Q582*IFERROR((VLOOKUP(P582,Settings!$E$28:$F$33,2,FALSE)+1),1)</f>
        <v>7.051699951770912</v>
      </c>
      <c r="T582" s="56">
        <f>VLOOKUP(B582,'Player Data'!$A1:$AE667,8,FALSE)*$Q582*IFERROR((VLOOKUP(P582,Settings!$E$28:$F$33,2,FALSE)+1),1)</f>
        <v>11.664865531043077</v>
      </c>
      <c r="U582" s="56">
        <f>SUM(S582:T582)</f>
        <v>18.716565482813991</v>
      </c>
      <c r="V582" s="56">
        <f>VLOOKUP(B582,'Player Data'!$A1:$AE667,10,FALSE)*$Q582*IFERROR(((VLOOKUP(P582,Settings!$E$28:$F$33,2,FALSE)/2)+1),1)</f>
        <v>89.472437550332643</v>
      </c>
      <c r="W582" s="56">
        <f>VLOOKUP(B582,'Player Data'!$A1:$AE667,11,FALSE)*$Q582*IFERROR((VLOOKUP(P582,Settings!$E$28:$F$33,2,FALSE)+1),1)</f>
        <v>6.4490667356193118E-2</v>
      </c>
      <c r="X582" s="56">
        <f>VLOOKUP(B582,'Player Data'!$A1:$AE667,12,FALSE)*$Q582*IFERROR((VLOOKUP(P582,Settings!$E$28:$F$33,2,FALSE)+1),1)</f>
        <v>0.15608456421547692</v>
      </c>
      <c r="Y582" s="56">
        <f>VLOOKUP(B582,'Player Data'!$A1:$AE667,13,FALSE)*$Q582</f>
        <v>0.52528751488560732</v>
      </c>
      <c r="Z582" s="56">
        <f>VLOOKUP(B582,'Player Data'!$A1:$AE667,14,FALSE)*$Q582</f>
        <v>0.58356101068175237</v>
      </c>
      <c r="AA582" s="56">
        <f>VLOOKUP(B582,'Player Data'!$A1:$AE667,15,FALSE)*$Q582</f>
        <v>31.573591808302975</v>
      </c>
      <c r="AB582" s="56">
        <f>VLOOKUP(B582,'Player Data'!$A1:$AE667,16,FALSE)*$Q582</f>
        <v>124.84225544301289</v>
      </c>
      <c r="AC582" s="56">
        <f>VLOOKUP(B582,'Player Data'!$A1:$AE667,17,FALSE)*$Q582*IFERROR((VLOOKUP(P582,Settings!$E$28:$F$33,2,FALSE)+1),1)</f>
        <v>-2.9868587825426114</v>
      </c>
      <c r="AD582" s="56">
        <f>VLOOKUP(B582,'Player Data'!$A1:$AE667,18,FALSE)*$Q582</f>
        <v>24.150073190776673</v>
      </c>
      <c r="AE582" s="56">
        <f>VLOOKUP(B582,'Player Data'!$A1:$AE667,19,FALSE)*$Q582*IFERROR((VLOOKUP(P582,Settings!$E$28:$F$33,2,FALSE)+1),1)</f>
        <v>0.96849926504378292</v>
      </c>
      <c r="AF582" s="56">
        <f>VLOOKUP(B582,'Player Data'!$A1:$AE667,20,FALSE)*$Q582</f>
        <v>56.707283123729347</v>
      </c>
      <c r="AG582" s="56">
        <f>VLOOKUP(B582,'Player Data'!$A1:$AE667,21,FALSE)*$Q582</f>
        <v>133.55574757492843</v>
      </c>
      <c r="AH582" s="58">
        <f>VLOOKUP(B582,'Player Data'!$A1:$AE667,22,FALSE)</f>
        <v>0.29804677721939299</v>
      </c>
      <c r="AI582" s="54"/>
      <c r="AJ582" s="64"/>
      <c r="AK582" s="56"/>
      <c r="AL582" s="56"/>
      <c r="AM582" s="56"/>
      <c r="AN582" s="56"/>
      <c r="AO582" s="56"/>
      <c r="AP582" s="56"/>
      <c r="AQ582" s="59"/>
      <c r="AR582" s="60"/>
      <c r="AS582" s="54"/>
    </row>
    <row r="583" spans="1:45" ht="21.25" customHeight="1" x14ac:dyDescent="0.15">
      <c r="A583" s="45">
        <f>RANK(K583,K$1:K$665)</f>
        <v>582</v>
      </c>
      <c r="B583" s="9" t="s">
        <v>708</v>
      </c>
      <c r="C583" s="46" t="s">
        <v>127</v>
      </c>
      <c r="D583" s="47" t="str">
        <f>VLOOKUP(B583,'Player Data'!A1:D667,4,FALSE)</f>
        <v>G</v>
      </c>
      <c r="E583" s="73">
        <f>VLOOKUP(B583,G!A1:D65,3,FALSE)</f>
        <v>55</v>
      </c>
      <c r="F583" s="77" t="str">
        <f>VLOOKUP(B583,'Player Data'!A1:B667,2,FALSE)</f>
        <v>BOS</v>
      </c>
      <c r="G583" s="10">
        <f>VLOOKUP(B583,'Player Data'!A1:D667,3,FALSE)</f>
        <v>30</v>
      </c>
      <c r="H583" s="50">
        <f>IFERROR(VLOOKUP(B583,ADP!A1:G665,7,FALSE)/1000000,VLOOKUP(B583,ADP!A1:G665,7,FALSE))</f>
        <v>3</v>
      </c>
      <c r="I583" s="51">
        <f>IF(Settings!$E$15="POINTS",(AJ583*Settings!$B$29)+(AK583*Settings!$B$21)+(AL583*Settings!$B$22)+(AN583*Settings!$B$24)+(AO583*Settings!$B$25)+(AP583*Settings!$B$27)+(AM583*Settings!$B$23),VLOOKUP(B583,'Standard Deviations'!A1:C666,3,FALSE))</f>
        <v>157.8450811637</v>
      </c>
      <c r="J583" s="52">
        <f>IF(D583="G",I583/AJ583,I583/Q583)</f>
        <v>6.070964660142308</v>
      </c>
      <c r="K583" s="51">
        <f>VLOOKUP(B583,G!A1:F65,6,FALSE)</f>
        <v>-252.81466160572018</v>
      </c>
      <c r="L583" s="53">
        <f>IFERROR(K583/H583,"N/A")</f>
        <v>-84.271553868573392</v>
      </c>
      <c r="M583" s="54">
        <f>IF(Settings!$E$9="YAHOO",VLOOKUP(B583,ADP!A1:E665,2,FALSE),IF(Settings!$E$9="ESPN",VLOOKUP(B583,ADP!A1:E665,3,FALSE),IF(Settings!$E$9="FANTRAX",VLOOKUP(B583,ADP!A1:E665,4,FALSE),VLOOKUP(B583,ADP!A1:E665,5,FALSE))))</f>
        <v>180.7</v>
      </c>
      <c r="N583" s="54">
        <f>IFERROR(M583-A583,"N/A")</f>
        <v>-401.3</v>
      </c>
      <c r="O583" s="54"/>
      <c r="P583" s="55" t="str">
        <f>IF(Settings!$E$27="ON",VLOOKUP(B583,ADP!A1:H665,8,FALSE)," ")</f>
        <v xml:space="preserve"> </v>
      </c>
      <c r="Q583" s="56"/>
      <c r="R583" s="54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8"/>
      <c r="AI583" s="54"/>
      <c r="AJ583" s="64">
        <f>VLOOKUP(B583,'Player Data'!$A1:$AE667,24,FALSE)</f>
        <v>26</v>
      </c>
      <c r="AK583" s="56">
        <f>VLOOKUP(B583,'Player Data'!$A1:$AE667,25,FALSE)*$AJ583*IFERROR((VLOOKUP(P583,Settings!$E$28:$F$33,2,FALSE)+1),1)</f>
        <v>12.94790267719247</v>
      </c>
      <c r="AL583" s="56">
        <f>AJ583-AK583-AM583</f>
        <v>9.8020973228075299</v>
      </c>
      <c r="AM583" s="56">
        <f>VLOOKUP(B583,'Player Data'!$A1:$AE667,27,FALSE)*$AJ583</f>
        <v>3.25</v>
      </c>
      <c r="AN583" s="56">
        <f>VLOOKUP(B583,'Player Data'!$A1:$AE667,28,FALSE)*AJ583</f>
        <v>1.1852291092765292</v>
      </c>
      <c r="AO583" s="56">
        <f>VLOOKUP(B583,'Player Data'!$A1:$AE667,29,FALSE)*$AJ583*IFERROR((VLOOKUP(P583,Settings!$E$28:$F$33,2,FALSE)/4)+1,1)</f>
        <v>695.68839409924658</v>
      </c>
      <c r="AP583" s="56">
        <f>VLOOKUP(B583,'Player Data'!$A1:$AE667,31,FALSE)*$AJ583*(IFERROR(1-(VLOOKUP(P583,Settings!$E$28:$F$33,2,FALSE)/4),1))</f>
        <v>76.676017675592405</v>
      </c>
      <c r="AQ583" s="59">
        <f>1-(AP583/(AO583+AP583))</f>
        <v>0.90072559467182556</v>
      </c>
      <c r="AR583" s="60">
        <f>AP583/AJ583</f>
        <v>2.9490776029074004</v>
      </c>
      <c r="AS583" s="54"/>
    </row>
    <row r="584" spans="1:45" ht="21.25" customHeight="1" x14ac:dyDescent="0.15">
      <c r="A584" s="45">
        <f>RANK(K584,K$1:K$665)</f>
        <v>583</v>
      </c>
      <c r="B584" s="9" t="s">
        <v>709</v>
      </c>
      <c r="C584" s="46" t="s">
        <v>127</v>
      </c>
      <c r="D584" s="47" t="str">
        <f>VLOOKUP(B584,'Player Data'!A1:D667,4,FALSE)</f>
        <v>RW</v>
      </c>
      <c r="E584" s="61">
        <f>VLOOKUP(B584,RW!A1:F136,3,FALSE)</f>
        <v>121</v>
      </c>
      <c r="F584" s="55" t="str">
        <f>VLOOKUP(B584,'Player Data'!A1:B667,2,FALSE)</f>
        <v>VGK</v>
      </c>
      <c r="G584" s="10">
        <f>VLOOKUP(B584,'Player Data'!A1:D667,3,FALSE)</f>
        <v>27</v>
      </c>
      <c r="H584" s="67">
        <f>IFERROR(VLOOKUP(B584,ADP!A1:G665,7,FALSE)/1000000,VLOOKUP(B584,ADP!A1:G665,7,FALSE))</f>
        <v>1.4</v>
      </c>
      <c r="I584" s="51">
        <f>IF(Settings!$E$15="POINTS",((R584*Q584)*Settings!$B$12)+(S584*Settings!$B$2)+(T584*Settings!$B$3)+(U584*Settings!$B$4)+(V584*Settings!$B$5)+(X584*Settings!$B$9)+(AA584*Settings!$B$6)+(W584*Settings!$B$8)+(AB584*Settings!$B$7)+(AC584*Settings!$B$14)+(AD584*Settings!$B$15)+(AE584*Settings!$B$16)+(AF584*Settings!$B$17)+(AG584*Settings!$B$18)+(Y584*Settings!$B$10)+(Z584*Settings!$B$11),VLOOKUP(B584,'Standard Deviations'!A1:C666,3,FALSE))</f>
        <v>115.76464762065741</v>
      </c>
      <c r="J584" s="52">
        <f>IF(D584="G",I584/AJ584,I584/Q584)</f>
        <v>1.4489145169831024</v>
      </c>
      <c r="K584" s="51">
        <f>IF(Settings!$E$18="C/LW/RW",VLOOKUP(B584,RW!A1:F136,6,FALSE),VLOOKUP(B584,F!A1:F392,6,FALSE))</f>
        <v>-253.08307548563499</v>
      </c>
      <c r="L584" s="53">
        <f>IFERROR(K584/H584,"N/A")</f>
        <v>-180.77362534688214</v>
      </c>
      <c r="M584" s="83" t="str">
        <f>IF(Settings!$E$9="YAHOO",VLOOKUP(B584,ADP!A1:E665,2,FALSE),IF(Settings!$E$9="ESPN",VLOOKUP(B584,ADP!A1:E665,3,FALSE),IF(Settings!$E$9="FANTRAX",VLOOKUP(B584,ADP!A1:E665,4,FALSE),VLOOKUP(B584,ADP!A1:E665,5,FALSE))))</f>
        <v>—</v>
      </c>
      <c r="N584" s="83" t="str">
        <f>IFERROR(M584-A584,"N/A")</f>
        <v>N/A</v>
      </c>
      <c r="O584" s="54"/>
      <c r="P584" s="55" t="str">
        <f>IF(Settings!$E$27="ON",VLOOKUP(B584,ADP!A1:H665,8,FALSE)," ")</f>
        <v xml:space="preserve"> </v>
      </c>
      <c r="Q584" s="56">
        <f>IF(Settings!$E$12="YES",VLOOKUP(B584,'Player Data'!A1:E667,5,FALSE),82)</f>
        <v>79.897499999999994</v>
      </c>
      <c r="R584" s="54">
        <f>VLOOKUP(B584,'Player Data'!$A1:$AE667,6,FALSE)</f>
        <v>10.888875141399801</v>
      </c>
      <c r="S584" s="56">
        <f>VLOOKUP(B584,'Player Data'!$A1:$AE667,7,FALSE)*$Q584*IFERROR((VLOOKUP(P584,Settings!$E$28:$F$33,2,FALSE)+1),1)</f>
        <v>7.7478995692561314</v>
      </c>
      <c r="T584" s="56">
        <f>VLOOKUP(B584,'Player Data'!$A1:$AE667,8,FALSE)*$Q584*IFERROR((VLOOKUP(P584,Settings!$E$28:$F$33,2,FALSE)+1),1)</f>
        <v>11.517585891089766</v>
      </c>
      <c r="U584" s="56">
        <f>SUM(S584:T584)</f>
        <v>19.265485460345896</v>
      </c>
      <c r="V584" s="56">
        <f>VLOOKUP(B584,'Player Data'!$A1:$AE667,10,FALSE)*$Q584*IFERROR(((VLOOKUP(P584,Settings!$E$28:$F$33,2,FALSE)/2)+1),1)</f>
        <v>75.124766332096172</v>
      </c>
      <c r="W584" s="56">
        <f>VLOOKUP(B584,'Player Data'!$A1:$AE667,11,FALSE)*$Q584*IFERROR((VLOOKUP(P584,Settings!$E$28:$F$33,2,FALSE)+1),1)</f>
        <v>6.6120086063244751E-2</v>
      </c>
      <c r="X584" s="56">
        <f>VLOOKUP(B584,'Player Data'!$A1:$AE667,12,FALSE)*$Q584*IFERROR((VLOOKUP(P584,Settings!$E$28:$F$33,2,FALSE)+1),1)</f>
        <v>0.13540657187678062</v>
      </c>
      <c r="Y584" s="56">
        <f>VLOOKUP(B584,'Player Data'!$A1:$AE667,13,FALSE)*$Q584</f>
        <v>0.63317535527391111</v>
      </c>
      <c r="Z584" s="56">
        <f>VLOOKUP(B584,'Player Data'!$A1:$AE667,14,FALSE)*$Q584</f>
        <v>1.1185611198589125</v>
      </c>
      <c r="AA584" s="56">
        <f>VLOOKUP(B584,'Player Data'!$A1:$AE667,15,FALSE)*$Q584</f>
        <v>38.303680763671863</v>
      </c>
      <c r="AB584" s="56">
        <f>VLOOKUP(B584,'Player Data'!$A1:$AE667,16,FALSE)*$Q584</f>
        <v>251.05547833042152</v>
      </c>
      <c r="AC584" s="56">
        <f>VLOOKUP(B584,'Player Data'!$A1:$AE667,17,FALSE)*$Q584*IFERROR((VLOOKUP(P584,Settings!$E$28:$F$33,2,FALSE)+1),1)</f>
        <v>0.82610851080247927</v>
      </c>
      <c r="AD584" s="56">
        <f>VLOOKUP(B584,'Player Data'!$A1:$AE667,18,FALSE)*$Q584</f>
        <v>47.586974332655082</v>
      </c>
      <c r="AE584" s="56">
        <f>VLOOKUP(B584,'Player Data'!$A1:$AE667,19,FALSE)*$Q584*IFERROR((VLOOKUP(P584,Settings!$E$28:$F$33,2,FALSE)+1),1)</f>
        <v>1.1784655112165126</v>
      </c>
      <c r="AF584" s="56">
        <f>VLOOKUP(B584,'Player Data'!$A1:$AE667,20,FALSE)*$Q584</f>
        <v>15.528426577781811</v>
      </c>
      <c r="AG584" s="56">
        <f>VLOOKUP(B584,'Player Data'!$A1:$AE667,21,FALSE)*$Q584</f>
        <v>26.541657447679682</v>
      </c>
      <c r="AH584" s="58">
        <f>VLOOKUP(B584,'Player Data'!$A1:$AE667,22,FALSE)</f>
        <v>0.36910852301563601</v>
      </c>
      <c r="AI584" s="54"/>
      <c r="AJ584" s="56"/>
      <c r="AK584" s="56"/>
      <c r="AL584" s="56"/>
      <c r="AM584" s="56"/>
      <c r="AN584" s="56"/>
      <c r="AO584" s="56"/>
      <c r="AP584" s="56"/>
      <c r="AQ584" s="59"/>
      <c r="AR584" s="60"/>
      <c r="AS584" s="54"/>
    </row>
    <row r="585" spans="1:45" ht="21.25" customHeight="1" x14ac:dyDescent="0.15">
      <c r="A585" s="45">
        <f>RANK(K585,K$1:K$665)</f>
        <v>584</v>
      </c>
      <c r="B585" s="9" t="s">
        <v>710</v>
      </c>
      <c r="C585" s="46" t="s">
        <v>127</v>
      </c>
      <c r="D585" s="47" t="str">
        <f>VLOOKUP(B585,'Player Data'!A1:D667,4,FALSE)</f>
        <v>G</v>
      </c>
      <c r="E585" s="73">
        <f>VLOOKUP(B585,G!A1:D65,3,FALSE)</f>
        <v>56</v>
      </c>
      <c r="F585" s="77" t="str">
        <f>VLOOKUP(B585,'Player Data'!A1:B667,2,FALSE)</f>
        <v>PHI</v>
      </c>
      <c r="G585" s="69">
        <f>VLOOKUP(B585,'Player Data'!A1:D667,3,FALSE)</f>
        <v>27</v>
      </c>
      <c r="H585" s="50">
        <f>IFERROR(VLOOKUP(B585,ADP!A1:G665,7,FALSE)/1000000,VLOOKUP(B585,ADP!A1:G665,7,FALSE))</f>
        <v>3.2749999999999999</v>
      </c>
      <c r="I585" s="51">
        <f>IF(Settings!$E$15="POINTS",(AJ585*Settings!$B$29)+(AK585*Settings!$B$21)+(AL585*Settings!$B$22)+(AN585*Settings!$B$24)+(AO585*Settings!$B$25)+(AP585*Settings!$B$27)+(AM585*Settings!$B$23),VLOOKUP(B585,'Standard Deviations'!A1:C666,3,FALSE))</f>
        <v>157.56344122910076</v>
      </c>
      <c r="J585" s="52">
        <f>IF(D585="G",I585/AJ585,I585/Q585)</f>
        <v>5.2521147076366921</v>
      </c>
      <c r="K585" s="51">
        <f>VLOOKUP(B585,G!A1:F65,6,FALSE)</f>
        <v>-253.09630154031942</v>
      </c>
      <c r="L585" s="53">
        <f>IFERROR(K585/H585,"N/A")</f>
        <v>-77.281313447425774</v>
      </c>
      <c r="M585" s="83" t="str">
        <f>IF(Settings!$E$9="YAHOO",VLOOKUP(B585,ADP!A1:E665,2,FALSE),IF(Settings!$E$9="ESPN",VLOOKUP(B585,ADP!A1:E665,3,FALSE),IF(Settings!$E$9="FANTRAX",VLOOKUP(B585,ADP!A1:E665,4,FALSE),VLOOKUP(B585,ADP!A1:E665,5,FALSE))))</f>
        <v>—</v>
      </c>
      <c r="N585" s="83" t="str">
        <f>IFERROR(M585-A585,"N/A")</f>
        <v>N/A</v>
      </c>
      <c r="O585" s="54"/>
      <c r="P585" s="55" t="str">
        <f>IF(Settings!$E$27="ON",VLOOKUP(B585,ADP!A1:H665,8,FALSE)," ")</f>
        <v xml:space="preserve"> </v>
      </c>
      <c r="Q585" s="56"/>
      <c r="R585" s="54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8"/>
      <c r="AI585" s="54"/>
      <c r="AJ585" s="64">
        <f>VLOOKUP(B585,'Player Data'!$A1:$AE667,24,FALSE)</f>
        <v>30</v>
      </c>
      <c r="AK585" s="56">
        <f>VLOOKUP(B585,'Player Data'!$A1:$AE667,25,FALSE)*$AJ585*IFERROR((VLOOKUP(P585,Settings!$E$28:$F$33,2,FALSE)+1),1)</f>
        <v>13.46128770870741</v>
      </c>
      <c r="AL585" s="56">
        <f>AJ585-AK585-AM585</f>
        <v>12.78871229129259</v>
      </c>
      <c r="AM585" s="56">
        <f>VLOOKUP(B585,'Player Data'!$A1:$AE667,27,FALSE)*$AJ585</f>
        <v>3.75</v>
      </c>
      <c r="AN585" s="56">
        <f>VLOOKUP(B585,'Player Data'!$A1:$AE667,28,FALSE)*AJ585</f>
        <v>1.201104878707473</v>
      </c>
      <c r="AO585" s="56">
        <f>VLOOKUP(B585,'Player Data'!$A1:$AE667,29,FALSE)*$AJ585*IFERROR((VLOOKUP(P585,Settings!$E$28:$F$33,2,FALSE)/4)+1,1)</f>
        <v>775.91595979951205</v>
      </c>
      <c r="AP585" s="56">
        <f>VLOOKUP(B585,'Player Data'!$A1:$AE667,31,FALSE)*$AJ585*(IFERROR(1-(VLOOKUP(P585,Settings!$E$28:$F$33,2,FALSE)/4),1))</f>
        <v>90.65983555849499</v>
      </c>
      <c r="AQ585" s="59">
        <f>1-(AP585/(AO585+AP585))</f>
        <v>0.8953815280277464</v>
      </c>
      <c r="AR585" s="60">
        <f>AP585/AJ585</f>
        <v>3.0219945186164998</v>
      </c>
      <c r="AS585" s="54"/>
    </row>
    <row r="586" spans="1:45" ht="21.25" customHeight="1" x14ac:dyDescent="0.15">
      <c r="A586" s="45">
        <f>RANK(K586,K$1:K$665)</f>
        <v>585</v>
      </c>
      <c r="B586" s="9" t="s">
        <v>711</v>
      </c>
      <c r="C586" s="46" t="s">
        <v>127</v>
      </c>
      <c r="D586" s="47" t="str">
        <f>VLOOKUP(B586,'Player Data'!A1:D667,4,FALSE)</f>
        <v>C</v>
      </c>
      <c r="E586" s="48">
        <f>VLOOKUP(B586,'C'!A1:C206,3,FALSE)</f>
        <v>161</v>
      </c>
      <c r="F586" s="72" t="str">
        <f>VLOOKUP(B586,'Player Data'!A1:B667,2,FALSE)</f>
        <v>MIN</v>
      </c>
      <c r="G586" s="10">
        <f>VLOOKUP(B586,'Player Data'!A1:D667,3,FALSE)</f>
        <v>27</v>
      </c>
      <c r="H586" s="50">
        <f>IFERROR(VLOOKUP(B586,ADP!A1:G665,7,FALSE)/1000000,VLOOKUP(B586,ADP!A1:G665,7,FALSE))</f>
        <v>3.5</v>
      </c>
      <c r="I586" s="51">
        <f>IF(Settings!$E$15="POINTS",((R586*Q586)*Settings!$B$12)+(S586*Settings!$B$2)+(T586*Settings!$B$3)+(U586*Settings!$B$4)+(V586*Settings!$B$5)+(X586*Settings!$B$9)+(AA586*Settings!$B$6)+(W586*Settings!$B$8)+(AB586*Settings!$B$7)+(AC586*Settings!$B$14)+(AD586*Settings!$B$15)+(AE586*Settings!$B$16)+(AF586*Settings!$B$17)+(AG586*Settings!$B$18)+(Y586*Settings!$B$10)+(Z586*Settings!$B$11),VLOOKUP(B586,'Standard Deviations'!A1:C666,3,FALSE))</f>
        <v>136.06209918127766</v>
      </c>
      <c r="J586" s="52">
        <f>IF(D586="G",I586/AJ586,I586/Q586)</f>
        <v>1.6991302073775738</v>
      </c>
      <c r="K586" s="51">
        <f>IF(Settings!$E$18="C/LW/RW",VLOOKUP(B586,'C'!A1:F206,6,FALSE),VLOOKUP(B586,F!A1:F392,6,FALSE))</f>
        <v>-253.87505859680343</v>
      </c>
      <c r="L586" s="53">
        <f>IFERROR(K586/H586,"N/A")</f>
        <v>-72.535731027658116</v>
      </c>
      <c r="M586" s="83" t="str">
        <f>IF(Settings!$E$9="YAHOO",VLOOKUP(B586,ADP!A1:E665,2,FALSE),IF(Settings!$E$9="ESPN",VLOOKUP(B586,ADP!A1:E665,3,FALSE),IF(Settings!$E$9="FANTRAX",VLOOKUP(B586,ADP!A1:E665,4,FALSE),VLOOKUP(B586,ADP!A1:E665,5,FALSE))))</f>
        <v>—</v>
      </c>
      <c r="N586" s="83" t="str">
        <f>IFERROR(M586-A586,"N/A")</f>
        <v>N/A</v>
      </c>
      <c r="O586" s="54"/>
      <c r="P586" s="55" t="str">
        <f>IF(Settings!$E$27="ON",VLOOKUP(B586,ADP!A1:H665,8,FALSE)," ")</f>
        <v xml:space="preserve"> </v>
      </c>
      <c r="Q586" s="56">
        <f>IF(Settings!$E$12="YES",VLOOKUP(B586,'Player Data'!A1:E667,5,FALSE),82)</f>
        <v>80.077500000000001</v>
      </c>
      <c r="R586" s="54">
        <f>VLOOKUP(B586,'Player Data'!$A1:$AE667,6,FALSE)</f>
        <v>13.9445034852659</v>
      </c>
      <c r="S586" s="56">
        <f>VLOOKUP(B586,'Player Data'!$A1:$AE667,7,FALSE)*$Q586*IFERROR((VLOOKUP(P586,Settings!$E$28:$F$33,2,FALSE)+1),1)</f>
        <v>11.239239380317679</v>
      </c>
      <c r="T586" s="56">
        <f>VLOOKUP(B586,'Player Data'!$A1:$AE667,8,FALSE)*$Q586*IFERROR((VLOOKUP(P586,Settings!$E$28:$F$33,2,FALSE)+1),1)</f>
        <v>7.6457269201778555</v>
      </c>
      <c r="U586" s="56">
        <f>SUM(S586:T586)</f>
        <v>18.884966300495535</v>
      </c>
      <c r="V586" s="56">
        <f>VLOOKUP(B586,'Player Data'!$A1:$AE667,10,FALSE)*$Q586*IFERROR(((VLOOKUP(P586,Settings!$E$28:$F$33,2,FALSE)/2)+1),1)</f>
        <v>120.66700860545083</v>
      </c>
      <c r="W586" s="56">
        <f>VLOOKUP(B586,'Player Data'!$A1:$AE667,11,FALSE)*$Q586*IFERROR((VLOOKUP(P586,Settings!$E$28:$F$33,2,FALSE)+1),1)</f>
        <v>4.3602179164876791E-2</v>
      </c>
      <c r="X586" s="56">
        <f>VLOOKUP(B586,'Player Data'!$A1:$AE667,12,FALSE)*$Q586*IFERROR((VLOOKUP(P586,Settings!$E$28:$F$33,2,FALSE)+1),1)</f>
        <v>0.14147920922513932</v>
      </c>
      <c r="Y586" s="56">
        <f>VLOOKUP(B586,'Player Data'!$A1:$AE667,13,FALSE)*$Q586</f>
        <v>0.56227727413530082</v>
      </c>
      <c r="Z586" s="56">
        <f>VLOOKUP(B586,'Player Data'!$A1:$AE667,14,FALSE)*$Q586</f>
        <v>1.0625212917122562</v>
      </c>
      <c r="AA586" s="56">
        <f>VLOOKUP(B586,'Player Data'!$A1:$AE667,15,FALSE)*$Q586</f>
        <v>35.739390952256507</v>
      </c>
      <c r="AB586" s="56">
        <f>VLOOKUP(B586,'Player Data'!$A1:$AE667,16,FALSE)*$Q586</f>
        <v>180.70053008189245</v>
      </c>
      <c r="AC586" s="56">
        <f>VLOOKUP(B586,'Player Data'!$A1:$AE667,17,FALSE)*$Q586*IFERROR((VLOOKUP(P586,Settings!$E$28:$F$33,2,FALSE)+1),1)</f>
        <v>-1.5979540853411297E-2</v>
      </c>
      <c r="AD586" s="56">
        <f>VLOOKUP(B586,'Player Data'!$A1:$AE667,18,FALSE)*$Q586</f>
        <v>34.270126649922524</v>
      </c>
      <c r="AE586" s="56">
        <f>VLOOKUP(B586,'Player Data'!$A1:$AE667,19,FALSE)*$Q586*IFERROR((VLOOKUP(P586,Settings!$E$28:$F$33,2,FALSE)+1),1)</f>
        <v>1.8553638255729046</v>
      </c>
      <c r="AF586" s="56">
        <f>VLOOKUP(B586,'Player Data'!$A1:$AE667,20,FALSE)*$Q586</f>
        <v>66.246947388300455</v>
      </c>
      <c r="AG586" s="56">
        <f>VLOOKUP(B586,'Player Data'!$A1:$AE667,21,FALSE)*$Q586</f>
        <v>98.597480095296788</v>
      </c>
      <c r="AH586" s="58">
        <f>VLOOKUP(B586,'Player Data'!$A1:$AE667,22,FALSE)</f>
        <v>0.40187556473446601</v>
      </c>
      <c r="AI586" s="54"/>
      <c r="AJ586" s="56"/>
      <c r="AK586" s="56"/>
      <c r="AL586" s="56"/>
      <c r="AM586" s="56"/>
      <c r="AN586" s="56"/>
      <c r="AO586" s="56"/>
      <c r="AP586" s="56"/>
      <c r="AQ586" s="59"/>
      <c r="AR586" s="60"/>
      <c r="AS586" s="54"/>
    </row>
    <row r="587" spans="1:45" ht="21.25" customHeight="1" x14ac:dyDescent="0.15">
      <c r="A587" s="45">
        <f>RANK(K587,K$1:K$665)</f>
        <v>586</v>
      </c>
      <c r="B587" s="9" t="s">
        <v>712</v>
      </c>
      <c r="C587" s="46" t="s">
        <v>127</v>
      </c>
      <c r="D587" s="47" t="str">
        <f>VLOOKUP(B587,'Player Data'!A1:D667,4,FALSE)</f>
        <v>C</v>
      </c>
      <c r="E587" s="48">
        <f>VLOOKUP(B587,'C'!A1:C206,3,FALSE)</f>
        <v>162</v>
      </c>
      <c r="F587" s="55" t="str">
        <f>VLOOKUP(B587,'Player Data'!A1:B667,2,FALSE)</f>
        <v>CHI</v>
      </c>
      <c r="G587" s="63">
        <f>VLOOKUP(B587,'Player Data'!A1:D667,3,FALSE)</f>
        <v>30</v>
      </c>
      <c r="H587" s="67">
        <f>IFERROR(VLOOKUP(B587,ADP!A1:G665,7,FALSE)/1000000,VLOOKUP(B587,ADP!A1:G665,7,FALSE))</f>
        <v>4.25</v>
      </c>
      <c r="I587" s="51">
        <f>IF(Settings!$E$15="POINTS",((R587*Q587)*Settings!$B$12)+(S587*Settings!$B$2)+(T587*Settings!$B$3)+(U587*Settings!$B$4)+(V587*Settings!$B$5)+(X587*Settings!$B$9)+(AA587*Settings!$B$6)+(W587*Settings!$B$8)+(AB587*Settings!$B$7)+(AC587*Settings!$B$14)+(AD587*Settings!$B$15)+(AE587*Settings!$B$16)+(AF587*Settings!$B$17)+(AG587*Settings!$B$18)+(Y587*Settings!$B$10)+(Z587*Settings!$B$11),VLOOKUP(B587,'Standard Deviations'!A1:C666,3,FALSE))</f>
        <v>135.95358859964412</v>
      </c>
      <c r="J587" s="52">
        <f>IF(D587="G",I587/AJ587,I587/Q587)</f>
        <v>2.0319633613517785</v>
      </c>
      <c r="K587" s="51">
        <f>IF(Settings!$E$18="C/LW/RW",VLOOKUP(B587,'C'!A1:F206,6,FALSE),VLOOKUP(B587,F!A1:F392,6,FALSE))</f>
        <v>-253.98356917843697</v>
      </c>
      <c r="L587" s="53">
        <f>IFERROR(K587/H587,"N/A")</f>
        <v>-59.760839806691052</v>
      </c>
      <c r="M587" s="83" t="str">
        <f>IF(Settings!$E$9="YAHOO",VLOOKUP(B587,ADP!A1:E665,2,FALSE),IF(Settings!$E$9="ESPN",VLOOKUP(B587,ADP!A1:E665,3,FALSE),IF(Settings!$E$9="FANTRAX",VLOOKUP(B587,ADP!A1:E665,4,FALSE),VLOOKUP(B587,ADP!A1:E665,5,FALSE))))</f>
        <v>—</v>
      </c>
      <c r="N587" s="83" t="str">
        <f>IFERROR(M587-A587,"N/A")</f>
        <v>N/A</v>
      </c>
      <c r="O587" s="54"/>
      <c r="P587" s="55" t="str">
        <f>IF(Settings!$E$27="ON",VLOOKUP(B587,ADP!A1:H665,8,FALSE)," ")</f>
        <v xml:space="preserve"> </v>
      </c>
      <c r="Q587" s="56">
        <f>IF(Settings!$E$12="YES",VLOOKUP(B587,'Player Data'!A1:E667,5,FALSE),82)</f>
        <v>66.907499999999999</v>
      </c>
      <c r="R587" s="54">
        <f>VLOOKUP(B587,'Player Data'!$A1:$AE667,6,FALSE)</f>
        <v>12.113192340059999</v>
      </c>
      <c r="S587" s="56">
        <f>VLOOKUP(B587,'Player Data'!$A1:$AE667,7,FALSE)*$Q587*IFERROR((VLOOKUP(P587,Settings!$E$28:$F$33,2,FALSE)+1),1)</f>
        <v>10.096347667377382</v>
      </c>
      <c r="T587" s="56">
        <f>VLOOKUP(B587,'Player Data'!$A1:$AE667,8,FALSE)*$Q587*IFERROR((VLOOKUP(P587,Settings!$E$28:$F$33,2,FALSE)+1),1)</f>
        <v>11.887218798155075</v>
      </c>
      <c r="U587" s="56">
        <f>SUM(S587:T587)</f>
        <v>21.983566465532455</v>
      </c>
      <c r="V587" s="56">
        <f>VLOOKUP(B587,'Player Data'!$A1:$AE667,10,FALSE)*$Q587*IFERROR(((VLOOKUP(P587,Settings!$E$28:$F$33,2,FALSE)/2)+1),1)</f>
        <v>101.05094407442878</v>
      </c>
      <c r="W587" s="56">
        <f>VLOOKUP(B587,'Player Data'!$A1:$AE667,11,FALSE)*$Q587*IFERROR((VLOOKUP(P587,Settings!$E$28:$F$33,2,FALSE)+1),1)</f>
        <v>0.702753134740011</v>
      </c>
      <c r="X587" s="56">
        <f>VLOOKUP(B587,'Player Data'!$A1:$AE667,12,FALSE)*$Q587*IFERROR((VLOOKUP(P587,Settings!$E$28:$F$33,2,FALSE)+1),1)</f>
        <v>2.2181425025442216</v>
      </c>
      <c r="Y587" s="56">
        <f>VLOOKUP(B587,'Player Data'!$A1:$AE667,13,FALSE)*$Q587</f>
        <v>1.1905819489403965E-3</v>
      </c>
      <c r="Z587" s="56">
        <f>VLOOKUP(B587,'Player Data'!$A1:$AE667,14,FALSE)*$Q587</f>
        <v>2.0284511154736603E-3</v>
      </c>
      <c r="AA587" s="56">
        <f>VLOOKUP(B587,'Player Data'!$A1:$AE667,15,FALSE)*$Q587</f>
        <v>34.514492424345278</v>
      </c>
      <c r="AB587" s="56">
        <f>VLOOKUP(B587,'Player Data'!$A1:$AE667,16,FALSE)*$Q587</f>
        <v>36.617435315464164</v>
      </c>
      <c r="AC587" s="56">
        <f>VLOOKUP(B587,'Player Data'!$A1:$AE667,17,FALSE)*$Q587*IFERROR((VLOOKUP(P587,Settings!$E$28:$F$33,2,FALSE)+1),1)</f>
        <v>-5.7523615801340355</v>
      </c>
      <c r="AD587" s="56">
        <f>VLOOKUP(B587,'Player Data'!$A1:$AE667,18,FALSE)*$Q587</f>
        <v>16.264855391085842</v>
      </c>
      <c r="AE587" s="56">
        <f>VLOOKUP(B587,'Player Data'!$A1:$AE667,19,FALSE)*$Q587*IFERROR((VLOOKUP(P587,Settings!$E$28:$F$33,2,FALSE)+1),1)</f>
        <v>1.3048039676767145</v>
      </c>
      <c r="AF587" s="56">
        <f>VLOOKUP(B587,'Player Data'!$A1:$AE667,20,FALSE)*$Q587</f>
        <v>112.80733297758856</v>
      </c>
      <c r="AG587" s="56">
        <f>VLOOKUP(B587,'Player Data'!$A1:$AE667,21,FALSE)*$Q587</f>
        <v>116.28668835682727</v>
      </c>
      <c r="AH587" s="58">
        <f>VLOOKUP(B587,'Player Data'!$A1:$AE667,22,FALSE)</f>
        <v>0.49240627197739101</v>
      </c>
      <c r="AI587" s="54"/>
      <c r="AJ587" s="64"/>
      <c r="AK587" s="56"/>
      <c r="AL587" s="56"/>
      <c r="AM587" s="56"/>
      <c r="AN587" s="56"/>
      <c r="AO587" s="56"/>
      <c r="AP587" s="56"/>
      <c r="AQ587" s="59"/>
      <c r="AR587" s="60"/>
      <c r="AS587" s="54"/>
    </row>
    <row r="588" spans="1:45" ht="21.25" customHeight="1" x14ac:dyDescent="0.15">
      <c r="A588" s="45">
        <f>RANK(K588,K$1:K$665)</f>
        <v>587</v>
      </c>
      <c r="B588" s="9" t="s">
        <v>713</v>
      </c>
      <c r="C588" s="46" t="s">
        <v>127</v>
      </c>
      <c r="D588" s="47" t="str">
        <f>VLOOKUP(B588,'Player Data'!A1:D667,4,FALSE)</f>
        <v>RW</v>
      </c>
      <c r="E588" s="61">
        <f>VLOOKUP(B588,RW!A1:F136,3,FALSE)</f>
        <v>122</v>
      </c>
      <c r="F588" s="71" t="str">
        <f>VLOOKUP(B588,'Player Data'!A1:B667,2,FALSE)</f>
        <v>VAN</v>
      </c>
      <c r="G588" s="10">
        <f>VLOOKUP(B588,'Player Data'!A1:D667,3,FALSE)</f>
        <v>29</v>
      </c>
      <c r="H588" s="50">
        <f>IFERROR(VLOOKUP(B588,ADP!A1:G665,7,FALSE)/1000000,VLOOKUP(B588,ADP!A1:G665,7,FALSE))</f>
        <v>1.5</v>
      </c>
      <c r="I588" s="51">
        <f>IF(Settings!$E$15="POINTS",((R588*Q588)*Settings!$B$12)+(S588*Settings!$B$2)+(T588*Settings!$B$3)+(U588*Settings!$B$4)+(V588*Settings!$B$5)+(X588*Settings!$B$9)+(AA588*Settings!$B$6)+(W588*Settings!$B$8)+(AB588*Settings!$B$7)+(AC588*Settings!$B$14)+(AD588*Settings!$B$15)+(AE588*Settings!$B$16)+(AF588*Settings!$B$17)+(AG588*Settings!$B$18)+(Y588*Settings!$B$10)+(Z588*Settings!$B$11),VLOOKUP(B588,'Standard Deviations'!A1:C666,3,FALSE))</f>
        <v>113.87432429308511</v>
      </c>
      <c r="J588" s="52">
        <f>IF(D588="G",I588/AJ588,I588/Q588)</f>
        <v>1.7366833047595718</v>
      </c>
      <c r="K588" s="51">
        <f>IF(Settings!$E$18="C/LW/RW",VLOOKUP(B588,RW!A1:F136,6,FALSE),VLOOKUP(B588,F!A1:F392,6,FALSE))</f>
        <v>-254.97339881320727</v>
      </c>
      <c r="L588" s="53">
        <f>IFERROR(K588/H588,"N/A")</f>
        <v>-169.98226587547151</v>
      </c>
      <c r="M588" s="83" t="str">
        <f>IF(Settings!$E$9="YAHOO",VLOOKUP(B588,ADP!A1:E665,2,FALSE),IF(Settings!$E$9="ESPN",VLOOKUP(B588,ADP!A1:E665,3,FALSE),IF(Settings!$E$9="FANTRAX",VLOOKUP(B588,ADP!A1:E665,4,FALSE),VLOOKUP(B588,ADP!A1:E665,5,FALSE))))</f>
        <v>—</v>
      </c>
      <c r="N588" s="83" t="str">
        <f>IFERROR(M588-A588,"N/A")</f>
        <v>N/A</v>
      </c>
      <c r="O588" s="54"/>
      <c r="P588" s="55" t="str">
        <f>IF(Settings!$E$27="ON",VLOOKUP(B588,ADP!A1:H665,8,FALSE)," ")</f>
        <v xml:space="preserve"> </v>
      </c>
      <c r="Q588" s="56">
        <f>IF(Settings!$E$12="YES",VLOOKUP(B588,'Player Data'!A1:E667,5,FALSE),82)</f>
        <v>65.569999999999993</v>
      </c>
      <c r="R588" s="54">
        <f>VLOOKUP(B588,'Player Data'!$A1:$AE667,6,FALSE)</f>
        <v>11.259202026124401</v>
      </c>
      <c r="S588" s="56">
        <f>VLOOKUP(B588,'Player Data'!$A1:$AE667,7,FALSE)*$Q588*IFERROR((VLOOKUP(P588,Settings!$E$28:$F$33,2,FALSE)+1),1)</f>
        <v>7.5077211649717395</v>
      </c>
      <c r="T588" s="56">
        <f>VLOOKUP(B588,'Player Data'!$A1:$AE667,8,FALSE)*$Q588*IFERROR((VLOOKUP(P588,Settings!$E$28:$F$33,2,FALSE)+1),1)</f>
        <v>10.979913912350593</v>
      </c>
      <c r="U588" s="56">
        <f>SUM(S588:T588)</f>
        <v>18.487635077322331</v>
      </c>
      <c r="V588" s="56">
        <f>VLOOKUP(B588,'Player Data'!$A1:$AE667,10,FALSE)*$Q588*IFERROR(((VLOOKUP(P588,Settings!$E$28:$F$33,2,FALSE)/2)+1),1)</f>
        <v>92.90120228263747</v>
      </c>
      <c r="W588" s="56">
        <f>VLOOKUP(B588,'Player Data'!$A1:$AE667,11,FALSE)*$Q588*IFERROR((VLOOKUP(P588,Settings!$E$28:$F$33,2,FALSE)+1),1)</f>
        <v>9.0196762403137523E-2</v>
      </c>
      <c r="X588" s="56">
        <f>VLOOKUP(B588,'Player Data'!$A1:$AE667,12,FALSE)*$Q588*IFERROR((VLOOKUP(P588,Settings!$E$28:$F$33,2,FALSE)+1),1)</f>
        <v>0.20298593298430764</v>
      </c>
      <c r="Y588" s="56">
        <f>VLOOKUP(B588,'Player Data'!$A1:$AE667,13,FALSE)*$Q588</f>
        <v>7.5359297801109018E-2</v>
      </c>
      <c r="Z588" s="56">
        <f>VLOOKUP(B588,'Player Data'!$A1:$AE667,14,FALSE)*$Q588</f>
        <v>0.12938439491727016</v>
      </c>
      <c r="AA588" s="56">
        <f>VLOOKUP(B588,'Player Data'!$A1:$AE667,15,FALSE)*$Q588</f>
        <v>23.256895183795628</v>
      </c>
      <c r="AB588" s="56">
        <f>VLOOKUP(B588,'Player Data'!$A1:$AE667,16,FALSE)*$Q588</f>
        <v>186.14574906527878</v>
      </c>
      <c r="AC588" s="56">
        <f>VLOOKUP(B588,'Player Data'!$A1:$AE667,17,FALSE)*$Q588*IFERROR((VLOOKUP(P588,Settings!$E$28:$F$33,2,FALSE)+1),1)</f>
        <v>2.5938301389410272</v>
      </c>
      <c r="AD588" s="56">
        <f>VLOOKUP(B588,'Player Data'!$A1:$AE667,18,FALSE)*$Q588</f>
        <v>31.779920415042056</v>
      </c>
      <c r="AE588" s="56">
        <f>VLOOKUP(B588,'Player Data'!$A1:$AE667,19,FALSE)*$Q588*IFERROR((VLOOKUP(P588,Settings!$E$28:$F$33,2,FALSE)+1),1)</f>
        <v>1.2821251015811332</v>
      </c>
      <c r="AF588" s="56">
        <f>VLOOKUP(B588,'Player Data'!$A1:$AE667,20,FALSE)*$Q588</f>
        <v>14.174673596700609</v>
      </c>
      <c r="AG588" s="56">
        <f>VLOOKUP(B588,'Player Data'!$A1:$AE667,21,FALSE)*$Q588</f>
        <v>12.047736753493224</v>
      </c>
      <c r="AH588" s="58">
        <f>VLOOKUP(B588,'Player Data'!$A1:$AE667,22,FALSE)</f>
        <v>0.54055570816722598</v>
      </c>
      <c r="AI588" s="54"/>
      <c r="AJ588" s="56"/>
      <c r="AK588" s="56"/>
      <c r="AL588" s="56"/>
      <c r="AM588" s="56"/>
      <c r="AN588" s="56"/>
      <c r="AO588" s="56"/>
      <c r="AP588" s="56"/>
      <c r="AQ588" s="59"/>
      <c r="AR588" s="60"/>
      <c r="AS588" s="54"/>
    </row>
    <row r="589" spans="1:45" ht="21.25" customHeight="1" x14ac:dyDescent="0.15">
      <c r="A589" s="45">
        <f>RANK(K589,K$1:K$665)</f>
        <v>588</v>
      </c>
      <c r="B589" s="9" t="s">
        <v>714</v>
      </c>
      <c r="C589" s="46" t="s">
        <v>127</v>
      </c>
      <c r="D589" s="47" t="str">
        <f>VLOOKUP(B589,'Player Data'!A1:D667,4,FALSE)</f>
        <v>RW</v>
      </c>
      <c r="E589" s="61">
        <f>VLOOKUP(B589,RW!A1:F136,3,FALSE)</f>
        <v>123</v>
      </c>
      <c r="F589" s="55" t="str">
        <f>VLOOKUP(B589,'Player Data'!A1:B667,2,FALSE)</f>
        <v>CHI</v>
      </c>
      <c r="G589" s="10">
        <f>VLOOKUP(B589,'Player Data'!A1:D667,3,FALSE)</f>
        <v>26</v>
      </c>
      <c r="H589" s="50">
        <f>IFERROR(VLOOKUP(B589,ADP!A1:G665,7,FALSE)/1000000,VLOOKUP(B589,ADP!A1:G665,7,FALSE))</f>
        <v>0.8</v>
      </c>
      <c r="I589" s="51">
        <f>IF(Settings!$E$15="POINTS",((R589*Q589)*Settings!$B$12)+(S589*Settings!$B$2)+(T589*Settings!$B$3)+(U589*Settings!$B$4)+(V589*Settings!$B$5)+(X589*Settings!$B$9)+(AA589*Settings!$B$6)+(W589*Settings!$B$8)+(AB589*Settings!$B$7)+(AC589*Settings!$B$14)+(AD589*Settings!$B$15)+(AE589*Settings!$B$16)+(AF589*Settings!$B$17)+(AG589*Settings!$B$18)+(Y589*Settings!$B$10)+(Z589*Settings!$B$11),VLOOKUP(B589,'Standard Deviations'!A1:C666,3,FALSE))</f>
        <v>113.50296398129623</v>
      </c>
      <c r="J589" s="52">
        <f>IF(D589="G",I589/AJ589,I589/Q589)</f>
        <v>1.6768674272398336</v>
      </c>
      <c r="K589" s="51">
        <f>IF(Settings!$E$18="C/LW/RW",VLOOKUP(B589,RW!A1:F136,6,FALSE),VLOOKUP(B589,F!A1:F392,6,FALSE))</f>
        <v>-255.34475912499616</v>
      </c>
      <c r="L589" s="53">
        <f>IFERROR(K589/H589,"N/A")</f>
        <v>-319.18094890624519</v>
      </c>
      <c r="M589" s="83" t="str">
        <f>IF(Settings!$E$9="YAHOO",VLOOKUP(B589,ADP!A1:E665,2,FALSE),IF(Settings!$E$9="ESPN",VLOOKUP(B589,ADP!A1:E665,3,FALSE),IF(Settings!$E$9="FANTRAX",VLOOKUP(B589,ADP!A1:E665,4,FALSE),VLOOKUP(B589,ADP!A1:E665,5,FALSE))))</f>
        <v>—</v>
      </c>
      <c r="N589" s="83" t="str">
        <f>IFERROR(M589-A589,"N/A")</f>
        <v>N/A</v>
      </c>
      <c r="O589" s="54"/>
      <c r="P589" s="55" t="str">
        <f>IF(Settings!$E$27="ON",VLOOKUP(B589,ADP!A1:H665,8,FALSE)," ")</f>
        <v xml:space="preserve"> </v>
      </c>
      <c r="Q589" s="56">
        <f>IF(Settings!$E$12="YES",VLOOKUP(B589,'Player Data'!A1:E667,5,FALSE),82)</f>
        <v>67.6875</v>
      </c>
      <c r="R589" s="54">
        <f>VLOOKUP(B589,'Player Data'!$A1:$AE667,6,FALSE)</f>
        <v>13.306279113213799</v>
      </c>
      <c r="S589" s="56">
        <f>VLOOKUP(B589,'Player Data'!$A1:$AE667,7,FALSE)*$Q589*IFERROR((VLOOKUP(P589,Settings!$E$28:$F$33,2,FALSE)+1),1)</f>
        <v>8.1617124922940683</v>
      </c>
      <c r="T589" s="56">
        <f>VLOOKUP(B589,'Player Data'!$A1:$AE667,8,FALSE)*$Q589*IFERROR((VLOOKUP(P589,Settings!$E$28:$F$33,2,FALSE)+1),1)</f>
        <v>12.394600643042562</v>
      </c>
      <c r="U589" s="56">
        <f>SUM(S589:T589)</f>
        <v>20.55631313533663</v>
      </c>
      <c r="V589" s="56">
        <f>VLOOKUP(B589,'Player Data'!$A1:$AE667,10,FALSE)*$Q589*IFERROR(((VLOOKUP(P589,Settings!$E$28:$F$33,2,FALSE)/2)+1),1)</f>
        <v>75.957843290071168</v>
      </c>
      <c r="W589" s="56">
        <f>VLOOKUP(B589,'Player Data'!$A1:$AE667,11,FALSE)*$Q589*IFERROR((VLOOKUP(P589,Settings!$E$28:$F$33,2,FALSE)+1),1)</f>
        <v>4.524252240035128E-2</v>
      </c>
      <c r="X589" s="56">
        <f>VLOOKUP(B589,'Player Data'!$A1:$AE667,12,FALSE)*$Q589*IFERROR((VLOOKUP(P589,Settings!$E$28:$F$33,2,FALSE)+1),1)</f>
        <v>0.10500489030293711</v>
      </c>
      <c r="Y589" s="56">
        <f>VLOOKUP(B589,'Player Data'!$A1:$AE667,13,FALSE)*$Q589</f>
        <v>0.17794060692704178</v>
      </c>
      <c r="Z589" s="56">
        <f>VLOOKUP(B589,'Player Data'!$A1:$AE667,14,FALSE)*$Q589</f>
        <v>0.30255805518104856</v>
      </c>
      <c r="AA589" s="56">
        <f>VLOOKUP(B589,'Player Data'!$A1:$AE667,15,FALSE)*$Q589</f>
        <v>26.895079969533558</v>
      </c>
      <c r="AB589" s="56">
        <f>VLOOKUP(B589,'Player Data'!$A1:$AE667,16,FALSE)*$Q589</f>
        <v>63.727229042930517</v>
      </c>
      <c r="AC589" s="56">
        <f>VLOOKUP(B589,'Player Data'!$A1:$AE667,17,FALSE)*$Q589*IFERROR((VLOOKUP(P589,Settings!$E$28:$F$33,2,FALSE)+1),1)</f>
        <v>-4.2350913453020507</v>
      </c>
      <c r="AD589" s="56">
        <f>VLOOKUP(B589,'Player Data'!$A1:$AE667,18,FALSE)*$Q589</f>
        <v>13.269115879648828</v>
      </c>
      <c r="AE589" s="56">
        <f>VLOOKUP(B589,'Player Data'!$A1:$AE667,19,FALSE)*$Q589*IFERROR((VLOOKUP(P589,Settings!$E$28:$F$33,2,FALSE)+1),1)</f>
        <v>1.0547809162110751</v>
      </c>
      <c r="AF589" s="56">
        <f>VLOOKUP(B589,'Player Data'!$A1:$AE667,20,FALSE)*$Q589</f>
        <v>0</v>
      </c>
      <c r="AG589" s="56">
        <f>VLOOKUP(B589,'Player Data'!$A1:$AE667,21,FALSE)*$Q589</f>
        <v>2.568669057313318</v>
      </c>
      <c r="AH589" s="58">
        <f>VLOOKUP(B589,'Player Data'!$A1:$AE667,22,FALSE)</f>
        <v>0</v>
      </c>
      <c r="AI589" s="54"/>
      <c r="AJ589" s="56"/>
      <c r="AK589" s="56"/>
      <c r="AL589" s="56"/>
      <c r="AM589" s="56"/>
      <c r="AN589" s="56"/>
      <c r="AO589" s="56"/>
      <c r="AP589" s="56"/>
      <c r="AQ589" s="59"/>
      <c r="AR589" s="60"/>
      <c r="AS589" s="54"/>
    </row>
    <row r="590" spans="1:45" ht="21.25" customHeight="1" x14ac:dyDescent="0.15">
      <c r="A590" s="45">
        <f>RANK(K590,K$1:K$665)</f>
        <v>589</v>
      </c>
      <c r="B590" s="9" t="s">
        <v>715</v>
      </c>
      <c r="C590" s="46" t="s">
        <v>127</v>
      </c>
      <c r="D590" s="47" t="str">
        <f>VLOOKUP(B590,'Player Data'!A1:D667,4,FALSE)</f>
        <v>LW</v>
      </c>
      <c r="E590" s="70">
        <f>VLOOKUP(B590,LW!A1:C152,3,FALSE)</f>
        <v>133</v>
      </c>
      <c r="F590" s="62" t="str">
        <f>VLOOKUP(B590,'Player Data'!A1:B667,2,FALSE)</f>
        <v>SEA</v>
      </c>
      <c r="G590" s="69">
        <f>VLOOKUP(B590,'Player Data'!A1:D667,3,FALSE)</f>
        <v>23</v>
      </c>
      <c r="H590" s="67">
        <f>IFERROR(VLOOKUP(B590,ADP!A1:G665,7,FALSE)/1000000,VLOOKUP(B590,ADP!A1:G665,7,FALSE))</f>
        <v>0.85916700000000001</v>
      </c>
      <c r="I590" s="51">
        <f>IF(Settings!$E$15="POINTS",((R590*Q590)*Settings!$B$12)+(S590*Settings!$B$2)+(T590*Settings!$B$3)+(U590*Settings!$B$4)+(V590*Settings!$B$5)+(X590*Settings!$B$9)+(AA590*Settings!$B$6)+(W590*Settings!$B$8)+(AB590*Settings!$B$7)+(AC590*Settings!$B$14)+(AD590*Settings!$B$15)+(AE590*Settings!$B$16)+(AF590*Settings!$B$17)+(AG590*Settings!$B$18)+(Y590*Settings!$B$10)+(Z590*Settings!$B$11),VLOOKUP(B590,'Standard Deviations'!A1:C666,3,FALSE))</f>
        <v>125.69379837459259</v>
      </c>
      <c r="J590" s="52">
        <f>IF(D590="G",I590/AJ590,I590/Q590)</f>
        <v>1.6413397541733168</v>
      </c>
      <c r="K590" s="51">
        <f>IF(Settings!$E$18="C/LW/RW",VLOOKUP(B590,LW!A1:F152,6,FALSE),VLOOKUP(B590,F!A1:F392,6,FALSE))</f>
        <v>-255.36771392790718</v>
      </c>
      <c r="L590" s="53">
        <f>IFERROR(K590/H590,"N/A")</f>
        <v>-297.22709779112461</v>
      </c>
      <c r="M590" s="83" t="str">
        <f>IF(Settings!$E$9="YAHOO",VLOOKUP(B590,ADP!A1:E665,2,FALSE),IF(Settings!$E$9="ESPN",VLOOKUP(B590,ADP!A1:E665,3,FALSE),IF(Settings!$E$9="FANTRAX",VLOOKUP(B590,ADP!A1:E665,4,FALSE),VLOOKUP(B590,ADP!A1:E665,5,FALSE))))</f>
        <v>—</v>
      </c>
      <c r="N590" s="83" t="str">
        <f>IFERROR(M590-A590,"N/A")</f>
        <v>N/A</v>
      </c>
      <c r="O590" s="54"/>
      <c r="P590" s="55" t="str">
        <f>IF(Settings!$E$27="ON",VLOOKUP(B590,ADP!A1:H665,8,FALSE)," ")</f>
        <v xml:space="preserve"> </v>
      </c>
      <c r="Q590" s="56">
        <f>IF(Settings!$E$12="YES",VLOOKUP(B590,'Player Data'!A1:E667,5,FALSE),82)</f>
        <v>76.58</v>
      </c>
      <c r="R590" s="54">
        <f>VLOOKUP(B590,'Player Data'!$A1:$AE667,6,FALSE)</f>
        <v>11.3612049259015</v>
      </c>
      <c r="S590" s="56">
        <f>VLOOKUP(B590,'Player Data'!$A1:$AE667,7,FALSE)*$Q590*IFERROR((VLOOKUP(P590,Settings!$E$28:$F$33,2,FALSE)+1),1)</f>
        <v>10.323708196314248</v>
      </c>
      <c r="T590" s="56">
        <f>VLOOKUP(B590,'Player Data'!$A1:$AE667,8,FALSE)*$Q590*IFERROR((VLOOKUP(P590,Settings!$E$28:$F$33,2,FALSE)+1),1)</f>
        <v>9.8821873187542302</v>
      </c>
      <c r="U590" s="56">
        <f>SUM(S590:T590)</f>
        <v>20.205895515068477</v>
      </c>
      <c r="V590" s="56">
        <f>VLOOKUP(B590,'Player Data'!$A1:$AE667,10,FALSE)*$Q590*IFERROR(((VLOOKUP(P590,Settings!$E$28:$F$33,2,FALSE)/2)+1),1)</f>
        <v>100.60306523366087</v>
      </c>
      <c r="W590" s="56">
        <f>VLOOKUP(B590,'Player Data'!$A1:$AE667,11,FALSE)*$Q590*IFERROR((VLOOKUP(P590,Settings!$E$28:$F$33,2,FALSE)+1),1)</f>
        <v>7.0477738255861497E-2</v>
      </c>
      <c r="X590" s="56">
        <f>VLOOKUP(B590,'Player Data'!$A1:$AE667,12,FALSE)*$Q590*IFERROR((VLOOKUP(P590,Settings!$E$28:$F$33,2,FALSE)+1),1)</f>
        <v>0.16410735153423586</v>
      </c>
      <c r="Y590" s="56">
        <f>VLOOKUP(B590,'Player Data'!$A1:$AE667,13,FALSE)*$Q590</f>
        <v>0.17231658302840844</v>
      </c>
      <c r="Z590" s="56">
        <f>VLOOKUP(B590,'Player Data'!$A1:$AE667,14,FALSE)*$Q590</f>
        <v>0.29395042283086481</v>
      </c>
      <c r="AA590" s="56">
        <f>VLOOKUP(B590,'Player Data'!$A1:$AE667,15,FALSE)*$Q590</f>
        <v>28.633042876383268</v>
      </c>
      <c r="AB590" s="56">
        <f>VLOOKUP(B590,'Player Data'!$A1:$AE667,16,FALSE)*$Q590</f>
        <v>188.56489881886628</v>
      </c>
      <c r="AC590" s="56">
        <f>VLOOKUP(B590,'Player Data'!$A1:$AE667,17,FALSE)*$Q590*IFERROR((VLOOKUP(P590,Settings!$E$28:$F$33,2,FALSE)+1),1)</f>
        <v>-1.0966622835789124</v>
      </c>
      <c r="AD590" s="56">
        <f>VLOOKUP(B590,'Player Data'!$A1:$AE667,18,FALSE)*$Q590</f>
        <v>24.674172747344148</v>
      </c>
      <c r="AE590" s="56">
        <f>VLOOKUP(B590,'Player Data'!$A1:$AE667,19,FALSE)*$Q590*IFERROR((VLOOKUP(P590,Settings!$E$28:$F$33,2,FALSE)+1),1)</f>
        <v>1.5676310441605943</v>
      </c>
      <c r="AF590" s="56">
        <f>VLOOKUP(B590,'Player Data'!$A1:$AE667,20,FALSE)*$Q590</f>
        <v>39.140726600883248</v>
      </c>
      <c r="AG590" s="56">
        <f>VLOOKUP(B590,'Player Data'!$A1:$AE667,21,FALSE)*$Q590</f>
        <v>43.913985942454474</v>
      </c>
      <c r="AH590" s="58">
        <f>VLOOKUP(B590,'Player Data'!$A1:$AE667,22,FALSE)</f>
        <v>0.47126436781609199</v>
      </c>
      <c r="AI590" s="54"/>
      <c r="AJ590" s="64"/>
      <c r="AK590" s="56"/>
      <c r="AL590" s="56"/>
      <c r="AM590" s="56"/>
      <c r="AN590" s="56"/>
      <c r="AO590" s="56"/>
      <c r="AP590" s="56"/>
      <c r="AQ590" s="59"/>
      <c r="AR590" s="60"/>
      <c r="AS590" s="54"/>
    </row>
    <row r="591" spans="1:45" ht="21.25" customHeight="1" x14ac:dyDescent="0.15">
      <c r="A591" s="45">
        <f>RANK(K591,K$1:K$665)</f>
        <v>590</v>
      </c>
      <c r="B591" s="9" t="s">
        <v>716</v>
      </c>
      <c r="C591" s="46" t="s">
        <v>127</v>
      </c>
      <c r="D591" s="47" t="str">
        <f>VLOOKUP(B591,'Player Data'!A1:D667,4,FALSE)</f>
        <v>G</v>
      </c>
      <c r="E591" s="73">
        <f>VLOOKUP(B591,G!A1:D65,3,FALSE)</f>
        <v>57</v>
      </c>
      <c r="F591" s="55" t="str">
        <f>VLOOKUP(B591,'Player Data'!A1:B667,2,FALSE)</f>
        <v>N.J</v>
      </c>
      <c r="G591" s="63">
        <f>VLOOKUP(B591,'Player Data'!A1:D667,3,FALSE)</f>
        <v>33</v>
      </c>
      <c r="H591" s="67">
        <f>IFERROR(VLOOKUP(B591,ADP!A1:G665,7,FALSE)/1000000,VLOOKUP(B591,ADP!A1:G665,7,FALSE))</f>
        <v>1.925</v>
      </c>
      <c r="I591" s="51">
        <f>IF(Settings!$E$15="POINTS",(AJ591*Settings!$B$29)+(AK591*Settings!$B$21)+(AL591*Settings!$B$22)+(AN591*Settings!$B$24)+(AO591*Settings!$B$25)+(AP591*Settings!$B$27)+(AM591*Settings!$B$23),VLOOKUP(B591,'Standard Deviations'!A1:C666,3,FALSE))</f>
        <v>155.21166266580104</v>
      </c>
      <c r="J591" s="52">
        <f>IF(D591="G",I591/AJ591,I591/Q591)</f>
        <v>6.4671526110750435</v>
      </c>
      <c r="K591" s="51">
        <f>VLOOKUP(B591,G!A1:F65,6,FALSE)</f>
        <v>-255.44808010361913</v>
      </c>
      <c r="L591" s="53">
        <f>IFERROR(K591/H591,"N/A")</f>
        <v>-132.70030135252941</v>
      </c>
      <c r="M591" s="54">
        <f>IF(Settings!$E$9="YAHOO",VLOOKUP(B591,ADP!A1:E665,2,FALSE),IF(Settings!$E$9="ESPN",VLOOKUP(B591,ADP!A1:E665,3,FALSE),IF(Settings!$E$9="FANTRAX",VLOOKUP(B591,ADP!A1:E665,4,FALSE),VLOOKUP(B591,ADP!A1:E665,5,FALSE))))</f>
        <v>165.3</v>
      </c>
      <c r="N591" s="54">
        <f>IFERROR(M591-A591,"N/A")</f>
        <v>-424.7</v>
      </c>
      <c r="O591" s="54"/>
      <c r="P591" s="55" t="str">
        <f>IF(Settings!$E$27="ON",VLOOKUP(B591,ADP!A1:H665,8,FALSE)," ")</f>
        <v xml:space="preserve"> </v>
      </c>
      <c r="Q591" s="56"/>
      <c r="R591" s="54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8"/>
      <c r="AI591" s="54"/>
      <c r="AJ591" s="64">
        <f>VLOOKUP(B591,'Player Data'!$A1:$AE667,24,FALSE)</f>
        <v>24</v>
      </c>
      <c r="AK591" s="56">
        <f>VLOOKUP(B591,'Player Data'!$A1:$AE667,25,FALSE)*$AJ591*IFERROR((VLOOKUP(P591,Settings!$E$28:$F$33,2,FALSE)+1),1)</f>
        <v>12.814994330699545</v>
      </c>
      <c r="AL591" s="56">
        <f>AJ591-AK591-AM591</f>
        <v>8.1850056693004554</v>
      </c>
      <c r="AM591" s="56">
        <f>VLOOKUP(B591,'Player Data'!$A1:$AE667,27,FALSE)*$AJ591</f>
        <v>3</v>
      </c>
      <c r="AN591" s="56">
        <f>VLOOKUP(B591,'Player Data'!$A1:$AE667,28,FALSE)*AJ591</f>
        <v>1.1618134711847761</v>
      </c>
      <c r="AO591" s="56">
        <f>VLOOKUP(B591,'Player Data'!$A1:$AE667,29,FALSE)*$AJ591*IFERROR((VLOOKUP(P591,Settings!$E$28:$F$33,2,FALSE)/4)+1,1)</f>
        <v>650.41242480292806</v>
      </c>
      <c r="AP591" s="56">
        <f>VLOOKUP(B591,'Player Data'!$A1:$AE667,31,FALSE)*$AJ591*(IFERROR(1-(VLOOKUP(P591,Settings!$E$28:$F$33,2,FALSE)/4),1))</f>
        <v>69.867115399648796</v>
      </c>
      <c r="AQ591" s="59">
        <f>1-(AP591/(AO591+AP591))</f>
        <v>0.90300000000000158</v>
      </c>
      <c r="AR591" s="60">
        <f>AP591/AJ591</f>
        <v>2.9111298083186998</v>
      </c>
      <c r="AS591" s="54"/>
    </row>
    <row r="592" spans="1:45" ht="21.25" customHeight="1" x14ac:dyDescent="0.15">
      <c r="A592" s="45">
        <f>RANK(K592,K$1:K$665)</f>
        <v>591</v>
      </c>
      <c r="B592" s="9" t="s">
        <v>717</v>
      </c>
      <c r="C592" s="46" t="s">
        <v>127</v>
      </c>
      <c r="D592" s="47" t="str">
        <f>VLOOKUP(B592,'Player Data'!A1:D667,4,FALSE)</f>
        <v>C</v>
      </c>
      <c r="E592" s="48">
        <f>VLOOKUP(B592,'C'!A1:C206,3,FALSE)</f>
        <v>163</v>
      </c>
      <c r="F592" s="74" t="str">
        <f>VLOOKUP(B592,'Player Data'!A1:B667,2,FALSE)</f>
        <v>PIT</v>
      </c>
      <c r="G592" s="10">
        <f>VLOOKUP(B592,'Player Data'!A1:D667,3,FALSE)</f>
        <v>26</v>
      </c>
      <c r="H592" s="50">
        <f>IFERROR(VLOOKUP(B592,ADP!A1:G665,7,FALSE)/1000000,VLOOKUP(B592,ADP!A1:G665,7,FALSE))</f>
        <v>1.85</v>
      </c>
      <c r="I592" s="51">
        <f>IF(Settings!$E$15="POINTS",((R592*Q592)*Settings!$B$12)+(S592*Settings!$B$2)+(T592*Settings!$B$3)+(U592*Settings!$B$4)+(V592*Settings!$B$5)+(X592*Settings!$B$9)+(AA592*Settings!$B$6)+(W592*Settings!$B$8)+(AB592*Settings!$B$7)+(AC592*Settings!$B$14)+(AD592*Settings!$B$15)+(AE592*Settings!$B$16)+(AF592*Settings!$B$17)+(AG592*Settings!$B$18)+(Y592*Settings!$B$10)+(Z592*Settings!$B$11),VLOOKUP(B592,'Standard Deviations'!A1:C666,3,FALSE))</f>
        <v>134.18170766665202</v>
      </c>
      <c r="J592" s="52">
        <f>IF(D592="G",I592/AJ592,I592/Q592)</f>
        <v>1.7394005595703019</v>
      </c>
      <c r="K592" s="51">
        <f>IF(Settings!$E$18="C/LW/RW",VLOOKUP(B592,'C'!A1:F206,6,FALSE),VLOOKUP(B592,F!A1:F392,6,FALSE))</f>
        <v>-255.75545011142907</v>
      </c>
      <c r="L592" s="53">
        <f>IFERROR(K592/H592,"N/A")</f>
        <v>-138.24618924942112</v>
      </c>
      <c r="M592" s="83" t="str">
        <f>IF(Settings!$E$9="YAHOO",VLOOKUP(B592,ADP!A1:E665,2,FALSE),IF(Settings!$E$9="ESPN",VLOOKUP(B592,ADP!A1:E665,3,FALSE),IF(Settings!$E$9="FANTRAX",VLOOKUP(B592,ADP!A1:E665,4,FALSE),VLOOKUP(B592,ADP!A1:E665,5,FALSE))))</f>
        <v>—</v>
      </c>
      <c r="N592" s="83" t="str">
        <f>IFERROR(M592-A592,"N/A")</f>
        <v>N/A</v>
      </c>
      <c r="O592" s="54"/>
      <c r="P592" s="55" t="str">
        <f>IF(Settings!$E$27="ON",VLOOKUP(B592,ADP!A1:H665,8,FALSE)," ")</f>
        <v xml:space="preserve"> </v>
      </c>
      <c r="Q592" s="56">
        <f>IF(Settings!$E$12="YES",VLOOKUP(B592,'Player Data'!A1:E667,5,FALSE),82)</f>
        <v>77.142499999999998</v>
      </c>
      <c r="R592" s="54">
        <f>VLOOKUP(B592,'Player Data'!$A1:$AE667,6,FALSE)</f>
        <v>11.767580575259901</v>
      </c>
      <c r="S592" s="56">
        <f>VLOOKUP(B592,'Player Data'!$A1:$AE667,7,FALSE)*$Q592*IFERROR((VLOOKUP(P592,Settings!$E$28:$F$33,2,FALSE)+1),1)</f>
        <v>8.8977452136307882</v>
      </c>
      <c r="T592" s="56">
        <f>VLOOKUP(B592,'Player Data'!$A1:$AE667,8,FALSE)*$Q592*IFERROR((VLOOKUP(P592,Settings!$E$28:$F$33,2,FALSE)+1),1)</f>
        <v>13.677841589133084</v>
      </c>
      <c r="U592" s="56">
        <f>SUM(S592:T592)</f>
        <v>22.575586802763873</v>
      </c>
      <c r="V592" s="56">
        <f>VLOOKUP(B592,'Player Data'!$A1:$AE667,10,FALSE)*$Q592*IFERROR(((VLOOKUP(P592,Settings!$E$28:$F$33,2,FALSE)/2)+1),1)</f>
        <v>93.248377284433431</v>
      </c>
      <c r="W592" s="56">
        <f>VLOOKUP(B592,'Player Data'!$A1:$AE667,11,FALSE)*$Q592*IFERROR((VLOOKUP(P592,Settings!$E$28:$F$33,2,FALSE)+1),1)</f>
        <v>6.7929452721535333E-2</v>
      </c>
      <c r="X592" s="56">
        <f>VLOOKUP(B592,'Player Data'!$A1:$AE667,12,FALSE)*$Q592*IFERROR((VLOOKUP(P592,Settings!$E$28:$F$33,2,FALSE)+1),1)</f>
        <v>0.15782435511774939</v>
      </c>
      <c r="Y592" s="56">
        <f>VLOOKUP(B592,'Player Data'!$A1:$AE667,13,FALSE)*$Q592</f>
        <v>0.89824350813487119</v>
      </c>
      <c r="Z592" s="56">
        <f>VLOOKUP(B592,'Player Data'!$A1:$AE667,14,FALSE)*$Q592</f>
        <v>2.0719465165050019</v>
      </c>
      <c r="AA592" s="56">
        <f>VLOOKUP(B592,'Player Data'!$A1:$AE667,15,FALSE)*$Q592</f>
        <v>35.201975489041864</v>
      </c>
      <c r="AB592" s="56">
        <f>VLOOKUP(B592,'Player Data'!$A1:$AE667,16,FALSE)*$Q592</f>
        <v>87.015119363466582</v>
      </c>
      <c r="AC592" s="56">
        <f>VLOOKUP(B592,'Player Data'!$A1:$AE667,17,FALSE)*$Q592*IFERROR((VLOOKUP(P592,Settings!$E$28:$F$33,2,FALSE)+1),1)</f>
        <v>2.1710947607173554</v>
      </c>
      <c r="AD592" s="56">
        <f>VLOOKUP(B592,'Player Data'!$A1:$AE667,18,FALSE)*$Q592</f>
        <v>33.192494540363228</v>
      </c>
      <c r="AE592" s="56">
        <f>VLOOKUP(B592,'Player Data'!$A1:$AE667,19,FALSE)*$Q592*IFERROR((VLOOKUP(P592,Settings!$E$28:$F$33,2,FALSE)+1),1)</f>
        <v>1.319027573592042</v>
      </c>
      <c r="AF592" s="56">
        <f>VLOOKUP(B592,'Player Data'!$A1:$AE667,20,FALSE)*$Q592</f>
        <v>264.22106087018068</v>
      </c>
      <c r="AG592" s="56">
        <f>VLOOKUP(B592,'Player Data'!$A1:$AE667,21,FALSE)*$Q592</f>
        <v>265.66204457826194</v>
      </c>
      <c r="AH592" s="58">
        <f>VLOOKUP(B592,'Player Data'!$A1:$AE667,22,FALSE)</f>
        <v>0.49864028151373002</v>
      </c>
      <c r="AI592" s="54"/>
      <c r="AJ592" s="64"/>
      <c r="AK592" s="56"/>
      <c r="AL592" s="56"/>
      <c r="AM592" s="56"/>
      <c r="AN592" s="56"/>
      <c r="AO592" s="56"/>
      <c r="AP592" s="56"/>
      <c r="AQ592" s="59"/>
      <c r="AR592" s="60"/>
      <c r="AS592" s="54"/>
    </row>
    <row r="593" spans="1:45" ht="21.25" customHeight="1" x14ac:dyDescent="0.15">
      <c r="A593" s="45">
        <f>RANK(K593,K$1:K$665)</f>
        <v>592</v>
      </c>
      <c r="B593" s="9" t="s">
        <v>718</v>
      </c>
      <c r="C593" s="46" t="s">
        <v>127</v>
      </c>
      <c r="D593" s="47" t="str">
        <f>VLOOKUP(B593,'Player Data'!A1:D667,4,FALSE)</f>
        <v>RW</v>
      </c>
      <c r="E593" s="61">
        <f>VLOOKUP(B593,RW!A1:F136,3,FALSE)</f>
        <v>124</v>
      </c>
      <c r="F593" s="65" t="str">
        <f>VLOOKUP(B593,'Player Data'!A1:B667,2,FALSE)</f>
        <v>TOR</v>
      </c>
      <c r="G593" s="10">
        <f>VLOOKUP(B593,'Player Data'!A1:D667,3,FALSE)</f>
        <v>25</v>
      </c>
      <c r="H593" s="67">
        <f>IFERROR(VLOOKUP(B593,ADP!A1:G665,7,FALSE)/1000000,VLOOKUP(B593,ADP!A1:G665,7,FALSE))</f>
        <v>0.8</v>
      </c>
      <c r="I593" s="51">
        <f>IF(Settings!$E$15="POINTS",((R593*Q593)*Settings!$B$12)+(S593*Settings!$B$2)+(T593*Settings!$B$3)+(U593*Settings!$B$4)+(V593*Settings!$B$5)+(X593*Settings!$B$9)+(AA593*Settings!$B$6)+(W593*Settings!$B$8)+(AB593*Settings!$B$7)+(AC593*Settings!$B$14)+(AD593*Settings!$B$15)+(AE593*Settings!$B$16)+(AF593*Settings!$B$17)+(AG593*Settings!$B$18)+(Y593*Settings!$B$10)+(Z593*Settings!$B$11),VLOOKUP(B593,'Standard Deviations'!A1:C666,3,FALSE))</f>
        <v>112.38433887312975</v>
      </c>
      <c r="J593" s="52">
        <f>IF(D593="G",I593/AJ593,I593/Q593)</f>
        <v>1.6273434531295938</v>
      </c>
      <c r="K593" s="51">
        <f>IF(Settings!$E$18="C/LW/RW",VLOOKUP(B593,RW!A1:F136,6,FALSE),VLOOKUP(B593,F!A1:F392,6,FALSE))</f>
        <v>-256.46338423316263</v>
      </c>
      <c r="L593" s="53">
        <f>IFERROR(K593/H593,"N/A")</f>
        <v>-320.57923029145326</v>
      </c>
      <c r="M593" s="83" t="str">
        <f>IF(Settings!$E$9="YAHOO",VLOOKUP(B593,ADP!A1:E665,2,FALSE),IF(Settings!$E$9="ESPN",VLOOKUP(B593,ADP!A1:E665,3,FALSE),IF(Settings!$E$9="FANTRAX",VLOOKUP(B593,ADP!A1:E665,4,FALSE),VLOOKUP(B593,ADP!A1:E665,5,FALSE))))</f>
        <v>—</v>
      </c>
      <c r="N593" s="83" t="str">
        <f>IFERROR(M593-A593,"N/A")</f>
        <v>N/A</v>
      </c>
      <c r="O593" s="54"/>
      <c r="P593" s="55" t="str">
        <f>IF(Settings!$E$27="ON",VLOOKUP(B593,ADP!A1:H665,8,FALSE)," ")</f>
        <v xml:space="preserve"> </v>
      </c>
      <c r="Q593" s="56">
        <f>IF(Settings!$E$12="YES",VLOOKUP(B593,'Player Data'!A1:E667,5,FALSE),82)</f>
        <v>69.06</v>
      </c>
      <c r="R593" s="54">
        <f>VLOOKUP(B593,'Player Data'!$A1:$AE667,6,FALSE)</f>
        <v>11.260090060684</v>
      </c>
      <c r="S593" s="56">
        <f>VLOOKUP(B593,'Player Data'!$A1:$AE667,7,FALSE)*$Q593*IFERROR((VLOOKUP(P593,Settings!$E$28:$F$33,2,FALSE)+1),1)</f>
        <v>7.2920156442945245</v>
      </c>
      <c r="T593" s="56">
        <f>VLOOKUP(B593,'Player Data'!$A1:$AE667,8,FALSE)*$Q593*IFERROR((VLOOKUP(P593,Settings!$E$28:$F$33,2,FALSE)+1),1)</f>
        <v>11.10791609125847</v>
      </c>
      <c r="U593" s="56">
        <f>SUM(S593:T593)</f>
        <v>18.399931735552997</v>
      </c>
      <c r="V593" s="56">
        <f>VLOOKUP(B593,'Player Data'!$A1:$AE667,10,FALSE)*$Q593*IFERROR(((VLOOKUP(P593,Settings!$E$28:$F$33,2,FALSE)/2)+1),1)</f>
        <v>67.758066339264857</v>
      </c>
      <c r="W593" s="56">
        <f>VLOOKUP(B593,'Player Data'!$A1:$AE667,11,FALSE)*$Q593*IFERROR((VLOOKUP(P593,Settings!$E$28:$F$33,2,FALSE)+1),1)</f>
        <v>6.9383665629242752E-2</v>
      </c>
      <c r="X593" s="56">
        <f>VLOOKUP(B593,'Player Data'!$A1:$AE667,12,FALSE)*$Q593*IFERROR((VLOOKUP(P593,Settings!$E$28:$F$33,2,FALSE)+1),1)</f>
        <v>0.13198751082312665</v>
      </c>
      <c r="Y593" s="56">
        <f>VLOOKUP(B593,'Player Data'!$A1:$AE667,13,FALSE)*$Q593</f>
        <v>0.11791579204230654</v>
      </c>
      <c r="Z593" s="56">
        <f>VLOOKUP(B593,'Player Data'!$A1:$AE667,14,FALSE)*$Q593</f>
        <v>0.19965734114082648</v>
      </c>
      <c r="AA593" s="56">
        <f>VLOOKUP(B593,'Player Data'!$A1:$AE667,15,FALSE)*$Q593</f>
        <v>45.947731289748774</v>
      </c>
      <c r="AB593" s="56">
        <f>VLOOKUP(B593,'Player Data'!$A1:$AE667,16,FALSE)*$Q593</f>
        <v>75.678360146430492</v>
      </c>
      <c r="AC593" s="56">
        <f>VLOOKUP(B593,'Player Data'!$A1:$AE667,17,FALSE)*$Q593*IFERROR((VLOOKUP(P593,Settings!$E$28:$F$33,2,FALSE)+1),1)</f>
        <v>5.2505229324380736</v>
      </c>
      <c r="AD593" s="56">
        <f>VLOOKUP(B593,'Player Data'!$A1:$AE667,18,FALSE)*$Q593</f>
        <v>24.10584340515009</v>
      </c>
      <c r="AE593" s="56">
        <f>VLOOKUP(B593,'Player Data'!$A1:$AE667,19,FALSE)*$Q593*IFERROR((VLOOKUP(P593,Settings!$E$28:$F$33,2,FALSE)+1),1)</f>
        <v>1.1665917893213873</v>
      </c>
      <c r="AF593" s="56">
        <f>VLOOKUP(B593,'Player Data'!$A1:$AE667,20,FALSE)*$Q593</f>
        <v>123.31830507342143</v>
      </c>
      <c r="AG593" s="56">
        <f>VLOOKUP(B593,'Player Data'!$A1:$AE667,21,FALSE)*$Q593</f>
        <v>150.6894355800307</v>
      </c>
      <c r="AH593" s="58">
        <f>VLOOKUP(B593,'Player Data'!$A1:$AE667,22,FALSE)</f>
        <v>0.45005409255713902</v>
      </c>
      <c r="AI593" s="54"/>
      <c r="AJ593" s="56"/>
      <c r="AK593" s="56"/>
      <c r="AL593" s="56"/>
      <c r="AM593" s="56"/>
      <c r="AN593" s="56"/>
      <c r="AO593" s="56"/>
      <c r="AP593" s="56"/>
      <c r="AQ593" s="59"/>
      <c r="AR593" s="60"/>
      <c r="AS593" s="54"/>
    </row>
    <row r="594" spans="1:45" ht="21.25" customHeight="1" x14ac:dyDescent="0.15">
      <c r="A594" s="45">
        <f>RANK(K594,K$1:K$665)</f>
        <v>593</v>
      </c>
      <c r="B594" s="9" t="s">
        <v>719</v>
      </c>
      <c r="C594" s="46" t="s">
        <v>127</v>
      </c>
      <c r="D594" s="47" t="str">
        <f>VLOOKUP(B594,'Player Data'!A1:D667,4,FALSE)</f>
        <v>C</v>
      </c>
      <c r="E594" s="48">
        <f>VLOOKUP(B594,'C'!A1:C206,3,FALSE)</f>
        <v>164</v>
      </c>
      <c r="F594" s="71" t="str">
        <f>VLOOKUP(B594,'Player Data'!A1:B667,2,FALSE)</f>
        <v>VAN</v>
      </c>
      <c r="G594" s="63">
        <f>VLOOKUP(B594,'Player Data'!A1:D667,3,FALSE)</f>
        <v>30</v>
      </c>
      <c r="H594" s="50">
        <f>IFERROR(VLOOKUP(B594,ADP!A1:G665,7,FALSE)/1000000,VLOOKUP(B594,ADP!A1:G665,7,FALSE))</f>
        <v>1.8</v>
      </c>
      <c r="I594" s="51">
        <f>IF(Settings!$E$15="POINTS",((R594*Q594)*Settings!$B$12)+(S594*Settings!$B$2)+(T594*Settings!$B$3)+(U594*Settings!$B$4)+(V594*Settings!$B$5)+(X594*Settings!$B$9)+(AA594*Settings!$B$6)+(W594*Settings!$B$8)+(AB594*Settings!$B$7)+(AC594*Settings!$B$14)+(AD594*Settings!$B$15)+(AE594*Settings!$B$16)+(AF594*Settings!$B$17)+(AG594*Settings!$B$18)+(Y594*Settings!$B$10)+(Z594*Settings!$B$11),VLOOKUP(B594,'Standard Deviations'!A1:C666,3,FALSE))</f>
        <v>133.1157540724459</v>
      </c>
      <c r="J594" s="52">
        <f>IF(D594="G",I594/AJ594,I594/Q594)</f>
        <v>1.7693916069842939</v>
      </c>
      <c r="K594" s="51">
        <f>IF(Settings!$E$18="C/LW/RW",VLOOKUP(B594,'C'!A1:F206,6,FALSE),VLOOKUP(B594,F!A1:F392,6,FALSE))</f>
        <v>-256.82140370563519</v>
      </c>
      <c r="L594" s="53">
        <f>IFERROR(K594/H594,"N/A")</f>
        <v>-142.67855761424178</v>
      </c>
      <c r="M594" s="83" t="str">
        <f>IF(Settings!$E$9="YAHOO",VLOOKUP(B594,ADP!A1:E665,2,FALSE),IF(Settings!$E$9="ESPN",VLOOKUP(B594,ADP!A1:E665,3,FALSE),IF(Settings!$E$9="FANTRAX",VLOOKUP(B594,ADP!A1:E665,4,FALSE),VLOOKUP(B594,ADP!A1:E665,5,FALSE))))</f>
        <v>—</v>
      </c>
      <c r="N594" s="83" t="str">
        <f>IFERROR(M594-A594,"N/A")</f>
        <v>N/A</v>
      </c>
      <c r="O594" s="54"/>
      <c r="P594" s="55" t="str">
        <f>IF(Settings!$E$27="ON",VLOOKUP(B594,ADP!A1:H665,8,FALSE)," ")</f>
        <v xml:space="preserve"> </v>
      </c>
      <c r="Q594" s="56">
        <f>IF(Settings!$E$12="YES",VLOOKUP(B594,'Player Data'!A1:E667,5,FALSE),82)</f>
        <v>75.232500000000002</v>
      </c>
      <c r="R594" s="81">
        <f>VLOOKUP(B594,'Player Data'!$A1:$AE667,6,FALSE)</f>
        <v>13.0321374382942</v>
      </c>
      <c r="S594" s="56">
        <f>VLOOKUP(B594,'Player Data'!$A1:$AE667,7,FALSE)*$Q594*IFERROR((VLOOKUP(P594,Settings!$E$28:$F$33,2,FALSE)+1),1)</f>
        <v>5.3744986224328866</v>
      </c>
      <c r="T594" s="56">
        <f>VLOOKUP(B594,'Player Data'!$A1:$AE667,8,FALSE)*$Q594*IFERROR((VLOOKUP(P594,Settings!$E$28:$F$33,2,FALSE)+1),1)</f>
        <v>15.43111714950064</v>
      </c>
      <c r="U594" s="56">
        <f>SUM(S594:T594)</f>
        <v>20.805615771933525</v>
      </c>
      <c r="V594" s="56">
        <f>VLOOKUP(B594,'Player Data'!$A1:$AE667,10,FALSE)*$Q594*IFERROR(((VLOOKUP(P594,Settings!$E$28:$F$33,2,FALSE)/2)+1),1)</f>
        <v>91.101480233387505</v>
      </c>
      <c r="W594" s="56">
        <f>VLOOKUP(B594,'Player Data'!$A1:$AE667,11,FALSE)*$Q594*IFERROR((VLOOKUP(P594,Settings!$E$28:$F$33,2,FALSE)+1),1)</f>
        <v>8.8349810701076892E-2</v>
      </c>
      <c r="X594" s="56">
        <f>VLOOKUP(B594,'Player Data'!$A1:$AE667,12,FALSE)*$Q594*IFERROR((VLOOKUP(P594,Settings!$E$28:$F$33,2,FALSE)+1),1)</f>
        <v>0.21872441861379782</v>
      </c>
      <c r="Y594" s="56">
        <f>VLOOKUP(B594,'Player Data'!$A1:$AE667,13,FALSE)*$Q594</f>
        <v>1.0278025348395567</v>
      </c>
      <c r="Z594" s="56">
        <f>VLOOKUP(B594,'Player Data'!$A1:$AE667,14,FALSE)*$Q594</f>
        <v>2.4726730916874131</v>
      </c>
      <c r="AA594" s="56">
        <f>VLOOKUP(B594,'Player Data'!$A1:$AE667,15,FALSE)*$Q594</f>
        <v>44.913538259300665</v>
      </c>
      <c r="AB594" s="56">
        <f>VLOOKUP(B594,'Player Data'!$A1:$AE667,16,FALSE)*$Q594</f>
        <v>93.843698438574819</v>
      </c>
      <c r="AC594" s="56">
        <f>VLOOKUP(B594,'Player Data'!$A1:$AE667,17,FALSE)*$Q594*IFERROR((VLOOKUP(P594,Settings!$E$28:$F$33,2,FALSE)+1),1)</f>
        <v>4.3929819992069863</v>
      </c>
      <c r="AD594" s="56">
        <f>VLOOKUP(B594,'Player Data'!$A1:$AE667,18,FALSE)*$Q594</f>
        <v>21.291268036574476</v>
      </c>
      <c r="AE594" s="56">
        <f>VLOOKUP(B594,'Player Data'!$A1:$AE667,19,FALSE)*$Q594*IFERROR((VLOOKUP(P594,Settings!$E$28:$F$33,2,FALSE)+1),1)</f>
        <v>0.9178257211235078</v>
      </c>
      <c r="AF594" s="56">
        <f>VLOOKUP(B594,'Player Data'!$A1:$AE667,20,FALSE)*$Q594</f>
        <v>387.99118553395391</v>
      </c>
      <c r="AG594" s="56">
        <f>VLOOKUP(B594,'Player Data'!$A1:$AE667,21,FALSE)*$Q594</f>
        <v>347.2815423020773</v>
      </c>
      <c r="AH594" s="58">
        <f>VLOOKUP(B594,'Player Data'!$A1:$AE667,22,FALSE)</f>
        <v>0.52768336271065597</v>
      </c>
      <c r="AI594" s="54"/>
      <c r="AJ594" s="64"/>
      <c r="AK594" s="56"/>
      <c r="AL594" s="56"/>
      <c r="AM594" s="56"/>
      <c r="AN594" s="56"/>
      <c r="AO594" s="56"/>
      <c r="AP594" s="56"/>
      <c r="AQ594" s="59"/>
      <c r="AR594" s="60"/>
      <c r="AS594" s="54"/>
    </row>
    <row r="595" spans="1:45" ht="21.25" customHeight="1" x14ac:dyDescent="0.15">
      <c r="A595" s="45">
        <f>RANK(K595,K$1:K$665)</f>
        <v>594</v>
      </c>
      <c r="B595" s="9" t="s">
        <v>720</v>
      </c>
      <c r="C595" s="46" t="s">
        <v>127</v>
      </c>
      <c r="D595" s="47" t="str">
        <f>VLOOKUP(B595,'Player Data'!A1:D667,4,FALSE)</f>
        <v>C</v>
      </c>
      <c r="E595" s="48">
        <f>VLOOKUP(B595,'C'!A1:C206,3,FALSE)</f>
        <v>165</v>
      </c>
      <c r="F595" s="65" t="str">
        <f>VLOOKUP(B595,'Player Data'!A1:B667,2,FALSE)</f>
        <v>WSH</v>
      </c>
      <c r="G595" s="69">
        <f>VLOOKUP(B595,'Player Data'!A1:D667,3,FALSE)</f>
        <v>22</v>
      </c>
      <c r="H595" s="67">
        <f>IFERROR(VLOOKUP(B595,ADP!A1:G665,7,FALSE)/1000000,VLOOKUP(B595,ADP!A1:G665,7,FALSE))</f>
        <v>0.86299999999999999</v>
      </c>
      <c r="I595" s="51">
        <f>IF(Settings!$E$15="POINTS",((R595*Q595)*Settings!$B$12)+(S595*Settings!$B$2)+(T595*Settings!$B$3)+(U595*Settings!$B$4)+(V595*Settings!$B$5)+(X595*Settings!$B$9)+(AA595*Settings!$B$6)+(W595*Settings!$B$8)+(AB595*Settings!$B$7)+(AC595*Settings!$B$14)+(AD595*Settings!$B$15)+(AE595*Settings!$B$16)+(AF595*Settings!$B$17)+(AG595*Settings!$B$18)+(Y595*Settings!$B$10)+(Z595*Settings!$B$11),VLOOKUP(B595,'Standard Deviations'!A1:C666,3,FALSE))</f>
        <v>132.20298189705795</v>
      </c>
      <c r="J595" s="52">
        <f>IF(D595="G",I595/AJ595,I595/Q595)</f>
        <v>1.91141447114954</v>
      </c>
      <c r="K595" s="51">
        <f>IF(Settings!$E$18="C/LW/RW",VLOOKUP(B595,'C'!A1:F206,6,FALSE),VLOOKUP(B595,F!A1:F392,6,FALSE))</f>
        <v>-257.73417588102313</v>
      </c>
      <c r="L595" s="53">
        <f>IFERROR(K595/H595,"N/A")</f>
        <v>-298.64910299075683</v>
      </c>
      <c r="M595" s="83" t="str">
        <f>IF(Settings!$E$9="YAHOO",VLOOKUP(B595,ADP!A1:E665,2,FALSE),IF(Settings!$E$9="ESPN",VLOOKUP(B595,ADP!A1:E665,3,FALSE),IF(Settings!$E$9="FANTRAX",VLOOKUP(B595,ADP!A1:E665,4,FALSE),VLOOKUP(B595,ADP!A1:E665,5,FALSE))))</f>
        <v>—</v>
      </c>
      <c r="N595" s="83" t="str">
        <f>IFERROR(M595-A595,"N/A")</f>
        <v>N/A</v>
      </c>
      <c r="O595" s="54"/>
      <c r="P595" s="55" t="str">
        <f>IF(Settings!$E$27="ON",VLOOKUP(B595,ADP!A1:H665,8,FALSE)," ")</f>
        <v xml:space="preserve"> </v>
      </c>
      <c r="Q595" s="56">
        <f>IF(Settings!$E$12="YES",VLOOKUP(B595,'Player Data'!A1:E667,5,FALSE),82)</f>
        <v>69.165000000000006</v>
      </c>
      <c r="R595" s="54">
        <f>VLOOKUP(B595,'Player Data'!$A1:$AE667,6,FALSE)</f>
        <v>10.9797880835443</v>
      </c>
      <c r="S595" s="56">
        <f>VLOOKUP(B595,'Player Data'!$A1:$AE667,7,FALSE)*$Q595*IFERROR((VLOOKUP(P595,Settings!$E$28:$F$33,2,FALSE)+1),1)</f>
        <v>10.249567955968379</v>
      </c>
      <c r="T595" s="56">
        <f>VLOOKUP(B595,'Player Data'!$A1:$AE667,8,FALSE)*$Q595*IFERROR((VLOOKUP(P595,Settings!$E$28:$F$33,2,FALSE)+1),1)</f>
        <v>15.071546331899478</v>
      </c>
      <c r="U595" s="56">
        <f>SUM(S595:T595)</f>
        <v>25.321114287867857</v>
      </c>
      <c r="V595" s="56">
        <f>VLOOKUP(B595,'Player Data'!$A1:$AE667,10,FALSE)*$Q595*IFERROR(((VLOOKUP(P595,Settings!$E$28:$F$33,2,FALSE)/2)+1),1)</f>
        <v>70.794550460516376</v>
      </c>
      <c r="W595" s="56">
        <f>VLOOKUP(B595,'Player Data'!$A1:$AE667,11,FALSE)*$Q595*IFERROR((VLOOKUP(P595,Settings!$E$28:$F$33,2,FALSE)+1),1)</f>
        <v>0.45851303916481739</v>
      </c>
      <c r="X595" s="56">
        <f>VLOOKUP(B595,'Player Data'!$A1:$AE667,12,FALSE)*$Q595*IFERROR((VLOOKUP(P595,Settings!$E$28:$F$33,2,FALSE)+1),1)</f>
        <v>1.7852189084217664</v>
      </c>
      <c r="Y595" s="56">
        <f>VLOOKUP(B595,'Player Data'!$A1:$AE667,13,FALSE)*$Q595</f>
        <v>7.1293959332207335E-3</v>
      </c>
      <c r="Z595" s="56">
        <f>VLOOKUP(B595,'Player Data'!$A1:$AE667,14,FALSE)*$Q595</f>
        <v>1.1960308010361359E-2</v>
      </c>
      <c r="AA595" s="56">
        <f>VLOOKUP(B595,'Player Data'!$A1:$AE667,15,FALSE)*$Q595</f>
        <v>38.090369173528131</v>
      </c>
      <c r="AB595" s="56">
        <f>VLOOKUP(B595,'Player Data'!$A1:$AE667,16,FALSE)*$Q595</f>
        <v>57.374734410282919</v>
      </c>
      <c r="AC595" s="56">
        <f>VLOOKUP(B595,'Player Data'!$A1:$AE667,17,FALSE)*$Q595*IFERROR((VLOOKUP(P595,Settings!$E$28:$F$33,2,FALSE)+1),1)</f>
        <v>-1.9053446271943397</v>
      </c>
      <c r="AD595" s="56">
        <f>VLOOKUP(B595,'Player Data'!$A1:$AE667,18,FALSE)*$Q595</f>
        <v>13.623378018554908</v>
      </c>
      <c r="AE595" s="56">
        <f>VLOOKUP(B595,'Player Data'!$A1:$AE667,19,FALSE)*$Q595*IFERROR((VLOOKUP(P595,Settings!$E$28:$F$33,2,FALSE)+1),1)</f>
        <v>1.4545421716362248</v>
      </c>
      <c r="AF595" s="56">
        <f>VLOOKUP(B595,'Player Data'!$A1:$AE667,20,FALSE)*$Q595</f>
        <v>133.9742804671651</v>
      </c>
      <c r="AG595" s="56">
        <f>VLOOKUP(B595,'Player Data'!$A1:$AE667,21,FALSE)*$Q595</f>
        <v>229.35406600587305</v>
      </c>
      <c r="AH595" s="58">
        <f>VLOOKUP(B595,'Player Data'!$A1:$AE667,22,FALSE)</f>
        <v>0.36874161283506501</v>
      </c>
      <c r="AI595" s="54"/>
      <c r="AJ595" s="64"/>
      <c r="AK595" s="56"/>
      <c r="AL595" s="56"/>
      <c r="AM595" s="56"/>
      <c r="AN595" s="56"/>
      <c r="AO595" s="56"/>
      <c r="AP595" s="56"/>
      <c r="AQ595" s="59"/>
      <c r="AR595" s="60"/>
      <c r="AS595" s="54"/>
    </row>
    <row r="596" spans="1:45" ht="21.25" customHeight="1" x14ac:dyDescent="0.15">
      <c r="A596" s="45">
        <f>RANK(K596,K$1:K$665)</f>
        <v>595</v>
      </c>
      <c r="B596" s="9" t="s">
        <v>721</v>
      </c>
      <c r="C596" s="46" t="s">
        <v>127</v>
      </c>
      <c r="D596" s="47" t="str">
        <f>VLOOKUP(B596,'Player Data'!A1:D667,4,FALSE)</f>
        <v>C</v>
      </c>
      <c r="E596" s="48">
        <f>VLOOKUP(B596,'C'!A1:C206,3,FALSE)</f>
        <v>166</v>
      </c>
      <c r="F596" s="77" t="str">
        <f>VLOOKUP(B596,'Player Data'!A1:B667,2,FALSE)</f>
        <v>S.J</v>
      </c>
      <c r="G596" s="69">
        <f>VLOOKUP(B596,'Player Data'!A1:D667,3,FALSE)</f>
        <v>22</v>
      </c>
      <c r="H596" s="50">
        <f>IFERROR(VLOOKUP(B596,ADP!A1:G665,7,FALSE)/1000000,VLOOKUP(B596,ADP!A1:G665,7,FALSE))</f>
        <v>0.87412500000000004</v>
      </c>
      <c r="I596" s="51">
        <f>IF(Settings!$E$15="POINTS",((R596*Q596)*Settings!$B$12)+(S596*Settings!$B$2)+(T596*Settings!$B$3)+(U596*Settings!$B$4)+(V596*Settings!$B$5)+(X596*Settings!$B$9)+(AA596*Settings!$B$6)+(W596*Settings!$B$8)+(AB596*Settings!$B$7)+(AC596*Settings!$B$14)+(AD596*Settings!$B$15)+(AE596*Settings!$B$16)+(AF596*Settings!$B$17)+(AG596*Settings!$B$18)+(Y596*Settings!$B$10)+(Z596*Settings!$B$11),VLOOKUP(B596,'Standard Deviations'!A1:C666,3,FALSE))</f>
        <v>131.71980236331129</v>
      </c>
      <c r="J596" s="52">
        <f>IF(D596="G",I596/AJ596,I596/Q596)</f>
        <v>2.2248087553975391</v>
      </c>
      <c r="K596" s="51">
        <f>IF(Settings!$E$18="C/LW/RW",VLOOKUP(B596,'C'!A1:F206,6,FALSE),VLOOKUP(B596,F!A1:F392,6,FALSE))</f>
        <v>-258.21735541476983</v>
      </c>
      <c r="L596" s="53">
        <f>IFERROR(K596/H596,"N/A")</f>
        <v>-295.40094999544664</v>
      </c>
      <c r="M596" s="83" t="str">
        <f>IF(Settings!$E$9="YAHOO",VLOOKUP(B596,ADP!A1:E665,2,FALSE),IF(Settings!$E$9="ESPN",VLOOKUP(B596,ADP!A1:E665,3,FALSE),IF(Settings!$E$9="FANTRAX",VLOOKUP(B596,ADP!A1:E665,4,FALSE),VLOOKUP(B596,ADP!A1:E665,5,FALSE))))</f>
        <v>—</v>
      </c>
      <c r="N596" s="83" t="str">
        <f>IFERROR(M596-A596,"N/A")</f>
        <v>N/A</v>
      </c>
      <c r="O596" s="54"/>
      <c r="P596" s="55" t="str">
        <f>IF(Settings!$E$27="ON",VLOOKUP(B596,ADP!A1:H665,8,FALSE)," ")</f>
        <v xml:space="preserve"> </v>
      </c>
      <c r="Q596" s="56">
        <f>IF(Settings!$E$12="YES",VLOOKUP(B596,'Player Data'!A1:E667,5,FALSE),82)</f>
        <v>59.204999999999998</v>
      </c>
      <c r="R596" s="81">
        <f>VLOOKUP(B596,'Player Data'!$A1:$AE667,6,FALSE)</f>
        <v>12.984869071227299</v>
      </c>
      <c r="S596" s="56">
        <f>VLOOKUP(B596,'Player Data'!$A1:$AE667,7,FALSE)*$Q596*IFERROR((VLOOKUP(P596,Settings!$E$28:$F$33,2,FALSE)+1),1)</f>
        <v>8.9087204469333354</v>
      </c>
      <c r="T596" s="56">
        <f>VLOOKUP(B596,'Player Data'!$A1:$AE667,8,FALSE)*$Q596*IFERROR((VLOOKUP(P596,Settings!$E$28:$F$33,2,FALSE)+1),1)</f>
        <v>12.614644716979281</v>
      </c>
      <c r="U596" s="56">
        <f>SUM(S596:T596)</f>
        <v>21.523365163912615</v>
      </c>
      <c r="V596" s="56">
        <f>VLOOKUP(B596,'Player Data'!$A1:$AE667,10,FALSE)*$Q596*IFERROR(((VLOOKUP(P596,Settings!$E$28:$F$33,2,FALSE)/2)+1),1)</f>
        <v>87.445496096733336</v>
      </c>
      <c r="W596" s="56">
        <f>VLOOKUP(B596,'Player Data'!$A1:$AE667,11,FALSE)*$Q596*IFERROR((VLOOKUP(P596,Settings!$E$28:$F$33,2,FALSE)+1),1)</f>
        <v>3.4333574585337394</v>
      </c>
      <c r="X596" s="56">
        <f>VLOOKUP(B596,'Player Data'!$A1:$AE667,12,FALSE)*$Q596*IFERROR((VLOOKUP(P596,Settings!$E$28:$F$33,2,FALSE)+1),1)</f>
        <v>6.9528574228384521</v>
      </c>
      <c r="Y596" s="56">
        <f>VLOOKUP(B596,'Player Data'!$A1:$AE667,13,FALSE)*$Q596</f>
        <v>1.4244802007146325E-3</v>
      </c>
      <c r="Z596" s="56">
        <f>VLOOKUP(B596,'Player Data'!$A1:$AE667,14,FALSE)*$Q596</f>
        <v>2.3940337101350873E-3</v>
      </c>
      <c r="AA596" s="56">
        <f>VLOOKUP(B596,'Player Data'!$A1:$AE667,15,FALSE)*$Q596</f>
        <v>32.943414733316366</v>
      </c>
      <c r="AB596" s="56">
        <f>VLOOKUP(B596,'Player Data'!$A1:$AE667,16,FALSE)*$Q596</f>
        <v>41.246932178873131</v>
      </c>
      <c r="AC596" s="56">
        <f>VLOOKUP(B596,'Player Data'!$A1:$AE667,17,FALSE)*$Q596*IFERROR((VLOOKUP(P596,Settings!$E$28:$F$33,2,FALSE)+1),1)</f>
        <v>-7.0373551724131209</v>
      </c>
      <c r="AD596" s="56">
        <f>VLOOKUP(B596,'Player Data'!$A1:$AE667,18,FALSE)*$Q596</f>
        <v>22.287175963385955</v>
      </c>
      <c r="AE596" s="56">
        <f>VLOOKUP(B596,'Player Data'!$A1:$AE667,19,FALSE)*$Q596*IFERROR((VLOOKUP(P596,Settings!$E$28:$F$33,2,FALSE)+1),1)</f>
        <v>0.95154154379837996</v>
      </c>
      <c r="AF596" s="56">
        <f>VLOOKUP(B596,'Player Data'!$A1:$AE667,20,FALSE)*$Q596</f>
        <v>114.66509818605026</v>
      </c>
      <c r="AG596" s="56">
        <f>VLOOKUP(B596,'Player Data'!$A1:$AE667,21,FALSE)*$Q596</f>
        <v>129.49797970108895</v>
      </c>
      <c r="AH596" s="58">
        <f>VLOOKUP(B596,'Player Data'!$A1:$AE667,22,FALSE)</f>
        <v>0.46962505215081002</v>
      </c>
      <c r="AI596" s="54"/>
      <c r="AJ596" s="56"/>
      <c r="AK596" s="56"/>
      <c r="AL596" s="56"/>
      <c r="AM596" s="56"/>
      <c r="AN596" s="56"/>
      <c r="AO596" s="56"/>
      <c r="AP596" s="56"/>
      <c r="AQ596" s="59"/>
      <c r="AR596" s="60"/>
      <c r="AS596" s="54"/>
    </row>
    <row r="597" spans="1:45" ht="21.25" customHeight="1" x14ac:dyDescent="0.15">
      <c r="A597" s="45">
        <f>RANK(K597,K$1:K$665)</f>
        <v>596</v>
      </c>
      <c r="B597" s="9" t="s">
        <v>722</v>
      </c>
      <c r="C597" s="46" t="s">
        <v>127</v>
      </c>
      <c r="D597" s="47" t="str">
        <f>VLOOKUP(B597,'Player Data'!A1:D667,4,FALSE)</f>
        <v>LW</v>
      </c>
      <c r="E597" s="70">
        <f>VLOOKUP(B597,LW!A1:C152,3,FALSE)</f>
        <v>134</v>
      </c>
      <c r="F597" s="65" t="str">
        <f>VLOOKUP(B597,'Player Data'!A1:B667,2,FALSE)</f>
        <v>NSH</v>
      </c>
      <c r="G597" s="10">
        <f>VLOOKUP(B597,'Player Data'!A1:D667,3,FALSE)</f>
        <v>28</v>
      </c>
      <c r="H597" s="50">
        <f>IFERROR(VLOOKUP(B597,ADP!A1:G665,7,FALSE)/1000000,VLOOKUP(B597,ADP!A1:G665,7,FALSE))</f>
        <v>1</v>
      </c>
      <c r="I597" s="51">
        <f>IF(Settings!$E$15="POINTS",((R597*Q597)*Settings!$B$12)+(S597*Settings!$B$2)+(T597*Settings!$B$3)+(U597*Settings!$B$4)+(V597*Settings!$B$5)+(X597*Settings!$B$9)+(AA597*Settings!$B$6)+(W597*Settings!$B$8)+(AB597*Settings!$B$7)+(AC597*Settings!$B$14)+(AD597*Settings!$B$15)+(AE597*Settings!$B$16)+(AF597*Settings!$B$17)+(AG597*Settings!$B$18)+(Y597*Settings!$B$10)+(Z597*Settings!$B$11),VLOOKUP(B597,'Standard Deviations'!A1:C666,3,FALSE))</f>
        <v>122.15946644492202</v>
      </c>
      <c r="J597" s="52">
        <f>IF(D597="G",I597/AJ597,I597/Q597)</f>
        <v>1.5744735485087418</v>
      </c>
      <c r="K597" s="51">
        <f>IF(Settings!$E$18="C/LW/RW",VLOOKUP(B597,LW!A1:F152,6,FALSE),VLOOKUP(B597,F!A1:F392,6,FALSE))</f>
        <v>-258.90204585757772</v>
      </c>
      <c r="L597" s="53">
        <f>IFERROR(K597/H597,"N/A")</f>
        <v>-258.90204585757772</v>
      </c>
      <c r="M597" s="83" t="str">
        <f>IF(Settings!$E$9="YAHOO",VLOOKUP(B597,ADP!A1:E665,2,FALSE),IF(Settings!$E$9="ESPN",VLOOKUP(B597,ADP!A1:E665,3,FALSE),IF(Settings!$E$9="FANTRAX",VLOOKUP(B597,ADP!A1:E665,4,FALSE),VLOOKUP(B597,ADP!A1:E665,5,FALSE))))</f>
        <v>—</v>
      </c>
      <c r="N597" s="83" t="str">
        <f>IFERROR(M597-A597,"N/A")</f>
        <v>N/A</v>
      </c>
      <c r="O597" s="54"/>
      <c r="P597" s="55" t="str">
        <f>IF(Settings!$E$27="ON",VLOOKUP(B597,ADP!A1:H665,8,FALSE)," ")</f>
        <v xml:space="preserve"> </v>
      </c>
      <c r="Q597" s="56">
        <f>IF(Settings!$E$12="YES",VLOOKUP(B597,'Player Data'!A1:E667,5,FALSE),82)</f>
        <v>77.587500000000006</v>
      </c>
      <c r="R597" s="54">
        <f>VLOOKUP(B597,'Player Data'!$A1:$AE667,6,FALSE)</f>
        <v>13.0778989636789</v>
      </c>
      <c r="S597" s="56">
        <f>VLOOKUP(B597,'Player Data'!$A1:$AE667,7,FALSE)*$Q597*IFERROR((VLOOKUP(P597,Settings!$E$28:$F$33,2,FALSE)+1),1)</f>
        <v>6.3596884081276395</v>
      </c>
      <c r="T597" s="56">
        <f>VLOOKUP(B597,'Player Data'!$A1:$AE667,8,FALSE)*$Q597*IFERROR((VLOOKUP(P597,Settings!$E$28:$F$33,2,FALSE)+1),1)</f>
        <v>12.075262192078522</v>
      </c>
      <c r="U597" s="56">
        <f>SUM(S597:T597)</f>
        <v>18.434950600206161</v>
      </c>
      <c r="V597" s="56">
        <f>VLOOKUP(B597,'Player Data'!$A1:$AE667,10,FALSE)*$Q597*IFERROR(((VLOOKUP(P597,Settings!$E$28:$F$33,2,FALSE)/2)+1),1)</f>
        <v>96.250084587560423</v>
      </c>
      <c r="W597" s="56">
        <f>VLOOKUP(B597,'Player Data'!$A1:$AE667,11,FALSE)*$Q597*IFERROR((VLOOKUP(P597,Settings!$E$28:$F$33,2,FALSE)+1),1)</f>
        <v>4.2173037690886511E-2</v>
      </c>
      <c r="X597" s="56">
        <f>VLOOKUP(B597,'Player Data'!$A1:$AE667,12,FALSE)*$Q597*IFERROR((VLOOKUP(P597,Settings!$E$28:$F$33,2,FALSE)+1),1)</f>
        <v>0.10069168754557151</v>
      </c>
      <c r="Y597" s="56">
        <f>VLOOKUP(B597,'Player Data'!$A1:$AE667,13,FALSE)*$Q597</f>
        <v>0.59282515011353309</v>
      </c>
      <c r="Z597" s="56">
        <f>VLOOKUP(B597,'Player Data'!$A1:$AE667,14,FALSE)*$Q597</f>
        <v>2.3667095143342922</v>
      </c>
      <c r="AA597" s="56">
        <f>VLOOKUP(B597,'Player Data'!$A1:$AE667,15,FALSE)*$Q597</f>
        <v>32.524342297286921</v>
      </c>
      <c r="AB597" s="56">
        <f>VLOOKUP(B597,'Player Data'!$A1:$AE667,16,FALSE)*$Q597</f>
        <v>205.17928718454624</v>
      </c>
      <c r="AC597" s="56">
        <f>VLOOKUP(B597,'Player Data'!$A1:$AE667,17,FALSE)*$Q597*IFERROR((VLOOKUP(P597,Settings!$E$28:$F$33,2,FALSE)+1),1)</f>
        <v>1.0703244870048418</v>
      </c>
      <c r="AD597" s="56">
        <f>VLOOKUP(B597,'Player Data'!$A1:$AE667,18,FALSE)*$Q597</f>
        <v>47.601874470552723</v>
      </c>
      <c r="AE597" s="56">
        <f>VLOOKUP(B597,'Player Data'!$A1:$AE667,19,FALSE)*$Q597*IFERROR((VLOOKUP(P597,Settings!$E$28:$F$33,2,FALSE)+1),1)</f>
        <v>0.90048621617652902</v>
      </c>
      <c r="AF597" s="56">
        <f>VLOOKUP(B597,'Player Data'!$A1:$AE667,20,FALSE)*$Q597</f>
        <v>2.4744968601167949</v>
      </c>
      <c r="AG597" s="56">
        <f>VLOOKUP(B597,'Player Data'!$A1:$AE667,21,FALSE)*$Q597</f>
        <v>11.860668053385057</v>
      </c>
      <c r="AH597" s="58">
        <f>VLOOKUP(B597,'Player Data'!$A1:$AE667,22,FALSE)</f>
        <v>0.17261725798397601</v>
      </c>
      <c r="AI597" s="54"/>
      <c r="AJ597" s="64"/>
      <c r="AK597" s="56"/>
      <c r="AL597" s="56"/>
      <c r="AM597" s="56"/>
      <c r="AN597" s="56"/>
      <c r="AO597" s="56"/>
      <c r="AP597" s="56"/>
      <c r="AQ597" s="59"/>
      <c r="AR597" s="60"/>
      <c r="AS597" s="54"/>
    </row>
    <row r="598" spans="1:45" ht="21.25" customHeight="1" x14ac:dyDescent="0.15">
      <c r="A598" s="45">
        <f>RANK(K598,K$1:K$665)</f>
        <v>597</v>
      </c>
      <c r="B598" s="9" t="s">
        <v>723</v>
      </c>
      <c r="C598" s="46" t="s">
        <v>127</v>
      </c>
      <c r="D598" s="47" t="str">
        <f>VLOOKUP(B598,'Player Data'!A1:D667,4,FALSE)</f>
        <v>C</v>
      </c>
      <c r="E598" s="48">
        <f>VLOOKUP(B598,'C'!A1:C206,3,FALSE)</f>
        <v>167</v>
      </c>
      <c r="F598" s="65" t="str">
        <f>VLOOKUP(B598,'Player Data'!A1:B667,2,FALSE)</f>
        <v>NSH</v>
      </c>
      <c r="G598" s="69">
        <f>VLOOKUP(B598,'Player Data'!A1:D667,3,FALSE)</f>
        <v>23</v>
      </c>
      <c r="H598" s="65" t="str">
        <f>IFERROR(VLOOKUP(B598,ADP!A1:G665,7,FALSE)/1000000,VLOOKUP(B598,ADP!A1:G665,7,FALSE))</f>
        <v>RFA</v>
      </c>
      <c r="I598" s="51">
        <f>IF(Settings!$E$15="POINTS",((R598*Q598)*Settings!$B$12)+(S598*Settings!$B$2)+(T598*Settings!$B$3)+(U598*Settings!$B$4)+(V598*Settings!$B$5)+(X598*Settings!$B$9)+(AA598*Settings!$B$6)+(W598*Settings!$B$8)+(AB598*Settings!$B$7)+(AC598*Settings!$B$14)+(AD598*Settings!$B$15)+(AE598*Settings!$B$16)+(AF598*Settings!$B$17)+(AG598*Settings!$B$18)+(Y598*Settings!$B$10)+(Z598*Settings!$B$11),VLOOKUP(B598,'Standard Deviations'!A1:C666,3,FALSE))</f>
        <v>130.48117372969116</v>
      </c>
      <c r="J598" s="52">
        <f>IF(D598="G",I598/AJ598,I598/Q598)</f>
        <v>1.9651519067689474</v>
      </c>
      <c r="K598" s="51">
        <f>IF(Settings!$E$18="C/LW/RW",VLOOKUP(B598,'C'!A1:F206,6,FALSE),VLOOKUP(B598,F!A1:F392,6,FALSE))</f>
        <v>-259.45598404838995</v>
      </c>
      <c r="L598" s="76" t="str">
        <f>IFERROR(K598/H598,"N/A")</f>
        <v>N/A</v>
      </c>
      <c r="M598" s="83" t="str">
        <f>IF(Settings!$E$9="YAHOO",VLOOKUP(B598,ADP!A1:E665,2,FALSE),IF(Settings!$E$9="ESPN",VLOOKUP(B598,ADP!A1:E665,3,FALSE),IF(Settings!$E$9="FANTRAX",VLOOKUP(B598,ADP!A1:E665,4,FALSE),VLOOKUP(B598,ADP!A1:E665,5,FALSE))))</f>
        <v>—</v>
      </c>
      <c r="N598" s="83" t="str">
        <f>IFERROR(M598-A598,"N/A")</f>
        <v>N/A</v>
      </c>
      <c r="O598" s="54"/>
      <c r="P598" s="55" t="str">
        <f>IF(Settings!$E$27="ON",VLOOKUP(B598,ADP!A1:H665,8,FALSE)," ")</f>
        <v xml:space="preserve"> </v>
      </c>
      <c r="Q598" s="56">
        <f>IF(Settings!$E$12="YES",VLOOKUP(B598,'Player Data'!A1:E667,5,FALSE),82)</f>
        <v>66.397499999999994</v>
      </c>
      <c r="R598" s="81">
        <f>VLOOKUP(B598,'Player Data'!$A1:$AE667,6,FALSE)</f>
        <v>13.459441198979601</v>
      </c>
      <c r="S598" s="56">
        <f>VLOOKUP(B598,'Player Data'!$A1:$AE667,7,FALSE)*$Q598*IFERROR((VLOOKUP(P598,Settings!$E$28:$F$33,2,FALSE)+1),1)</f>
        <v>11.259175281228252</v>
      </c>
      <c r="T598" s="56">
        <f>VLOOKUP(B598,'Player Data'!$A1:$AE667,8,FALSE)*$Q598*IFERROR((VLOOKUP(P598,Settings!$E$28:$F$33,2,FALSE)+1),1)</f>
        <v>14.454781909779369</v>
      </c>
      <c r="U598" s="56">
        <f>SUM(S598:T598)</f>
        <v>25.713957191007623</v>
      </c>
      <c r="V598" s="56">
        <f>VLOOKUP(B598,'Player Data'!$A1:$AE667,10,FALSE)*$Q598*IFERROR(((VLOOKUP(P598,Settings!$E$28:$F$33,2,FALSE)/2)+1),1)</f>
        <v>78.374802853692287</v>
      </c>
      <c r="W598" s="56">
        <f>VLOOKUP(B598,'Player Data'!$A1:$AE667,11,FALSE)*$Q598*IFERROR((VLOOKUP(P598,Settings!$E$28:$F$33,2,FALSE)+1),1)</f>
        <v>0.44480595077966445</v>
      </c>
      <c r="X598" s="56">
        <f>VLOOKUP(B598,'Player Data'!$A1:$AE667,12,FALSE)*$Q598*IFERROR((VLOOKUP(P598,Settings!$E$28:$F$33,2,FALSE)+1),1)</f>
        <v>1.2226779290399288</v>
      </c>
      <c r="Y598" s="56">
        <f>VLOOKUP(B598,'Player Data'!$A1:$AE667,13,FALSE)*$Q598</f>
        <v>2.7615687039952905E-2</v>
      </c>
      <c r="Z598" s="56">
        <f>VLOOKUP(B598,'Player Data'!$A1:$AE667,14,FALSE)*$Q598</f>
        <v>4.6628749725526435E-2</v>
      </c>
      <c r="AA598" s="56">
        <f>VLOOKUP(B598,'Player Data'!$A1:$AE667,15,FALSE)*$Q598</f>
        <v>25.765188102113406</v>
      </c>
      <c r="AB598" s="56">
        <f>VLOOKUP(B598,'Player Data'!$A1:$AE667,16,FALSE)*$Q598</f>
        <v>94.574468587163992</v>
      </c>
      <c r="AC598" s="56">
        <f>VLOOKUP(B598,'Player Data'!$A1:$AE667,17,FALSE)*$Q598*IFERROR((VLOOKUP(P598,Settings!$E$28:$F$33,2,FALSE)+1),1)</f>
        <v>0.22802937229112927</v>
      </c>
      <c r="AD598" s="56">
        <f>VLOOKUP(B598,'Player Data'!$A1:$AE667,18,FALSE)*$Q598</f>
        <v>20.46898663990822</v>
      </c>
      <c r="AE598" s="56">
        <f>VLOOKUP(B598,'Player Data'!$A1:$AE667,19,FALSE)*$Q598*IFERROR((VLOOKUP(P598,Settings!$E$28:$F$33,2,FALSE)+1),1)</f>
        <v>1.5942183792061702</v>
      </c>
      <c r="AF598" s="56">
        <f>VLOOKUP(B598,'Player Data'!$A1:$AE667,20,FALSE)*$Q598</f>
        <v>135.19099553537961</v>
      </c>
      <c r="AG598" s="56">
        <f>VLOOKUP(B598,'Player Data'!$A1:$AE667,21,FALSE)*$Q598</f>
        <v>178.42724789940604</v>
      </c>
      <c r="AH598" s="58">
        <f>VLOOKUP(B598,'Player Data'!$A1:$AE667,22,FALSE)</f>
        <v>0.431068658681177</v>
      </c>
      <c r="AI598" s="54"/>
      <c r="AJ598" s="56"/>
      <c r="AK598" s="56"/>
      <c r="AL598" s="56"/>
      <c r="AM598" s="56"/>
      <c r="AN598" s="56"/>
      <c r="AO598" s="56"/>
      <c r="AP598" s="56"/>
      <c r="AQ598" s="59"/>
      <c r="AR598" s="60"/>
      <c r="AS598" s="54"/>
    </row>
    <row r="599" spans="1:45" ht="21.25" customHeight="1" x14ac:dyDescent="0.15">
      <c r="A599" s="45">
        <f>RANK(K599,K$1:K$665)</f>
        <v>598</v>
      </c>
      <c r="B599" s="9" t="s">
        <v>724</v>
      </c>
      <c r="C599" s="46" t="s">
        <v>127</v>
      </c>
      <c r="D599" s="47" t="str">
        <f>VLOOKUP(B599,'Player Data'!A1:D667,4,FALSE)</f>
        <v>RW</v>
      </c>
      <c r="E599" s="61">
        <f>VLOOKUP(B599,RW!A1:F136,3,FALSE)</f>
        <v>125</v>
      </c>
      <c r="F599" s="65" t="str">
        <f>VLOOKUP(B599,'Player Data'!A1:B667,2,FALSE)</f>
        <v>CGY</v>
      </c>
      <c r="G599" s="69">
        <f>VLOOKUP(B599,'Player Data'!A1:D667,3,FALSE)</f>
        <v>21</v>
      </c>
      <c r="H599" s="67">
        <f>IFERROR(VLOOKUP(B599,ADP!A1:G665,7,FALSE)/1000000,VLOOKUP(B599,ADP!A1:G665,7,FALSE))</f>
        <v>0.92500000000000004</v>
      </c>
      <c r="I599" s="51">
        <f>IF(Settings!$E$15="POINTS",((R599*Q599)*Settings!$B$12)+(S599*Settings!$B$2)+(T599*Settings!$B$3)+(U599*Settings!$B$4)+(V599*Settings!$B$5)+(X599*Settings!$B$9)+(AA599*Settings!$B$6)+(W599*Settings!$B$8)+(AB599*Settings!$B$7)+(AC599*Settings!$B$14)+(AD599*Settings!$B$15)+(AE599*Settings!$B$16)+(AF599*Settings!$B$17)+(AG599*Settings!$B$18)+(Y599*Settings!$B$10)+(Z599*Settings!$B$11),VLOOKUP(B599,'Standard Deviations'!A1:C666,3,FALSE))</f>
        <v>108.09838857994323</v>
      </c>
      <c r="J599" s="52">
        <f>IF(D599="G",I599/AJ599,I599/Q599)</f>
        <v>1.7404345287384195</v>
      </c>
      <c r="K599" s="51">
        <f>IF(Settings!$E$18="C/LW/RW",VLOOKUP(B599,RW!A1:F136,6,FALSE),VLOOKUP(B599,F!A1:F392,6,FALSE))</f>
        <v>-260.74933452634917</v>
      </c>
      <c r="L599" s="53">
        <f>IFERROR(K599/H599,"N/A")</f>
        <v>-281.89117246091803</v>
      </c>
      <c r="M599" s="83" t="str">
        <f>IF(Settings!$E$9="YAHOO",VLOOKUP(B599,ADP!A1:E665,2,FALSE),IF(Settings!$E$9="ESPN",VLOOKUP(B599,ADP!A1:E665,3,FALSE),IF(Settings!$E$9="FANTRAX",VLOOKUP(B599,ADP!A1:E665,4,FALSE),VLOOKUP(B599,ADP!A1:E665,5,FALSE))))</f>
        <v>—</v>
      </c>
      <c r="N599" s="83" t="str">
        <f>IFERROR(M599-A599,"N/A")</f>
        <v>N/A</v>
      </c>
      <c r="O599" s="54"/>
      <c r="P599" s="55" t="str">
        <f>IF(Settings!$E$27="ON",VLOOKUP(B599,ADP!A1:H665,8,FALSE)," ")</f>
        <v xml:space="preserve"> </v>
      </c>
      <c r="Q599" s="56">
        <f>IF(Settings!$E$12="YES",VLOOKUP(B599,'Player Data'!A1:E667,5,FALSE),82)</f>
        <v>62.11</v>
      </c>
      <c r="R599" s="81">
        <f>VLOOKUP(B599,'Player Data'!$A1:$AE667,6,FALSE)</f>
        <v>11.4696262009113</v>
      </c>
      <c r="S599" s="56">
        <f>VLOOKUP(B599,'Player Data'!$A1:$AE667,7,FALSE)*$Q599*IFERROR((VLOOKUP(P599,Settings!$E$28:$F$33,2,FALSE)+1),1)</f>
        <v>6.5010607577924606</v>
      </c>
      <c r="T599" s="56">
        <f>VLOOKUP(B599,'Player Data'!$A1:$AE667,8,FALSE)*$Q599*IFERROR((VLOOKUP(P599,Settings!$E$28:$F$33,2,FALSE)+1),1)</f>
        <v>10.373120558879682</v>
      </c>
      <c r="U599" s="56">
        <f>SUM(S599:T599)</f>
        <v>16.874181316672143</v>
      </c>
      <c r="V599" s="56">
        <f>VLOOKUP(B599,'Player Data'!$A1:$AE667,10,FALSE)*$Q599*IFERROR(((VLOOKUP(P599,Settings!$E$28:$F$33,2,FALSE)/2)+1),1)</f>
        <v>91.349507887301868</v>
      </c>
      <c r="W599" s="56">
        <f>VLOOKUP(B599,'Player Data'!$A1:$AE667,11,FALSE)*$Q599*IFERROR((VLOOKUP(P599,Settings!$E$28:$F$33,2,FALSE)+1),1)</f>
        <v>1.5693153478240496</v>
      </c>
      <c r="X599" s="56">
        <f>VLOOKUP(B599,'Player Data'!$A1:$AE667,12,FALSE)*$Q599*IFERROR((VLOOKUP(P599,Settings!$E$28:$F$33,2,FALSE)+1),1)</f>
        <v>2.6729074339610994</v>
      </c>
      <c r="Y599" s="56">
        <f>VLOOKUP(B599,'Player Data'!$A1:$AE667,13,FALSE)*$Q599</f>
        <v>0.11485285330446074</v>
      </c>
      <c r="Z599" s="56">
        <f>VLOOKUP(B599,'Player Data'!$A1:$AE667,14,FALSE)*$Q599</f>
        <v>0.19123589192366724</v>
      </c>
      <c r="AA599" s="56">
        <f>VLOOKUP(B599,'Player Data'!$A1:$AE667,15,FALSE)*$Q599</f>
        <v>17.873894720782207</v>
      </c>
      <c r="AB599" s="56">
        <f>VLOOKUP(B599,'Player Data'!$A1:$AE667,16,FALSE)*$Q599</f>
        <v>44.448438475511246</v>
      </c>
      <c r="AC599" s="56">
        <f>VLOOKUP(B599,'Player Data'!$A1:$AE667,17,FALSE)*$Q599*IFERROR((VLOOKUP(P599,Settings!$E$28:$F$33,2,FALSE)+1),1)</f>
        <v>-3.4936580306954172</v>
      </c>
      <c r="AD599" s="56">
        <f>VLOOKUP(B599,'Player Data'!$A1:$AE667,18,FALSE)*$Q599</f>
        <v>17.820913043954398</v>
      </c>
      <c r="AE599" s="56">
        <f>VLOOKUP(B599,'Player Data'!$A1:$AE667,19,FALSE)*$Q599*IFERROR((VLOOKUP(P599,Settings!$E$28:$F$33,2,FALSE)+1),1)</f>
        <v>0.94449867015075961</v>
      </c>
      <c r="AF599" s="56">
        <f>VLOOKUP(B599,'Player Data'!$A1:$AE667,20,FALSE)*$Q599</f>
        <v>8.0220512526446957</v>
      </c>
      <c r="AG599" s="56">
        <f>VLOOKUP(B599,'Player Data'!$A1:$AE667,21,FALSE)*$Q599</f>
        <v>23.324451478294922</v>
      </c>
      <c r="AH599" s="58">
        <f>VLOOKUP(B599,'Player Data'!$A1:$AE667,22,FALSE)</f>
        <v>0.255915351115925</v>
      </c>
      <c r="AI599" s="54"/>
      <c r="AJ599" s="64"/>
      <c r="AK599" s="56"/>
      <c r="AL599" s="56"/>
      <c r="AM599" s="56"/>
      <c r="AN599" s="56"/>
      <c r="AO599" s="56"/>
      <c r="AP599" s="56"/>
      <c r="AQ599" s="59"/>
      <c r="AR599" s="60"/>
      <c r="AS599" s="54"/>
    </row>
    <row r="600" spans="1:45" ht="21.25" customHeight="1" x14ac:dyDescent="0.15">
      <c r="A600" s="45">
        <f>RANK(K600,K$1:K$665)</f>
        <v>599</v>
      </c>
      <c r="B600" s="9" t="s">
        <v>725</v>
      </c>
      <c r="C600" s="46" t="s">
        <v>127</v>
      </c>
      <c r="D600" s="47" t="str">
        <f>VLOOKUP(B600,'Player Data'!A1:D667,4,FALSE)</f>
        <v>C</v>
      </c>
      <c r="E600" s="48">
        <f>VLOOKUP(B600,'C'!A1:C206,3,FALSE)</f>
        <v>168</v>
      </c>
      <c r="F600" s="55" t="str">
        <f>VLOOKUP(B600,'Player Data'!A1:B667,2,FALSE)</f>
        <v>DAL</v>
      </c>
      <c r="G600" s="10">
        <f>VLOOKUP(B600,'Player Data'!A1:D667,3,FALSE)</f>
        <v>26</v>
      </c>
      <c r="H600" s="67">
        <f>IFERROR(VLOOKUP(B600,ADP!A1:G665,7,FALSE)/1000000,VLOOKUP(B600,ADP!A1:G665,7,FALSE))</f>
        <v>1.2</v>
      </c>
      <c r="I600" s="51">
        <f>IF(Settings!$E$15="POINTS",((R600*Q600)*Settings!$B$12)+(S600*Settings!$B$2)+(T600*Settings!$B$3)+(U600*Settings!$B$4)+(V600*Settings!$B$5)+(X600*Settings!$B$9)+(AA600*Settings!$B$6)+(W600*Settings!$B$8)+(AB600*Settings!$B$7)+(AC600*Settings!$B$14)+(AD600*Settings!$B$15)+(AE600*Settings!$B$16)+(AF600*Settings!$B$17)+(AG600*Settings!$B$18)+(Y600*Settings!$B$10)+(Z600*Settings!$B$11),VLOOKUP(B600,'Standard Deviations'!A1:C666,3,FALSE))</f>
        <v>128.16061403710131</v>
      </c>
      <c r="J600" s="52">
        <f>IF(D600="G",I600/AJ600,I600/Q600)</f>
        <v>1.655714928455543</v>
      </c>
      <c r="K600" s="51">
        <f>IF(Settings!$E$18="C/LW/RW",VLOOKUP(B600,'C'!A1:F206,6,FALSE),VLOOKUP(B600,F!A1:F392,6,FALSE))</f>
        <v>-261.77654374097978</v>
      </c>
      <c r="L600" s="53">
        <f>IFERROR(K600/H600,"N/A")</f>
        <v>-218.14711978414982</v>
      </c>
      <c r="M600" s="83" t="str">
        <f>IF(Settings!$E$9="YAHOO",VLOOKUP(B600,ADP!A1:E665,2,FALSE),IF(Settings!$E$9="ESPN",VLOOKUP(B600,ADP!A1:E665,3,FALSE),IF(Settings!$E$9="FANTRAX",VLOOKUP(B600,ADP!A1:E665,4,FALSE),VLOOKUP(B600,ADP!A1:E665,5,FALSE))))</f>
        <v>—</v>
      </c>
      <c r="N600" s="83" t="str">
        <f>IFERROR(M600-A600,"N/A")</f>
        <v>N/A</v>
      </c>
      <c r="O600" s="54"/>
      <c r="P600" s="55" t="str">
        <f>IF(Settings!$E$27="ON",VLOOKUP(B600,ADP!A1:H665,8,FALSE)," ")</f>
        <v xml:space="preserve"> </v>
      </c>
      <c r="Q600" s="56">
        <f>IF(Settings!$E$12="YES",VLOOKUP(B600,'Player Data'!A1:E667,5,FALSE),82)</f>
        <v>77.405000000000001</v>
      </c>
      <c r="R600" s="54">
        <f>VLOOKUP(B600,'Player Data'!$A1:$AE667,6,FALSE)</f>
        <v>12.673337037680399</v>
      </c>
      <c r="S600" s="56">
        <f>VLOOKUP(B600,'Player Data'!$A1:$AE667,7,FALSE)*$Q600*IFERROR((VLOOKUP(P600,Settings!$E$28:$F$33,2,FALSE)+1),1)</f>
        <v>8.9782823055718826</v>
      </c>
      <c r="T600" s="56">
        <f>VLOOKUP(B600,'Player Data'!$A1:$AE667,8,FALSE)*$Q600*IFERROR((VLOOKUP(P600,Settings!$E$28:$F$33,2,FALSE)+1),1)</f>
        <v>13.993206920505456</v>
      </c>
      <c r="U600" s="56">
        <f>SUM(S600:T600)</f>
        <v>22.971489226077338</v>
      </c>
      <c r="V600" s="56">
        <f>VLOOKUP(B600,'Player Data'!$A1:$AE667,10,FALSE)*$Q600*IFERROR(((VLOOKUP(P600,Settings!$E$28:$F$33,2,FALSE)/2)+1),1)</f>
        <v>83.583536067866618</v>
      </c>
      <c r="W600" s="56">
        <f>VLOOKUP(B600,'Player Data'!$A1:$AE667,11,FALSE)*$Q600*IFERROR((VLOOKUP(P600,Settings!$E$28:$F$33,2,FALSE)+1),1)</f>
        <v>4.1966070219627657E-2</v>
      </c>
      <c r="X600" s="56">
        <f>VLOOKUP(B600,'Player Data'!$A1:$AE667,12,FALSE)*$Q600*IFERROR((VLOOKUP(P600,Settings!$E$28:$F$33,2,FALSE)+1),1)</f>
        <v>0.19162283556213064</v>
      </c>
      <c r="Y600" s="56">
        <f>VLOOKUP(B600,'Player Data'!$A1:$AE667,13,FALSE)*$Q600</f>
        <v>1.2825941678119364</v>
      </c>
      <c r="Z600" s="56">
        <f>VLOOKUP(B600,'Player Data'!$A1:$AE667,14,FALSE)*$Q600</f>
        <v>2.1691022361305103</v>
      </c>
      <c r="AA600" s="56">
        <f>VLOOKUP(B600,'Player Data'!$A1:$AE667,15,FALSE)*$Q600</f>
        <v>30.187306506486692</v>
      </c>
      <c r="AB600" s="56">
        <f>VLOOKUP(B600,'Player Data'!$A1:$AE667,16,FALSE)*$Q600</f>
        <v>63.393127965331558</v>
      </c>
      <c r="AC600" s="56">
        <f>VLOOKUP(B600,'Player Data'!$A1:$AE667,17,FALSE)*$Q600*IFERROR((VLOOKUP(P600,Settings!$E$28:$F$33,2,FALSE)+1),1)</f>
        <v>3.7210787812925994</v>
      </c>
      <c r="AD600" s="56">
        <f>VLOOKUP(B600,'Player Data'!$A1:$AE667,18,FALSE)*$Q600</f>
        <v>23.581170381169041</v>
      </c>
      <c r="AE600" s="56">
        <f>VLOOKUP(B600,'Player Data'!$A1:$AE667,19,FALSE)*$Q600*IFERROR((VLOOKUP(P600,Settings!$E$28:$F$33,2,FALSE)+1),1)</f>
        <v>1.4357953582396019</v>
      </c>
      <c r="AF600" s="56">
        <f>VLOOKUP(B600,'Player Data'!$A1:$AE667,20,FALSE)*$Q600</f>
        <v>140.98149851532921</v>
      </c>
      <c r="AG600" s="56">
        <f>VLOOKUP(B600,'Player Data'!$A1:$AE667,21,FALSE)*$Q600</f>
        <v>157.904629930618</v>
      </c>
      <c r="AH600" s="58">
        <f>VLOOKUP(B600,'Player Data'!$A1:$AE667,22,FALSE)</f>
        <v>0.47168966739393398</v>
      </c>
      <c r="AI600" s="54"/>
      <c r="AJ600" s="56"/>
      <c r="AK600" s="56"/>
      <c r="AL600" s="56"/>
      <c r="AM600" s="56"/>
      <c r="AN600" s="56"/>
      <c r="AO600" s="56"/>
      <c r="AP600" s="56"/>
      <c r="AQ600" s="59"/>
      <c r="AR600" s="60"/>
      <c r="AS600" s="54"/>
    </row>
    <row r="601" spans="1:45" ht="21.25" customHeight="1" x14ac:dyDescent="0.15">
      <c r="A601" s="45">
        <f>RANK(K601,K$1:K$665)</f>
        <v>600</v>
      </c>
      <c r="B601" s="9" t="s">
        <v>726</v>
      </c>
      <c r="C601" s="46" t="s">
        <v>127</v>
      </c>
      <c r="D601" s="47" t="str">
        <f>VLOOKUP(B601,'Player Data'!A1:D667,4,FALSE)</f>
        <v>C</v>
      </c>
      <c r="E601" s="48">
        <f>VLOOKUP(B601,'C'!A1:C206,3,FALSE)</f>
        <v>169</v>
      </c>
      <c r="F601" s="77" t="str">
        <f>VLOOKUP(B601,'Player Data'!A1:B667,2,FALSE)</f>
        <v>S.J</v>
      </c>
      <c r="G601" s="63">
        <f>VLOOKUP(B601,'Player Data'!A1:D667,3,FALSE)</f>
        <v>31</v>
      </c>
      <c r="H601" s="50">
        <f>IFERROR(VLOOKUP(B601,ADP!A1:G665,7,FALSE)/1000000,VLOOKUP(B601,ADP!A1:G665,7,FALSE))</f>
        <v>3.641667</v>
      </c>
      <c r="I601" s="51">
        <f>IF(Settings!$E$15="POINTS",((R601*Q601)*Settings!$B$12)+(S601*Settings!$B$2)+(T601*Settings!$B$3)+(U601*Settings!$B$4)+(V601*Settings!$B$5)+(X601*Settings!$B$9)+(AA601*Settings!$B$6)+(W601*Settings!$B$8)+(AB601*Settings!$B$7)+(AC601*Settings!$B$14)+(AD601*Settings!$B$15)+(AE601*Settings!$B$16)+(AF601*Settings!$B$17)+(AG601*Settings!$B$18)+(Y601*Settings!$B$10)+(Z601*Settings!$B$11),VLOOKUP(B601,'Standard Deviations'!A1:C666,3,FALSE))</f>
        <v>127.19454770990303</v>
      </c>
      <c r="J601" s="52">
        <f>IF(D601="G",I601/AJ601,I601/Q601)</f>
        <v>1.5630666385241541</v>
      </c>
      <c r="K601" s="51">
        <f>IF(Settings!$E$18="C/LW/RW",VLOOKUP(B601,'C'!A1:F206,6,FALSE),VLOOKUP(B601,F!A1:F392,6,FALSE))</f>
        <v>-262.74261006817807</v>
      </c>
      <c r="L601" s="53">
        <f>IFERROR(K601/H601,"N/A")</f>
        <v>-72.148993872360677</v>
      </c>
      <c r="M601" s="83" t="str">
        <f>IF(Settings!$E$9="YAHOO",VLOOKUP(B601,ADP!A1:E665,2,FALSE),IF(Settings!$E$9="ESPN",VLOOKUP(B601,ADP!A1:E665,3,FALSE),IF(Settings!$E$9="FANTRAX",VLOOKUP(B601,ADP!A1:E665,4,FALSE),VLOOKUP(B601,ADP!A1:E665,5,FALSE))))</f>
        <v>—</v>
      </c>
      <c r="N601" s="83" t="str">
        <f>IFERROR(M601-A601,"N/A")</f>
        <v>N/A</v>
      </c>
      <c r="O601" s="54"/>
      <c r="P601" s="55" t="str">
        <f>IF(Settings!$E$27="ON",VLOOKUP(B601,ADP!A1:H665,8,FALSE)," ")</f>
        <v xml:space="preserve"> </v>
      </c>
      <c r="Q601" s="56">
        <f>IF(Settings!$E$12="YES",VLOOKUP(B601,'Player Data'!A1:E667,5,FALSE),82)</f>
        <v>81.375</v>
      </c>
      <c r="R601" s="54">
        <f>VLOOKUP(B601,'Player Data'!$A1:$AE667,6,FALSE)</f>
        <v>12.468342196601499</v>
      </c>
      <c r="S601" s="56">
        <f>VLOOKUP(B601,'Player Data'!$A1:$AE667,7,FALSE)*$Q601*IFERROR((VLOOKUP(P601,Settings!$E$28:$F$33,2,FALSE)+1),1)</f>
        <v>6.3903545408914262</v>
      </c>
      <c r="T601" s="56">
        <f>VLOOKUP(B601,'Player Data'!$A1:$AE667,8,FALSE)*$Q601*IFERROR((VLOOKUP(P601,Settings!$E$28:$F$33,2,FALSE)+1),1)</f>
        <v>12.023574858288653</v>
      </c>
      <c r="U601" s="56">
        <f>SUM(S601:T601)</f>
        <v>18.413929399180077</v>
      </c>
      <c r="V601" s="56">
        <f>VLOOKUP(B601,'Player Data'!$A1:$AE667,10,FALSE)*$Q601*IFERROR(((VLOOKUP(P601,Settings!$E$28:$F$33,2,FALSE)/2)+1),1)</f>
        <v>70.480756918288293</v>
      </c>
      <c r="W601" s="56">
        <f>VLOOKUP(B601,'Player Data'!$A1:$AE667,11,FALSE)*$Q601*IFERROR((VLOOKUP(P601,Settings!$E$28:$F$33,2,FALSE)+1),1)</f>
        <v>6.0846356965952732E-2</v>
      </c>
      <c r="X601" s="56">
        <f>VLOOKUP(B601,'Player Data'!$A1:$AE667,12,FALSE)*$Q601*IFERROR((VLOOKUP(P601,Settings!$E$28:$F$33,2,FALSE)+1),1)</f>
        <v>0.12192727918496846</v>
      </c>
      <c r="Y601" s="56">
        <f>VLOOKUP(B601,'Player Data'!$A1:$AE667,13,FALSE)*$Q601</f>
        <v>0.62225316204504189</v>
      </c>
      <c r="Z601" s="56">
        <f>VLOOKUP(B601,'Player Data'!$A1:$AE667,14,FALSE)*$Q601</f>
        <v>1.2713305747424875</v>
      </c>
      <c r="AA601" s="56">
        <f>VLOOKUP(B601,'Player Data'!$A1:$AE667,15,FALSE)*$Q601</f>
        <v>70.638246398582382</v>
      </c>
      <c r="AB601" s="56">
        <f>VLOOKUP(B601,'Player Data'!$A1:$AE667,16,FALSE)*$Q601</f>
        <v>143.9111244838283</v>
      </c>
      <c r="AC601" s="56">
        <f>VLOOKUP(B601,'Player Data'!$A1:$AE667,17,FALSE)*$Q601*IFERROR((VLOOKUP(P601,Settings!$E$28:$F$33,2,FALSE)+1),1)</f>
        <v>1.4739318386475018</v>
      </c>
      <c r="AD601" s="56">
        <f>VLOOKUP(B601,'Player Data'!$A1:$AE667,18,FALSE)*$Q601</f>
        <v>47.42400379459707</v>
      </c>
      <c r="AE601" s="56">
        <f>VLOOKUP(B601,'Player Data'!$A1:$AE667,19,FALSE)*$Q601*IFERROR((VLOOKUP(P601,Settings!$E$28:$F$33,2,FALSE)+1),1)</f>
        <v>0.68255456678427728</v>
      </c>
      <c r="AF601" s="56">
        <f>VLOOKUP(B601,'Player Data'!$A1:$AE667,20,FALSE)*$Q601</f>
        <v>299.74323107290479</v>
      </c>
      <c r="AG601" s="56">
        <f>VLOOKUP(B601,'Player Data'!$A1:$AE667,21,FALSE)*$Q601</f>
        <v>301.61235000205528</v>
      </c>
      <c r="AH601" s="58">
        <f>VLOOKUP(B601,'Player Data'!$A1:$AE667,22,FALSE)</f>
        <v>0.49844591204607303</v>
      </c>
      <c r="AI601" s="54"/>
      <c r="AJ601" s="64"/>
      <c r="AK601" s="56"/>
      <c r="AL601" s="56"/>
      <c r="AM601" s="56"/>
      <c r="AN601" s="56"/>
      <c r="AO601" s="56"/>
      <c r="AP601" s="56"/>
      <c r="AQ601" s="59"/>
      <c r="AR601" s="60"/>
      <c r="AS601" s="54"/>
    </row>
    <row r="602" spans="1:45" ht="21.25" customHeight="1" x14ac:dyDescent="0.15">
      <c r="A602" s="45">
        <f>RANK(K602,K$1:K$665)</f>
        <v>601</v>
      </c>
      <c r="B602" s="9" t="s">
        <v>727</v>
      </c>
      <c r="C602" s="46" t="s">
        <v>127</v>
      </c>
      <c r="D602" s="47" t="str">
        <f>VLOOKUP(B602,'Player Data'!A1:D667,4,FALSE)</f>
        <v>RW</v>
      </c>
      <c r="E602" s="61">
        <f>VLOOKUP(B602,RW!A1:F136,3,FALSE)</f>
        <v>126</v>
      </c>
      <c r="F602" s="55" t="str">
        <f>VLOOKUP(B602,'Player Data'!A1:B667,2,FALSE)</f>
        <v>N.J</v>
      </c>
      <c r="G602" s="10">
        <f>VLOOKUP(B602,'Player Data'!A1:D667,3,FALSE)</f>
        <v>26</v>
      </c>
      <c r="H602" s="67">
        <f>IFERROR(VLOOKUP(B602,ADP!A1:G665,7,FALSE)/1000000,VLOOKUP(B602,ADP!A1:G665,7,FALSE))</f>
        <v>1.35</v>
      </c>
      <c r="I602" s="51">
        <f>IF(Settings!$E$15="POINTS",((R602*Q602)*Settings!$B$12)+(S602*Settings!$B$2)+(T602*Settings!$B$3)+(U602*Settings!$B$4)+(V602*Settings!$B$5)+(X602*Settings!$B$9)+(AA602*Settings!$B$6)+(W602*Settings!$B$8)+(AB602*Settings!$B$7)+(AC602*Settings!$B$14)+(AD602*Settings!$B$15)+(AE602*Settings!$B$16)+(AF602*Settings!$B$17)+(AG602*Settings!$B$18)+(Y602*Settings!$B$10)+(Z602*Settings!$B$11),VLOOKUP(B602,'Standard Deviations'!A1:C666,3,FALSE))</f>
        <v>105.66128644418626</v>
      </c>
      <c r="J602" s="52">
        <f>IF(D602="G",I602/AJ602,I602/Q602)</f>
        <v>1.4945547783752786</v>
      </c>
      <c r="K602" s="51">
        <f>IF(Settings!$E$18="C/LW/RW",VLOOKUP(B602,RW!A1:F136,6,FALSE),VLOOKUP(B602,F!A1:F392,6,FALSE))</f>
        <v>-263.18643666210613</v>
      </c>
      <c r="L602" s="53">
        <f>IFERROR(K602/H602,"N/A")</f>
        <v>-194.95291604600453</v>
      </c>
      <c r="M602" s="83" t="str">
        <f>IF(Settings!$E$9="YAHOO",VLOOKUP(B602,ADP!A1:E665,2,FALSE),IF(Settings!$E$9="ESPN",VLOOKUP(B602,ADP!A1:E665,3,FALSE),IF(Settings!$E$9="FANTRAX",VLOOKUP(B602,ADP!A1:E665,4,FALSE),VLOOKUP(B602,ADP!A1:E665,5,FALSE))))</f>
        <v>—</v>
      </c>
      <c r="N602" s="83" t="str">
        <f>IFERROR(M602-A602,"N/A")</f>
        <v>N/A</v>
      </c>
      <c r="O602" s="54"/>
      <c r="P602" s="55" t="str">
        <f>IF(Settings!$E$27="ON",VLOOKUP(B602,ADP!A1:H665,8,FALSE)," ")</f>
        <v xml:space="preserve"> </v>
      </c>
      <c r="Q602" s="56">
        <f>IF(Settings!$E$12="YES",VLOOKUP(B602,'Player Data'!A1:E667,5,FALSE),82)</f>
        <v>70.697500000000005</v>
      </c>
      <c r="R602" s="54">
        <f>VLOOKUP(B602,'Player Data'!$A1:$AE667,6,FALSE)</f>
        <v>10.059342697173999</v>
      </c>
      <c r="S602" s="56">
        <f>VLOOKUP(B602,'Player Data'!$A1:$AE667,7,FALSE)*$Q602*IFERROR((VLOOKUP(P602,Settings!$E$28:$F$33,2,FALSE)+1),1)</f>
        <v>7.2741638157475368</v>
      </c>
      <c r="T602" s="56">
        <f>VLOOKUP(B602,'Player Data'!$A1:$AE667,8,FALSE)*$Q602*IFERROR((VLOOKUP(P602,Settings!$E$28:$F$33,2,FALSE)+1),1)</f>
        <v>8.8902762449658894</v>
      </c>
      <c r="U602" s="56">
        <f>SUM(S602:T602)</f>
        <v>16.164440060713424</v>
      </c>
      <c r="V602" s="56">
        <f>VLOOKUP(B602,'Player Data'!$A1:$AE667,10,FALSE)*$Q602*IFERROR(((VLOOKUP(P602,Settings!$E$28:$F$33,2,FALSE)/2)+1),1)</f>
        <v>73.934535384385001</v>
      </c>
      <c r="W602" s="56">
        <f>VLOOKUP(B602,'Player Data'!$A1:$AE667,11,FALSE)*$Q602*IFERROR((VLOOKUP(P602,Settings!$E$28:$F$33,2,FALSE)+1),1)</f>
        <v>0.26437117056077808</v>
      </c>
      <c r="X602" s="56">
        <f>VLOOKUP(B602,'Player Data'!$A1:$AE667,12,FALSE)*$Q602*IFERROR((VLOOKUP(P602,Settings!$E$28:$F$33,2,FALSE)+1),1)</f>
        <v>0.49754556511092485</v>
      </c>
      <c r="Y602" s="56">
        <f>VLOOKUP(B602,'Player Data'!$A1:$AE667,13,FALSE)*$Q602</f>
        <v>0.14968483495785029</v>
      </c>
      <c r="Z602" s="56">
        <f>VLOOKUP(B602,'Player Data'!$A1:$AE667,14,FALSE)*$Q602</f>
        <v>0.25477307912598374</v>
      </c>
      <c r="AA602" s="56">
        <f>VLOOKUP(B602,'Player Data'!$A1:$AE667,15,FALSE)*$Q602</f>
        <v>38.896759851233128</v>
      </c>
      <c r="AB602" s="56">
        <f>VLOOKUP(B602,'Player Data'!$A1:$AE667,16,FALSE)*$Q602</f>
        <v>156.50927086761544</v>
      </c>
      <c r="AC602" s="56">
        <f>VLOOKUP(B602,'Player Data'!$A1:$AE667,17,FALSE)*$Q602*IFERROR((VLOOKUP(P602,Settings!$E$28:$F$33,2,FALSE)+1),1)</f>
        <v>1.5849909373393307</v>
      </c>
      <c r="AD602" s="56">
        <f>VLOOKUP(B602,'Player Data'!$A1:$AE667,18,FALSE)*$Q602</f>
        <v>33.231611754197189</v>
      </c>
      <c r="AE602" s="56">
        <f>VLOOKUP(B602,'Player Data'!$A1:$AE667,19,FALSE)*$Q602*IFERROR((VLOOKUP(P602,Settings!$E$28:$F$33,2,FALSE)+1),1)</f>
        <v>1.0974990753909044</v>
      </c>
      <c r="AF602" s="56">
        <f>VLOOKUP(B602,'Player Data'!$A1:$AE667,20,FALSE)*$Q602</f>
        <v>16.656932980167181</v>
      </c>
      <c r="AG602" s="56">
        <f>VLOOKUP(B602,'Player Data'!$A1:$AE667,21,FALSE)*$Q602</f>
        <v>21.225939918345897</v>
      </c>
      <c r="AH602" s="58">
        <f>VLOOKUP(B602,'Player Data'!$A1:$AE667,22,FALSE)</f>
        <v>0.43969561191387402</v>
      </c>
      <c r="AI602" s="54"/>
      <c r="AJ602" s="56"/>
      <c r="AK602" s="56"/>
      <c r="AL602" s="56"/>
      <c r="AM602" s="56"/>
      <c r="AN602" s="56"/>
      <c r="AO602" s="56"/>
      <c r="AP602" s="56"/>
      <c r="AQ602" s="59"/>
      <c r="AR602" s="60"/>
      <c r="AS602" s="54"/>
    </row>
    <row r="603" spans="1:45" ht="21.25" customHeight="1" x14ac:dyDescent="0.15">
      <c r="A603" s="45">
        <f>RANK(K603,K$1:K$665)</f>
        <v>602</v>
      </c>
      <c r="B603" s="9" t="s">
        <v>728</v>
      </c>
      <c r="C603" s="46" t="s">
        <v>127</v>
      </c>
      <c r="D603" s="47" t="str">
        <f>VLOOKUP(B603,'Player Data'!A1:D667,4,FALSE)</f>
        <v>C</v>
      </c>
      <c r="E603" s="48">
        <f>VLOOKUP(B603,'C'!A1:C206,3,FALSE)</f>
        <v>170</v>
      </c>
      <c r="F603" s="77" t="str">
        <f>VLOOKUP(B603,'Player Data'!A1:B667,2,FALSE)</f>
        <v>CBJ</v>
      </c>
      <c r="G603" s="63">
        <f>VLOOKUP(B603,'Player Data'!A1:D667,3,FALSE)</f>
        <v>31</v>
      </c>
      <c r="H603" s="67">
        <f>IFERROR(VLOOKUP(B603,ADP!A1:G665,7,FALSE)/1000000,VLOOKUP(B603,ADP!A1:G665,7,FALSE))</f>
        <v>2.5</v>
      </c>
      <c r="I603" s="51">
        <f>IF(Settings!$E$15="POINTS",((R603*Q603)*Settings!$B$12)+(S603*Settings!$B$2)+(T603*Settings!$B$3)+(U603*Settings!$B$4)+(V603*Settings!$B$5)+(X603*Settings!$B$9)+(AA603*Settings!$B$6)+(W603*Settings!$B$8)+(AB603*Settings!$B$7)+(AC603*Settings!$B$14)+(AD603*Settings!$B$15)+(AE603*Settings!$B$16)+(AF603*Settings!$B$17)+(AG603*Settings!$B$18)+(Y603*Settings!$B$10)+(Z603*Settings!$B$11),VLOOKUP(B603,'Standard Deviations'!A1:C666,3,FALSE))</f>
        <v>126.68376708640662</v>
      </c>
      <c r="J603" s="52">
        <f>IF(D603="G",I603/AJ603,I603/Q603)</f>
        <v>1.6567007825076878</v>
      </c>
      <c r="K603" s="51">
        <f>IF(Settings!$E$18="C/LW/RW",VLOOKUP(B603,'C'!A1:F206,6,FALSE),VLOOKUP(B603,F!A1:F392,6,FALSE))</f>
        <v>-263.25339069167444</v>
      </c>
      <c r="L603" s="53">
        <f>IFERROR(K603/H603,"N/A")</f>
        <v>-105.30135627666978</v>
      </c>
      <c r="M603" s="83" t="str">
        <f>IF(Settings!$E$9="YAHOO",VLOOKUP(B603,ADP!A1:E665,2,FALSE),IF(Settings!$E$9="ESPN",VLOOKUP(B603,ADP!A1:E665,3,FALSE),IF(Settings!$E$9="FANTRAX",VLOOKUP(B603,ADP!A1:E665,4,FALSE),VLOOKUP(B603,ADP!A1:E665,5,FALSE))))</f>
        <v>—</v>
      </c>
      <c r="N603" s="83" t="str">
        <f>IFERROR(M603-A603,"N/A")</f>
        <v>N/A</v>
      </c>
      <c r="O603" s="54"/>
      <c r="P603" s="55" t="str">
        <f>IF(Settings!$E$27="ON",VLOOKUP(B603,ADP!A1:H665,8,FALSE)," ")</f>
        <v xml:space="preserve"> </v>
      </c>
      <c r="Q603" s="56">
        <f>IF(Settings!$E$12="YES",VLOOKUP(B603,'Player Data'!A1:E667,5,FALSE),82)</f>
        <v>76.467500000000001</v>
      </c>
      <c r="R603" s="54">
        <f>VLOOKUP(B603,'Player Data'!$A1:$AE667,6,FALSE)</f>
        <v>13.195452201084599</v>
      </c>
      <c r="S603" s="56">
        <f>VLOOKUP(B603,'Player Data'!$A1:$AE667,7,FALSE)*$Q603*IFERROR((VLOOKUP(P603,Settings!$E$28:$F$33,2,FALSE)+1),1)</f>
        <v>8.5795428525718922</v>
      </c>
      <c r="T603" s="56">
        <f>VLOOKUP(B603,'Player Data'!$A1:$AE667,8,FALSE)*$Q603*IFERROR((VLOOKUP(P603,Settings!$E$28:$F$33,2,FALSE)+1),1)</f>
        <v>9.5601302820248293</v>
      </c>
      <c r="U603" s="56">
        <f>SUM(S603:T603)</f>
        <v>18.13967313459672</v>
      </c>
      <c r="V603" s="56">
        <f>VLOOKUP(B603,'Player Data'!$A1:$AE667,10,FALSE)*$Q603*IFERROR(((VLOOKUP(P603,Settings!$E$28:$F$33,2,FALSE)/2)+1),1)</f>
        <v>100.62701437391379</v>
      </c>
      <c r="W603" s="56">
        <f>VLOOKUP(B603,'Player Data'!$A1:$AE667,11,FALSE)*$Q603*IFERROR((VLOOKUP(P603,Settings!$E$28:$F$33,2,FALSE)+1),1)</f>
        <v>8.2467116738065949E-2</v>
      </c>
      <c r="X603" s="56">
        <f>VLOOKUP(B603,'Player Data'!$A1:$AE667,12,FALSE)*$Q603*IFERROR((VLOOKUP(P603,Settings!$E$28:$F$33,2,FALSE)+1),1)</f>
        <v>0.15868490005391872</v>
      </c>
      <c r="Y603" s="56">
        <f>VLOOKUP(B603,'Player Data'!$A1:$AE667,13,FALSE)*$Q603</f>
        <v>0.32000110179524455</v>
      </c>
      <c r="Z603" s="56">
        <f>VLOOKUP(B603,'Player Data'!$A1:$AE667,14,FALSE)*$Q603</f>
        <v>0.9932303664404829</v>
      </c>
      <c r="AA603" s="56">
        <f>VLOOKUP(B603,'Player Data'!$A1:$AE667,15,FALSE)*$Q603</f>
        <v>41.598650458330319</v>
      </c>
      <c r="AB603" s="56">
        <f>VLOOKUP(B603,'Player Data'!$A1:$AE667,16,FALSE)*$Q603</f>
        <v>166.49848999039165</v>
      </c>
      <c r="AC603" s="56">
        <f>VLOOKUP(B603,'Player Data'!$A1:$AE667,17,FALSE)*$Q603*IFERROR((VLOOKUP(P603,Settings!$E$28:$F$33,2,FALSE)+1),1)</f>
        <v>-8.014842102561607</v>
      </c>
      <c r="AD603" s="56">
        <f>VLOOKUP(B603,'Player Data'!$A1:$AE667,18,FALSE)*$Q603</f>
        <v>41.057226615219768</v>
      </c>
      <c r="AE603" s="56">
        <f>VLOOKUP(B603,'Player Data'!$A1:$AE667,19,FALSE)*$Q603*IFERROR((VLOOKUP(P603,Settings!$E$28:$F$33,2,FALSE)+1),1)</f>
        <v>0.9487631622000704</v>
      </c>
      <c r="AF603" s="56">
        <f>VLOOKUP(B603,'Player Data'!$A1:$AE667,20,FALSE)*$Q603</f>
        <v>397.1812527546324</v>
      </c>
      <c r="AG603" s="56">
        <f>VLOOKUP(B603,'Player Data'!$A1:$AE667,21,FALSE)*$Q603</f>
        <v>412.26232412946126</v>
      </c>
      <c r="AH603" s="58">
        <f>VLOOKUP(B603,'Player Data'!$A1:$AE667,22,FALSE)</f>
        <v>0.49068429733368002</v>
      </c>
      <c r="AI603" s="54"/>
      <c r="AJ603" s="56"/>
      <c r="AK603" s="56"/>
      <c r="AL603" s="56"/>
      <c r="AM603" s="56"/>
      <c r="AN603" s="56"/>
      <c r="AO603" s="56"/>
      <c r="AP603" s="56"/>
      <c r="AQ603" s="59"/>
      <c r="AR603" s="60"/>
      <c r="AS603" s="54"/>
    </row>
    <row r="604" spans="1:45" ht="21.25" customHeight="1" x14ac:dyDescent="0.15">
      <c r="A604" s="45">
        <f>RANK(K604,K$1:K$665)</f>
        <v>603</v>
      </c>
      <c r="B604" s="9" t="s">
        <v>729</v>
      </c>
      <c r="C604" s="46" t="s">
        <v>127</v>
      </c>
      <c r="D604" s="47" t="str">
        <f>VLOOKUP(B604,'Player Data'!A1:D667,4,FALSE)</f>
        <v>RW</v>
      </c>
      <c r="E604" s="61">
        <f>VLOOKUP(B604,RW!A1:F136,3,FALSE)</f>
        <v>127</v>
      </c>
      <c r="F604" s="65" t="str">
        <f>VLOOKUP(B604,'Player Data'!A1:B667,2,FALSE)</f>
        <v>EDM</v>
      </c>
      <c r="G604" s="69">
        <f>VLOOKUP(B604,'Player Data'!A1:D667,3,FALSE)</f>
        <v>23</v>
      </c>
      <c r="H604" s="50">
        <f>IFERROR(VLOOKUP(B604,ADP!A1:G665,7,FALSE)/1000000,VLOOKUP(B604,ADP!A1:G665,7,FALSE))</f>
        <v>1</v>
      </c>
      <c r="I604" s="51">
        <f>IF(Settings!$E$15="POINTS",((R604*Q604)*Settings!$B$12)+(S604*Settings!$B$2)+(T604*Settings!$B$3)+(U604*Settings!$B$4)+(V604*Settings!$B$5)+(X604*Settings!$B$9)+(AA604*Settings!$B$6)+(W604*Settings!$B$8)+(AB604*Settings!$B$7)+(AC604*Settings!$B$14)+(AD604*Settings!$B$15)+(AE604*Settings!$B$16)+(AF604*Settings!$B$17)+(AG604*Settings!$B$18)+(Y604*Settings!$B$10)+(Z604*Settings!$B$11),VLOOKUP(B604,'Standard Deviations'!A1:C666,3,FALSE))</f>
        <v>105.25940782637491</v>
      </c>
      <c r="J604" s="52">
        <f>IF(D604="G",I604/AJ604,I604/Q604)</f>
        <v>1.6285202727063495</v>
      </c>
      <c r="K604" s="51">
        <f>IF(Settings!$E$18="C/LW/RW",VLOOKUP(B604,RW!A1:F136,6,FALSE),VLOOKUP(B604,F!A1:F392,6,FALSE))</f>
        <v>-263.58831527991748</v>
      </c>
      <c r="L604" s="53">
        <f>IFERROR(K604/H604,"N/A")</f>
        <v>-263.58831527991748</v>
      </c>
      <c r="M604" s="83" t="str">
        <f>IF(Settings!$E$9="YAHOO",VLOOKUP(B604,ADP!A1:E665,2,FALSE),IF(Settings!$E$9="ESPN",VLOOKUP(B604,ADP!A1:E665,3,FALSE),IF(Settings!$E$9="FANTRAX",VLOOKUP(B604,ADP!A1:E665,4,FALSE),VLOOKUP(B604,ADP!A1:E665,5,FALSE))))</f>
        <v>—</v>
      </c>
      <c r="N604" s="83" t="str">
        <f>IFERROR(M604-A604,"N/A")</f>
        <v>N/A</v>
      </c>
      <c r="O604" s="54"/>
      <c r="P604" s="55" t="str">
        <f>IF(Settings!$E$27="ON",VLOOKUP(B604,ADP!A1:H665,8,FALSE)," ")</f>
        <v xml:space="preserve"> </v>
      </c>
      <c r="Q604" s="56">
        <f>IF(Settings!$E$12="YES",VLOOKUP(B604,'Player Data'!A1:E667,5,FALSE),82)</f>
        <v>64.635000000000005</v>
      </c>
      <c r="R604" s="75">
        <f>VLOOKUP(B604,'Player Data'!$A1:$AE667,6,FALSE)</f>
        <v>12.1064269137834</v>
      </c>
      <c r="S604" s="56">
        <f>VLOOKUP(B604,'Player Data'!$A1:$AE667,7,FALSE)*$Q604*IFERROR((VLOOKUP(P604,Settings!$E$28:$F$33,2,FALSE)+1),1)</f>
        <v>7.6354904064132771</v>
      </c>
      <c r="T604" s="56">
        <f>VLOOKUP(B604,'Player Data'!$A1:$AE667,8,FALSE)*$Q604*IFERROR((VLOOKUP(P604,Settings!$E$28:$F$33,2,FALSE)+1),1)</f>
        <v>9.5294763460989351</v>
      </c>
      <c r="U604" s="56">
        <f>SUM(S604:T604)</f>
        <v>17.164966752512214</v>
      </c>
      <c r="V604" s="56">
        <f>VLOOKUP(B604,'Player Data'!$A1:$AE667,10,FALSE)*$Q604*IFERROR(((VLOOKUP(P604,Settings!$E$28:$F$33,2,FALSE)/2)+1),1)</f>
        <v>83.114245486281646</v>
      </c>
      <c r="W604" s="56">
        <f>VLOOKUP(B604,'Player Data'!$A1:$AE667,11,FALSE)*$Q604*IFERROR((VLOOKUP(P604,Settings!$E$28:$F$33,2,FALSE)+1),1)</f>
        <v>0.31905090737241032</v>
      </c>
      <c r="X604" s="56">
        <f>VLOOKUP(B604,'Player Data'!$A1:$AE667,12,FALSE)*$Q604*IFERROR((VLOOKUP(P604,Settings!$E$28:$F$33,2,FALSE)+1),1)</f>
        <v>0.64640695624342071</v>
      </c>
      <c r="Y604" s="56">
        <f>VLOOKUP(B604,'Player Data'!$A1:$AE667,13,FALSE)*$Q604</f>
        <v>0</v>
      </c>
      <c r="Z604" s="56">
        <f>VLOOKUP(B604,'Player Data'!$A1:$AE667,14,FALSE)*$Q604</f>
        <v>0</v>
      </c>
      <c r="AA604" s="56">
        <f>VLOOKUP(B604,'Player Data'!$A1:$AE667,15,FALSE)*$Q604</f>
        <v>23.121955738908039</v>
      </c>
      <c r="AB604" s="56">
        <f>VLOOKUP(B604,'Player Data'!$A1:$AE667,16,FALSE)*$Q604</f>
        <v>131.10785256187285</v>
      </c>
      <c r="AC604" s="56">
        <f>VLOOKUP(B604,'Player Data'!$A1:$AE667,17,FALSE)*$Q604*IFERROR((VLOOKUP(P604,Settings!$E$28:$F$33,2,FALSE)+1),1)</f>
        <v>3.0149239776057115</v>
      </c>
      <c r="AD604" s="56">
        <f>VLOOKUP(B604,'Player Data'!$A1:$AE667,18,FALSE)*$Q604</f>
        <v>21.128494821946866</v>
      </c>
      <c r="AE604" s="56">
        <f>VLOOKUP(B604,'Player Data'!$A1:$AE667,19,FALSE)*$Q604*IFERROR((VLOOKUP(P604,Settings!$E$28:$F$33,2,FALSE)+1),1)</f>
        <v>1.2329420160437918</v>
      </c>
      <c r="AF604" s="56">
        <f>VLOOKUP(B604,'Player Data'!$A1:$AE667,20,FALSE)*$Q604</f>
        <v>9.7941258166148089</v>
      </c>
      <c r="AG604" s="56">
        <f>VLOOKUP(B604,'Player Data'!$A1:$AE667,21,FALSE)*$Q604</f>
        <v>13.615059771666179</v>
      </c>
      <c r="AH604" s="58">
        <f>VLOOKUP(B604,'Player Data'!$A1:$AE667,22,FALSE)</f>
        <v>0.41838814851884099</v>
      </c>
      <c r="AI604" s="54"/>
      <c r="AJ604" s="56"/>
      <c r="AK604" s="56"/>
      <c r="AL604" s="56"/>
      <c r="AM604" s="56"/>
      <c r="AN604" s="56"/>
      <c r="AO604" s="56"/>
      <c r="AP604" s="56"/>
      <c r="AQ604" s="59"/>
      <c r="AR604" s="60"/>
      <c r="AS604" s="54"/>
    </row>
    <row r="605" spans="1:45" ht="21.25" customHeight="1" x14ac:dyDescent="0.15">
      <c r="A605" s="45">
        <f>RANK(K605,K$1:K$665)</f>
        <v>604</v>
      </c>
      <c r="B605" s="9" t="s">
        <v>730</v>
      </c>
      <c r="C605" s="46" t="s">
        <v>127</v>
      </c>
      <c r="D605" s="47" t="str">
        <f>VLOOKUP(B605,'Player Data'!A1:D667,4,FALSE)</f>
        <v>RW</v>
      </c>
      <c r="E605" s="61">
        <f>VLOOKUP(B605,RW!A1:F136,3,FALSE)</f>
        <v>128</v>
      </c>
      <c r="F605" s="65" t="str">
        <f>VLOOKUP(B605,'Player Data'!A1:B667,2,FALSE)</f>
        <v>WSH</v>
      </c>
      <c r="G605" s="10">
        <f>VLOOKUP(B605,'Player Data'!A1:D667,3,FALSE)</f>
        <v>27</v>
      </c>
      <c r="H605" s="50">
        <f>IFERROR(VLOOKUP(B605,ADP!A1:G665,7,FALSE)/1000000,VLOOKUP(B605,ADP!A1:G665,7,FALSE))</f>
        <v>1.85</v>
      </c>
      <c r="I605" s="51">
        <f>IF(Settings!$E$15="POINTS",((R605*Q605)*Settings!$B$12)+(S605*Settings!$B$2)+(T605*Settings!$B$3)+(U605*Settings!$B$4)+(V605*Settings!$B$5)+(X605*Settings!$B$9)+(AA605*Settings!$B$6)+(W605*Settings!$B$8)+(AB605*Settings!$B$7)+(AC605*Settings!$B$14)+(AD605*Settings!$B$15)+(AE605*Settings!$B$16)+(AF605*Settings!$B$17)+(AG605*Settings!$B$18)+(Y605*Settings!$B$10)+(Z605*Settings!$B$11),VLOOKUP(B605,'Standard Deviations'!A1:C666,3,FALSE))</f>
        <v>104.64401330887074</v>
      </c>
      <c r="J605" s="52">
        <f>IF(D605="G",I605/AJ605,I605/Q605)</f>
        <v>1.3552729585089296</v>
      </c>
      <c r="K605" s="51">
        <f>IF(Settings!$E$18="C/LW/RW",VLOOKUP(B605,RW!A1:F136,6,FALSE),VLOOKUP(B605,F!A1:F392,6,FALSE))</f>
        <v>-264.20370979742165</v>
      </c>
      <c r="L605" s="53">
        <f>IFERROR(K605/H605,"N/A")</f>
        <v>-142.81281610671439</v>
      </c>
      <c r="M605" s="83" t="str">
        <f>IF(Settings!$E$9="YAHOO",VLOOKUP(B605,ADP!A1:E665,2,FALSE),IF(Settings!$E$9="ESPN",VLOOKUP(B605,ADP!A1:E665,3,FALSE),IF(Settings!$E$9="FANTRAX",VLOOKUP(B605,ADP!A1:E665,4,FALSE),VLOOKUP(B605,ADP!A1:E665,5,FALSE))))</f>
        <v>—</v>
      </c>
      <c r="N605" s="83" t="str">
        <f>IFERROR(M605-A605,"N/A")</f>
        <v>N/A</v>
      </c>
      <c r="O605" s="54"/>
      <c r="P605" s="55" t="str">
        <f>IF(Settings!$E$27="ON",VLOOKUP(B605,ADP!A1:H665,8,FALSE)," ")</f>
        <v xml:space="preserve"> </v>
      </c>
      <c r="Q605" s="56">
        <f>IF(Settings!$E$12="YES",VLOOKUP(B605,'Player Data'!A1:E667,5,FALSE),82)</f>
        <v>77.212500000000006</v>
      </c>
      <c r="R605" s="54">
        <f>VLOOKUP(B605,'Player Data'!$A1:$AE667,6,FALSE)</f>
        <v>10.950421172678601</v>
      </c>
      <c r="S605" s="56">
        <f>VLOOKUP(B605,'Player Data'!$A1:$AE667,7,FALSE)*$Q605*IFERROR((VLOOKUP(P605,Settings!$E$28:$F$33,2,FALSE)+1),1)</f>
        <v>6.6088810047346334</v>
      </c>
      <c r="T605" s="56">
        <f>VLOOKUP(B605,'Player Data'!$A1:$AE667,8,FALSE)*$Q605*IFERROR((VLOOKUP(P605,Settings!$E$28:$F$33,2,FALSE)+1),1)</f>
        <v>6.7772844795601088</v>
      </c>
      <c r="U605" s="56">
        <f>SUM(S605:T605)</f>
        <v>13.386165484294743</v>
      </c>
      <c r="V605" s="56">
        <f>VLOOKUP(B605,'Player Data'!$A1:$AE667,10,FALSE)*$Q605*IFERROR(((VLOOKUP(P605,Settings!$E$28:$F$33,2,FALSE)/2)+1),1)</f>
        <v>91.442423911210952</v>
      </c>
      <c r="W605" s="56">
        <f>VLOOKUP(B605,'Player Data'!$A1:$AE667,11,FALSE)*$Q605*IFERROR((VLOOKUP(P605,Settings!$E$28:$F$33,2,FALSE)+1),1)</f>
        <v>6.35528352589627E-2</v>
      </c>
      <c r="X605" s="56">
        <f>VLOOKUP(B605,'Player Data'!$A1:$AE667,12,FALSE)*$Q605*IFERROR((VLOOKUP(P605,Settings!$E$28:$F$33,2,FALSE)+1),1)</f>
        <v>0.14833882786573296</v>
      </c>
      <c r="Y605" s="56">
        <f>VLOOKUP(B605,'Player Data'!$A1:$AE667,13,FALSE)*$Q605</f>
        <v>1.1325556989080903</v>
      </c>
      <c r="Z605" s="56">
        <f>VLOOKUP(B605,'Player Data'!$A1:$AE667,14,FALSE)*$Q605</f>
        <v>1.299159522670907</v>
      </c>
      <c r="AA605" s="56">
        <f>VLOOKUP(B605,'Player Data'!$A1:$AE667,15,FALSE)*$Q605</f>
        <v>34.633613099688809</v>
      </c>
      <c r="AB605" s="56">
        <f>VLOOKUP(B605,'Player Data'!$A1:$AE667,16,FALSE)*$Q605</f>
        <v>183.72532813889404</v>
      </c>
      <c r="AC605" s="56">
        <f>VLOOKUP(B605,'Player Data'!$A1:$AE667,17,FALSE)*$Q605*IFERROR((VLOOKUP(P605,Settings!$E$28:$F$33,2,FALSE)+1),1)</f>
        <v>-0.39406692572560648</v>
      </c>
      <c r="AD605" s="56">
        <f>VLOOKUP(B605,'Player Data'!$A1:$AE667,18,FALSE)*$Q605</f>
        <v>58.694526547133592</v>
      </c>
      <c r="AE605" s="56">
        <f>VLOOKUP(B605,'Player Data'!$A1:$AE667,19,FALSE)*$Q605*IFERROR((VLOOKUP(P605,Settings!$E$28:$F$33,2,FALSE)+1),1)</f>
        <v>0.93788305712090914</v>
      </c>
      <c r="AF605" s="56">
        <f>VLOOKUP(B605,'Player Data'!$A1:$AE667,20,FALSE)*$Q605</f>
        <v>4.6712870599961214</v>
      </c>
      <c r="AG605" s="56">
        <f>VLOOKUP(B605,'Player Data'!$A1:$AE667,21,FALSE)*$Q605</f>
        <v>9.0382485380265098</v>
      </c>
      <c r="AH605" s="58">
        <f>VLOOKUP(B605,'Player Data'!$A1:$AE667,22,FALSE)</f>
        <v>0.34073269853647498</v>
      </c>
      <c r="AI605" s="54"/>
      <c r="AJ605" s="56"/>
      <c r="AK605" s="56"/>
      <c r="AL605" s="56"/>
      <c r="AM605" s="56"/>
      <c r="AN605" s="56"/>
      <c r="AO605" s="56"/>
      <c r="AP605" s="56"/>
      <c r="AQ605" s="59"/>
      <c r="AR605" s="60"/>
      <c r="AS605" s="54"/>
    </row>
    <row r="606" spans="1:45" ht="21.25" customHeight="1" x14ac:dyDescent="0.15">
      <c r="A606" s="45">
        <f>RANK(K606,K$1:K$665)</f>
        <v>605</v>
      </c>
      <c r="B606" s="9" t="s">
        <v>731</v>
      </c>
      <c r="C606" s="46" t="s">
        <v>127</v>
      </c>
      <c r="D606" s="47" t="str">
        <f>VLOOKUP(B606,'Player Data'!A1:D667,4,FALSE)</f>
        <v>C</v>
      </c>
      <c r="E606" s="48">
        <f>VLOOKUP(B606,'C'!A1:C206,3,FALSE)</f>
        <v>171</v>
      </c>
      <c r="F606" s="55" t="str">
        <f>VLOOKUP(B606,'Player Data'!A1:B667,2,FALSE)</f>
        <v>N.J</v>
      </c>
      <c r="G606" s="10">
        <f>VLOOKUP(B606,'Player Data'!A1:D667,3,FALSE)</f>
        <v>29</v>
      </c>
      <c r="H606" s="67">
        <f>IFERROR(VLOOKUP(B606,ADP!A1:G665,7,FALSE)/1000000,VLOOKUP(B606,ADP!A1:G665,7,FALSE))</f>
        <v>1</v>
      </c>
      <c r="I606" s="51">
        <f>IF(Settings!$E$15="POINTS",((R606*Q606)*Settings!$B$12)+(S606*Settings!$B$2)+(T606*Settings!$B$3)+(U606*Settings!$B$4)+(V606*Settings!$B$5)+(X606*Settings!$B$9)+(AA606*Settings!$B$6)+(W606*Settings!$B$8)+(AB606*Settings!$B$7)+(AC606*Settings!$B$14)+(AD606*Settings!$B$15)+(AE606*Settings!$B$16)+(AF606*Settings!$B$17)+(AG606*Settings!$B$18)+(Y606*Settings!$B$10)+(Z606*Settings!$B$11),VLOOKUP(B606,'Standard Deviations'!A1:C666,3,FALSE))</f>
        <v>125.68542763467954</v>
      </c>
      <c r="J606" s="52">
        <f>IF(D606="G",I606/AJ606,I606/Q606)</f>
        <v>1.6906837185186916</v>
      </c>
      <c r="K606" s="51">
        <f>IF(Settings!$E$18="C/LW/RW",VLOOKUP(B606,'C'!A1:F206,6,FALSE),VLOOKUP(B606,F!A1:F392,6,FALSE))</f>
        <v>-264.25173014340157</v>
      </c>
      <c r="L606" s="53">
        <f>IFERROR(K606/H606,"N/A")</f>
        <v>-264.25173014340157</v>
      </c>
      <c r="M606" s="83" t="str">
        <f>IF(Settings!$E$9="YAHOO",VLOOKUP(B606,ADP!A1:E665,2,FALSE),IF(Settings!$E$9="ESPN",VLOOKUP(B606,ADP!A1:E665,3,FALSE),IF(Settings!$E$9="FANTRAX",VLOOKUP(B606,ADP!A1:E665,4,FALSE),VLOOKUP(B606,ADP!A1:E665,5,FALSE))))</f>
        <v>—</v>
      </c>
      <c r="N606" s="83" t="str">
        <f>IFERROR(M606-A606,"N/A")</f>
        <v>N/A</v>
      </c>
      <c r="O606" s="54"/>
      <c r="P606" s="55" t="str">
        <f>IF(Settings!$E$27="ON",VLOOKUP(B606,ADP!A1:H665,8,FALSE)," ")</f>
        <v xml:space="preserve"> </v>
      </c>
      <c r="Q606" s="56">
        <f>IF(Settings!$E$12="YES",VLOOKUP(B606,'Player Data'!A1:E667,5,FALSE),82)</f>
        <v>74.34</v>
      </c>
      <c r="R606" s="54">
        <f>VLOOKUP(B606,'Player Data'!$A1:$AE667,6,FALSE)</f>
        <v>11.836570074933199</v>
      </c>
      <c r="S606" s="56">
        <f>VLOOKUP(B606,'Player Data'!$A1:$AE667,7,FALSE)*$Q606*IFERROR((VLOOKUP(P606,Settings!$E$28:$F$33,2,FALSE)+1),1)</f>
        <v>6.4078440415150455</v>
      </c>
      <c r="T606" s="56">
        <f>VLOOKUP(B606,'Player Data'!$A1:$AE667,8,FALSE)*$Q606*IFERROR((VLOOKUP(P606,Settings!$E$28:$F$33,2,FALSE)+1),1)</f>
        <v>11.602137184588942</v>
      </c>
      <c r="U606" s="56">
        <f>SUM(S606:T606)</f>
        <v>18.009981226103989</v>
      </c>
      <c r="V606" s="56">
        <f>VLOOKUP(B606,'Player Data'!$A1:$AE667,10,FALSE)*$Q606*IFERROR(((VLOOKUP(P606,Settings!$E$28:$F$33,2,FALSE)/2)+1),1)</f>
        <v>79.411086574583763</v>
      </c>
      <c r="W606" s="56">
        <f>VLOOKUP(B606,'Player Data'!$A1:$AE667,11,FALSE)*$Q606*IFERROR((VLOOKUP(P606,Settings!$E$28:$F$33,2,FALSE)+1),1)</f>
        <v>6.3998865862917226E-2</v>
      </c>
      <c r="X606" s="56">
        <f>VLOOKUP(B606,'Player Data'!$A1:$AE667,12,FALSE)*$Q606*IFERROR((VLOOKUP(P606,Settings!$E$28:$F$33,2,FALSE)+1),1)</f>
        <v>0.15257190336216314</v>
      </c>
      <c r="Y606" s="56">
        <f>VLOOKUP(B606,'Player Data'!$A1:$AE667,13,FALSE)*$Q606</f>
        <v>0.56006095676009648</v>
      </c>
      <c r="Z606" s="56">
        <f>VLOOKUP(B606,'Player Data'!$A1:$AE667,14,FALSE)*$Q606</f>
        <v>0.82159787801057704</v>
      </c>
      <c r="AA606" s="56">
        <f>VLOOKUP(B606,'Player Data'!$A1:$AE667,15,FALSE)*$Q606</f>
        <v>61.951541775405914</v>
      </c>
      <c r="AB606" s="56">
        <f>VLOOKUP(B606,'Player Data'!$A1:$AE667,16,FALSE)*$Q606</f>
        <v>171.41282182942081</v>
      </c>
      <c r="AC606" s="56">
        <f>VLOOKUP(B606,'Player Data'!$A1:$AE667,17,FALSE)*$Q606*IFERROR((VLOOKUP(P606,Settings!$E$28:$F$33,2,FALSE)+1),1)</f>
        <v>2.2118715798806474</v>
      </c>
      <c r="AD606" s="56">
        <f>VLOOKUP(B606,'Player Data'!$A1:$AE667,18,FALSE)*$Q606</f>
        <v>27.29056855391099</v>
      </c>
      <c r="AE606" s="56">
        <f>VLOOKUP(B606,'Player Data'!$A1:$AE667,19,FALSE)*$Q606*IFERROR((VLOOKUP(P606,Settings!$E$28:$F$33,2,FALSE)+1),1)</f>
        <v>0.96679193498327609</v>
      </c>
      <c r="AF606" s="56">
        <f>VLOOKUP(B606,'Player Data'!$A1:$AE667,20,FALSE)*$Q606</f>
        <v>177.56410488592704</v>
      </c>
      <c r="AG606" s="56">
        <f>VLOOKUP(B606,'Player Data'!$A1:$AE667,21,FALSE)*$Q606</f>
        <v>181.39224419422646</v>
      </c>
      <c r="AH606" s="58">
        <f>VLOOKUP(B606,'Player Data'!$A1:$AE667,22,FALSE)</f>
        <v>0.49466768129591598</v>
      </c>
      <c r="AI606" s="54"/>
      <c r="AJ606" s="56"/>
      <c r="AK606" s="56"/>
      <c r="AL606" s="56"/>
      <c r="AM606" s="56"/>
      <c r="AN606" s="56"/>
      <c r="AO606" s="56"/>
      <c r="AP606" s="56"/>
      <c r="AQ606" s="59"/>
      <c r="AR606" s="60"/>
      <c r="AS606" s="54"/>
    </row>
    <row r="607" spans="1:45" ht="21.25" customHeight="1" x14ac:dyDescent="0.15">
      <c r="A607" s="45">
        <f>RANK(K607,K$1:K$665)</f>
        <v>606</v>
      </c>
      <c r="B607" s="9" t="s">
        <v>732</v>
      </c>
      <c r="C607" s="46" t="s">
        <v>127</v>
      </c>
      <c r="D607" s="47" t="str">
        <f>VLOOKUP(B607,'Player Data'!A1:D667,4,FALSE)</f>
        <v>LW</v>
      </c>
      <c r="E607" s="70">
        <f>VLOOKUP(B607,LW!A1:C152,3,FALSE)</f>
        <v>135</v>
      </c>
      <c r="F607" s="55" t="str">
        <f>VLOOKUP(B607,'Player Data'!A1:B667,2,FALSE)</f>
        <v>UTA</v>
      </c>
      <c r="G607" s="10">
        <f>VLOOKUP(B607,'Player Data'!A1:D667,3,FALSE)</f>
        <v>28</v>
      </c>
      <c r="H607" s="67">
        <f>IFERROR(VLOOKUP(B607,ADP!A1:G665,7,FALSE)/1000000,VLOOKUP(B607,ADP!A1:G665,7,FALSE))</f>
        <v>0.77500000000000002</v>
      </c>
      <c r="I607" s="51">
        <f>IF(Settings!$E$15="POINTS",((R607*Q607)*Settings!$B$12)+(S607*Settings!$B$2)+(T607*Settings!$B$3)+(U607*Settings!$B$4)+(V607*Settings!$B$5)+(X607*Settings!$B$9)+(AA607*Settings!$B$6)+(W607*Settings!$B$8)+(AB607*Settings!$B$7)+(AC607*Settings!$B$14)+(AD607*Settings!$B$15)+(AE607*Settings!$B$16)+(AF607*Settings!$B$17)+(AG607*Settings!$B$18)+(Y607*Settings!$B$10)+(Z607*Settings!$B$11),VLOOKUP(B607,'Standard Deviations'!A1:C666,3,FALSE))</f>
        <v>116.59629169467428</v>
      </c>
      <c r="J607" s="52">
        <f>IF(D607="G",I607/AJ607,I607/Q607)</f>
        <v>1.8084654960591615</v>
      </c>
      <c r="K607" s="51">
        <f>IF(Settings!$E$18="C/LW/RW",VLOOKUP(B607,LW!A1:F152,6,FALSE),VLOOKUP(B607,F!A1:F392,6,FALSE))</f>
        <v>-264.46522060782547</v>
      </c>
      <c r="L607" s="53">
        <f>IFERROR(K607/H607,"N/A")</f>
        <v>-341.24544594558125</v>
      </c>
      <c r="M607" s="83" t="str">
        <f>IF(Settings!$E$9="YAHOO",VLOOKUP(B607,ADP!A1:E665,2,FALSE),IF(Settings!$E$9="ESPN",VLOOKUP(B607,ADP!A1:E665,3,FALSE),IF(Settings!$E$9="FANTRAX",VLOOKUP(B607,ADP!A1:E665,4,FALSE),VLOOKUP(B607,ADP!A1:E665,5,FALSE))))</f>
        <v>—</v>
      </c>
      <c r="N607" s="83" t="str">
        <f>IFERROR(M607-A607,"N/A")</f>
        <v>N/A</v>
      </c>
      <c r="O607" s="54"/>
      <c r="P607" s="55" t="str">
        <f>IF(Settings!$E$27="ON",VLOOKUP(B607,ADP!A1:H665,8,FALSE)," ")</f>
        <v xml:space="preserve"> </v>
      </c>
      <c r="Q607" s="56">
        <f>IF(Settings!$E$12="YES",VLOOKUP(B607,'Player Data'!A1:E667,5,FALSE),82)</f>
        <v>64.472499999999997</v>
      </c>
      <c r="R607" s="54">
        <f>VLOOKUP(B607,'Player Data'!$A1:$AE667,6,FALSE)</f>
        <v>11.069091162618101</v>
      </c>
      <c r="S607" s="56">
        <f>VLOOKUP(B607,'Player Data'!$A1:$AE667,7,FALSE)*$Q607*IFERROR((VLOOKUP(P607,Settings!$E$28:$F$33,2,FALSE)+1),1)</f>
        <v>13.176740657792619</v>
      </c>
      <c r="T607" s="56">
        <f>VLOOKUP(B607,'Player Data'!$A1:$AE667,8,FALSE)*$Q607*IFERROR((VLOOKUP(P607,Settings!$E$28:$F$33,2,FALSE)+1),1)</f>
        <v>6.8552099738565628</v>
      </c>
      <c r="U607" s="56">
        <f>SUM(S607:T607)</f>
        <v>20.031950631649181</v>
      </c>
      <c r="V607" s="56">
        <f>VLOOKUP(B607,'Player Data'!$A1:$AE667,10,FALSE)*$Q607*IFERROR(((VLOOKUP(P607,Settings!$E$28:$F$33,2,FALSE)/2)+1),1)</f>
        <v>90.71781422031161</v>
      </c>
      <c r="W607" s="56">
        <f>VLOOKUP(B607,'Player Data'!$A1:$AE667,11,FALSE)*$Q607*IFERROR((VLOOKUP(P607,Settings!$E$28:$F$33,2,FALSE)+1),1)</f>
        <v>0.2272774878220791</v>
      </c>
      <c r="X607" s="56">
        <f>VLOOKUP(B607,'Player Data'!$A1:$AE667,12,FALSE)*$Q607*IFERROR((VLOOKUP(P607,Settings!$E$28:$F$33,2,FALSE)+1),1)</f>
        <v>0.49259681895688051</v>
      </c>
      <c r="Y607" s="56">
        <f>VLOOKUP(B607,'Player Data'!$A1:$AE667,13,FALSE)*$Q607</f>
        <v>0.13854378926502833</v>
      </c>
      <c r="Z607" s="56">
        <f>VLOOKUP(B607,'Player Data'!$A1:$AE667,14,FALSE)*$Q607</f>
        <v>0.15659954304847706</v>
      </c>
      <c r="AA607" s="56">
        <f>VLOOKUP(B607,'Player Data'!$A1:$AE667,15,FALSE)*$Q607</f>
        <v>20.984672655131174</v>
      </c>
      <c r="AB607" s="56">
        <f>VLOOKUP(B607,'Player Data'!$A1:$AE667,16,FALSE)*$Q607</f>
        <v>62.822167225740408</v>
      </c>
      <c r="AC607" s="56">
        <f>VLOOKUP(B607,'Player Data'!$A1:$AE667,17,FALSE)*$Q607*IFERROR((VLOOKUP(P607,Settings!$E$28:$F$33,2,FALSE)+1),1)</f>
        <v>-0.44635205132903816</v>
      </c>
      <c r="AD607" s="56">
        <f>VLOOKUP(B607,'Player Data'!$A1:$AE667,18,FALSE)*$Q607</f>
        <v>25.636738534024857</v>
      </c>
      <c r="AE607" s="56">
        <f>VLOOKUP(B607,'Player Data'!$A1:$AE667,19,FALSE)*$Q607*IFERROR((VLOOKUP(P607,Settings!$E$28:$F$33,2,FALSE)+1),1)</f>
        <v>1.928144460101046</v>
      </c>
      <c r="AF607" s="56">
        <f>VLOOKUP(B607,'Player Data'!$A1:$AE667,20,FALSE)*$Q607</f>
        <v>2.6876261915656512</v>
      </c>
      <c r="AG607" s="56">
        <f>VLOOKUP(B607,'Player Data'!$A1:$AE667,21,FALSE)*$Q607</f>
        <v>8.6286480825705372</v>
      </c>
      <c r="AH607" s="58">
        <f>VLOOKUP(B607,'Player Data'!$A1:$AE667,22,FALSE)</f>
        <v>0.23750097659866101</v>
      </c>
      <c r="AI607" s="54"/>
      <c r="AJ607" s="64"/>
      <c r="AK607" s="56"/>
      <c r="AL607" s="56"/>
      <c r="AM607" s="56"/>
      <c r="AN607" s="56"/>
      <c r="AO607" s="56"/>
      <c r="AP607" s="56"/>
      <c r="AQ607" s="59"/>
      <c r="AR607" s="60"/>
      <c r="AS607" s="54"/>
    </row>
    <row r="608" spans="1:45" ht="21.25" customHeight="1" x14ac:dyDescent="0.15">
      <c r="A608" s="45">
        <f>RANK(K608,K$1:K$665)</f>
        <v>607</v>
      </c>
      <c r="B608" s="9" t="s">
        <v>733</v>
      </c>
      <c r="C608" s="46" t="s">
        <v>127</v>
      </c>
      <c r="D608" s="47" t="str">
        <f>VLOOKUP(B608,'Player Data'!A1:D667,4,FALSE)</f>
        <v>LW</v>
      </c>
      <c r="E608" s="70">
        <f>VLOOKUP(B608,LW!A1:C152,3,FALSE)</f>
        <v>136</v>
      </c>
      <c r="F608" s="65" t="str">
        <f>VLOOKUP(B608,'Player Data'!A1:B667,2,FALSE)</f>
        <v>DET</v>
      </c>
      <c r="G608" s="10">
        <f>VLOOKUP(B608,'Player Data'!A1:D667,3,FALSE)</f>
        <v>29</v>
      </c>
      <c r="H608" s="67">
        <f>IFERROR(VLOOKUP(B608,ADP!A1:G665,7,FALSE)/1000000,VLOOKUP(B608,ADP!A1:G665,7,FALSE))</f>
        <v>0.8</v>
      </c>
      <c r="I608" s="51">
        <f>IF(Settings!$E$15="POINTS",((R608*Q608)*Settings!$B$12)+(S608*Settings!$B$2)+(T608*Settings!$B$3)+(U608*Settings!$B$4)+(V608*Settings!$B$5)+(X608*Settings!$B$9)+(AA608*Settings!$B$6)+(W608*Settings!$B$8)+(AB608*Settings!$B$7)+(AC608*Settings!$B$14)+(AD608*Settings!$B$15)+(AE608*Settings!$B$16)+(AF608*Settings!$B$17)+(AG608*Settings!$B$18)+(Y608*Settings!$B$10)+(Z608*Settings!$B$11),VLOOKUP(B608,'Standard Deviations'!A1:C666,3,FALSE))</f>
        <v>116.59330380358381</v>
      </c>
      <c r="J608" s="52">
        <f>IF(D608="G",I608/AJ608,I608/Q608)</f>
        <v>1.5634892729033329</v>
      </c>
      <c r="K608" s="51">
        <f>IF(Settings!$E$18="C/LW/RW",VLOOKUP(B608,LW!A1:F152,6,FALSE),VLOOKUP(B608,F!A1:F392,6,FALSE))</f>
        <v>-264.46820849891594</v>
      </c>
      <c r="L608" s="53">
        <f>IFERROR(K608/H608,"N/A")</f>
        <v>-330.5852606236449</v>
      </c>
      <c r="M608" s="83" t="str">
        <f>IF(Settings!$E$9="YAHOO",VLOOKUP(B608,ADP!A1:E665,2,FALSE),IF(Settings!$E$9="ESPN",VLOOKUP(B608,ADP!A1:E665,3,FALSE),IF(Settings!$E$9="FANTRAX",VLOOKUP(B608,ADP!A1:E665,4,FALSE),VLOOKUP(B608,ADP!A1:E665,5,FALSE))))</f>
        <v>—</v>
      </c>
      <c r="N608" s="83" t="str">
        <f>IFERROR(M608-A608,"N/A")</f>
        <v>N/A</v>
      </c>
      <c r="O608" s="54"/>
      <c r="P608" s="55" t="str">
        <f>IF(Settings!$E$27="ON",VLOOKUP(B608,ADP!A1:H665,8,FALSE)," ")</f>
        <v xml:space="preserve"> </v>
      </c>
      <c r="Q608" s="56">
        <f>IF(Settings!$E$12="YES",VLOOKUP(B608,'Player Data'!A1:E667,5,FALSE),82)</f>
        <v>74.572500000000005</v>
      </c>
      <c r="R608" s="54">
        <f>VLOOKUP(B608,'Player Data'!$A1:$AE667,6,FALSE)</f>
        <v>11.983612451164101</v>
      </c>
      <c r="S608" s="56">
        <f>VLOOKUP(B608,'Player Data'!$A1:$AE667,7,FALSE)*$Q608*IFERROR((VLOOKUP(P608,Settings!$E$28:$F$33,2,FALSE)+1),1)</f>
        <v>6.9894067777395206</v>
      </c>
      <c r="T608" s="56">
        <f>VLOOKUP(B608,'Player Data'!$A1:$AE667,8,FALSE)*$Q608*IFERROR((VLOOKUP(P608,Settings!$E$28:$F$33,2,FALSE)+1),1)</f>
        <v>7.4264707414607365</v>
      </c>
      <c r="U608" s="56">
        <f>SUM(S608:T608)</f>
        <v>14.415877519200258</v>
      </c>
      <c r="V608" s="56">
        <f>VLOOKUP(B608,'Player Data'!$A1:$AE667,10,FALSE)*$Q608*IFERROR(((VLOOKUP(P608,Settings!$E$28:$F$33,2,FALSE)/2)+1),1)</f>
        <v>95.479846595749521</v>
      </c>
      <c r="W608" s="56">
        <f>VLOOKUP(B608,'Player Data'!$A1:$AE667,11,FALSE)*$Q608*IFERROR((VLOOKUP(P608,Settings!$E$28:$F$33,2,FALSE)+1),1)</f>
        <v>3.1973743359175112E-2</v>
      </c>
      <c r="X608" s="56">
        <f>VLOOKUP(B608,'Player Data'!$A1:$AE667,12,FALSE)*$Q608*IFERROR((VLOOKUP(P608,Settings!$E$28:$F$33,2,FALSE)+1),1)</f>
        <v>7.4680132909047833E-2</v>
      </c>
      <c r="Y608" s="56">
        <f>VLOOKUP(B608,'Player Data'!$A1:$AE667,13,FALSE)*$Q608</f>
        <v>1.2697009612174284</v>
      </c>
      <c r="Z608" s="56">
        <f>VLOOKUP(B608,'Player Data'!$A1:$AE667,14,FALSE)*$Q608</f>
        <v>1.3891440914652775</v>
      </c>
      <c r="AA608" s="56">
        <f>VLOOKUP(B608,'Player Data'!$A1:$AE667,15,FALSE)*$Q608</f>
        <v>48.283847447467863</v>
      </c>
      <c r="AB608" s="56">
        <f>VLOOKUP(B608,'Player Data'!$A1:$AE667,16,FALSE)*$Q608</f>
        <v>117.26764582670413</v>
      </c>
      <c r="AC608" s="56">
        <f>VLOOKUP(B608,'Player Data'!$A1:$AE667,17,FALSE)*$Q608*IFERROR((VLOOKUP(P608,Settings!$E$28:$F$33,2,FALSE)+1),1)</f>
        <v>0.30457413700885189</v>
      </c>
      <c r="AD608" s="56">
        <f>VLOOKUP(B608,'Player Data'!$A1:$AE667,18,FALSE)*$Q608</f>
        <v>18.483655836061587</v>
      </c>
      <c r="AE608" s="56">
        <f>VLOOKUP(B608,'Player Data'!$A1:$AE667,19,FALSE)*$Q608*IFERROR((VLOOKUP(P608,Settings!$E$28:$F$33,2,FALSE)+1),1)</f>
        <v>0.95994375450316871</v>
      </c>
      <c r="AF608" s="56">
        <f>VLOOKUP(B608,'Player Data'!$A1:$AE667,20,FALSE)*$Q608</f>
        <v>62.678941662569251</v>
      </c>
      <c r="AG608" s="56">
        <f>VLOOKUP(B608,'Player Data'!$A1:$AE667,21,FALSE)*$Q608</f>
        <v>64.803622842179195</v>
      </c>
      <c r="AH608" s="58">
        <f>VLOOKUP(B608,'Player Data'!$A1:$AE667,22,FALSE)</f>
        <v>0.49166677738299303</v>
      </c>
      <c r="AI608" s="54"/>
      <c r="AJ608" s="56"/>
      <c r="AK608" s="56"/>
      <c r="AL608" s="56"/>
      <c r="AM608" s="56"/>
      <c r="AN608" s="56"/>
      <c r="AO608" s="56"/>
      <c r="AP608" s="56"/>
      <c r="AQ608" s="59"/>
      <c r="AR608" s="60"/>
      <c r="AS608" s="54"/>
    </row>
    <row r="609" spans="1:45" ht="21.25" customHeight="1" x14ac:dyDescent="0.15">
      <c r="A609" s="45">
        <f>RANK(K609,K$1:K$665)</f>
        <v>608</v>
      </c>
      <c r="B609" s="9" t="s">
        <v>734</v>
      </c>
      <c r="C609" s="46" t="s">
        <v>127</v>
      </c>
      <c r="D609" s="47" t="str">
        <f>VLOOKUP(B609,'Player Data'!A1:D667,4,FALSE)</f>
        <v>C</v>
      </c>
      <c r="E609" s="48">
        <f>VLOOKUP(B609,'C'!A1:C206,3,FALSE)</f>
        <v>172</v>
      </c>
      <c r="F609" s="55" t="str">
        <f>VLOOKUP(B609,'Player Data'!A1:B667,2,FALSE)</f>
        <v>UTA</v>
      </c>
      <c r="G609" s="10">
        <f>VLOOKUP(B609,'Player Data'!A1:D667,3,FALSE)</f>
        <v>24</v>
      </c>
      <c r="H609" s="67">
        <f>IFERROR(VLOOKUP(B609,ADP!A1:G665,7,FALSE)/1000000,VLOOKUP(B609,ADP!A1:G665,7,FALSE))</f>
        <v>1.599</v>
      </c>
      <c r="I609" s="51">
        <f>IF(Settings!$E$15="POINTS",((R609*Q609)*Settings!$B$12)+(S609*Settings!$B$2)+(T609*Settings!$B$3)+(U609*Settings!$B$4)+(V609*Settings!$B$5)+(X609*Settings!$B$9)+(AA609*Settings!$B$6)+(W609*Settings!$B$8)+(AB609*Settings!$B$7)+(AC609*Settings!$B$14)+(AD609*Settings!$B$15)+(AE609*Settings!$B$16)+(AF609*Settings!$B$17)+(AG609*Settings!$B$18)+(Y609*Settings!$B$10)+(Z609*Settings!$B$11),VLOOKUP(B609,'Standard Deviations'!A1:C666,3,FALSE))</f>
        <v>125.23064850397982</v>
      </c>
      <c r="J609" s="52">
        <f>IF(D609="G",I609/AJ609,I609/Q609)</f>
        <v>1.735277631953162</v>
      </c>
      <c r="K609" s="51">
        <f>IF(Settings!$E$18="C/LW/RW",VLOOKUP(B609,'C'!A1:F206,6,FALSE),VLOOKUP(B609,F!A1:F392,6,FALSE))</f>
        <v>-264.70650927410128</v>
      </c>
      <c r="L609" s="53">
        <f>IFERROR(K609/H609,"N/A")</f>
        <v>-165.54503394252737</v>
      </c>
      <c r="M609" s="83" t="str">
        <f>IF(Settings!$E$9="YAHOO",VLOOKUP(B609,ADP!A1:E665,2,FALSE),IF(Settings!$E$9="ESPN",VLOOKUP(B609,ADP!A1:E665,3,FALSE),IF(Settings!$E$9="FANTRAX",VLOOKUP(B609,ADP!A1:E665,4,FALSE),VLOOKUP(B609,ADP!A1:E665,5,FALSE))))</f>
        <v>—</v>
      </c>
      <c r="N609" s="83" t="str">
        <f>IFERROR(M609-A609,"N/A")</f>
        <v>N/A</v>
      </c>
      <c r="O609" s="54"/>
      <c r="P609" s="55" t="str">
        <f>IF(Settings!$E$27="ON",VLOOKUP(B609,ADP!A1:H665,8,FALSE)," ")</f>
        <v xml:space="preserve"> </v>
      </c>
      <c r="Q609" s="56">
        <f>IF(Settings!$E$12="YES",VLOOKUP(B609,'Player Data'!A1:E667,5,FALSE),82)</f>
        <v>72.167500000000004</v>
      </c>
      <c r="R609" s="54">
        <f>VLOOKUP(B609,'Player Data'!$A1:$AE667,6,FALSE)</f>
        <v>12.3868273335311</v>
      </c>
      <c r="S609" s="56">
        <f>VLOOKUP(B609,'Player Data'!$A1:$AE667,7,FALSE)*$Q609*IFERROR((VLOOKUP(P609,Settings!$E$28:$F$33,2,FALSE)+1),1)</f>
        <v>9.1747611382007292</v>
      </c>
      <c r="T609" s="56">
        <f>VLOOKUP(B609,'Player Data'!$A1:$AE667,8,FALSE)*$Q609*IFERROR((VLOOKUP(P609,Settings!$E$28:$F$33,2,FALSE)+1),1)</f>
        <v>14.291747534744461</v>
      </c>
      <c r="U609" s="56">
        <f>SUM(S609:T609)</f>
        <v>23.466508672945189</v>
      </c>
      <c r="V609" s="56">
        <f>VLOOKUP(B609,'Player Data'!$A1:$AE667,10,FALSE)*$Q609*IFERROR(((VLOOKUP(P609,Settings!$E$28:$F$33,2,FALSE)/2)+1),1)</f>
        <v>66.732581330551739</v>
      </c>
      <c r="W609" s="56">
        <f>VLOOKUP(B609,'Player Data'!$A1:$AE667,11,FALSE)*$Q609*IFERROR((VLOOKUP(P609,Settings!$E$28:$F$33,2,FALSE)+1),1)</f>
        <v>6.3433540391112306E-2</v>
      </c>
      <c r="X609" s="56">
        <f>VLOOKUP(B609,'Player Data'!$A1:$AE667,12,FALSE)*$Q609*IFERROR((VLOOKUP(P609,Settings!$E$28:$F$33,2,FALSE)+1),1)</f>
        <v>0.17521109787513742</v>
      </c>
      <c r="Y609" s="56">
        <f>VLOOKUP(B609,'Player Data'!$A1:$AE667,13,FALSE)*$Q609</f>
        <v>9.9237325694113518E-2</v>
      </c>
      <c r="Z609" s="56">
        <f>VLOOKUP(B609,'Player Data'!$A1:$AE667,14,FALSE)*$Q609</f>
        <v>0.16733168974992438</v>
      </c>
      <c r="AA609" s="56">
        <f>VLOOKUP(B609,'Player Data'!$A1:$AE667,15,FALSE)*$Q609</f>
        <v>42.244578064486632</v>
      </c>
      <c r="AB609" s="56">
        <f>VLOOKUP(B609,'Player Data'!$A1:$AE667,16,FALSE)*$Q609</f>
        <v>209.14749201760614</v>
      </c>
      <c r="AC609" s="56">
        <f>VLOOKUP(B609,'Player Data'!$A1:$AE667,17,FALSE)*$Q609*IFERROR((VLOOKUP(P609,Settings!$E$28:$F$33,2,FALSE)+1),1)</f>
        <v>8.6754932813099969E-2</v>
      </c>
      <c r="AD609" s="56">
        <f>VLOOKUP(B609,'Player Data'!$A1:$AE667,18,FALSE)*$Q609</f>
        <v>43.267301558597033</v>
      </c>
      <c r="AE609" s="56">
        <f>VLOOKUP(B609,'Player Data'!$A1:$AE667,19,FALSE)*$Q609*IFERROR((VLOOKUP(P609,Settings!$E$28:$F$33,2,FALSE)+1),1)</f>
        <v>1.342537226830081</v>
      </c>
      <c r="AF609" s="56">
        <f>VLOOKUP(B609,'Player Data'!$A1:$AE667,20,FALSE)*$Q609</f>
        <v>299.74538711400317</v>
      </c>
      <c r="AG609" s="56">
        <f>VLOOKUP(B609,'Player Data'!$A1:$AE667,21,FALSE)*$Q609</f>
        <v>379.43456484793444</v>
      </c>
      <c r="AH609" s="58">
        <f>VLOOKUP(B609,'Player Data'!$A1:$AE667,22,FALSE)</f>
        <v>0.44133426825708399</v>
      </c>
      <c r="AI609" s="54"/>
      <c r="AJ609" s="64"/>
      <c r="AK609" s="56"/>
      <c r="AL609" s="56"/>
      <c r="AM609" s="56"/>
      <c r="AN609" s="56"/>
      <c r="AO609" s="56"/>
      <c r="AP609" s="56"/>
      <c r="AQ609" s="59"/>
      <c r="AR609" s="60"/>
      <c r="AS609" s="54"/>
    </row>
    <row r="610" spans="1:45" ht="21.25" customHeight="1" x14ac:dyDescent="0.15">
      <c r="A610" s="45">
        <f>RANK(K610,K$1:K$665)</f>
        <v>609</v>
      </c>
      <c r="B610" s="9" t="s">
        <v>735</v>
      </c>
      <c r="C610" s="46" t="s">
        <v>127</v>
      </c>
      <c r="D610" s="47" t="str">
        <f>VLOOKUP(B610,'Player Data'!A1:D667,4,FALSE)</f>
        <v>C/RW</v>
      </c>
      <c r="E610" s="68">
        <f>VLOOKUP(B610,RW!A1:C136,3,FALSE)</f>
        <v>129</v>
      </c>
      <c r="F610" s="65" t="str">
        <f>VLOOKUP(B610,'Player Data'!A1:B667,2,FALSE)</f>
        <v>BUF</v>
      </c>
      <c r="G610" s="10">
        <f>VLOOKUP(B610,'Player Data'!A1:D667,3,FALSE)</f>
        <v>29</v>
      </c>
      <c r="H610" s="50">
        <f>IFERROR(VLOOKUP(B610,ADP!A1:G665,7,FALSE)/1000000,VLOOKUP(B610,ADP!A1:G665,7,FALSE))</f>
        <v>2</v>
      </c>
      <c r="I610" s="51">
        <f>IF(Settings!$E$15="POINTS",((R610*Q610)*Settings!$B$12)+(S610*Settings!$B$2)+(T610*Settings!$B$3)+(U610*Settings!$B$4)+(V610*Settings!$B$5)+(X610*Settings!$B$9)+(AA610*Settings!$B$6)+(W610*Settings!$B$8)+(AB610*Settings!$B$7)+(AC610*Settings!$B$14)+(AD610*Settings!$B$15)+(AE610*Settings!$B$16)+(AF610*Settings!$B$17)+(AG610*Settings!$B$18)+(Y610*Settings!$B$10)+(Z610*Settings!$B$11),VLOOKUP(B610,'Standard Deviations'!A1:C666,3,FALSE))</f>
        <v>103.64159898041099</v>
      </c>
      <c r="J610" s="52">
        <f>IF(D610="G",I610/AJ610,I610/Q610)</f>
        <v>1.341682241890171</v>
      </c>
      <c r="K610" s="51">
        <f>IF(Settings!$E$18="C/LW/RW",VLOOKUP(B610,RW!A1:F136,6,FALSE),VLOOKUP(B610,F!A1:F392,6,FALSE))</f>
        <v>-265.20612412588139</v>
      </c>
      <c r="L610" s="53">
        <f>IFERROR(K610/H610,"N/A")</f>
        <v>-132.60306206294069</v>
      </c>
      <c r="M610" s="83" t="str">
        <f>IF(Settings!$E$9="YAHOO",VLOOKUP(B610,ADP!A1:E665,2,FALSE),IF(Settings!$E$9="ESPN",VLOOKUP(B610,ADP!A1:E665,3,FALSE),IF(Settings!$E$9="FANTRAX",VLOOKUP(B610,ADP!A1:E665,4,FALSE),VLOOKUP(B610,ADP!A1:E665,5,FALSE))))</f>
        <v>—</v>
      </c>
      <c r="N610" s="83" t="str">
        <f>IFERROR(M610-A610,"N/A")</f>
        <v>N/A</v>
      </c>
      <c r="O610" s="54"/>
      <c r="P610" s="55" t="str">
        <f>IF(Settings!$E$27="ON",VLOOKUP(B610,ADP!A1:H665,8,FALSE)," ")</f>
        <v xml:space="preserve"> </v>
      </c>
      <c r="Q610" s="56">
        <f>IF(Settings!$E$12="YES",VLOOKUP(B610,'Player Data'!A1:E667,5,FALSE),82)</f>
        <v>77.247500000000002</v>
      </c>
      <c r="R610" s="54">
        <f>VLOOKUP(B610,'Player Data'!$A1:$AE667,6,FALSE)</f>
        <v>10.920661808387701</v>
      </c>
      <c r="S610" s="56">
        <f>VLOOKUP(B610,'Player Data'!$A1:$AE667,7,FALSE)*$Q610*IFERROR((VLOOKUP(P610,Settings!$E$28:$F$33,2,FALSE)+1),1)</f>
        <v>7.629891168254721</v>
      </c>
      <c r="T610" s="56">
        <f>VLOOKUP(B610,'Player Data'!$A1:$AE667,8,FALSE)*$Q610*IFERROR((VLOOKUP(P610,Settings!$E$28:$F$33,2,FALSE)+1),1)</f>
        <v>9.2170657874211486</v>
      </c>
      <c r="U610" s="56">
        <f>SUM(S610:T610)</f>
        <v>16.846956955675871</v>
      </c>
      <c r="V610" s="56">
        <f>VLOOKUP(B610,'Player Data'!$A1:$AE667,10,FALSE)*$Q610*IFERROR(((VLOOKUP(P610,Settings!$E$28:$F$33,2,FALSE)/2)+1),1)</f>
        <v>75.467636650242227</v>
      </c>
      <c r="W610" s="56">
        <f>VLOOKUP(B610,'Player Data'!$A1:$AE667,11,FALSE)*$Q610*IFERROR((VLOOKUP(P610,Settings!$E$28:$F$33,2,FALSE)+1),1)</f>
        <v>6.2399764147552113E-2</v>
      </c>
      <c r="X610" s="56">
        <f>VLOOKUP(B610,'Player Data'!$A1:$AE667,12,FALSE)*$Q610*IFERROR((VLOOKUP(P610,Settings!$E$28:$F$33,2,FALSE)+1),1)</f>
        <v>0.14587868072502419</v>
      </c>
      <c r="Y610" s="56">
        <f>VLOOKUP(B610,'Player Data'!$A1:$AE667,13,FALSE)*$Q610</f>
        <v>0.44355598661610257</v>
      </c>
      <c r="Z610" s="56">
        <f>VLOOKUP(B610,'Player Data'!$A1:$AE667,14,FALSE)*$Q610</f>
        <v>0.54664158293851406</v>
      </c>
      <c r="AA610" s="56">
        <f>VLOOKUP(B610,'Player Data'!$A1:$AE667,15,FALSE)*$Q610</f>
        <v>29.348779049197482</v>
      </c>
      <c r="AB610" s="56">
        <f>VLOOKUP(B610,'Player Data'!$A1:$AE667,16,FALSE)*$Q610</f>
        <v>150.99301202116015</v>
      </c>
      <c r="AC610" s="56">
        <f>VLOOKUP(B610,'Player Data'!$A1:$AE667,17,FALSE)*$Q610*IFERROR((VLOOKUP(P610,Settings!$E$28:$F$33,2,FALSE)+1),1)</f>
        <v>2.9736817375935769</v>
      </c>
      <c r="AD610" s="56">
        <f>VLOOKUP(B610,'Player Data'!$A1:$AE667,18,FALSE)*$Q610</f>
        <v>25.942444468979925</v>
      </c>
      <c r="AE610" s="56">
        <f>VLOOKUP(B610,'Player Data'!$A1:$AE667,19,FALSE)*$Q610*IFERROR((VLOOKUP(P610,Settings!$E$28:$F$33,2,FALSE)+1),1)</f>
        <v>1.0792895808677381</v>
      </c>
      <c r="AF610" s="56">
        <f>VLOOKUP(B610,'Player Data'!$A1:$AE667,20,FALSE)*$Q610</f>
        <v>149.4190452653927</v>
      </c>
      <c r="AG610" s="56">
        <f>VLOOKUP(B610,'Player Data'!$A1:$AE667,21,FALSE)*$Q610</f>
        <v>180.15126268502908</v>
      </c>
      <c r="AH610" s="58">
        <f>VLOOKUP(B610,'Player Data'!$A1:$AE667,22,FALSE)</f>
        <v>0.4533753243568</v>
      </c>
      <c r="AI610" s="54"/>
      <c r="AJ610" s="56"/>
      <c r="AK610" s="56"/>
      <c r="AL610" s="56"/>
      <c r="AM610" s="56"/>
      <c r="AN610" s="56"/>
      <c r="AO610" s="56"/>
      <c r="AP610" s="56"/>
      <c r="AQ610" s="59"/>
      <c r="AR610" s="60"/>
      <c r="AS610" s="54"/>
    </row>
    <row r="611" spans="1:45" ht="21.25" customHeight="1" x14ac:dyDescent="0.15">
      <c r="A611" s="45">
        <f>RANK(K611,K$1:K$665)</f>
        <v>610</v>
      </c>
      <c r="B611" s="9" t="s">
        <v>736</v>
      </c>
      <c r="C611" s="46" t="s">
        <v>127</v>
      </c>
      <c r="D611" s="47" t="str">
        <f>VLOOKUP(B611,'Player Data'!A1:D667,4,FALSE)</f>
        <v>C</v>
      </c>
      <c r="E611" s="48">
        <f>VLOOKUP(B611,'C'!A1:C206,3,FALSE)</f>
        <v>173</v>
      </c>
      <c r="F611" s="65" t="str">
        <f>VLOOKUP(B611,'Player Data'!A1:B667,2,FALSE)</f>
        <v>FLA</v>
      </c>
      <c r="G611" s="10">
        <f>VLOOKUP(B611,'Player Data'!A1:D667,3,FALSE)</f>
        <v>25</v>
      </c>
      <c r="H611" s="67">
        <f>IFERROR(VLOOKUP(B611,ADP!A1:G665,7,FALSE)/1000000,VLOOKUP(B611,ADP!A1:G665,7,FALSE))</f>
        <v>0.77500000000000002</v>
      </c>
      <c r="I611" s="51">
        <f>IF(Settings!$E$15="POINTS",((R611*Q611)*Settings!$B$12)+(S611*Settings!$B$2)+(T611*Settings!$B$3)+(U611*Settings!$B$4)+(V611*Settings!$B$5)+(X611*Settings!$B$9)+(AA611*Settings!$B$6)+(W611*Settings!$B$8)+(AB611*Settings!$B$7)+(AC611*Settings!$B$14)+(AD611*Settings!$B$15)+(AE611*Settings!$B$16)+(AF611*Settings!$B$17)+(AG611*Settings!$B$18)+(Y611*Settings!$B$10)+(Z611*Settings!$B$11),VLOOKUP(B611,'Standard Deviations'!A1:C666,3,FALSE))</f>
        <v>124.72025617697237</v>
      </c>
      <c r="J611" s="52">
        <f>IF(D611="G",I611/AJ611,I611/Q611)</f>
        <v>1.7426940465570597</v>
      </c>
      <c r="K611" s="51">
        <f>IF(Settings!$E$18="C/LW/RW",VLOOKUP(B611,'C'!A1:F206,6,FALSE),VLOOKUP(B611,F!A1:F392,6,FALSE))</f>
        <v>-265.2169016011087</v>
      </c>
      <c r="L611" s="53">
        <f>IFERROR(K611/H611,"N/A")</f>
        <v>-342.2153569046564</v>
      </c>
      <c r="M611" s="83" t="str">
        <f>IF(Settings!$E$9="YAHOO",VLOOKUP(B611,ADP!A1:E665,2,FALSE),IF(Settings!$E$9="ESPN",VLOOKUP(B611,ADP!A1:E665,3,FALSE),IF(Settings!$E$9="FANTRAX",VLOOKUP(B611,ADP!A1:E665,4,FALSE),VLOOKUP(B611,ADP!A1:E665,5,FALSE))))</f>
        <v>—</v>
      </c>
      <c r="N611" s="83" t="str">
        <f>IFERROR(M611-A611,"N/A")</f>
        <v>N/A</v>
      </c>
      <c r="O611" s="54"/>
      <c r="P611" s="55" t="str">
        <f>IF(Settings!$E$27="ON",VLOOKUP(B611,ADP!A1:H665,8,FALSE)," ")</f>
        <v xml:space="preserve"> </v>
      </c>
      <c r="Q611" s="56">
        <f>IF(Settings!$E$12="YES",VLOOKUP(B611,'Player Data'!A1:E667,5,FALSE),82)</f>
        <v>71.567499999999995</v>
      </c>
      <c r="R611" s="54">
        <f>VLOOKUP(B611,'Player Data'!$A1:$AE667,6,FALSE)</f>
        <v>11.096462740070701</v>
      </c>
      <c r="S611" s="56">
        <f>VLOOKUP(B611,'Player Data'!$A1:$AE667,7,FALSE)*$Q611*IFERROR((VLOOKUP(P611,Settings!$E$28:$F$33,2,FALSE)+1),1)</f>
        <v>10.951001862787601</v>
      </c>
      <c r="T611" s="56">
        <f>VLOOKUP(B611,'Player Data'!$A1:$AE667,8,FALSE)*$Q611*IFERROR((VLOOKUP(P611,Settings!$E$28:$F$33,2,FALSE)+1),1)</f>
        <v>13.588811331344704</v>
      </c>
      <c r="U611" s="56">
        <f>SUM(S611:T611)</f>
        <v>24.539813194132307</v>
      </c>
      <c r="V611" s="56">
        <f>VLOOKUP(B611,'Player Data'!$A1:$AE667,10,FALSE)*$Q611*IFERROR(((VLOOKUP(P611,Settings!$E$28:$F$33,2,FALSE)/2)+1),1)</f>
        <v>77.803252405779773</v>
      </c>
      <c r="W611" s="56">
        <f>VLOOKUP(B611,'Player Data'!$A1:$AE667,11,FALSE)*$Q611*IFERROR((VLOOKUP(P611,Settings!$E$28:$F$33,2,FALSE)+1),1)</f>
        <v>6.3557785728647315E-2</v>
      </c>
      <c r="X611" s="56">
        <f>VLOOKUP(B611,'Player Data'!$A1:$AE667,12,FALSE)*$Q611*IFERROR((VLOOKUP(P611,Settings!$E$28:$F$33,2,FALSE)+1),1)</f>
        <v>0.16488307118962167</v>
      </c>
      <c r="Y611" s="56">
        <f>VLOOKUP(B611,'Player Data'!$A1:$AE667,13,FALSE)*$Q611</f>
        <v>4.099031961821667E-2</v>
      </c>
      <c r="Z611" s="56">
        <f>VLOOKUP(B611,'Player Data'!$A1:$AE667,14,FALSE)*$Q611</f>
        <v>6.9465464629258469E-2</v>
      </c>
      <c r="AA611" s="56">
        <f>VLOOKUP(B611,'Player Data'!$A1:$AE667,15,FALSE)*$Q611</f>
        <v>23.929683711733375</v>
      </c>
      <c r="AB611" s="56">
        <f>VLOOKUP(B611,'Player Data'!$A1:$AE667,16,FALSE)*$Q611</f>
        <v>89.045686467599097</v>
      </c>
      <c r="AC611" s="56">
        <f>VLOOKUP(B611,'Player Data'!$A1:$AE667,17,FALSE)*$Q611*IFERROR((VLOOKUP(P611,Settings!$E$28:$F$33,2,FALSE)+1),1)</f>
        <v>3.0294021766176806</v>
      </c>
      <c r="AD611" s="56">
        <f>VLOOKUP(B611,'Player Data'!$A1:$AE667,18,FALSE)*$Q611</f>
        <v>13.844626104554543</v>
      </c>
      <c r="AE611" s="56">
        <f>VLOOKUP(B611,'Player Data'!$A1:$AE667,19,FALSE)*$Q611*IFERROR((VLOOKUP(P611,Settings!$E$28:$F$33,2,FALSE)+1),1)</f>
        <v>1.8656316285904631</v>
      </c>
      <c r="AF611" s="56">
        <f>VLOOKUP(B611,'Player Data'!$A1:$AE667,20,FALSE)*$Q611</f>
        <v>91.432783523647544</v>
      </c>
      <c r="AG611" s="56">
        <f>VLOOKUP(B611,'Player Data'!$A1:$AE667,21,FALSE)*$Q611</f>
        <v>169.24936627753323</v>
      </c>
      <c r="AH611" s="58">
        <f>VLOOKUP(B611,'Player Data'!$A1:$AE667,22,FALSE)</f>
        <v>0.35074432059649002</v>
      </c>
      <c r="AI611" s="54"/>
      <c r="AJ611" s="56"/>
      <c r="AK611" s="56"/>
      <c r="AL611" s="56"/>
      <c r="AM611" s="56"/>
      <c r="AN611" s="56"/>
      <c r="AO611" s="56"/>
      <c r="AP611" s="56"/>
      <c r="AQ611" s="59"/>
      <c r="AR611" s="60"/>
      <c r="AS611" s="54"/>
    </row>
    <row r="612" spans="1:45" ht="21.25" customHeight="1" x14ac:dyDescent="0.15">
      <c r="A612" s="45">
        <f>RANK(K612,K$1:K$665)</f>
        <v>611</v>
      </c>
      <c r="B612" s="9" t="s">
        <v>737</v>
      </c>
      <c r="C612" s="46" t="s">
        <v>127</v>
      </c>
      <c r="D612" s="47" t="str">
        <f>VLOOKUP(B612,'Player Data'!A1:D667,4,FALSE)</f>
        <v>C</v>
      </c>
      <c r="E612" s="48">
        <f>VLOOKUP(B612,'C'!A1:C206,3,FALSE)</f>
        <v>174</v>
      </c>
      <c r="F612" s="55" t="str">
        <f>VLOOKUP(B612,'Player Data'!A1:B667,2,FALSE)</f>
        <v>VGK</v>
      </c>
      <c r="G612" s="10">
        <f>VLOOKUP(B612,'Player Data'!A1:D667,3,FALSE)</f>
        <v>26</v>
      </c>
      <c r="H612" s="67">
        <f>IFERROR(VLOOKUP(B612,ADP!A1:G665,7,FALSE)/1000000,VLOOKUP(B612,ADP!A1:G665,7,FALSE))</f>
        <v>1.9</v>
      </c>
      <c r="I612" s="51">
        <f>IF(Settings!$E$15="POINTS",((R612*Q612)*Settings!$B$12)+(S612*Settings!$B$2)+(T612*Settings!$B$3)+(U612*Settings!$B$4)+(V612*Settings!$B$5)+(X612*Settings!$B$9)+(AA612*Settings!$B$6)+(W612*Settings!$B$8)+(AB612*Settings!$B$7)+(AC612*Settings!$B$14)+(AD612*Settings!$B$15)+(AE612*Settings!$B$16)+(AF612*Settings!$B$17)+(AG612*Settings!$B$18)+(Y612*Settings!$B$10)+(Z612*Settings!$B$11),VLOOKUP(B612,'Standard Deviations'!A1:C666,3,FALSE))</f>
        <v>124.69339929263968</v>
      </c>
      <c r="J612" s="52">
        <f>IF(D612="G",I612/AJ612,I612/Q612)</f>
        <v>1.7103545613145832</v>
      </c>
      <c r="K612" s="51">
        <f>IF(Settings!$E$18="C/LW/RW",VLOOKUP(B612,'C'!A1:F206,6,FALSE),VLOOKUP(B612,F!A1:F392,6,FALSE))</f>
        <v>-265.24375848544139</v>
      </c>
      <c r="L612" s="53">
        <f>IFERROR(K612/H612,"N/A")</f>
        <v>-139.60197815023233</v>
      </c>
      <c r="M612" s="83" t="str">
        <f>IF(Settings!$E$9="YAHOO",VLOOKUP(B612,ADP!A1:E665,2,FALSE),IF(Settings!$E$9="ESPN",VLOOKUP(B612,ADP!A1:E665,3,FALSE),IF(Settings!$E$9="FANTRAX",VLOOKUP(B612,ADP!A1:E665,4,FALSE),VLOOKUP(B612,ADP!A1:E665,5,FALSE))))</f>
        <v>—</v>
      </c>
      <c r="N612" s="83" t="str">
        <f>IFERROR(M612-A612,"N/A")</f>
        <v>N/A</v>
      </c>
      <c r="O612" s="54"/>
      <c r="P612" s="55" t="str">
        <f>IF(Settings!$E$27="ON",VLOOKUP(B612,ADP!A1:H665,8,FALSE)," ")</f>
        <v xml:space="preserve"> </v>
      </c>
      <c r="Q612" s="56">
        <f>IF(Settings!$E$12="YES",VLOOKUP(B612,'Player Data'!A1:E667,5,FALSE),82)</f>
        <v>72.905000000000001</v>
      </c>
      <c r="R612" s="54">
        <f>VLOOKUP(B612,'Player Data'!$A1:$AE667,6,FALSE)</f>
        <v>12.4523708187329</v>
      </c>
      <c r="S612" s="56">
        <f>VLOOKUP(B612,'Player Data'!$A1:$AE667,7,FALSE)*$Q612*IFERROR((VLOOKUP(P612,Settings!$E$28:$F$33,2,FALSE)+1),1)</f>
        <v>8.9909610222715948</v>
      </c>
      <c r="T612" s="56">
        <f>VLOOKUP(B612,'Player Data'!$A1:$AE667,8,FALSE)*$Q612*IFERROR((VLOOKUP(P612,Settings!$E$28:$F$33,2,FALSE)+1),1)</f>
        <v>12.008901488371839</v>
      </c>
      <c r="U612" s="56">
        <f>SUM(S612:T612)</f>
        <v>20.999862510643432</v>
      </c>
      <c r="V612" s="56">
        <f>VLOOKUP(B612,'Player Data'!$A1:$AE667,10,FALSE)*$Q612*IFERROR(((VLOOKUP(P612,Settings!$E$28:$F$33,2,FALSE)/2)+1),1)</f>
        <v>74.275677796621849</v>
      </c>
      <c r="W612" s="56">
        <f>VLOOKUP(B612,'Player Data'!$A1:$AE667,11,FALSE)*$Q612*IFERROR((VLOOKUP(P612,Settings!$E$28:$F$33,2,FALSE)+1),1)</f>
        <v>8.6634900971217593E-2</v>
      </c>
      <c r="X612" s="56">
        <f>VLOOKUP(B612,'Player Data'!$A1:$AE667,12,FALSE)*$Q612*IFERROR((VLOOKUP(P612,Settings!$E$28:$F$33,2,FALSE)+1),1)</f>
        <v>0.17651587178907285</v>
      </c>
      <c r="Y612" s="56">
        <f>VLOOKUP(B612,'Player Data'!$A1:$AE667,13,FALSE)*$Q612</f>
        <v>0.70705504663703012</v>
      </c>
      <c r="Z612" s="56">
        <f>VLOOKUP(B612,'Player Data'!$A1:$AE667,14,FALSE)*$Q612</f>
        <v>1.212499703833728</v>
      </c>
      <c r="AA612" s="56">
        <f>VLOOKUP(B612,'Player Data'!$A1:$AE667,15,FALSE)*$Q612</f>
        <v>46.333914573551326</v>
      </c>
      <c r="AB612" s="56">
        <f>VLOOKUP(B612,'Player Data'!$A1:$AE667,16,FALSE)*$Q612</f>
        <v>92.798921906354295</v>
      </c>
      <c r="AC612" s="56">
        <f>VLOOKUP(B612,'Player Data'!$A1:$AE667,17,FALSE)*$Q612*IFERROR((VLOOKUP(P612,Settings!$E$28:$F$33,2,FALSE)+1),1)</f>
        <v>0.41927621360886941</v>
      </c>
      <c r="AD612" s="56">
        <f>VLOOKUP(B612,'Player Data'!$A1:$AE667,18,FALSE)*$Q612</f>
        <v>36.333092689126211</v>
      </c>
      <c r="AE612" s="56">
        <f>VLOOKUP(B612,'Player Data'!$A1:$AE667,19,FALSE)*$Q612*IFERROR((VLOOKUP(P612,Settings!$E$28:$F$33,2,FALSE)+1),1)</f>
        <v>1.3675367604766635</v>
      </c>
      <c r="AF612" s="56">
        <f>VLOOKUP(B612,'Player Data'!$A1:$AE667,20,FALSE)*$Q612</f>
        <v>170.22321199786231</v>
      </c>
      <c r="AG612" s="56">
        <f>VLOOKUP(B612,'Player Data'!$A1:$AE667,21,FALSE)*$Q612</f>
        <v>187.15192050776582</v>
      </c>
      <c r="AH612" s="58">
        <f>VLOOKUP(B612,'Player Data'!$A1:$AE667,22,FALSE)</f>
        <v>0.47631521198577498</v>
      </c>
      <c r="AI612" s="54"/>
      <c r="AJ612" s="56"/>
      <c r="AK612" s="56"/>
      <c r="AL612" s="56"/>
      <c r="AM612" s="56"/>
      <c r="AN612" s="56"/>
      <c r="AO612" s="56"/>
      <c r="AP612" s="56"/>
      <c r="AQ612" s="59"/>
      <c r="AR612" s="60"/>
      <c r="AS612" s="54"/>
    </row>
    <row r="613" spans="1:45" ht="21.25" customHeight="1" x14ac:dyDescent="0.15">
      <c r="A613" s="45">
        <f>RANK(K613,K$1:K$665)</f>
        <v>612</v>
      </c>
      <c r="B613" s="9" t="s">
        <v>738</v>
      </c>
      <c r="C613" s="46" t="s">
        <v>127</v>
      </c>
      <c r="D613" s="47" t="str">
        <f>VLOOKUP(B613,'Player Data'!A1:D667,4,FALSE)</f>
        <v>C</v>
      </c>
      <c r="E613" s="48">
        <f>VLOOKUP(B613,'C'!A1:C206,3,FALSE)</f>
        <v>175</v>
      </c>
      <c r="F613" s="77" t="str">
        <f>VLOOKUP(B613,'Player Data'!A1:B667,2,FALSE)</f>
        <v>S.J</v>
      </c>
      <c r="G613" s="10">
        <f>VLOOKUP(B613,'Player Data'!A1:D667,3,FALSE)</f>
        <v>29</v>
      </c>
      <c r="H613" s="67">
        <f>IFERROR(VLOOKUP(B613,ADP!A1:G665,7,FALSE)/1000000,VLOOKUP(B613,ADP!A1:G665,7,FALSE))</f>
        <v>2</v>
      </c>
      <c r="I613" s="51">
        <f>IF(Settings!$E$15="POINTS",((R613*Q613)*Settings!$B$12)+(S613*Settings!$B$2)+(T613*Settings!$B$3)+(U613*Settings!$B$4)+(V613*Settings!$B$5)+(X613*Settings!$B$9)+(AA613*Settings!$B$6)+(W613*Settings!$B$8)+(AB613*Settings!$B$7)+(AC613*Settings!$B$14)+(AD613*Settings!$B$15)+(AE613*Settings!$B$16)+(AF613*Settings!$B$17)+(AG613*Settings!$B$18)+(Y613*Settings!$B$10)+(Z613*Settings!$B$11),VLOOKUP(B613,'Standard Deviations'!A1:C666,3,FALSE))</f>
        <v>123.96279298624145</v>
      </c>
      <c r="J613" s="52">
        <f>IF(D613="G",I613/AJ613,I613/Q613)</f>
        <v>1.6149925803503431</v>
      </c>
      <c r="K613" s="51">
        <f>IF(Settings!$E$18="C/LW/RW",VLOOKUP(B613,'C'!A1:F206,6,FALSE),VLOOKUP(B613,F!A1:F392,6,FALSE))</f>
        <v>-265.97436479183966</v>
      </c>
      <c r="L613" s="53">
        <f>IFERROR(K613/H613,"N/A")</f>
        <v>-132.98718239591983</v>
      </c>
      <c r="M613" s="83" t="str">
        <f>IF(Settings!$E$9="YAHOO",VLOOKUP(B613,ADP!A1:E665,2,FALSE),IF(Settings!$E$9="ESPN",VLOOKUP(B613,ADP!A1:E665,3,FALSE),IF(Settings!$E$9="FANTRAX",VLOOKUP(B613,ADP!A1:E665,4,FALSE),VLOOKUP(B613,ADP!A1:E665,5,FALSE))))</f>
        <v>—</v>
      </c>
      <c r="N613" s="83" t="str">
        <f>IFERROR(M613-A613,"N/A")</f>
        <v>N/A</v>
      </c>
      <c r="O613" s="54"/>
      <c r="P613" s="55" t="str">
        <f>IF(Settings!$E$27="ON",VLOOKUP(B613,ADP!A1:H665,8,FALSE)," ")</f>
        <v xml:space="preserve"> </v>
      </c>
      <c r="Q613" s="56">
        <f>IF(Settings!$E$12="YES",VLOOKUP(B613,'Player Data'!A1:E667,5,FALSE),82)</f>
        <v>76.757499999999993</v>
      </c>
      <c r="R613" s="81">
        <f>VLOOKUP(B613,'Player Data'!$A1:$AE667,6,FALSE)</f>
        <v>12.7847497152593</v>
      </c>
      <c r="S613" s="56">
        <f>VLOOKUP(B613,'Player Data'!$A1:$AE667,7,FALSE)*$Q613*IFERROR((VLOOKUP(P613,Settings!$E$28:$F$33,2,FALSE)+1),1)</f>
        <v>8.525140308281923</v>
      </c>
      <c r="T613" s="56">
        <f>VLOOKUP(B613,'Player Data'!$A1:$AE667,8,FALSE)*$Q613*IFERROR((VLOOKUP(P613,Settings!$E$28:$F$33,2,FALSE)+1),1)</f>
        <v>10.727702869127226</v>
      </c>
      <c r="U613" s="56">
        <f>SUM(S613:T613)</f>
        <v>19.252843177409147</v>
      </c>
      <c r="V613" s="56">
        <f>VLOOKUP(B613,'Player Data'!$A1:$AE667,10,FALSE)*$Q613*IFERROR(((VLOOKUP(P613,Settings!$E$28:$F$33,2,FALSE)/2)+1),1)</f>
        <v>89.659324309775002</v>
      </c>
      <c r="W613" s="56">
        <f>VLOOKUP(B613,'Player Data'!$A1:$AE667,11,FALSE)*$Q613*IFERROR((VLOOKUP(P613,Settings!$E$28:$F$33,2,FALSE)+1),1)</f>
        <v>0.16061495627509523</v>
      </c>
      <c r="X613" s="56">
        <f>VLOOKUP(B613,'Player Data'!$A1:$AE667,12,FALSE)*$Q613*IFERROR((VLOOKUP(P613,Settings!$E$28:$F$33,2,FALSE)+1),1)</f>
        <v>0.3658850936145982</v>
      </c>
      <c r="Y613" s="56">
        <f>VLOOKUP(B613,'Player Data'!$A1:$AE667,13,FALSE)*$Q613</f>
        <v>0.70783360753079583</v>
      </c>
      <c r="Z613" s="56">
        <f>VLOOKUP(B613,'Player Data'!$A1:$AE667,14,FALSE)*$Q613</f>
        <v>0.77682378525876195</v>
      </c>
      <c r="AA613" s="56">
        <f>VLOOKUP(B613,'Player Data'!$A1:$AE667,15,FALSE)*$Q613</f>
        <v>40.463784840506328</v>
      </c>
      <c r="AB613" s="56">
        <f>VLOOKUP(B613,'Player Data'!$A1:$AE667,16,FALSE)*$Q613</f>
        <v>83.162270867372527</v>
      </c>
      <c r="AC613" s="56">
        <f>VLOOKUP(B613,'Player Data'!$A1:$AE667,17,FALSE)*$Q613*IFERROR((VLOOKUP(P613,Settings!$E$28:$F$33,2,FALSE)+1),1)</f>
        <v>-9.3511348349681374</v>
      </c>
      <c r="AD613" s="56">
        <f>VLOOKUP(B613,'Player Data'!$A1:$AE667,18,FALSE)*$Q613</f>
        <v>18.870760971716273</v>
      </c>
      <c r="AE613" s="56">
        <f>VLOOKUP(B613,'Player Data'!$A1:$AE667,19,FALSE)*$Q613*IFERROR((VLOOKUP(P613,Settings!$E$28:$F$33,2,FALSE)+1),1)</f>
        <v>0.91057130127287444</v>
      </c>
      <c r="AF613" s="56">
        <f>VLOOKUP(B613,'Player Data'!$A1:$AE667,20,FALSE)*$Q613</f>
        <v>473.41926066480028</v>
      </c>
      <c r="AG613" s="56">
        <f>VLOOKUP(B613,'Player Data'!$A1:$AE667,21,FALSE)*$Q613</f>
        <v>360.44760296299575</v>
      </c>
      <c r="AH613" s="58">
        <f>VLOOKUP(B613,'Player Data'!$A1:$AE667,22,FALSE)</f>
        <v>0.56773962525043498</v>
      </c>
      <c r="AI613" s="54"/>
      <c r="AJ613" s="56"/>
      <c r="AK613" s="56"/>
      <c r="AL613" s="56"/>
      <c r="AM613" s="56"/>
      <c r="AN613" s="56"/>
      <c r="AO613" s="56"/>
      <c r="AP613" s="56"/>
      <c r="AQ613" s="59"/>
      <c r="AR613" s="60"/>
      <c r="AS613" s="54"/>
    </row>
    <row r="614" spans="1:45" ht="21.25" customHeight="1" x14ac:dyDescent="0.15">
      <c r="A614" s="45">
        <f>RANK(K614,K$1:K$665)</f>
        <v>613</v>
      </c>
      <c r="B614" s="9" t="s">
        <v>739</v>
      </c>
      <c r="C614" s="46" t="s">
        <v>127</v>
      </c>
      <c r="D614" s="47" t="str">
        <f>VLOOKUP(B614,'Player Data'!A1:D667,4,FALSE)</f>
        <v>RW</v>
      </c>
      <c r="E614" s="61">
        <f>VLOOKUP(B614,RW!A1:F136,3,FALSE)</f>
        <v>130</v>
      </c>
      <c r="F614" s="72" t="str">
        <f>VLOOKUP(B614,'Player Data'!A1:B667,2,FALSE)</f>
        <v>NYI</v>
      </c>
      <c r="G614" s="10">
        <f>VLOOKUP(B614,'Player Data'!A1:D667,3,FALSE)</f>
        <v>29</v>
      </c>
      <c r="H614" s="67">
        <f>IFERROR(VLOOKUP(B614,ADP!A1:G665,7,FALSE)/1000000,VLOOKUP(B614,ADP!A1:G665,7,FALSE))</f>
        <v>0.77500000000000002</v>
      </c>
      <c r="I614" s="51">
        <f>IF(Settings!$E$15="POINTS",((R614*Q614)*Settings!$B$12)+(S614*Settings!$B$2)+(T614*Settings!$B$3)+(U614*Settings!$B$4)+(V614*Settings!$B$5)+(X614*Settings!$B$9)+(AA614*Settings!$B$6)+(W614*Settings!$B$8)+(AB614*Settings!$B$7)+(AC614*Settings!$B$14)+(AD614*Settings!$B$15)+(AE614*Settings!$B$16)+(AF614*Settings!$B$17)+(AG614*Settings!$B$18)+(Y614*Settings!$B$10)+(Z614*Settings!$B$11),VLOOKUP(B614,'Standard Deviations'!A1:C666,3,FALSE))</f>
        <v>102.40374049134741</v>
      </c>
      <c r="J614" s="52">
        <f>IF(D614="G",I614/AJ614,I614/Q614)</f>
        <v>1.6044456011178598</v>
      </c>
      <c r="K614" s="51">
        <f>IF(Settings!$E$18="C/LW/RW",VLOOKUP(B614,RW!A1:F136,6,FALSE),VLOOKUP(B614,F!A1:F392,6,FALSE))</f>
        <v>-266.44398261494496</v>
      </c>
      <c r="L614" s="53">
        <f>IFERROR(K614/H614,"N/A")</f>
        <v>-343.79868724509026</v>
      </c>
      <c r="M614" s="83" t="str">
        <f>IF(Settings!$E$9="YAHOO",VLOOKUP(B614,ADP!A1:E665,2,FALSE),IF(Settings!$E$9="ESPN",VLOOKUP(B614,ADP!A1:E665,3,FALSE),IF(Settings!$E$9="FANTRAX",VLOOKUP(B614,ADP!A1:E665,4,FALSE),VLOOKUP(B614,ADP!A1:E665,5,FALSE))))</f>
        <v>—</v>
      </c>
      <c r="N614" s="83" t="str">
        <f>IFERROR(M614-A614,"N/A")</f>
        <v>N/A</v>
      </c>
      <c r="O614" s="54"/>
      <c r="P614" s="55" t="str">
        <f>IF(Settings!$E$27="ON",VLOOKUP(B614,ADP!A1:H665,8,FALSE)," ")</f>
        <v xml:space="preserve"> </v>
      </c>
      <c r="Q614" s="56">
        <f>IF(Settings!$E$12="YES",VLOOKUP(B614,'Player Data'!A1:E667,5,FALSE),82)</f>
        <v>63.825000000000003</v>
      </c>
      <c r="R614" s="54">
        <f>VLOOKUP(B614,'Player Data'!$A1:$AE667,6,FALSE)</f>
        <v>11.3208899608083</v>
      </c>
      <c r="S614" s="56">
        <f>VLOOKUP(B614,'Player Data'!$A1:$AE667,7,FALSE)*$Q614*IFERROR((VLOOKUP(P614,Settings!$E$28:$F$33,2,FALSE)+1),1)</f>
        <v>7.2386751451456188</v>
      </c>
      <c r="T614" s="56">
        <f>VLOOKUP(B614,'Player Data'!$A1:$AE667,8,FALSE)*$Q614*IFERROR((VLOOKUP(P614,Settings!$E$28:$F$33,2,FALSE)+1),1)</f>
        <v>10.740715033471162</v>
      </c>
      <c r="U614" s="56">
        <f>SUM(S614:T614)</f>
        <v>17.979390178616782</v>
      </c>
      <c r="V614" s="56">
        <f>VLOOKUP(B614,'Player Data'!$A1:$AE667,10,FALSE)*$Q614*IFERROR(((VLOOKUP(P614,Settings!$E$28:$F$33,2,FALSE)/2)+1),1)</f>
        <v>61.382927768315682</v>
      </c>
      <c r="W614" s="56">
        <f>VLOOKUP(B614,'Player Data'!$A1:$AE667,11,FALSE)*$Q614*IFERROR((VLOOKUP(P614,Settings!$E$28:$F$33,2,FALSE)+1),1)</f>
        <v>9.6276606195380948E-2</v>
      </c>
      <c r="X614" s="56">
        <f>VLOOKUP(B614,'Player Data'!$A1:$AE667,12,FALSE)*$Q614*IFERROR((VLOOKUP(P614,Settings!$E$28:$F$33,2,FALSE)+1),1)</f>
        <v>0.27076389185241484</v>
      </c>
      <c r="Y614" s="56">
        <f>VLOOKUP(B614,'Player Data'!$A1:$AE667,13,FALSE)*$Q614</f>
        <v>2.6174231108590806E-2</v>
      </c>
      <c r="Z614" s="56">
        <f>VLOOKUP(B614,'Player Data'!$A1:$AE667,14,FALSE)*$Q614</f>
        <v>4.4937032815487221E-2</v>
      </c>
      <c r="AA614" s="56">
        <f>VLOOKUP(B614,'Player Data'!$A1:$AE667,15,FALSE)*$Q614</f>
        <v>34.916810293342635</v>
      </c>
      <c r="AB614" s="56">
        <f>VLOOKUP(B614,'Player Data'!$A1:$AE667,16,FALSE)*$Q614</f>
        <v>59.213414110648372</v>
      </c>
      <c r="AC614" s="56">
        <f>VLOOKUP(B614,'Player Data'!$A1:$AE667,17,FALSE)*$Q614*IFERROR((VLOOKUP(P614,Settings!$E$28:$F$33,2,FALSE)+1),1)</f>
        <v>1.4775579324355679</v>
      </c>
      <c r="AD614" s="56">
        <f>VLOOKUP(B614,'Player Data'!$A1:$AE667,18,FALSE)*$Q614</f>
        <v>13.887333263537892</v>
      </c>
      <c r="AE614" s="56">
        <f>VLOOKUP(B614,'Player Data'!$A1:$AE667,19,FALSE)*$Q614*IFERROR((VLOOKUP(P614,Settings!$E$28:$F$33,2,FALSE)+1),1)</f>
        <v>1.1376225001818054</v>
      </c>
      <c r="AF614" s="56">
        <f>VLOOKUP(B614,'Player Data'!$A1:$AE667,20,FALSE)*$Q614</f>
        <v>1.7502721885612875</v>
      </c>
      <c r="AG614" s="56">
        <f>VLOOKUP(B614,'Player Data'!$A1:$AE667,21,FALSE)*$Q614</f>
        <v>2.7145369062360425</v>
      </c>
      <c r="AH614" s="58">
        <f>VLOOKUP(B614,'Player Data'!$A1:$AE667,22,FALSE)</f>
        <v>0.39201501148186002</v>
      </c>
      <c r="AI614" s="54"/>
      <c r="AJ614" s="56"/>
      <c r="AK614" s="56"/>
      <c r="AL614" s="56"/>
      <c r="AM614" s="56"/>
      <c r="AN614" s="56"/>
      <c r="AO614" s="56"/>
      <c r="AP614" s="56"/>
      <c r="AQ614" s="59"/>
      <c r="AR614" s="60"/>
      <c r="AS614" s="54"/>
    </row>
    <row r="615" spans="1:45" ht="21.25" customHeight="1" x14ac:dyDescent="0.15">
      <c r="A615" s="45">
        <f>RANK(K615,K$1:K$665)</f>
        <v>614</v>
      </c>
      <c r="B615" s="9" t="s">
        <v>740</v>
      </c>
      <c r="C615" s="46" t="s">
        <v>127</v>
      </c>
      <c r="D615" s="47" t="str">
        <f>VLOOKUP(B615,'Player Data'!A1:D667,4,FALSE)</f>
        <v>C</v>
      </c>
      <c r="E615" s="48">
        <f>VLOOKUP(B615,'C'!A1:C206,3,FALSE)</f>
        <v>176</v>
      </c>
      <c r="F615" s="77" t="str">
        <f>VLOOKUP(B615,'Player Data'!A1:B667,2,FALSE)</f>
        <v>S.J</v>
      </c>
      <c r="G615" s="10">
        <f>VLOOKUP(B615,'Player Data'!A1:D667,3,FALSE)</f>
        <v>26</v>
      </c>
      <c r="H615" s="67">
        <f>IFERROR(VLOOKUP(B615,ADP!A1:G665,7,FALSE)/1000000,VLOOKUP(B615,ADP!A1:G665,7,FALSE))</f>
        <v>2.75</v>
      </c>
      <c r="I615" s="51">
        <f>IF(Settings!$E$15="POINTS",((R615*Q615)*Settings!$B$12)+(S615*Settings!$B$2)+(T615*Settings!$B$3)+(U615*Settings!$B$4)+(V615*Settings!$B$5)+(X615*Settings!$B$9)+(AA615*Settings!$B$6)+(W615*Settings!$B$8)+(AB615*Settings!$B$7)+(AC615*Settings!$B$14)+(AD615*Settings!$B$15)+(AE615*Settings!$B$16)+(AF615*Settings!$B$17)+(AG615*Settings!$B$18)+(Y615*Settings!$B$10)+(Z615*Settings!$B$11),VLOOKUP(B615,'Standard Deviations'!A1:C666,3,FALSE))</f>
        <v>122.90474108726656</v>
      </c>
      <c r="J615" s="52">
        <f>IF(D615="G",I615/AJ615,I615/Q615)</f>
        <v>1.6579622431844943</v>
      </c>
      <c r="K615" s="51">
        <f>IF(Settings!$E$18="C/LW/RW",VLOOKUP(B615,'C'!A1:F206,6,FALSE),VLOOKUP(B615,F!A1:F392,6,FALSE))</f>
        <v>-267.03241669081456</v>
      </c>
      <c r="L615" s="53">
        <f>IFERROR(K615/H615,"N/A")</f>
        <v>-97.102696978478022</v>
      </c>
      <c r="M615" s="83" t="str">
        <f>IF(Settings!$E$9="YAHOO",VLOOKUP(B615,ADP!A1:E665,2,FALSE),IF(Settings!$E$9="ESPN",VLOOKUP(B615,ADP!A1:E665,3,FALSE),IF(Settings!$E$9="FANTRAX",VLOOKUP(B615,ADP!A1:E665,4,FALSE),VLOOKUP(B615,ADP!A1:E665,5,FALSE))))</f>
        <v>—</v>
      </c>
      <c r="N615" s="83" t="str">
        <f>IFERROR(M615-A615,"N/A")</f>
        <v>N/A</v>
      </c>
      <c r="O615" s="54"/>
      <c r="P615" s="55" t="str">
        <f>IF(Settings!$E$27="ON",VLOOKUP(B615,ADP!A1:H665,8,FALSE)," ")</f>
        <v xml:space="preserve"> </v>
      </c>
      <c r="Q615" s="56">
        <f>IF(Settings!$E$12="YES",VLOOKUP(B615,'Player Data'!A1:E667,5,FALSE),82)</f>
        <v>74.13</v>
      </c>
      <c r="R615" s="81">
        <f>VLOOKUP(B615,'Player Data'!$A1:$AE667,6,FALSE)</f>
        <v>12.7538652974937</v>
      </c>
      <c r="S615" s="56">
        <f>VLOOKUP(B615,'Player Data'!$A1:$AE667,7,FALSE)*$Q615*IFERROR((VLOOKUP(P615,Settings!$E$28:$F$33,2,FALSE)+1),1)</f>
        <v>9.5167812810829009</v>
      </c>
      <c r="T615" s="56">
        <f>VLOOKUP(B615,'Player Data'!$A1:$AE667,8,FALSE)*$Q615*IFERROR((VLOOKUP(P615,Settings!$E$28:$F$33,2,FALSE)+1),1)</f>
        <v>8.6320635124541418</v>
      </c>
      <c r="U615" s="56">
        <f>SUM(S615:T615)</f>
        <v>18.148844793537044</v>
      </c>
      <c r="V615" s="56">
        <f>VLOOKUP(B615,'Player Data'!$A1:$AE667,10,FALSE)*$Q615*IFERROR(((VLOOKUP(P615,Settings!$E$28:$F$33,2,FALSE)/2)+1),1)</f>
        <v>87.732644561925781</v>
      </c>
      <c r="W615" s="56">
        <f>VLOOKUP(B615,'Player Data'!$A1:$AE667,11,FALSE)*$Q615*IFERROR((VLOOKUP(P615,Settings!$E$28:$F$33,2,FALSE)+1),1)</f>
        <v>1.0670491368709094</v>
      </c>
      <c r="X615" s="56">
        <f>VLOOKUP(B615,'Player Data'!$A1:$AE667,12,FALSE)*$Q615*IFERROR((VLOOKUP(P615,Settings!$E$28:$F$33,2,FALSE)+1),1)</f>
        <v>2.6748330956684421</v>
      </c>
      <c r="Y615" s="56">
        <f>VLOOKUP(B615,'Player Data'!$A1:$AE667,13,FALSE)*$Q615</f>
        <v>5.6281804910032297E-2</v>
      </c>
      <c r="Z615" s="56">
        <f>VLOOKUP(B615,'Player Data'!$A1:$AE667,14,FALSE)*$Q615</f>
        <v>9.5878200577316441E-2</v>
      </c>
      <c r="AA615" s="56">
        <f>VLOOKUP(B615,'Player Data'!$A1:$AE667,15,FALSE)*$Q615</f>
        <v>43.642346258893546</v>
      </c>
      <c r="AB615" s="56">
        <f>VLOOKUP(B615,'Player Data'!$A1:$AE667,16,FALSE)*$Q615</f>
        <v>128.56023371562947</v>
      </c>
      <c r="AC615" s="56">
        <f>VLOOKUP(B615,'Player Data'!$A1:$AE667,17,FALSE)*$Q615*IFERROR((VLOOKUP(P615,Settings!$E$28:$F$33,2,FALSE)+1),1)</f>
        <v>-10.618518964910628</v>
      </c>
      <c r="AD615" s="56">
        <f>VLOOKUP(B615,'Player Data'!$A1:$AE667,18,FALSE)*$Q615</f>
        <v>59.536721854889166</v>
      </c>
      <c r="AE615" s="56">
        <f>VLOOKUP(B615,'Player Data'!$A1:$AE667,19,FALSE)*$Q615*IFERROR((VLOOKUP(P615,Settings!$E$28:$F$33,2,FALSE)+1),1)</f>
        <v>1.016488597451765</v>
      </c>
      <c r="AF615" s="56">
        <f>VLOOKUP(B615,'Player Data'!$A1:$AE667,20,FALSE)*$Q615</f>
        <v>137.13750544706488</v>
      </c>
      <c r="AG615" s="56">
        <f>VLOOKUP(B615,'Player Data'!$A1:$AE667,21,FALSE)*$Q615</f>
        <v>172.02190367500896</v>
      </c>
      <c r="AH615" s="58">
        <f>VLOOKUP(B615,'Player Data'!$A1:$AE667,22,FALSE)</f>
        <v>0.44358185906907099</v>
      </c>
      <c r="AI615" s="54"/>
      <c r="AJ615" s="56"/>
      <c r="AK615" s="56"/>
      <c r="AL615" s="56"/>
      <c r="AM615" s="56"/>
      <c r="AN615" s="56"/>
      <c r="AO615" s="56"/>
      <c r="AP615" s="56"/>
      <c r="AQ615" s="59"/>
      <c r="AR615" s="60"/>
      <c r="AS615" s="54"/>
    </row>
    <row r="616" spans="1:45" ht="21.25" customHeight="1" x14ac:dyDescent="0.15">
      <c r="A616" s="45">
        <f>RANK(K616,K$1:K$665)</f>
        <v>615</v>
      </c>
      <c r="B616" s="9" t="s">
        <v>741</v>
      </c>
      <c r="C616" s="46" t="s">
        <v>127</v>
      </c>
      <c r="D616" s="47" t="str">
        <f>VLOOKUP(B616,'Player Data'!A1:D667,4,FALSE)</f>
        <v>C</v>
      </c>
      <c r="E616" s="48">
        <f>VLOOKUP(B616,'C'!A1:C206,3,FALSE)</f>
        <v>177</v>
      </c>
      <c r="F616" s="62" t="str">
        <f>VLOOKUP(B616,'Player Data'!A1:B667,2,FALSE)</f>
        <v>OTT</v>
      </c>
      <c r="G616" s="10">
        <f>VLOOKUP(B616,'Player Data'!A1:D667,3,FALSE)</f>
        <v>26</v>
      </c>
      <c r="H616" s="67">
        <f>IFERROR(VLOOKUP(B616,ADP!A1:G665,7,FALSE)/1000000,VLOOKUP(B616,ADP!A1:G665,7,FALSE))</f>
        <v>0.85</v>
      </c>
      <c r="I616" s="51">
        <f>IF(Settings!$E$15="POINTS",((R616*Q616)*Settings!$B$12)+(S616*Settings!$B$2)+(T616*Settings!$B$3)+(U616*Settings!$B$4)+(V616*Settings!$B$5)+(X616*Settings!$B$9)+(AA616*Settings!$B$6)+(W616*Settings!$B$8)+(AB616*Settings!$B$7)+(AC616*Settings!$B$14)+(AD616*Settings!$B$15)+(AE616*Settings!$B$16)+(AF616*Settings!$B$17)+(AG616*Settings!$B$18)+(Y616*Settings!$B$10)+(Z616*Settings!$B$11),VLOOKUP(B616,'Standard Deviations'!A1:C666,3,FALSE))</f>
        <v>122.50286411668114</v>
      </c>
      <c r="J616" s="52">
        <f>IF(D616="G",I616/AJ616,I616/Q616)</f>
        <v>1.6707973829334581</v>
      </c>
      <c r="K616" s="51">
        <f>IF(Settings!$E$18="C/LW/RW",VLOOKUP(B616,'C'!A1:F206,6,FALSE),VLOOKUP(B616,F!A1:F392,6,FALSE))</f>
        <v>-267.43429366139992</v>
      </c>
      <c r="L616" s="53">
        <f>IFERROR(K616/H616,"N/A")</f>
        <v>-314.62858077811757</v>
      </c>
      <c r="M616" s="83" t="str">
        <f>IF(Settings!$E$9="YAHOO",VLOOKUP(B616,ADP!A1:E665,2,FALSE),IF(Settings!$E$9="ESPN",VLOOKUP(B616,ADP!A1:E665,3,FALSE),IF(Settings!$E$9="FANTRAX",VLOOKUP(B616,ADP!A1:E665,4,FALSE),VLOOKUP(B616,ADP!A1:E665,5,FALSE))))</f>
        <v>—</v>
      </c>
      <c r="N616" s="83" t="str">
        <f>IFERROR(M616-A616,"N/A")</f>
        <v>N/A</v>
      </c>
      <c r="O616" s="54"/>
      <c r="P616" s="55" t="str">
        <f>IF(Settings!$E$27="ON",VLOOKUP(B616,ADP!A1:H665,8,FALSE)," ")</f>
        <v xml:space="preserve"> </v>
      </c>
      <c r="Q616" s="56">
        <f>IF(Settings!$E$12="YES",VLOOKUP(B616,'Player Data'!A1:E667,5,FALSE),82)</f>
        <v>73.319999999999993</v>
      </c>
      <c r="R616" s="54">
        <f>VLOOKUP(B616,'Player Data'!$A1:$AE667,6,FALSE)</f>
        <v>11.647382540528101</v>
      </c>
      <c r="S616" s="56">
        <f>VLOOKUP(B616,'Player Data'!$A1:$AE667,7,FALSE)*$Q616*IFERROR((VLOOKUP(P616,Settings!$E$28:$F$33,2,FALSE)+1),1)</f>
        <v>6.4495779663032584</v>
      </c>
      <c r="T616" s="56">
        <f>VLOOKUP(B616,'Player Data'!$A1:$AE667,8,FALSE)*$Q616*IFERROR((VLOOKUP(P616,Settings!$E$28:$F$33,2,FALSE)+1),1)</f>
        <v>7.4202065637781116</v>
      </c>
      <c r="U616" s="56">
        <f>SUM(S616:T616)</f>
        <v>13.86978453008137</v>
      </c>
      <c r="V616" s="56">
        <f>VLOOKUP(B616,'Player Data'!$A1:$AE667,10,FALSE)*$Q616*IFERROR(((VLOOKUP(P616,Settings!$E$28:$F$33,2,FALSE)/2)+1),1)</f>
        <v>123.82242105261173</v>
      </c>
      <c r="W616" s="56">
        <f>VLOOKUP(B616,'Player Data'!$A1:$AE667,11,FALSE)*$Q616*IFERROR((VLOOKUP(P616,Settings!$E$28:$F$33,2,FALSE)+1),1)</f>
        <v>6.3068372736110268E-2</v>
      </c>
      <c r="X616" s="56">
        <f>VLOOKUP(B616,'Player Data'!$A1:$AE667,12,FALSE)*$Q616*IFERROR((VLOOKUP(P616,Settings!$E$28:$F$33,2,FALSE)+1),1)</f>
        <v>0.14000762100900546</v>
      </c>
      <c r="Y616" s="56">
        <f>VLOOKUP(B616,'Player Data'!$A1:$AE667,13,FALSE)*$Q616</f>
        <v>0.17101726492821542</v>
      </c>
      <c r="Z616" s="56">
        <f>VLOOKUP(B616,'Player Data'!$A1:$AE667,14,FALSE)*$Q616</f>
        <v>0.72444243171705924</v>
      </c>
      <c r="AA616" s="56">
        <f>VLOOKUP(B616,'Player Data'!$A1:$AE667,15,FALSE)*$Q616</f>
        <v>36.235699894810189</v>
      </c>
      <c r="AB616" s="56">
        <f>VLOOKUP(B616,'Player Data'!$A1:$AE667,16,FALSE)*$Q616</f>
        <v>142.15654959214626</v>
      </c>
      <c r="AC616" s="56">
        <f>VLOOKUP(B616,'Player Data'!$A1:$AE667,17,FALSE)*$Q616*IFERROR((VLOOKUP(P616,Settings!$E$28:$F$33,2,FALSE)+1),1)</f>
        <v>2.6795924653024619</v>
      </c>
      <c r="AD616" s="56">
        <f>VLOOKUP(B616,'Player Data'!$A1:$AE667,18,FALSE)*$Q616</f>
        <v>25.072903131626258</v>
      </c>
      <c r="AE616" s="56">
        <f>VLOOKUP(B616,'Player Data'!$A1:$AE667,19,FALSE)*$Q616*IFERROR((VLOOKUP(P616,Settings!$E$28:$F$33,2,FALSE)+1),1)</f>
        <v>1.0013888164534988</v>
      </c>
      <c r="AF616" s="56">
        <f>VLOOKUP(B616,'Player Data'!$A1:$AE667,20,FALSE)*$Q616</f>
        <v>12.171179234542823</v>
      </c>
      <c r="AG616" s="56">
        <f>VLOOKUP(B616,'Player Data'!$A1:$AE667,21,FALSE)*$Q616</f>
        <v>16.674598597938711</v>
      </c>
      <c r="AH616" s="58">
        <f>VLOOKUP(B616,'Player Data'!$A1:$AE667,22,FALSE)</f>
        <v>0.42193971350765902</v>
      </c>
      <c r="AI616" s="54"/>
      <c r="AJ616" s="64"/>
      <c r="AK616" s="56"/>
      <c r="AL616" s="56"/>
      <c r="AM616" s="56"/>
      <c r="AN616" s="56"/>
      <c r="AO616" s="56"/>
      <c r="AP616" s="56"/>
      <c r="AQ616" s="59"/>
      <c r="AR616" s="60"/>
      <c r="AS616" s="54"/>
    </row>
    <row r="617" spans="1:45" ht="21.25" customHeight="1" x14ac:dyDescent="0.15">
      <c r="A617" s="45">
        <f>RANK(K617,K$1:K$665)</f>
        <v>616</v>
      </c>
      <c r="B617" s="9" t="s">
        <v>742</v>
      </c>
      <c r="C617" s="46" t="s">
        <v>127</v>
      </c>
      <c r="D617" s="47" t="str">
        <f>VLOOKUP(B617,'Player Data'!A1:D667,4,FALSE)</f>
        <v>C</v>
      </c>
      <c r="E617" s="48">
        <f>VLOOKUP(B617,'C'!A1:C206,3,FALSE)</f>
        <v>178</v>
      </c>
      <c r="F617" s="55" t="str">
        <f>VLOOKUP(B617,'Player Data'!A1:B667,2,FALSE)</f>
        <v>VGK</v>
      </c>
      <c r="G617" s="69">
        <f>VLOOKUP(B617,'Player Data'!A1:D667,3,FALSE)</f>
        <v>22</v>
      </c>
      <c r="H617" s="67">
        <f>IFERROR(VLOOKUP(B617,ADP!A1:G665,7,FALSE)/1000000,VLOOKUP(B617,ADP!A1:G665,7,FALSE))</f>
        <v>0.92500000000000004</v>
      </c>
      <c r="I617" s="51">
        <f>IF(Settings!$E$15="POINTS",((R617*Q617)*Settings!$B$12)+(S617*Settings!$B$2)+(T617*Settings!$B$3)+(U617*Settings!$B$4)+(V617*Settings!$B$5)+(X617*Settings!$B$9)+(AA617*Settings!$B$6)+(W617*Settings!$B$8)+(AB617*Settings!$B$7)+(AC617*Settings!$B$14)+(AD617*Settings!$B$15)+(AE617*Settings!$B$16)+(AF617*Settings!$B$17)+(AG617*Settings!$B$18)+(Y617*Settings!$B$10)+(Z617*Settings!$B$11),VLOOKUP(B617,'Standard Deviations'!A1:C666,3,FALSE))</f>
        <v>122.41740080073656</v>
      </c>
      <c r="J617" s="52">
        <f>IF(D617="G",I617/AJ617,I617/Q617)</f>
        <v>2.2575823107558608</v>
      </c>
      <c r="K617" s="51">
        <f>IF(Settings!$E$18="C/LW/RW",VLOOKUP(B617,'C'!A1:F206,6,FALSE),VLOOKUP(B617,F!A1:F392,6,FALSE))</f>
        <v>-267.51975697734451</v>
      </c>
      <c r="L617" s="53">
        <f>IFERROR(K617/H617,"N/A")</f>
        <v>-289.21054808361566</v>
      </c>
      <c r="M617" s="83" t="str">
        <f>IF(Settings!$E$9="YAHOO",VLOOKUP(B617,ADP!A1:E665,2,FALSE),IF(Settings!$E$9="ESPN",VLOOKUP(B617,ADP!A1:E665,3,FALSE),IF(Settings!$E$9="FANTRAX",VLOOKUP(B617,ADP!A1:E665,4,FALSE),VLOOKUP(B617,ADP!A1:E665,5,FALSE))))</f>
        <v>—</v>
      </c>
      <c r="N617" s="83" t="str">
        <f>IFERROR(M617-A617,"N/A")</f>
        <v>N/A</v>
      </c>
      <c r="O617" s="54"/>
      <c r="P617" s="55" t="str">
        <f>IF(Settings!$E$27="ON",VLOOKUP(B617,ADP!A1:H665,8,FALSE)," ")</f>
        <v xml:space="preserve"> </v>
      </c>
      <c r="Q617" s="56">
        <f>IF(Settings!$E$12="YES",VLOOKUP(B617,'Player Data'!A1:E667,5,FALSE),82)</f>
        <v>54.225000000000001</v>
      </c>
      <c r="R617" s="54">
        <f>VLOOKUP(B617,'Player Data'!$A1:$AE667,6,FALSE)</f>
        <v>13.1980303452677</v>
      </c>
      <c r="S617" s="56">
        <f>VLOOKUP(B617,'Player Data'!$A1:$AE667,7,FALSE)*$Q617*IFERROR((VLOOKUP(P617,Settings!$E$28:$F$33,2,FALSE)+1),1)</f>
        <v>8.2911413923316637</v>
      </c>
      <c r="T617" s="56">
        <f>VLOOKUP(B617,'Player Data'!$A1:$AE667,8,FALSE)*$Q617*IFERROR((VLOOKUP(P617,Settings!$E$28:$F$33,2,FALSE)+1),1)</f>
        <v>15.694268144417915</v>
      </c>
      <c r="U617" s="56">
        <f>SUM(S617:T617)</f>
        <v>23.985409536749579</v>
      </c>
      <c r="V617" s="56">
        <f>VLOOKUP(B617,'Player Data'!$A1:$AE667,10,FALSE)*$Q617*IFERROR(((VLOOKUP(P617,Settings!$E$28:$F$33,2,FALSE)/2)+1),1)</f>
        <v>77.801987640699949</v>
      </c>
      <c r="W617" s="56">
        <f>VLOOKUP(B617,'Player Data'!$A1:$AE667,11,FALSE)*$Q617*IFERROR((VLOOKUP(P617,Settings!$E$28:$F$33,2,FALSE)+1),1)</f>
        <v>0.41519295383019633</v>
      </c>
      <c r="X617" s="56">
        <f>VLOOKUP(B617,'Player Data'!$A1:$AE667,12,FALSE)*$Q617*IFERROR((VLOOKUP(P617,Settings!$E$28:$F$33,2,FALSE)+1),1)</f>
        <v>0.88906634045540767</v>
      </c>
      <c r="Y617" s="56">
        <f>VLOOKUP(B617,'Player Data'!$A1:$AE667,13,FALSE)*$Q617</f>
        <v>2.3760751480986438E-2</v>
      </c>
      <c r="Z617" s="56">
        <f>VLOOKUP(B617,'Player Data'!$A1:$AE667,14,FALSE)*$Q617</f>
        <v>3.9496299156121129E-2</v>
      </c>
      <c r="AA617" s="56">
        <f>VLOOKUP(B617,'Player Data'!$A1:$AE667,15,FALSE)*$Q617</f>
        <v>21.263231461052619</v>
      </c>
      <c r="AB617" s="56">
        <f>VLOOKUP(B617,'Player Data'!$A1:$AE667,16,FALSE)*$Q617</f>
        <v>61.625035063985948</v>
      </c>
      <c r="AC617" s="56">
        <f>VLOOKUP(B617,'Player Data'!$A1:$AE667,17,FALSE)*$Q617*IFERROR((VLOOKUP(P617,Settings!$E$28:$F$33,2,FALSE)+1),1)</f>
        <v>0.79082640774379453</v>
      </c>
      <c r="AD617" s="56">
        <f>VLOOKUP(B617,'Player Data'!$A1:$AE667,18,FALSE)*$Q617</f>
        <v>15.548936128005131</v>
      </c>
      <c r="AE617" s="56">
        <f>VLOOKUP(B617,'Player Data'!$A1:$AE667,19,FALSE)*$Q617*IFERROR((VLOOKUP(P617,Settings!$E$28:$F$33,2,FALSE)+1),1)</f>
        <v>1.2610932927232885</v>
      </c>
      <c r="AF617" s="56">
        <f>VLOOKUP(B617,'Player Data'!$A1:$AE667,20,FALSE)*$Q617</f>
        <v>15.469617843223771</v>
      </c>
      <c r="AG617" s="56">
        <f>VLOOKUP(B617,'Player Data'!$A1:$AE667,21,FALSE)*$Q617</f>
        <v>15.469617843223824</v>
      </c>
      <c r="AH617" s="58">
        <f>VLOOKUP(B617,'Player Data'!$A1:$AE667,22,FALSE)</f>
        <v>0.5</v>
      </c>
      <c r="AI617" s="54"/>
      <c r="AJ617" s="56"/>
      <c r="AK617" s="56"/>
      <c r="AL617" s="56"/>
      <c r="AM617" s="56"/>
      <c r="AN617" s="56"/>
      <c r="AO617" s="56"/>
      <c r="AP617" s="56"/>
      <c r="AQ617" s="59"/>
      <c r="AR617" s="60"/>
      <c r="AS617" s="54"/>
    </row>
    <row r="618" spans="1:45" ht="21.25" customHeight="1" x14ac:dyDescent="0.15">
      <c r="A618" s="45">
        <f>RANK(K618,K$1:K$665)</f>
        <v>617</v>
      </c>
      <c r="B618" s="9" t="s">
        <v>743</v>
      </c>
      <c r="C618" s="46" t="s">
        <v>127</v>
      </c>
      <c r="D618" s="47" t="str">
        <f>VLOOKUP(B618,'Player Data'!A1:D667,4,FALSE)</f>
        <v>C</v>
      </c>
      <c r="E618" s="48">
        <f>VLOOKUP(B618,'C'!A1:C206,3,FALSE)</f>
        <v>179</v>
      </c>
      <c r="F618" s="65" t="str">
        <f>VLOOKUP(B618,'Player Data'!A1:B667,2,FALSE)</f>
        <v>TOR</v>
      </c>
      <c r="G618" s="10">
        <f>VLOOKUP(B618,'Player Data'!A1:D667,3,FALSE)</f>
        <v>29</v>
      </c>
      <c r="H618" s="50">
        <f>IFERROR(VLOOKUP(B618,ADP!A1:G665,7,FALSE)/1000000,VLOOKUP(B618,ADP!A1:G665,7,FALSE))</f>
        <v>2.4</v>
      </c>
      <c r="I618" s="51">
        <f>IF(Settings!$E$15="POINTS",((R618*Q618)*Settings!$B$12)+(S618*Settings!$B$2)+(T618*Settings!$B$3)+(U618*Settings!$B$4)+(V618*Settings!$B$5)+(X618*Settings!$B$9)+(AA618*Settings!$B$6)+(W618*Settings!$B$8)+(AB618*Settings!$B$7)+(AC618*Settings!$B$14)+(AD618*Settings!$B$15)+(AE618*Settings!$B$16)+(AF618*Settings!$B$17)+(AG618*Settings!$B$18)+(Y618*Settings!$B$10)+(Z618*Settings!$B$11),VLOOKUP(B618,'Standard Deviations'!A1:C666,3,FALSE))</f>
        <v>121.95901126849535</v>
      </c>
      <c r="J618" s="52">
        <f>IF(D618="G",I618/AJ618,I618/Q618)</f>
        <v>1.4997418995142076</v>
      </c>
      <c r="K618" s="51">
        <f>IF(Settings!$E$18="C/LW/RW",VLOOKUP(B618,'C'!A1:F206,6,FALSE),VLOOKUP(B618,F!A1:F392,6,FALSE))</f>
        <v>-267.97814650958571</v>
      </c>
      <c r="L618" s="53">
        <f>IFERROR(K618/H618,"N/A")</f>
        <v>-111.65756104566071</v>
      </c>
      <c r="M618" s="83" t="str">
        <f>IF(Settings!$E$9="YAHOO",VLOOKUP(B618,ADP!A1:E665,2,FALSE),IF(Settings!$E$9="ESPN",VLOOKUP(B618,ADP!A1:E665,3,FALSE),IF(Settings!$E$9="FANTRAX",VLOOKUP(B618,ADP!A1:E665,4,FALSE),VLOOKUP(B618,ADP!A1:E665,5,FALSE))))</f>
        <v>—</v>
      </c>
      <c r="N618" s="83" t="str">
        <f>IFERROR(M618-A618,"N/A")</f>
        <v>N/A</v>
      </c>
      <c r="O618" s="54"/>
      <c r="P618" s="55" t="str">
        <f>IF(Settings!$E$27="ON",VLOOKUP(B618,ADP!A1:H665,8,FALSE)," ")</f>
        <v xml:space="preserve"> </v>
      </c>
      <c r="Q618" s="56">
        <f>IF(Settings!$E$12="YES",VLOOKUP(B618,'Player Data'!A1:E667,5,FALSE),82)</f>
        <v>81.319999999999993</v>
      </c>
      <c r="R618" s="54">
        <f>VLOOKUP(B618,'Player Data'!$A1:$AE667,6,FALSE)</f>
        <v>13.413522192339901</v>
      </c>
      <c r="S618" s="56">
        <f>VLOOKUP(B618,'Player Data'!$A1:$AE667,7,FALSE)*$Q618*IFERROR((VLOOKUP(P618,Settings!$E$28:$F$33,2,FALSE)+1),1)</f>
        <v>7.4139304093730152</v>
      </c>
      <c r="T618" s="56">
        <f>VLOOKUP(B618,'Player Data'!$A1:$AE667,8,FALSE)*$Q618*IFERROR((VLOOKUP(P618,Settings!$E$28:$F$33,2,FALSE)+1),1)</f>
        <v>13.315424576762622</v>
      </c>
      <c r="U618" s="56">
        <f>SUM(S618:T618)</f>
        <v>20.729354986135636</v>
      </c>
      <c r="V618" s="56">
        <f>VLOOKUP(B618,'Player Data'!$A1:$AE667,10,FALSE)*$Q618*IFERROR(((VLOOKUP(P618,Settings!$E$28:$F$33,2,FALSE)/2)+1),1)</f>
        <v>86.071443251242286</v>
      </c>
      <c r="W618" s="56">
        <f>VLOOKUP(B618,'Player Data'!$A1:$AE667,11,FALSE)*$Q618*IFERROR((VLOOKUP(P618,Settings!$E$28:$F$33,2,FALSE)+1),1)</f>
        <v>6.2689520847180213E-2</v>
      </c>
      <c r="X618" s="56">
        <f>VLOOKUP(B618,'Player Data'!$A1:$AE667,12,FALSE)*$Q618*IFERROR((VLOOKUP(P618,Settings!$E$28:$F$33,2,FALSE)+1),1)</f>
        <v>0.14986700689659199</v>
      </c>
      <c r="Y618" s="56">
        <f>VLOOKUP(B618,'Player Data'!$A1:$AE667,13,FALSE)*$Q618</f>
        <v>0.3599807314850148</v>
      </c>
      <c r="Z618" s="56">
        <f>VLOOKUP(B618,'Player Data'!$A1:$AE667,14,FALSE)*$Q618</f>
        <v>1.2471125071534757</v>
      </c>
      <c r="AA618" s="56">
        <f>VLOOKUP(B618,'Player Data'!$A1:$AE667,15,FALSE)*$Q618</f>
        <v>30.676490340834452</v>
      </c>
      <c r="AB618" s="56">
        <f>VLOOKUP(B618,'Player Data'!$A1:$AE667,16,FALSE)*$Q618</f>
        <v>83.819935512971</v>
      </c>
      <c r="AC618" s="56">
        <f>VLOOKUP(B618,'Player Data'!$A1:$AE667,17,FALSE)*$Q618*IFERROR((VLOOKUP(P618,Settings!$E$28:$F$33,2,FALSE)+1),1)</f>
        <v>3.4753304886165455</v>
      </c>
      <c r="AD618" s="56">
        <f>VLOOKUP(B618,'Player Data'!$A1:$AE667,18,FALSE)*$Q618</f>
        <v>17.369086408307908</v>
      </c>
      <c r="AE618" s="56">
        <f>VLOOKUP(B618,'Player Data'!$A1:$AE667,19,FALSE)*$Q618*IFERROR((VLOOKUP(P618,Settings!$E$28:$F$33,2,FALSE)+1),1)</f>
        <v>1.1860959663384676</v>
      </c>
      <c r="AF618" s="56">
        <f>VLOOKUP(B618,'Player Data'!$A1:$AE667,20,FALSE)*$Q618</f>
        <v>502.09715289894348</v>
      </c>
      <c r="AG618" s="56">
        <f>VLOOKUP(B618,'Player Data'!$A1:$AE667,21,FALSE)*$Q618</f>
        <v>470.34975362435836</v>
      </c>
      <c r="AH618" s="58">
        <f>VLOOKUP(B618,'Player Data'!$A1:$AE667,22,FALSE)</f>
        <v>0.51632346149780495</v>
      </c>
      <c r="AI618" s="54"/>
      <c r="AJ618" s="56"/>
      <c r="AK618" s="56"/>
      <c r="AL618" s="56"/>
      <c r="AM618" s="56"/>
      <c r="AN618" s="56"/>
      <c r="AO618" s="56"/>
      <c r="AP618" s="56"/>
      <c r="AQ618" s="59"/>
      <c r="AR618" s="60"/>
      <c r="AS618" s="54"/>
    </row>
    <row r="619" spans="1:45" ht="21.25" customHeight="1" x14ac:dyDescent="0.15">
      <c r="A619" s="45">
        <f>RANK(K619,K$1:K$665)</f>
        <v>618</v>
      </c>
      <c r="B619" s="9" t="s">
        <v>744</v>
      </c>
      <c r="C619" s="46" t="s">
        <v>127</v>
      </c>
      <c r="D619" s="47" t="str">
        <f>VLOOKUP(B619,'Player Data'!A1:D667,4,FALSE)</f>
        <v>C</v>
      </c>
      <c r="E619" s="48">
        <f>VLOOKUP(B619,'C'!A1:C206,3,FALSE)</f>
        <v>180</v>
      </c>
      <c r="F619" s="62" t="str">
        <f>VLOOKUP(B619,'Player Data'!A1:B667,2,FALSE)</f>
        <v>MTL</v>
      </c>
      <c r="G619" s="10">
        <f>VLOOKUP(B619,'Player Data'!A1:D667,3,FALSE)</f>
        <v>28</v>
      </c>
      <c r="H619" s="67">
        <f>IFERROR(VLOOKUP(B619,ADP!A1:G665,7,FALSE)/1000000,VLOOKUP(B619,ADP!A1:G665,7,FALSE))</f>
        <v>4.45</v>
      </c>
      <c r="I619" s="51">
        <f>IF(Settings!$E$15="POINTS",((R619*Q619)*Settings!$B$12)+(S619*Settings!$B$2)+(T619*Settings!$B$3)+(U619*Settings!$B$4)+(V619*Settings!$B$5)+(X619*Settings!$B$9)+(AA619*Settings!$B$6)+(W619*Settings!$B$8)+(AB619*Settings!$B$7)+(AC619*Settings!$B$14)+(AD619*Settings!$B$15)+(AE619*Settings!$B$16)+(AF619*Settings!$B$17)+(AG619*Settings!$B$18)+(Y619*Settings!$B$10)+(Z619*Settings!$B$11),VLOOKUP(B619,'Standard Deviations'!A1:C666,3,FALSE))</f>
        <v>121.19215461373292</v>
      </c>
      <c r="J619" s="52">
        <f>IF(D619="G",I619/AJ619,I619/Q619)</f>
        <v>1.7894744129011877</v>
      </c>
      <c r="K619" s="51">
        <f>IF(Settings!$E$18="C/LW/RW",VLOOKUP(B619,'C'!A1:F206,6,FALSE),VLOOKUP(B619,F!A1:F392,6,FALSE))</f>
        <v>-268.74500316434819</v>
      </c>
      <c r="L619" s="53">
        <f>IFERROR(K619/H619,"N/A")</f>
        <v>-60.39213554255015</v>
      </c>
      <c r="M619" s="83" t="str">
        <f>IF(Settings!$E$9="YAHOO",VLOOKUP(B619,ADP!A1:E665,2,FALSE),IF(Settings!$E$9="ESPN",VLOOKUP(B619,ADP!A1:E665,3,FALSE),IF(Settings!$E$9="FANTRAX",VLOOKUP(B619,ADP!A1:E665,4,FALSE),VLOOKUP(B619,ADP!A1:E665,5,FALSE))))</f>
        <v>—</v>
      </c>
      <c r="N619" s="83" t="str">
        <f>IFERROR(M619-A619,"N/A")</f>
        <v>N/A</v>
      </c>
      <c r="O619" s="54"/>
      <c r="P619" s="55" t="str">
        <f>IF(Settings!$E$27="ON",VLOOKUP(B619,ADP!A1:H665,8,FALSE)," ")</f>
        <v xml:space="preserve"> </v>
      </c>
      <c r="Q619" s="56">
        <f>IF(Settings!$E$12="YES",VLOOKUP(B619,'Player Data'!A1:E667,5,FALSE),82)</f>
        <v>67.724999999999994</v>
      </c>
      <c r="R619" s="81">
        <f>VLOOKUP(B619,'Player Data'!$A1:$AE667,6,FALSE)</f>
        <v>13.457284149324201</v>
      </c>
      <c r="S619" s="56">
        <f>VLOOKUP(B619,'Player Data'!$A1:$AE667,7,FALSE)*$Q619*IFERROR((VLOOKUP(P619,Settings!$E$28:$F$33,2,FALSE)+1),1)</f>
        <v>8.0697304850883924</v>
      </c>
      <c r="T619" s="56">
        <f>VLOOKUP(B619,'Player Data'!$A1:$AE667,8,FALSE)*$Q619*IFERROR((VLOOKUP(P619,Settings!$E$28:$F$33,2,FALSE)+1),1)</f>
        <v>11.831258821892801</v>
      </c>
      <c r="U619" s="56">
        <f>SUM(S619:T619)</f>
        <v>19.900989306981195</v>
      </c>
      <c r="V619" s="56">
        <f>VLOOKUP(B619,'Player Data'!$A1:$AE667,10,FALSE)*$Q619*IFERROR(((VLOOKUP(P619,Settings!$E$28:$F$33,2,FALSE)/2)+1),1)</f>
        <v>71.46870730761826</v>
      </c>
      <c r="W619" s="56">
        <f>VLOOKUP(B619,'Player Data'!$A1:$AE667,11,FALSE)*$Q619*IFERROR((VLOOKUP(P619,Settings!$E$28:$F$33,2,FALSE)+1),1)</f>
        <v>0.41913964263994019</v>
      </c>
      <c r="X619" s="56">
        <f>VLOOKUP(B619,'Player Data'!$A1:$AE667,12,FALSE)*$Q619*IFERROR((VLOOKUP(P619,Settings!$E$28:$F$33,2,FALSE)+1),1)</f>
        <v>1.20846650301208</v>
      </c>
      <c r="Y619" s="56">
        <f>VLOOKUP(B619,'Player Data'!$A1:$AE667,13,FALSE)*$Q619</f>
        <v>0.47053850872734565</v>
      </c>
      <c r="Z619" s="56">
        <f>VLOOKUP(B619,'Player Data'!$A1:$AE667,14,FALSE)*$Q619</f>
        <v>0.58795316683484888</v>
      </c>
      <c r="AA619" s="56">
        <f>VLOOKUP(B619,'Player Data'!$A1:$AE667,15,FALSE)*$Q619</f>
        <v>47.9168267382666</v>
      </c>
      <c r="AB619" s="56">
        <f>VLOOKUP(B619,'Player Data'!$A1:$AE667,16,FALSE)*$Q619</f>
        <v>43.202401678918584</v>
      </c>
      <c r="AC619" s="56">
        <f>VLOOKUP(B619,'Player Data'!$A1:$AE667,17,FALSE)*$Q619*IFERROR((VLOOKUP(P619,Settings!$E$28:$F$33,2,FALSE)+1),1)</f>
        <v>-4.7263996376774777</v>
      </c>
      <c r="AD619" s="56">
        <f>VLOOKUP(B619,'Player Data'!$A1:$AE667,18,FALSE)*$Q619</f>
        <v>13.892649720336349</v>
      </c>
      <c r="AE619" s="56">
        <f>VLOOKUP(B619,'Player Data'!$A1:$AE667,19,FALSE)*$Q619*IFERROR((VLOOKUP(P619,Settings!$E$28:$F$33,2,FALSE)+1),1)</f>
        <v>0.93529203328378507</v>
      </c>
      <c r="AF619" s="56">
        <f>VLOOKUP(B619,'Player Data'!$A1:$AE667,20,FALSE)*$Q619</f>
        <v>409.63629480293901</v>
      </c>
      <c r="AG619" s="56">
        <f>VLOOKUP(B619,'Player Data'!$A1:$AE667,21,FALSE)*$Q619</f>
        <v>338.12816480907526</v>
      </c>
      <c r="AH619" s="58">
        <f>VLOOKUP(B619,'Player Data'!$A1:$AE667,22,FALSE)</f>
        <v>0.54781460864759901</v>
      </c>
      <c r="AI619" s="54"/>
      <c r="AJ619" s="56"/>
      <c r="AK619" s="56"/>
      <c r="AL619" s="56"/>
      <c r="AM619" s="56"/>
      <c r="AN619" s="56"/>
      <c r="AO619" s="56"/>
      <c r="AP619" s="56"/>
      <c r="AQ619" s="59"/>
      <c r="AR619" s="60"/>
      <c r="AS619" s="54"/>
    </row>
    <row r="620" spans="1:45" ht="21.25" customHeight="1" x14ac:dyDescent="0.15">
      <c r="A620" s="45">
        <f>RANK(K620,K$1:K$665)</f>
        <v>619</v>
      </c>
      <c r="B620" s="9" t="s">
        <v>745</v>
      </c>
      <c r="C620" s="46" t="s">
        <v>127</v>
      </c>
      <c r="D620" s="47" t="str">
        <f>VLOOKUP(B620,'Player Data'!A1:D667,4,FALSE)</f>
        <v>LW</v>
      </c>
      <c r="E620" s="70">
        <f>VLOOKUP(B620,LW!A1:C152,3,FALSE)</f>
        <v>137</v>
      </c>
      <c r="F620" s="62" t="str">
        <f>VLOOKUP(B620,'Player Data'!A1:B667,2,FALSE)</f>
        <v>MTL</v>
      </c>
      <c r="G620" s="10">
        <f>VLOOKUP(B620,'Player Data'!A1:D667,3,FALSE)</f>
        <v>25</v>
      </c>
      <c r="H620" s="67">
        <f>IFERROR(VLOOKUP(B620,ADP!A1:G665,7,FALSE)/1000000,VLOOKUP(B620,ADP!A1:G665,7,FALSE))</f>
        <v>1.1000000000000001</v>
      </c>
      <c r="I620" s="51">
        <f>IF(Settings!$E$15="POINTS",((R620*Q620)*Settings!$B$12)+(S620*Settings!$B$2)+(T620*Settings!$B$3)+(U620*Settings!$B$4)+(V620*Settings!$B$5)+(X620*Settings!$B$9)+(AA620*Settings!$B$6)+(W620*Settings!$B$8)+(AB620*Settings!$B$7)+(AC620*Settings!$B$14)+(AD620*Settings!$B$15)+(AE620*Settings!$B$16)+(AF620*Settings!$B$17)+(AG620*Settings!$B$18)+(Y620*Settings!$B$10)+(Z620*Settings!$B$11),VLOOKUP(B620,'Standard Deviations'!A1:C666,3,FALSE))</f>
        <v>112.31383254736966</v>
      </c>
      <c r="J620" s="52">
        <f>IF(D620="G",I620/AJ620,I620/Q620)</f>
        <v>1.7838210450247316</v>
      </c>
      <c r="K620" s="51">
        <f>IF(Settings!$E$18="C/LW/RW",VLOOKUP(B620,LW!A1:F152,6,FALSE),VLOOKUP(B620,F!A1:F392,6,FALSE))</f>
        <v>-268.74767975513009</v>
      </c>
      <c r="L620" s="53">
        <f>IFERROR(K620/H620,"N/A")</f>
        <v>-244.31607250466371</v>
      </c>
      <c r="M620" s="83" t="str">
        <f>IF(Settings!$E$9="YAHOO",VLOOKUP(B620,ADP!A1:E665,2,FALSE),IF(Settings!$E$9="ESPN",VLOOKUP(B620,ADP!A1:E665,3,FALSE),IF(Settings!$E$9="FANTRAX",VLOOKUP(B620,ADP!A1:E665,4,FALSE),VLOOKUP(B620,ADP!A1:E665,5,FALSE))))</f>
        <v>—</v>
      </c>
      <c r="N620" s="83" t="str">
        <f>IFERROR(M620-A620,"N/A")</f>
        <v>N/A</v>
      </c>
      <c r="O620" s="54"/>
      <c r="P620" s="55" t="str">
        <f>IF(Settings!$E$27="ON",VLOOKUP(B620,ADP!A1:H665,8,FALSE)," ")</f>
        <v xml:space="preserve"> </v>
      </c>
      <c r="Q620" s="56">
        <f>IF(Settings!$E$12="YES",VLOOKUP(B620,'Player Data'!A1:E667,5,FALSE),82)</f>
        <v>62.962499999999999</v>
      </c>
      <c r="R620" s="54">
        <f>VLOOKUP(B620,'Player Data'!$A1:$AE667,6,FALSE)</f>
        <v>12.329533596757701</v>
      </c>
      <c r="S620" s="56">
        <f>VLOOKUP(B620,'Player Data'!$A1:$AE667,7,FALSE)*$Q620*IFERROR((VLOOKUP(P620,Settings!$E$28:$F$33,2,FALSE)+1),1)</f>
        <v>8.1532566237455928</v>
      </c>
      <c r="T620" s="56">
        <f>VLOOKUP(B620,'Player Data'!$A1:$AE667,8,FALSE)*$Q620*IFERROR((VLOOKUP(P620,Settings!$E$28:$F$33,2,FALSE)+1),1)</f>
        <v>9.9569422645694274</v>
      </c>
      <c r="U620" s="56">
        <f>SUM(S620:T620)</f>
        <v>18.110198888315018</v>
      </c>
      <c r="V620" s="56">
        <f>VLOOKUP(B620,'Player Data'!$A1:$AE667,10,FALSE)*$Q620*IFERROR(((VLOOKUP(P620,Settings!$E$28:$F$33,2,FALSE)/2)+1),1)</f>
        <v>51.031802862070492</v>
      </c>
      <c r="W620" s="56">
        <f>VLOOKUP(B620,'Player Data'!$A1:$AE667,11,FALSE)*$Q620*IFERROR((VLOOKUP(P620,Settings!$E$28:$F$33,2,FALSE)+1),1)</f>
        <v>0.43003754014637152</v>
      </c>
      <c r="X620" s="56">
        <f>VLOOKUP(B620,'Player Data'!$A1:$AE667,12,FALSE)*$Q620*IFERROR((VLOOKUP(P620,Settings!$E$28:$F$33,2,FALSE)+1),1)</f>
        <v>0.67194779339171484</v>
      </c>
      <c r="Y620" s="56">
        <f>VLOOKUP(B620,'Player Data'!$A1:$AE667,13,FALSE)*$Q620</f>
        <v>0.58477633077683855</v>
      </c>
      <c r="Z620" s="56">
        <f>VLOOKUP(B620,'Player Data'!$A1:$AE667,14,FALSE)*$Q620</f>
        <v>1.4508376113911889</v>
      </c>
      <c r="AA620" s="56">
        <f>VLOOKUP(B620,'Player Data'!$A1:$AE667,15,FALSE)*$Q620</f>
        <v>60.689098093212877</v>
      </c>
      <c r="AB620" s="56">
        <f>VLOOKUP(B620,'Player Data'!$A1:$AE667,16,FALSE)*$Q620</f>
        <v>77.45388351931733</v>
      </c>
      <c r="AC620" s="56">
        <f>VLOOKUP(B620,'Player Data'!$A1:$AE667,17,FALSE)*$Q620*IFERROR((VLOOKUP(P620,Settings!$E$28:$F$33,2,FALSE)+1),1)</f>
        <v>-2.9793971856170813</v>
      </c>
      <c r="AD620" s="56">
        <f>VLOOKUP(B620,'Player Data'!$A1:$AE667,18,FALSE)*$Q620</f>
        <v>14.281989815386906</v>
      </c>
      <c r="AE620" s="56">
        <f>VLOOKUP(B620,'Player Data'!$A1:$AE667,19,FALSE)*$Q620*IFERROR((VLOOKUP(P620,Settings!$E$28:$F$33,2,FALSE)+1),1)</f>
        <v>0.94497281905493447</v>
      </c>
      <c r="AF620" s="56">
        <f>VLOOKUP(B620,'Player Data'!$A1:$AE667,20,FALSE)*$Q620</f>
        <v>7.6286487409856258</v>
      </c>
      <c r="AG620" s="56">
        <f>VLOOKUP(B620,'Player Data'!$A1:$AE667,21,FALSE)*$Q620</f>
        <v>38.289750305474492</v>
      </c>
      <c r="AH620" s="58">
        <f>VLOOKUP(B620,'Player Data'!$A1:$AE667,22,FALSE)</f>
        <v>0.166134902335488</v>
      </c>
      <c r="AI620" s="54"/>
      <c r="AJ620" s="64"/>
      <c r="AK620" s="56"/>
      <c r="AL620" s="56"/>
      <c r="AM620" s="56"/>
      <c r="AN620" s="56"/>
      <c r="AO620" s="56"/>
      <c r="AP620" s="56"/>
      <c r="AQ620" s="59"/>
      <c r="AR620" s="60"/>
      <c r="AS620" s="54"/>
    </row>
    <row r="621" spans="1:45" ht="21.25" customHeight="1" x14ac:dyDescent="0.15">
      <c r="A621" s="45">
        <f>RANK(K621,K$1:K$665)</f>
        <v>620</v>
      </c>
      <c r="B621" s="9" t="s">
        <v>746</v>
      </c>
      <c r="C621" s="46" t="s">
        <v>127</v>
      </c>
      <c r="D621" s="47" t="str">
        <f>VLOOKUP(B621,'Player Data'!A1:D667,4,FALSE)</f>
        <v>C</v>
      </c>
      <c r="E621" s="48">
        <f>VLOOKUP(B621,'C'!A1:C206,3,FALSE)</f>
        <v>181</v>
      </c>
      <c r="F621" s="77" t="str">
        <f>VLOOKUP(B621,'Player Data'!A1:B667,2,FALSE)</f>
        <v>STL</v>
      </c>
      <c r="G621" s="63">
        <f>VLOOKUP(B621,'Player Data'!A1:D667,3,FALSE)</f>
        <v>30</v>
      </c>
      <c r="H621" s="50">
        <f>IFERROR(VLOOKUP(B621,ADP!A1:G665,7,FALSE)/1000000,VLOOKUP(B621,ADP!A1:G665,7,FALSE))</f>
        <v>1.5</v>
      </c>
      <c r="I621" s="51">
        <f>IF(Settings!$E$15="POINTS",((R621*Q621)*Settings!$B$12)+(S621*Settings!$B$2)+(T621*Settings!$B$3)+(U621*Settings!$B$4)+(V621*Settings!$B$5)+(X621*Settings!$B$9)+(AA621*Settings!$B$6)+(W621*Settings!$B$8)+(AB621*Settings!$B$7)+(AC621*Settings!$B$14)+(AD621*Settings!$B$15)+(AE621*Settings!$B$16)+(AF621*Settings!$B$17)+(AG621*Settings!$B$18)+(Y621*Settings!$B$10)+(Z621*Settings!$B$11),VLOOKUP(B621,'Standard Deviations'!A1:C666,3,FALSE))</f>
        <v>120.85609505598005</v>
      </c>
      <c r="J621" s="52">
        <f>IF(D621="G",I621/AJ621,I621/Q621)</f>
        <v>1.5961975177439087</v>
      </c>
      <c r="K621" s="51">
        <f>IF(Settings!$E$18="C/LW/RW",VLOOKUP(B621,'C'!A1:F206,6,FALSE),VLOOKUP(B621,F!A1:F392,6,FALSE))</f>
        <v>-269.08106272210102</v>
      </c>
      <c r="L621" s="53">
        <f>IFERROR(K621/H621,"N/A")</f>
        <v>-179.38737514806735</v>
      </c>
      <c r="M621" s="83" t="str">
        <f>IF(Settings!$E$9="YAHOO",VLOOKUP(B621,ADP!A1:E665,2,FALSE),IF(Settings!$E$9="ESPN",VLOOKUP(B621,ADP!A1:E665,3,FALSE),IF(Settings!$E$9="FANTRAX",VLOOKUP(B621,ADP!A1:E665,4,FALSE),VLOOKUP(B621,ADP!A1:E665,5,FALSE))))</f>
        <v>—</v>
      </c>
      <c r="N621" s="83" t="str">
        <f>IFERROR(M621-A621,"N/A")</f>
        <v>N/A</v>
      </c>
      <c r="O621" s="54"/>
      <c r="P621" s="55" t="str">
        <f>IF(Settings!$E$27="ON",VLOOKUP(B621,ADP!A1:H665,8,FALSE)," ")</f>
        <v xml:space="preserve"> </v>
      </c>
      <c r="Q621" s="56">
        <f>IF(Settings!$E$12="YES",VLOOKUP(B621,'Player Data'!A1:E667,5,FALSE),82)</f>
        <v>75.715000000000003</v>
      </c>
      <c r="R621" s="54">
        <f>VLOOKUP(B621,'Player Data'!$A1:$AE667,6,FALSE)</f>
        <v>12.446691736631401</v>
      </c>
      <c r="S621" s="56">
        <f>VLOOKUP(B621,'Player Data'!$A1:$AE667,7,FALSE)*$Q621*IFERROR((VLOOKUP(P621,Settings!$E$28:$F$33,2,FALSE)+1),1)</f>
        <v>6.1942774834702297</v>
      </c>
      <c r="T621" s="56">
        <f>VLOOKUP(B621,'Player Data'!$A1:$AE667,8,FALSE)*$Q621*IFERROR((VLOOKUP(P621,Settings!$E$28:$F$33,2,FALSE)+1),1)</f>
        <v>13.907852821532794</v>
      </c>
      <c r="U621" s="56">
        <f>SUM(S621:T621)</f>
        <v>20.102130305003023</v>
      </c>
      <c r="V621" s="56">
        <f>VLOOKUP(B621,'Player Data'!$A1:$AE667,10,FALSE)*$Q621*IFERROR(((VLOOKUP(P621,Settings!$E$28:$F$33,2,FALSE)/2)+1),1)</f>
        <v>69.81460733793574</v>
      </c>
      <c r="W621" s="56">
        <f>VLOOKUP(B621,'Player Data'!$A1:$AE667,11,FALSE)*$Q621*IFERROR((VLOOKUP(P621,Settings!$E$28:$F$33,2,FALSE)+1),1)</f>
        <v>0.90057844326764691</v>
      </c>
      <c r="X621" s="56">
        <f>VLOOKUP(B621,'Player Data'!$A1:$AE667,12,FALSE)*$Q621*IFERROR((VLOOKUP(P621,Settings!$E$28:$F$33,2,FALSE)+1),1)</f>
        <v>1.9942092071143485</v>
      </c>
      <c r="Y621" s="56">
        <f>VLOOKUP(B621,'Player Data'!$A1:$AE667,13,FALSE)*$Q621</f>
        <v>0.50915644790633929</v>
      </c>
      <c r="Z621" s="56">
        <f>VLOOKUP(B621,'Player Data'!$A1:$AE667,14,FALSE)*$Q621</f>
        <v>1.4886522549281007</v>
      </c>
      <c r="AA621" s="56">
        <f>VLOOKUP(B621,'Player Data'!$A1:$AE667,15,FALSE)*$Q621</f>
        <v>44.319078019921299</v>
      </c>
      <c r="AB621" s="56">
        <f>VLOOKUP(B621,'Player Data'!$A1:$AE667,16,FALSE)*$Q621</f>
        <v>87.381342572972855</v>
      </c>
      <c r="AC621" s="56">
        <f>VLOOKUP(B621,'Player Data'!$A1:$AE667,17,FALSE)*$Q621*IFERROR((VLOOKUP(P621,Settings!$E$28:$F$33,2,FALSE)+1),1)</f>
        <v>-4.6827925124760386</v>
      </c>
      <c r="AD621" s="56">
        <f>VLOOKUP(B621,'Player Data'!$A1:$AE667,18,FALSE)*$Q621</f>
        <v>27.525656457537771</v>
      </c>
      <c r="AE621" s="56">
        <f>VLOOKUP(B621,'Player Data'!$A1:$AE667,19,FALSE)*$Q621*IFERROR((VLOOKUP(P621,Settings!$E$28:$F$33,2,FALSE)+1),1)</f>
        <v>0.74575442154559646</v>
      </c>
      <c r="AF621" s="56">
        <f>VLOOKUP(B621,'Player Data'!$A1:$AE667,20,FALSE)*$Q621</f>
        <v>194.84969991924808</v>
      </c>
      <c r="AG621" s="56">
        <f>VLOOKUP(B621,'Player Data'!$A1:$AE667,21,FALSE)*$Q621</f>
        <v>267.99802209506242</v>
      </c>
      <c r="AH621" s="58">
        <f>VLOOKUP(B621,'Player Data'!$A1:$AE667,22,FALSE)</f>
        <v>0.42098014239167703</v>
      </c>
      <c r="AI621" s="54"/>
      <c r="AJ621" s="56"/>
      <c r="AK621" s="56"/>
      <c r="AL621" s="56"/>
      <c r="AM621" s="56"/>
      <c r="AN621" s="56"/>
      <c r="AO621" s="56"/>
      <c r="AP621" s="56"/>
      <c r="AQ621" s="59"/>
      <c r="AR621" s="60"/>
      <c r="AS621" s="54"/>
    </row>
    <row r="622" spans="1:45" ht="21.25" customHeight="1" x14ac:dyDescent="0.15">
      <c r="A622" s="45">
        <f>RANK(K622,K$1:K$665)</f>
        <v>621</v>
      </c>
      <c r="B622" s="9" t="s">
        <v>747</v>
      </c>
      <c r="C622" s="46" t="s">
        <v>127</v>
      </c>
      <c r="D622" s="47" t="str">
        <f>VLOOKUP(B622,'Player Data'!A1:D667,4,FALSE)</f>
        <v>C</v>
      </c>
      <c r="E622" s="48">
        <f>VLOOKUP(B622,'C'!A1:C206,3,FALSE)</f>
        <v>182</v>
      </c>
      <c r="F622" s="77" t="str">
        <f>VLOOKUP(B622,'Player Data'!A1:B667,2,FALSE)</f>
        <v>STL</v>
      </c>
      <c r="G622" s="63">
        <f>VLOOKUP(B622,'Player Data'!A1:D667,3,FALSE)</f>
        <v>30</v>
      </c>
      <c r="H622" s="67">
        <f>IFERROR(VLOOKUP(B622,ADP!A1:G665,7,FALSE)/1000000,VLOOKUP(B622,ADP!A1:G665,7,FALSE))</f>
        <v>3.25</v>
      </c>
      <c r="I622" s="51">
        <f>IF(Settings!$E$15="POINTS",((R622*Q622)*Settings!$B$12)+(S622*Settings!$B$2)+(T622*Settings!$B$3)+(U622*Settings!$B$4)+(V622*Settings!$B$5)+(X622*Settings!$B$9)+(AA622*Settings!$B$6)+(W622*Settings!$B$8)+(AB622*Settings!$B$7)+(AC622*Settings!$B$14)+(AD622*Settings!$B$15)+(AE622*Settings!$B$16)+(AF622*Settings!$B$17)+(AG622*Settings!$B$18)+(Y622*Settings!$B$10)+(Z622*Settings!$B$11),VLOOKUP(B622,'Standard Deviations'!A1:C666,3,FALSE))</f>
        <v>118.64912150011916</v>
      </c>
      <c r="J622" s="52">
        <f>IF(D622="G",I622/AJ622,I622/Q622)</f>
        <v>1.4836240145064763</v>
      </c>
      <c r="K622" s="51">
        <f>IF(Settings!$E$18="C/LW/RW",VLOOKUP(B622,'C'!A1:F206,6,FALSE),VLOOKUP(B622,F!A1:F392,6,FALSE))</f>
        <v>-271.28803627796191</v>
      </c>
      <c r="L622" s="53">
        <f>IFERROR(K622/H622,"N/A")</f>
        <v>-83.47324193168059</v>
      </c>
      <c r="M622" s="83" t="str">
        <f>IF(Settings!$E$9="YAHOO",VLOOKUP(B622,ADP!A1:E665,2,FALSE),IF(Settings!$E$9="ESPN",VLOOKUP(B622,ADP!A1:E665,3,FALSE),IF(Settings!$E$9="FANTRAX",VLOOKUP(B622,ADP!A1:E665,4,FALSE),VLOOKUP(B622,ADP!A1:E665,5,FALSE))))</f>
        <v>—</v>
      </c>
      <c r="N622" s="83" t="str">
        <f>IFERROR(M622-A622,"N/A")</f>
        <v>N/A</v>
      </c>
      <c r="O622" s="54"/>
      <c r="P622" s="55" t="str">
        <f>IF(Settings!$E$27="ON",VLOOKUP(B622,ADP!A1:H665,8,FALSE)," ")</f>
        <v xml:space="preserve"> </v>
      </c>
      <c r="Q622" s="56">
        <f>IF(Settings!$E$12="YES",VLOOKUP(B622,'Player Data'!A1:E667,5,FALSE),82)</f>
        <v>79.972499999999997</v>
      </c>
      <c r="R622" s="54">
        <f>VLOOKUP(B622,'Player Data'!$A1:$AE667,6,FALSE)</f>
        <v>12.489757287006199</v>
      </c>
      <c r="S622" s="56">
        <f>VLOOKUP(B622,'Player Data'!$A1:$AE667,7,FALSE)*$Q622*IFERROR((VLOOKUP(P622,Settings!$E$28:$F$33,2,FALSE)+1),1)</f>
        <v>6.89843266604825</v>
      </c>
      <c r="T622" s="56">
        <f>VLOOKUP(B622,'Player Data'!$A1:$AE667,8,FALSE)*$Q622*IFERROR((VLOOKUP(P622,Settings!$E$28:$F$33,2,FALSE)+1),1)</f>
        <v>10.499057323050847</v>
      </c>
      <c r="U622" s="56">
        <f>SUM(S622:T622)</f>
        <v>17.397489989099096</v>
      </c>
      <c r="V622" s="56">
        <f>VLOOKUP(B622,'Player Data'!$A1:$AE667,10,FALSE)*$Q622*IFERROR(((VLOOKUP(P622,Settings!$E$28:$F$33,2,FALSE)/2)+1),1)</f>
        <v>76.002065475331293</v>
      </c>
      <c r="W622" s="56">
        <f>VLOOKUP(B622,'Player Data'!$A1:$AE667,11,FALSE)*$Q622*IFERROR((VLOOKUP(P622,Settings!$E$28:$F$33,2,FALSE)+1),1)</f>
        <v>7.7488842205735264E-2</v>
      </c>
      <c r="X622" s="56">
        <f>VLOOKUP(B622,'Player Data'!$A1:$AE667,12,FALSE)*$Q622*IFERROR((VLOOKUP(P622,Settings!$E$28:$F$33,2,FALSE)+1),1)</f>
        <v>0.1621548561571434</v>
      </c>
      <c r="Y622" s="56">
        <f>VLOOKUP(B622,'Player Data'!$A1:$AE667,13,FALSE)*$Q622</f>
        <v>1.3773107377382503</v>
      </c>
      <c r="Z622" s="56">
        <f>VLOOKUP(B622,'Player Data'!$A1:$AE667,14,FALSE)*$Q622</f>
        <v>2.8667750163170096</v>
      </c>
      <c r="AA622" s="56">
        <f>VLOOKUP(B622,'Player Data'!$A1:$AE667,15,FALSE)*$Q622</f>
        <v>50.853377845364179</v>
      </c>
      <c r="AB622" s="56">
        <f>VLOOKUP(B622,'Player Data'!$A1:$AE667,16,FALSE)*$Q622</f>
        <v>101.06521355684265</v>
      </c>
      <c r="AC622" s="56">
        <f>VLOOKUP(B622,'Player Data'!$A1:$AE667,17,FALSE)*$Q622*IFERROR((VLOOKUP(P622,Settings!$E$28:$F$33,2,FALSE)+1),1)</f>
        <v>2.9869653654282149</v>
      </c>
      <c r="AD622" s="56">
        <f>VLOOKUP(B622,'Player Data'!$A1:$AE667,18,FALSE)*$Q622</f>
        <v>30.781935695254703</v>
      </c>
      <c r="AE622" s="56">
        <f>VLOOKUP(B622,'Player Data'!$A1:$AE667,19,FALSE)*$Q622*IFERROR((VLOOKUP(P622,Settings!$E$28:$F$33,2,FALSE)+1),1)</f>
        <v>0.83053054632578627</v>
      </c>
      <c r="AF622" s="56">
        <f>VLOOKUP(B622,'Player Data'!$A1:$AE667,20,FALSE)*$Q622</f>
        <v>304.67908213007888</v>
      </c>
      <c r="AG622" s="56">
        <f>VLOOKUP(B622,'Player Data'!$A1:$AE667,21,FALSE)*$Q622</f>
        <v>247.54091336375694</v>
      </c>
      <c r="AH622" s="58">
        <f>VLOOKUP(B622,'Player Data'!$A1:$AE667,22,FALSE)</f>
        <v>0.551734969063575</v>
      </c>
      <c r="AI622" s="54"/>
      <c r="AJ622" s="56"/>
      <c r="AK622" s="56"/>
      <c r="AL622" s="56"/>
      <c r="AM622" s="56"/>
      <c r="AN622" s="56"/>
      <c r="AO622" s="56"/>
      <c r="AP622" s="56"/>
      <c r="AQ622" s="59"/>
      <c r="AR622" s="60"/>
      <c r="AS622" s="54"/>
    </row>
    <row r="623" spans="1:45" ht="21.25" customHeight="1" x14ac:dyDescent="0.15">
      <c r="A623" s="45">
        <f>RANK(K623,K$1:K$665)</f>
        <v>622</v>
      </c>
      <c r="B623" s="9" t="s">
        <v>748</v>
      </c>
      <c r="C623" s="46" t="s">
        <v>127</v>
      </c>
      <c r="D623" s="47" t="str">
        <f>VLOOKUP(B623,'Player Data'!A1:D667,4,FALSE)</f>
        <v>C</v>
      </c>
      <c r="E623" s="48">
        <f>VLOOKUP(B623,'C'!A1:C206,3,FALSE)</f>
        <v>183</v>
      </c>
      <c r="F623" s="65" t="str">
        <f>VLOOKUP(B623,'Player Data'!A1:B667,2,FALSE)</f>
        <v>TOR</v>
      </c>
      <c r="G623" s="10">
        <f>VLOOKUP(B623,'Player Data'!A1:D667,3,FALSE)</f>
        <v>25</v>
      </c>
      <c r="H623" s="50">
        <f>IFERROR(VLOOKUP(B623,ADP!A1:G665,7,FALSE)/1000000,VLOOKUP(B623,ADP!A1:G665,7,FALSE))</f>
        <v>1.18</v>
      </c>
      <c r="I623" s="51">
        <f>IF(Settings!$E$15="POINTS",((R623*Q623)*Settings!$B$12)+(S623*Settings!$B$2)+(T623*Settings!$B$3)+(U623*Settings!$B$4)+(V623*Settings!$B$5)+(X623*Settings!$B$9)+(AA623*Settings!$B$6)+(W623*Settings!$B$8)+(AB623*Settings!$B$7)+(AC623*Settings!$B$14)+(AD623*Settings!$B$15)+(AE623*Settings!$B$16)+(AF623*Settings!$B$17)+(AG623*Settings!$B$18)+(Y623*Settings!$B$10)+(Z623*Settings!$B$11),VLOOKUP(B623,'Standard Deviations'!A1:C666,3,FALSE))</f>
        <v>117.80666717182122</v>
      </c>
      <c r="J623" s="52">
        <f>IF(D623="G",I623/AJ623,I623/Q623)</f>
        <v>1.5547417225486981</v>
      </c>
      <c r="K623" s="51">
        <f>IF(Settings!$E$18="C/LW/RW",VLOOKUP(B623,'C'!A1:F206,6,FALSE),VLOOKUP(B623,F!A1:F392,6,FALSE))</f>
        <v>-272.13049060625985</v>
      </c>
      <c r="L623" s="53">
        <f>IFERROR(K623/H623,"N/A")</f>
        <v>-230.61905983581346</v>
      </c>
      <c r="M623" s="83" t="str">
        <f>IF(Settings!$E$9="YAHOO",VLOOKUP(B623,ADP!A1:E665,2,FALSE),IF(Settings!$E$9="ESPN",VLOOKUP(B623,ADP!A1:E665,3,FALSE),IF(Settings!$E$9="FANTRAX",VLOOKUP(B623,ADP!A1:E665,4,FALSE),VLOOKUP(B623,ADP!A1:E665,5,FALSE))))</f>
        <v>—</v>
      </c>
      <c r="N623" s="83" t="str">
        <f>IFERROR(M623-A623,"N/A")</f>
        <v>N/A</v>
      </c>
      <c r="O623" s="54"/>
      <c r="P623" s="55" t="str">
        <f>IF(Settings!$E$27="ON",VLOOKUP(B623,ADP!A1:H665,8,FALSE)," ")</f>
        <v xml:space="preserve"> </v>
      </c>
      <c r="Q623" s="56">
        <f>IF(Settings!$E$12="YES",VLOOKUP(B623,'Player Data'!A1:E667,5,FALSE),82)</f>
        <v>75.772499999999994</v>
      </c>
      <c r="R623" s="54">
        <f>VLOOKUP(B623,'Player Data'!$A1:$AE667,6,FALSE)</f>
        <v>11.1279539946757</v>
      </c>
      <c r="S623" s="56">
        <f>VLOOKUP(B623,'Player Data'!$A1:$AE667,7,FALSE)*$Q623*IFERROR((VLOOKUP(P623,Settings!$E$28:$F$33,2,FALSE)+1),1)</f>
        <v>8.458899237522953</v>
      </c>
      <c r="T623" s="56">
        <f>VLOOKUP(B623,'Player Data'!$A1:$AE667,8,FALSE)*$Q623*IFERROR((VLOOKUP(P623,Settings!$E$28:$F$33,2,FALSE)+1),1)</f>
        <v>9.9070411674801768</v>
      </c>
      <c r="U623" s="56">
        <f>SUM(S623:T623)</f>
        <v>18.36594040500313</v>
      </c>
      <c r="V623" s="56">
        <f>VLOOKUP(B623,'Player Data'!$A1:$AE667,10,FALSE)*$Q623*IFERROR(((VLOOKUP(P623,Settings!$E$28:$F$33,2,FALSE)/2)+1),1)</f>
        <v>81.220121152041102</v>
      </c>
      <c r="W623" s="56">
        <f>VLOOKUP(B623,'Player Data'!$A1:$AE667,11,FALSE)*$Q623*IFERROR((VLOOKUP(P623,Settings!$E$28:$F$33,2,FALSE)+1),1)</f>
        <v>6.5042368400202652E-2</v>
      </c>
      <c r="X623" s="56">
        <f>VLOOKUP(B623,'Player Data'!$A1:$AE667,12,FALSE)*$Q623*IFERROR((VLOOKUP(P623,Settings!$E$28:$F$33,2,FALSE)+1),1)</f>
        <v>0.16923074326428389</v>
      </c>
      <c r="Y623" s="56">
        <f>VLOOKUP(B623,'Player Data'!$A1:$AE667,13,FALSE)*$Q623</f>
        <v>1.4213560261668257</v>
      </c>
      <c r="Z623" s="56">
        <f>VLOOKUP(B623,'Player Data'!$A1:$AE667,14,FALSE)*$Q623</f>
        <v>1.8268479202291232</v>
      </c>
      <c r="AA623" s="56">
        <f>VLOOKUP(B623,'Player Data'!$A1:$AE667,15,FALSE)*$Q623</f>
        <v>40.205413434595762</v>
      </c>
      <c r="AB623" s="56">
        <f>VLOOKUP(B623,'Player Data'!$A1:$AE667,16,FALSE)*$Q623</f>
        <v>119.15428203346285</v>
      </c>
      <c r="AC623" s="56">
        <f>VLOOKUP(B623,'Player Data'!$A1:$AE667,17,FALSE)*$Q623*IFERROR((VLOOKUP(P623,Settings!$E$28:$F$33,2,FALSE)+1),1)</f>
        <v>-0.50709549288032962</v>
      </c>
      <c r="AD623" s="56">
        <f>VLOOKUP(B623,'Player Data'!$A1:$AE667,18,FALSE)*$Q623</f>
        <v>26.984980359080467</v>
      </c>
      <c r="AE623" s="56">
        <f>VLOOKUP(B623,'Player Data'!$A1:$AE667,19,FALSE)*$Q623*IFERROR((VLOOKUP(P623,Settings!$E$28:$F$33,2,FALSE)+1),1)</f>
        <v>1.3532722471477834</v>
      </c>
      <c r="AF623" s="56">
        <f>VLOOKUP(B623,'Player Data'!$A1:$AE667,20,FALSE)*$Q623</f>
        <v>186.7617153627906</v>
      </c>
      <c r="AG623" s="56">
        <f>VLOOKUP(B623,'Player Data'!$A1:$AE667,21,FALSE)*$Q623</f>
        <v>221.8683586659314</v>
      </c>
      <c r="AH623" s="58">
        <f>VLOOKUP(B623,'Player Data'!$A1:$AE667,22,FALSE)</f>
        <v>0.45704349051328802</v>
      </c>
      <c r="AI623" s="54"/>
      <c r="AJ623" s="56"/>
      <c r="AK623" s="56"/>
      <c r="AL623" s="56"/>
      <c r="AM623" s="56"/>
      <c r="AN623" s="56"/>
      <c r="AO623" s="56"/>
      <c r="AP623" s="56"/>
      <c r="AQ623" s="59"/>
      <c r="AR623" s="60"/>
      <c r="AS623" s="54"/>
    </row>
    <row r="624" spans="1:45" ht="21.25" customHeight="1" x14ac:dyDescent="0.15">
      <c r="A624" s="45">
        <f>RANK(K624,K$1:K$665)</f>
        <v>623</v>
      </c>
      <c r="B624" s="9" t="s">
        <v>749</v>
      </c>
      <c r="C624" s="46" t="s">
        <v>127</v>
      </c>
      <c r="D624" s="47" t="str">
        <f>VLOOKUP(B624,'Player Data'!A1:D667,4,FALSE)</f>
        <v>LW</v>
      </c>
      <c r="E624" s="70">
        <f>VLOOKUP(B624,LW!A1:C152,3,FALSE)</f>
        <v>138</v>
      </c>
      <c r="F624" s="62" t="str">
        <f>VLOOKUP(B624,'Player Data'!A1:B667,2,FALSE)</f>
        <v>MTL</v>
      </c>
      <c r="G624" s="10">
        <f>VLOOKUP(B624,'Player Data'!A1:D667,3,FALSE)</f>
        <v>26</v>
      </c>
      <c r="H624" s="67">
        <f>IFERROR(VLOOKUP(B624,ADP!A1:G665,7,FALSE)/1000000,VLOOKUP(B624,ADP!A1:G665,7,FALSE))</f>
        <v>0.8125</v>
      </c>
      <c r="I624" s="51">
        <f>IF(Settings!$E$15="POINTS",((R624*Q624)*Settings!$B$12)+(S624*Settings!$B$2)+(T624*Settings!$B$3)+(U624*Settings!$B$4)+(V624*Settings!$B$5)+(X624*Settings!$B$9)+(AA624*Settings!$B$6)+(W624*Settings!$B$8)+(AB624*Settings!$B$7)+(AC624*Settings!$B$14)+(AD624*Settings!$B$15)+(AE624*Settings!$B$16)+(AF624*Settings!$B$17)+(AG624*Settings!$B$18)+(Y624*Settings!$B$10)+(Z624*Settings!$B$11),VLOOKUP(B624,'Standard Deviations'!A1:C666,3,FALSE))</f>
        <v>108.73902885296502</v>
      </c>
      <c r="J624" s="52">
        <f>IF(D624="G",I624/AJ624,I624/Q624)</f>
        <v>1.4979891011567021</v>
      </c>
      <c r="K624" s="51">
        <f>IF(Settings!$E$18="C/LW/RW",VLOOKUP(B624,LW!A1:F152,6,FALSE),VLOOKUP(B624,F!A1:F392,6,FALSE))</f>
        <v>-272.32248344953473</v>
      </c>
      <c r="L624" s="53">
        <f>IFERROR(K624/H624,"N/A")</f>
        <v>-335.16613347635041</v>
      </c>
      <c r="M624" s="83" t="str">
        <f>IF(Settings!$E$9="YAHOO",VLOOKUP(B624,ADP!A1:E665,2,FALSE),IF(Settings!$E$9="ESPN",VLOOKUP(B624,ADP!A1:E665,3,FALSE),IF(Settings!$E$9="FANTRAX",VLOOKUP(B624,ADP!A1:E665,4,FALSE),VLOOKUP(B624,ADP!A1:E665,5,FALSE))))</f>
        <v>—</v>
      </c>
      <c r="N624" s="83" t="str">
        <f>IFERROR(M624-A624,"N/A")</f>
        <v>N/A</v>
      </c>
      <c r="O624" s="54"/>
      <c r="P624" s="55" t="str">
        <f>IF(Settings!$E$27="ON",VLOOKUP(B624,ADP!A1:H665,8,FALSE)," ")</f>
        <v xml:space="preserve"> </v>
      </c>
      <c r="Q624" s="56">
        <f>IF(Settings!$E$12="YES",VLOOKUP(B624,'Player Data'!A1:E667,5,FALSE),82)</f>
        <v>72.59</v>
      </c>
      <c r="R624" s="75">
        <f>VLOOKUP(B624,'Player Data'!$A1:$AE667,6,FALSE)</f>
        <v>9.9334001981197293</v>
      </c>
      <c r="S624" s="56">
        <f>VLOOKUP(B624,'Player Data'!$A1:$AE667,7,FALSE)*$Q624*IFERROR((VLOOKUP(P624,Settings!$E$28:$F$33,2,FALSE)+1),1)</f>
        <v>6.8212893979175924</v>
      </c>
      <c r="T624" s="56">
        <f>VLOOKUP(B624,'Player Data'!$A1:$AE667,8,FALSE)*$Q624*IFERROR((VLOOKUP(P624,Settings!$E$28:$F$33,2,FALSE)+1),1)</f>
        <v>10.952034661983625</v>
      </c>
      <c r="U624" s="56">
        <f>SUM(S624:T624)</f>
        <v>17.773324059901217</v>
      </c>
      <c r="V624" s="56">
        <f>VLOOKUP(B624,'Player Data'!$A1:$AE667,10,FALSE)*$Q624*IFERROR(((VLOOKUP(P624,Settings!$E$28:$F$33,2,FALSE)/2)+1),1)</f>
        <v>73.168171755226979</v>
      </c>
      <c r="W624" s="56">
        <f>VLOOKUP(B624,'Player Data'!$A1:$AE667,11,FALSE)*$Q624*IFERROR((VLOOKUP(P624,Settings!$E$28:$F$33,2,FALSE)+1),1)</f>
        <v>3.5260344981955252E-2</v>
      </c>
      <c r="X624" s="56">
        <f>VLOOKUP(B624,'Player Data'!$A1:$AE667,12,FALSE)*$Q624*IFERROR((VLOOKUP(P624,Settings!$E$28:$F$33,2,FALSE)+1),1)</f>
        <v>9.8239260417692889E-2</v>
      </c>
      <c r="Y624" s="56">
        <f>VLOOKUP(B624,'Player Data'!$A1:$AE667,13,FALSE)*$Q624</f>
        <v>3.8726963235246666E-2</v>
      </c>
      <c r="Z624" s="56">
        <f>VLOOKUP(B624,'Player Data'!$A1:$AE667,14,FALSE)*$Q624</f>
        <v>6.5867693393562479E-2</v>
      </c>
      <c r="AA624" s="56">
        <f>VLOOKUP(B624,'Player Data'!$A1:$AE667,15,FALSE)*$Q624</f>
        <v>37.341727683673227</v>
      </c>
      <c r="AB624" s="56">
        <f>VLOOKUP(B624,'Player Data'!$A1:$AE667,16,FALSE)*$Q624</f>
        <v>286.37268121619923</v>
      </c>
      <c r="AC624" s="56">
        <f>VLOOKUP(B624,'Player Data'!$A1:$AE667,17,FALSE)*$Q624*IFERROR((VLOOKUP(P624,Settings!$E$28:$F$33,2,FALSE)+1),1)</f>
        <v>-3.8601250115824621</v>
      </c>
      <c r="AD624" s="56">
        <f>VLOOKUP(B624,'Player Data'!$A1:$AE667,18,FALSE)*$Q624</f>
        <v>67.008521171570436</v>
      </c>
      <c r="AE624" s="56">
        <f>VLOOKUP(B624,'Player Data'!$A1:$AE667,19,FALSE)*$Q624*IFERROR((VLOOKUP(P624,Settings!$E$28:$F$33,2,FALSE)+1),1)</f>
        <v>0.79059612243364341</v>
      </c>
      <c r="AF624" s="56">
        <f>VLOOKUP(B624,'Player Data'!$A1:$AE667,20,FALSE)*$Q624</f>
        <v>9.5254278208816547</v>
      </c>
      <c r="AG624" s="56">
        <f>VLOOKUP(B624,'Player Data'!$A1:$AE667,21,FALSE)*$Q624</f>
        <v>12.12871500359199</v>
      </c>
      <c r="AH624" s="58">
        <f>VLOOKUP(B624,'Player Data'!$A1:$AE667,22,FALSE)</f>
        <v>0.43988939659693999</v>
      </c>
      <c r="AI624" s="54"/>
      <c r="AJ624" s="56"/>
      <c r="AK624" s="56"/>
      <c r="AL624" s="56"/>
      <c r="AM624" s="56"/>
      <c r="AN624" s="56"/>
      <c r="AO624" s="56"/>
      <c r="AP624" s="56"/>
      <c r="AQ624" s="59"/>
      <c r="AR624" s="60"/>
      <c r="AS624" s="54"/>
    </row>
    <row r="625" spans="1:45" ht="21.25" customHeight="1" x14ac:dyDescent="0.15">
      <c r="A625" s="45">
        <f>RANK(K625,K$1:K$665)</f>
        <v>624</v>
      </c>
      <c r="B625" s="9" t="s">
        <v>750</v>
      </c>
      <c r="C625" s="46" t="s">
        <v>127</v>
      </c>
      <c r="D625" s="47" t="str">
        <f>VLOOKUP(B625,'Player Data'!A1:D667,4,FALSE)</f>
        <v>C</v>
      </c>
      <c r="E625" s="48">
        <f>VLOOKUP(B625,'C'!A1:C206,3,FALSE)</f>
        <v>184</v>
      </c>
      <c r="F625" s="82" t="str">
        <f>VLOOKUP(B625,'Player Data'!A1:B667,2,FALSE)</f>
        <v>ANA</v>
      </c>
      <c r="G625" s="10">
        <f>VLOOKUP(B625,'Player Data'!A1:D667,3,FALSE)</f>
        <v>24</v>
      </c>
      <c r="H625" s="67">
        <f>IFERROR(VLOOKUP(B625,ADP!A1:G665,7,FALSE)/1000000,VLOOKUP(B625,ADP!A1:G665,7,FALSE))</f>
        <v>1.5</v>
      </c>
      <c r="I625" s="51">
        <f>IF(Settings!$E$15="POINTS",((R625*Q625)*Settings!$B$12)+(S625*Settings!$B$2)+(T625*Settings!$B$3)+(U625*Settings!$B$4)+(V625*Settings!$B$5)+(X625*Settings!$B$9)+(AA625*Settings!$B$6)+(W625*Settings!$B$8)+(AB625*Settings!$B$7)+(AC625*Settings!$B$14)+(AD625*Settings!$B$15)+(AE625*Settings!$B$16)+(AF625*Settings!$B$17)+(AG625*Settings!$B$18)+(Y625*Settings!$B$10)+(Z625*Settings!$B$11),VLOOKUP(B625,'Standard Deviations'!A1:C666,3,FALSE))</f>
        <v>117.37236969149959</v>
      </c>
      <c r="J625" s="52">
        <f>IF(D625="G",I625/AJ625,I625/Q625)</f>
        <v>1.6177577573687962</v>
      </c>
      <c r="K625" s="51">
        <f>IF(Settings!$E$18="C/LW/RW",VLOOKUP(B625,'C'!A1:F206,6,FALSE),VLOOKUP(B625,F!A1:F392,6,FALSE))</f>
        <v>-272.56478808658153</v>
      </c>
      <c r="L625" s="53">
        <f>IFERROR(K625/H625,"N/A")</f>
        <v>-181.70985872438769</v>
      </c>
      <c r="M625" s="83" t="str">
        <f>IF(Settings!$E$9="YAHOO",VLOOKUP(B625,ADP!A1:E665,2,FALSE),IF(Settings!$E$9="ESPN",VLOOKUP(B625,ADP!A1:E665,3,FALSE),IF(Settings!$E$9="FANTRAX",VLOOKUP(B625,ADP!A1:E665,4,FALSE),VLOOKUP(B625,ADP!A1:E665,5,FALSE))))</f>
        <v>—</v>
      </c>
      <c r="N625" s="83" t="str">
        <f>IFERROR(M625-A625,"N/A")</f>
        <v>N/A</v>
      </c>
      <c r="O625" s="54"/>
      <c r="P625" s="55" t="str">
        <f>IF(Settings!$E$27="ON",VLOOKUP(B625,ADP!A1:H665,8,FALSE)," ")</f>
        <v xml:space="preserve"> </v>
      </c>
      <c r="Q625" s="56">
        <f>IF(Settings!$E$12="YES",VLOOKUP(B625,'Player Data'!A1:E667,5,FALSE),82)</f>
        <v>72.552499999999995</v>
      </c>
      <c r="R625" s="54">
        <f>VLOOKUP(B625,'Player Data'!$A1:$AE667,6,FALSE)</f>
        <v>13.480944571495501</v>
      </c>
      <c r="S625" s="56">
        <f>VLOOKUP(B625,'Player Data'!$A1:$AE667,7,FALSE)*$Q625*IFERROR((VLOOKUP(P625,Settings!$E$28:$F$33,2,FALSE)+1),1)</f>
        <v>8.6030072803979234</v>
      </c>
      <c r="T625" s="56">
        <f>VLOOKUP(B625,'Player Data'!$A1:$AE667,8,FALSE)*$Q625*IFERROR((VLOOKUP(P625,Settings!$E$28:$F$33,2,FALSE)+1),1)</f>
        <v>11.390163483172895</v>
      </c>
      <c r="U625" s="56">
        <f>SUM(S625:T625)</f>
        <v>19.993170763570816</v>
      </c>
      <c r="V625" s="56">
        <f>VLOOKUP(B625,'Player Data'!$A1:$AE667,10,FALSE)*$Q625*IFERROR(((VLOOKUP(P625,Settings!$E$28:$F$33,2,FALSE)/2)+1),1)</f>
        <v>66.764961688772573</v>
      </c>
      <c r="W625" s="56">
        <f>VLOOKUP(B625,'Player Data'!$A1:$AE667,11,FALSE)*$Q625*IFERROR((VLOOKUP(P625,Settings!$E$28:$F$33,2,FALSE)+1),1)</f>
        <v>0.2141743077248239</v>
      </c>
      <c r="X625" s="56">
        <f>VLOOKUP(B625,'Player Data'!$A1:$AE667,12,FALSE)*$Q625*IFERROR((VLOOKUP(P625,Settings!$E$28:$F$33,2,FALSE)+1),1)</f>
        <v>0.49597832460065183</v>
      </c>
      <c r="Y625" s="56">
        <f>VLOOKUP(B625,'Player Data'!$A1:$AE667,13,FALSE)*$Q625</f>
        <v>1.4000149387245753</v>
      </c>
      <c r="Z625" s="56">
        <f>VLOOKUP(B625,'Player Data'!$A1:$AE667,14,FALSE)*$Q625</f>
        <v>1.5206413947662889</v>
      </c>
      <c r="AA625" s="56">
        <f>VLOOKUP(B625,'Player Data'!$A1:$AE667,15,FALSE)*$Q625</f>
        <v>43.987513674067806</v>
      </c>
      <c r="AB625" s="56">
        <f>VLOOKUP(B625,'Player Data'!$A1:$AE667,16,FALSE)*$Q625</f>
        <v>60.286052253762215</v>
      </c>
      <c r="AC625" s="56">
        <f>VLOOKUP(B625,'Player Data'!$A1:$AE667,17,FALSE)*$Q625*IFERROR((VLOOKUP(P625,Settings!$E$28:$F$33,2,FALSE)+1),1)</f>
        <v>-6.0098954924104842</v>
      </c>
      <c r="AD625" s="56">
        <f>VLOOKUP(B625,'Player Data'!$A1:$AE667,18,FALSE)*$Q625</f>
        <v>9.515040268630317</v>
      </c>
      <c r="AE625" s="56">
        <f>VLOOKUP(B625,'Player Data'!$A1:$AE667,19,FALSE)*$Q625*IFERROR((VLOOKUP(P625,Settings!$E$28:$F$33,2,FALSE)+1),1)</f>
        <v>1.0027626514868884</v>
      </c>
      <c r="AF625" s="56">
        <f>VLOOKUP(B625,'Player Data'!$A1:$AE667,20,FALSE)*$Q625</f>
        <v>280.13363217584953</v>
      </c>
      <c r="AG625" s="56">
        <f>VLOOKUP(B625,'Player Data'!$A1:$AE667,21,FALSE)*$Q625</f>
        <v>337.13188462574999</v>
      </c>
      <c r="AH625" s="58">
        <f>VLOOKUP(B625,'Player Data'!$A1:$AE667,22,FALSE)</f>
        <v>0.45383003675206102</v>
      </c>
      <c r="AI625" s="54"/>
      <c r="AJ625" s="56"/>
      <c r="AK625" s="56"/>
      <c r="AL625" s="56"/>
      <c r="AM625" s="56"/>
      <c r="AN625" s="56"/>
      <c r="AO625" s="56"/>
      <c r="AP625" s="56"/>
      <c r="AQ625" s="59"/>
      <c r="AR625" s="60"/>
      <c r="AS625" s="54"/>
    </row>
    <row r="626" spans="1:45" ht="21.25" customHeight="1" x14ac:dyDescent="0.15">
      <c r="A626" s="45">
        <f>RANK(K626,K$1:K$665)</f>
        <v>625</v>
      </c>
      <c r="B626" s="9" t="s">
        <v>751</v>
      </c>
      <c r="C626" s="46" t="s">
        <v>127</v>
      </c>
      <c r="D626" s="47" t="str">
        <f>VLOOKUP(B626,'Player Data'!A1:D667,4,FALSE)</f>
        <v>RW</v>
      </c>
      <c r="E626" s="61">
        <f>VLOOKUP(B626,RW!A1:F136,3,FALSE)</f>
        <v>131</v>
      </c>
      <c r="F626" s="65" t="str">
        <f>VLOOKUP(B626,'Player Data'!A1:B667,2,FALSE)</f>
        <v>BUF</v>
      </c>
      <c r="G626" s="10">
        <f>VLOOKUP(B626,'Player Data'!A1:D667,3,FALSE)</f>
        <v>28</v>
      </c>
      <c r="H626" s="67">
        <f>IFERROR(VLOOKUP(B626,ADP!A1:G665,7,FALSE)/1000000,VLOOKUP(B626,ADP!A1:G665,7,FALSE))</f>
        <v>1.5</v>
      </c>
      <c r="I626" s="51">
        <f>IF(Settings!$E$15="POINTS",((R626*Q626)*Settings!$B$12)+(S626*Settings!$B$2)+(T626*Settings!$B$3)+(U626*Settings!$B$4)+(V626*Settings!$B$5)+(X626*Settings!$B$9)+(AA626*Settings!$B$6)+(W626*Settings!$B$8)+(AB626*Settings!$B$7)+(AC626*Settings!$B$14)+(AD626*Settings!$B$15)+(AE626*Settings!$B$16)+(AF626*Settings!$B$17)+(AG626*Settings!$B$18)+(Y626*Settings!$B$10)+(Z626*Settings!$B$11),VLOOKUP(B626,'Standard Deviations'!A1:C666,3,FALSE))</f>
        <v>95.603153539379846</v>
      </c>
      <c r="J626" s="52">
        <f>IF(D626="G",I626/AJ626,I626/Q626)</f>
        <v>1.30360529796325</v>
      </c>
      <c r="K626" s="51">
        <f>IF(Settings!$E$18="C/LW/RW",VLOOKUP(B626,RW!A1:F136,6,FALSE),VLOOKUP(B626,F!A1:F392,6,FALSE))</f>
        <v>-273.24456956691256</v>
      </c>
      <c r="L626" s="53">
        <f>IFERROR(K626/H626,"N/A")</f>
        <v>-182.1630463779417</v>
      </c>
      <c r="M626" s="83" t="str">
        <f>IF(Settings!$E$9="YAHOO",VLOOKUP(B626,ADP!A1:E665,2,FALSE),IF(Settings!$E$9="ESPN",VLOOKUP(B626,ADP!A1:E665,3,FALSE),IF(Settings!$E$9="FANTRAX",VLOOKUP(B626,ADP!A1:E665,4,FALSE),VLOOKUP(B626,ADP!A1:E665,5,FALSE))))</f>
        <v>—</v>
      </c>
      <c r="N626" s="83" t="str">
        <f>IFERROR(M626-A626,"N/A")</f>
        <v>N/A</v>
      </c>
      <c r="O626" s="54"/>
      <c r="P626" s="55" t="str">
        <f>IF(Settings!$E$27="ON",VLOOKUP(B626,ADP!A1:H665,8,FALSE)," ")</f>
        <v xml:space="preserve"> </v>
      </c>
      <c r="Q626" s="56">
        <f>IF(Settings!$E$12="YES",VLOOKUP(B626,'Player Data'!A1:E667,5,FALSE),82)</f>
        <v>73.337500000000006</v>
      </c>
      <c r="R626" s="81">
        <f>VLOOKUP(B626,'Player Data'!$A1:$AE667,6,FALSE)</f>
        <v>10.8976601456755</v>
      </c>
      <c r="S626" s="56">
        <f>VLOOKUP(B626,'Player Data'!$A1:$AE667,7,FALSE)*$Q626*IFERROR((VLOOKUP(P626,Settings!$E$28:$F$33,2,FALSE)+1),1)</f>
        <v>5.9419625494272488</v>
      </c>
      <c r="T626" s="56">
        <f>VLOOKUP(B626,'Player Data'!$A1:$AE667,8,FALSE)*$Q626*IFERROR((VLOOKUP(P626,Settings!$E$28:$F$33,2,FALSE)+1),1)</f>
        <v>9.1990950893778205</v>
      </c>
      <c r="U626" s="56">
        <f>SUM(S626:T626)</f>
        <v>15.141057638805069</v>
      </c>
      <c r="V626" s="56">
        <f>VLOOKUP(B626,'Player Data'!$A1:$AE667,10,FALSE)*$Q626*IFERROR(((VLOOKUP(P626,Settings!$E$28:$F$33,2,FALSE)/2)+1),1)</f>
        <v>73.931237751496866</v>
      </c>
      <c r="W626" s="56">
        <f>VLOOKUP(B626,'Player Data'!$A1:$AE667,11,FALSE)*$Q626*IFERROR((VLOOKUP(P626,Settings!$E$28:$F$33,2,FALSE)+1),1)</f>
        <v>4.985220281090523E-2</v>
      </c>
      <c r="X626" s="56">
        <f>VLOOKUP(B626,'Player Data'!$A1:$AE667,12,FALSE)*$Q626*IFERROR((VLOOKUP(P626,Settings!$E$28:$F$33,2,FALSE)+1),1)</f>
        <v>0.1173271195692914</v>
      </c>
      <c r="Y626" s="56">
        <f>VLOOKUP(B626,'Player Data'!$A1:$AE667,13,FALSE)*$Q626</f>
        <v>5.6165798399740043E-2</v>
      </c>
      <c r="Z626" s="56">
        <f>VLOOKUP(B626,'Player Data'!$A1:$AE667,14,FALSE)*$Q626</f>
        <v>9.6840479059247295E-2</v>
      </c>
      <c r="AA626" s="56">
        <f>VLOOKUP(B626,'Player Data'!$A1:$AE667,15,FALSE)*$Q626</f>
        <v>26.000388297175313</v>
      </c>
      <c r="AB626" s="56">
        <f>VLOOKUP(B626,'Player Data'!$A1:$AE667,16,FALSE)*$Q626</f>
        <v>157.76478116876876</v>
      </c>
      <c r="AC626" s="56">
        <f>VLOOKUP(B626,'Player Data'!$A1:$AE667,17,FALSE)*$Q626*IFERROR((VLOOKUP(P626,Settings!$E$28:$F$33,2,FALSE)+1),1)</f>
        <v>-1.4154692700295768</v>
      </c>
      <c r="AD626" s="56">
        <f>VLOOKUP(B626,'Player Data'!$A1:$AE667,18,FALSE)*$Q626</f>
        <v>34.306410880294941</v>
      </c>
      <c r="AE626" s="56">
        <f>VLOOKUP(B626,'Player Data'!$A1:$AE667,19,FALSE)*$Q626*IFERROR((VLOOKUP(P626,Settings!$E$28:$F$33,2,FALSE)+1),1)</f>
        <v>0.84052290236926641</v>
      </c>
      <c r="AF626" s="56">
        <f>VLOOKUP(B626,'Player Data'!$A1:$AE667,20,FALSE)*$Q626</f>
        <v>6.3181937044122938</v>
      </c>
      <c r="AG626" s="56">
        <f>VLOOKUP(B626,'Player Data'!$A1:$AE667,21,FALSE)*$Q626</f>
        <v>12.236417126995661</v>
      </c>
      <c r="AH626" s="58">
        <f>VLOOKUP(B626,'Player Data'!$A1:$AE667,22,FALSE)</f>
        <v>0.34051879405184199</v>
      </c>
      <c r="AI626" s="54"/>
      <c r="AJ626" s="56"/>
      <c r="AK626" s="56"/>
      <c r="AL626" s="56"/>
      <c r="AM626" s="56"/>
      <c r="AN626" s="56"/>
      <c r="AO626" s="56"/>
      <c r="AP626" s="56"/>
      <c r="AQ626" s="59"/>
      <c r="AR626" s="60"/>
      <c r="AS626" s="54"/>
    </row>
    <row r="627" spans="1:45" ht="21.25" customHeight="1" x14ac:dyDescent="0.15">
      <c r="A627" s="45">
        <f>RANK(K627,K$1:K$665)</f>
        <v>626</v>
      </c>
      <c r="B627" s="9" t="s">
        <v>752</v>
      </c>
      <c r="C627" s="46" t="s">
        <v>127</v>
      </c>
      <c r="D627" s="47" t="str">
        <f>VLOOKUP(B627,'Player Data'!A1:D667,4,FALSE)</f>
        <v>LW</v>
      </c>
      <c r="E627" s="70">
        <f>VLOOKUP(B627,LW!A1:C152,3,FALSE)</f>
        <v>139</v>
      </c>
      <c r="F627" s="55" t="str">
        <f>VLOOKUP(B627,'Player Data'!A1:B667,2,FALSE)</f>
        <v>COL</v>
      </c>
      <c r="G627" s="10">
        <f>VLOOKUP(B627,'Player Data'!A1:D667,3,FALSE)</f>
        <v>25</v>
      </c>
      <c r="H627" s="50">
        <f>IFERROR(VLOOKUP(B627,ADP!A1:G665,7,FALSE)/1000000,VLOOKUP(B627,ADP!A1:G665,7,FALSE))</f>
        <v>0.82499999999999996</v>
      </c>
      <c r="I627" s="51">
        <f>IF(Settings!$E$15="POINTS",((R627*Q627)*Settings!$B$12)+(S627*Settings!$B$2)+(T627*Settings!$B$3)+(U627*Settings!$B$4)+(V627*Settings!$B$5)+(X627*Settings!$B$9)+(AA627*Settings!$B$6)+(W627*Settings!$B$8)+(AB627*Settings!$B$7)+(AC627*Settings!$B$14)+(AD627*Settings!$B$15)+(AE627*Settings!$B$16)+(AF627*Settings!$B$17)+(AG627*Settings!$B$18)+(Y627*Settings!$B$10)+(Z627*Settings!$B$11),VLOOKUP(B627,'Standard Deviations'!A1:C666,3,FALSE))</f>
        <v>107.65273482520008</v>
      </c>
      <c r="J627" s="52">
        <f>IF(D627="G",I627/AJ627,I627/Q627)</f>
        <v>1.4574748326309033</v>
      </c>
      <c r="K627" s="51">
        <f>IF(Settings!$E$18="C/LW/RW",VLOOKUP(B627,LW!A1:F152,6,FALSE),VLOOKUP(B627,F!A1:F392,6,FALSE))</f>
        <v>-273.40877747729968</v>
      </c>
      <c r="L627" s="53">
        <f>IFERROR(K627/H627,"N/A")</f>
        <v>-331.40457876036328</v>
      </c>
      <c r="M627" s="83" t="str">
        <f>IF(Settings!$E$9="YAHOO",VLOOKUP(B627,ADP!A1:E665,2,FALSE),IF(Settings!$E$9="ESPN",VLOOKUP(B627,ADP!A1:E665,3,FALSE),IF(Settings!$E$9="FANTRAX",VLOOKUP(B627,ADP!A1:E665,4,FALSE),VLOOKUP(B627,ADP!A1:E665,5,FALSE))))</f>
        <v>—</v>
      </c>
      <c r="N627" s="83" t="str">
        <f>IFERROR(M627-A627,"N/A")</f>
        <v>N/A</v>
      </c>
      <c r="O627" s="54"/>
      <c r="P627" s="55" t="str">
        <f>IF(Settings!$E$27="ON",VLOOKUP(B627,ADP!A1:H665,8,FALSE)," ")</f>
        <v xml:space="preserve"> </v>
      </c>
      <c r="Q627" s="56">
        <f>IF(Settings!$E$12="YES",VLOOKUP(B627,'Player Data'!A1:E667,5,FALSE),82)</f>
        <v>73.862499999999997</v>
      </c>
      <c r="R627" s="54">
        <f>VLOOKUP(B627,'Player Data'!$A1:$AE667,6,FALSE)</f>
        <v>11.176740047813601</v>
      </c>
      <c r="S627" s="56">
        <f>VLOOKUP(B627,'Player Data'!$A1:$AE667,7,FALSE)*$Q627*IFERROR((VLOOKUP(P627,Settings!$E$28:$F$33,2,FALSE)+1),1)</f>
        <v>5.9187880025752486</v>
      </c>
      <c r="T627" s="56">
        <f>VLOOKUP(B627,'Player Data'!$A1:$AE667,8,FALSE)*$Q627*IFERROR((VLOOKUP(P627,Settings!$E$28:$F$33,2,FALSE)+1),1)</f>
        <v>7.6836666986024342</v>
      </c>
      <c r="U627" s="56">
        <f>SUM(S627:T627)</f>
        <v>13.602454701177683</v>
      </c>
      <c r="V627" s="56">
        <f>VLOOKUP(B627,'Player Data'!$A1:$AE667,10,FALSE)*$Q627*IFERROR(((VLOOKUP(P627,Settings!$E$28:$F$33,2,FALSE)/2)+1),1)</f>
        <v>79.139182595153031</v>
      </c>
      <c r="W627" s="56">
        <f>VLOOKUP(B627,'Player Data'!$A1:$AE667,11,FALSE)*$Q627*IFERROR((VLOOKUP(P627,Settings!$E$28:$F$33,2,FALSE)+1),1)</f>
        <v>5.7749629953176021E-2</v>
      </c>
      <c r="X627" s="56">
        <f>VLOOKUP(B627,'Player Data'!$A1:$AE667,12,FALSE)*$Q627*IFERROR((VLOOKUP(P627,Settings!$E$28:$F$33,2,FALSE)+1),1)</f>
        <v>0.13434970364887369</v>
      </c>
      <c r="Y627" s="56">
        <f>VLOOKUP(B627,'Player Data'!$A1:$AE667,13,FALSE)*$Q627</f>
        <v>0.91417584246025885</v>
      </c>
      <c r="Z627" s="56">
        <f>VLOOKUP(B627,'Player Data'!$A1:$AE667,14,FALSE)*$Q627</f>
        <v>1.664223925040635</v>
      </c>
      <c r="AA627" s="56">
        <f>VLOOKUP(B627,'Player Data'!$A1:$AE667,15,FALSE)*$Q627</f>
        <v>50.954411590802017</v>
      </c>
      <c r="AB627" s="56">
        <f>VLOOKUP(B627,'Player Data'!$A1:$AE667,16,FALSE)*$Q627</f>
        <v>165.85667051185737</v>
      </c>
      <c r="AC627" s="56">
        <f>VLOOKUP(B627,'Player Data'!$A1:$AE667,17,FALSE)*$Q627*IFERROR((VLOOKUP(P627,Settings!$E$28:$F$33,2,FALSE)+1),1)</f>
        <v>-2.5311871955656935</v>
      </c>
      <c r="AD627" s="56">
        <f>VLOOKUP(B627,'Player Data'!$A1:$AE667,18,FALSE)*$Q627</f>
        <v>36.831210818942559</v>
      </c>
      <c r="AE627" s="56">
        <f>VLOOKUP(B627,'Player Data'!$A1:$AE667,19,FALSE)*$Q627*IFERROR((VLOOKUP(P627,Settings!$E$28:$F$33,2,FALSE)+1),1)</f>
        <v>0.88432999010095459</v>
      </c>
      <c r="AF627" s="56">
        <f>VLOOKUP(B627,'Player Data'!$A1:$AE667,20,FALSE)*$Q627</f>
        <v>9.7821509508657325</v>
      </c>
      <c r="AG627" s="56">
        <f>VLOOKUP(B627,'Player Data'!$A1:$AE667,21,FALSE)*$Q627</f>
        <v>25.463973087673725</v>
      </c>
      <c r="AH627" s="58">
        <f>VLOOKUP(B627,'Player Data'!$A1:$AE667,22,FALSE)</f>
        <v>0.277538345497779</v>
      </c>
      <c r="AI627" s="54"/>
      <c r="AJ627" s="64"/>
      <c r="AK627" s="56"/>
      <c r="AL627" s="56"/>
      <c r="AM627" s="56"/>
      <c r="AN627" s="56"/>
      <c r="AO627" s="56"/>
      <c r="AP627" s="56"/>
      <c r="AQ627" s="59"/>
      <c r="AR627" s="60"/>
      <c r="AS627" s="54"/>
    </row>
    <row r="628" spans="1:45" ht="21.25" customHeight="1" x14ac:dyDescent="0.15">
      <c r="A628" s="45">
        <f>RANK(K628,K$1:K$665)</f>
        <v>627</v>
      </c>
      <c r="B628" s="9" t="s">
        <v>753</v>
      </c>
      <c r="C628" s="46" t="s">
        <v>127</v>
      </c>
      <c r="D628" s="47" t="str">
        <f>VLOOKUP(B628,'Player Data'!A1:D667,4,FALSE)</f>
        <v>LW</v>
      </c>
      <c r="E628" s="70">
        <f>VLOOKUP(B628,LW!A1:C152,3,FALSE)</f>
        <v>140</v>
      </c>
      <c r="F628" s="62" t="str">
        <f>VLOOKUP(B628,'Player Data'!A1:B667,2,FALSE)</f>
        <v>T.B</v>
      </c>
      <c r="G628" s="63">
        <f>VLOOKUP(B628,'Player Data'!A1:D667,3,FALSE)</f>
        <v>30</v>
      </c>
      <c r="H628" s="50">
        <f>IFERROR(VLOOKUP(B628,ADP!A1:G665,7,FALSE)/1000000,VLOOKUP(B628,ADP!A1:G665,7,FALSE))</f>
        <v>0.85</v>
      </c>
      <c r="I628" s="51">
        <f>IF(Settings!$E$15="POINTS",((R628*Q628)*Settings!$B$12)+(S628*Settings!$B$2)+(T628*Settings!$B$3)+(U628*Settings!$B$4)+(V628*Settings!$B$5)+(X628*Settings!$B$9)+(AA628*Settings!$B$6)+(W628*Settings!$B$8)+(AB628*Settings!$B$7)+(AC628*Settings!$B$14)+(AD628*Settings!$B$15)+(AE628*Settings!$B$16)+(AF628*Settings!$B$17)+(AG628*Settings!$B$18)+(Y628*Settings!$B$10)+(Z628*Settings!$B$11),VLOOKUP(B628,'Standard Deviations'!A1:C666,3,FALSE))</f>
        <v>106.4836535878495</v>
      </c>
      <c r="J628" s="52">
        <f>IF(D628="G",I628/AJ628,I628/Q628)</f>
        <v>1.4051219422406163</v>
      </c>
      <c r="K628" s="51">
        <f>IF(Settings!$E$18="C/LW/RW",VLOOKUP(B628,LW!A1:F152,6,FALSE),VLOOKUP(B628,F!A1:F392,6,FALSE))</f>
        <v>-274.57785871465023</v>
      </c>
      <c r="L628" s="53">
        <f>IFERROR(K628/H628,"N/A")</f>
        <v>-323.03277495841206</v>
      </c>
      <c r="M628" s="83" t="str">
        <f>IF(Settings!$E$9="YAHOO",VLOOKUP(B628,ADP!A1:E665,2,FALSE),IF(Settings!$E$9="ESPN",VLOOKUP(B628,ADP!A1:E665,3,FALSE),IF(Settings!$E$9="FANTRAX",VLOOKUP(B628,ADP!A1:E665,4,FALSE),VLOOKUP(B628,ADP!A1:E665,5,FALSE))))</f>
        <v>—</v>
      </c>
      <c r="N628" s="83" t="str">
        <f>IFERROR(M628-A628,"N/A")</f>
        <v>N/A</v>
      </c>
      <c r="O628" s="54"/>
      <c r="P628" s="55" t="str">
        <f>IF(Settings!$E$27="ON",VLOOKUP(B628,ADP!A1:H665,8,FALSE)," ")</f>
        <v xml:space="preserve"> </v>
      </c>
      <c r="Q628" s="56">
        <f>IF(Settings!$E$12="YES",VLOOKUP(B628,'Player Data'!A1:E667,5,FALSE),82)</f>
        <v>75.782499999999999</v>
      </c>
      <c r="R628" s="81">
        <f>VLOOKUP(B628,'Player Data'!$A1:$AE667,6,FALSE)</f>
        <v>10.8116502399899</v>
      </c>
      <c r="S628" s="56">
        <f>VLOOKUP(B628,'Player Data'!$A1:$AE667,7,FALSE)*$Q628*IFERROR((VLOOKUP(P628,Settings!$E$28:$F$33,2,FALSE)+1),1)</f>
        <v>8.2484748104994985</v>
      </c>
      <c r="T628" s="56">
        <f>VLOOKUP(B628,'Player Data'!$A1:$AE667,8,FALSE)*$Q628*IFERROR((VLOOKUP(P628,Settings!$E$28:$F$33,2,FALSE)+1),1)</f>
        <v>7.0833608175742553</v>
      </c>
      <c r="U628" s="56">
        <f>SUM(S628:T628)</f>
        <v>15.331835628073755</v>
      </c>
      <c r="V628" s="56">
        <f>VLOOKUP(B628,'Player Data'!$A1:$AE667,10,FALSE)*$Q628*IFERROR(((VLOOKUP(P628,Settings!$E$28:$F$33,2,FALSE)/2)+1),1)</f>
        <v>82.780374585619484</v>
      </c>
      <c r="W628" s="56">
        <f>VLOOKUP(B628,'Player Data'!$A1:$AE667,11,FALSE)*$Q628*IFERROR((VLOOKUP(P628,Settings!$E$28:$F$33,2,FALSE)+1),1)</f>
        <v>6.5800206156473431E-2</v>
      </c>
      <c r="X628" s="56">
        <f>VLOOKUP(B628,'Player Data'!$A1:$AE667,12,FALSE)*$Q628*IFERROR((VLOOKUP(P628,Settings!$E$28:$F$33,2,FALSE)+1),1)</f>
        <v>0.15270478598696399</v>
      </c>
      <c r="Y628" s="56">
        <f>VLOOKUP(B628,'Player Data'!$A1:$AE667,13,FALSE)*$Q628</f>
        <v>7.957256831301078E-2</v>
      </c>
      <c r="Z628" s="56">
        <f>VLOOKUP(B628,'Player Data'!$A1:$AE667,14,FALSE)*$Q628</f>
        <v>0.13457125884184323</v>
      </c>
      <c r="AA628" s="56">
        <f>VLOOKUP(B628,'Player Data'!$A1:$AE667,15,FALSE)*$Q628</f>
        <v>37.621366731979386</v>
      </c>
      <c r="AB628" s="56">
        <f>VLOOKUP(B628,'Player Data'!$A1:$AE667,16,FALSE)*$Q628</f>
        <v>120.89465202282719</v>
      </c>
      <c r="AC628" s="56">
        <f>VLOOKUP(B628,'Player Data'!$A1:$AE667,17,FALSE)*$Q628*IFERROR((VLOOKUP(P628,Settings!$E$28:$F$33,2,FALSE)+1),1)</f>
        <v>-1.5501260038924727</v>
      </c>
      <c r="AD628" s="56">
        <f>VLOOKUP(B628,'Player Data'!$A1:$AE667,18,FALSE)*$Q628</f>
        <v>19.842058271900793</v>
      </c>
      <c r="AE628" s="56">
        <f>VLOOKUP(B628,'Player Data'!$A1:$AE667,19,FALSE)*$Q628*IFERROR((VLOOKUP(P628,Settings!$E$28:$F$33,2,FALSE)+1),1)</f>
        <v>1.2996430700044508</v>
      </c>
      <c r="AF628" s="56">
        <f>VLOOKUP(B628,'Player Data'!$A1:$AE667,20,FALSE)*$Q628</f>
        <v>102.28375408962729</v>
      </c>
      <c r="AG628" s="56">
        <f>VLOOKUP(B628,'Player Data'!$A1:$AE667,21,FALSE)*$Q628</f>
        <v>114.14891964800736</v>
      </c>
      <c r="AH628" s="58">
        <f>VLOOKUP(B628,'Player Data'!$A1:$AE667,22,FALSE)</f>
        <v>0.47258924599165703</v>
      </c>
      <c r="AI628" s="54"/>
      <c r="AJ628" s="64"/>
      <c r="AK628" s="56"/>
      <c r="AL628" s="56"/>
      <c r="AM628" s="56"/>
      <c r="AN628" s="56"/>
      <c r="AO628" s="56"/>
      <c r="AP628" s="56"/>
      <c r="AQ628" s="59"/>
      <c r="AR628" s="60"/>
      <c r="AS628" s="54"/>
    </row>
    <row r="629" spans="1:45" ht="21.25" customHeight="1" x14ac:dyDescent="0.15">
      <c r="A629" s="45">
        <f>RANK(K629,K$1:K$665)</f>
        <v>628</v>
      </c>
      <c r="B629" s="9" t="s">
        <v>754</v>
      </c>
      <c r="C629" s="46" t="s">
        <v>127</v>
      </c>
      <c r="D629" s="47" t="str">
        <f>VLOOKUP(B629,'Player Data'!A1:D667,4,FALSE)</f>
        <v>C</v>
      </c>
      <c r="E629" s="48">
        <f>VLOOKUP(B629,'C'!A1:C206,3,FALSE)</f>
        <v>185</v>
      </c>
      <c r="F629" s="55" t="str">
        <f>VLOOKUP(B629,'Player Data'!A1:B667,2,FALSE)</f>
        <v>WPG</v>
      </c>
      <c r="G629" s="10">
        <f>VLOOKUP(B629,'Player Data'!A1:D667,3,FALSE)</f>
        <v>25</v>
      </c>
      <c r="H629" s="67">
        <f>IFERROR(VLOOKUP(B629,ADP!A1:G665,7,FALSE)/1000000,VLOOKUP(B629,ADP!A1:G665,7,FALSE))</f>
        <v>1.35</v>
      </c>
      <c r="I629" s="51">
        <f>IF(Settings!$E$15="POINTS",((R629*Q629)*Settings!$B$12)+(S629*Settings!$B$2)+(T629*Settings!$B$3)+(U629*Settings!$B$4)+(V629*Settings!$B$5)+(X629*Settings!$B$9)+(AA629*Settings!$B$6)+(W629*Settings!$B$8)+(AB629*Settings!$B$7)+(AC629*Settings!$B$14)+(AD629*Settings!$B$15)+(AE629*Settings!$B$16)+(AF629*Settings!$B$17)+(AG629*Settings!$B$18)+(Y629*Settings!$B$10)+(Z629*Settings!$B$11),VLOOKUP(B629,'Standard Deviations'!A1:C666,3,FALSE))</f>
        <v>115.22933173024998</v>
      </c>
      <c r="J629" s="52">
        <f>IF(D629="G",I629/AJ629,I629/Q629)</f>
        <v>1.5461835857799393</v>
      </c>
      <c r="K629" s="51">
        <f>IF(Settings!$E$18="C/LW/RW",VLOOKUP(B629,'C'!A1:F206,6,FALSE),VLOOKUP(B629,F!A1:F392,6,FALSE))</f>
        <v>-274.70782604783108</v>
      </c>
      <c r="L629" s="53">
        <f>IFERROR(K629/H629,"N/A")</f>
        <v>-203.48727855394893</v>
      </c>
      <c r="M629" s="83" t="str">
        <f>IF(Settings!$E$9="YAHOO",VLOOKUP(B629,ADP!A1:E665,2,FALSE),IF(Settings!$E$9="ESPN",VLOOKUP(B629,ADP!A1:E665,3,FALSE),IF(Settings!$E$9="FANTRAX",VLOOKUP(B629,ADP!A1:E665,4,FALSE),VLOOKUP(B629,ADP!A1:E665,5,FALSE))))</f>
        <v>—</v>
      </c>
      <c r="N629" s="83" t="str">
        <f>IFERROR(M629-A629,"N/A")</f>
        <v>N/A</v>
      </c>
      <c r="O629" s="54"/>
      <c r="P629" s="55" t="str">
        <f>IF(Settings!$E$27="ON",VLOOKUP(B629,ADP!A1:H665,8,FALSE)," ")</f>
        <v xml:space="preserve"> </v>
      </c>
      <c r="Q629" s="56">
        <f>IF(Settings!$E$12="YES",VLOOKUP(B629,'Player Data'!A1:E667,5,FALSE),82)</f>
        <v>74.525000000000006</v>
      </c>
      <c r="R629" s="54">
        <f>VLOOKUP(B629,'Player Data'!$A1:$AE667,6,FALSE)</f>
        <v>10.6407827511857</v>
      </c>
      <c r="S629" s="56">
        <f>VLOOKUP(B629,'Player Data'!$A1:$AE667,7,FALSE)*$Q629*IFERROR((VLOOKUP(P629,Settings!$E$28:$F$33,2,FALSE)+1),1)</f>
        <v>8.0576122353244664</v>
      </c>
      <c r="T629" s="56">
        <f>VLOOKUP(B629,'Player Data'!$A1:$AE667,8,FALSE)*$Q629*IFERROR((VLOOKUP(P629,Settings!$E$28:$F$33,2,FALSE)+1),1)</f>
        <v>8.3621522572417</v>
      </c>
      <c r="U629" s="56">
        <f>SUM(S629:T629)</f>
        <v>16.419764492566166</v>
      </c>
      <c r="V629" s="56">
        <f>VLOOKUP(B629,'Player Data'!$A1:$AE667,10,FALSE)*$Q629*IFERROR(((VLOOKUP(P629,Settings!$E$28:$F$33,2,FALSE)/2)+1),1)</f>
        <v>89.305862423048964</v>
      </c>
      <c r="W629" s="56">
        <f>VLOOKUP(B629,'Player Data'!$A1:$AE667,11,FALSE)*$Q629*IFERROR((VLOOKUP(P629,Settings!$E$28:$F$33,2,FALSE)+1),1)</f>
        <v>4.5410023795965412E-2</v>
      </c>
      <c r="X629" s="56">
        <f>VLOOKUP(B629,'Player Data'!$A1:$AE667,12,FALSE)*$Q629*IFERROR((VLOOKUP(P629,Settings!$E$28:$F$33,2,FALSE)+1),1)</f>
        <v>0.14251879150252117</v>
      </c>
      <c r="Y629" s="56">
        <f>VLOOKUP(B629,'Player Data'!$A1:$AE667,13,FALSE)*$Q629</f>
        <v>0.15432356139375641</v>
      </c>
      <c r="Z629" s="56">
        <f>VLOOKUP(B629,'Player Data'!$A1:$AE667,14,FALSE)*$Q629</f>
        <v>0.93204149189658059</v>
      </c>
      <c r="AA629" s="56">
        <f>VLOOKUP(B629,'Player Data'!$A1:$AE667,15,FALSE)*$Q629</f>
        <v>40.485093515255784</v>
      </c>
      <c r="AB629" s="56">
        <f>VLOOKUP(B629,'Player Data'!$A1:$AE667,16,FALSE)*$Q629</f>
        <v>109.09917802991056</v>
      </c>
      <c r="AC629" s="56">
        <f>VLOOKUP(B629,'Player Data'!$A1:$AE667,17,FALSE)*$Q629*IFERROR((VLOOKUP(P629,Settings!$E$28:$F$33,2,FALSE)+1),1)</f>
        <v>2.0120326705091824</v>
      </c>
      <c r="AD629" s="56">
        <f>VLOOKUP(B629,'Player Data'!$A1:$AE667,18,FALSE)*$Q629</f>
        <v>23.085499555356737</v>
      </c>
      <c r="AE629" s="56">
        <f>VLOOKUP(B629,'Player Data'!$A1:$AE667,19,FALSE)*$Q629*IFERROR((VLOOKUP(P629,Settings!$E$28:$F$33,2,FALSE)+1),1)</f>
        <v>1.3393891464797718</v>
      </c>
      <c r="AF629" s="56">
        <f>VLOOKUP(B629,'Player Data'!$A1:$AE667,20,FALSE)*$Q629</f>
        <v>51.306518331349878</v>
      </c>
      <c r="AG629" s="56">
        <f>VLOOKUP(B629,'Player Data'!$A1:$AE667,21,FALSE)*$Q629</f>
        <v>59.124174709760773</v>
      </c>
      <c r="AH629" s="58">
        <f>VLOOKUP(B629,'Player Data'!$A1:$AE667,22,FALSE)</f>
        <v>0.46460378829869098</v>
      </c>
      <c r="AI629" s="54"/>
      <c r="AJ629" s="64"/>
      <c r="AK629" s="56"/>
      <c r="AL629" s="56"/>
      <c r="AM629" s="56"/>
      <c r="AN629" s="56"/>
      <c r="AO629" s="56"/>
      <c r="AP629" s="56"/>
      <c r="AQ629" s="59"/>
      <c r="AR629" s="60"/>
      <c r="AS629" s="54"/>
    </row>
    <row r="630" spans="1:45" ht="21.25" customHeight="1" x14ac:dyDescent="0.15">
      <c r="A630" s="45">
        <f>RANK(K630,K$1:K$665)</f>
        <v>629</v>
      </c>
      <c r="B630" s="9" t="s">
        <v>755</v>
      </c>
      <c r="C630" s="46" t="s">
        <v>127</v>
      </c>
      <c r="D630" s="47" t="str">
        <f>VLOOKUP(B630,'Player Data'!A1:D667,4,FALSE)</f>
        <v>G</v>
      </c>
      <c r="E630" s="73">
        <f>VLOOKUP(B630,G!A1:D65,3,FALSE)</f>
        <v>58</v>
      </c>
      <c r="F630" s="65" t="str">
        <f>VLOOKUP(B630,'Player Data'!A1:B667,2,FALSE)</f>
        <v>FLA</v>
      </c>
      <c r="G630" s="69">
        <f>VLOOKUP(B630,'Player Data'!A1:D667,3,FALSE)</f>
        <v>23</v>
      </c>
      <c r="H630" s="50">
        <f>IFERROR(VLOOKUP(B630,ADP!A1:G665,7,FALSE)/1000000,VLOOKUP(B630,ADP!A1:G665,7,FALSE))</f>
        <v>4.5</v>
      </c>
      <c r="I630" s="51">
        <f>IF(Settings!$E$15="POINTS",(AJ630*Settings!$B$29)+(AK630*Settings!$B$21)+(AL630*Settings!$B$22)+(AN630*Settings!$B$24)+(AO630*Settings!$B$25)+(AP630*Settings!$B$27)+(AM630*Settings!$B$23),VLOOKUP(B630,'Standard Deviations'!A1:C666,3,FALSE))</f>
        <v>135.54955430075773</v>
      </c>
      <c r="J630" s="52">
        <f>IF(D630="G",I630/AJ630,I630/Q630)</f>
        <v>6.16134337730717</v>
      </c>
      <c r="K630" s="51">
        <f>VLOOKUP(B630,G!A1:F65,6,FALSE)</f>
        <v>-275.11018846866244</v>
      </c>
      <c r="L630" s="53">
        <f>IFERROR(K630/H630,"N/A")</f>
        <v>-61.135597437480541</v>
      </c>
      <c r="M630" s="54">
        <f>IF(Settings!$E$9="YAHOO",VLOOKUP(B630,ADP!A1:E665,2,FALSE),IF(Settings!$E$9="ESPN",VLOOKUP(B630,ADP!A1:E665,3,FALSE),IF(Settings!$E$9="FANTRAX",VLOOKUP(B630,ADP!A1:E665,4,FALSE),VLOOKUP(B630,ADP!A1:E665,5,FALSE))))</f>
        <v>186</v>
      </c>
      <c r="N630" s="54">
        <f>IFERROR(M630-A630,"N/A")</f>
        <v>-443</v>
      </c>
      <c r="O630" s="54"/>
      <c r="P630" s="55" t="str">
        <f>IF(Settings!$E$27="ON",VLOOKUP(B630,ADP!A1:H665,8,FALSE)," ")</f>
        <v xml:space="preserve"> </v>
      </c>
      <c r="Q630" s="56"/>
      <c r="R630" s="54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8"/>
      <c r="AI630" s="54"/>
      <c r="AJ630" s="64">
        <f>VLOOKUP(B630,'Player Data'!$A1:$AE667,24,FALSE)</f>
        <v>22</v>
      </c>
      <c r="AK630" s="56">
        <f>VLOOKUP(B630,'Player Data'!$A1:$AE667,25,FALSE)*$AJ630*IFERROR((VLOOKUP(P630,Settings!$E$28:$F$33,2,FALSE)+1),1)</f>
        <v>12.843862579513878</v>
      </c>
      <c r="AL630" s="56">
        <f>AJ630-AK630-AM630</f>
        <v>6.4061374204861217</v>
      </c>
      <c r="AM630" s="56">
        <f>VLOOKUP(B630,'Player Data'!$A1:$AE667,27,FALSE)*$AJ630</f>
        <v>2.75</v>
      </c>
      <c r="AN630" s="56">
        <f>VLOOKUP(B630,'Player Data'!$A1:$AE667,28,FALSE)*AJ630</f>
        <v>1.2083149636980686</v>
      </c>
      <c r="AO630" s="56">
        <f>VLOOKUP(B630,'Player Data'!$A1:$AE667,29,FALSE)*$AJ630*IFERROR((VLOOKUP(P630,Settings!$E$28:$F$33,2,FALSE)/4)+1,1)</f>
        <v>563.28448384206683</v>
      </c>
      <c r="AP630" s="56">
        <f>VLOOKUP(B630,'Player Data'!$A1:$AE667,31,FALSE)*$AJ630*(IFERROR(1-(VLOOKUP(P630,Settings!$E$28:$F$33,2,FALSE)/4),1))</f>
        <v>61.9441967741718</v>
      </c>
      <c r="AQ630" s="59">
        <f>1-(AP630/(AO630+AP630))</f>
        <v>0.90092553541670817</v>
      </c>
      <c r="AR630" s="60">
        <f>AP630/AJ630</f>
        <v>2.8156453079168999</v>
      </c>
      <c r="AS630" s="54"/>
    </row>
    <row r="631" spans="1:45" ht="21.25" customHeight="1" x14ac:dyDescent="0.15">
      <c r="A631" s="45">
        <f>RANK(K631,K$1:K$665)</f>
        <v>630</v>
      </c>
      <c r="B631" s="9" t="s">
        <v>756</v>
      </c>
      <c r="C631" s="46" t="s">
        <v>127</v>
      </c>
      <c r="D631" s="47" t="str">
        <f>VLOOKUP(B631,'Player Data'!A1:D667,4,FALSE)</f>
        <v>C</v>
      </c>
      <c r="E631" s="48">
        <f>VLOOKUP(B631,'C'!A1:C206,3,FALSE)</f>
        <v>186</v>
      </c>
      <c r="F631" s="74" t="str">
        <f>VLOOKUP(B631,'Player Data'!A1:B667,2,FALSE)</f>
        <v>PIT</v>
      </c>
      <c r="G631" s="63">
        <f>VLOOKUP(B631,'Player Data'!A1:D667,3,FALSE)</f>
        <v>32</v>
      </c>
      <c r="H631" s="50">
        <f>IFERROR(VLOOKUP(B631,ADP!A1:G665,7,FALSE)/1000000,VLOOKUP(B631,ADP!A1:G665,7,FALSE))</f>
        <v>2</v>
      </c>
      <c r="I631" s="51">
        <f>IF(Settings!$E$15="POINTS",((R631*Q631)*Settings!$B$12)+(S631*Settings!$B$2)+(T631*Settings!$B$3)+(U631*Settings!$B$4)+(V631*Settings!$B$5)+(X631*Settings!$B$9)+(AA631*Settings!$B$6)+(W631*Settings!$B$8)+(AB631*Settings!$B$7)+(AC631*Settings!$B$14)+(AD631*Settings!$B$15)+(AE631*Settings!$B$16)+(AF631*Settings!$B$17)+(AG631*Settings!$B$18)+(Y631*Settings!$B$10)+(Z631*Settings!$B$11),VLOOKUP(B631,'Standard Deviations'!A1:C666,3,FALSE))</f>
        <v>114.30616065230689</v>
      </c>
      <c r="J631" s="52">
        <f>IF(D631="G",I631/AJ631,I631/Q631)</f>
        <v>1.6248210469411073</v>
      </c>
      <c r="K631" s="51">
        <f>IF(Settings!$E$18="C/LW/RW",VLOOKUP(B631,'C'!A1:F206,6,FALSE),VLOOKUP(B631,F!A1:F392,6,FALSE))</f>
        <v>-275.63099712577423</v>
      </c>
      <c r="L631" s="53">
        <f>IFERROR(K631/H631,"N/A")</f>
        <v>-137.81549856288711</v>
      </c>
      <c r="M631" s="83" t="str">
        <f>IF(Settings!$E$9="YAHOO",VLOOKUP(B631,ADP!A1:E665,2,FALSE),IF(Settings!$E$9="ESPN",VLOOKUP(B631,ADP!A1:E665,3,FALSE),IF(Settings!$E$9="FANTRAX",VLOOKUP(B631,ADP!A1:E665,4,FALSE),VLOOKUP(B631,ADP!A1:E665,5,FALSE))))</f>
        <v>—</v>
      </c>
      <c r="N631" s="83" t="str">
        <f>IFERROR(M631-A631,"N/A")</f>
        <v>N/A</v>
      </c>
      <c r="O631" s="54"/>
      <c r="P631" s="55" t="str">
        <f>IF(Settings!$E$27="ON",VLOOKUP(B631,ADP!A1:H665,8,FALSE)," ")</f>
        <v xml:space="preserve"> </v>
      </c>
      <c r="Q631" s="56">
        <f>IF(Settings!$E$12="YES",VLOOKUP(B631,'Player Data'!A1:E667,5,FALSE),82)</f>
        <v>70.349999999999994</v>
      </c>
      <c r="R631" s="54">
        <f>VLOOKUP(B631,'Player Data'!$A1:$AE667,6,FALSE)</f>
        <v>12.1965751417279</v>
      </c>
      <c r="S631" s="56">
        <f>VLOOKUP(B631,'Player Data'!$A1:$AE667,7,FALSE)*$Q631*IFERROR((VLOOKUP(P631,Settings!$E$28:$F$33,2,FALSE)+1),1)</f>
        <v>6.2911144681247997</v>
      </c>
      <c r="T631" s="56">
        <f>VLOOKUP(B631,'Player Data'!$A1:$AE667,8,FALSE)*$Q631*IFERROR((VLOOKUP(P631,Settings!$E$28:$F$33,2,FALSE)+1),1)</f>
        <v>5.5519744262078108</v>
      </c>
      <c r="U631" s="56">
        <f>SUM(S631:T631)</f>
        <v>11.84308889433261</v>
      </c>
      <c r="V631" s="56">
        <f>VLOOKUP(B631,'Player Data'!$A1:$AE667,10,FALSE)*$Q631*IFERROR(((VLOOKUP(P631,Settings!$E$28:$F$33,2,FALSE)/2)+1),1)</f>
        <v>72.14985463247568</v>
      </c>
      <c r="W631" s="56">
        <f>VLOOKUP(B631,'Player Data'!$A1:$AE667,11,FALSE)*$Q631*IFERROR((VLOOKUP(P631,Settings!$E$28:$F$33,2,FALSE)+1),1)</f>
        <v>5.4873361558135152E-2</v>
      </c>
      <c r="X631" s="56">
        <f>VLOOKUP(B631,'Player Data'!$A1:$AE667,12,FALSE)*$Q631*IFERROR((VLOOKUP(P631,Settings!$E$28:$F$33,2,FALSE)+1),1)</f>
        <v>0.1265572941829195</v>
      </c>
      <c r="Y631" s="56">
        <f>VLOOKUP(B631,'Player Data'!$A1:$AE667,13,FALSE)*$Q631</f>
        <v>0.10477431538329314</v>
      </c>
      <c r="Z631" s="56">
        <f>VLOOKUP(B631,'Player Data'!$A1:$AE667,14,FALSE)*$Q631</f>
        <v>0.92136633308763549</v>
      </c>
      <c r="AA631" s="56">
        <f>VLOOKUP(B631,'Player Data'!$A1:$AE667,15,FALSE)*$Q631</f>
        <v>83.308086051601364</v>
      </c>
      <c r="AB631" s="56">
        <f>VLOOKUP(B631,'Player Data'!$A1:$AE667,16,FALSE)*$Q631</f>
        <v>147.39641867331662</v>
      </c>
      <c r="AC631" s="56">
        <f>VLOOKUP(B631,'Player Data'!$A1:$AE667,17,FALSE)*$Q631*IFERROR((VLOOKUP(P631,Settings!$E$28:$F$33,2,FALSE)+1),1)</f>
        <v>-1.610751555104716</v>
      </c>
      <c r="AD631" s="56">
        <f>VLOOKUP(B631,'Player Data'!$A1:$AE667,18,FALSE)*$Q631</f>
        <v>18.226816841562279</v>
      </c>
      <c r="AE631" s="56">
        <f>VLOOKUP(B631,'Player Data'!$A1:$AE667,19,FALSE)*$Q631*IFERROR((VLOOKUP(P631,Settings!$E$28:$F$33,2,FALSE)+1),1)</f>
        <v>0.93261306688892132</v>
      </c>
      <c r="AF631" s="56">
        <f>VLOOKUP(B631,'Player Data'!$A1:$AE667,20,FALSE)*$Q631</f>
        <v>344.16229843720981</v>
      </c>
      <c r="AG631" s="56">
        <f>VLOOKUP(B631,'Player Data'!$A1:$AE667,21,FALSE)*$Q631</f>
        <v>294.86849182575827</v>
      </c>
      <c r="AH631" s="58">
        <f>VLOOKUP(B631,'Player Data'!$A1:$AE667,22,FALSE)</f>
        <v>0.53856919522701396</v>
      </c>
      <c r="AI631" s="54"/>
      <c r="AJ631" s="64"/>
      <c r="AK631" s="56"/>
      <c r="AL631" s="56"/>
      <c r="AM631" s="56"/>
      <c r="AN631" s="56"/>
      <c r="AO631" s="56"/>
      <c r="AP631" s="56"/>
      <c r="AQ631" s="59"/>
      <c r="AR631" s="60"/>
      <c r="AS631" s="54"/>
    </row>
    <row r="632" spans="1:45" ht="21.25" customHeight="1" x14ac:dyDescent="0.15">
      <c r="A632" s="45">
        <f>RANK(K632,K$1:K$665)</f>
        <v>631</v>
      </c>
      <c r="B632" s="9" t="s">
        <v>757</v>
      </c>
      <c r="C632" s="46" t="s">
        <v>127</v>
      </c>
      <c r="D632" s="47" t="str">
        <f>VLOOKUP(B632,'Player Data'!A1:D667,4,FALSE)</f>
        <v>C</v>
      </c>
      <c r="E632" s="48">
        <f>VLOOKUP(B632,'C'!A1:C206,3,FALSE)</f>
        <v>187</v>
      </c>
      <c r="F632" s="72" t="str">
        <f>VLOOKUP(B632,'Player Data'!A1:B667,2,FALSE)</f>
        <v>L.A</v>
      </c>
      <c r="G632" s="69">
        <f>VLOOKUP(B632,'Player Data'!A1:D667,3,FALSE)</f>
        <v>23</v>
      </c>
      <c r="H632" s="50">
        <f>IFERROR(VLOOKUP(B632,ADP!A1:G665,7,FALSE)/1000000,VLOOKUP(B632,ADP!A1:G665,7,FALSE))</f>
        <v>0.77500000000000002</v>
      </c>
      <c r="I632" s="51">
        <f>IF(Settings!$E$15="POINTS",((R632*Q632)*Settings!$B$12)+(S632*Settings!$B$2)+(T632*Settings!$B$3)+(U632*Settings!$B$4)+(V632*Settings!$B$5)+(X632*Settings!$B$9)+(AA632*Settings!$B$6)+(W632*Settings!$B$8)+(AB632*Settings!$B$7)+(AC632*Settings!$B$14)+(AD632*Settings!$B$15)+(AE632*Settings!$B$16)+(AF632*Settings!$B$17)+(AG632*Settings!$B$18)+(Y632*Settings!$B$10)+(Z632*Settings!$B$11),VLOOKUP(B632,'Standard Deviations'!A1:C666,3,FALSE))</f>
        <v>112.91435732816734</v>
      </c>
      <c r="J632" s="52">
        <f>IF(D632="G",I632/AJ632,I632/Q632)</f>
        <v>2.0055836115127414</v>
      </c>
      <c r="K632" s="51">
        <f>IF(Settings!$E$18="C/LW/RW",VLOOKUP(B632,'C'!A1:F206,6,FALSE),VLOOKUP(B632,F!A1:F392,6,FALSE))</f>
        <v>-277.02280044991375</v>
      </c>
      <c r="L632" s="53">
        <f>IFERROR(K632/H632,"N/A")</f>
        <v>-357.44877477408227</v>
      </c>
      <c r="M632" s="83" t="str">
        <f>IF(Settings!$E$9="YAHOO",VLOOKUP(B632,ADP!A1:E665,2,FALSE),IF(Settings!$E$9="ESPN",VLOOKUP(B632,ADP!A1:E665,3,FALSE),IF(Settings!$E$9="FANTRAX",VLOOKUP(B632,ADP!A1:E665,4,FALSE),VLOOKUP(B632,ADP!A1:E665,5,FALSE))))</f>
        <v>—</v>
      </c>
      <c r="N632" s="83" t="str">
        <f>IFERROR(M632-A632,"N/A")</f>
        <v>N/A</v>
      </c>
      <c r="O632" s="54"/>
      <c r="P632" s="55" t="str">
        <f>IF(Settings!$E$27="ON",VLOOKUP(B632,ADP!A1:H665,8,FALSE)," ")</f>
        <v xml:space="preserve"> </v>
      </c>
      <c r="Q632" s="56">
        <f>IF(Settings!$E$12="YES",VLOOKUP(B632,'Player Data'!A1:E667,5,FALSE),82)</f>
        <v>56.3</v>
      </c>
      <c r="R632" s="75">
        <f>VLOOKUP(B632,'Player Data'!$A1:$AE667,6,FALSE)</f>
        <v>13.0775754791325</v>
      </c>
      <c r="S632" s="56">
        <f>VLOOKUP(B632,'Player Data'!$A1:$AE667,7,FALSE)*$Q632*IFERROR((VLOOKUP(P632,Settings!$E$28:$F$33,2,FALSE)+1),1)</f>
        <v>7.6733129496057142</v>
      </c>
      <c r="T632" s="56">
        <f>VLOOKUP(B632,'Player Data'!$A1:$AE667,8,FALSE)*$Q632*IFERROR((VLOOKUP(P632,Settings!$E$28:$F$33,2,FALSE)+1),1)</f>
        <v>12.282601056265985</v>
      </c>
      <c r="U632" s="56">
        <f>SUM(S632:T632)</f>
        <v>19.955914005871698</v>
      </c>
      <c r="V632" s="56">
        <f>VLOOKUP(B632,'Player Data'!$A1:$AE667,10,FALSE)*$Q632*IFERROR(((VLOOKUP(P632,Settings!$E$28:$F$33,2,FALSE)/2)+1),1)</f>
        <v>74.312447602074727</v>
      </c>
      <c r="W632" s="56">
        <f>VLOOKUP(B632,'Player Data'!$A1:$AE667,11,FALSE)*$Q632*IFERROR((VLOOKUP(P632,Settings!$E$28:$F$33,2,FALSE)+1),1)</f>
        <v>0.22006206629395147</v>
      </c>
      <c r="X632" s="56">
        <f>VLOOKUP(B632,'Player Data'!$A1:$AE667,12,FALSE)*$Q632*IFERROR((VLOOKUP(P632,Settings!$E$28:$F$33,2,FALSE)+1),1)</f>
        <v>0.50378559271124679</v>
      </c>
      <c r="Y632" s="56">
        <f>VLOOKUP(B632,'Player Data'!$A1:$AE667,13,FALSE)*$Q632</f>
        <v>0</v>
      </c>
      <c r="Z632" s="56">
        <f>VLOOKUP(B632,'Player Data'!$A1:$AE667,14,FALSE)*$Q632</f>
        <v>0</v>
      </c>
      <c r="AA632" s="56">
        <f>VLOOKUP(B632,'Player Data'!$A1:$AE667,15,FALSE)*$Q632</f>
        <v>30.77321183360727</v>
      </c>
      <c r="AB632" s="56">
        <f>VLOOKUP(B632,'Player Data'!$A1:$AE667,16,FALSE)*$Q632</f>
        <v>47.356117978483375</v>
      </c>
      <c r="AC632" s="56">
        <f>VLOOKUP(B632,'Player Data'!$A1:$AE667,17,FALSE)*$Q632*IFERROR((VLOOKUP(P632,Settings!$E$28:$F$33,2,FALSE)+1),1)</f>
        <v>1.8101671038477356</v>
      </c>
      <c r="AD632" s="56">
        <f>VLOOKUP(B632,'Player Data'!$A1:$AE667,18,FALSE)*$Q632</f>
        <v>22.684848708417274</v>
      </c>
      <c r="AE632" s="56">
        <f>VLOOKUP(B632,'Player Data'!$A1:$AE667,19,FALSE)*$Q632*IFERROR((VLOOKUP(P632,Settings!$E$28:$F$33,2,FALSE)+1),1)</f>
        <v>1.3674739179402429</v>
      </c>
      <c r="AF632" s="56">
        <f>VLOOKUP(B632,'Player Data'!$A1:$AE667,20,FALSE)*$Q632</f>
        <v>84.930930123318063</v>
      </c>
      <c r="AG632" s="56">
        <f>VLOOKUP(B632,'Player Data'!$A1:$AE667,21,FALSE)*$Q632</f>
        <v>93.412873658964074</v>
      </c>
      <c r="AH632" s="58">
        <f>VLOOKUP(B632,'Player Data'!$A1:$AE667,22,FALSE)</f>
        <v>0.47622024607594199</v>
      </c>
      <c r="AI632" s="54"/>
      <c r="AJ632" s="56"/>
      <c r="AK632" s="56"/>
      <c r="AL632" s="56"/>
      <c r="AM632" s="56"/>
      <c r="AN632" s="56"/>
      <c r="AO632" s="56"/>
      <c r="AP632" s="56"/>
      <c r="AQ632" s="59"/>
      <c r="AR632" s="60"/>
      <c r="AS632" s="54"/>
    </row>
    <row r="633" spans="1:45" ht="21.25" customHeight="1" x14ac:dyDescent="0.15">
      <c r="A633" s="45">
        <f>RANK(K633,K$1:K$665)</f>
        <v>632</v>
      </c>
      <c r="B633" s="9" t="s">
        <v>758</v>
      </c>
      <c r="C633" s="46" t="s">
        <v>127</v>
      </c>
      <c r="D633" s="47" t="str">
        <f>VLOOKUP(B633,'Player Data'!A1:D667,4,FALSE)</f>
        <v>RW</v>
      </c>
      <c r="E633" s="61">
        <f>VLOOKUP(B633,RW!A1:F136,3,FALSE)</f>
        <v>132</v>
      </c>
      <c r="F633" s="65" t="str">
        <f>VLOOKUP(B633,'Player Data'!A1:B667,2,FALSE)</f>
        <v>EDM</v>
      </c>
      <c r="G633" s="63">
        <f>VLOOKUP(B633,'Player Data'!A1:D667,3,FALSE)</f>
        <v>30</v>
      </c>
      <c r="H633" s="67">
        <f>IFERROR(VLOOKUP(B633,ADP!A1:G665,7,FALSE)/1000000,VLOOKUP(B633,ADP!A1:G665,7,FALSE))</f>
        <v>1</v>
      </c>
      <c r="I633" s="51">
        <f>IF(Settings!$E$15="POINTS",((R633*Q633)*Settings!$B$12)+(S633*Settings!$B$2)+(T633*Settings!$B$3)+(U633*Settings!$B$4)+(V633*Settings!$B$5)+(X633*Settings!$B$9)+(AA633*Settings!$B$6)+(W633*Settings!$B$8)+(AB633*Settings!$B$7)+(AC633*Settings!$B$14)+(AD633*Settings!$B$15)+(AE633*Settings!$B$16)+(AF633*Settings!$B$17)+(AG633*Settings!$B$18)+(Y633*Settings!$B$10)+(Z633*Settings!$B$11),VLOOKUP(B633,'Standard Deviations'!A1:C666,3,FALSE))</f>
        <v>91.721845872418371</v>
      </c>
      <c r="J633" s="52">
        <f>IF(D633="G",I633/AJ633,I633/Q633)</f>
        <v>1.3577861052132545</v>
      </c>
      <c r="K633" s="51">
        <f>IF(Settings!$E$18="C/LW/RW",VLOOKUP(B633,RW!A1:F136,6,FALSE),VLOOKUP(B633,F!A1:F392,6,FALSE))</f>
        <v>-277.12587723387401</v>
      </c>
      <c r="L633" s="53">
        <f>IFERROR(K633/H633,"N/A")</f>
        <v>-277.12587723387401</v>
      </c>
      <c r="M633" s="83" t="str">
        <f>IF(Settings!$E$9="YAHOO",VLOOKUP(B633,ADP!A1:E665,2,FALSE),IF(Settings!$E$9="ESPN",VLOOKUP(B633,ADP!A1:E665,3,FALSE),IF(Settings!$E$9="FANTRAX",VLOOKUP(B633,ADP!A1:E665,4,FALSE),VLOOKUP(B633,ADP!A1:E665,5,FALSE))))</f>
        <v>—</v>
      </c>
      <c r="N633" s="83" t="str">
        <f>IFERROR(M633-A633,"N/A")</f>
        <v>N/A</v>
      </c>
      <c r="O633" s="54"/>
      <c r="P633" s="55" t="str">
        <f>IF(Settings!$E$27="ON",VLOOKUP(B633,ADP!A1:H665,8,FALSE)," ")</f>
        <v xml:space="preserve"> </v>
      </c>
      <c r="Q633" s="56">
        <f>IF(Settings!$E$12="YES",VLOOKUP(B633,'Player Data'!A1:E667,5,FALSE),82)</f>
        <v>67.552499999999995</v>
      </c>
      <c r="R633" s="54">
        <f>VLOOKUP(B633,'Player Data'!$A1:$AE667,6,FALSE)</f>
        <v>11.887530245047699</v>
      </c>
      <c r="S633" s="56">
        <f>VLOOKUP(B633,'Player Data'!$A1:$AE667,7,FALSE)*$Q633*IFERROR((VLOOKUP(P633,Settings!$E$28:$F$33,2,FALSE)+1),1)</f>
        <v>3.8164622892378275</v>
      </c>
      <c r="T633" s="56">
        <f>VLOOKUP(B633,'Player Data'!$A1:$AE667,8,FALSE)*$Q633*IFERROR((VLOOKUP(P633,Settings!$E$28:$F$33,2,FALSE)+1),1)</f>
        <v>7.7903001033677857</v>
      </c>
      <c r="U633" s="56">
        <f>SUM(S633:T633)</f>
        <v>11.606762392605614</v>
      </c>
      <c r="V633" s="56">
        <f>VLOOKUP(B633,'Player Data'!$A1:$AE667,10,FALSE)*$Q633*IFERROR(((VLOOKUP(P633,Settings!$E$28:$F$33,2,FALSE)/2)+1),1)</f>
        <v>86.534343501628328</v>
      </c>
      <c r="W633" s="56">
        <f>VLOOKUP(B633,'Player Data'!$A1:$AE667,11,FALSE)*$Q633*IFERROR((VLOOKUP(P633,Settings!$E$28:$F$33,2,FALSE)+1),1)</f>
        <v>0.10825020300033693</v>
      </c>
      <c r="X633" s="56">
        <f>VLOOKUP(B633,'Player Data'!$A1:$AE667,12,FALSE)*$Q633*IFERROR((VLOOKUP(P633,Settings!$E$28:$F$33,2,FALSE)+1),1)</f>
        <v>0.55998038894784186</v>
      </c>
      <c r="Y633" s="56">
        <f>VLOOKUP(B633,'Player Data'!$A1:$AE667,13,FALSE)*$Q633</f>
        <v>0.27163345397468858</v>
      </c>
      <c r="Z633" s="56">
        <f>VLOOKUP(B633,'Player Data'!$A1:$AE667,14,FALSE)*$Q633</f>
        <v>0.890357984520457</v>
      </c>
      <c r="AA633" s="56">
        <f>VLOOKUP(B633,'Player Data'!$A1:$AE667,15,FALSE)*$Q633</f>
        <v>24.368097140638131</v>
      </c>
      <c r="AB633" s="56">
        <f>VLOOKUP(B633,'Player Data'!$A1:$AE667,16,FALSE)*$Q633</f>
        <v>42.688411880902386</v>
      </c>
      <c r="AC633" s="56">
        <f>VLOOKUP(B633,'Player Data'!$A1:$AE667,17,FALSE)*$Q633*IFERROR((VLOOKUP(P633,Settings!$E$28:$F$33,2,FALSE)+1),1)</f>
        <v>3.9839656434761328</v>
      </c>
      <c r="AD633" s="56">
        <f>VLOOKUP(B633,'Player Data'!$A1:$AE667,18,FALSE)*$Q633</f>
        <v>11.191722401882751</v>
      </c>
      <c r="AE633" s="56">
        <f>VLOOKUP(B633,'Player Data'!$A1:$AE667,19,FALSE)*$Q633*IFERROR((VLOOKUP(P633,Settings!$E$28:$F$33,2,FALSE)+1),1)</f>
        <v>0.61626384928671007</v>
      </c>
      <c r="AF633" s="56">
        <f>VLOOKUP(B633,'Player Data'!$A1:$AE667,20,FALSE)*$Q633</f>
        <v>18.34233077043066</v>
      </c>
      <c r="AG633" s="56">
        <f>VLOOKUP(B633,'Player Data'!$A1:$AE667,21,FALSE)*$Q633</f>
        <v>28.621210747029927</v>
      </c>
      <c r="AH633" s="58">
        <f>VLOOKUP(B633,'Player Data'!$A1:$AE667,22,FALSE)</f>
        <v>0.39056532317970899</v>
      </c>
      <c r="AI633" s="54"/>
      <c r="AJ633" s="64"/>
      <c r="AK633" s="56"/>
      <c r="AL633" s="56"/>
      <c r="AM633" s="56"/>
      <c r="AN633" s="56"/>
      <c r="AO633" s="56"/>
      <c r="AP633" s="56"/>
      <c r="AQ633" s="59"/>
      <c r="AR633" s="60"/>
      <c r="AS633" s="54"/>
    </row>
    <row r="634" spans="1:45" ht="21.25" customHeight="1" x14ac:dyDescent="0.15">
      <c r="A634" s="45">
        <f>RANK(K634,K$1:K$665)</f>
        <v>633</v>
      </c>
      <c r="B634" s="9" t="s">
        <v>759</v>
      </c>
      <c r="C634" s="46" t="s">
        <v>127</v>
      </c>
      <c r="D634" s="47" t="str">
        <f>VLOOKUP(B634,'Player Data'!A1:D667,4,FALSE)</f>
        <v>LW</v>
      </c>
      <c r="E634" s="70">
        <f>VLOOKUP(B634,LW!A1:C152,3,FALSE)</f>
        <v>141</v>
      </c>
      <c r="F634" s="65" t="str">
        <f>VLOOKUP(B634,'Player Data'!A1:B667,2,FALSE)</f>
        <v>WSH</v>
      </c>
      <c r="G634" s="69">
        <f>VLOOKUP(B634,'Player Data'!A1:D667,3,FALSE)</f>
        <v>20</v>
      </c>
      <c r="H634" s="50">
        <f>IFERROR(VLOOKUP(B634,ADP!A1:G665,7,FALSE)/1000000,VLOOKUP(B634,ADP!A1:G665,7,FALSE))</f>
        <v>0.95</v>
      </c>
      <c r="I634" s="51">
        <f>IF(Settings!$E$15="POINTS",((R634*Q634)*Settings!$B$12)+(S634*Settings!$B$2)+(T634*Settings!$B$3)+(U634*Settings!$B$4)+(V634*Settings!$B$5)+(X634*Settings!$B$9)+(AA634*Settings!$B$6)+(W634*Settings!$B$8)+(AB634*Settings!$B$7)+(AC634*Settings!$B$14)+(AD634*Settings!$B$15)+(AE634*Settings!$B$16)+(AF634*Settings!$B$17)+(AG634*Settings!$B$18)+(Y634*Settings!$B$10)+(Z634*Settings!$B$11),VLOOKUP(B634,'Standard Deviations'!A1:C666,3,FALSE))</f>
        <v>103.52591536446353</v>
      </c>
      <c r="J634" s="52">
        <f>IF(D634="G",I634/AJ634,I634/Q634)</f>
        <v>1.8253709841217232</v>
      </c>
      <c r="K634" s="51">
        <f>IF(Settings!$E$18="C/LW/RW",VLOOKUP(B634,LW!A1:F152,6,FALSE),VLOOKUP(B634,F!A1:F392,6,FALSE))</f>
        <v>-277.53559693803624</v>
      </c>
      <c r="L634" s="53">
        <f>IFERROR(K634/H634,"N/A")</f>
        <v>-292.14273361898552</v>
      </c>
      <c r="M634" s="83" t="str">
        <f>IF(Settings!$E$9="YAHOO",VLOOKUP(B634,ADP!A1:E665,2,FALSE),IF(Settings!$E$9="ESPN",VLOOKUP(B634,ADP!A1:E665,3,FALSE),IF(Settings!$E$9="FANTRAX",VLOOKUP(B634,ADP!A1:E665,4,FALSE),VLOOKUP(B634,ADP!A1:E665,5,FALSE))))</f>
        <v>—</v>
      </c>
      <c r="N634" s="83" t="str">
        <f>IFERROR(M634-A634,"N/A")</f>
        <v>N/A</v>
      </c>
      <c r="O634" s="54"/>
      <c r="P634" s="55" t="str">
        <f>IF(Settings!$E$27="ON",VLOOKUP(B634,ADP!A1:H665,8,FALSE)," ")</f>
        <v xml:space="preserve"> </v>
      </c>
      <c r="Q634" s="56">
        <f>IF(Settings!$E$12="YES",VLOOKUP(B634,'Player Data'!A1:E667,5,FALSE),82)</f>
        <v>56.715000000000003</v>
      </c>
      <c r="R634" s="54">
        <f>VLOOKUP(B634,'Player Data'!$A1:$AE667,6,FALSE)</f>
        <v>11.7477363213312</v>
      </c>
      <c r="S634" s="56">
        <f>VLOOKUP(B634,'Player Data'!$A1:$AE667,7,FALSE)*$Q634*IFERROR((VLOOKUP(P634,Settings!$E$28:$F$33,2,FALSE)+1),1)</f>
        <v>7.4778101385852684</v>
      </c>
      <c r="T634" s="56">
        <f>VLOOKUP(B634,'Player Data'!$A1:$AE667,8,FALSE)*$Q634*IFERROR((VLOOKUP(P634,Settings!$E$28:$F$33,2,FALSE)+1),1)</f>
        <v>10.625341296559501</v>
      </c>
      <c r="U634" s="56">
        <f>SUM(S634:T634)</f>
        <v>18.10315143514477</v>
      </c>
      <c r="V634" s="56">
        <f>VLOOKUP(B634,'Player Data'!$A1:$AE667,10,FALSE)*$Q634*IFERROR(((VLOOKUP(P634,Settings!$E$28:$F$33,2,FALSE)/2)+1),1)</f>
        <v>77.684177147992344</v>
      </c>
      <c r="W634" s="56">
        <f>VLOOKUP(B634,'Player Data'!$A1:$AE667,11,FALSE)*$Q634*IFERROR((VLOOKUP(P634,Settings!$E$28:$F$33,2,FALSE)+1),1)</f>
        <v>0.25552412042166306</v>
      </c>
      <c r="X634" s="56">
        <f>VLOOKUP(B634,'Player Data'!$A1:$AE667,12,FALSE)*$Q634*IFERROR((VLOOKUP(P634,Settings!$E$28:$F$33,2,FALSE)+1),1)</f>
        <v>0.78893757728248104</v>
      </c>
      <c r="Y634" s="56">
        <f>VLOOKUP(B634,'Player Data'!$A1:$AE667,13,FALSE)*$Q634</f>
        <v>0</v>
      </c>
      <c r="Z634" s="56">
        <f>VLOOKUP(B634,'Player Data'!$A1:$AE667,14,FALSE)*$Q634</f>
        <v>0</v>
      </c>
      <c r="AA634" s="56">
        <f>VLOOKUP(B634,'Player Data'!$A1:$AE667,15,FALSE)*$Q634</f>
        <v>19.170869815501145</v>
      </c>
      <c r="AB634" s="56">
        <f>VLOOKUP(B634,'Player Data'!$A1:$AE667,16,FALSE)*$Q634</f>
        <v>103.9260277911838</v>
      </c>
      <c r="AC634" s="56">
        <f>VLOOKUP(B634,'Player Data'!$A1:$AE667,17,FALSE)*$Q634*IFERROR((VLOOKUP(P634,Settings!$E$28:$F$33,2,FALSE)+1),1)</f>
        <v>-1.2679666676819292</v>
      </c>
      <c r="AD634" s="56">
        <f>VLOOKUP(B634,'Player Data'!$A1:$AE667,18,FALSE)*$Q634</f>
        <v>17.187915838008394</v>
      </c>
      <c r="AE634" s="56">
        <f>VLOOKUP(B634,'Player Data'!$A1:$AE667,19,FALSE)*$Q634*IFERROR((VLOOKUP(P634,Settings!$E$28:$F$33,2,FALSE)+1),1)</f>
        <v>1.0611949932706779</v>
      </c>
      <c r="AF634" s="56">
        <f>VLOOKUP(B634,'Player Data'!$A1:$AE667,20,FALSE)*$Q634</f>
        <v>0</v>
      </c>
      <c r="AG634" s="56">
        <f>VLOOKUP(B634,'Player Data'!$A1:$AE667,21,FALSE)*$Q634</f>
        <v>5.2266943750876624</v>
      </c>
      <c r="AH634" s="58">
        <f>VLOOKUP(B634,'Player Data'!$A1:$AE667,22,FALSE)</f>
        <v>0</v>
      </c>
      <c r="AI634" s="54"/>
      <c r="AJ634" s="64"/>
      <c r="AK634" s="56"/>
      <c r="AL634" s="56"/>
      <c r="AM634" s="56"/>
      <c r="AN634" s="56"/>
      <c r="AO634" s="56"/>
      <c r="AP634" s="56"/>
      <c r="AQ634" s="59"/>
      <c r="AR634" s="60"/>
      <c r="AS634" s="54"/>
    </row>
    <row r="635" spans="1:45" ht="21.25" customHeight="1" x14ac:dyDescent="0.15">
      <c r="A635" s="45">
        <f>RANK(K635,K$1:K$665)</f>
        <v>634</v>
      </c>
      <c r="B635" s="9" t="s">
        <v>760</v>
      </c>
      <c r="C635" s="46" t="s">
        <v>127</v>
      </c>
      <c r="D635" s="47" t="str">
        <f>VLOOKUP(B635,'Player Data'!A1:D667,4,FALSE)</f>
        <v>G</v>
      </c>
      <c r="E635" s="73">
        <f>VLOOKUP(B635,G!A1:D65,3,FALSE)</f>
        <v>59</v>
      </c>
      <c r="F635" s="71" t="str">
        <f>VLOOKUP(B635,'Player Data'!A1:B667,2,FALSE)</f>
        <v>VAN</v>
      </c>
      <c r="G635" s="69">
        <f>VLOOKUP(B635,'Player Data'!A1:D667,3,FALSE)</f>
        <v>23</v>
      </c>
      <c r="H635" s="50">
        <f>IFERROR(VLOOKUP(B635,ADP!A1:G665,7,FALSE)/1000000,VLOOKUP(B635,ADP!A1:G665,7,FALSE))</f>
        <v>0.85</v>
      </c>
      <c r="I635" s="51">
        <f>IF(Settings!$E$15="POINTS",(AJ635*Settings!$B$29)+(AK635*Settings!$B$21)+(AL635*Settings!$B$22)+(AN635*Settings!$B$24)+(AO635*Settings!$B$25)+(AP635*Settings!$B$27)+(AM635*Settings!$B$23),VLOOKUP(B635,'Standard Deviations'!A1:C666,3,FALSE))</f>
        <v>132.91297193364059</v>
      </c>
      <c r="J635" s="52">
        <f>IF(D635="G",I635/AJ635,I635/Q635)</f>
        <v>6.0414987242563907</v>
      </c>
      <c r="K635" s="51">
        <f>VLOOKUP(B635,G!A1:F65,6,FALSE)</f>
        <v>-277.74677083577956</v>
      </c>
      <c r="L635" s="53">
        <f>IFERROR(K635/H635,"N/A")</f>
        <v>-326.76090686562304</v>
      </c>
      <c r="M635" s="54">
        <f>IF(Settings!$E$9="YAHOO",VLOOKUP(B635,ADP!A1:E665,2,FALSE),IF(Settings!$E$9="ESPN",VLOOKUP(B635,ADP!A1:E665,3,FALSE),IF(Settings!$E$9="FANTRAX",VLOOKUP(B635,ADP!A1:E665,4,FALSE),VLOOKUP(B635,ADP!A1:E665,5,FALSE))))</f>
        <v>160</v>
      </c>
      <c r="N635" s="54">
        <f>IFERROR(M635-A635,"N/A")</f>
        <v>-474</v>
      </c>
      <c r="O635" s="54"/>
      <c r="P635" s="55" t="str">
        <f>IF(Settings!$E$27="ON",VLOOKUP(B635,ADP!A1:H665,8,FALSE)," ")</f>
        <v xml:space="preserve"> </v>
      </c>
      <c r="Q635" s="56"/>
      <c r="R635" s="54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8"/>
      <c r="AI635" s="54"/>
      <c r="AJ635" s="64">
        <f>VLOOKUP(B635,'Player Data'!$A1:$AE667,24,FALSE)</f>
        <v>22</v>
      </c>
      <c r="AK635" s="56">
        <f>VLOOKUP(B635,'Player Data'!$A1:$AE667,25,FALSE)*$AJ635*IFERROR((VLOOKUP(P635,Settings!$E$28:$F$33,2,FALSE)+1),1)</f>
        <v>12.39365753537197</v>
      </c>
      <c r="AL635" s="56">
        <f>AJ635-AK635-AM635</f>
        <v>6.85634246462803</v>
      </c>
      <c r="AM635" s="56">
        <f>VLOOKUP(B635,'Player Data'!$A1:$AE667,27,FALSE)*$AJ635</f>
        <v>2.75</v>
      </c>
      <c r="AN635" s="56">
        <f>VLOOKUP(B635,'Player Data'!$A1:$AE667,28,FALSE)*AJ635</f>
        <v>1.11623659570357</v>
      </c>
      <c r="AO635" s="56">
        <f>VLOOKUP(B635,'Player Data'!$A1:$AE667,29,FALSE)*$AJ635*IFERROR((VLOOKUP(P635,Settings!$E$28:$F$33,2,FALSE)/4)+1,1)</f>
        <v>569.3386388214426</v>
      </c>
      <c r="AP635" s="56">
        <f>VLOOKUP(B635,'Player Data'!$A1:$AE667,31,FALSE)*$AJ635*(IFERROR(1-(VLOOKUP(P635,Settings!$E$28:$F$33,2,FALSE)/4),1))</f>
        <v>63.3511855596334</v>
      </c>
      <c r="AQ635" s="59">
        <f>1-(AP635/(AO635+AP635))</f>
        <v>0.8998700735836771</v>
      </c>
      <c r="AR635" s="60">
        <f>AP635/AJ635</f>
        <v>2.8795993436197</v>
      </c>
      <c r="AS635" s="54"/>
    </row>
    <row r="636" spans="1:45" ht="21.25" customHeight="1" x14ac:dyDescent="0.15">
      <c r="A636" s="45">
        <f>RANK(K636,K$1:K$665)</f>
        <v>635</v>
      </c>
      <c r="B636" s="9" t="s">
        <v>761</v>
      </c>
      <c r="C636" s="46" t="s">
        <v>127</v>
      </c>
      <c r="D636" s="47" t="str">
        <f>VLOOKUP(B636,'Player Data'!A1:D667,4,FALSE)</f>
        <v>RW</v>
      </c>
      <c r="E636" s="61">
        <f>VLOOKUP(B636,RW!A1:F136,3,FALSE)</f>
        <v>133</v>
      </c>
      <c r="F636" s="77" t="str">
        <f>VLOOKUP(B636,'Player Data'!A1:B667,2,FALSE)</f>
        <v>CBJ</v>
      </c>
      <c r="G636" s="10">
        <f>VLOOKUP(B636,'Player Data'!A1:D667,3,FALSE)</f>
        <v>27</v>
      </c>
      <c r="H636" s="67">
        <f>IFERROR(VLOOKUP(B636,ADP!A1:G665,7,FALSE)/1000000,VLOOKUP(B636,ADP!A1:G665,7,FALSE))</f>
        <v>1.1000000000000001</v>
      </c>
      <c r="I636" s="51">
        <f>IF(Settings!$E$15="POINTS",((R636*Q636)*Settings!$B$12)+(S636*Settings!$B$2)+(T636*Settings!$B$3)+(U636*Settings!$B$4)+(V636*Settings!$B$5)+(X636*Settings!$B$9)+(AA636*Settings!$B$6)+(W636*Settings!$B$8)+(AB636*Settings!$B$7)+(AC636*Settings!$B$14)+(AD636*Settings!$B$15)+(AE636*Settings!$B$16)+(AF636*Settings!$B$17)+(AG636*Settings!$B$18)+(Y636*Settings!$B$10)+(Z636*Settings!$B$11),VLOOKUP(B636,'Standard Deviations'!A1:C666,3,FALSE))</f>
        <v>90.829584684478633</v>
      </c>
      <c r="J636" s="52">
        <f>IF(D636="G",I636/AJ636,I636/Q636)</f>
        <v>1.3424413935039703</v>
      </c>
      <c r="K636" s="51">
        <f>IF(Settings!$E$18="C/LW/RW",VLOOKUP(B636,RW!A1:F136,6,FALSE),VLOOKUP(B636,F!A1:F392,6,FALSE))</f>
        <v>-278.01813842181377</v>
      </c>
      <c r="L636" s="53">
        <f>IFERROR(K636/H636,"N/A")</f>
        <v>-252.74376220164888</v>
      </c>
      <c r="M636" s="83" t="str">
        <f>IF(Settings!$E$9="YAHOO",VLOOKUP(B636,ADP!A1:E665,2,FALSE),IF(Settings!$E$9="ESPN",VLOOKUP(B636,ADP!A1:E665,3,FALSE),IF(Settings!$E$9="FANTRAX",VLOOKUP(B636,ADP!A1:E665,4,FALSE),VLOOKUP(B636,ADP!A1:E665,5,FALSE))))</f>
        <v>—</v>
      </c>
      <c r="N636" s="83" t="str">
        <f>IFERROR(M636-A636,"N/A")</f>
        <v>N/A</v>
      </c>
      <c r="O636" s="54"/>
      <c r="P636" s="55" t="str">
        <f>IF(Settings!$E$27="ON",VLOOKUP(B636,ADP!A1:H665,8,FALSE)," ")</f>
        <v xml:space="preserve"> </v>
      </c>
      <c r="Q636" s="56">
        <f>IF(Settings!$E$12="YES",VLOOKUP(B636,'Player Data'!A1:E667,5,FALSE),82)</f>
        <v>67.66</v>
      </c>
      <c r="R636" s="54">
        <f>VLOOKUP(B636,'Player Data'!$A1:$AE667,6,FALSE)</f>
        <v>10.3444562644251</v>
      </c>
      <c r="S636" s="56">
        <f>VLOOKUP(B636,'Player Data'!$A1:$AE667,7,FALSE)*$Q636*IFERROR((VLOOKUP(P636,Settings!$E$28:$F$33,2,FALSE)+1),1)</f>
        <v>4.7352731375097967</v>
      </c>
      <c r="T636" s="56">
        <f>VLOOKUP(B636,'Player Data'!$A1:$AE667,8,FALSE)*$Q636*IFERROR((VLOOKUP(P636,Settings!$E$28:$F$33,2,FALSE)+1),1)</f>
        <v>7.6647000451315463</v>
      </c>
      <c r="U636" s="56">
        <f>SUM(S636:T636)</f>
        <v>12.399973182641343</v>
      </c>
      <c r="V636" s="56">
        <f>VLOOKUP(B636,'Player Data'!$A1:$AE667,10,FALSE)*$Q636*IFERROR(((VLOOKUP(P636,Settings!$E$28:$F$33,2,FALSE)/2)+1),1)</f>
        <v>64.032575223172316</v>
      </c>
      <c r="W636" s="56">
        <f>VLOOKUP(B636,'Player Data'!$A1:$AE667,11,FALSE)*$Q636*IFERROR((VLOOKUP(P636,Settings!$E$28:$F$33,2,FALSE)+1),1)</f>
        <v>4.6468368887977132E-2</v>
      </c>
      <c r="X636" s="56">
        <f>VLOOKUP(B636,'Player Data'!$A1:$AE667,12,FALSE)*$Q636*IFERROR((VLOOKUP(P636,Settings!$E$28:$F$33,2,FALSE)+1),1)</f>
        <v>0.10922925867739819</v>
      </c>
      <c r="Y636" s="56">
        <f>VLOOKUP(B636,'Player Data'!$A1:$AE667,13,FALSE)*$Q636</f>
        <v>0.46399839221695438</v>
      </c>
      <c r="Z636" s="56">
        <f>VLOOKUP(B636,'Player Data'!$A1:$AE667,14,FALSE)*$Q636</f>
        <v>0.53681569222201964</v>
      </c>
      <c r="AA636" s="56">
        <f>VLOOKUP(B636,'Player Data'!$A1:$AE667,15,FALSE)*$Q636</f>
        <v>41.934665148138052</v>
      </c>
      <c r="AB636" s="56">
        <f>VLOOKUP(B636,'Player Data'!$A1:$AE667,16,FALSE)*$Q636</f>
        <v>159.57963609334575</v>
      </c>
      <c r="AC636" s="56">
        <f>VLOOKUP(B636,'Player Data'!$A1:$AE667,17,FALSE)*$Q636*IFERROR((VLOOKUP(P636,Settings!$E$28:$F$33,2,FALSE)+1),1)</f>
        <v>-6.5262528338655299</v>
      </c>
      <c r="AD636" s="56">
        <f>VLOOKUP(B636,'Player Data'!$A1:$AE667,18,FALSE)*$Q636</f>
        <v>57.013121358064552</v>
      </c>
      <c r="AE636" s="56">
        <f>VLOOKUP(B636,'Player Data'!$A1:$AE667,19,FALSE)*$Q636*IFERROR((VLOOKUP(P636,Settings!$E$28:$F$33,2,FALSE)+1),1)</f>
        <v>0.52364709787283026</v>
      </c>
      <c r="AF636" s="56">
        <f>VLOOKUP(B636,'Player Data'!$A1:$AE667,20,FALSE)*$Q636</f>
        <v>3.113972214641012</v>
      </c>
      <c r="AG636" s="56">
        <f>VLOOKUP(B636,'Player Data'!$A1:$AE667,21,FALSE)*$Q636</f>
        <v>14.022469173508867</v>
      </c>
      <c r="AH636" s="58">
        <f>VLOOKUP(B636,'Player Data'!$A1:$AE667,22,FALSE)</f>
        <v>0.181716386973691</v>
      </c>
      <c r="AI636" s="54"/>
      <c r="AJ636" s="56"/>
      <c r="AK636" s="56"/>
      <c r="AL636" s="56"/>
      <c r="AM636" s="56"/>
      <c r="AN636" s="56"/>
      <c r="AO636" s="56"/>
      <c r="AP636" s="56"/>
      <c r="AQ636" s="59"/>
      <c r="AR636" s="60"/>
      <c r="AS636" s="64"/>
    </row>
    <row r="637" spans="1:45" ht="21.25" customHeight="1" x14ac:dyDescent="0.15">
      <c r="A637" s="45">
        <f>RANK(K637,K$1:K$665)</f>
        <v>636</v>
      </c>
      <c r="B637" s="9" t="s">
        <v>762</v>
      </c>
      <c r="C637" s="46" t="s">
        <v>127</v>
      </c>
      <c r="D637" s="47" t="str">
        <f>VLOOKUP(B637,'Player Data'!A1:D667,4,FALSE)</f>
        <v>C</v>
      </c>
      <c r="E637" s="48">
        <f>VLOOKUP(B637,'C'!A1:C206,3,FALSE)</f>
        <v>188</v>
      </c>
      <c r="F637" s="55" t="str">
        <f>VLOOKUP(B637,'Player Data'!A1:B667,2,FALSE)</f>
        <v>DAL</v>
      </c>
      <c r="G637" s="63">
        <f>VLOOKUP(B637,'Player Data'!A1:D667,3,FALSE)</f>
        <v>31</v>
      </c>
      <c r="H637" s="67">
        <f>IFERROR(VLOOKUP(B637,ADP!A1:G665,7,FALSE)/1000000,VLOOKUP(B637,ADP!A1:G665,7,FALSE))</f>
        <v>0.77500000000000002</v>
      </c>
      <c r="I637" s="51">
        <f>IF(Settings!$E$15="POINTS",((R637*Q637)*Settings!$B$12)+(S637*Settings!$B$2)+(T637*Settings!$B$3)+(U637*Settings!$B$4)+(V637*Settings!$B$5)+(X637*Settings!$B$9)+(AA637*Settings!$B$6)+(W637*Settings!$B$8)+(AB637*Settings!$B$7)+(AC637*Settings!$B$14)+(AD637*Settings!$B$15)+(AE637*Settings!$B$16)+(AF637*Settings!$B$17)+(AG637*Settings!$B$18)+(Y637*Settings!$B$10)+(Z637*Settings!$B$11),VLOOKUP(B637,'Standard Deviations'!A1:C666,3,FALSE))</f>
        <v>110.72850623089863</v>
      </c>
      <c r="J637" s="52">
        <f>IF(D637="G",I637/AJ637,I637/Q637)</f>
        <v>1.6071483904481096</v>
      </c>
      <c r="K637" s="51">
        <f>IF(Settings!$E$18="C/LW/RW",VLOOKUP(B637,'C'!A1:F206,6,FALSE),VLOOKUP(B637,F!A1:F392,6,FALSE))</f>
        <v>-279.20865154718246</v>
      </c>
      <c r="L637" s="53">
        <f>IFERROR(K637/H637,"N/A")</f>
        <v>-360.26922780281603</v>
      </c>
      <c r="M637" s="83" t="str">
        <f>IF(Settings!$E$9="YAHOO",VLOOKUP(B637,ADP!A1:E665,2,FALSE),IF(Settings!$E$9="ESPN",VLOOKUP(B637,ADP!A1:E665,3,FALSE),IF(Settings!$E$9="FANTRAX",VLOOKUP(B637,ADP!A1:E665,4,FALSE),VLOOKUP(B637,ADP!A1:E665,5,FALSE))))</f>
        <v>—</v>
      </c>
      <c r="N637" s="83" t="str">
        <f>IFERROR(M637-A637,"N/A")</f>
        <v>N/A</v>
      </c>
      <c r="O637" s="54"/>
      <c r="P637" s="55" t="str">
        <f>IF(Settings!$E$27="ON",VLOOKUP(B637,ADP!A1:H665,8,FALSE)," ")</f>
        <v xml:space="preserve"> </v>
      </c>
      <c r="Q637" s="56">
        <f>IF(Settings!$E$12="YES",VLOOKUP(B637,'Player Data'!A1:E667,5,FALSE),82)</f>
        <v>68.897499999999994</v>
      </c>
      <c r="R637" s="81">
        <f>VLOOKUP(B637,'Player Data'!$A1:$AE667,6,FALSE)</f>
        <v>12.3112903740366</v>
      </c>
      <c r="S637" s="56">
        <f>VLOOKUP(B637,'Player Data'!$A1:$AE667,7,FALSE)*$Q637*IFERROR((VLOOKUP(P637,Settings!$E$28:$F$33,2,FALSE)+1),1)</f>
        <v>7.0676656028940661</v>
      </c>
      <c r="T637" s="56">
        <f>VLOOKUP(B637,'Player Data'!$A1:$AE667,8,FALSE)*$Q637*IFERROR((VLOOKUP(P637,Settings!$E$28:$F$33,2,FALSE)+1),1)</f>
        <v>8.0996129590599608</v>
      </c>
      <c r="U637" s="56">
        <f>SUM(S637:T637)</f>
        <v>15.167278561954028</v>
      </c>
      <c r="V637" s="56">
        <f>VLOOKUP(B637,'Player Data'!$A1:$AE667,10,FALSE)*$Q637*IFERROR(((VLOOKUP(P637,Settings!$E$28:$F$33,2,FALSE)/2)+1),1)</f>
        <v>98.593715186125934</v>
      </c>
      <c r="W637" s="56">
        <f>VLOOKUP(B637,'Player Data'!$A1:$AE667,11,FALSE)*$Q637*IFERROR((VLOOKUP(P637,Settings!$E$28:$F$33,2,FALSE)+1),1)</f>
        <v>0.16929305223635566</v>
      </c>
      <c r="X637" s="56">
        <f>VLOOKUP(B637,'Player Data'!$A1:$AE667,12,FALSE)*$Q637*IFERROR((VLOOKUP(P637,Settings!$E$28:$F$33,2,FALSE)+1),1)</f>
        <v>0.29711506825665196</v>
      </c>
      <c r="Y637" s="56">
        <f>VLOOKUP(B637,'Player Data'!$A1:$AE667,13,FALSE)*$Q637</f>
        <v>0.47641840373817085</v>
      </c>
      <c r="Z637" s="56">
        <f>VLOOKUP(B637,'Player Data'!$A1:$AE667,14,FALSE)*$Q637</f>
        <v>0.87091162549876033</v>
      </c>
      <c r="AA637" s="56">
        <f>VLOOKUP(B637,'Player Data'!$A1:$AE667,15,FALSE)*$Q637</f>
        <v>29.523572516436335</v>
      </c>
      <c r="AB637" s="56">
        <f>VLOOKUP(B637,'Player Data'!$A1:$AE667,16,FALSE)*$Q637</f>
        <v>75.980747086589005</v>
      </c>
      <c r="AC637" s="56">
        <f>VLOOKUP(B637,'Player Data'!$A1:$AE667,17,FALSE)*$Q637*IFERROR((VLOOKUP(P637,Settings!$E$28:$F$33,2,FALSE)+1),1)</f>
        <v>-5.6485841478275081</v>
      </c>
      <c r="AD637" s="56">
        <f>VLOOKUP(B637,'Player Data'!$A1:$AE667,18,FALSE)*$Q637</f>
        <v>14.293759018903211</v>
      </c>
      <c r="AE637" s="56">
        <f>VLOOKUP(B637,'Player Data'!$A1:$AE667,19,FALSE)*$Q637*IFERROR((VLOOKUP(P637,Settings!$E$28:$F$33,2,FALSE)+1),1)</f>
        <v>1.1302519926252879</v>
      </c>
      <c r="AF637" s="56">
        <f>VLOOKUP(B637,'Player Data'!$A1:$AE667,20,FALSE)*$Q637</f>
        <v>50.281377614819974</v>
      </c>
      <c r="AG637" s="56">
        <f>VLOOKUP(B637,'Player Data'!$A1:$AE667,21,FALSE)*$Q637</f>
        <v>54.425524730476226</v>
      </c>
      <c r="AH637" s="58">
        <f>VLOOKUP(B637,'Player Data'!$A1:$AE667,22,FALSE)</f>
        <v>0.48021072621368399</v>
      </c>
      <c r="AI637" s="54"/>
      <c r="AJ637" s="64"/>
      <c r="AK637" s="56"/>
      <c r="AL637" s="56"/>
      <c r="AM637" s="56"/>
      <c r="AN637" s="56"/>
      <c r="AO637" s="56"/>
      <c r="AP637" s="56"/>
      <c r="AQ637" s="59"/>
      <c r="AR637" s="60"/>
      <c r="AS637" s="64"/>
    </row>
    <row r="638" spans="1:45" ht="21.25" customHeight="1" x14ac:dyDescent="0.15">
      <c r="A638" s="45">
        <f>RANK(K638,K$1:K$665)</f>
        <v>637</v>
      </c>
      <c r="B638" s="9" t="s">
        <v>763</v>
      </c>
      <c r="C638" s="46" t="s">
        <v>127</v>
      </c>
      <c r="D638" s="47" t="str">
        <f>VLOOKUP(B638,'Player Data'!A1:D667,4,FALSE)</f>
        <v>C</v>
      </c>
      <c r="E638" s="48">
        <f>VLOOKUP(B638,'C'!A1:C206,3,FALSE)</f>
        <v>189</v>
      </c>
      <c r="F638" s="55" t="str">
        <f>VLOOKUP(B638,'Player Data'!A1:B667,2,FALSE)</f>
        <v>N.J</v>
      </c>
      <c r="G638" s="10">
        <f>VLOOKUP(B638,'Player Data'!A1:D667,3,FALSE)</f>
        <v>24</v>
      </c>
      <c r="H638" s="50">
        <f>IFERROR(VLOOKUP(B638,ADP!A1:G665,7,FALSE)/1000000,VLOOKUP(B638,ADP!A1:G665,7,FALSE))</f>
        <v>0.77500000000000002</v>
      </c>
      <c r="I638" s="51">
        <f>IF(Settings!$E$15="POINTS",((R638*Q638)*Settings!$B$12)+(S638*Settings!$B$2)+(T638*Settings!$B$3)+(U638*Settings!$B$4)+(V638*Settings!$B$5)+(X638*Settings!$B$9)+(AA638*Settings!$B$6)+(W638*Settings!$B$8)+(AB638*Settings!$B$7)+(AC638*Settings!$B$14)+(AD638*Settings!$B$15)+(AE638*Settings!$B$16)+(AF638*Settings!$B$17)+(AG638*Settings!$B$18)+(Y638*Settings!$B$10)+(Z638*Settings!$B$11),VLOOKUP(B638,'Standard Deviations'!A1:C666,3,FALSE))</f>
        <v>108.71654639938501</v>
      </c>
      <c r="J638" s="52">
        <f>IF(D638="G",I638/AJ638,I638/Q638)</f>
        <v>1.4582548727324371</v>
      </c>
      <c r="K638" s="51">
        <f>IF(Settings!$E$18="C/LW/RW",VLOOKUP(B638,'C'!A1:F206,6,FALSE),VLOOKUP(B638,F!A1:F392,6,FALSE))</f>
        <v>-281.22061137869605</v>
      </c>
      <c r="L638" s="53">
        <f>IFERROR(K638/H638,"N/A")</f>
        <v>-362.86530500476908</v>
      </c>
      <c r="M638" s="83" t="str">
        <f>IF(Settings!$E$9="YAHOO",VLOOKUP(B638,ADP!A1:E665,2,FALSE),IF(Settings!$E$9="ESPN",VLOOKUP(B638,ADP!A1:E665,3,FALSE),IF(Settings!$E$9="FANTRAX",VLOOKUP(B638,ADP!A1:E665,4,FALSE),VLOOKUP(B638,ADP!A1:E665,5,FALSE))))</f>
        <v>—</v>
      </c>
      <c r="N638" s="83" t="str">
        <f>IFERROR(M638-A638,"N/A")</f>
        <v>N/A</v>
      </c>
      <c r="O638" s="54"/>
      <c r="P638" s="55" t="str">
        <f>IF(Settings!$E$27="ON",VLOOKUP(B638,ADP!A1:H665,8,FALSE)," ")</f>
        <v xml:space="preserve"> </v>
      </c>
      <c r="Q638" s="56">
        <f>IF(Settings!$E$12="YES",VLOOKUP(B638,'Player Data'!A1:E667,5,FALSE),82)</f>
        <v>74.552499999999995</v>
      </c>
      <c r="R638" s="81">
        <f>VLOOKUP(B638,'Player Data'!$A1:$AE667,6,FALSE)</f>
        <v>10.953258975248101</v>
      </c>
      <c r="S638" s="56">
        <f>VLOOKUP(B638,'Player Data'!$A1:$AE667,7,FALSE)*$Q638*IFERROR((VLOOKUP(P638,Settings!$E$28:$F$33,2,FALSE)+1),1)</f>
        <v>7.3527308810301779</v>
      </c>
      <c r="T638" s="56">
        <f>VLOOKUP(B638,'Player Data'!$A1:$AE667,8,FALSE)*$Q638*IFERROR((VLOOKUP(P638,Settings!$E$28:$F$33,2,FALSE)+1),1)</f>
        <v>10.085419547273302</v>
      </c>
      <c r="U638" s="56">
        <f>SUM(S638:T638)</f>
        <v>17.43815042830348</v>
      </c>
      <c r="V638" s="56">
        <f>VLOOKUP(B638,'Player Data'!$A1:$AE667,10,FALSE)*$Q638*IFERROR(((VLOOKUP(P638,Settings!$E$28:$F$33,2,FALSE)/2)+1),1)</f>
        <v>86.324421385770293</v>
      </c>
      <c r="W638" s="56">
        <f>VLOOKUP(B638,'Player Data'!$A1:$AE667,11,FALSE)*$Q638*IFERROR((VLOOKUP(P638,Settings!$E$28:$F$33,2,FALSE)+1),1)</f>
        <v>0.18954228153920152</v>
      </c>
      <c r="X638" s="56">
        <f>VLOOKUP(B638,'Player Data'!$A1:$AE667,12,FALSE)*$Q638*IFERROR((VLOOKUP(P638,Settings!$E$28:$F$33,2,FALSE)+1),1)</f>
        <v>0.40404885567732673</v>
      </c>
      <c r="Y638" s="56">
        <f>VLOOKUP(B638,'Player Data'!$A1:$AE667,13,FALSE)*$Q638</f>
        <v>4.8317689445920477E-4</v>
      </c>
      <c r="Z638" s="56">
        <f>VLOOKUP(B638,'Player Data'!$A1:$AE667,14,FALSE)*$Q638</f>
        <v>8.1828429305427113E-4</v>
      </c>
      <c r="AA638" s="56">
        <f>VLOOKUP(B638,'Player Data'!$A1:$AE667,15,FALSE)*$Q638</f>
        <v>25.670034563238065</v>
      </c>
      <c r="AB638" s="56">
        <f>VLOOKUP(B638,'Player Data'!$A1:$AE667,16,FALSE)*$Q638</f>
        <v>185.31430677484823</v>
      </c>
      <c r="AC638" s="56">
        <f>VLOOKUP(B638,'Player Data'!$A1:$AE667,17,FALSE)*$Q638*IFERROR((VLOOKUP(P638,Settings!$E$28:$F$33,2,FALSE)+1),1)</f>
        <v>0.3797320508092038</v>
      </c>
      <c r="AD638" s="56">
        <f>VLOOKUP(B638,'Player Data'!$A1:$AE667,18,FALSE)*$Q638</f>
        <v>23.634252418784158</v>
      </c>
      <c r="AE638" s="56">
        <f>VLOOKUP(B638,'Player Data'!$A1:$AE667,19,FALSE)*$Q638*IFERROR((VLOOKUP(P638,Settings!$E$28:$F$33,2,FALSE)+1),1)</f>
        <v>1.1093529851581292</v>
      </c>
      <c r="AF638" s="56">
        <f>VLOOKUP(B638,'Player Data'!$A1:$AE667,20,FALSE)*$Q638</f>
        <v>19.728782631325689</v>
      </c>
      <c r="AG638" s="56">
        <f>VLOOKUP(B638,'Player Data'!$A1:$AE667,21,FALSE)*$Q638</f>
        <v>22.472782031638246</v>
      </c>
      <c r="AH638" s="58">
        <f>VLOOKUP(B638,'Player Data'!$A1:$AE667,22,FALSE)</f>
        <v>0.467489364171364</v>
      </c>
      <c r="AI638" s="54"/>
      <c r="AJ638" s="56"/>
      <c r="AK638" s="56"/>
      <c r="AL638" s="56"/>
      <c r="AM638" s="56"/>
      <c r="AN638" s="56"/>
      <c r="AO638" s="56"/>
      <c r="AP638" s="56"/>
      <c r="AQ638" s="59"/>
      <c r="AR638" s="60"/>
      <c r="AS638" s="54"/>
    </row>
    <row r="639" spans="1:45" ht="21.25" customHeight="1" x14ac:dyDescent="0.15">
      <c r="A639" s="45">
        <f>RANK(K639,K$1:K$665)</f>
        <v>638</v>
      </c>
      <c r="B639" s="9" t="s">
        <v>764</v>
      </c>
      <c r="C639" s="46" t="s">
        <v>127</v>
      </c>
      <c r="D639" s="47" t="str">
        <f>VLOOKUP(B639,'Player Data'!A1:D667,4,FALSE)</f>
        <v>LW</v>
      </c>
      <c r="E639" s="70">
        <f>VLOOKUP(B639,LW!A1:C152,3,FALSE)</f>
        <v>142</v>
      </c>
      <c r="F639" s="65" t="str">
        <f>VLOOKUP(B639,'Player Data'!A1:B667,2,FALSE)</f>
        <v>FLA</v>
      </c>
      <c r="G639" s="10">
        <f>VLOOKUP(B639,'Player Data'!A1:D667,3,FALSE)</f>
        <v>27</v>
      </c>
      <c r="H639" s="50">
        <f>IFERROR(VLOOKUP(B639,ADP!A1:G665,7,FALSE)/1000000,VLOOKUP(B639,ADP!A1:G665,7,FALSE))</f>
        <v>0.85</v>
      </c>
      <c r="I639" s="51">
        <f>IF(Settings!$E$15="POINTS",((R639*Q639)*Settings!$B$12)+(S639*Settings!$B$2)+(T639*Settings!$B$3)+(U639*Settings!$B$4)+(V639*Settings!$B$5)+(X639*Settings!$B$9)+(AA639*Settings!$B$6)+(W639*Settings!$B$8)+(AB639*Settings!$B$7)+(AC639*Settings!$B$14)+(AD639*Settings!$B$15)+(AE639*Settings!$B$16)+(AF639*Settings!$B$17)+(AG639*Settings!$B$18)+(Y639*Settings!$B$10)+(Z639*Settings!$B$11),VLOOKUP(B639,'Standard Deviations'!A1:C666,3,FALSE))</f>
        <v>97.887005838206335</v>
      </c>
      <c r="J639" s="52">
        <f>IF(D639="G",I639/AJ639,I639/Q639)</f>
        <v>1.3416530405455913</v>
      </c>
      <c r="K639" s="51">
        <f>IF(Settings!$E$18="C/LW/RW",VLOOKUP(B639,LW!A1:F152,6,FALSE),VLOOKUP(B639,F!A1:F392,6,FALSE))</f>
        <v>-283.17450646429342</v>
      </c>
      <c r="L639" s="53">
        <f>IFERROR(K639/H639,"N/A")</f>
        <v>-333.14647819328638</v>
      </c>
      <c r="M639" s="83" t="str">
        <f>IF(Settings!$E$9="YAHOO",VLOOKUP(B639,ADP!A1:E665,2,FALSE),IF(Settings!$E$9="ESPN",VLOOKUP(B639,ADP!A1:E665,3,FALSE),IF(Settings!$E$9="FANTRAX",VLOOKUP(B639,ADP!A1:E665,4,FALSE),VLOOKUP(B639,ADP!A1:E665,5,FALSE))))</f>
        <v>—</v>
      </c>
      <c r="N639" s="83" t="str">
        <f>IFERROR(M639-A639,"N/A")</f>
        <v>N/A</v>
      </c>
      <c r="O639" s="54"/>
      <c r="P639" s="55" t="str">
        <f>IF(Settings!$E$27="ON",VLOOKUP(B639,ADP!A1:H665,8,FALSE)," ")</f>
        <v xml:space="preserve"> </v>
      </c>
      <c r="Q639" s="56">
        <f>IF(Settings!$E$12="YES",VLOOKUP(B639,'Player Data'!A1:E667,5,FALSE),82)</f>
        <v>72.959999999999994</v>
      </c>
      <c r="R639" s="54">
        <f>VLOOKUP(B639,'Player Data'!$A1:$AE667,6,FALSE)</f>
        <v>9.7532644178954708</v>
      </c>
      <c r="S639" s="56">
        <f>VLOOKUP(B639,'Player Data'!$A1:$AE667,7,FALSE)*$Q639*IFERROR((VLOOKUP(P639,Settings!$E$28:$F$33,2,FALSE)+1),1)</f>
        <v>6.092995962928021</v>
      </c>
      <c r="T639" s="56">
        <f>VLOOKUP(B639,'Player Data'!$A1:$AE667,8,FALSE)*$Q639*IFERROR((VLOOKUP(P639,Settings!$E$28:$F$33,2,FALSE)+1),1)</f>
        <v>7.9099847015959099</v>
      </c>
      <c r="U639" s="56">
        <f>SUM(S639:T639)</f>
        <v>14.002980664523932</v>
      </c>
      <c r="V639" s="56">
        <f>VLOOKUP(B639,'Player Data'!$A1:$AE667,10,FALSE)*$Q639*IFERROR(((VLOOKUP(P639,Settings!$E$28:$F$33,2,FALSE)/2)+1),1)</f>
        <v>78.971046508589637</v>
      </c>
      <c r="W639" s="56">
        <f>VLOOKUP(B639,'Player Data'!$A1:$AE667,11,FALSE)*$Q639*IFERROR((VLOOKUP(P639,Settings!$E$28:$F$33,2,FALSE)+1),1)</f>
        <v>0.10259679164007997</v>
      </c>
      <c r="X639" s="56">
        <f>VLOOKUP(B639,'Player Data'!$A1:$AE667,12,FALSE)*$Q639*IFERROR((VLOOKUP(P639,Settings!$E$28:$F$33,2,FALSE)+1),1)</f>
        <v>0.17953318011147643</v>
      </c>
      <c r="Y639" s="56">
        <f>VLOOKUP(B639,'Player Data'!$A1:$AE667,13,FALSE)*$Q639</f>
        <v>8.3982578580700948E-2</v>
      </c>
      <c r="Z639" s="56">
        <f>VLOOKUP(B639,'Player Data'!$A1:$AE667,14,FALSE)*$Q639</f>
        <v>0.14366602273139112</v>
      </c>
      <c r="AA639" s="56">
        <f>VLOOKUP(B639,'Player Data'!$A1:$AE667,15,FALSE)*$Q639</f>
        <v>32.138682774993704</v>
      </c>
      <c r="AB639" s="56">
        <f>VLOOKUP(B639,'Player Data'!$A1:$AE667,16,FALSE)*$Q639</f>
        <v>128.08909229781534</v>
      </c>
      <c r="AC639" s="56">
        <f>VLOOKUP(B639,'Player Data'!$A1:$AE667,17,FALSE)*$Q639*IFERROR((VLOOKUP(P639,Settings!$E$28:$F$33,2,FALSE)+1),1)</f>
        <v>-3.0331496569687939</v>
      </c>
      <c r="AD639" s="56">
        <f>VLOOKUP(B639,'Player Data'!$A1:$AE667,18,FALSE)*$Q639</f>
        <v>43.554525504066667</v>
      </c>
      <c r="AE639" s="56">
        <f>VLOOKUP(B639,'Player Data'!$A1:$AE667,19,FALSE)*$Q639*IFERROR((VLOOKUP(P639,Settings!$E$28:$F$33,2,FALSE)+1),1)</f>
        <v>1.038013336472843</v>
      </c>
      <c r="AF639" s="56">
        <f>VLOOKUP(B639,'Player Data'!$A1:$AE667,20,FALSE)*$Q639</f>
        <v>5.8821106316222167</v>
      </c>
      <c r="AG639" s="56">
        <f>VLOOKUP(B639,'Player Data'!$A1:$AE667,21,FALSE)*$Q639</f>
        <v>4.2277580694029693</v>
      </c>
      <c r="AH639" s="58">
        <f>VLOOKUP(B639,'Player Data'!$A1:$AE667,22,FALSE)</f>
        <v>0.581818696718163</v>
      </c>
      <c r="AI639" s="54"/>
      <c r="AJ639" s="56"/>
      <c r="AK639" s="56"/>
      <c r="AL639" s="56"/>
      <c r="AM639" s="56"/>
      <c r="AN639" s="56"/>
      <c r="AO639" s="56"/>
      <c r="AP639" s="56"/>
      <c r="AQ639" s="59"/>
      <c r="AR639" s="60"/>
      <c r="AS639" s="54"/>
    </row>
    <row r="640" spans="1:45" ht="21.25" customHeight="1" x14ac:dyDescent="0.15">
      <c r="A640" s="45">
        <f>RANK(K640,K$1:K$665)</f>
        <v>639</v>
      </c>
      <c r="B640" s="9" t="s">
        <v>765</v>
      </c>
      <c r="C640" s="46" t="s">
        <v>127</v>
      </c>
      <c r="D640" s="47" t="str">
        <f>VLOOKUP(B640,'Player Data'!A1:D667,4,FALSE)</f>
        <v>LW</v>
      </c>
      <c r="E640" s="70">
        <f>VLOOKUP(B640,LW!A1:C152,3,FALSE)</f>
        <v>143</v>
      </c>
      <c r="F640" s="82" t="str">
        <f>VLOOKUP(B640,'Player Data'!A1:B667,2,FALSE)</f>
        <v>ANA</v>
      </c>
      <c r="G640" s="63">
        <f>VLOOKUP(B640,'Player Data'!A1:D667,3,FALSE)</f>
        <v>30</v>
      </c>
      <c r="H640" s="67">
        <f>IFERROR(VLOOKUP(B640,ADP!A1:G665,7,FALSE)/1000000,VLOOKUP(B640,ADP!A1:G665,7,FALSE))</f>
        <v>2.75</v>
      </c>
      <c r="I640" s="51">
        <f>IF(Settings!$E$15="POINTS",((R640*Q640)*Settings!$B$12)+(S640*Settings!$B$2)+(T640*Settings!$B$3)+(U640*Settings!$B$4)+(V640*Settings!$B$5)+(X640*Settings!$B$9)+(AA640*Settings!$B$6)+(W640*Settings!$B$8)+(AB640*Settings!$B$7)+(AC640*Settings!$B$14)+(AD640*Settings!$B$15)+(AE640*Settings!$B$16)+(AF640*Settings!$B$17)+(AG640*Settings!$B$18)+(Y640*Settings!$B$10)+(Z640*Settings!$B$11),VLOOKUP(B640,'Standard Deviations'!A1:C666,3,FALSE))</f>
        <v>96.315806075660461</v>
      </c>
      <c r="J640" s="52">
        <f>IF(D640="G",I640/AJ640,I640/Q640)</f>
        <v>1.3964377987699512</v>
      </c>
      <c r="K640" s="51">
        <f>IF(Settings!$E$18="C/LW/RW",VLOOKUP(B640,LW!A1:F152,6,FALSE),VLOOKUP(B640,F!A1:F392,6,FALSE))</f>
        <v>-284.74570622683927</v>
      </c>
      <c r="L640" s="53">
        <f>IFERROR(K640/H640,"N/A")</f>
        <v>-103.5438931733961</v>
      </c>
      <c r="M640" s="83" t="str">
        <f>IF(Settings!$E$9="YAHOO",VLOOKUP(B640,ADP!A1:E665,2,FALSE),IF(Settings!$E$9="ESPN",VLOOKUP(B640,ADP!A1:E665,3,FALSE),IF(Settings!$E$9="FANTRAX",VLOOKUP(B640,ADP!A1:E665,4,FALSE),VLOOKUP(B640,ADP!A1:E665,5,FALSE))))</f>
        <v>—</v>
      </c>
      <c r="N640" s="83" t="str">
        <f>IFERROR(M640-A640,"N/A")</f>
        <v>N/A</v>
      </c>
      <c r="O640" s="54"/>
      <c r="P640" s="55" t="str">
        <f>IF(Settings!$E$27="ON",VLOOKUP(B640,ADP!A1:H665,8,FALSE)," ")</f>
        <v xml:space="preserve"> </v>
      </c>
      <c r="Q640" s="56">
        <f>IF(Settings!$E$12="YES",VLOOKUP(B640,'Player Data'!A1:E667,5,FALSE),82)</f>
        <v>68.972499999999997</v>
      </c>
      <c r="R640" s="54">
        <f>VLOOKUP(B640,'Player Data'!$A1:$AE667,6,FALSE)</f>
        <v>11.3040279048369</v>
      </c>
      <c r="S640" s="56">
        <f>VLOOKUP(B640,'Player Data'!$A1:$AE667,7,FALSE)*$Q640*IFERROR((VLOOKUP(P640,Settings!$E$28:$F$33,2,FALSE)+1),1)</f>
        <v>7.2086679660732811</v>
      </c>
      <c r="T640" s="56">
        <f>VLOOKUP(B640,'Player Data'!$A1:$AE667,8,FALSE)*$Q640*IFERROR((VLOOKUP(P640,Settings!$E$28:$F$33,2,FALSE)+1),1)</f>
        <v>6.5256175255089302</v>
      </c>
      <c r="U640" s="56">
        <f>SUM(S640:T640)</f>
        <v>13.734285491582211</v>
      </c>
      <c r="V640" s="56">
        <f>VLOOKUP(B640,'Player Data'!$A1:$AE667,10,FALSE)*$Q640*IFERROR(((VLOOKUP(P640,Settings!$E$28:$F$33,2,FALSE)/2)+1),1)</f>
        <v>73.963471626690236</v>
      </c>
      <c r="W640" s="56">
        <f>VLOOKUP(B640,'Player Data'!$A1:$AE667,11,FALSE)*$Q640*IFERROR((VLOOKUP(P640,Settings!$E$28:$F$33,2,FALSE)+1),1)</f>
        <v>6.0596516708869584E-2</v>
      </c>
      <c r="X640" s="56">
        <f>VLOOKUP(B640,'Player Data'!$A1:$AE667,12,FALSE)*$Q640*IFERROR((VLOOKUP(P640,Settings!$E$28:$F$33,2,FALSE)+1),1)</f>
        <v>0.14025790607020422</v>
      </c>
      <c r="Y640" s="56">
        <f>VLOOKUP(B640,'Player Data'!$A1:$AE667,13,FALSE)*$Q640</f>
        <v>0.66466330339893809</v>
      </c>
      <c r="Z640" s="56">
        <f>VLOOKUP(B640,'Player Data'!$A1:$AE667,14,FALSE)*$Q640</f>
        <v>0.7814432422744978</v>
      </c>
      <c r="AA640" s="56">
        <f>VLOOKUP(B640,'Player Data'!$A1:$AE667,15,FALSE)*$Q640</f>
        <v>34.419025278448032</v>
      </c>
      <c r="AB640" s="56">
        <f>VLOOKUP(B640,'Player Data'!$A1:$AE667,16,FALSE)*$Q640</f>
        <v>89.369247206278658</v>
      </c>
      <c r="AC640" s="56">
        <f>VLOOKUP(B640,'Player Data'!$A1:$AE667,17,FALSE)*$Q640*IFERROR((VLOOKUP(P640,Settings!$E$28:$F$33,2,FALSE)+1),1)</f>
        <v>-6.1530963807298695</v>
      </c>
      <c r="AD640" s="56">
        <f>VLOOKUP(B640,'Player Data'!$A1:$AE667,18,FALSE)*$Q640</f>
        <v>16.024563354971576</v>
      </c>
      <c r="AE640" s="56">
        <f>VLOOKUP(B640,'Player Data'!$A1:$AE667,19,FALSE)*$Q640*IFERROR((VLOOKUP(P640,Settings!$E$28:$F$33,2,FALSE)+1),1)</f>
        <v>0.84023908939594427</v>
      </c>
      <c r="AF640" s="56">
        <f>VLOOKUP(B640,'Player Data'!$A1:$AE667,20,FALSE)*$Q640</f>
        <v>9.3710993096308997</v>
      </c>
      <c r="AG640" s="56">
        <f>VLOOKUP(B640,'Player Data'!$A1:$AE667,21,FALSE)*$Q640</f>
        <v>18.708690822170677</v>
      </c>
      <c r="AH640" s="58">
        <f>VLOOKUP(B640,'Player Data'!$A1:$AE667,22,FALSE)</f>
        <v>0.333731102178635</v>
      </c>
      <c r="AI640" s="54"/>
      <c r="AJ640" s="56"/>
      <c r="AK640" s="56"/>
      <c r="AL640" s="56"/>
      <c r="AM640" s="56"/>
      <c r="AN640" s="56"/>
      <c r="AO640" s="56"/>
      <c r="AP640" s="56"/>
      <c r="AQ640" s="59"/>
      <c r="AR640" s="60"/>
      <c r="AS640" s="54"/>
    </row>
    <row r="641" spans="1:45" ht="21.25" customHeight="1" x14ac:dyDescent="0.15">
      <c r="A641" s="45">
        <f>RANK(K641,K$1:K$665)</f>
        <v>640</v>
      </c>
      <c r="B641" s="9" t="s">
        <v>766</v>
      </c>
      <c r="C641" s="46" t="s">
        <v>127</v>
      </c>
      <c r="D641" s="47" t="str">
        <f>VLOOKUP(B641,'Player Data'!A1:D667,4,FALSE)</f>
        <v>C</v>
      </c>
      <c r="E641" s="48">
        <f>VLOOKUP(B641,'C'!A1:C206,3,FALSE)</f>
        <v>190</v>
      </c>
      <c r="F641" s="71" t="str">
        <f>VLOOKUP(B641,'Player Data'!A1:B667,2,FALSE)</f>
        <v>NYR</v>
      </c>
      <c r="G641" s="63">
        <f>VLOOKUP(B641,'Player Data'!A1:D667,3,FALSE)</f>
        <v>31</v>
      </c>
      <c r="H641" s="50">
        <f>IFERROR(VLOOKUP(B641,ADP!A1:G665,7,FALSE)/1000000,VLOOKUP(B641,ADP!A1:G665,7,FALSE))</f>
        <v>0.78749999999999998</v>
      </c>
      <c r="I641" s="51">
        <f>IF(Settings!$E$15="POINTS",((R641*Q641)*Settings!$B$12)+(S641*Settings!$B$2)+(T641*Settings!$B$3)+(U641*Settings!$B$4)+(V641*Settings!$B$5)+(X641*Settings!$B$9)+(AA641*Settings!$B$6)+(W641*Settings!$B$8)+(AB641*Settings!$B$7)+(AC641*Settings!$B$14)+(AD641*Settings!$B$15)+(AE641*Settings!$B$16)+(AF641*Settings!$B$17)+(AG641*Settings!$B$18)+(Y641*Settings!$B$10)+(Z641*Settings!$B$11),VLOOKUP(B641,'Standard Deviations'!A1:C666,3,FALSE))</f>
        <v>104.24650183325838</v>
      </c>
      <c r="J641" s="52">
        <f>IF(D641="G",I641/AJ641,I641/Q641)</f>
        <v>1.6638177612841494</v>
      </c>
      <c r="K641" s="51">
        <f>IF(Settings!$E$18="C/LW/RW",VLOOKUP(B641,'C'!A1:F206,6,FALSE),VLOOKUP(B641,F!A1:F392,6,FALSE))</f>
        <v>-285.69065594482271</v>
      </c>
      <c r="L641" s="53">
        <f>IFERROR(K641/H641,"N/A")</f>
        <v>-362.78178532675901</v>
      </c>
      <c r="M641" s="83" t="str">
        <f>IF(Settings!$E$9="YAHOO",VLOOKUP(B641,ADP!A1:E665,2,FALSE),IF(Settings!$E$9="ESPN",VLOOKUP(B641,ADP!A1:E665,3,FALSE),IF(Settings!$E$9="FANTRAX",VLOOKUP(B641,ADP!A1:E665,4,FALSE),VLOOKUP(B641,ADP!A1:E665,5,FALSE))))</f>
        <v>—</v>
      </c>
      <c r="N641" s="83" t="str">
        <f>IFERROR(M641-A641,"N/A")</f>
        <v>N/A</v>
      </c>
      <c r="O641" s="54"/>
      <c r="P641" s="55" t="str">
        <f>IF(Settings!$E$27="ON",VLOOKUP(B641,ADP!A1:H665,8,FALSE)," ")</f>
        <v xml:space="preserve"> </v>
      </c>
      <c r="Q641" s="56">
        <f>IF(Settings!$E$12="YES",VLOOKUP(B641,'Player Data'!A1:E667,5,FALSE),82)</f>
        <v>62.655000000000001</v>
      </c>
      <c r="R641" s="54">
        <f>VLOOKUP(B641,'Player Data'!$A1:$AE667,6,FALSE)</f>
        <v>10.788953359289099</v>
      </c>
      <c r="S641" s="56">
        <f>VLOOKUP(B641,'Player Data'!$A1:$AE667,7,FALSE)*$Q641*IFERROR((VLOOKUP(P641,Settings!$E$28:$F$33,2,FALSE)+1),1)</f>
        <v>5.1231622474955625</v>
      </c>
      <c r="T641" s="56">
        <f>VLOOKUP(B641,'Player Data'!$A1:$AE667,8,FALSE)*$Q641*IFERROR((VLOOKUP(P641,Settings!$E$28:$F$33,2,FALSE)+1),1)</f>
        <v>9.8249860687007615</v>
      </c>
      <c r="U641" s="56">
        <f>SUM(S641:T641)</f>
        <v>14.948148316196324</v>
      </c>
      <c r="V641" s="56">
        <f>VLOOKUP(B641,'Player Data'!$A1:$AE667,10,FALSE)*$Q641*IFERROR(((VLOOKUP(P641,Settings!$E$28:$F$33,2,FALSE)/2)+1),1)</f>
        <v>90.585504445288365</v>
      </c>
      <c r="W641" s="56">
        <f>VLOOKUP(B641,'Player Data'!$A1:$AE667,11,FALSE)*$Q641*IFERROR((VLOOKUP(P641,Settings!$E$28:$F$33,2,FALSE)+1),1)</f>
        <v>0.5268854521601517</v>
      </c>
      <c r="X641" s="56">
        <f>VLOOKUP(B641,'Player Data'!$A1:$AE667,12,FALSE)*$Q641*IFERROR((VLOOKUP(P641,Settings!$E$28:$F$33,2,FALSE)+1),1)</f>
        <v>1.1983732044415285</v>
      </c>
      <c r="Y641" s="56">
        <f>VLOOKUP(B641,'Player Data'!$A1:$AE667,13,FALSE)*$Q641</f>
        <v>1.5806806368369682E-3</v>
      </c>
      <c r="Z641" s="56">
        <f>VLOOKUP(B641,'Player Data'!$A1:$AE667,14,FALSE)*$Q641</f>
        <v>2.7908214572093205E-3</v>
      </c>
      <c r="AA641" s="56">
        <f>VLOOKUP(B641,'Player Data'!$A1:$AE667,15,FALSE)*$Q641</f>
        <v>25.816281272252986</v>
      </c>
      <c r="AB641" s="56">
        <f>VLOOKUP(B641,'Player Data'!$A1:$AE667,16,FALSE)*$Q641</f>
        <v>51.943940181480087</v>
      </c>
      <c r="AC641" s="56">
        <f>VLOOKUP(B641,'Player Data'!$A1:$AE667,17,FALSE)*$Q641*IFERROR((VLOOKUP(P641,Settings!$E$28:$F$33,2,FALSE)+1),1)</f>
        <v>2.1011933729561725</v>
      </c>
      <c r="AD641" s="56">
        <f>VLOOKUP(B641,'Player Data'!$A1:$AE667,18,FALSE)*$Q641</f>
        <v>16.265089800792321</v>
      </c>
      <c r="AE641" s="56">
        <f>VLOOKUP(B641,'Player Data'!$A1:$AE667,19,FALSE)*$Q641*IFERROR((VLOOKUP(P641,Settings!$E$28:$F$33,2,FALSE)+1),1)</f>
        <v>0.83742341130488807</v>
      </c>
      <c r="AF641" s="56">
        <f>VLOOKUP(B641,'Player Data'!$A1:$AE667,20,FALSE)*$Q641</f>
        <v>173.41346853373622</v>
      </c>
      <c r="AG641" s="56">
        <f>VLOOKUP(B641,'Player Data'!$A1:$AE667,21,FALSE)*$Q641</f>
        <v>169.0206079804326</v>
      </c>
      <c r="AH641" s="58">
        <f>VLOOKUP(B641,'Player Data'!$A1:$AE667,22,FALSE)</f>
        <v>0.50641416969657604</v>
      </c>
      <c r="AI641" s="54"/>
      <c r="AJ641" s="64"/>
      <c r="AK641" s="56"/>
      <c r="AL641" s="56"/>
      <c r="AM641" s="56"/>
      <c r="AN641" s="56"/>
      <c r="AO641" s="56"/>
      <c r="AP641" s="56"/>
      <c r="AQ641" s="59"/>
      <c r="AR641" s="60"/>
      <c r="AS641" s="54"/>
    </row>
    <row r="642" spans="1:45" ht="21.25" customHeight="1" x14ac:dyDescent="0.15">
      <c r="A642" s="45">
        <f>RANK(K642,K$1:K$665)</f>
        <v>641</v>
      </c>
      <c r="B642" s="9" t="s">
        <v>767</v>
      </c>
      <c r="C642" s="46" t="s">
        <v>127</v>
      </c>
      <c r="D642" s="47" t="str">
        <f>VLOOKUP(B642,'Player Data'!A1:D667,4,FALSE)</f>
        <v>C</v>
      </c>
      <c r="E642" s="48">
        <f>VLOOKUP(B642,'C'!A1:C206,3,FALSE)</f>
        <v>191</v>
      </c>
      <c r="F642" s="62" t="str">
        <f>VLOOKUP(B642,'Player Data'!A1:B667,2,FALSE)</f>
        <v>BOS</v>
      </c>
      <c r="G642" s="10">
        <f>VLOOKUP(B642,'Player Data'!A1:D667,3,FALSE)</f>
        <v>25</v>
      </c>
      <c r="H642" s="67">
        <f>IFERROR(VLOOKUP(B642,ADP!A1:G665,7,FALSE)/1000000,VLOOKUP(B642,ADP!A1:G665,7,FALSE))</f>
        <v>0.83499999999999996</v>
      </c>
      <c r="I642" s="51">
        <f>IF(Settings!$E$15="POINTS",((R642*Q642)*Settings!$B$12)+(S642*Settings!$B$2)+(T642*Settings!$B$3)+(U642*Settings!$B$4)+(V642*Settings!$B$5)+(X642*Settings!$B$9)+(AA642*Settings!$B$6)+(W642*Settings!$B$8)+(AB642*Settings!$B$7)+(AC642*Settings!$B$14)+(AD642*Settings!$B$15)+(AE642*Settings!$B$16)+(AF642*Settings!$B$17)+(AG642*Settings!$B$18)+(Y642*Settings!$B$10)+(Z642*Settings!$B$11),VLOOKUP(B642,'Standard Deviations'!A1:C666,3,FALSE))</f>
        <v>104.06275003729064</v>
      </c>
      <c r="J642" s="52">
        <f>IF(D642="G",I642/AJ642,I642/Q642)</f>
        <v>1.492581038974335</v>
      </c>
      <c r="K642" s="51">
        <f>IF(Settings!$E$18="C/LW/RW",VLOOKUP(B642,'C'!A1:F206,6,FALSE),VLOOKUP(B642,F!A1:F392,6,FALSE))</f>
        <v>-285.87440774079045</v>
      </c>
      <c r="L642" s="53">
        <f>IFERROR(K642/H642,"N/A")</f>
        <v>-342.36456016861132</v>
      </c>
      <c r="M642" s="83" t="str">
        <f>IF(Settings!$E$9="YAHOO",VLOOKUP(B642,ADP!A1:E665,2,FALSE),IF(Settings!$E$9="ESPN",VLOOKUP(B642,ADP!A1:E665,3,FALSE),IF(Settings!$E$9="FANTRAX",VLOOKUP(B642,ADP!A1:E665,4,FALSE),VLOOKUP(B642,ADP!A1:E665,5,FALSE))))</f>
        <v>—</v>
      </c>
      <c r="N642" s="83" t="str">
        <f>IFERROR(M642-A642,"N/A")</f>
        <v>N/A</v>
      </c>
      <c r="O642" s="54"/>
      <c r="P642" s="55" t="str">
        <f>IF(Settings!$E$27="ON",VLOOKUP(B642,ADP!A1:H665,8,FALSE)," ")</f>
        <v xml:space="preserve"> </v>
      </c>
      <c r="Q642" s="56">
        <f>IF(Settings!$E$12="YES",VLOOKUP(B642,'Player Data'!A1:E667,5,FALSE),82)</f>
        <v>69.72</v>
      </c>
      <c r="R642" s="75">
        <f>VLOOKUP(B642,'Player Data'!$A1:$AE667,6,FALSE)</f>
        <v>9.8607946057290601</v>
      </c>
      <c r="S642" s="56">
        <f>VLOOKUP(B642,'Player Data'!$A1:$AE667,7,FALSE)*$Q642*IFERROR((VLOOKUP(P642,Settings!$E$28:$F$33,2,FALSE)+1),1)</f>
        <v>7.3133616773245578</v>
      </c>
      <c r="T642" s="56">
        <f>VLOOKUP(B642,'Player Data'!$A1:$AE667,8,FALSE)*$Q642*IFERROR((VLOOKUP(P642,Settings!$E$28:$F$33,2,FALSE)+1),1)</f>
        <v>6.8903362337548675</v>
      </c>
      <c r="U642" s="56">
        <f>SUM(S642:T642)</f>
        <v>14.203697911079425</v>
      </c>
      <c r="V642" s="56">
        <f>VLOOKUP(B642,'Player Data'!$A1:$AE667,10,FALSE)*$Q642*IFERROR(((VLOOKUP(P642,Settings!$E$28:$F$33,2,FALSE)/2)+1),1)</f>
        <v>82.317001128831762</v>
      </c>
      <c r="W642" s="56">
        <f>VLOOKUP(B642,'Player Data'!$A1:$AE667,11,FALSE)*$Q642*IFERROR((VLOOKUP(P642,Settings!$E$28:$F$33,2,FALSE)+1),1)</f>
        <v>5.2359799645675179E-2</v>
      </c>
      <c r="X642" s="56">
        <f>VLOOKUP(B642,'Player Data'!$A1:$AE667,12,FALSE)*$Q642*IFERROR((VLOOKUP(P642,Settings!$E$28:$F$33,2,FALSE)+1),1)</f>
        <v>0.12180532395546084</v>
      </c>
      <c r="Y642" s="56">
        <f>VLOOKUP(B642,'Player Data'!$A1:$AE667,13,FALSE)*$Q642</f>
        <v>3.4685981932238763E-2</v>
      </c>
      <c r="Z642" s="56">
        <f>VLOOKUP(B642,'Player Data'!$A1:$AE667,14,FALSE)*$Q642</f>
        <v>5.9114391777637623E-2</v>
      </c>
      <c r="AA642" s="56">
        <f>VLOOKUP(B642,'Player Data'!$A1:$AE667,15,FALSE)*$Q642</f>
        <v>40.224472047806778</v>
      </c>
      <c r="AB642" s="56">
        <f>VLOOKUP(B642,'Player Data'!$A1:$AE667,16,FALSE)*$Q642</f>
        <v>161.93187107531435</v>
      </c>
      <c r="AC642" s="56">
        <f>VLOOKUP(B642,'Player Data'!$A1:$AE667,17,FALSE)*$Q642*IFERROR((VLOOKUP(P642,Settings!$E$28:$F$33,2,FALSE)+1),1)</f>
        <v>-0.84306081253720322</v>
      </c>
      <c r="AD642" s="56">
        <f>VLOOKUP(B642,'Player Data'!$A1:$AE667,18,FALSE)*$Q642</f>
        <v>55.265702250452613</v>
      </c>
      <c r="AE642" s="56">
        <f>VLOOKUP(B642,'Player Data'!$A1:$AE667,19,FALSE)*$Q642*IFERROR((VLOOKUP(P642,Settings!$E$28:$F$33,2,FALSE)+1),1)</f>
        <v>1.1390832720841511</v>
      </c>
      <c r="AF642" s="56">
        <f>VLOOKUP(B642,'Player Data'!$A1:$AE667,20,FALSE)*$Q642</f>
        <v>299.043986312713</v>
      </c>
      <c r="AG642" s="56">
        <f>VLOOKUP(B642,'Player Data'!$A1:$AE667,21,FALSE)*$Q642</f>
        <v>236.21045514437841</v>
      </c>
      <c r="AH642" s="58">
        <f>VLOOKUP(B642,'Player Data'!$A1:$AE667,22,FALSE)</f>
        <v>0.55869501147649203</v>
      </c>
      <c r="AI642" s="54"/>
      <c r="AJ642" s="64"/>
      <c r="AK642" s="56"/>
      <c r="AL642" s="56"/>
      <c r="AM642" s="56"/>
      <c r="AN642" s="56"/>
      <c r="AO642" s="56"/>
      <c r="AP642" s="56"/>
      <c r="AQ642" s="59"/>
      <c r="AR642" s="60"/>
      <c r="AS642" s="54"/>
    </row>
    <row r="643" spans="1:45" ht="21.25" customHeight="1" x14ac:dyDescent="0.15">
      <c r="A643" s="45">
        <f>RANK(K643,K$1:K$665)</f>
        <v>642</v>
      </c>
      <c r="B643" s="9" t="s">
        <v>768</v>
      </c>
      <c r="C643" s="46" t="s">
        <v>127</v>
      </c>
      <c r="D643" s="47" t="str">
        <f>VLOOKUP(B643,'Player Data'!A1:D667,4,FALSE)</f>
        <v>RW</v>
      </c>
      <c r="E643" s="61">
        <f>VLOOKUP(B643,RW!A1:F136,3,FALSE)</f>
        <v>134</v>
      </c>
      <c r="F643" s="62" t="str">
        <f>VLOOKUP(B643,'Player Data'!A1:B667,2,FALSE)</f>
        <v>T.B</v>
      </c>
      <c r="G643" s="10">
        <f>VLOOKUP(B643,'Player Data'!A1:D667,3,FALSE)</f>
        <v>26</v>
      </c>
      <c r="H643" s="50">
        <f>IFERROR(VLOOKUP(B643,ADP!A1:G665,7,FALSE)/1000000,VLOOKUP(B643,ADP!A1:G665,7,FALSE))</f>
        <v>0.8</v>
      </c>
      <c r="I643" s="51">
        <f>IF(Settings!$E$15="POINTS",((R643*Q643)*Settings!$B$12)+(S643*Settings!$B$2)+(T643*Settings!$B$3)+(U643*Settings!$B$4)+(V643*Settings!$B$5)+(X643*Settings!$B$9)+(AA643*Settings!$B$6)+(W643*Settings!$B$8)+(AB643*Settings!$B$7)+(AC643*Settings!$B$14)+(AD643*Settings!$B$15)+(AE643*Settings!$B$16)+(AF643*Settings!$B$17)+(AG643*Settings!$B$18)+(Y643*Settings!$B$10)+(Z643*Settings!$B$11),VLOOKUP(B643,'Standard Deviations'!A1:C666,3,FALSE))</f>
        <v>81.548155923864257</v>
      </c>
      <c r="J643" s="52">
        <f>IF(D643="G",I643/AJ643,I643/Q643)</f>
        <v>1.3490182948530067</v>
      </c>
      <c r="K643" s="51">
        <f>IF(Settings!$E$18="C/LW/RW",VLOOKUP(B643,RW!A1:F136,6,FALSE),VLOOKUP(B643,F!A1:F392,6,FALSE))</f>
        <v>-287.29956718242812</v>
      </c>
      <c r="L643" s="53">
        <f>IFERROR(K643/H643,"N/A")</f>
        <v>-359.12445897803514</v>
      </c>
      <c r="M643" s="83" t="str">
        <f>IF(Settings!$E$9="YAHOO",VLOOKUP(B643,ADP!A1:E665,2,FALSE),IF(Settings!$E$9="ESPN",VLOOKUP(B643,ADP!A1:E665,3,FALSE),IF(Settings!$E$9="FANTRAX",VLOOKUP(B643,ADP!A1:E665,4,FALSE),VLOOKUP(B643,ADP!A1:E665,5,FALSE))))</f>
        <v>—</v>
      </c>
      <c r="N643" s="83" t="str">
        <f>IFERROR(M643-A643,"N/A")</f>
        <v>N/A</v>
      </c>
      <c r="O643" s="54"/>
      <c r="P643" s="55" t="str">
        <f>IF(Settings!$E$27="ON",VLOOKUP(B643,ADP!A1:H665,8,FALSE)," ")</f>
        <v xml:space="preserve"> </v>
      </c>
      <c r="Q643" s="56">
        <f>IF(Settings!$E$12="YES",VLOOKUP(B643,'Player Data'!A1:E667,5,FALSE),82)</f>
        <v>60.45</v>
      </c>
      <c r="R643" s="81">
        <f>VLOOKUP(B643,'Player Data'!$A1:$AE667,6,FALSE)</f>
        <v>10.1667019581606</v>
      </c>
      <c r="S643" s="56">
        <f>VLOOKUP(B643,'Player Data'!$A1:$AE667,7,FALSE)*$Q643*IFERROR((VLOOKUP(P643,Settings!$E$28:$F$33,2,FALSE)+1),1)</f>
        <v>6.4275976494892584</v>
      </c>
      <c r="T643" s="56">
        <f>VLOOKUP(B643,'Player Data'!$A1:$AE667,8,FALSE)*$Q643*IFERROR((VLOOKUP(P643,Settings!$E$28:$F$33,2,FALSE)+1),1)</f>
        <v>6.6077316638442181</v>
      </c>
      <c r="U643" s="56">
        <f>SUM(S643:T643)</f>
        <v>13.035329313333477</v>
      </c>
      <c r="V643" s="56">
        <f>VLOOKUP(B643,'Player Data'!$A1:$AE667,10,FALSE)*$Q643*IFERROR(((VLOOKUP(P643,Settings!$E$28:$F$33,2,FALSE)/2)+1),1)</f>
        <v>52.060031964461238</v>
      </c>
      <c r="W643" s="56">
        <f>VLOOKUP(B643,'Player Data'!$A1:$AE667,11,FALSE)*$Q643*IFERROR((VLOOKUP(P643,Settings!$E$28:$F$33,2,FALSE)+1),1)</f>
        <v>5.3086820628786363E-2</v>
      </c>
      <c r="X643" s="56">
        <f>VLOOKUP(B643,'Player Data'!$A1:$AE667,12,FALSE)*$Q643*IFERROR((VLOOKUP(P643,Settings!$E$28:$F$33,2,FALSE)+1),1)</f>
        <v>0.12334308536720504</v>
      </c>
      <c r="Y643" s="56">
        <f>VLOOKUP(B643,'Player Data'!$A1:$AE667,13,FALSE)*$Q643</f>
        <v>3.1852785165575007E-2</v>
      </c>
      <c r="Z643" s="56">
        <f>VLOOKUP(B643,'Player Data'!$A1:$AE667,14,FALSE)*$Q643</f>
        <v>5.4218368008692036E-2</v>
      </c>
      <c r="AA643" s="56">
        <f>VLOOKUP(B643,'Player Data'!$A1:$AE667,15,FALSE)*$Q643</f>
        <v>32.469181096514596</v>
      </c>
      <c r="AB643" s="56">
        <f>VLOOKUP(B643,'Player Data'!$A1:$AE667,16,FALSE)*$Q643</f>
        <v>136.31542687376191</v>
      </c>
      <c r="AC643" s="56">
        <f>VLOOKUP(B643,'Player Data'!$A1:$AE667,17,FALSE)*$Q643*IFERROR((VLOOKUP(P643,Settings!$E$28:$F$33,2,FALSE)+1),1)</f>
        <v>0.70849896294548631</v>
      </c>
      <c r="AD643" s="56">
        <f>VLOOKUP(B643,'Player Data'!$A1:$AE667,18,FALSE)*$Q643</f>
        <v>14.495781398213724</v>
      </c>
      <c r="AE643" s="56">
        <f>VLOOKUP(B643,'Player Data'!$A1:$AE667,19,FALSE)*$Q643*IFERROR((VLOOKUP(P643,Settings!$E$28:$F$33,2,FALSE)+1),1)</f>
        <v>1.0127427110891216</v>
      </c>
      <c r="AF643" s="56">
        <f>VLOOKUP(B643,'Player Data'!$A1:$AE667,20,FALSE)*$Q643</f>
        <v>0</v>
      </c>
      <c r="AG643" s="56">
        <f>VLOOKUP(B643,'Player Data'!$A1:$AE667,21,FALSE)*$Q643</f>
        <v>7.2218728734585111</v>
      </c>
      <c r="AH643" s="58">
        <f>VLOOKUP(B643,'Player Data'!$A1:$AE667,22,FALSE)</f>
        <v>0</v>
      </c>
      <c r="AI643" s="54"/>
      <c r="AJ643" s="56"/>
      <c r="AK643" s="56"/>
      <c r="AL643" s="56"/>
      <c r="AM643" s="56"/>
      <c r="AN643" s="56"/>
      <c r="AO643" s="56"/>
      <c r="AP643" s="56"/>
      <c r="AQ643" s="59"/>
      <c r="AR643" s="60"/>
      <c r="AS643" s="54"/>
    </row>
    <row r="644" spans="1:45" ht="21.25" customHeight="1" x14ac:dyDescent="0.15">
      <c r="A644" s="45">
        <f>RANK(K644,K$1:K$665)</f>
        <v>643</v>
      </c>
      <c r="B644" s="9" t="s">
        <v>769</v>
      </c>
      <c r="C644" s="46" t="s">
        <v>127</v>
      </c>
      <c r="D644" s="47" t="str">
        <f>VLOOKUP(B644,'Player Data'!A1:D667,4,FALSE)</f>
        <v>C</v>
      </c>
      <c r="E644" s="48">
        <f>VLOOKUP(B644,'C'!A1:C206,3,FALSE)</f>
        <v>193</v>
      </c>
      <c r="F644" s="65" t="str">
        <f>VLOOKUP(B644,'Player Data'!A1:B667,2,FALSE)</f>
        <v>NSH</v>
      </c>
      <c r="G644" s="10">
        <f>VLOOKUP(B644,'Player Data'!A1:D667,3,FALSE)</f>
        <v>29</v>
      </c>
      <c r="H644" s="50">
        <f>IFERROR(VLOOKUP(B644,ADP!A1:G665,7,FALSE)/1000000,VLOOKUP(B644,ADP!A1:G665,7,FALSE))</f>
        <v>0.8</v>
      </c>
      <c r="I644" s="51">
        <f>IF(Settings!$E$15="POINTS",((R644*Q644)*Settings!$B$12)+(S644*Settings!$B$2)+(T644*Settings!$B$3)+(U644*Settings!$B$4)+(V644*Settings!$B$5)+(X644*Settings!$B$9)+(AA644*Settings!$B$6)+(W644*Settings!$B$8)+(AB644*Settings!$B$7)+(AC644*Settings!$B$14)+(AD644*Settings!$B$15)+(AE644*Settings!$B$16)+(AF644*Settings!$B$17)+(AG644*Settings!$B$18)+(Y644*Settings!$B$10)+(Z644*Settings!$B$11),VLOOKUP(B644,'Standard Deviations'!A1:C666,3,FALSE))</f>
        <v>102.20542389518708</v>
      </c>
      <c r="J644" s="52">
        <f>IF(D644="G",I644/AJ644,I644/Q644)</f>
        <v>1.6364650371497411</v>
      </c>
      <c r="K644" s="51">
        <f>IF(Settings!$E$18="C/LW/RW",VLOOKUP(B644,'C'!A1:F206,6,FALSE),VLOOKUP(B644,F!A1:F392,6,FALSE))</f>
        <v>-287.73173388289399</v>
      </c>
      <c r="L644" s="53">
        <f>IFERROR(K644/H644,"N/A")</f>
        <v>-359.66466735361746</v>
      </c>
      <c r="M644" s="83" t="str">
        <f>IF(Settings!$E$9="YAHOO",VLOOKUP(B644,ADP!A1:E665,2,FALSE),IF(Settings!$E$9="ESPN",VLOOKUP(B644,ADP!A1:E665,3,FALSE),IF(Settings!$E$9="FANTRAX",VLOOKUP(B644,ADP!A1:E665,4,FALSE),VLOOKUP(B644,ADP!A1:E665,5,FALSE))))</f>
        <v>—</v>
      </c>
      <c r="N644" s="83" t="str">
        <f>IFERROR(M644-A644,"N/A")</f>
        <v>N/A</v>
      </c>
      <c r="O644" s="54"/>
      <c r="P644" s="55" t="str">
        <f>IF(Settings!$E$27="ON",VLOOKUP(B644,ADP!A1:H665,8,FALSE)," ")</f>
        <v xml:space="preserve"> </v>
      </c>
      <c r="Q644" s="56">
        <f>IF(Settings!$E$12="YES",VLOOKUP(B644,'Player Data'!A1:E667,5,FALSE),82)</f>
        <v>62.454999999999998</v>
      </c>
      <c r="R644" s="54">
        <f>VLOOKUP(B644,'Player Data'!$A1:$AE667,6,FALSE)</f>
        <v>12.1755226675134</v>
      </c>
      <c r="S644" s="56">
        <f>VLOOKUP(B644,'Player Data'!$A1:$AE667,7,FALSE)*$Q644*IFERROR((VLOOKUP(P644,Settings!$E$28:$F$33,2,FALSE)+1),1)</f>
        <v>7.5731397632687223</v>
      </c>
      <c r="T644" s="56">
        <f>VLOOKUP(B644,'Player Data'!$A1:$AE667,8,FALSE)*$Q644*IFERROR((VLOOKUP(P644,Settings!$E$28:$F$33,2,FALSE)+1),1)</f>
        <v>8.0824953071731329</v>
      </c>
      <c r="U644" s="56">
        <f>SUM(S644:T644)</f>
        <v>15.655635070441855</v>
      </c>
      <c r="V644" s="56">
        <f>VLOOKUP(B644,'Player Data'!$A1:$AE667,10,FALSE)*$Q644*IFERROR(((VLOOKUP(P644,Settings!$E$28:$F$33,2,FALSE)/2)+1),1)</f>
        <v>78.547674407888636</v>
      </c>
      <c r="W644" s="56">
        <f>VLOOKUP(B644,'Player Data'!$A1:$AE667,11,FALSE)*$Q644*IFERROR((VLOOKUP(P644,Settings!$E$28:$F$33,2,FALSE)+1),1)</f>
        <v>0.2222817080648305</v>
      </c>
      <c r="X644" s="56">
        <f>VLOOKUP(B644,'Player Data'!$A1:$AE667,12,FALSE)*$Q644*IFERROR((VLOOKUP(P644,Settings!$E$28:$F$33,2,FALSE)+1),1)</f>
        <v>0.69815758792678784</v>
      </c>
      <c r="Y644" s="56">
        <f>VLOOKUP(B644,'Player Data'!$A1:$AE667,13,FALSE)*$Q644</f>
        <v>0.9861139262397115</v>
      </c>
      <c r="Z644" s="56">
        <f>VLOOKUP(B644,'Player Data'!$A1:$AE667,14,FALSE)*$Q644</f>
        <v>1.0824088519640827</v>
      </c>
      <c r="AA644" s="56">
        <f>VLOOKUP(B644,'Player Data'!$A1:$AE667,15,FALSE)*$Q644</f>
        <v>28.368230080052626</v>
      </c>
      <c r="AB644" s="56">
        <f>VLOOKUP(B644,'Player Data'!$A1:$AE667,16,FALSE)*$Q644</f>
        <v>49.460494137645782</v>
      </c>
      <c r="AC644" s="56">
        <f>VLOOKUP(B644,'Player Data'!$A1:$AE667,17,FALSE)*$Q644*IFERROR((VLOOKUP(P644,Settings!$E$28:$F$33,2,FALSE)+1),1)</f>
        <v>2.3874349076889727</v>
      </c>
      <c r="AD644" s="56">
        <f>VLOOKUP(B644,'Player Data'!$A1:$AE667,18,FALSE)*$Q644</f>
        <v>18.748820206587546</v>
      </c>
      <c r="AE644" s="56">
        <f>VLOOKUP(B644,'Player Data'!$A1:$AE667,19,FALSE)*$Q644*IFERROR((VLOOKUP(P644,Settings!$E$28:$F$33,2,FALSE)+1),1)</f>
        <v>1.072302215512096</v>
      </c>
      <c r="AF644" s="56">
        <f>VLOOKUP(B644,'Player Data'!$A1:$AE667,20,FALSE)*$Q644</f>
        <v>184.0570677447121</v>
      </c>
      <c r="AG644" s="56">
        <f>VLOOKUP(B644,'Player Data'!$A1:$AE667,21,FALSE)*$Q644</f>
        <v>166.07283250601265</v>
      </c>
      <c r="AH644" s="58">
        <f>VLOOKUP(B644,'Player Data'!$A1:$AE667,22,FALSE)</f>
        <v>0.52568223283104498</v>
      </c>
      <c r="AI644" s="54"/>
      <c r="AJ644" s="56"/>
      <c r="AK644" s="56"/>
      <c r="AL644" s="56"/>
      <c r="AM644" s="56"/>
      <c r="AN644" s="56"/>
      <c r="AO644" s="56"/>
      <c r="AP644" s="56"/>
      <c r="AQ644" s="59"/>
      <c r="AR644" s="60"/>
      <c r="AS644" s="54"/>
    </row>
    <row r="645" spans="1:45" ht="21.25" customHeight="1" x14ac:dyDescent="0.15">
      <c r="A645" s="45">
        <f>RANK(K645,K$1:K$665)</f>
        <v>644</v>
      </c>
      <c r="B645" s="9" t="s">
        <v>770</v>
      </c>
      <c r="C645" s="46" t="s">
        <v>127</v>
      </c>
      <c r="D645" s="47" t="str">
        <f>VLOOKUP(B645,'Player Data'!A1:D667,4,FALSE)</f>
        <v>LW</v>
      </c>
      <c r="E645" s="70">
        <f>VLOOKUP(B645,LW!A1:C152,3,FALSE)</f>
        <v>144</v>
      </c>
      <c r="F645" s="65" t="str">
        <f>VLOOKUP(B645,'Player Data'!A1:B667,2,FALSE)</f>
        <v>FLA</v>
      </c>
      <c r="G645" s="63">
        <f>VLOOKUP(B645,'Player Data'!A1:D667,3,FALSE)</f>
        <v>32</v>
      </c>
      <c r="H645" s="67">
        <f>IFERROR(VLOOKUP(B645,ADP!A1:G665,7,FALSE)/1000000,VLOOKUP(B645,ADP!A1:G665,7,FALSE))</f>
        <v>0.77500000000000002</v>
      </c>
      <c r="I645" s="51">
        <f>IF(Settings!$E$15="POINTS",((R645*Q645)*Settings!$B$12)+(S645*Settings!$B$2)+(T645*Settings!$B$3)+(U645*Settings!$B$4)+(V645*Settings!$B$5)+(X645*Settings!$B$9)+(AA645*Settings!$B$6)+(W645*Settings!$B$8)+(AB645*Settings!$B$7)+(AC645*Settings!$B$14)+(AD645*Settings!$B$15)+(AE645*Settings!$B$16)+(AF645*Settings!$B$17)+(AG645*Settings!$B$18)+(Y645*Settings!$B$10)+(Z645*Settings!$B$11),VLOOKUP(B645,'Standard Deviations'!A1:C666,3,FALSE))</f>
        <v>92.916488134122005</v>
      </c>
      <c r="J645" s="52">
        <f>IF(D645="G",I645/AJ645,I645/Q645)</f>
        <v>1.3093283750316635</v>
      </c>
      <c r="K645" s="51">
        <f>IF(Settings!$E$18="C/LW/RW",VLOOKUP(B645,LW!A1:F152,6,FALSE),VLOOKUP(B645,F!A1:F392,6,FALSE))</f>
        <v>-288.14502416837774</v>
      </c>
      <c r="L645" s="53">
        <f>IFERROR(K645/H645,"N/A")</f>
        <v>-371.80003118500355</v>
      </c>
      <c r="M645" s="83" t="str">
        <f>IF(Settings!$E$9="YAHOO",VLOOKUP(B645,ADP!A1:E665,2,FALSE),IF(Settings!$E$9="ESPN",VLOOKUP(B645,ADP!A1:E665,3,FALSE),IF(Settings!$E$9="FANTRAX",VLOOKUP(B645,ADP!A1:E665,4,FALSE),VLOOKUP(B645,ADP!A1:E665,5,FALSE))))</f>
        <v>—</v>
      </c>
      <c r="N645" s="83" t="str">
        <f>IFERROR(M645-A645,"N/A")</f>
        <v>N/A</v>
      </c>
      <c r="O645" s="54"/>
      <c r="P645" s="55" t="str">
        <f>IF(Settings!$E$27="ON",VLOOKUP(B645,ADP!A1:H665,8,FALSE)," ")</f>
        <v xml:space="preserve"> </v>
      </c>
      <c r="Q645" s="56">
        <f>IF(Settings!$E$12="YES",VLOOKUP(B645,'Player Data'!A1:E667,5,FALSE),82)</f>
        <v>70.965000000000003</v>
      </c>
      <c r="R645" s="54">
        <f>VLOOKUP(B645,'Player Data'!$A1:$AE667,6,FALSE)</f>
        <v>11.8193815239336</v>
      </c>
      <c r="S645" s="56">
        <f>VLOOKUP(B645,'Player Data'!$A1:$AE667,7,FALSE)*$Q645*IFERROR((VLOOKUP(P645,Settings!$E$28:$F$33,2,FALSE)+1),1)</f>
        <v>4.1198921365504475</v>
      </c>
      <c r="T645" s="56">
        <f>VLOOKUP(B645,'Player Data'!$A1:$AE667,8,FALSE)*$Q645*IFERROR((VLOOKUP(P645,Settings!$E$28:$F$33,2,FALSE)+1),1)</f>
        <v>8.7919348551233032</v>
      </c>
      <c r="U645" s="56">
        <f>SUM(S645:T645)</f>
        <v>12.911826991673751</v>
      </c>
      <c r="V645" s="56">
        <f>VLOOKUP(B645,'Player Data'!$A1:$AE667,10,FALSE)*$Q645*IFERROR(((VLOOKUP(P645,Settings!$E$28:$F$33,2,FALSE)/2)+1),1)</f>
        <v>72.370794811610565</v>
      </c>
      <c r="W645" s="56">
        <f>VLOOKUP(B645,'Player Data'!$A1:$AE667,11,FALSE)*$Q645*IFERROR((VLOOKUP(P645,Settings!$E$28:$F$33,2,FALSE)+1),1)</f>
        <v>4.352527859075922E-2</v>
      </c>
      <c r="X645" s="56">
        <f>VLOOKUP(B645,'Player Data'!$A1:$AE667,12,FALSE)*$Q645*IFERROR((VLOOKUP(P645,Settings!$E$28:$F$33,2,FALSE)+1),1)</f>
        <v>0.10899358571846471</v>
      </c>
      <c r="Y645" s="56">
        <f>VLOOKUP(B645,'Player Data'!$A1:$AE667,13,FALSE)*$Q645</f>
        <v>0.2670790170143067</v>
      </c>
      <c r="Z645" s="56">
        <f>VLOOKUP(B645,'Player Data'!$A1:$AE667,14,FALSE)*$Q645</f>
        <v>0.4753779855841419</v>
      </c>
      <c r="AA645" s="56">
        <f>VLOOKUP(B645,'Player Data'!$A1:$AE667,15,FALSE)*$Q645</f>
        <v>34.822476363985722</v>
      </c>
      <c r="AB645" s="56">
        <f>VLOOKUP(B645,'Player Data'!$A1:$AE667,16,FALSE)*$Q645</f>
        <v>77.397617383811749</v>
      </c>
      <c r="AC645" s="56">
        <f>VLOOKUP(B645,'Player Data'!$A1:$AE667,17,FALSE)*$Q645*IFERROR((VLOOKUP(P645,Settings!$E$28:$F$33,2,FALSE)+1),1)</f>
        <v>0.36575095808322144</v>
      </c>
      <c r="AD645" s="56">
        <f>VLOOKUP(B645,'Player Data'!$A1:$AE667,18,FALSE)*$Q645</f>
        <v>25.765613402499444</v>
      </c>
      <c r="AE645" s="56">
        <f>VLOOKUP(B645,'Player Data'!$A1:$AE667,19,FALSE)*$Q645*IFERROR((VLOOKUP(P645,Settings!$E$28:$F$33,2,FALSE)+1),1)</f>
        <v>0.70187195405819258</v>
      </c>
      <c r="AF645" s="56">
        <f>VLOOKUP(B645,'Player Data'!$A1:$AE667,20,FALSE)*$Q645</f>
        <v>286.54768158887623</v>
      </c>
      <c r="AG645" s="56">
        <f>VLOOKUP(B645,'Player Data'!$A1:$AE667,21,FALSE)*$Q645</f>
        <v>228.88386316599568</v>
      </c>
      <c r="AH645" s="58">
        <f>VLOOKUP(B645,'Player Data'!$A1:$AE667,22,FALSE)</f>
        <v>0.55593741691760901</v>
      </c>
      <c r="AI645" s="54"/>
      <c r="AJ645" s="56"/>
      <c r="AK645" s="56"/>
      <c r="AL645" s="56"/>
      <c r="AM645" s="56"/>
      <c r="AN645" s="56"/>
      <c r="AO645" s="56"/>
      <c r="AP645" s="56"/>
      <c r="AQ645" s="59"/>
      <c r="AR645" s="60"/>
      <c r="AS645" s="54"/>
    </row>
    <row r="646" spans="1:45" ht="21.25" customHeight="1" x14ac:dyDescent="0.15">
      <c r="A646" s="45">
        <f>RANK(K646,K$1:K$665)</f>
        <v>645</v>
      </c>
      <c r="B646" s="9" t="s">
        <v>771</v>
      </c>
      <c r="C646" s="46" t="s">
        <v>127</v>
      </c>
      <c r="D646" s="47" t="str">
        <f>VLOOKUP(B646,'Player Data'!A1:D667,4,FALSE)</f>
        <v>LW</v>
      </c>
      <c r="E646" s="70">
        <f>VLOOKUP(B646,LW!A1:C152,3,FALSE)</f>
        <v>145</v>
      </c>
      <c r="F646" s="62" t="str">
        <f>VLOOKUP(B646,'Player Data'!A1:B667,2,FALSE)</f>
        <v>BOS</v>
      </c>
      <c r="G646" s="10">
        <f>VLOOKUP(B646,'Player Data'!A1:D667,3,FALSE)</f>
        <v>26</v>
      </c>
      <c r="H646" s="50">
        <f>IFERROR(VLOOKUP(B646,ADP!A1:G665,7,FALSE)/1000000,VLOOKUP(B646,ADP!A1:G665,7,FALSE))</f>
        <v>1</v>
      </c>
      <c r="I646" s="51">
        <f>IF(Settings!$E$15="POINTS",((R646*Q646)*Settings!$B$12)+(S646*Settings!$B$2)+(T646*Settings!$B$3)+(U646*Settings!$B$4)+(V646*Settings!$B$5)+(X646*Settings!$B$9)+(AA646*Settings!$B$6)+(W646*Settings!$B$8)+(AB646*Settings!$B$7)+(AC646*Settings!$B$14)+(AD646*Settings!$B$15)+(AE646*Settings!$B$16)+(AF646*Settings!$B$17)+(AG646*Settings!$B$18)+(Y646*Settings!$B$10)+(Z646*Settings!$B$11),VLOOKUP(B646,'Standard Deviations'!A1:C666,3,FALSE))</f>
        <v>92.162181960716353</v>
      </c>
      <c r="J646" s="52">
        <f>IF(D646="G",I646/AJ646,I646/Q646)</f>
        <v>1.3772508231884986</v>
      </c>
      <c r="K646" s="51">
        <f>IF(Settings!$E$18="C/LW/RW",VLOOKUP(B646,LW!A1:F152,6,FALSE),VLOOKUP(B646,F!A1:F392,6,FALSE))</f>
        <v>-288.89933034178341</v>
      </c>
      <c r="L646" s="53">
        <f>IFERROR(K646/H646,"N/A")</f>
        <v>-288.89933034178341</v>
      </c>
      <c r="M646" s="83" t="str">
        <f>IF(Settings!$E$9="YAHOO",VLOOKUP(B646,ADP!A1:E665,2,FALSE),IF(Settings!$E$9="ESPN",VLOOKUP(B646,ADP!A1:E665,3,FALSE),IF(Settings!$E$9="FANTRAX",VLOOKUP(B646,ADP!A1:E665,4,FALSE),VLOOKUP(B646,ADP!A1:E665,5,FALSE))))</f>
        <v>—</v>
      </c>
      <c r="N646" s="83" t="str">
        <f>IFERROR(M646-A646,"N/A")</f>
        <v>N/A</v>
      </c>
      <c r="O646" s="54"/>
      <c r="P646" s="55" t="str">
        <f>IF(Settings!$E$27="ON",VLOOKUP(B646,ADP!A1:H665,8,FALSE)," ")</f>
        <v xml:space="preserve"> </v>
      </c>
      <c r="Q646" s="56">
        <f>IF(Settings!$E$12="YES",VLOOKUP(B646,'Player Data'!A1:E667,5,FALSE),82)</f>
        <v>66.917500000000004</v>
      </c>
      <c r="R646" s="81">
        <f>VLOOKUP(B646,'Player Data'!$A1:$AE667,6,FALSE)</f>
        <v>9.9221193851119498</v>
      </c>
      <c r="S646" s="56">
        <f>VLOOKUP(B646,'Player Data'!$A1:$AE667,7,FALSE)*$Q646*IFERROR((VLOOKUP(P646,Settings!$E$28:$F$33,2,FALSE)+1),1)</f>
        <v>6.0113361973567043</v>
      </c>
      <c r="T646" s="56">
        <f>VLOOKUP(B646,'Player Data'!$A1:$AE667,8,FALSE)*$Q646*IFERROR((VLOOKUP(P646,Settings!$E$28:$F$33,2,FALSE)+1),1)</f>
        <v>8.7306852042628726</v>
      </c>
      <c r="U646" s="56">
        <f>SUM(S646:T646)</f>
        <v>14.742021401619578</v>
      </c>
      <c r="V646" s="56">
        <f>VLOOKUP(B646,'Player Data'!$A1:$AE667,10,FALSE)*$Q646*IFERROR(((VLOOKUP(P646,Settings!$E$28:$F$33,2,FALSE)/2)+1),1)</f>
        <v>77.509298573076379</v>
      </c>
      <c r="W646" s="56">
        <f>VLOOKUP(B646,'Player Data'!$A1:$AE667,11,FALSE)*$Q646*IFERROR((VLOOKUP(P646,Settings!$E$28:$F$33,2,FALSE)+1),1)</f>
        <v>0.17206205738790178</v>
      </c>
      <c r="X646" s="56">
        <f>VLOOKUP(B646,'Player Data'!$A1:$AE667,12,FALSE)*$Q646*IFERROR((VLOOKUP(P646,Settings!$E$28:$F$33,2,FALSE)+1),1)</f>
        <v>0.5400223418552037</v>
      </c>
      <c r="Y646" s="56">
        <f>VLOOKUP(B646,'Player Data'!$A1:$AE667,13,FALSE)*$Q646</f>
        <v>3.3951633866097721E-3</v>
      </c>
      <c r="Z646" s="56">
        <f>VLOOKUP(B646,'Player Data'!$A1:$AE667,14,FALSE)*$Q646</f>
        <v>5.7820131832397956E-3</v>
      </c>
      <c r="AA646" s="56">
        <f>VLOOKUP(B646,'Player Data'!$A1:$AE667,15,FALSE)*$Q646</f>
        <v>17.271328228561973</v>
      </c>
      <c r="AB646" s="56">
        <f>VLOOKUP(B646,'Player Data'!$A1:$AE667,16,FALSE)*$Q646</f>
        <v>112.57681519397899</v>
      </c>
      <c r="AC646" s="56">
        <f>VLOOKUP(B646,'Player Data'!$A1:$AE667,17,FALSE)*$Q646*IFERROR((VLOOKUP(P646,Settings!$E$28:$F$33,2,FALSE)+1),1)</f>
        <v>-5.8986191637647556</v>
      </c>
      <c r="AD646" s="56">
        <f>VLOOKUP(B646,'Player Data'!$A1:$AE667,18,FALSE)*$Q646</f>
        <v>34.860685257102993</v>
      </c>
      <c r="AE646" s="56">
        <f>VLOOKUP(B646,'Player Data'!$A1:$AE667,19,FALSE)*$Q646*IFERROR((VLOOKUP(P646,Settings!$E$28:$F$33,2,FALSE)+1),1)</f>
        <v>0.93628796269077197</v>
      </c>
      <c r="AF646" s="56">
        <f>VLOOKUP(B646,'Player Data'!$A1:$AE667,20,FALSE)*$Q646</f>
        <v>6.6760929728711158</v>
      </c>
      <c r="AG646" s="56">
        <f>VLOOKUP(B646,'Player Data'!$A1:$AE667,21,FALSE)*$Q646</f>
        <v>10.453312471265956</v>
      </c>
      <c r="AH646" s="58">
        <f>VLOOKUP(B646,'Player Data'!$A1:$AE667,22,FALSE)</f>
        <v>0.389744582475054</v>
      </c>
      <c r="AI646" s="54"/>
      <c r="AJ646" s="64"/>
      <c r="AK646" s="56"/>
      <c r="AL646" s="56"/>
      <c r="AM646" s="56"/>
      <c r="AN646" s="56"/>
      <c r="AO646" s="56"/>
      <c r="AP646" s="56"/>
      <c r="AQ646" s="59"/>
      <c r="AR646" s="60"/>
      <c r="AS646" s="54"/>
    </row>
    <row r="647" spans="1:45" ht="21.25" customHeight="1" x14ac:dyDescent="0.15">
      <c r="A647" s="45">
        <f>RANK(K647,K$1:K$665)</f>
        <v>646</v>
      </c>
      <c r="B647" s="9" t="s">
        <v>772</v>
      </c>
      <c r="C647" s="46" t="s">
        <v>127</v>
      </c>
      <c r="D647" s="47" t="str">
        <f>VLOOKUP(B647,'Player Data'!A1:D667,4,FALSE)</f>
        <v>C</v>
      </c>
      <c r="E647" s="48">
        <f>VLOOKUP(B647,'C'!A1:C206,3,FALSE)</f>
        <v>194</v>
      </c>
      <c r="F647" s="77" t="str">
        <f>VLOOKUP(B647,'Player Data'!A1:B667,2,FALSE)</f>
        <v>S.J</v>
      </c>
      <c r="G647" s="10">
        <f>VLOOKUP(B647,'Player Data'!A1:D667,3,FALSE)</f>
        <v>24</v>
      </c>
      <c r="H647" s="50">
        <f>IFERROR(VLOOKUP(B647,ADP!A1:G665,7,FALSE)/1000000,VLOOKUP(B647,ADP!A1:G665,7,FALSE))</f>
        <v>1.3</v>
      </c>
      <c r="I647" s="51">
        <f>IF(Settings!$E$15="POINTS",((R647*Q647)*Settings!$B$12)+(S647*Settings!$B$2)+(T647*Settings!$B$3)+(U647*Settings!$B$4)+(V647*Settings!$B$5)+(X647*Settings!$B$9)+(AA647*Settings!$B$6)+(W647*Settings!$B$8)+(AB647*Settings!$B$7)+(AC647*Settings!$B$14)+(AD647*Settings!$B$15)+(AE647*Settings!$B$16)+(AF647*Settings!$B$17)+(AG647*Settings!$B$18)+(Y647*Settings!$B$10)+(Z647*Settings!$B$11),VLOOKUP(B647,'Standard Deviations'!A1:C666,3,FALSE))</f>
        <v>100.71579800673562</v>
      </c>
      <c r="J647" s="52">
        <f>IF(D647="G",I647/AJ647,I647/Q647)</f>
        <v>1.4199322995451236</v>
      </c>
      <c r="K647" s="51">
        <f>IF(Settings!$E$18="C/LW/RW",VLOOKUP(B647,'C'!A1:F206,6,FALSE),VLOOKUP(B647,F!A1:F392,6,FALSE))</f>
        <v>-289.22135977134548</v>
      </c>
      <c r="L647" s="53">
        <f>IFERROR(K647/H647,"N/A")</f>
        <v>-222.47796905488113</v>
      </c>
      <c r="M647" s="83" t="str">
        <f>IF(Settings!$E$9="YAHOO",VLOOKUP(B647,ADP!A1:E665,2,FALSE),IF(Settings!$E$9="ESPN",VLOOKUP(B647,ADP!A1:E665,3,FALSE),IF(Settings!$E$9="FANTRAX",VLOOKUP(B647,ADP!A1:E665,4,FALSE),VLOOKUP(B647,ADP!A1:E665,5,FALSE))))</f>
        <v>—</v>
      </c>
      <c r="N647" s="83" t="str">
        <f>IFERROR(M647-A647,"N/A")</f>
        <v>N/A</v>
      </c>
      <c r="O647" s="54"/>
      <c r="P647" s="55" t="str">
        <f>IF(Settings!$E$27="ON",VLOOKUP(B647,ADP!A1:H665,8,FALSE)," ")</f>
        <v xml:space="preserve"> </v>
      </c>
      <c r="Q647" s="56">
        <f>IF(Settings!$E$12="YES",VLOOKUP(B647,'Player Data'!A1:E667,5,FALSE),82)</f>
        <v>70.930000000000007</v>
      </c>
      <c r="R647" s="81">
        <f>VLOOKUP(B647,'Player Data'!$A1:$AE667,6,FALSE)</f>
        <v>10.3674199992924</v>
      </c>
      <c r="S647" s="56">
        <f>VLOOKUP(B647,'Player Data'!$A1:$AE667,7,FALSE)*$Q647*IFERROR((VLOOKUP(P647,Settings!$E$28:$F$33,2,FALSE)+1),1)</f>
        <v>5.8117118793029556</v>
      </c>
      <c r="T647" s="56">
        <f>VLOOKUP(B647,'Player Data'!$A1:$AE667,8,FALSE)*$Q647*IFERROR((VLOOKUP(P647,Settings!$E$28:$F$33,2,FALSE)+1),1)</f>
        <v>11.360931980368603</v>
      </c>
      <c r="U647" s="56">
        <f>SUM(S647:T647)</f>
        <v>17.17264385967156</v>
      </c>
      <c r="V647" s="56">
        <f>VLOOKUP(B647,'Player Data'!$A1:$AE667,10,FALSE)*$Q647*IFERROR(((VLOOKUP(P647,Settings!$E$28:$F$33,2,FALSE)/2)+1),1)</f>
        <v>72.193418256157003</v>
      </c>
      <c r="W647" s="56">
        <f>VLOOKUP(B647,'Player Data'!$A1:$AE667,11,FALSE)*$Q647*IFERROR((VLOOKUP(P647,Settings!$E$28:$F$33,2,FALSE)+1),1)</f>
        <v>7.2107555435698523E-2</v>
      </c>
      <c r="X647" s="56">
        <f>VLOOKUP(B647,'Player Data'!$A1:$AE667,12,FALSE)*$Q647*IFERROR((VLOOKUP(P647,Settings!$E$28:$F$33,2,FALSE)+1),1)</f>
        <v>0.16435127409758535</v>
      </c>
      <c r="Y647" s="56">
        <f>VLOOKUP(B647,'Player Data'!$A1:$AE667,13,FALSE)*$Q647</f>
        <v>4.3735181160472474E-2</v>
      </c>
      <c r="Z647" s="56">
        <f>VLOOKUP(B647,'Player Data'!$A1:$AE667,14,FALSE)*$Q647</f>
        <v>0.39702068924790634</v>
      </c>
      <c r="AA647" s="56">
        <f>VLOOKUP(B647,'Player Data'!$A1:$AE667,15,FALSE)*$Q647</f>
        <v>25.079570672593917</v>
      </c>
      <c r="AB647" s="56">
        <f>VLOOKUP(B647,'Player Data'!$A1:$AE667,16,FALSE)*$Q647</f>
        <v>93.563702951933777</v>
      </c>
      <c r="AC647" s="56">
        <f>VLOOKUP(B647,'Player Data'!$A1:$AE667,17,FALSE)*$Q647*IFERROR((VLOOKUP(P647,Settings!$E$28:$F$33,2,FALSE)+1),1)</f>
        <v>2.9496093568322643</v>
      </c>
      <c r="AD647" s="56">
        <f>VLOOKUP(B647,'Player Data'!$A1:$AE667,18,FALSE)*$Q647</f>
        <v>28.589592082175823</v>
      </c>
      <c r="AE647" s="56">
        <f>VLOOKUP(B647,'Player Data'!$A1:$AE667,19,FALSE)*$Q647*IFERROR((VLOOKUP(P647,Settings!$E$28:$F$33,2,FALSE)+1),1)</f>
        <v>0.62074967181700591</v>
      </c>
      <c r="AF647" s="56">
        <f>VLOOKUP(B647,'Player Data'!$A1:$AE667,20,FALSE)*$Q647</f>
        <v>119.78948423006912</v>
      </c>
      <c r="AG647" s="56">
        <f>VLOOKUP(B647,'Player Data'!$A1:$AE667,21,FALSE)*$Q647</f>
        <v>132.88290328203755</v>
      </c>
      <c r="AH647" s="58">
        <f>VLOOKUP(B647,'Player Data'!$A1:$AE667,22,FALSE)</f>
        <v>0.47409012678256901</v>
      </c>
      <c r="AI647" s="54"/>
      <c r="AJ647" s="56"/>
      <c r="AK647" s="56"/>
      <c r="AL647" s="56"/>
      <c r="AM647" s="56"/>
      <c r="AN647" s="56"/>
      <c r="AO647" s="56"/>
      <c r="AP647" s="56"/>
      <c r="AQ647" s="59"/>
      <c r="AR647" s="60"/>
      <c r="AS647" s="54"/>
    </row>
    <row r="648" spans="1:45" ht="21.25" customHeight="1" x14ac:dyDescent="0.15">
      <c r="A648" s="45">
        <f>RANK(K648,K$1:K$665)</f>
        <v>647</v>
      </c>
      <c r="B648" s="9" t="s">
        <v>773</v>
      </c>
      <c r="C648" s="46" t="s">
        <v>127</v>
      </c>
      <c r="D648" s="47" t="str">
        <f>VLOOKUP(B648,'Player Data'!A1:D667,4,FALSE)</f>
        <v>G</v>
      </c>
      <c r="E648" s="73">
        <f>VLOOKUP(B648,G!A1:D65,3,FALSE)</f>
        <v>60</v>
      </c>
      <c r="F648" s="65" t="str">
        <f>VLOOKUP(B648,'Player Data'!A1:B667,2,FALSE)</f>
        <v>NSH</v>
      </c>
      <c r="G648" s="10">
        <f>VLOOKUP(B648,'Player Data'!A1:D667,3,FALSE)</f>
        <v>31</v>
      </c>
      <c r="H648" s="50">
        <f>IFERROR(VLOOKUP(B648,ADP!A1:G665,7,FALSE)/1000000,VLOOKUP(B648,ADP!A1:G665,7,FALSE))</f>
        <v>1.5</v>
      </c>
      <c r="I648" s="51">
        <f>IF(Settings!$E$15="POINTS",(AJ648*Settings!$B$29)+(AK648*Settings!$B$21)+(AL648*Settings!$B$22)+(AN648*Settings!$B$24)+(AO648*Settings!$B$25)+(AP648*Settings!$B$27)+(AM648*Settings!$B$23),VLOOKUP(B648,'Standard Deviations'!A1:C666,3,FALSE))</f>
        <v>121.26869330562698</v>
      </c>
      <c r="J648" s="52">
        <f>IF(D648="G",I648/AJ648,I648/Q648)</f>
        <v>6.0634346652813491</v>
      </c>
      <c r="K648" s="51">
        <f>VLOOKUP(B648,G!A1:F65,6,FALSE)</f>
        <v>-289.39104946379319</v>
      </c>
      <c r="L648" s="53">
        <f>IFERROR(K648/H648,"N/A")</f>
        <v>-192.92736630919546</v>
      </c>
      <c r="M648" s="83" t="str">
        <f>IF(Settings!$E$9="YAHOO",VLOOKUP(B648,ADP!A1:E665,2,FALSE),IF(Settings!$E$9="ESPN",VLOOKUP(B648,ADP!A1:E665,3,FALSE),IF(Settings!$E$9="FANTRAX",VLOOKUP(B648,ADP!A1:E665,4,FALSE),VLOOKUP(B648,ADP!A1:E665,5,FALSE))))</f>
        <v>—</v>
      </c>
      <c r="N648" s="83" t="str">
        <f>IFERROR(M648-A648,"N/A")</f>
        <v>N/A</v>
      </c>
      <c r="O648" s="54"/>
      <c r="P648" s="55" t="str">
        <f>IF(Settings!$E$27="ON",VLOOKUP(B648,ADP!A1:H665,8,FALSE)," ")</f>
        <v xml:space="preserve"> </v>
      </c>
      <c r="Q648" s="56"/>
      <c r="R648" s="54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8"/>
      <c r="AI648" s="54"/>
      <c r="AJ648" s="64">
        <f>VLOOKUP(B648,'Player Data'!$A1:$AE667,24,FALSE)</f>
        <v>20</v>
      </c>
      <c r="AK648" s="56">
        <f>VLOOKUP(B648,'Player Data'!$A1:$AE667,25,FALSE)*$AJ648*IFERROR((VLOOKUP(P648,Settings!$E$28:$F$33,2,FALSE)+1),1)</f>
        <v>9.9635986539981207</v>
      </c>
      <c r="AL648" s="56">
        <f>AJ648-AK648-AM648</f>
        <v>7.5364013460018793</v>
      </c>
      <c r="AM648" s="56">
        <f>VLOOKUP(B648,'Player Data'!$A1:$AE667,27,FALSE)*$AJ648</f>
        <v>2.5</v>
      </c>
      <c r="AN648" s="56">
        <f>VLOOKUP(B648,'Player Data'!$A1:$AE667,28,FALSE)*AJ648</f>
        <v>0.78880599195961798</v>
      </c>
      <c r="AO648" s="56">
        <f>VLOOKUP(B648,'Player Data'!$A1:$AE667,29,FALSE)*$AJ648*IFERROR((VLOOKUP(P648,Settings!$E$28:$F$33,2,FALSE)/4)+1,1)</f>
        <v>543.53454811002598</v>
      </c>
      <c r="AP648" s="56">
        <f>VLOOKUP(B648,'Player Data'!$A1:$AE667,31,FALSE)*$AJ648*(IFERROR(1-(VLOOKUP(P648,Settings!$E$28:$F$33,2,FALSE)/4),1))</f>
        <v>60.39272756778</v>
      </c>
      <c r="AQ648" s="59">
        <f>1-(AP648/(AO648+AP648))</f>
        <v>0.90000000000000102</v>
      </c>
      <c r="AR648" s="60">
        <f>AP648/AJ648</f>
        <v>3.0196363783889999</v>
      </c>
      <c r="AS648" s="54"/>
    </row>
    <row r="649" spans="1:45" ht="21.25" customHeight="1" x14ac:dyDescent="0.15">
      <c r="A649" s="45">
        <f>RANK(K649,K$1:K$665)</f>
        <v>648</v>
      </c>
      <c r="B649" s="9" t="s">
        <v>774</v>
      </c>
      <c r="C649" s="46" t="s">
        <v>127</v>
      </c>
      <c r="D649" s="47" t="str">
        <f>VLOOKUP(B649,'Player Data'!A1:D667,4,FALSE)</f>
        <v>LW</v>
      </c>
      <c r="E649" s="70">
        <f>VLOOKUP(B649,LW!A1:C152,3,FALSE)</f>
        <v>146</v>
      </c>
      <c r="F649" s="65" t="str">
        <f>VLOOKUP(B649,'Player Data'!A1:B667,2,FALSE)</f>
        <v>CGY</v>
      </c>
      <c r="G649" s="10">
        <f>VLOOKUP(B649,'Player Data'!A1:D667,3,FALSE)</f>
        <v>29</v>
      </c>
      <c r="H649" s="50">
        <f>IFERROR(VLOOKUP(B649,ADP!A1:G665,7,FALSE)/1000000,VLOOKUP(B649,ADP!A1:G665,7,FALSE))</f>
        <v>2</v>
      </c>
      <c r="I649" s="51">
        <f>IF(Settings!$E$15="POINTS",((R649*Q649)*Settings!$B$12)+(S649*Settings!$B$2)+(T649*Settings!$B$3)+(U649*Settings!$B$4)+(V649*Settings!$B$5)+(X649*Settings!$B$9)+(AA649*Settings!$B$6)+(W649*Settings!$B$8)+(AB649*Settings!$B$7)+(AC649*Settings!$B$14)+(AD649*Settings!$B$15)+(AE649*Settings!$B$16)+(AF649*Settings!$B$17)+(AG649*Settings!$B$18)+(Y649*Settings!$B$10)+(Z649*Settings!$B$11),VLOOKUP(B649,'Standard Deviations'!A1:C666,3,FALSE))</f>
        <v>90.763433857421902</v>
      </c>
      <c r="J649" s="52">
        <f>IF(D649="G",I649/AJ649,I649/Q649)</f>
        <v>1.1623298717134227</v>
      </c>
      <c r="K649" s="51">
        <f>IF(Settings!$E$18="C/LW/RW",VLOOKUP(B649,LW!A1:F152,6,FALSE),VLOOKUP(B649,F!A1:F392,6,FALSE))</f>
        <v>-290.29807844507786</v>
      </c>
      <c r="L649" s="53">
        <f>IFERROR(K649/H649,"N/A")</f>
        <v>-145.14903922253893</v>
      </c>
      <c r="M649" s="83" t="str">
        <f>IF(Settings!$E$9="YAHOO",VLOOKUP(B649,ADP!A1:E665,2,FALSE),IF(Settings!$E$9="ESPN",VLOOKUP(B649,ADP!A1:E665,3,FALSE),IF(Settings!$E$9="FANTRAX",VLOOKUP(B649,ADP!A1:E665,4,FALSE),VLOOKUP(B649,ADP!A1:E665,5,FALSE))))</f>
        <v>—</v>
      </c>
      <c r="N649" s="83" t="str">
        <f>IFERROR(M649-A649,"N/A")</f>
        <v>N/A</v>
      </c>
      <c r="O649" s="54"/>
      <c r="P649" s="55" t="str">
        <f>IF(Settings!$E$27="ON",VLOOKUP(B649,ADP!A1:H665,8,FALSE)," ")</f>
        <v xml:space="preserve"> </v>
      </c>
      <c r="Q649" s="56">
        <f>IF(Settings!$E$12="YES",VLOOKUP(B649,'Player Data'!A1:E667,5,FALSE),82)</f>
        <v>78.087500000000006</v>
      </c>
      <c r="R649" s="54">
        <f>VLOOKUP(B649,'Player Data'!$A1:$AE667,6,FALSE)</f>
        <v>9.6585778739371797</v>
      </c>
      <c r="S649" s="56">
        <f>VLOOKUP(B649,'Player Data'!$A1:$AE667,7,FALSE)*$Q649*IFERROR((VLOOKUP(P649,Settings!$E$28:$F$33,2,FALSE)+1),1)</f>
        <v>6.8329785524271509</v>
      </c>
      <c r="T649" s="56">
        <f>VLOOKUP(B649,'Player Data'!$A1:$AE667,8,FALSE)*$Q649*IFERROR((VLOOKUP(P649,Settings!$E$28:$F$33,2,FALSE)+1),1)</f>
        <v>5.6029305321770568</v>
      </c>
      <c r="U649" s="56">
        <f>SUM(S649:T649)</f>
        <v>12.435909084604209</v>
      </c>
      <c r="V649" s="56">
        <f>VLOOKUP(B649,'Player Data'!$A1:$AE667,10,FALSE)*$Q649*IFERROR(((VLOOKUP(P649,Settings!$E$28:$F$33,2,FALSE)/2)+1),1)</f>
        <v>83.087076101365057</v>
      </c>
      <c r="W649" s="56">
        <f>VLOOKUP(B649,'Player Data'!$A1:$AE667,11,FALSE)*$Q649*IFERROR((VLOOKUP(P649,Settings!$E$28:$F$33,2,FALSE)+1),1)</f>
        <v>0.10492808546727568</v>
      </c>
      <c r="X649" s="56">
        <f>VLOOKUP(B649,'Player Data'!$A1:$AE667,12,FALSE)*$Q649*IFERROR((VLOOKUP(P649,Settings!$E$28:$F$33,2,FALSE)+1),1)</f>
        <v>0.18172163965798085</v>
      </c>
      <c r="Y649" s="56">
        <f>VLOOKUP(B649,'Player Data'!$A1:$AE667,13,FALSE)*$Q649</f>
        <v>8.3870788720285902E-2</v>
      </c>
      <c r="Z649" s="56">
        <f>VLOOKUP(B649,'Player Data'!$A1:$AE667,14,FALSE)*$Q649</f>
        <v>0.26949097680076084</v>
      </c>
      <c r="AA649" s="56">
        <f>VLOOKUP(B649,'Player Data'!$A1:$AE667,15,FALSE)*$Q649</f>
        <v>22.92191187293599</v>
      </c>
      <c r="AB649" s="56">
        <f>VLOOKUP(B649,'Player Data'!$A1:$AE667,16,FALSE)*$Q649</f>
        <v>151.68400518700267</v>
      </c>
      <c r="AC649" s="56">
        <f>VLOOKUP(B649,'Player Data'!$A1:$AE667,17,FALSE)*$Q649*IFERROR((VLOOKUP(P649,Settings!$E$28:$F$33,2,FALSE)+1),1)</f>
        <v>3.3972399437533323</v>
      </c>
      <c r="AD649" s="56">
        <f>VLOOKUP(B649,'Player Data'!$A1:$AE667,18,FALSE)*$Q649</f>
        <v>45.806408988016493</v>
      </c>
      <c r="AE649" s="56">
        <f>VLOOKUP(B649,'Player Data'!$A1:$AE667,19,FALSE)*$Q649*IFERROR((VLOOKUP(P649,Settings!$E$28:$F$33,2,FALSE)+1),1)</f>
        <v>0.99272094145564582</v>
      </c>
      <c r="AF649" s="56">
        <f>VLOOKUP(B649,'Player Data'!$A1:$AE667,20,FALSE)*$Q649</f>
        <v>6.2648909555746126</v>
      </c>
      <c r="AG649" s="56">
        <f>VLOOKUP(B649,'Player Data'!$A1:$AE667,21,FALSE)*$Q649</f>
        <v>11.663870227444344</v>
      </c>
      <c r="AH649" s="58">
        <f>VLOOKUP(B649,'Player Data'!$A1:$AE667,22,FALSE)</f>
        <v>0.34943245055371303</v>
      </c>
      <c r="AI649" s="54"/>
      <c r="AJ649" s="64"/>
      <c r="AK649" s="56"/>
      <c r="AL649" s="56"/>
      <c r="AM649" s="56"/>
      <c r="AN649" s="56"/>
      <c r="AO649" s="56"/>
      <c r="AP649" s="56"/>
      <c r="AQ649" s="59"/>
      <c r="AR649" s="60"/>
      <c r="AS649" s="54"/>
    </row>
    <row r="650" spans="1:45" ht="21.25" customHeight="1" x14ac:dyDescent="0.15">
      <c r="A650" s="45">
        <f>RANK(K650,K$1:K$665)</f>
        <v>649</v>
      </c>
      <c r="B650" s="9" t="s">
        <v>775</v>
      </c>
      <c r="C650" s="46" t="s">
        <v>127</v>
      </c>
      <c r="D650" s="47" t="str">
        <f>VLOOKUP(B650,'Player Data'!A1:D667,4,FALSE)</f>
        <v>G</v>
      </c>
      <c r="E650" s="73">
        <f>VLOOKUP(B650,G!A1:D65,3,FALSE)</f>
        <v>61</v>
      </c>
      <c r="F650" s="55" t="str">
        <f>VLOOKUP(B650,'Player Data'!A1:B667,2,FALSE)</f>
        <v>NYR</v>
      </c>
      <c r="G650" s="63">
        <f>VLOOKUP(B650,'Player Data'!A1:D667,3,FALSE)</f>
        <v>38</v>
      </c>
      <c r="H650" s="67">
        <f>IFERROR(VLOOKUP(B650,ADP!A1:G665,7,FALSE)/1000000,VLOOKUP(B650,ADP!A1:G665,7,FALSE))</f>
        <v>1.2749999999999999</v>
      </c>
      <c r="I650" s="51">
        <f>IF(Settings!$E$15="POINTS",(AJ650*Settings!$B$29)+(AK650*Settings!$B$21)+(AL650*Settings!$B$22)+(AN650*Settings!$B$24)+(AO650*Settings!$B$25)+(AP650*Settings!$B$27)+(AM650*Settings!$B$23),VLOOKUP(B650,'Standard Deviations'!A1:C666,3,FALSE))</f>
        <v>118.70046708719246</v>
      </c>
      <c r="J650" s="52">
        <f>IF(D650="G",I650/AJ650,I650/Q650)</f>
        <v>5.9350233543596236</v>
      </c>
      <c r="K650" s="51">
        <f>VLOOKUP(B650,G!A1:F65,6,FALSE)</f>
        <v>-291.95927568222771</v>
      </c>
      <c r="L650" s="53">
        <f>IFERROR(K650/H650,"N/A")</f>
        <v>-228.98766720174723</v>
      </c>
      <c r="M650" s="83" t="str">
        <f>IF(Settings!$E$9="YAHOO",VLOOKUP(B650,ADP!A1:E665,2,FALSE),IF(Settings!$E$9="ESPN",VLOOKUP(B650,ADP!A1:E665,3,FALSE),IF(Settings!$E$9="FANTRAX",VLOOKUP(B650,ADP!A1:E665,4,FALSE),VLOOKUP(B650,ADP!A1:E665,5,FALSE))))</f>
        <v>—</v>
      </c>
      <c r="N650" s="83" t="str">
        <f>IFERROR(M650-A650,"N/A")</f>
        <v>N/A</v>
      </c>
      <c r="O650" s="54"/>
      <c r="P650" s="55" t="str">
        <f>IF(Settings!$E$27="ON",VLOOKUP(B650,ADP!A1:H665,8,FALSE)," ")</f>
        <v xml:space="preserve"> </v>
      </c>
      <c r="Q650" s="56"/>
      <c r="R650" s="54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8"/>
      <c r="AI650" s="54"/>
      <c r="AJ650" s="64">
        <f>VLOOKUP(B650,'Player Data'!$A1:$AE667,24,FALSE)</f>
        <v>20</v>
      </c>
      <c r="AK650" s="56">
        <f>VLOOKUP(B650,'Player Data'!$A1:$AE667,25,FALSE)*$AJ650*IFERROR((VLOOKUP(P650,Settings!$E$28:$F$33,2,FALSE)+1),1)</f>
        <v>10.59165223185186</v>
      </c>
      <c r="AL650" s="56">
        <f>AJ650-AK650-AM650</f>
        <v>6.9083477681481398</v>
      </c>
      <c r="AM650" s="56">
        <f>VLOOKUP(B650,'Player Data'!$A1:$AE667,27,FALSE)*$AJ650</f>
        <v>2.5</v>
      </c>
      <c r="AN650" s="56">
        <f>VLOOKUP(B650,'Player Data'!$A1:$AE667,28,FALSE)*AJ650</f>
        <v>0.87422396745889797</v>
      </c>
      <c r="AO650" s="56">
        <f>VLOOKUP(B650,'Player Data'!$A1:$AE667,29,FALSE)*$AJ650*IFERROR((VLOOKUP(P650,Settings!$E$28:$F$33,2,FALSE)/4)+1,1)</f>
        <v>528.82429849242396</v>
      </c>
      <c r="AP650" s="56">
        <f>VLOOKUP(B650,'Player Data'!$A1:$AE667,31,FALSE)*$AJ650*(IFERROR(1-(VLOOKUP(P650,Settings!$E$28:$F$33,2,FALSE)/4),1))</f>
        <v>59.453620940678</v>
      </c>
      <c r="AQ650" s="59">
        <f>1-(AP650/(AO650+AP650))</f>
        <v>0.89893616779298657</v>
      </c>
      <c r="AR650" s="60">
        <f>AP650/AJ650</f>
        <v>2.9726810470339</v>
      </c>
      <c r="AS650" s="54"/>
    </row>
    <row r="651" spans="1:45" ht="21.25" customHeight="1" x14ac:dyDescent="0.15">
      <c r="A651" s="45">
        <f>RANK(K651,K$1:K$665)</f>
        <v>650</v>
      </c>
      <c r="B651" s="9" t="s">
        <v>776</v>
      </c>
      <c r="C651" s="46" t="s">
        <v>127</v>
      </c>
      <c r="D651" s="47" t="str">
        <f>VLOOKUP(B651,'Player Data'!A1:D667,4,FALSE)</f>
        <v>G</v>
      </c>
      <c r="E651" s="73">
        <f>VLOOKUP(B651,G!A1:D65,3,FALSE)</f>
        <v>62</v>
      </c>
      <c r="F651" s="62" t="str">
        <f>VLOOKUP(B651,'Player Data'!A1:B667,2,FALSE)</f>
        <v>T.B</v>
      </c>
      <c r="G651" s="10">
        <f>VLOOKUP(B651,'Player Data'!A1:D667,3,FALSE)</f>
        <v>28</v>
      </c>
      <c r="H651" s="67">
        <f>IFERROR(VLOOKUP(B651,ADP!A1:G665,7,FALSE)/1000000,VLOOKUP(B651,ADP!A1:G665,7,FALSE))</f>
        <v>0.77500000000000002</v>
      </c>
      <c r="I651" s="51">
        <f>IF(Settings!$E$15="POINTS",(AJ651*Settings!$B$29)+(AK651*Settings!$B$21)+(AL651*Settings!$B$22)+(AN651*Settings!$B$24)+(AO651*Settings!$B$25)+(AP651*Settings!$B$27)+(AM651*Settings!$B$23),VLOOKUP(B651,'Standard Deviations'!A1:C666,3,FALSE))</f>
        <v>116.3892684539889</v>
      </c>
      <c r="J651" s="52">
        <f>IF(D651="G",I651/AJ651,I651/Q651)</f>
        <v>5.8194634226994451</v>
      </c>
      <c r="K651" s="51">
        <f>VLOOKUP(B651,G!A1:F65,6,FALSE)</f>
        <v>-294.27047431543127</v>
      </c>
      <c r="L651" s="53">
        <f>IFERROR(K651/H651,"N/A")</f>
        <v>-379.70383782636293</v>
      </c>
      <c r="M651" s="83" t="str">
        <f>IF(Settings!$E$9="YAHOO",VLOOKUP(B651,ADP!A1:E665,2,FALSE),IF(Settings!$E$9="ESPN",VLOOKUP(B651,ADP!A1:E665,3,FALSE),IF(Settings!$E$9="FANTRAX",VLOOKUP(B651,ADP!A1:E665,4,FALSE),VLOOKUP(B651,ADP!A1:E665,5,FALSE))))</f>
        <v>—</v>
      </c>
      <c r="N651" s="83" t="str">
        <f>IFERROR(M651-A651,"N/A")</f>
        <v>N/A</v>
      </c>
      <c r="O651" s="54"/>
      <c r="P651" s="55" t="str">
        <f>IF(Settings!$E$27="ON",VLOOKUP(B651,ADP!A1:H665,8,FALSE)," ")</f>
        <v xml:space="preserve"> </v>
      </c>
      <c r="Q651" s="56"/>
      <c r="R651" s="54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8"/>
      <c r="AI651" s="54"/>
      <c r="AJ651" s="64">
        <f>VLOOKUP(B651,'Player Data'!$A1:$AE667,24,FALSE)</f>
        <v>20</v>
      </c>
      <c r="AK651" s="56">
        <f>VLOOKUP(B651,'Player Data'!$A1:$AE667,25,FALSE)*$AJ651*IFERROR((VLOOKUP(P651,Settings!$E$28:$F$33,2,FALSE)+1),1)</f>
        <v>9.9863593155057</v>
      </c>
      <c r="AL651" s="56">
        <f>AJ651-AK651-AM651</f>
        <v>7.5136406844943</v>
      </c>
      <c r="AM651" s="56">
        <f>VLOOKUP(B651,'Player Data'!$A1:$AE667,27,FALSE)*$AJ651</f>
        <v>2.5</v>
      </c>
      <c r="AN651" s="56">
        <f>VLOOKUP(B651,'Player Data'!$A1:$AE667,28,FALSE)*AJ651</f>
        <v>0.71730911857379609</v>
      </c>
      <c r="AO651" s="56">
        <f>VLOOKUP(B651,'Player Data'!$A1:$AE667,29,FALSE)*$AJ651*IFERROR((VLOOKUP(P651,Settings!$E$28:$F$33,2,FALSE)/4)+1,1)</f>
        <v>540.73117303095603</v>
      </c>
      <c r="AP651" s="56">
        <f>VLOOKUP(B651,'Player Data'!$A1:$AE667,31,FALSE)*$AJ651*(IFERROR(1-(VLOOKUP(P651,Settings!$E$28:$F$33,2,FALSE)/4),1))</f>
        <v>61.550901708859996</v>
      </c>
      <c r="AQ651" s="59">
        <f>1-(AP651/(AO651+AP651))</f>
        <v>0.89780386252496425</v>
      </c>
      <c r="AR651" s="60">
        <f>AP651/AJ651</f>
        <v>3.077545085443</v>
      </c>
      <c r="AS651" s="54"/>
    </row>
    <row r="652" spans="1:45" ht="21.25" customHeight="1" x14ac:dyDescent="0.15">
      <c r="A652" s="45">
        <f>RANK(K652,K$1:K$665)</f>
        <v>651</v>
      </c>
      <c r="B652" s="9" t="s">
        <v>777</v>
      </c>
      <c r="C652" s="46" t="s">
        <v>127</v>
      </c>
      <c r="D652" s="47" t="str">
        <f>VLOOKUP(B652,'Player Data'!A1:D667,4,FALSE)</f>
        <v>C</v>
      </c>
      <c r="E652" s="48">
        <f>VLOOKUP(B652,'C'!A1:C206,3,FALSE)</f>
        <v>195</v>
      </c>
      <c r="F652" s="72" t="str">
        <f>VLOOKUP(B652,'Player Data'!A1:B667,2,FALSE)</f>
        <v>NYI</v>
      </c>
      <c r="G652" s="10">
        <f>VLOOKUP(B652,'Player Data'!A1:D667,3,FALSE)</f>
        <v>25</v>
      </c>
      <c r="H652" s="50">
        <f>IFERROR(VLOOKUP(B652,ADP!A1:G665,7,FALSE)/1000000,VLOOKUP(B652,ADP!A1:G665,7,FALSE))</f>
        <v>0.77500000000000002</v>
      </c>
      <c r="I652" s="51">
        <f>IF(Settings!$E$15="POINTS",((R652*Q652)*Settings!$B$12)+(S652*Settings!$B$2)+(T652*Settings!$B$3)+(U652*Settings!$B$4)+(V652*Settings!$B$5)+(X652*Settings!$B$9)+(AA652*Settings!$B$6)+(W652*Settings!$B$8)+(AB652*Settings!$B$7)+(AC652*Settings!$B$14)+(AD652*Settings!$B$15)+(AE652*Settings!$B$16)+(AF652*Settings!$B$17)+(AG652*Settings!$B$18)+(Y652*Settings!$B$10)+(Z652*Settings!$B$11),VLOOKUP(B652,'Standard Deviations'!A1:C666,3,FALSE))</f>
        <v>95.637081008543902</v>
      </c>
      <c r="J652" s="52">
        <f>IF(D652="G",I652/AJ652,I652/Q652)</f>
        <v>1.4791907974409388</v>
      </c>
      <c r="K652" s="51">
        <f>IF(Settings!$E$18="C/LW/RW",VLOOKUP(B652,'C'!A1:F206,6,FALSE),VLOOKUP(B652,F!A1:F392,6,FALSE))</f>
        <v>-294.30007676953721</v>
      </c>
      <c r="L652" s="53">
        <f>IFERROR(K652/H652,"N/A")</f>
        <v>-379.74203454133834</v>
      </c>
      <c r="M652" s="83" t="str">
        <f>IF(Settings!$E$9="YAHOO",VLOOKUP(B652,ADP!A1:E665,2,FALSE),IF(Settings!$E$9="ESPN",VLOOKUP(B652,ADP!A1:E665,3,FALSE),IF(Settings!$E$9="FANTRAX",VLOOKUP(B652,ADP!A1:E665,4,FALSE),VLOOKUP(B652,ADP!A1:E665,5,FALSE))))</f>
        <v>—</v>
      </c>
      <c r="N652" s="83" t="str">
        <f>IFERROR(M652-A652,"N/A")</f>
        <v>N/A</v>
      </c>
      <c r="O652" s="54"/>
      <c r="P652" s="55" t="str">
        <f>IF(Settings!$E$27="ON",VLOOKUP(B652,ADP!A1:H665,8,FALSE)," ")</f>
        <v xml:space="preserve"> </v>
      </c>
      <c r="Q652" s="56">
        <f>IF(Settings!$E$12="YES",VLOOKUP(B652,'Player Data'!A1:E667,5,FALSE),82)</f>
        <v>64.655000000000001</v>
      </c>
      <c r="R652" s="54">
        <f>VLOOKUP(B652,'Player Data'!$A1:$AE667,6,FALSE)</f>
        <v>11.0508942738201</v>
      </c>
      <c r="S652" s="56">
        <f>VLOOKUP(B652,'Player Data'!$A1:$AE667,7,FALSE)*$Q652*IFERROR((VLOOKUP(P652,Settings!$E$28:$F$33,2,FALSE)+1),1)</f>
        <v>7.7889888401205924</v>
      </c>
      <c r="T652" s="56">
        <f>VLOOKUP(B652,'Player Data'!$A1:$AE667,8,FALSE)*$Q652*IFERROR((VLOOKUP(P652,Settings!$E$28:$F$33,2,FALSE)+1),1)</f>
        <v>10.032098992545132</v>
      </c>
      <c r="U652" s="56">
        <f>SUM(S652:T652)</f>
        <v>17.821087832665725</v>
      </c>
      <c r="V652" s="56">
        <f>VLOOKUP(B652,'Player Data'!$A1:$AE667,10,FALSE)*$Q652*IFERROR(((VLOOKUP(P652,Settings!$E$28:$F$33,2,FALSE)/2)+1),1)</f>
        <v>63.644088165170011</v>
      </c>
      <c r="W652" s="56">
        <f>VLOOKUP(B652,'Player Data'!$A1:$AE667,11,FALSE)*$Q652*IFERROR((VLOOKUP(P652,Settings!$E$28:$F$33,2,FALSE)+1),1)</f>
        <v>6.2280901550101429E-2</v>
      </c>
      <c r="X652" s="56">
        <f>VLOOKUP(B652,'Player Data'!$A1:$AE667,12,FALSE)*$Q652*IFERROR((VLOOKUP(P652,Settings!$E$28:$F$33,2,FALSE)+1),1)</f>
        <v>0.14412094797933275</v>
      </c>
      <c r="Y652" s="56">
        <f>VLOOKUP(B652,'Player Data'!$A1:$AE667,13,FALSE)*$Q652</f>
        <v>2.6328086918194143E-2</v>
      </c>
      <c r="Z652" s="56">
        <f>VLOOKUP(B652,'Player Data'!$A1:$AE667,14,FALSE)*$Q652</f>
        <v>4.4633655745443507E-2</v>
      </c>
      <c r="AA652" s="56">
        <f>VLOOKUP(B652,'Player Data'!$A1:$AE667,15,FALSE)*$Q652</f>
        <v>20.326037648473893</v>
      </c>
      <c r="AB652" s="56">
        <f>VLOOKUP(B652,'Player Data'!$A1:$AE667,16,FALSE)*$Q652</f>
        <v>119.69681190642584</v>
      </c>
      <c r="AC652" s="56">
        <f>VLOOKUP(B652,'Player Data'!$A1:$AE667,17,FALSE)*$Q652*IFERROR((VLOOKUP(P652,Settings!$E$28:$F$33,2,FALSE)+1),1)</f>
        <v>2.0350652328136642</v>
      </c>
      <c r="AD652" s="56">
        <f>VLOOKUP(B652,'Player Data'!$A1:$AE667,18,FALSE)*$Q652</f>
        <v>20.743641124689475</v>
      </c>
      <c r="AE652" s="56">
        <f>VLOOKUP(B652,'Player Data'!$A1:$AE667,19,FALSE)*$Q652*IFERROR((VLOOKUP(P652,Settings!$E$28:$F$33,2,FALSE)+1),1)</f>
        <v>1.2241092161910974</v>
      </c>
      <c r="AF652" s="56">
        <f>VLOOKUP(B652,'Player Data'!$A1:$AE667,20,FALSE)*$Q652</f>
        <v>232.065190465705</v>
      </c>
      <c r="AG652" s="56">
        <f>VLOOKUP(B652,'Player Data'!$A1:$AE667,21,FALSE)*$Q652</f>
        <v>313.84054329647716</v>
      </c>
      <c r="AH652" s="58">
        <f>VLOOKUP(B652,'Player Data'!$A1:$AE667,22,FALSE)</f>
        <v>0.42510121457489902</v>
      </c>
      <c r="AI652" s="54"/>
      <c r="AJ652" s="56"/>
      <c r="AK652" s="56"/>
      <c r="AL652" s="56"/>
      <c r="AM652" s="56"/>
      <c r="AN652" s="56"/>
      <c r="AO652" s="56"/>
      <c r="AP652" s="56"/>
      <c r="AQ652" s="59"/>
      <c r="AR652" s="60"/>
      <c r="AS652" s="54"/>
    </row>
    <row r="653" spans="1:45" ht="21.25" customHeight="1" x14ac:dyDescent="0.15">
      <c r="A653" s="45">
        <f>RANK(K653,K$1:K$665)</f>
        <v>652</v>
      </c>
      <c r="B653" s="9" t="s">
        <v>778</v>
      </c>
      <c r="C653" s="46" t="s">
        <v>127</v>
      </c>
      <c r="D653" s="47" t="str">
        <f>VLOOKUP(B653,'Player Data'!A1:D667,4,FALSE)</f>
        <v>C</v>
      </c>
      <c r="E653" s="48">
        <f>VLOOKUP(B653,'C'!A1:C206,3,FALSE)</f>
        <v>196</v>
      </c>
      <c r="F653" s="65" t="str">
        <f>VLOOKUP(B653,'Player Data'!A1:B667,2,FALSE)</f>
        <v>EDM</v>
      </c>
      <c r="G653" s="63">
        <f>VLOOKUP(B653,'Player Data'!A1:D667,3,FALSE)</f>
        <v>31</v>
      </c>
      <c r="H653" s="50">
        <f>IFERROR(VLOOKUP(B653,ADP!A1:G665,7,FALSE)/1000000,VLOOKUP(B653,ADP!A1:G665,7,FALSE))</f>
        <v>1.45</v>
      </c>
      <c r="I653" s="51">
        <f>IF(Settings!$E$15="POINTS",((R653*Q653)*Settings!$B$12)+(S653*Settings!$B$2)+(T653*Settings!$B$3)+(U653*Settings!$B$4)+(V653*Settings!$B$5)+(X653*Settings!$B$9)+(AA653*Settings!$B$6)+(W653*Settings!$B$8)+(AB653*Settings!$B$7)+(AC653*Settings!$B$14)+(AD653*Settings!$B$15)+(AE653*Settings!$B$16)+(AF653*Settings!$B$17)+(AG653*Settings!$B$18)+(Y653*Settings!$B$10)+(Z653*Settings!$B$11),VLOOKUP(B653,'Standard Deviations'!A1:C666,3,FALSE))</f>
        <v>94.711593749008316</v>
      </c>
      <c r="J653" s="52">
        <f>IF(D653="G",I653/AJ653,I653/Q653)</f>
        <v>1.2400457431705452</v>
      </c>
      <c r="K653" s="51">
        <f>IF(Settings!$E$18="C/LW/RW",VLOOKUP(B653,'C'!A1:F206,6,FALSE),VLOOKUP(B653,F!A1:F392,6,FALSE))</f>
        <v>-295.22556402907276</v>
      </c>
      <c r="L653" s="53">
        <f>IFERROR(K653/H653,"N/A")</f>
        <v>-203.6038372614295</v>
      </c>
      <c r="M653" s="83" t="str">
        <f>IF(Settings!$E$9="YAHOO",VLOOKUP(B653,ADP!A1:E665,2,FALSE),IF(Settings!$E$9="ESPN",VLOOKUP(B653,ADP!A1:E665,3,FALSE),IF(Settings!$E$9="FANTRAX",VLOOKUP(B653,ADP!A1:E665,4,FALSE),VLOOKUP(B653,ADP!A1:E665,5,FALSE))))</f>
        <v>—</v>
      </c>
      <c r="N653" s="83" t="str">
        <f>IFERROR(M653-A653,"N/A")</f>
        <v>N/A</v>
      </c>
      <c r="O653" s="54"/>
      <c r="P653" s="55" t="str">
        <f>IF(Settings!$E$27="ON",VLOOKUP(B653,ADP!A1:H665,8,FALSE)," ")</f>
        <v xml:space="preserve"> </v>
      </c>
      <c r="Q653" s="56">
        <f>IF(Settings!$E$12="YES",VLOOKUP(B653,'Player Data'!A1:E667,5,FALSE),82)</f>
        <v>76.377499999999998</v>
      </c>
      <c r="R653" s="54">
        <f>VLOOKUP(B653,'Player Data'!$A1:$AE667,6,FALSE)</f>
        <v>12.0166785433107</v>
      </c>
      <c r="S653" s="56">
        <f>VLOOKUP(B653,'Player Data'!$A1:$AE667,7,FALSE)*$Q653*IFERROR((VLOOKUP(P653,Settings!$E$28:$F$33,2,FALSE)+1),1)</f>
        <v>5.2354567971137369</v>
      </c>
      <c r="T653" s="56">
        <f>VLOOKUP(B653,'Player Data'!$A1:$AE667,8,FALSE)*$Q653*IFERROR((VLOOKUP(P653,Settings!$E$28:$F$33,2,FALSE)+1),1)</f>
        <v>9.0293870784692096</v>
      </c>
      <c r="U653" s="56">
        <f>SUM(S653:T653)</f>
        <v>14.264843875582947</v>
      </c>
      <c r="V653" s="56">
        <f>VLOOKUP(B653,'Player Data'!$A1:$AE667,10,FALSE)*$Q653*IFERROR(((VLOOKUP(P653,Settings!$E$28:$F$33,2,FALSE)/2)+1),1)</f>
        <v>74.615413744652997</v>
      </c>
      <c r="W653" s="56">
        <f>VLOOKUP(B653,'Player Data'!$A1:$AE667,11,FALSE)*$Q653*IFERROR((VLOOKUP(P653,Settings!$E$28:$F$33,2,FALSE)+1),1)</f>
        <v>2.3396219117247853E-2</v>
      </c>
      <c r="X653" s="56">
        <f>VLOOKUP(B653,'Player Data'!$A1:$AE667,12,FALSE)*$Q653*IFERROR((VLOOKUP(P653,Settings!$E$28:$F$33,2,FALSE)+1),1)</f>
        <v>5.7016275986688257E-2</v>
      </c>
      <c r="Y653" s="56">
        <f>VLOOKUP(B653,'Player Data'!$A1:$AE667,13,FALSE)*$Q653</f>
        <v>1.0796181225011789</v>
      </c>
      <c r="Z653" s="56">
        <f>VLOOKUP(B653,'Player Data'!$A1:$AE667,14,FALSE)*$Q653</f>
        <v>1.6411638110515216</v>
      </c>
      <c r="AA653" s="56">
        <f>VLOOKUP(B653,'Player Data'!$A1:$AE667,15,FALSE)*$Q653</f>
        <v>25.822350325789557</v>
      </c>
      <c r="AB653" s="56">
        <f>VLOOKUP(B653,'Player Data'!$A1:$AE667,16,FALSE)*$Q653</f>
        <v>56.654752819000556</v>
      </c>
      <c r="AC653" s="56">
        <f>VLOOKUP(B653,'Player Data'!$A1:$AE667,17,FALSE)*$Q653*IFERROR((VLOOKUP(P653,Settings!$E$28:$F$33,2,FALSE)+1),1)</f>
        <v>5.1663282879919281</v>
      </c>
      <c r="AD653" s="56">
        <f>VLOOKUP(B653,'Player Data'!$A1:$AE667,18,FALSE)*$Q653</f>
        <v>29.246959473154114</v>
      </c>
      <c r="AE653" s="56">
        <f>VLOOKUP(B653,'Player Data'!$A1:$AE667,19,FALSE)*$Q653*IFERROR((VLOOKUP(P653,Settings!$E$28:$F$33,2,FALSE)+1),1)</f>
        <v>0.8453962109521892</v>
      </c>
      <c r="AF653" s="56">
        <f>VLOOKUP(B653,'Player Data'!$A1:$AE667,20,FALSE)*$Q653</f>
        <v>29.247763283082179</v>
      </c>
      <c r="AG653" s="56">
        <f>VLOOKUP(B653,'Player Data'!$A1:$AE667,21,FALSE)*$Q653</f>
        <v>39.275580815662423</v>
      </c>
      <c r="AH653" s="58">
        <f>VLOOKUP(B653,'Player Data'!$A1:$AE667,22,FALSE)</f>
        <v>0.42682918745085002</v>
      </c>
      <c r="AI653" s="54"/>
      <c r="AJ653" s="64"/>
      <c r="AK653" s="56"/>
      <c r="AL653" s="56"/>
      <c r="AM653" s="56"/>
      <c r="AN653" s="56"/>
      <c r="AO653" s="56"/>
      <c r="AP653" s="56"/>
      <c r="AQ653" s="59"/>
      <c r="AR653" s="60"/>
      <c r="AS653" s="54"/>
    </row>
    <row r="654" spans="1:45" ht="21.25" customHeight="1" x14ac:dyDescent="0.15">
      <c r="A654" s="45">
        <f>RANK(K654,K$1:K$665)</f>
        <v>653</v>
      </c>
      <c r="B654" s="9" t="s">
        <v>779</v>
      </c>
      <c r="C654" s="46" t="s">
        <v>127</v>
      </c>
      <c r="D654" s="47" t="str">
        <f>VLOOKUP(B654,'Player Data'!A1:D667,4,FALSE)</f>
        <v>C</v>
      </c>
      <c r="E654" s="48">
        <f>VLOOKUP(B654,'C'!A1:C206,3,FALSE)</f>
        <v>197</v>
      </c>
      <c r="F654" s="65" t="str">
        <f>VLOOKUP(B654,'Player Data'!A1:B667,2,FALSE)</f>
        <v>EDM</v>
      </c>
      <c r="G654" s="63">
        <f>VLOOKUP(B654,'Player Data'!A1:D667,3,FALSE)</f>
        <v>37</v>
      </c>
      <c r="H654" s="67">
        <f>IFERROR(VLOOKUP(B654,ADP!A1:G665,7,FALSE)/1000000,VLOOKUP(B654,ADP!A1:G665,7,FALSE))</f>
        <v>0.9</v>
      </c>
      <c r="I654" s="51">
        <f>IF(Settings!$E$15="POINTS",((R654*Q654)*Settings!$B$12)+(S654*Settings!$B$2)+(T654*Settings!$B$3)+(U654*Settings!$B$4)+(V654*Settings!$B$5)+(X654*Settings!$B$9)+(AA654*Settings!$B$6)+(W654*Settings!$B$8)+(AB654*Settings!$B$7)+(AC654*Settings!$B$14)+(AD654*Settings!$B$15)+(AE654*Settings!$B$16)+(AF654*Settings!$B$17)+(AG654*Settings!$B$18)+(Y654*Settings!$B$10)+(Z654*Settings!$B$11),VLOOKUP(B654,'Standard Deviations'!A1:C666,3,FALSE))</f>
        <v>92.827182173744305</v>
      </c>
      <c r="J654" s="52">
        <f>IF(D654="G",I654/AJ654,I654/Q654)</f>
        <v>1.1761442150616954</v>
      </c>
      <c r="K654" s="51">
        <f>IF(Settings!$E$18="C/LW/RW",VLOOKUP(B654,'C'!A1:F206,6,FALSE),VLOOKUP(B654,F!A1:F392,6,FALSE))</f>
        <v>-297.1099756043368</v>
      </c>
      <c r="L654" s="53">
        <f>IFERROR(K654/H654,"N/A")</f>
        <v>-330.12219511592974</v>
      </c>
      <c r="M654" s="83" t="str">
        <f>IF(Settings!$E$9="YAHOO",VLOOKUP(B654,ADP!A1:E665,2,FALSE),IF(Settings!$E$9="ESPN",VLOOKUP(B654,ADP!A1:E665,3,FALSE),IF(Settings!$E$9="FANTRAX",VLOOKUP(B654,ADP!A1:E665,4,FALSE),VLOOKUP(B654,ADP!A1:E665,5,FALSE))))</f>
        <v>—</v>
      </c>
      <c r="N654" s="83" t="str">
        <f>IFERROR(M654-A654,"N/A")</f>
        <v>N/A</v>
      </c>
      <c r="O654" s="54"/>
      <c r="P654" s="55" t="str">
        <f>IF(Settings!$E$27="ON",VLOOKUP(B654,ADP!A1:H665,8,FALSE)," ")</f>
        <v xml:space="preserve"> </v>
      </c>
      <c r="Q654" s="56">
        <f>IF(Settings!$E$12="YES",VLOOKUP(B654,'Player Data'!A1:E667,5,FALSE),82)</f>
        <v>78.924999999999997</v>
      </c>
      <c r="R654" s="54">
        <f>VLOOKUP(B654,'Player Data'!$A1:$AE667,6,FALSE)</f>
        <v>10.2587855204434</v>
      </c>
      <c r="S654" s="56">
        <f>VLOOKUP(B654,'Player Data'!$A1:$AE667,7,FALSE)*$Q654*IFERROR((VLOOKUP(P654,Settings!$E$28:$F$33,2,FALSE)+1),1)</f>
        <v>6.9210728078412993</v>
      </c>
      <c r="T654" s="56">
        <f>VLOOKUP(B654,'Player Data'!$A1:$AE667,8,FALSE)*$Q654*IFERROR((VLOOKUP(P654,Settings!$E$28:$F$33,2,FALSE)+1),1)</f>
        <v>6.6175077776703741</v>
      </c>
      <c r="U654" s="56">
        <f>SUM(S654:T654)</f>
        <v>13.538580585511674</v>
      </c>
      <c r="V654" s="56">
        <f>VLOOKUP(B654,'Player Data'!$A1:$AE667,10,FALSE)*$Q654*IFERROR(((VLOOKUP(P654,Settings!$E$28:$F$33,2,FALSE)/2)+1),1)</f>
        <v>65.108727706763176</v>
      </c>
      <c r="W654" s="56">
        <f>VLOOKUP(B654,'Player Data'!$A1:$AE667,11,FALSE)*$Q654*IFERROR((VLOOKUP(P654,Settings!$E$28:$F$33,2,FALSE)+1),1)</f>
        <v>2.1958652511731604E-2</v>
      </c>
      <c r="X654" s="56">
        <f>VLOOKUP(B654,'Player Data'!$A1:$AE667,12,FALSE)*$Q654*IFERROR((VLOOKUP(P654,Settings!$E$28:$F$33,2,FALSE)+1),1)</f>
        <v>5.0275898786540943E-2</v>
      </c>
      <c r="Y654" s="56">
        <f>VLOOKUP(B654,'Player Data'!$A1:$AE667,13,FALSE)*$Q654</f>
        <v>1.5127057193629467</v>
      </c>
      <c r="Z654" s="56">
        <f>VLOOKUP(B654,'Player Data'!$A1:$AE667,14,FALSE)*$Q654</f>
        <v>2.4635869112389224</v>
      </c>
      <c r="AA654" s="56">
        <f>VLOOKUP(B654,'Player Data'!$A1:$AE667,15,FALSE)*$Q654</f>
        <v>34.286427507604493</v>
      </c>
      <c r="AB654" s="56">
        <f>VLOOKUP(B654,'Player Data'!$A1:$AE667,16,FALSE)*$Q654</f>
        <v>66.155105714115578</v>
      </c>
      <c r="AC654" s="56">
        <f>VLOOKUP(B654,'Player Data'!$A1:$AE667,17,FALSE)*$Q654*IFERROR((VLOOKUP(P654,Settings!$E$28:$F$33,2,FALSE)+1),1)</f>
        <v>5.6110772086869032</v>
      </c>
      <c r="AD654" s="56">
        <f>VLOOKUP(B654,'Player Data'!$A1:$AE667,18,FALSE)*$Q654</f>
        <v>16.232999721497144</v>
      </c>
      <c r="AE654" s="56">
        <f>VLOOKUP(B654,'Player Data'!$A1:$AE667,19,FALSE)*$Q654*IFERROR((VLOOKUP(P654,Settings!$E$28:$F$33,2,FALSE)+1),1)</f>
        <v>1.1175813217862682</v>
      </c>
      <c r="AF654" s="56">
        <f>VLOOKUP(B654,'Player Data'!$A1:$AE667,20,FALSE)*$Q654</f>
        <v>243.98937615084637</v>
      </c>
      <c r="AG654" s="56">
        <f>VLOOKUP(B654,'Player Data'!$A1:$AE667,21,FALSE)*$Q654</f>
        <v>211.20110126328382</v>
      </c>
      <c r="AH654" s="58">
        <f>VLOOKUP(B654,'Player Data'!$A1:$AE667,22,FALSE)</f>
        <v>0.536015993869014</v>
      </c>
      <c r="AI654" s="54"/>
      <c r="AJ654" s="64"/>
      <c r="AK654" s="56"/>
      <c r="AL654" s="56"/>
      <c r="AM654" s="56"/>
      <c r="AN654" s="56"/>
      <c r="AO654" s="56"/>
      <c r="AP654" s="56"/>
      <c r="AQ654" s="59"/>
      <c r="AR654" s="60"/>
      <c r="AS654" s="54"/>
    </row>
    <row r="655" spans="1:45" ht="21.25" customHeight="1" x14ac:dyDescent="0.15">
      <c r="A655" s="45">
        <f>RANK(K655,K$1:K$665)</f>
        <v>654</v>
      </c>
      <c r="B655" s="9" t="s">
        <v>780</v>
      </c>
      <c r="C655" s="46" t="s">
        <v>127</v>
      </c>
      <c r="D655" s="47" t="str">
        <f>VLOOKUP(B655,'Player Data'!A1:D667,4,FALSE)</f>
        <v>G</v>
      </c>
      <c r="E655" s="73">
        <f>VLOOKUP(B655,G!A1:D65,3,FALSE)</f>
        <v>63</v>
      </c>
      <c r="F655" s="55" t="str">
        <f>VLOOKUP(B655,'Player Data'!A1:B667,2,FALSE)</f>
        <v>WPG</v>
      </c>
      <c r="G655" s="69">
        <f>VLOOKUP(B655,'Player Data'!A1:D667,3,FALSE)</f>
        <v>27</v>
      </c>
      <c r="H655" s="67">
        <f>IFERROR(VLOOKUP(B655,ADP!A1:G665,7,FALSE)/1000000,VLOOKUP(B655,ADP!A1:G665,7,FALSE))</f>
        <v>1</v>
      </c>
      <c r="I655" s="51">
        <f>IF(Settings!$E$15="POINTS",(AJ655*Settings!$B$29)+(AK655*Settings!$B$21)+(AL655*Settings!$B$22)+(AN655*Settings!$B$24)+(AO655*Settings!$B$25)+(AP655*Settings!$B$27)+(AM655*Settings!$B$23),VLOOKUP(B655,'Standard Deviations'!A1:C666,3,FALSE))</f>
        <v>113.00263137177984</v>
      </c>
      <c r="J655" s="52">
        <f>IF(D655="G",I655/AJ655,I655/Q655)</f>
        <v>5.6501315685889919</v>
      </c>
      <c r="K655" s="51">
        <f>VLOOKUP(B655,G!A1:F65,6,FALSE)</f>
        <v>-297.65711139764034</v>
      </c>
      <c r="L655" s="53">
        <f>IFERROR(K655/H655,"N/A")</f>
        <v>-297.65711139764034</v>
      </c>
      <c r="M655" s="83" t="str">
        <f>IF(Settings!$E$9="YAHOO",VLOOKUP(B655,ADP!A1:E665,2,FALSE),IF(Settings!$E$9="ESPN",VLOOKUP(B655,ADP!A1:E665,3,FALSE),IF(Settings!$E$9="FANTRAX",VLOOKUP(B655,ADP!A1:E665,4,FALSE),VLOOKUP(B655,ADP!A1:E665,5,FALSE))))</f>
        <v>—</v>
      </c>
      <c r="N655" s="83" t="str">
        <f>IFERROR(M655-A655,"N/A")</f>
        <v>N/A</v>
      </c>
      <c r="O655" s="54"/>
      <c r="P655" s="55" t="str">
        <f>IF(Settings!$E$27="ON",VLOOKUP(B655,ADP!A1:H665,8,FALSE)," ")</f>
        <v xml:space="preserve"> </v>
      </c>
      <c r="Q655" s="56"/>
      <c r="R655" s="54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8"/>
      <c r="AI655" s="54"/>
      <c r="AJ655" s="64">
        <f>VLOOKUP(B655,'Player Data'!$A1:$AE667,24,FALSE)</f>
        <v>20</v>
      </c>
      <c r="AK655" s="56">
        <f>VLOOKUP(B655,'Player Data'!$A1:$AE667,25,FALSE)*$AJ655*IFERROR((VLOOKUP(P655,Settings!$E$28:$F$33,2,FALSE)+1),1)</f>
        <v>9.4045068505939007</v>
      </c>
      <c r="AL655" s="56">
        <f>AJ655-AK655-AM655</f>
        <v>8.0954931494060993</v>
      </c>
      <c r="AM655" s="56">
        <f>VLOOKUP(B655,'Player Data'!$A1:$AE667,27,FALSE)*$AJ655</f>
        <v>2.5</v>
      </c>
      <c r="AN655" s="56">
        <f>VLOOKUP(B655,'Player Data'!$A1:$AE667,28,FALSE)*AJ655</f>
        <v>0.84260963761411589</v>
      </c>
      <c r="AO655" s="56">
        <f>VLOOKUP(B655,'Player Data'!$A1:$AE667,29,FALSE)*$AJ655*IFERROR((VLOOKUP(P655,Settings!$E$28:$F$33,2,FALSE)/4)+1,1)</f>
        <v>527.160545886568</v>
      </c>
      <c r="AP655" s="56">
        <f>VLOOKUP(B655,'Player Data'!$A1:$AE667,31,FALSE)*$AJ655*(IFERROR(1-(VLOOKUP(P655,Settings!$E$28:$F$33,2,FALSE)/4),1))</f>
        <v>59.877923920300006</v>
      </c>
      <c r="AQ655" s="59">
        <f>1-(AP655/(AO655+AP655))</f>
        <v>0.89800000000000091</v>
      </c>
      <c r="AR655" s="60">
        <f>AP655/AJ655</f>
        <v>2.9938961960150001</v>
      </c>
      <c r="AS655" s="54"/>
    </row>
    <row r="656" spans="1:45" ht="21.25" customHeight="1" x14ac:dyDescent="0.15">
      <c r="A656" s="45">
        <f>RANK(K656,K$1:K$665)</f>
        <v>655</v>
      </c>
      <c r="B656" s="9" t="s">
        <v>781</v>
      </c>
      <c r="C656" s="46" t="s">
        <v>127</v>
      </c>
      <c r="D656" s="47" t="str">
        <f>VLOOKUP(B656,'Player Data'!A1:D667,4,FALSE)</f>
        <v>C</v>
      </c>
      <c r="E656" s="48">
        <f>VLOOKUP(B656,'C'!A1:C206,3,FALSE)</f>
        <v>198</v>
      </c>
      <c r="F656" s="62" t="str">
        <f>VLOOKUP(B656,'Player Data'!A1:B667,2,FALSE)</f>
        <v>BOS</v>
      </c>
      <c r="G656" s="69">
        <f>VLOOKUP(B656,'Player Data'!A1:D667,3,FALSE)</f>
        <v>23</v>
      </c>
      <c r="H656" s="67">
        <f>IFERROR(VLOOKUP(B656,ADP!A1:G665,7,FALSE)/1000000,VLOOKUP(B656,ADP!A1:G665,7,FALSE))</f>
        <v>0.92500000000000004</v>
      </c>
      <c r="I656" s="51">
        <f>IF(Settings!$E$15="POINTS",((R656*Q656)*Settings!$B$12)+(S656*Settings!$B$2)+(T656*Settings!$B$3)+(U656*Settings!$B$4)+(V656*Settings!$B$5)+(X656*Settings!$B$9)+(AA656*Settings!$B$6)+(W656*Settings!$B$8)+(AB656*Settings!$B$7)+(AC656*Settings!$B$14)+(AD656*Settings!$B$15)+(AE656*Settings!$B$16)+(AF656*Settings!$B$17)+(AG656*Settings!$B$18)+(Y656*Settings!$B$10)+(Z656*Settings!$B$11),VLOOKUP(B656,'Standard Deviations'!A1:C666,3,FALSE))</f>
        <v>91.239625728764466</v>
      </c>
      <c r="J656" s="52">
        <f>IF(D656="G",I656/AJ656,I656/Q656)</f>
        <v>1.3112909705197537</v>
      </c>
      <c r="K656" s="51">
        <f>IF(Settings!$E$18="C/LW/RW",VLOOKUP(B656,'C'!A1:F206,6,FALSE),VLOOKUP(B656,F!A1:F392,6,FALSE))</f>
        <v>-298.69753204931664</v>
      </c>
      <c r="L656" s="53">
        <f>IFERROR(K656/H656,"N/A")</f>
        <v>-322.91625086412608</v>
      </c>
      <c r="M656" s="83" t="str">
        <f>IF(Settings!$E$9="YAHOO",VLOOKUP(B656,ADP!A1:E665,2,FALSE),IF(Settings!$E$9="ESPN",VLOOKUP(B656,ADP!A1:E665,3,FALSE),IF(Settings!$E$9="FANTRAX",VLOOKUP(B656,ADP!A1:E665,4,FALSE),VLOOKUP(B656,ADP!A1:E665,5,FALSE))))</f>
        <v>—</v>
      </c>
      <c r="N656" s="83" t="str">
        <f>IFERROR(M656-A656,"N/A")</f>
        <v>N/A</v>
      </c>
      <c r="O656" s="54"/>
      <c r="P656" s="55" t="str">
        <f>IF(Settings!$E$27="ON",VLOOKUP(B656,ADP!A1:H665,8,FALSE)," ")</f>
        <v xml:space="preserve"> </v>
      </c>
      <c r="Q656" s="56">
        <f>IF(Settings!$E$12="YES",VLOOKUP(B656,'Player Data'!A1:E667,5,FALSE),82)</f>
        <v>69.58</v>
      </c>
      <c r="R656" s="54">
        <f>VLOOKUP(B656,'Player Data'!$A1:$AE667,6,FALSE)</f>
        <v>10.246869098302099</v>
      </c>
      <c r="S656" s="56">
        <f>VLOOKUP(B656,'Player Data'!$A1:$AE667,7,FALSE)*$Q656*IFERROR((VLOOKUP(P656,Settings!$E$28:$F$33,2,FALSE)+1),1)</f>
        <v>8.2559708950995017</v>
      </c>
      <c r="T656" s="56">
        <f>VLOOKUP(B656,'Player Data'!$A1:$AE667,8,FALSE)*$Q656*IFERROR((VLOOKUP(P656,Settings!$E$28:$F$33,2,FALSE)+1),1)</f>
        <v>6.1813859344752817</v>
      </c>
      <c r="U656" s="56">
        <f>SUM(S656:T656)</f>
        <v>14.437356829574783</v>
      </c>
      <c r="V656" s="56">
        <f>VLOOKUP(B656,'Player Data'!$A1:$AE667,10,FALSE)*$Q656*IFERROR(((VLOOKUP(P656,Settings!$E$28:$F$33,2,FALSE)/2)+1),1)</f>
        <v>55.614902889163233</v>
      </c>
      <c r="W656" s="56">
        <f>VLOOKUP(B656,'Player Data'!$A1:$AE667,11,FALSE)*$Q656*IFERROR((VLOOKUP(P656,Settings!$E$28:$F$33,2,FALSE)+1),1)</f>
        <v>1.6995660270901151E-2</v>
      </c>
      <c r="X656" s="56">
        <f>VLOOKUP(B656,'Player Data'!$A1:$AE667,12,FALSE)*$Q656*IFERROR((VLOOKUP(P656,Settings!$E$28:$F$33,2,FALSE)+1),1)</f>
        <v>3.992862387942505E-2</v>
      </c>
      <c r="Y656" s="56">
        <f>VLOOKUP(B656,'Player Data'!$A1:$AE667,13,FALSE)*$Q656</f>
        <v>0.17762068047814214</v>
      </c>
      <c r="Z656" s="56">
        <f>VLOOKUP(B656,'Player Data'!$A1:$AE667,14,FALSE)*$Q656</f>
        <v>0.30571079033591736</v>
      </c>
      <c r="AA656" s="56">
        <f>VLOOKUP(B656,'Player Data'!$A1:$AE667,15,FALSE)*$Q656</f>
        <v>39.548928762486291</v>
      </c>
      <c r="AB656" s="56">
        <f>VLOOKUP(B656,'Player Data'!$A1:$AE667,16,FALSE)*$Q656</f>
        <v>130.66054190773733</v>
      </c>
      <c r="AC656" s="56">
        <f>VLOOKUP(B656,'Player Data'!$A1:$AE667,17,FALSE)*$Q656*IFERROR((VLOOKUP(P656,Settings!$E$28:$F$33,2,FALSE)+1),1)</f>
        <v>0.83311314862858976</v>
      </c>
      <c r="AD656" s="56">
        <f>VLOOKUP(B656,'Player Data'!$A1:$AE667,18,FALSE)*$Q656</f>
        <v>24.385753853665925</v>
      </c>
      <c r="AE656" s="56">
        <f>VLOOKUP(B656,'Player Data'!$A1:$AE667,19,FALSE)*$Q656*IFERROR((VLOOKUP(P656,Settings!$E$28:$F$33,2,FALSE)+1),1)</f>
        <v>1.2858981623430119</v>
      </c>
      <c r="AF656" s="56">
        <f>VLOOKUP(B656,'Player Data'!$A1:$AE667,20,FALSE)*$Q656</f>
        <v>352.33923294850365</v>
      </c>
      <c r="AG656" s="56">
        <f>VLOOKUP(B656,'Player Data'!$A1:$AE667,21,FALSE)*$Q656</f>
        <v>292.97071750663059</v>
      </c>
      <c r="AH656" s="58">
        <f>VLOOKUP(B656,'Player Data'!$A1:$AE667,22,FALSE)</f>
        <v>0.54600000000000004</v>
      </c>
      <c r="AI656" s="54"/>
      <c r="AJ656" s="64"/>
      <c r="AK656" s="56"/>
      <c r="AL656" s="56"/>
      <c r="AM656" s="56"/>
      <c r="AN656" s="56"/>
      <c r="AO656" s="56"/>
      <c r="AP656" s="56"/>
      <c r="AQ656" s="59"/>
      <c r="AR656" s="60"/>
      <c r="AS656" s="54"/>
    </row>
    <row r="657" spans="1:45" ht="21.25" customHeight="1" x14ac:dyDescent="0.15">
      <c r="A657" s="45">
        <f>RANK(K657,K$1:K$665)</f>
        <v>656</v>
      </c>
      <c r="B657" s="9" t="s">
        <v>782</v>
      </c>
      <c r="C657" s="46" t="s">
        <v>127</v>
      </c>
      <c r="D657" s="47" t="str">
        <f>VLOOKUP(B657,'Player Data'!A1:D667,4,FALSE)</f>
        <v>LW</v>
      </c>
      <c r="E657" s="70">
        <f>VLOOKUP(B657,LW!A1:C152,3,FALSE)</f>
        <v>147</v>
      </c>
      <c r="F657" s="55" t="str">
        <f>VLOOKUP(B657,'Player Data'!A1:B667,2,FALSE)</f>
        <v>CHI</v>
      </c>
      <c r="G657" s="63">
        <f>VLOOKUP(B657,'Player Data'!A1:D667,3,FALSE)</f>
        <v>36</v>
      </c>
      <c r="H657" s="67">
        <f>IFERROR(VLOOKUP(B657,ADP!A1:G665,7,FALSE)/1000000,VLOOKUP(B657,ADP!A1:G665,7,FALSE))</f>
        <v>1.3</v>
      </c>
      <c r="I657" s="51">
        <f>IF(Settings!$E$15="POINTS",((R657*Q657)*Settings!$B$12)+(S657*Settings!$B$2)+(T657*Settings!$B$3)+(U657*Settings!$B$4)+(V657*Settings!$B$5)+(X657*Settings!$B$9)+(AA657*Settings!$B$6)+(W657*Settings!$B$8)+(AB657*Settings!$B$7)+(AC657*Settings!$B$14)+(AD657*Settings!$B$15)+(AE657*Settings!$B$16)+(AF657*Settings!$B$17)+(AG657*Settings!$B$18)+(Y657*Settings!$B$10)+(Z657*Settings!$B$11),VLOOKUP(B657,'Standard Deviations'!A1:C666,3,FALSE))</f>
        <v>81.475835608360939</v>
      </c>
      <c r="J657" s="52">
        <f>IF(D657="G",I657/AJ657,I657/Q657)</f>
        <v>1.0699036224465506</v>
      </c>
      <c r="K657" s="51">
        <f>IF(Settings!$E$18="C/LW/RW",VLOOKUP(B657,LW!A1:F152,6,FALSE),VLOOKUP(B657,F!A1:F392,6,FALSE))</f>
        <v>-299.58567669413878</v>
      </c>
      <c r="L657" s="53">
        <f>IFERROR(K657/H657,"N/A")</f>
        <v>-230.4505205339529</v>
      </c>
      <c r="M657" s="83" t="str">
        <f>IF(Settings!$E$9="YAHOO",VLOOKUP(B657,ADP!A1:E665,2,FALSE),IF(Settings!$E$9="ESPN",VLOOKUP(B657,ADP!A1:E665,3,FALSE),IF(Settings!$E$9="FANTRAX",VLOOKUP(B657,ADP!A1:E665,4,FALSE),VLOOKUP(B657,ADP!A1:E665,5,FALSE))))</f>
        <v>—</v>
      </c>
      <c r="N657" s="83" t="str">
        <f>IFERROR(M657-A657,"N/A")</f>
        <v>N/A</v>
      </c>
      <c r="O657" s="54"/>
      <c r="P657" s="55" t="str">
        <f>IF(Settings!$E$27="ON",VLOOKUP(B657,ADP!A1:H665,8,FALSE)," ")</f>
        <v xml:space="preserve"> </v>
      </c>
      <c r="Q657" s="56">
        <f>IF(Settings!$E$12="YES",VLOOKUP(B657,'Player Data'!A1:E667,5,FALSE),82)</f>
        <v>76.152500000000003</v>
      </c>
      <c r="R657" s="81">
        <f>VLOOKUP(B657,'Player Data'!$A1:$AE667,6,FALSE)</f>
        <v>10.7703375141206</v>
      </c>
      <c r="S657" s="56">
        <f>VLOOKUP(B657,'Player Data'!$A1:$AE667,7,FALSE)*$Q657*IFERROR((VLOOKUP(P657,Settings!$E$28:$F$33,2,FALSE)+1),1)</f>
        <v>3.7234217481433238</v>
      </c>
      <c r="T657" s="56">
        <f>VLOOKUP(B657,'Player Data'!$A1:$AE667,8,FALSE)*$Q657*IFERROR((VLOOKUP(P657,Settings!$E$28:$F$33,2,FALSE)+1),1)</f>
        <v>8.5415420961111046</v>
      </c>
      <c r="U657" s="56">
        <f>SUM(S657:T657)</f>
        <v>12.264963844254428</v>
      </c>
      <c r="V657" s="56">
        <f>VLOOKUP(B657,'Player Data'!$A1:$AE667,10,FALSE)*$Q657*IFERROR(((VLOOKUP(P657,Settings!$E$28:$F$33,2,FALSE)/2)+1),1)</f>
        <v>68.577724070405495</v>
      </c>
      <c r="W657" s="56">
        <f>VLOOKUP(B657,'Player Data'!$A1:$AE667,11,FALSE)*$Q657*IFERROR((VLOOKUP(P657,Settings!$E$28:$F$33,2,FALSE)+1),1)</f>
        <v>7.4408525898577479E-2</v>
      </c>
      <c r="X657" s="56">
        <f>VLOOKUP(B657,'Player Data'!$A1:$AE667,12,FALSE)*$Q657*IFERROR((VLOOKUP(P657,Settings!$E$28:$F$33,2,FALSE)+1),1)</f>
        <v>0.2272123498436254</v>
      </c>
      <c r="Y657" s="56">
        <f>VLOOKUP(B657,'Player Data'!$A1:$AE667,13,FALSE)*$Q657</f>
        <v>1.6869608054109704E-4</v>
      </c>
      <c r="Z657" s="56">
        <f>VLOOKUP(B657,'Player Data'!$A1:$AE667,14,FALSE)*$Q657</f>
        <v>3.2084175808153357E-4</v>
      </c>
      <c r="AA657" s="56">
        <f>VLOOKUP(B657,'Player Data'!$A1:$AE667,15,FALSE)*$Q657</f>
        <v>20.329097697586391</v>
      </c>
      <c r="AB657" s="56">
        <f>VLOOKUP(B657,'Player Data'!$A1:$AE667,16,FALSE)*$Q657</f>
        <v>130.35698180653597</v>
      </c>
      <c r="AC657" s="56">
        <f>VLOOKUP(B657,'Player Data'!$A1:$AE667,17,FALSE)*$Q657*IFERROR((VLOOKUP(P657,Settings!$E$28:$F$33,2,FALSE)+1),1)</f>
        <v>-0.65392031462402744</v>
      </c>
      <c r="AD657" s="56">
        <f>VLOOKUP(B657,'Player Data'!$A1:$AE667,18,FALSE)*$Q657</f>
        <v>63.599205000933338</v>
      </c>
      <c r="AE657" s="56">
        <f>VLOOKUP(B657,'Player Data'!$A1:$AE667,19,FALSE)*$Q657*IFERROR((VLOOKUP(P657,Settings!$E$28:$F$33,2,FALSE)+1),1)</f>
        <v>0.48119732306852742</v>
      </c>
      <c r="AF657" s="56">
        <f>VLOOKUP(B657,'Player Data'!$A1:$AE667,20,FALSE)*$Q657</f>
        <v>10.954671265499757</v>
      </c>
      <c r="AG657" s="56">
        <f>VLOOKUP(B657,'Player Data'!$A1:$AE667,21,FALSE)*$Q657</f>
        <v>21.344658050583444</v>
      </c>
      <c r="AH657" s="58">
        <f>VLOOKUP(B657,'Player Data'!$A1:$AE667,22,FALSE)</f>
        <v>0.339160951557127</v>
      </c>
      <c r="AI657" s="54"/>
      <c r="AJ657" s="64"/>
      <c r="AK657" s="56"/>
      <c r="AL657" s="56"/>
      <c r="AM657" s="56"/>
      <c r="AN657" s="56"/>
      <c r="AO657" s="56"/>
      <c r="AP657" s="56"/>
      <c r="AQ657" s="59"/>
      <c r="AR657" s="60"/>
      <c r="AS657" s="54"/>
    </row>
    <row r="658" spans="1:45" ht="21.25" customHeight="1" x14ac:dyDescent="0.15">
      <c r="A658" s="45">
        <f>RANK(K658,K$1:K$665)</f>
        <v>657</v>
      </c>
      <c r="B658" s="9" t="s">
        <v>783</v>
      </c>
      <c r="C658" s="46" t="s">
        <v>127</v>
      </c>
      <c r="D658" s="47" t="str">
        <f>VLOOKUP(B658,'Player Data'!A1:D667,4,FALSE)</f>
        <v>LW</v>
      </c>
      <c r="E658" s="70">
        <f>VLOOKUP(B658,LW!A1:C152,3,FALSE)</f>
        <v>148</v>
      </c>
      <c r="F658" s="55" t="str">
        <f>VLOOKUP(B658,'Player Data'!A1:B667,2,FALSE)</f>
        <v>COL</v>
      </c>
      <c r="G658" s="10">
        <f>VLOOKUP(B658,'Player Data'!A1:D667,3,FALSE)</f>
        <v>28</v>
      </c>
      <c r="H658" s="67">
        <f>IFERROR(VLOOKUP(B658,ADP!A1:G665,7,FALSE)/1000000,VLOOKUP(B658,ADP!A1:G665,7,FALSE))</f>
        <v>0.77500000000000002</v>
      </c>
      <c r="I658" s="51">
        <f>IF(Settings!$E$15="POINTS",((R658*Q658)*Settings!$B$12)+(S658*Settings!$B$2)+(T658*Settings!$B$3)+(U658*Settings!$B$4)+(V658*Settings!$B$5)+(X658*Settings!$B$9)+(AA658*Settings!$B$6)+(W658*Settings!$B$8)+(AB658*Settings!$B$7)+(AC658*Settings!$B$14)+(AD658*Settings!$B$15)+(AE658*Settings!$B$16)+(AF658*Settings!$B$17)+(AG658*Settings!$B$18)+(Y658*Settings!$B$10)+(Z658*Settings!$B$11),VLOOKUP(B658,'Standard Deviations'!A1:C666,3,FALSE))</f>
        <v>79.586211178357658</v>
      </c>
      <c r="J658" s="52">
        <f>IF(D658="G",I658/AJ658,I658/Q658)</f>
        <v>1.0877634275727144</v>
      </c>
      <c r="K658" s="51">
        <f>IF(Settings!$E$18="C/LW/RW",VLOOKUP(B658,LW!A1:F152,6,FALSE),VLOOKUP(B658,F!A1:F392,6,FALSE))</f>
        <v>-301.47530112414211</v>
      </c>
      <c r="L658" s="53">
        <f>IFERROR(K658/H658,"N/A")</f>
        <v>-389.00038854728012</v>
      </c>
      <c r="M658" s="83" t="str">
        <f>IF(Settings!$E$9="YAHOO",VLOOKUP(B658,ADP!A1:E665,2,FALSE),IF(Settings!$E$9="ESPN",VLOOKUP(B658,ADP!A1:E665,3,FALSE),IF(Settings!$E$9="FANTRAX",VLOOKUP(B658,ADP!A1:E665,4,FALSE),VLOOKUP(B658,ADP!A1:E665,5,FALSE))))</f>
        <v>—</v>
      </c>
      <c r="N658" s="83" t="str">
        <f>IFERROR(M658-A658,"N/A")</f>
        <v>N/A</v>
      </c>
      <c r="O658" s="54"/>
      <c r="P658" s="55" t="str">
        <f>IF(Settings!$E$27="ON",VLOOKUP(B658,ADP!A1:H665,8,FALSE)," ")</f>
        <v xml:space="preserve"> </v>
      </c>
      <c r="Q658" s="56">
        <f>IF(Settings!$E$12="YES",VLOOKUP(B658,'Player Data'!A1:E667,5,FALSE),82)</f>
        <v>73.165000000000006</v>
      </c>
      <c r="R658" s="54">
        <f>VLOOKUP(B658,'Player Data'!$A1:$AE667,6,FALSE)</f>
        <v>9.6566342762588295</v>
      </c>
      <c r="S658" s="56">
        <f>VLOOKUP(B658,'Player Data'!$A1:$AE667,7,FALSE)*$Q658*IFERROR((VLOOKUP(P658,Settings!$E$28:$F$33,2,FALSE)+1),1)</f>
        <v>4.7110452278686941</v>
      </c>
      <c r="T658" s="56">
        <f>VLOOKUP(B658,'Player Data'!$A1:$AE667,8,FALSE)*$Q658*IFERROR((VLOOKUP(P658,Settings!$E$28:$F$33,2,FALSE)+1),1)</f>
        <v>5.5022305869704891</v>
      </c>
      <c r="U658" s="56">
        <f>SUM(S658:T658)</f>
        <v>10.213275814839182</v>
      </c>
      <c r="V658" s="56">
        <f>VLOOKUP(B658,'Player Data'!$A1:$AE667,10,FALSE)*$Q658*IFERROR(((VLOOKUP(P658,Settings!$E$28:$F$33,2,FALSE)/2)+1),1)</f>
        <v>66.137391695042311</v>
      </c>
      <c r="W658" s="56">
        <f>VLOOKUP(B658,'Player Data'!$A1:$AE667,11,FALSE)*$Q658*IFERROR((VLOOKUP(P658,Settings!$E$28:$F$33,2,FALSE)+1),1)</f>
        <v>8.3831753368207515E-3</v>
      </c>
      <c r="X658" s="56">
        <f>VLOOKUP(B658,'Player Data'!$A1:$AE667,12,FALSE)*$Q658*IFERROR((VLOOKUP(P658,Settings!$E$28:$F$33,2,FALSE)+1),1)</f>
        <v>1.9684974157467287E-2</v>
      </c>
      <c r="Y658" s="56">
        <f>VLOOKUP(B658,'Player Data'!$A1:$AE667,13,FALSE)*$Q658</f>
        <v>0.33018354817516138</v>
      </c>
      <c r="Z658" s="56">
        <f>VLOOKUP(B658,'Player Data'!$A1:$AE667,14,FALSE)*$Q658</f>
        <v>0.40455448508008257</v>
      </c>
      <c r="AA658" s="56">
        <f>VLOOKUP(B658,'Player Data'!$A1:$AE667,15,FALSE)*$Q658</f>
        <v>30.906896854162806</v>
      </c>
      <c r="AB658" s="56">
        <f>VLOOKUP(B658,'Player Data'!$A1:$AE667,16,FALSE)*$Q658</f>
        <v>101.77753651948952</v>
      </c>
      <c r="AC658" s="56">
        <f>VLOOKUP(B658,'Player Data'!$A1:$AE667,17,FALSE)*$Q658*IFERROR((VLOOKUP(P658,Settings!$E$28:$F$33,2,FALSE)+1),1)</f>
        <v>1.5063582426371569</v>
      </c>
      <c r="AD658" s="56">
        <f>VLOOKUP(B658,'Player Data'!$A1:$AE667,18,FALSE)*$Q658</f>
        <v>21.577567416766396</v>
      </c>
      <c r="AE658" s="56">
        <f>VLOOKUP(B658,'Player Data'!$A1:$AE667,19,FALSE)*$Q658*IFERROR((VLOOKUP(P658,Settings!$E$28:$F$33,2,FALSE)+1),1)</f>
        <v>0.70388035150331718</v>
      </c>
      <c r="AF658" s="56">
        <f>VLOOKUP(B658,'Player Data'!$A1:$AE667,20,FALSE)*$Q658</f>
        <v>1.9224771251792556</v>
      </c>
      <c r="AG658" s="56">
        <f>VLOOKUP(B658,'Player Data'!$A1:$AE667,21,FALSE)*$Q658</f>
        <v>6.2560149933442366</v>
      </c>
      <c r="AH658" s="58">
        <f>VLOOKUP(B658,'Player Data'!$A1:$AE667,22,FALSE)</f>
        <v>0.23506498475740201</v>
      </c>
      <c r="AI658" s="54"/>
      <c r="AJ658" s="64"/>
      <c r="AK658" s="56"/>
      <c r="AL658" s="56"/>
      <c r="AM658" s="56"/>
      <c r="AN658" s="56"/>
      <c r="AO658" s="56"/>
      <c r="AP658" s="56"/>
      <c r="AQ658" s="59"/>
      <c r="AR658" s="60"/>
      <c r="AS658" s="54"/>
    </row>
    <row r="659" spans="1:45" ht="21.25" customHeight="1" x14ac:dyDescent="0.15">
      <c r="A659" s="45">
        <f>RANK(K659,K$1:K$665)</f>
        <v>658</v>
      </c>
      <c r="B659" s="9" t="s">
        <v>784</v>
      </c>
      <c r="C659" s="46" t="s">
        <v>127</v>
      </c>
      <c r="D659" s="47" t="str">
        <f>VLOOKUP(B659,'Player Data'!A1:D667,4,FALSE)</f>
        <v>C</v>
      </c>
      <c r="E659" s="48">
        <f>VLOOKUP(B659,'C'!A1:C206,3,FALSE)</f>
        <v>199</v>
      </c>
      <c r="F659" s="62" t="str">
        <f>VLOOKUP(B659,'Player Data'!A1:B667,2,FALSE)</f>
        <v>T.B</v>
      </c>
      <c r="G659" s="63">
        <f>VLOOKUP(B659,'Player Data'!A1:D667,3,FALSE)</f>
        <v>35</v>
      </c>
      <c r="H659" s="67">
        <f>IFERROR(VLOOKUP(B659,ADP!A1:G665,7,FALSE)/1000000,VLOOKUP(B659,ADP!A1:G665,7,FALSE))</f>
        <v>0.8</v>
      </c>
      <c r="I659" s="51">
        <f>IF(Settings!$E$15="POINTS",((R659*Q659)*Settings!$B$12)+(S659*Settings!$B$2)+(T659*Settings!$B$3)+(U659*Settings!$B$4)+(V659*Settings!$B$5)+(X659*Settings!$B$9)+(AA659*Settings!$B$6)+(W659*Settings!$B$8)+(AB659*Settings!$B$7)+(AC659*Settings!$B$14)+(AD659*Settings!$B$15)+(AE659*Settings!$B$16)+(AF659*Settings!$B$17)+(AG659*Settings!$B$18)+(Y659*Settings!$B$10)+(Z659*Settings!$B$11),VLOOKUP(B659,'Standard Deviations'!A1:C666,3,FALSE))</f>
        <v>86.579612310137406</v>
      </c>
      <c r="J659" s="52">
        <f>IF(D659="G",I659/AJ659,I659/Q659)</f>
        <v>1.0795126375130129</v>
      </c>
      <c r="K659" s="51">
        <f>IF(Settings!$E$18="C/LW/RW",VLOOKUP(B659,'C'!A1:F206,6,FALSE),VLOOKUP(B659,F!A1:F392,6,FALSE))</f>
        <v>-303.35754546794368</v>
      </c>
      <c r="L659" s="53">
        <f>IFERROR(K659/H659,"N/A")</f>
        <v>-379.19693183492956</v>
      </c>
      <c r="M659" s="83" t="str">
        <f>IF(Settings!$E$9="YAHOO",VLOOKUP(B659,ADP!A1:E665,2,FALSE),IF(Settings!$E$9="ESPN",VLOOKUP(B659,ADP!A1:E665,3,FALSE),IF(Settings!$E$9="FANTRAX",VLOOKUP(B659,ADP!A1:E665,4,FALSE),VLOOKUP(B659,ADP!A1:E665,5,FALSE))))</f>
        <v>—</v>
      </c>
      <c r="N659" s="83" t="str">
        <f>IFERROR(M659-A659,"N/A")</f>
        <v>N/A</v>
      </c>
      <c r="O659" s="54"/>
      <c r="P659" s="55" t="str">
        <f>IF(Settings!$E$27="ON",VLOOKUP(B659,ADP!A1:H665,8,FALSE)," ")</f>
        <v xml:space="preserve"> </v>
      </c>
      <c r="Q659" s="56">
        <f>IF(Settings!$E$12="YES",VLOOKUP(B659,'Player Data'!A1:E667,5,FALSE),82)</f>
        <v>80.202500000000001</v>
      </c>
      <c r="R659" s="54">
        <f>VLOOKUP(B659,'Player Data'!$A1:$AE667,6,FALSE)</f>
        <v>11.6418285660067</v>
      </c>
      <c r="S659" s="56">
        <f>VLOOKUP(B659,'Player Data'!$A1:$AE667,7,FALSE)*$Q659*IFERROR((VLOOKUP(P659,Settings!$E$28:$F$33,2,FALSE)+1),1)</f>
        <v>5.9015410444602425</v>
      </c>
      <c r="T659" s="56">
        <f>VLOOKUP(B659,'Player Data'!$A1:$AE667,8,FALSE)*$Q659*IFERROR((VLOOKUP(P659,Settings!$E$28:$F$33,2,FALSE)+1),1)</f>
        <v>2.5839985336350932</v>
      </c>
      <c r="U659" s="56">
        <f>SUM(S659:T659)</f>
        <v>8.4855395780953362</v>
      </c>
      <c r="V659" s="56">
        <f>VLOOKUP(B659,'Player Data'!$A1:$AE667,10,FALSE)*$Q659*IFERROR(((VLOOKUP(P659,Settings!$E$28:$F$33,2,FALSE)/2)+1),1)</f>
        <v>65.744216414526207</v>
      </c>
      <c r="W659" s="56">
        <f>VLOOKUP(B659,'Player Data'!$A1:$AE667,11,FALSE)*$Q659*IFERROR((VLOOKUP(P659,Settings!$E$28:$F$33,2,FALSE)+1),1)</f>
        <v>1.5795170426022451E-2</v>
      </c>
      <c r="X659" s="56">
        <f>VLOOKUP(B659,'Player Data'!$A1:$AE667,12,FALSE)*$Q659*IFERROR((VLOOKUP(P659,Settings!$E$28:$F$33,2,FALSE)+1),1)</f>
        <v>3.396773328841475E-2</v>
      </c>
      <c r="Y659" s="56">
        <f>VLOOKUP(B659,'Player Data'!$A1:$AE667,13,FALSE)*$Q659</f>
        <v>0.9069148936323761</v>
      </c>
      <c r="Z659" s="56">
        <f>VLOOKUP(B659,'Player Data'!$A1:$AE667,14,FALSE)*$Q659</f>
        <v>1.1676769193510597</v>
      </c>
      <c r="AA659" s="56">
        <f>VLOOKUP(B659,'Player Data'!$A1:$AE667,15,FALSE)*$Q659</f>
        <v>54.098481431897618</v>
      </c>
      <c r="AB659" s="56">
        <f>VLOOKUP(B659,'Player Data'!$A1:$AE667,16,FALSE)*$Q659</f>
        <v>123.15771838592043</v>
      </c>
      <c r="AC659" s="56">
        <f>VLOOKUP(B659,'Player Data'!$A1:$AE667,17,FALSE)*$Q659*IFERROR((VLOOKUP(P659,Settings!$E$28:$F$33,2,FALSE)+1),1)</f>
        <v>-1.1836403579268973</v>
      </c>
      <c r="AD659" s="56">
        <f>VLOOKUP(B659,'Player Data'!$A1:$AE667,18,FALSE)*$Q659</f>
        <v>24.915726305365229</v>
      </c>
      <c r="AE659" s="56">
        <f>VLOOKUP(B659,'Player Data'!$A1:$AE667,19,FALSE)*$Q659*IFERROR((VLOOKUP(P659,Settings!$E$28:$F$33,2,FALSE)+1),1)</f>
        <v>0.92985637914739894</v>
      </c>
      <c r="AF659" s="56">
        <f>VLOOKUP(B659,'Player Data'!$A1:$AE667,20,FALSE)*$Q659</f>
        <v>486.35720885543702</v>
      </c>
      <c r="AG659" s="56">
        <f>VLOOKUP(B659,'Player Data'!$A1:$AE667,21,FALSE)*$Q659</f>
        <v>356.32912276034938</v>
      </c>
      <c r="AH659" s="58">
        <f>VLOOKUP(B659,'Player Data'!$A1:$AE667,22,FALSE)</f>
        <v>0.57715094052004401</v>
      </c>
      <c r="AI659" s="54"/>
      <c r="AJ659" s="64"/>
      <c r="AK659" s="56"/>
      <c r="AL659" s="56"/>
      <c r="AM659" s="56"/>
      <c r="AN659" s="56"/>
      <c r="AO659" s="56"/>
      <c r="AP659" s="56"/>
      <c r="AQ659" s="59"/>
      <c r="AR659" s="60"/>
      <c r="AS659" s="54"/>
    </row>
    <row r="660" spans="1:45" ht="21.25" customHeight="1" x14ac:dyDescent="0.15">
      <c r="A660" s="45">
        <f>RANK(K660,K$1:K$665)</f>
        <v>659</v>
      </c>
      <c r="B660" s="9" t="s">
        <v>785</v>
      </c>
      <c r="C660" s="46" t="s">
        <v>127</v>
      </c>
      <c r="D660" s="47" t="str">
        <f>VLOOKUP(B660,'Player Data'!A1:D667,4,FALSE)</f>
        <v>C/LW</v>
      </c>
      <c r="E660" s="68">
        <f>VLOOKUP(B660,LW!A1:C152,3,FALSE)</f>
        <v>149</v>
      </c>
      <c r="F660" s="65" t="str">
        <f>VLOOKUP(B660,'Player Data'!A1:B667,2,FALSE)</f>
        <v>CGY</v>
      </c>
      <c r="G660" s="63">
        <f>VLOOKUP(B660,'Player Data'!A1:D667,3,FALSE)</f>
        <v>31</v>
      </c>
      <c r="H660" s="67">
        <f>IFERROR(VLOOKUP(B660,ADP!A1:G665,7,FALSE)/1000000,VLOOKUP(B660,ADP!A1:G665,7,FALSE))</f>
        <v>1.3</v>
      </c>
      <c r="I660" s="51">
        <f>IF(Settings!$E$15="POINTS",((R660*Q660)*Settings!$B$12)+(S660*Settings!$B$2)+(T660*Settings!$B$3)+(U660*Settings!$B$4)+(V660*Settings!$B$5)+(X660*Settings!$B$9)+(AA660*Settings!$B$6)+(W660*Settings!$B$8)+(AB660*Settings!$B$7)+(AC660*Settings!$B$14)+(AD660*Settings!$B$15)+(AE660*Settings!$B$16)+(AF660*Settings!$B$17)+(AG660*Settings!$B$18)+(Y660*Settings!$B$10)+(Z660*Settings!$B$11),VLOOKUP(B660,'Standard Deviations'!A1:C666,3,FALSE))</f>
        <v>75.982210681361281</v>
      </c>
      <c r="J660" s="52">
        <f>IF(D660="G",I660/AJ660,I660/Q660)</f>
        <v>1.2197160395113777</v>
      </c>
      <c r="K660" s="51">
        <f>IF(Settings!$E$18="C/LW/RW",VLOOKUP(B660,LW!A1:F152,6,FALSE),VLOOKUP(B660,F!A1:F392,6,FALSE))</f>
        <v>-305.07930162113848</v>
      </c>
      <c r="L660" s="53">
        <f>IFERROR(K660/H660,"N/A")</f>
        <v>-234.67638586241421</v>
      </c>
      <c r="M660" s="83" t="str">
        <f>IF(Settings!$E$9="YAHOO",VLOOKUP(B660,ADP!A1:E665,2,FALSE),IF(Settings!$E$9="ESPN",VLOOKUP(B660,ADP!A1:E665,3,FALSE),IF(Settings!$E$9="FANTRAX",VLOOKUP(B660,ADP!A1:E665,4,FALSE),VLOOKUP(B660,ADP!A1:E665,5,FALSE))))</f>
        <v>—</v>
      </c>
      <c r="N660" s="83" t="str">
        <f>IFERROR(M660-A660,"N/A")</f>
        <v>N/A</v>
      </c>
      <c r="O660" s="54"/>
      <c r="P660" s="55" t="str">
        <f>IF(Settings!$E$27="ON",VLOOKUP(B660,ADP!A1:H665,8,FALSE)," ")</f>
        <v xml:space="preserve"> </v>
      </c>
      <c r="Q660" s="56">
        <f>IF(Settings!$E$12="YES",VLOOKUP(B660,'Player Data'!A1:E667,5,FALSE),82)</f>
        <v>62.295000000000002</v>
      </c>
      <c r="R660" s="54">
        <f>VLOOKUP(B660,'Player Data'!$A1:$AE667,6,FALSE)</f>
        <v>11.391002732230101</v>
      </c>
      <c r="S660" s="56">
        <f>VLOOKUP(B660,'Player Data'!$A1:$AE667,7,FALSE)*$Q660*IFERROR((VLOOKUP(P660,Settings!$E$28:$F$33,2,FALSE)+1),1)</f>
        <v>3.9363526632515442</v>
      </c>
      <c r="T660" s="56">
        <f>VLOOKUP(B660,'Player Data'!$A1:$AE667,8,FALSE)*$Q660*IFERROR((VLOOKUP(P660,Settings!$E$28:$F$33,2,FALSE)+1),1)</f>
        <v>3.9597358479561651</v>
      </c>
      <c r="U660" s="56">
        <f>SUM(S660:T660)</f>
        <v>7.8960885112077097</v>
      </c>
      <c r="V660" s="56">
        <f>VLOOKUP(B660,'Player Data'!$A1:$AE667,10,FALSE)*$Q660*IFERROR(((VLOOKUP(P660,Settings!$E$28:$F$33,2,FALSE)/2)+1),1)</f>
        <v>54.761454513556878</v>
      </c>
      <c r="W660" s="56">
        <f>VLOOKUP(B660,'Player Data'!$A1:$AE667,11,FALSE)*$Q660*IFERROR((VLOOKUP(P660,Settings!$E$28:$F$33,2,FALSE)+1),1)</f>
        <v>4.5546416098120594E-2</v>
      </c>
      <c r="X660" s="56">
        <f>VLOOKUP(B660,'Player Data'!$A1:$AE667,12,FALSE)*$Q660*IFERROR((VLOOKUP(P660,Settings!$E$28:$F$33,2,FALSE)+1),1)</f>
        <v>0.10667852667786133</v>
      </c>
      <c r="Y660" s="56">
        <f>VLOOKUP(B660,'Player Data'!$A1:$AE667,13,FALSE)*$Q660</f>
        <v>0.14749664333660301</v>
      </c>
      <c r="Z660" s="56">
        <f>VLOOKUP(B660,'Player Data'!$A1:$AE667,14,FALSE)*$Q660</f>
        <v>0.29653672020279859</v>
      </c>
      <c r="AA660" s="56">
        <f>VLOOKUP(B660,'Player Data'!$A1:$AE667,15,FALSE)*$Q660</f>
        <v>49.020005288158124</v>
      </c>
      <c r="AB660" s="56">
        <f>VLOOKUP(B660,'Player Data'!$A1:$AE667,16,FALSE)*$Q660</f>
        <v>101.46659259620242</v>
      </c>
      <c r="AC660" s="56">
        <f>VLOOKUP(B660,'Player Data'!$A1:$AE667,17,FALSE)*$Q660*IFERROR((VLOOKUP(P660,Settings!$E$28:$F$33,2,FALSE)+1),1)</f>
        <v>-2.9809777866876535</v>
      </c>
      <c r="AD660" s="56">
        <f>VLOOKUP(B660,'Player Data'!$A1:$AE667,18,FALSE)*$Q660</f>
        <v>15.331066753598265</v>
      </c>
      <c r="AE660" s="56">
        <f>VLOOKUP(B660,'Player Data'!$A1:$AE667,19,FALSE)*$Q660*IFERROR((VLOOKUP(P660,Settings!$E$28:$F$33,2,FALSE)+1),1)</f>
        <v>0.57188818782058892</v>
      </c>
      <c r="AF660" s="56">
        <f>VLOOKUP(B660,'Player Data'!$A1:$AE667,20,FALSE)*$Q660</f>
        <v>174.15142331807479</v>
      </c>
      <c r="AG660" s="56">
        <f>VLOOKUP(B660,'Player Data'!$A1:$AE667,21,FALSE)*$Q660</f>
        <v>211.81618917464704</v>
      </c>
      <c r="AH660" s="58">
        <f>VLOOKUP(B660,'Player Data'!$A1:$AE667,22,FALSE)</f>
        <v>0.45120734922119499</v>
      </c>
      <c r="AI660" s="54"/>
      <c r="AJ660" s="64"/>
      <c r="AK660" s="56"/>
      <c r="AL660" s="56"/>
      <c r="AM660" s="56"/>
      <c r="AN660" s="56"/>
      <c r="AO660" s="56"/>
      <c r="AP660" s="56"/>
      <c r="AQ660" s="59"/>
      <c r="AR660" s="60"/>
      <c r="AS660" s="54"/>
    </row>
    <row r="661" spans="1:45" ht="21.25" customHeight="1" x14ac:dyDescent="0.15">
      <c r="A661" s="45">
        <f>RANK(K661,K$1:K$665)</f>
        <v>660</v>
      </c>
      <c r="B661" s="9" t="s">
        <v>786</v>
      </c>
      <c r="C661" s="46" t="s">
        <v>127</v>
      </c>
      <c r="D661" s="47" t="str">
        <f>VLOOKUP(B661,'Player Data'!A1:D667,4,FALSE)</f>
        <v>C</v>
      </c>
      <c r="E661" s="48">
        <f>VLOOKUP(B661,'C'!A1:C206,3,FALSE)</f>
        <v>200</v>
      </c>
      <c r="F661" s="72" t="str">
        <f>VLOOKUP(B661,'Player Data'!A1:B667,2,FALSE)</f>
        <v>MIN</v>
      </c>
      <c r="G661" s="10">
        <f>VLOOKUP(B661,'Player Data'!A1:D667,3,FALSE)</f>
        <v>24</v>
      </c>
      <c r="H661" s="67">
        <f>IFERROR(VLOOKUP(B661,ADP!A1:G665,7,FALSE)/1000000,VLOOKUP(B661,ADP!A1:G665,7,FALSE))</f>
        <v>0.78749999999999998</v>
      </c>
      <c r="I661" s="51">
        <f>IF(Settings!$E$15="POINTS",((R661*Q661)*Settings!$B$12)+(S661*Settings!$B$2)+(T661*Settings!$B$3)+(U661*Settings!$B$4)+(V661*Settings!$B$5)+(X661*Settings!$B$9)+(AA661*Settings!$B$6)+(W661*Settings!$B$8)+(AB661*Settings!$B$7)+(AC661*Settings!$B$14)+(AD661*Settings!$B$15)+(AE661*Settings!$B$16)+(AF661*Settings!$B$17)+(AG661*Settings!$B$18)+(Y661*Settings!$B$10)+(Z661*Settings!$B$11),VLOOKUP(B661,'Standard Deviations'!A1:C666,3,FALSE))</f>
        <v>79.98415085117567</v>
      </c>
      <c r="J661" s="52">
        <f>IF(D661="G",I661/AJ661,I661/Q661)</f>
        <v>1.2475593815741965</v>
      </c>
      <c r="K661" s="51">
        <f>IF(Settings!$E$18="C/LW/RW",VLOOKUP(B661,'C'!A1:F206,6,FALSE),VLOOKUP(B661,F!A1:F392,6,FALSE))</f>
        <v>-309.9530069269054</v>
      </c>
      <c r="L661" s="53">
        <f>IFERROR(K661/H661,"N/A")</f>
        <v>-393.59111990718145</v>
      </c>
      <c r="M661" s="83" t="str">
        <f>IF(Settings!$E$9="YAHOO",VLOOKUP(B661,ADP!A1:E665,2,FALSE),IF(Settings!$E$9="ESPN",VLOOKUP(B661,ADP!A1:E665,3,FALSE),IF(Settings!$E$9="FANTRAX",VLOOKUP(B661,ADP!A1:E665,4,FALSE),VLOOKUP(B661,ADP!A1:E665,5,FALSE))))</f>
        <v>—</v>
      </c>
      <c r="N661" s="83" t="str">
        <f>IFERROR(M661-A661,"N/A")</f>
        <v>N/A</v>
      </c>
      <c r="O661" s="54"/>
      <c r="P661" s="55" t="str">
        <f>IF(Settings!$E$27="ON",VLOOKUP(B661,ADP!A1:H665,8,FALSE)," ")</f>
        <v xml:space="preserve"> </v>
      </c>
      <c r="Q661" s="56">
        <f>IF(Settings!$E$12="YES",VLOOKUP(B661,'Player Data'!A1:E667,5,FALSE),82)</f>
        <v>64.112499999999997</v>
      </c>
      <c r="R661" s="54">
        <f>VLOOKUP(B661,'Player Data'!$A1:$AE667,6,FALSE)</f>
        <v>9.7907102015129404</v>
      </c>
      <c r="S661" s="56">
        <f>VLOOKUP(B661,'Player Data'!$A1:$AE667,7,FALSE)*$Q661*IFERROR((VLOOKUP(P661,Settings!$E$28:$F$33,2,FALSE)+1),1)</f>
        <v>5.0640653867180294</v>
      </c>
      <c r="T661" s="56">
        <f>VLOOKUP(B661,'Player Data'!$A1:$AE667,8,FALSE)*$Q661*IFERROR((VLOOKUP(P661,Settings!$E$28:$F$33,2,FALSE)+1),1)</f>
        <v>8.8296105223538586</v>
      </c>
      <c r="U661" s="56">
        <f>SUM(S661:T661)</f>
        <v>13.893675909071888</v>
      </c>
      <c r="V661" s="56">
        <f>VLOOKUP(B661,'Player Data'!$A1:$AE667,10,FALSE)*$Q661*IFERROR(((VLOOKUP(P661,Settings!$E$28:$F$33,2,FALSE)/2)+1),1)</f>
        <v>50.756167057236262</v>
      </c>
      <c r="W661" s="56">
        <f>VLOOKUP(B661,'Player Data'!$A1:$AE667,11,FALSE)*$Q661*IFERROR((VLOOKUP(P661,Settings!$E$28:$F$33,2,FALSE)+1),1)</f>
        <v>6.1037856485928077E-2</v>
      </c>
      <c r="X661" s="56">
        <f>VLOOKUP(B661,'Player Data'!$A1:$AE667,12,FALSE)*$Q661*IFERROR((VLOOKUP(P661,Settings!$E$28:$F$33,2,FALSE)+1),1)</f>
        <v>0.14000538735945883</v>
      </c>
      <c r="Y661" s="56">
        <f>VLOOKUP(B661,'Player Data'!$A1:$AE667,13,FALSE)*$Q661</f>
        <v>3.800912892658178E-2</v>
      </c>
      <c r="Z661" s="56">
        <f>VLOOKUP(B661,'Player Data'!$A1:$AE667,14,FALSE)*$Q661</f>
        <v>6.387108995327237E-2</v>
      </c>
      <c r="AA661" s="56">
        <f>VLOOKUP(B661,'Player Data'!$A1:$AE667,15,FALSE)*$Q661</f>
        <v>25.442326236058275</v>
      </c>
      <c r="AB661" s="56">
        <f>VLOOKUP(B661,'Player Data'!$A1:$AE667,16,FALSE)*$Q661</f>
        <v>160.80138552503897</v>
      </c>
      <c r="AC661" s="56">
        <f>VLOOKUP(B661,'Player Data'!$A1:$AE667,17,FALSE)*$Q661*IFERROR((VLOOKUP(P661,Settings!$E$28:$F$33,2,FALSE)+1),1)</f>
        <v>1.0677959608873715</v>
      </c>
      <c r="AD661" s="56">
        <f>VLOOKUP(B661,'Player Data'!$A1:$AE667,18,FALSE)*$Q661</f>
        <v>25.748353966358884</v>
      </c>
      <c r="AE661" s="56">
        <f>VLOOKUP(B661,'Player Data'!$A1:$AE667,19,FALSE)*$Q661*IFERROR((VLOOKUP(P661,Settings!$E$28:$F$33,2,FALSE)+1),1)</f>
        <v>0.83597149334734699</v>
      </c>
      <c r="AF661" s="56">
        <f>VLOOKUP(B661,'Player Data'!$A1:$AE667,20,FALSE)*$Q661</f>
        <v>5.6875237012629478</v>
      </c>
      <c r="AG661" s="56">
        <f>VLOOKUP(B661,'Player Data'!$A1:$AE667,21,FALSE)*$Q661</f>
        <v>11.042443034049134</v>
      </c>
      <c r="AH661" s="58">
        <f>VLOOKUP(B661,'Player Data'!$A1:$AE667,22,FALSE)</f>
        <v>0.339960251639846</v>
      </c>
      <c r="AI661" s="54"/>
      <c r="AJ661" s="56"/>
      <c r="AK661" s="56"/>
      <c r="AL661" s="56"/>
      <c r="AM661" s="56"/>
      <c r="AN661" s="56"/>
      <c r="AO661" s="56"/>
      <c r="AP661" s="56"/>
      <c r="AQ661" s="59"/>
      <c r="AR661" s="60"/>
      <c r="AS661" s="54"/>
    </row>
    <row r="662" spans="1:45" ht="21.25" customHeight="1" x14ac:dyDescent="0.15">
      <c r="A662" s="45">
        <f>RANK(K662,K$1:K$665)</f>
        <v>661</v>
      </c>
      <c r="B662" s="9" t="s">
        <v>787</v>
      </c>
      <c r="C662" s="46" t="s">
        <v>127</v>
      </c>
      <c r="D662" s="47" t="str">
        <f>VLOOKUP(B662,'Player Data'!A1:D667,4,FALSE)</f>
        <v>C</v>
      </c>
      <c r="E662" s="48">
        <f>VLOOKUP(B662,'C'!A1:C206,3,FALSE)</f>
        <v>201</v>
      </c>
      <c r="F662" s="55" t="str">
        <f>VLOOKUP(B662,'Player Data'!A1:B667,2,FALSE)</f>
        <v>WPG</v>
      </c>
      <c r="G662" s="10">
        <f>VLOOKUP(B662,'Player Data'!A1:D667,3,FALSE)</f>
        <v>24</v>
      </c>
      <c r="H662" s="50">
        <f>IFERROR(VLOOKUP(B662,ADP!A1:G665,7,FALSE)/1000000,VLOOKUP(B662,ADP!A1:G665,7,FALSE))</f>
        <v>0.83499999999999996</v>
      </c>
      <c r="I662" s="51">
        <f>IF(Settings!$E$15="POINTS",((R662*Q662)*Settings!$B$12)+(S662*Settings!$B$2)+(T662*Settings!$B$3)+(U662*Settings!$B$4)+(V662*Settings!$B$5)+(X662*Settings!$B$9)+(AA662*Settings!$B$6)+(W662*Settings!$B$8)+(AB662*Settings!$B$7)+(AC662*Settings!$B$14)+(AD662*Settings!$B$15)+(AE662*Settings!$B$16)+(AF662*Settings!$B$17)+(AG662*Settings!$B$18)+(Y662*Settings!$B$10)+(Z662*Settings!$B$11),VLOOKUP(B662,'Standard Deviations'!A1:C666,3,FALSE))</f>
        <v>77.204162659927093</v>
      </c>
      <c r="J662" s="52">
        <f>IF(D662="G",I662/AJ662,I662/Q662)</f>
        <v>1.1850671577562777</v>
      </c>
      <c r="K662" s="51">
        <f>IF(Settings!$E$18="C/LW/RW",VLOOKUP(B662,'C'!A1:F206,6,FALSE),VLOOKUP(B662,F!A1:F392,6,FALSE))</f>
        <v>-312.73299511815401</v>
      </c>
      <c r="L662" s="53">
        <f>IFERROR(K662/H662,"N/A")</f>
        <v>-374.53053307563357</v>
      </c>
      <c r="M662" s="83" t="str">
        <f>IF(Settings!$E$9="YAHOO",VLOOKUP(B662,ADP!A1:E665,2,FALSE),IF(Settings!$E$9="ESPN",VLOOKUP(B662,ADP!A1:E665,3,FALSE),IF(Settings!$E$9="FANTRAX",VLOOKUP(B662,ADP!A1:E665,4,FALSE),VLOOKUP(B662,ADP!A1:E665,5,FALSE))))</f>
        <v>—</v>
      </c>
      <c r="N662" s="83" t="str">
        <f>IFERROR(M662-A662,"N/A")</f>
        <v>N/A</v>
      </c>
      <c r="O662" s="54"/>
      <c r="P662" s="55" t="str">
        <f>IF(Settings!$E$27="ON",VLOOKUP(B662,ADP!A1:H665,8,FALSE)," ")</f>
        <v xml:space="preserve"> </v>
      </c>
      <c r="Q662" s="56">
        <f>IF(Settings!$E$12="YES",VLOOKUP(B662,'Player Data'!A1:E667,5,FALSE),82)</f>
        <v>65.147499999999994</v>
      </c>
      <c r="R662" s="54">
        <f>VLOOKUP(B662,'Player Data'!$A1:$AE667,6,FALSE)</f>
        <v>9.3705180614132093</v>
      </c>
      <c r="S662" s="56">
        <f>VLOOKUP(B662,'Player Data'!$A1:$AE667,7,FALSE)*$Q662*IFERROR((VLOOKUP(P662,Settings!$E$28:$F$33,2,FALSE)+1),1)</f>
        <v>3.8921349191191625</v>
      </c>
      <c r="T662" s="56">
        <f>VLOOKUP(B662,'Player Data'!$A1:$AE667,8,FALSE)*$Q662*IFERROR((VLOOKUP(P662,Settings!$E$28:$F$33,2,FALSE)+1),1)</f>
        <v>7.4821738320939559</v>
      </c>
      <c r="U662" s="56">
        <f>SUM(S662:T662)</f>
        <v>11.374308751213118</v>
      </c>
      <c r="V662" s="56">
        <f>VLOOKUP(B662,'Player Data'!$A1:$AE667,10,FALSE)*$Q662*IFERROR(((VLOOKUP(P662,Settings!$E$28:$F$33,2,FALSE)/2)+1),1)</f>
        <v>53.413440387620597</v>
      </c>
      <c r="W662" s="56">
        <f>VLOOKUP(B662,'Player Data'!$A1:$AE667,11,FALSE)*$Q662*IFERROR((VLOOKUP(P662,Settings!$E$28:$F$33,2,FALSE)+1),1)</f>
        <v>3.7907310441551711E-2</v>
      </c>
      <c r="X662" s="56">
        <f>VLOOKUP(B662,'Player Data'!$A1:$AE667,12,FALSE)*$Q662*IFERROR((VLOOKUP(P662,Settings!$E$28:$F$33,2,FALSE)+1),1)</f>
        <v>8.6593787424353197E-2</v>
      </c>
      <c r="Y662" s="56">
        <f>VLOOKUP(B662,'Player Data'!$A1:$AE667,13,FALSE)*$Q662</f>
        <v>0.13955090607332757</v>
      </c>
      <c r="Z662" s="56">
        <f>VLOOKUP(B662,'Player Data'!$A1:$AE667,14,FALSE)*$Q662</f>
        <v>0.57891440709462116</v>
      </c>
      <c r="AA662" s="56">
        <f>VLOOKUP(B662,'Player Data'!$A1:$AE667,15,FALSE)*$Q662</f>
        <v>31.418016035916938</v>
      </c>
      <c r="AB662" s="56">
        <f>VLOOKUP(B662,'Player Data'!$A1:$AE667,16,FALSE)*$Q662</f>
        <v>58.037102601334901</v>
      </c>
      <c r="AC662" s="56">
        <f>VLOOKUP(B662,'Player Data'!$A1:$AE667,17,FALSE)*$Q662*IFERROR((VLOOKUP(P662,Settings!$E$28:$F$33,2,FALSE)+1),1)</f>
        <v>1.2951914788357459</v>
      </c>
      <c r="AD662" s="56">
        <f>VLOOKUP(B662,'Player Data'!$A1:$AE667,18,FALSE)*$Q662</f>
        <v>9.9299442218749228</v>
      </c>
      <c r="AE662" s="56">
        <f>VLOOKUP(B662,'Player Data'!$A1:$AE667,19,FALSE)*$Q662*IFERROR((VLOOKUP(P662,Settings!$E$28:$F$33,2,FALSE)+1),1)</f>
        <v>0.64697619034694209</v>
      </c>
      <c r="AF662" s="56">
        <f>VLOOKUP(B662,'Player Data'!$A1:$AE667,20,FALSE)*$Q662</f>
        <v>164.15618856334896</v>
      </c>
      <c r="AG662" s="56">
        <f>VLOOKUP(B662,'Player Data'!$A1:$AE667,21,FALSE)*$Q662</f>
        <v>152.77954545959423</v>
      </c>
      <c r="AH662" s="58">
        <f>VLOOKUP(B662,'Player Data'!$A1:$AE667,22,FALSE)</f>
        <v>0.51794787062876901</v>
      </c>
      <c r="AI662" s="54"/>
      <c r="AJ662" s="64"/>
      <c r="AK662" s="56"/>
      <c r="AL662" s="56"/>
      <c r="AM662" s="56"/>
      <c r="AN662" s="56"/>
      <c r="AO662" s="56"/>
      <c r="AP662" s="56"/>
      <c r="AQ662" s="59"/>
      <c r="AR662" s="60"/>
      <c r="AS662" s="54"/>
    </row>
    <row r="663" spans="1:45" ht="21.25" customHeight="1" x14ac:dyDescent="0.15">
      <c r="A663" s="45">
        <f>RANK(K663,K$1:K$665)</f>
        <v>662</v>
      </c>
      <c r="B663" s="9" t="s">
        <v>788</v>
      </c>
      <c r="C663" s="46" t="s">
        <v>127</v>
      </c>
      <c r="D663" s="47" t="str">
        <f>VLOOKUP(B663,'Player Data'!A1:D667,4,FALSE)</f>
        <v>LW</v>
      </c>
      <c r="E663" s="70">
        <f>VLOOKUP(B663,LW!A1:C152,3,FALSE)</f>
        <v>150</v>
      </c>
      <c r="F663" s="65" t="str">
        <f>VLOOKUP(B663,'Player Data'!A1:B667,2,FALSE)</f>
        <v>FLA</v>
      </c>
      <c r="G663" s="10">
        <f>VLOOKUP(B663,'Player Data'!A1:D667,3,FALSE)</f>
        <v>25</v>
      </c>
      <c r="H663" s="50">
        <f>IFERROR(VLOOKUP(B663,ADP!A1:G665,7,FALSE)/1000000,VLOOKUP(B663,ADP!A1:G665,7,FALSE))</f>
        <v>0.77500000000000002</v>
      </c>
      <c r="I663" s="51">
        <f>IF(Settings!$E$15="POINTS",((R663*Q663)*Settings!$B$12)+(S663*Settings!$B$2)+(T663*Settings!$B$3)+(U663*Settings!$B$4)+(V663*Settings!$B$5)+(X663*Settings!$B$9)+(AA663*Settings!$B$6)+(W663*Settings!$B$8)+(AB663*Settings!$B$7)+(AC663*Settings!$B$14)+(AD663*Settings!$B$15)+(AE663*Settings!$B$16)+(AF663*Settings!$B$17)+(AG663*Settings!$B$18)+(Y663*Settings!$B$10)+(Z663*Settings!$B$11),VLOOKUP(B663,'Standard Deviations'!A1:C666,3,FALSE))</f>
        <v>66.334555102611958</v>
      </c>
      <c r="J663" s="52">
        <f>IF(D663="G",I663/AJ663,I663/Q663)</f>
        <v>1.03591090969957</v>
      </c>
      <c r="K663" s="51">
        <f>IF(Settings!$E$18="C/LW/RW",VLOOKUP(B663,LW!A1:F152,6,FALSE),VLOOKUP(B663,F!A1:F392,6,FALSE))</f>
        <v>-314.72695719988781</v>
      </c>
      <c r="L663" s="53">
        <f>IFERROR(K663/H663,"N/A")</f>
        <v>-406.09929961275844</v>
      </c>
      <c r="M663" s="83" t="str">
        <f>IF(Settings!$E$9="YAHOO",VLOOKUP(B663,ADP!A1:E665,2,FALSE),IF(Settings!$E$9="ESPN",VLOOKUP(B663,ADP!A1:E665,3,FALSE),IF(Settings!$E$9="FANTRAX",VLOOKUP(B663,ADP!A1:E665,4,FALSE),VLOOKUP(B663,ADP!A1:E665,5,FALSE))))</f>
        <v>—</v>
      </c>
      <c r="N663" s="83" t="str">
        <f>IFERROR(M663-A663,"N/A")</f>
        <v>N/A</v>
      </c>
      <c r="O663" s="54"/>
      <c r="P663" s="55" t="str">
        <f>IF(Settings!$E$27="ON",VLOOKUP(B663,ADP!A1:H665,8,FALSE)," ")</f>
        <v xml:space="preserve"> </v>
      </c>
      <c r="Q663" s="56">
        <f>IF(Settings!$E$12="YES",VLOOKUP(B663,'Player Data'!A1:E667,5,FALSE),82)</f>
        <v>64.034999999999997</v>
      </c>
      <c r="R663" s="54">
        <f>VLOOKUP(B663,'Player Data'!$A1:$AE667,6,FALSE)</f>
        <v>8.3539944192887496</v>
      </c>
      <c r="S663" s="56">
        <f>VLOOKUP(B663,'Player Data'!$A1:$AE667,7,FALSE)*$Q663*IFERROR((VLOOKUP(P663,Settings!$E$28:$F$33,2,FALSE)+1),1)</f>
        <v>4.1465795512629731</v>
      </c>
      <c r="T663" s="56">
        <f>VLOOKUP(B663,'Player Data'!$A1:$AE667,8,FALSE)*$Q663*IFERROR((VLOOKUP(P663,Settings!$E$28:$F$33,2,FALSE)+1),1)</f>
        <v>5.3267682526361488</v>
      </c>
      <c r="U663" s="56">
        <f>SUM(S663:T663)</f>
        <v>9.4733478038991219</v>
      </c>
      <c r="V663" s="56">
        <f>VLOOKUP(B663,'Player Data'!$A1:$AE667,10,FALSE)*$Q663*IFERROR(((VLOOKUP(P663,Settings!$E$28:$F$33,2,FALSE)/2)+1),1)</f>
        <v>54.156667187605201</v>
      </c>
      <c r="W663" s="56">
        <f>VLOOKUP(B663,'Player Data'!$A1:$AE667,11,FALSE)*$Q663*IFERROR((VLOOKUP(P663,Settings!$E$28:$F$33,2,FALSE)+1),1)</f>
        <v>5.7474848414320066E-2</v>
      </c>
      <c r="X663" s="56">
        <f>VLOOKUP(B663,'Player Data'!$A1:$AE667,12,FALSE)*$Q663*IFERROR((VLOOKUP(P663,Settings!$E$28:$F$33,2,FALSE)+1),1)</f>
        <v>0.13378453350685726</v>
      </c>
      <c r="Y663" s="56">
        <f>VLOOKUP(B663,'Player Data'!$A1:$AE667,13,FALSE)*$Q663</f>
        <v>2.1303251248581432E-2</v>
      </c>
      <c r="Z663" s="56">
        <f>VLOOKUP(B663,'Player Data'!$A1:$AE667,14,FALSE)*$Q663</f>
        <v>3.6328285370189416E-2</v>
      </c>
      <c r="AA663" s="56">
        <f>VLOOKUP(B663,'Player Data'!$A1:$AE667,15,FALSE)*$Q663</f>
        <v>21.332130556469899</v>
      </c>
      <c r="AB663" s="56">
        <f>VLOOKUP(B663,'Player Data'!$A1:$AE667,16,FALSE)*$Q663</f>
        <v>125.41843080225794</v>
      </c>
      <c r="AC663" s="56">
        <f>VLOOKUP(B663,'Player Data'!$A1:$AE667,17,FALSE)*$Q663*IFERROR((VLOOKUP(P663,Settings!$E$28:$F$33,2,FALSE)+1),1)</f>
        <v>2.7029949773642241</v>
      </c>
      <c r="AD663" s="56">
        <f>VLOOKUP(B663,'Player Data'!$A1:$AE667,18,FALSE)*$Q663</f>
        <v>64.510152753529624</v>
      </c>
      <c r="AE663" s="56">
        <f>VLOOKUP(B663,'Player Data'!$A1:$AE667,19,FALSE)*$Q663*IFERROR((VLOOKUP(P663,Settings!$E$28:$F$33,2,FALSE)+1),1)</f>
        <v>0.7064184682124991</v>
      </c>
      <c r="AF663" s="56">
        <f>VLOOKUP(B663,'Player Data'!$A1:$AE667,20,FALSE)*$Q663</f>
        <v>0.32131178891935991</v>
      </c>
      <c r="AG663" s="56">
        <f>VLOOKUP(B663,'Player Data'!$A1:$AE667,21,FALSE)*$Q663</f>
        <v>1.4629456317592917</v>
      </c>
      <c r="AH663" s="58">
        <f>VLOOKUP(B663,'Player Data'!$A1:$AE667,22,FALSE)</f>
        <v>0.18008152029831401</v>
      </c>
      <c r="AI663" s="54"/>
      <c r="AJ663" s="64"/>
      <c r="AK663" s="56"/>
      <c r="AL663" s="56"/>
      <c r="AM663" s="56"/>
      <c r="AN663" s="56"/>
      <c r="AO663" s="56"/>
      <c r="AP663" s="56"/>
      <c r="AQ663" s="59"/>
      <c r="AR663" s="60"/>
      <c r="AS663" s="54"/>
    </row>
    <row r="664" spans="1:45" ht="21.25" customHeight="1" x14ac:dyDescent="0.15">
      <c r="A664" s="45">
        <f>RANK(K664,K$1:K$665)</f>
        <v>663</v>
      </c>
      <c r="B664" s="9" t="s">
        <v>789</v>
      </c>
      <c r="C664" s="46" t="s">
        <v>127</v>
      </c>
      <c r="D664" s="47" t="str">
        <f>VLOOKUP(B664,'Player Data'!A1:D667,4,FALSE)</f>
        <v>C</v>
      </c>
      <c r="E664" s="48">
        <f>VLOOKUP(B664,'C'!A1:C206,3,FALSE)</f>
        <v>203</v>
      </c>
      <c r="F664" s="62" t="str">
        <f>VLOOKUP(B664,'Player Data'!A1:B667,2,FALSE)</f>
        <v>OTT</v>
      </c>
      <c r="G664" s="10">
        <f>VLOOKUP(B664,'Player Data'!A1:D667,3,FALSE)</f>
        <v>28</v>
      </c>
      <c r="H664" s="50">
        <f>IFERROR(VLOOKUP(B664,ADP!A1:G665,7,FALSE)/1000000,VLOOKUP(B664,ADP!A1:G665,7,FALSE))</f>
        <v>0.77500000000000002</v>
      </c>
      <c r="I664" s="51">
        <f>IF(Settings!$E$15="POINTS",((R664*Q664)*Settings!$B$12)+(S664*Settings!$B$2)+(T664*Settings!$B$3)+(U664*Settings!$B$4)+(V664*Settings!$B$5)+(X664*Settings!$B$9)+(AA664*Settings!$B$6)+(W664*Settings!$B$8)+(AB664*Settings!$B$7)+(AC664*Settings!$B$14)+(AD664*Settings!$B$15)+(AE664*Settings!$B$16)+(AF664*Settings!$B$17)+(AG664*Settings!$B$18)+(Y664*Settings!$B$10)+(Z664*Settings!$B$11),VLOOKUP(B664,'Standard Deviations'!A1:C666,3,FALSE))</f>
        <v>53.782215603996562</v>
      </c>
      <c r="J664" s="52">
        <f>IF(D664="G",I664/AJ664,I664/Q664)</f>
        <v>0.78485539006197091</v>
      </c>
      <c r="K664" s="51">
        <f>IF(Settings!$E$18="C/LW/RW",VLOOKUP(B664,'C'!A1:F206,6,FALSE),VLOOKUP(B664,F!A1:F392,6,FALSE))</f>
        <v>-336.15494217408451</v>
      </c>
      <c r="L664" s="53">
        <f>IFERROR(K664/H664,"N/A")</f>
        <v>-433.7483124826897</v>
      </c>
      <c r="M664" s="83" t="str">
        <f>IF(Settings!$E$9="YAHOO",VLOOKUP(B664,ADP!A1:E665,2,FALSE),IF(Settings!$E$9="ESPN",VLOOKUP(B664,ADP!A1:E665,3,FALSE),IF(Settings!$E$9="FANTRAX",VLOOKUP(B664,ADP!A1:E665,4,FALSE),VLOOKUP(B664,ADP!A1:E665,5,FALSE))))</f>
        <v>—</v>
      </c>
      <c r="N664" s="83" t="str">
        <f>IFERROR(M664-A664,"N/A")</f>
        <v>N/A</v>
      </c>
      <c r="O664" s="54"/>
      <c r="P664" s="55" t="str">
        <f>IF(Settings!$E$27="ON",VLOOKUP(B664,ADP!A1:H665,8,FALSE)," ")</f>
        <v xml:space="preserve"> </v>
      </c>
      <c r="Q664" s="56">
        <f>IF(Settings!$E$12="YES",VLOOKUP(B664,'Player Data'!A1:E667,5,FALSE),82)</f>
        <v>68.525000000000006</v>
      </c>
      <c r="R664" s="54">
        <f>VLOOKUP(B664,'Player Data'!$A1:$AE667,6,FALSE)</f>
        <v>6.3777832179329597</v>
      </c>
      <c r="S664" s="56">
        <f>VLOOKUP(B664,'Player Data'!$A1:$AE667,7,FALSE)*$Q664*IFERROR((VLOOKUP(P664,Settings!$E$28:$F$33,2,FALSE)+1),1)</f>
        <v>3.0975341701349182</v>
      </c>
      <c r="T664" s="56">
        <f>VLOOKUP(B664,'Player Data'!$A1:$AE667,8,FALSE)*$Q664*IFERROR((VLOOKUP(P664,Settings!$E$28:$F$33,2,FALSE)+1),1)</f>
        <v>4.0957455863708994</v>
      </c>
      <c r="U664" s="56">
        <f>SUM(S664:T664)</f>
        <v>7.1932797565058175</v>
      </c>
      <c r="V664" s="56">
        <f>VLOOKUP(B664,'Player Data'!$A1:$AE667,10,FALSE)*$Q664*IFERROR(((VLOOKUP(P664,Settings!$E$28:$F$33,2,FALSE)/2)+1),1)</f>
        <v>45.929270845436584</v>
      </c>
      <c r="W664" s="56">
        <f>VLOOKUP(B664,'Player Data'!$A1:$AE667,11,FALSE)*$Q664*IFERROR((VLOOKUP(P664,Settings!$E$28:$F$33,2,FALSE)+1),1)</f>
        <v>4.6293508200095194E-2</v>
      </c>
      <c r="X664" s="56">
        <f>VLOOKUP(B664,'Player Data'!$A1:$AE667,12,FALSE)*$Q664*IFERROR((VLOOKUP(P664,Settings!$E$28:$F$33,2,FALSE)+1),1)</f>
        <v>0.10874869632429872</v>
      </c>
      <c r="Y664" s="56">
        <f>VLOOKUP(B664,'Player Data'!$A1:$AE667,13,FALSE)*$Q664</f>
        <v>0</v>
      </c>
      <c r="Z664" s="56">
        <f>VLOOKUP(B664,'Player Data'!$A1:$AE667,14,FALSE)*$Q664</f>
        <v>0</v>
      </c>
      <c r="AA664" s="56">
        <f>VLOOKUP(B664,'Player Data'!$A1:$AE667,15,FALSE)*$Q664</f>
        <v>18.257984430873044</v>
      </c>
      <c r="AB664" s="56">
        <f>VLOOKUP(B664,'Player Data'!$A1:$AE667,16,FALSE)*$Q664</f>
        <v>97.861303522712561</v>
      </c>
      <c r="AC664" s="56">
        <f>VLOOKUP(B664,'Player Data'!$A1:$AE667,17,FALSE)*$Q664*IFERROR((VLOOKUP(P664,Settings!$E$28:$F$33,2,FALSE)+1),1)</f>
        <v>-1.236517822958322</v>
      </c>
      <c r="AD664" s="56">
        <f>VLOOKUP(B664,'Player Data'!$A1:$AE667,18,FALSE)*$Q664</f>
        <v>40.277653000576059</v>
      </c>
      <c r="AE664" s="56">
        <f>VLOOKUP(B664,'Player Data'!$A1:$AE667,19,FALSE)*$Q664*IFERROR((VLOOKUP(P664,Settings!$E$28:$F$33,2,FALSE)+1),1)</f>
        <v>0.48093628649217951</v>
      </c>
      <c r="AF664" s="56">
        <f>VLOOKUP(B664,'Player Data'!$A1:$AE667,20,FALSE)*$Q664</f>
        <v>22.239139440289676</v>
      </c>
      <c r="AG664" s="56">
        <f>VLOOKUP(B664,'Player Data'!$A1:$AE667,21,FALSE)*$Q664</f>
        <v>21.219496135527862</v>
      </c>
      <c r="AH664" s="58">
        <f>VLOOKUP(B664,'Player Data'!$A1:$AE667,22,FALSE)</f>
        <v>0.51173119325137295</v>
      </c>
      <c r="AI664" s="54"/>
      <c r="AJ664" s="64"/>
      <c r="AK664" s="56"/>
      <c r="AL664" s="56"/>
      <c r="AM664" s="56"/>
      <c r="AN664" s="56"/>
      <c r="AO664" s="56"/>
      <c r="AP664" s="56"/>
      <c r="AQ664" s="59"/>
      <c r="AR664" s="60"/>
      <c r="AS664" s="54"/>
    </row>
    <row r="665" spans="1:45" ht="21.25" customHeight="1" x14ac:dyDescent="0.15">
      <c r="A665" s="45">
        <f>RANK(K665,K$1:K$665)</f>
        <v>664</v>
      </c>
      <c r="B665" s="9" t="s">
        <v>790</v>
      </c>
      <c r="C665" s="46" t="s">
        <v>127</v>
      </c>
      <c r="D665" s="47" t="str">
        <f>VLOOKUP(B665,'Player Data'!A1:D667,4,FALSE)</f>
        <v>C</v>
      </c>
      <c r="E665" s="48">
        <f>VLOOKUP(B665,'C'!A1:C206,3,FALSE)</f>
        <v>204</v>
      </c>
      <c r="F665" s="71" t="str">
        <f>VLOOKUP(B665,'Player Data'!A1:B667,2,FALSE)</f>
        <v>NYR</v>
      </c>
      <c r="G665" s="69">
        <f>VLOOKUP(B665,'Player Data'!A1:D667,3,FALSE)</f>
        <v>22</v>
      </c>
      <c r="H665" s="67">
        <f>IFERROR(VLOOKUP(B665,ADP!A1:G665,7,FALSE)/1000000,VLOOKUP(B665,ADP!A1:G665,7,FALSE))</f>
        <v>0.82</v>
      </c>
      <c r="I665" s="51">
        <f>IF(Settings!$E$15="POINTS",((R665*Q665)*Settings!$B$12)+(S665*Settings!$B$2)+(T665*Settings!$B$3)+(U665*Settings!$B$4)+(V665*Settings!$B$5)+(X665*Settings!$B$9)+(AA665*Settings!$B$6)+(W665*Settings!$B$8)+(AB665*Settings!$B$7)+(AC665*Settings!$B$14)+(AD665*Settings!$B$15)+(AE665*Settings!$B$16)+(AF665*Settings!$B$17)+(AG665*Settings!$B$18)+(Y665*Settings!$B$10)+(Z665*Settings!$B$11),VLOOKUP(B665,'Standard Deviations'!A1:C666,3,FALSE))</f>
        <v>49.168334437497244</v>
      </c>
      <c r="J665" s="52">
        <f>IF(D665="G",I665/AJ665,I665/Q665)</f>
        <v>0.84149126198010005</v>
      </c>
      <c r="K665" s="51">
        <f>IF(Settings!$E$18="C/LW/RW",VLOOKUP(B665,'C'!A1:F206,6,FALSE),VLOOKUP(B665,F!A1:F392,6,FALSE))</f>
        <v>-340.76882334058382</v>
      </c>
      <c r="L665" s="53">
        <f>IFERROR(K665/H665,"N/A")</f>
        <v>-415.57173578119983</v>
      </c>
      <c r="M665" s="83" t="str">
        <f>IF(Settings!$E$9="YAHOO",VLOOKUP(B665,ADP!A1:E665,2,FALSE),IF(Settings!$E$9="ESPN",VLOOKUP(B665,ADP!A1:E665,3,FALSE),IF(Settings!$E$9="FANTRAX",VLOOKUP(B665,ADP!A1:E665,4,FALSE),VLOOKUP(B665,ADP!A1:E665,5,FALSE))))</f>
        <v>—</v>
      </c>
      <c r="N665" s="83" t="str">
        <f>IFERROR(M665-A665,"N/A")</f>
        <v>N/A</v>
      </c>
      <c r="O665" s="54"/>
      <c r="P665" s="55" t="str">
        <f>IF(Settings!$E$27="ON",VLOOKUP(B665,ADP!A1:H665,8,FALSE)," ")</f>
        <v xml:space="preserve"> </v>
      </c>
      <c r="Q665" s="56">
        <f>IF(Settings!$E$12="YES",VLOOKUP(B665,'Player Data'!A1:E667,5,FALSE),82)</f>
        <v>58.43</v>
      </c>
      <c r="R665" s="54">
        <f>VLOOKUP(B665,'Player Data'!$A1:$AE667,6,FALSE)</f>
        <v>5.6243566799052003</v>
      </c>
      <c r="S665" s="56">
        <f>VLOOKUP(B665,'Player Data'!$A1:$AE667,7,FALSE)*$Q665*IFERROR((VLOOKUP(P665,Settings!$E$28:$F$33,2,FALSE)+1),1)</f>
        <v>3.4519878639326427</v>
      </c>
      <c r="T665" s="56">
        <f>VLOOKUP(B665,'Player Data'!$A1:$AE667,8,FALSE)*$Q665*IFERROR((VLOOKUP(P665,Settings!$E$28:$F$33,2,FALSE)+1),1)</f>
        <v>4.271648964517782</v>
      </c>
      <c r="U665" s="56">
        <f>SUM(S665:T665)</f>
        <v>7.7236368284504247</v>
      </c>
      <c r="V665" s="56">
        <f>VLOOKUP(B665,'Player Data'!$A1:$AE667,10,FALSE)*$Q665*IFERROR(((VLOOKUP(P665,Settings!$E$28:$F$33,2,FALSE)/2)+1),1)</f>
        <v>36.947479890644345</v>
      </c>
      <c r="W665" s="56">
        <f>VLOOKUP(B665,'Player Data'!$A1:$AE667,11,FALSE)*$Q665*IFERROR((VLOOKUP(P665,Settings!$E$28:$F$33,2,FALSE)+1),1)</f>
        <v>4.6749301749750748E-2</v>
      </c>
      <c r="X665" s="56">
        <f>VLOOKUP(B665,'Player Data'!$A1:$AE667,12,FALSE)*$Q665*IFERROR((VLOOKUP(P665,Settings!$E$28:$F$33,2,FALSE)+1),1)</f>
        <v>0.10791527866080497</v>
      </c>
      <c r="Y665" s="56">
        <f>VLOOKUP(B665,'Player Data'!$A1:$AE667,13,FALSE)*$Q665</f>
        <v>6.7142503033212951E-4</v>
      </c>
      <c r="Z665" s="56">
        <f>VLOOKUP(B665,'Player Data'!$A1:$AE667,14,FALSE)*$Q665</f>
        <v>1.1354715894462371E-3</v>
      </c>
      <c r="AA665" s="56">
        <f>VLOOKUP(B665,'Player Data'!$A1:$AE667,15,FALSE)*$Q665</f>
        <v>14.829266513147109</v>
      </c>
      <c r="AB665" s="56">
        <f>VLOOKUP(B665,'Player Data'!$A1:$AE667,16,FALSE)*$Q665</f>
        <v>79.791334516008149</v>
      </c>
      <c r="AC665" s="56">
        <f>VLOOKUP(B665,'Player Data'!$A1:$AE667,17,FALSE)*$Q665*IFERROR((VLOOKUP(P665,Settings!$E$28:$F$33,2,FALSE)+1),1)</f>
        <v>2.4888686795613459</v>
      </c>
      <c r="AD665" s="56">
        <f>VLOOKUP(B665,'Player Data'!$A1:$AE667,18,FALSE)*$Q665</f>
        <v>25.098145788688189</v>
      </c>
      <c r="AE665" s="56">
        <f>VLOOKUP(B665,'Player Data'!$A1:$AE667,19,FALSE)*$Q665*IFERROR((VLOOKUP(P665,Settings!$E$28:$F$33,2,FALSE)+1),1)</f>
        <v>0.56425608113635062</v>
      </c>
      <c r="AF665" s="56">
        <f>VLOOKUP(B665,'Player Data'!$A1:$AE667,20,FALSE)*$Q665</f>
        <v>13.745944193531745</v>
      </c>
      <c r="AG665" s="56">
        <f>VLOOKUP(B665,'Player Data'!$A1:$AE667,21,FALSE)*$Q665</f>
        <v>13.745944193531804</v>
      </c>
      <c r="AH665" s="58">
        <f>VLOOKUP(B665,'Player Data'!$A1:$AE667,22,FALSE)</f>
        <v>0.5</v>
      </c>
      <c r="AI665" s="54"/>
      <c r="AJ665" s="64"/>
      <c r="AK665" s="56"/>
      <c r="AL665" s="56"/>
      <c r="AM665" s="56"/>
      <c r="AN665" s="56"/>
      <c r="AO665" s="56"/>
      <c r="AP665" s="56"/>
      <c r="AQ665" s="59"/>
      <c r="AR665" s="60"/>
      <c r="AS665" s="64"/>
    </row>
  </sheetData>
  <autoFilter ref="A1:AR665" xr:uid="{00000000-0001-0000-0100-000000000000}">
    <filterColumn colId="3" showButton="0"/>
    <sortState xmlns:xlrd2="http://schemas.microsoft.com/office/spreadsheetml/2017/richdata2" ref="A2:AR665">
      <sortCondition descending="1" ref="K1:K665"/>
    </sortState>
  </autoFilter>
  <mergeCells count="1">
    <mergeCell ref="D1:E1"/>
  </mergeCells>
  <conditionalFormatting sqref="D2:E665">
    <cfRule type="containsText" dxfId="52" priority="1" stopIfTrue="1" operator="containsText" text="/">
      <formula>NOT(ISERROR(FIND(UPPER("/"),UPPER(D2))))</formula>
      <formula>"/"</formula>
    </cfRule>
    <cfRule type="containsText" dxfId="51" priority="2" stopIfTrue="1" operator="containsText" text="C">
      <formula>NOT(ISERROR(FIND(UPPER("C"),UPPER(D2))))</formula>
      <formula>"C"</formula>
    </cfRule>
    <cfRule type="containsText" dxfId="50" priority="3" stopIfTrue="1" operator="containsText" text="D">
      <formula>NOT(ISERROR(FIND(UPPER("D"),UPPER(D2))))</formula>
      <formula>"D"</formula>
    </cfRule>
    <cfRule type="containsText" dxfId="49" priority="4" stopIfTrue="1" operator="containsText" text="LW">
      <formula>NOT(ISERROR(FIND(UPPER("LW"),UPPER(D2))))</formula>
      <formula>"LW"</formula>
    </cfRule>
    <cfRule type="containsText" dxfId="48" priority="5" stopIfTrue="1" operator="containsText" text="RW">
      <formula>NOT(ISERROR(FIND(UPPER("RW"),UPPER(D2))))</formula>
      <formula>"RW"</formula>
    </cfRule>
    <cfRule type="containsText" dxfId="47" priority="6" stopIfTrue="1" operator="containsText" text="G">
      <formula>NOT(ISERROR(FIND(UPPER("G"),UPPER(D2))))</formula>
      <formula>"G"</formula>
    </cfRule>
  </conditionalFormatting>
  <conditionalFormatting sqref="N2:N665">
    <cfRule type="cellIs" dxfId="46" priority="7" stopIfTrue="1" operator="between">
      <formula>10</formula>
      <formula>23</formula>
    </cfRule>
    <cfRule type="cellIs" dxfId="45" priority="7" stopIfTrue="1" operator="between">
      <formula>-10</formula>
      <formula>-23</formula>
    </cfRule>
    <cfRule type="cellIs" dxfId="44" priority="7" stopIfTrue="1" operator="greaterThanOrEqual">
      <formula>24</formula>
    </cfRule>
    <cfRule type="cellIs" dxfId="43" priority="7" stopIfTrue="1" operator="lessThanOrEqual">
      <formula>-23</formula>
    </cfRule>
    <cfRule type="cellIs" dxfId="42" priority="7" stopIfTrue="1" operator="between">
      <formula>-9</formula>
      <formula>9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464"/>
  <sheetViews>
    <sheetView showGridLines="0" workbookViewId="0">
      <pane ySplit="1" topLeftCell="A2" activePane="bottomLeft" state="frozen"/>
      <selection pane="bottomLeft" activeCell="F20" sqref="F20"/>
    </sheetView>
  </sheetViews>
  <sheetFormatPr baseColWidth="10" defaultColWidth="8" defaultRowHeight="16.25" customHeight="1" x14ac:dyDescent="0.15"/>
  <cols>
    <col min="1" max="1" width="28.33203125" style="1" customWidth="1"/>
    <col min="2" max="2" width="7.1640625" style="1" customWidth="1"/>
    <col min="3" max="3" width="6" style="1" customWidth="1"/>
    <col min="4" max="7" width="8.33203125" style="1" customWidth="1"/>
    <col min="8" max="8" width="3.5" style="1" customWidth="1"/>
    <col min="9" max="29" width="7.1640625" style="1" customWidth="1"/>
    <col min="30" max="30" width="18.83203125" style="1" customWidth="1"/>
    <col min="31" max="32" width="11.83203125" style="1" customWidth="1"/>
    <col min="33" max="33" width="8" style="1" customWidth="1"/>
    <col min="34" max="16384" width="8" style="1"/>
  </cols>
  <sheetData>
    <row r="1" spans="1:32" ht="21.25" customHeight="1" x14ac:dyDescent="0.15">
      <c r="A1" s="38" t="s">
        <v>791</v>
      </c>
      <c r="B1" s="204" t="s">
        <v>91</v>
      </c>
      <c r="C1" s="200"/>
      <c r="D1" s="39" t="s">
        <v>92</v>
      </c>
      <c r="E1" s="39" t="s">
        <v>93</v>
      </c>
      <c r="F1" s="41" t="s">
        <v>95</v>
      </c>
      <c r="G1" s="41" t="s">
        <v>97</v>
      </c>
      <c r="H1" s="42"/>
      <c r="I1" s="44" t="s">
        <v>102</v>
      </c>
      <c r="J1" s="44" t="s">
        <v>55</v>
      </c>
      <c r="K1" s="44" t="s">
        <v>103</v>
      </c>
      <c r="L1" s="44" t="s">
        <v>104</v>
      </c>
      <c r="M1" s="44" t="s">
        <v>105</v>
      </c>
      <c r="N1" s="44" t="s">
        <v>106</v>
      </c>
      <c r="O1" s="44" t="s">
        <v>107</v>
      </c>
      <c r="P1" s="44" t="s">
        <v>63</v>
      </c>
      <c r="Q1" s="44" t="s">
        <v>108</v>
      </c>
      <c r="R1" s="44" t="s">
        <v>109</v>
      </c>
      <c r="S1" s="44" t="s">
        <v>110</v>
      </c>
      <c r="T1" s="44" t="s">
        <v>111</v>
      </c>
      <c r="U1" s="44" t="s">
        <v>112</v>
      </c>
      <c r="V1" s="44" t="s">
        <v>113</v>
      </c>
      <c r="W1" s="44" t="s">
        <v>114</v>
      </c>
      <c r="X1" s="44" t="s">
        <v>115</v>
      </c>
      <c r="Y1" s="44" t="s">
        <v>116</v>
      </c>
      <c r="Z1" s="44" t="s">
        <v>117</v>
      </c>
      <c r="AA1" s="86"/>
      <c r="AB1" s="87"/>
      <c r="AC1" s="87"/>
      <c r="AD1" s="38" t="s">
        <v>792</v>
      </c>
      <c r="AE1" s="41" t="s">
        <v>95</v>
      </c>
      <c r="AF1" s="41" t="s">
        <v>97</v>
      </c>
    </row>
    <row r="2" spans="1:32" ht="21.25" customHeight="1" x14ac:dyDescent="0.15">
      <c r="A2" s="9" t="s">
        <v>126</v>
      </c>
      <c r="B2" s="88" t="str">
        <f>IFERROR(VLOOKUP($A2,'The List'!$B1:$AS665,3,FALSE)," ")</f>
        <v>C</v>
      </c>
      <c r="C2" s="89">
        <f>IFERROR(VLOOKUP($A2,'The List'!$B1:$AS665,4,FALSE)," ")</f>
        <v>1</v>
      </c>
      <c r="D2" s="65" t="str">
        <f>IFERROR(VLOOKUP($A2,'The List'!$B1:$AS665,5,FALSE)," ")</f>
        <v>EDM</v>
      </c>
      <c r="E2" s="90">
        <f>IFERROR(VLOOKUP($A2,'The List'!$B1:$AS665,6,FALSE)," ")</f>
        <v>27</v>
      </c>
      <c r="F2" s="51">
        <f>IFERROR(VLOOKUP($A2,'The List'!$B1:$AS665,8,FALSE)," ")</f>
        <v>644.15091122653416</v>
      </c>
      <c r="G2" s="51">
        <f>IFERROR(VLOOKUP($A2,'The List'!$B1:$AS665,10,FALSE)," ")</f>
        <v>254.21375344845308</v>
      </c>
      <c r="H2" s="54"/>
      <c r="I2" s="56">
        <f>IFERROR(VLOOKUP($A2,'The List'!$B1:$AS665,16,FALSE)," ")</f>
        <v>80.765000000000001</v>
      </c>
      <c r="J2" s="56">
        <f>IFERROR(VLOOKUP($A2,'The List'!$B1:$AS665,17,FALSE)," ")</f>
        <v>21.612988329775799</v>
      </c>
      <c r="K2" s="56">
        <f>IFERROR(VLOOKUP($A2,'The List'!$B1:$AS665,18,FALSE)," ")</f>
        <v>45.690680000980834</v>
      </c>
      <c r="L2" s="56">
        <f>IFERROR(VLOOKUP($A2,'The List'!$B1:$AS665,19,FALSE)," ")</f>
        <v>93.792689875144617</v>
      </c>
      <c r="M2" s="56">
        <f>IFERROR(VLOOKUP($A2,'The List'!$B1:$AS665,20,FALSE)," ")</f>
        <v>139.48336987612544</v>
      </c>
      <c r="N2" s="56">
        <f>IFERROR(VLOOKUP($A2,'The List'!$B1:$AS665,21,FALSE)," ")</f>
        <v>304.17998739246207</v>
      </c>
      <c r="O2" s="56">
        <f>IFERROR(VLOOKUP($A2,'The List'!$B1:$AS665,22,FALSE)," ")</f>
        <v>11.81571394256232</v>
      </c>
      <c r="P2" s="56">
        <f>IFERROR(VLOOKUP($A2,'The List'!$B1:$AS665,23,FALSE)," ")</f>
        <v>51.852832885600868</v>
      </c>
      <c r="Q2" s="56">
        <f>IFERROR(VLOOKUP($A2,'The List'!$B1:$AS665,24,FALSE)," ")</f>
        <v>0.89520677208586374</v>
      </c>
      <c r="R2" s="56">
        <f>IFERROR(VLOOKUP($A2,'The List'!$B1:$AS665,25,FALSE)," ")</f>
        <v>1.5823011406873815</v>
      </c>
      <c r="S2" s="56">
        <f>IFERROR(VLOOKUP($A2,'The List'!$B1:$AS665,26,FALSE)," ")</f>
        <v>40.35134775127716</v>
      </c>
      <c r="T2" s="56">
        <f>IFERROR(VLOOKUP($A2,'The List'!$B1:$AS665,27,FALSE)," ")</f>
        <v>107.66945783690882</v>
      </c>
      <c r="U2" s="56">
        <f>IFERROR(VLOOKUP($A2,'The List'!$B1:$AS665,28,FALSE)," ")</f>
        <v>13.534564702727993</v>
      </c>
      <c r="V2" s="56">
        <f>IFERROR(VLOOKUP($A2,'The List'!$B1:$AS665,29,FALSE)," ")</f>
        <v>35.556195379152918</v>
      </c>
      <c r="W2" s="56">
        <f>IFERROR(VLOOKUP($A2,'The List'!$B1:$AS665,30,FALSE)," ")</f>
        <v>7.3779097499100423</v>
      </c>
      <c r="X2" s="56">
        <f>IFERROR(VLOOKUP($A2,'The List'!$B1:$AS665,31,FALSE)," ")</f>
        <v>494.76560435468753</v>
      </c>
      <c r="Y2" s="56">
        <f>IFERROR(VLOOKUP($A2,'The List'!$B1:$AS665,32,FALSE)," ")</f>
        <v>456.39164969730285</v>
      </c>
      <c r="Z2" s="58">
        <f>IFERROR(VLOOKUP($A2,'The List'!$B1:$AS665,33,FALSE)," ")</f>
        <v>0.52017224517497496</v>
      </c>
      <c r="AA2" s="86"/>
      <c r="AB2" s="91"/>
      <c r="AC2" s="91"/>
      <c r="AD2" s="9" t="s">
        <v>791</v>
      </c>
      <c r="AE2" s="51">
        <f>VLOOKUP(AD2,T1:Y464,2,FALSE)</f>
        <v>2712.5107188099983</v>
      </c>
      <c r="AF2" s="51">
        <f>VLOOKUP(AD2,T1:AA464,5,FALSE)</f>
        <v>825.77045780810943</v>
      </c>
    </row>
    <row r="3" spans="1:32" ht="21.25" customHeight="1" x14ac:dyDescent="0.15">
      <c r="A3" s="23"/>
      <c r="B3" s="88" t="str">
        <f>IFERROR(VLOOKUP($A3,'The List'!$B1:$AS665,3,FALSE)," ")</f>
        <v xml:space="preserve"> </v>
      </c>
      <c r="C3" s="92" t="str">
        <f>IFERROR(VLOOKUP($A3,'The List'!$B1:$AS665,4,FALSE)," ")</f>
        <v xml:space="preserve"> </v>
      </c>
      <c r="D3" s="65" t="str">
        <f>IFERROR(VLOOKUP($A3,'The List'!$B1:$AS665,5,FALSE)," ")</f>
        <v xml:space="preserve"> </v>
      </c>
      <c r="E3" s="65" t="str">
        <f>IFERROR(VLOOKUP($A3,'The List'!$B1:$AS665,6,FALSE)," ")</f>
        <v xml:space="preserve"> </v>
      </c>
      <c r="F3" s="93" t="str">
        <f>IFERROR(VLOOKUP($A3,'The List'!$B1:$AS665,8,FALSE)," ")</f>
        <v xml:space="preserve"> </v>
      </c>
      <c r="G3" s="93" t="str">
        <f>IFERROR(VLOOKUP($A3,'The List'!$B1:$AS665,10,FALSE)," ")</f>
        <v xml:space="preserve"> </v>
      </c>
      <c r="H3" s="54"/>
      <c r="I3" s="83" t="str">
        <f>IFERROR(VLOOKUP($A3,'The List'!$B1:$AS665,16,FALSE)," ")</f>
        <v xml:space="preserve"> </v>
      </c>
      <c r="J3" s="83" t="str">
        <f>IFERROR(VLOOKUP($A3,'The List'!$B1:$AS665,17,FALSE)," ")</f>
        <v xml:space="preserve"> </v>
      </c>
      <c r="K3" s="83" t="str">
        <f>IFERROR(VLOOKUP($A3,'The List'!$B1:$AS665,18,FALSE)," ")</f>
        <v xml:space="preserve"> </v>
      </c>
      <c r="L3" s="83" t="str">
        <f>IFERROR(VLOOKUP($A3,'The List'!$B1:$AS665,19,FALSE)," ")</f>
        <v xml:space="preserve"> </v>
      </c>
      <c r="M3" s="83" t="str">
        <f>IFERROR(VLOOKUP($A3,'The List'!$B1:$AS665,20,FALSE)," ")</f>
        <v xml:space="preserve"> </v>
      </c>
      <c r="N3" s="83" t="str">
        <f>IFERROR(VLOOKUP($A3,'The List'!$B1:$AS665,21,FALSE)," ")</f>
        <v xml:space="preserve"> </v>
      </c>
      <c r="O3" s="83" t="str">
        <f>IFERROR(VLOOKUP($A3,'The List'!$B1:$AS665,22,FALSE)," ")</f>
        <v xml:space="preserve"> </v>
      </c>
      <c r="P3" s="83" t="str">
        <f>IFERROR(VLOOKUP($A3,'The List'!$B1:$AS665,23,FALSE)," ")</f>
        <v xml:space="preserve"> </v>
      </c>
      <c r="Q3" s="83" t="str">
        <f>IFERROR(VLOOKUP($A3,'The List'!$B1:$AS665,24,FALSE)," ")</f>
        <v xml:space="preserve"> </v>
      </c>
      <c r="R3" s="83" t="str">
        <f>IFERROR(VLOOKUP($A3,'The List'!$B1:$AS665,25,FALSE)," ")</f>
        <v xml:space="preserve"> </v>
      </c>
      <c r="S3" s="83" t="str">
        <f>IFERROR(VLOOKUP($A3,'The List'!$B1:$AS665,26,FALSE)," ")</f>
        <v xml:space="preserve"> </v>
      </c>
      <c r="T3" s="83" t="str">
        <f>IFERROR(VLOOKUP($A3,'The List'!$B1:$AS665,27,FALSE)," ")</f>
        <v xml:space="preserve"> </v>
      </c>
      <c r="U3" s="83" t="str">
        <f>IFERROR(VLOOKUP($A3,'The List'!$B1:$AS665,28,FALSE)," ")</f>
        <v xml:space="preserve"> </v>
      </c>
      <c r="V3" s="83" t="str">
        <f>IFERROR(VLOOKUP($A3,'The List'!$B1:$AS665,29,FALSE)," ")</f>
        <v xml:space="preserve"> </v>
      </c>
      <c r="W3" s="83" t="str">
        <f>IFERROR(VLOOKUP($A3,'The List'!$B1:$AS665,30,FALSE)," ")</f>
        <v xml:space="preserve"> </v>
      </c>
      <c r="X3" s="83" t="str">
        <f>IFERROR(VLOOKUP($A3,'The List'!$B1:$AS665,31,FALSE)," ")</f>
        <v xml:space="preserve"> </v>
      </c>
      <c r="Y3" s="83" t="str">
        <f>IFERROR(VLOOKUP($A3,'The List'!$B1:$AS665,32,FALSE)," ")</f>
        <v xml:space="preserve"> </v>
      </c>
      <c r="Z3" s="83" t="str">
        <f>IFERROR(VLOOKUP($A3,'The List'!$B1:$AS665,33,FALSE)," ")</f>
        <v xml:space="preserve"> </v>
      </c>
      <c r="AA3" s="86"/>
      <c r="AB3" s="91"/>
      <c r="AC3" s="91"/>
      <c r="AD3" s="9" t="s">
        <v>794</v>
      </c>
      <c r="AE3" s="51">
        <f>VLOOKUP(AD3,T1:Y464,2,FALSE)</f>
        <v>0</v>
      </c>
      <c r="AF3" s="51">
        <f>VLOOKUP(AD3,T1:AA464,5,FALSE)</f>
        <v>0</v>
      </c>
    </row>
    <row r="4" spans="1:32" ht="21.25" customHeight="1" x14ac:dyDescent="0.15">
      <c r="A4" s="23"/>
      <c r="B4" s="88" t="str">
        <f>IFERROR(VLOOKUP($A4,'The List'!$B1:$AS665,3,FALSE)," ")</f>
        <v xml:space="preserve"> </v>
      </c>
      <c r="C4" s="92" t="str">
        <f>IFERROR(VLOOKUP($A4,'The List'!$B1:$AS665,4,FALSE)," ")</f>
        <v xml:space="preserve"> </v>
      </c>
      <c r="D4" s="65" t="str">
        <f>IFERROR(VLOOKUP($A4,'The List'!$B1:$AS665,5,FALSE)," ")</f>
        <v xml:space="preserve"> </v>
      </c>
      <c r="E4" s="65" t="str">
        <f>IFERROR(VLOOKUP($A4,'The List'!$B1:$AS665,6,FALSE)," ")</f>
        <v xml:space="preserve"> </v>
      </c>
      <c r="F4" s="93" t="str">
        <f>IFERROR(VLOOKUP($A4,'The List'!$B1:$AS665,8,FALSE)," ")</f>
        <v xml:space="preserve"> </v>
      </c>
      <c r="G4" s="93" t="str">
        <f>IFERROR(VLOOKUP($A4,'The List'!$B1:$AS665,10,FALSE)," ")</f>
        <v xml:space="preserve"> </v>
      </c>
      <c r="H4" s="54"/>
      <c r="I4" s="83" t="str">
        <f>IFERROR(VLOOKUP($A4,'The List'!$B1:$AS665,16,FALSE)," ")</f>
        <v xml:space="preserve"> </v>
      </c>
      <c r="J4" s="83" t="str">
        <f>IFERROR(VLOOKUP($A4,'The List'!$B1:$AS665,17,FALSE)," ")</f>
        <v xml:space="preserve"> </v>
      </c>
      <c r="K4" s="83" t="str">
        <f>IFERROR(VLOOKUP($A4,'The List'!$B1:$AS665,18,FALSE)," ")</f>
        <v xml:space="preserve"> </v>
      </c>
      <c r="L4" s="83" t="str">
        <f>IFERROR(VLOOKUP($A4,'The List'!$B1:$AS665,19,FALSE)," ")</f>
        <v xml:space="preserve"> </v>
      </c>
      <c r="M4" s="83" t="str">
        <f>IFERROR(VLOOKUP($A4,'The List'!$B1:$AS665,20,FALSE)," ")</f>
        <v xml:space="preserve"> </v>
      </c>
      <c r="N4" s="83" t="str">
        <f>IFERROR(VLOOKUP($A4,'The List'!$B1:$AS665,21,FALSE)," ")</f>
        <v xml:space="preserve"> </v>
      </c>
      <c r="O4" s="83" t="str">
        <f>IFERROR(VLOOKUP($A4,'The List'!$B1:$AS665,22,FALSE)," ")</f>
        <v xml:space="preserve"> </v>
      </c>
      <c r="P4" s="83" t="str">
        <f>IFERROR(VLOOKUP($A4,'The List'!$B1:$AS665,23,FALSE)," ")</f>
        <v xml:space="preserve"> </v>
      </c>
      <c r="Q4" s="83" t="str">
        <f>IFERROR(VLOOKUP($A4,'The List'!$B1:$AS665,24,FALSE)," ")</f>
        <v xml:space="preserve"> </v>
      </c>
      <c r="R4" s="83" t="str">
        <f>IFERROR(VLOOKUP($A4,'The List'!$B1:$AS665,25,FALSE)," ")</f>
        <v xml:space="preserve"> </v>
      </c>
      <c r="S4" s="83" t="str">
        <f>IFERROR(VLOOKUP($A4,'The List'!$B1:$AS665,26,FALSE)," ")</f>
        <v xml:space="preserve"> </v>
      </c>
      <c r="T4" s="83" t="str">
        <f>IFERROR(VLOOKUP($A4,'The List'!$B1:$AS665,27,FALSE)," ")</f>
        <v xml:space="preserve"> </v>
      </c>
      <c r="U4" s="83" t="str">
        <f>IFERROR(VLOOKUP($A4,'The List'!$B1:$AS665,28,FALSE)," ")</f>
        <v xml:space="preserve"> </v>
      </c>
      <c r="V4" s="83" t="str">
        <f>IFERROR(VLOOKUP($A4,'The List'!$B1:$AS665,29,FALSE)," ")</f>
        <v xml:space="preserve"> </v>
      </c>
      <c r="W4" s="83" t="str">
        <f>IFERROR(VLOOKUP($A4,'The List'!$B1:$AS665,30,FALSE)," ")</f>
        <v xml:space="preserve"> </v>
      </c>
      <c r="X4" s="83" t="str">
        <f>IFERROR(VLOOKUP($A4,'The List'!$B1:$AS665,31,FALSE)," ")</f>
        <v xml:space="preserve"> </v>
      </c>
      <c r="Y4" s="83" t="str">
        <f>IFERROR(VLOOKUP($A4,'The List'!$B1:$AS665,32,FALSE)," ")</f>
        <v xml:space="preserve"> </v>
      </c>
      <c r="Z4" s="83" t="str">
        <f>IFERROR(VLOOKUP($A4,'The List'!$B1:$AS665,33,FALSE)," ")</f>
        <v xml:space="preserve"> </v>
      </c>
      <c r="AA4" s="86"/>
      <c r="AB4" s="91"/>
      <c r="AC4" s="91"/>
      <c r="AD4" s="9" t="s">
        <v>795</v>
      </c>
      <c r="AE4" s="51">
        <f>VLOOKUP(AD4,T1:Y464,2,FALSE)</f>
        <v>0</v>
      </c>
      <c r="AF4" s="51">
        <f>VLOOKUP(AD4,T1:AA464,5,FALSE)</f>
        <v>0</v>
      </c>
    </row>
    <row r="5" spans="1:32" ht="21.25" customHeight="1" x14ac:dyDescent="0.15">
      <c r="A5" s="23"/>
      <c r="B5" s="88" t="str">
        <f>IFERROR(VLOOKUP($A5,'The List'!$B1:$AS665,3,FALSE)," ")</f>
        <v xml:space="preserve"> </v>
      </c>
      <c r="C5" s="92" t="str">
        <f>IFERROR(VLOOKUP($A5,'The List'!$B1:$AS665,4,FALSE)," ")</f>
        <v xml:space="preserve"> </v>
      </c>
      <c r="D5" s="65" t="str">
        <f>IFERROR(VLOOKUP($A5,'The List'!$B1:$AS665,5,FALSE)," ")</f>
        <v xml:space="preserve"> </v>
      </c>
      <c r="E5" s="65" t="str">
        <f>IFERROR(VLOOKUP($A5,'The List'!$B1:$AS665,6,FALSE)," ")</f>
        <v xml:space="preserve"> </v>
      </c>
      <c r="F5" s="93" t="str">
        <f>IFERROR(VLOOKUP($A5,'The List'!$B1:$AS665,8,FALSE)," ")</f>
        <v xml:space="preserve"> </v>
      </c>
      <c r="G5" s="93" t="str">
        <f>IFERROR(VLOOKUP($A5,'The List'!$B1:$AS665,10,FALSE)," ")</f>
        <v xml:space="preserve"> </v>
      </c>
      <c r="H5" s="54"/>
      <c r="I5" s="83" t="str">
        <f>IFERROR(VLOOKUP($A5,'The List'!$B1:$AS665,16,FALSE)," ")</f>
        <v xml:space="preserve"> </v>
      </c>
      <c r="J5" s="83" t="str">
        <f>IFERROR(VLOOKUP($A5,'The List'!$B1:$AS665,17,FALSE)," ")</f>
        <v xml:space="preserve"> </v>
      </c>
      <c r="K5" s="83" t="str">
        <f>IFERROR(VLOOKUP($A5,'The List'!$B1:$AS665,18,FALSE)," ")</f>
        <v xml:space="preserve"> </v>
      </c>
      <c r="L5" s="83" t="str">
        <f>IFERROR(VLOOKUP($A5,'The List'!$B1:$AS665,19,FALSE)," ")</f>
        <v xml:space="preserve"> </v>
      </c>
      <c r="M5" s="83" t="str">
        <f>IFERROR(VLOOKUP($A5,'The List'!$B1:$AS665,20,FALSE)," ")</f>
        <v xml:space="preserve"> </v>
      </c>
      <c r="N5" s="83" t="str">
        <f>IFERROR(VLOOKUP($A5,'The List'!$B1:$AS665,21,FALSE)," ")</f>
        <v xml:space="preserve"> </v>
      </c>
      <c r="O5" s="83" t="str">
        <f>IFERROR(VLOOKUP($A5,'The List'!$B1:$AS665,22,FALSE)," ")</f>
        <v xml:space="preserve"> </v>
      </c>
      <c r="P5" s="83" t="str">
        <f>IFERROR(VLOOKUP($A5,'The List'!$B1:$AS665,23,FALSE)," ")</f>
        <v xml:space="preserve"> </v>
      </c>
      <c r="Q5" s="83" t="str">
        <f>IFERROR(VLOOKUP($A5,'The List'!$B1:$AS665,24,FALSE)," ")</f>
        <v xml:space="preserve"> </v>
      </c>
      <c r="R5" s="83" t="str">
        <f>IFERROR(VLOOKUP($A5,'The List'!$B1:$AS665,25,FALSE)," ")</f>
        <v xml:space="preserve"> </v>
      </c>
      <c r="S5" s="83" t="str">
        <f>IFERROR(VLOOKUP($A5,'The List'!$B1:$AS665,26,FALSE)," ")</f>
        <v xml:space="preserve"> </v>
      </c>
      <c r="T5" s="83" t="str">
        <f>IFERROR(VLOOKUP($A5,'The List'!$B1:$AS665,27,FALSE)," ")</f>
        <v xml:space="preserve"> </v>
      </c>
      <c r="U5" s="83" t="str">
        <f>IFERROR(VLOOKUP($A5,'The List'!$B1:$AS665,28,FALSE)," ")</f>
        <v xml:space="preserve"> </v>
      </c>
      <c r="V5" s="83" t="str">
        <f>IFERROR(VLOOKUP($A5,'The List'!$B1:$AS665,29,FALSE)," ")</f>
        <v xml:space="preserve"> </v>
      </c>
      <c r="W5" s="83" t="str">
        <f>IFERROR(VLOOKUP($A5,'The List'!$B1:$AS665,30,FALSE)," ")</f>
        <v xml:space="preserve"> </v>
      </c>
      <c r="X5" s="83" t="str">
        <f>IFERROR(VLOOKUP($A5,'The List'!$B1:$AS665,31,FALSE)," ")</f>
        <v xml:space="preserve"> </v>
      </c>
      <c r="Y5" s="83" t="str">
        <f>IFERROR(VLOOKUP($A5,'The List'!$B1:$AS665,32,FALSE)," ")</f>
        <v xml:space="preserve"> </v>
      </c>
      <c r="Z5" s="83" t="str">
        <f>IFERROR(VLOOKUP($A5,'The List'!$B1:$AS665,33,FALSE)," ")</f>
        <v xml:space="preserve"> </v>
      </c>
      <c r="AA5" s="86"/>
      <c r="AB5" s="91"/>
      <c r="AC5" s="91"/>
      <c r="AD5" s="9" t="s">
        <v>796</v>
      </c>
      <c r="AE5" s="51">
        <f>VLOOKUP(AD5,T1:Y464,2,FALSE)</f>
        <v>0</v>
      </c>
      <c r="AF5" s="51">
        <f>VLOOKUP(AD5,T1:AA464,5,FALSE)</f>
        <v>0</v>
      </c>
    </row>
    <row r="6" spans="1:32" ht="21.25" customHeight="1" x14ac:dyDescent="0.15">
      <c r="A6" s="9" t="s">
        <v>134</v>
      </c>
      <c r="B6" s="94" t="str">
        <f>IFERROR(VLOOKUP($A6,'The List'!$B1:$AS665,3,FALSE)," ")</f>
        <v>C/LW</v>
      </c>
      <c r="C6" s="95">
        <f>IFERROR(VLOOKUP($A6,'The List'!$B1:$AS665,4,FALSE)," ")</f>
        <v>1</v>
      </c>
      <c r="D6" s="65" t="str">
        <f>IFERROR(VLOOKUP($A6,'The List'!$B1:$AS665,5,FALSE)," ")</f>
        <v>EDM</v>
      </c>
      <c r="E6" s="90">
        <f>IFERROR(VLOOKUP($A6,'The List'!$B1:$AS665,6,FALSE)," ")</f>
        <v>28</v>
      </c>
      <c r="F6" s="51">
        <f>IFERROR(VLOOKUP($A6,'The List'!$B1:$AS665,8,FALSE)," ")</f>
        <v>522.89410971384734</v>
      </c>
      <c r="G6" s="51">
        <f>IFERROR(VLOOKUP($A6,'The List'!$B1:$AS665,10,FALSE)," ")</f>
        <v>141.83259741134759</v>
      </c>
      <c r="H6" s="54"/>
      <c r="I6" s="56">
        <f>IFERROR(VLOOKUP($A6,'The List'!$B1:$AS665,16,FALSE)," ")</f>
        <v>81.377499999999998</v>
      </c>
      <c r="J6" s="56">
        <f>IFERROR(VLOOKUP($A6,'The List'!$B1:$AS665,17,FALSE)," ")</f>
        <v>20.835084255972902</v>
      </c>
      <c r="K6" s="56">
        <f>IFERROR(VLOOKUP($A6,'The List'!$B1:$AS665,18,FALSE)," ")</f>
        <v>46.930811938167558</v>
      </c>
      <c r="L6" s="56">
        <f>IFERROR(VLOOKUP($A6,'The List'!$B1:$AS665,19,FALSE)," ")</f>
        <v>66.825601065693746</v>
      </c>
      <c r="M6" s="56">
        <f>IFERROR(VLOOKUP($A6,'The List'!$B1:$AS665,20,FALSE)," ")</f>
        <v>113.7564130038613</v>
      </c>
      <c r="N6" s="56">
        <f>IFERROR(VLOOKUP($A6,'The List'!$B1:$AS665,21,FALSE)," ")</f>
        <v>240.12238442577524</v>
      </c>
      <c r="O6" s="56">
        <f>IFERROR(VLOOKUP($A6,'The List'!$B1:$AS665,22,FALSE)," ")</f>
        <v>23.705695264940157</v>
      </c>
      <c r="P6" s="56">
        <f>IFERROR(VLOOKUP($A6,'The List'!$B1:$AS665,23,FALSE)," ")</f>
        <v>45.252565841029686</v>
      </c>
      <c r="Q6" s="56">
        <f>IFERROR(VLOOKUP($A6,'The List'!$B1:$AS665,24,FALSE)," ")</f>
        <v>0.34998682668274012</v>
      </c>
      <c r="R6" s="56">
        <f>IFERROR(VLOOKUP($A6,'The List'!$B1:$AS665,25,FALSE)," ")</f>
        <v>0.88370730499505379</v>
      </c>
      <c r="S6" s="56">
        <f>IFERROR(VLOOKUP($A6,'The List'!$B1:$AS665,26,FALSE)," ")</f>
        <v>30.854810686702102</v>
      </c>
      <c r="T6" s="56">
        <f>IFERROR(VLOOKUP($A6,'The List'!$B1:$AS665,27,FALSE)," ")</f>
        <v>59.508651996771874</v>
      </c>
      <c r="U6" s="56">
        <f>IFERROR(VLOOKUP($A6,'The List'!$B1:$AS665,28,FALSE)," ")</f>
        <v>9.774902592397595</v>
      </c>
      <c r="V6" s="56">
        <f>IFERROR(VLOOKUP($A6,'The List'!$B1:$AS665,29,FALSE)," ")</f>
        <v>41.980130655185469</v>
      </c>
      <c r="W6" s="56">
        <f>IFERROR(VLOOKUP($A6,'The List'!$B1:$AS665,30,FALSE)," ")</f>
        <v>7.5781602498007912</v>
      </c>
      <c r="X6" s="56">
        <f>IFERROR(VLOOKUP($A6,'The List'!$B1:$AS665,31,FALSE)," ")</f>
        <v>818.4111816167707</v>
      </c>
      <c r="Y6" s="56">
        <f>IFERROR(VLOOKUP($A6,'The List'!$B1:$AS665,32,FALSE)," ")</f>
        <v>660.57658894521137</v>
      </c>
      <c r="Z6" s="58">
        <f>IFERROR(VLOOKUP($A6,'The List'!$B1:$AS665,33,FALSE)," ")</f>
        <v>0.55335899180950698</v>
      </c>
      <c r="AA6" s="86"/>
      <c r="AB6" s="91"/>
      <c r="AC6" s="91"/>
      <c r="AD6" s="9" t="s">
        <v>797</v>
      </c>
      <c r="AE6" s="51">
        <f>VLOOKUP(AD6,T1:Y464,2,FALSE)</f>
        <v>0</v>
      </c>
      <c r="AF6" s="51">
        <f>VLOOKUP(AD6,T1:AA464,5,FALSE)</f>
        <v>0</v>
      </c>
    </row>
    <row r="7" spans="1:32" ht="21.25" customHeight="1" x14ac:dyDescent="0.15">
      <c r="A7" s="23"/>
      <c r="B7" s="94" t="str">
        <f>IFERROR(VLOOKUP($A7,'The List'!$B1:$AS665,3,FALSE)," ")</f>
        <v xml:space="preserve"> </v>
      </c>
      <c r="C7" s="96" t="str">
        <f>IFERROR(VLOOKUP($A7,'The List'!$B1:$AS665,4,FALSE)," ")</f>
        <v xml:space="preserve"> </v>
      </c>
      <c r="D7" s="65" t="str">
        <f>IFERROR(VLOOKUP($A7,'The List'!$B1:$AS665,5,FALSE)," ")</f>
        <v xml:space="preserve"> </v>
      </c>
      <c r="E7" s="65" t="str">
        <f>IFERROR(VLOOKUP($A7,'The List'!$B1:$AS665,6,FALSE)," ")</f>
        <v xml:space="preserve"> </v>
      </c>
      <c r="F7" s="93" t="str">
        <f>IFERROR(VLOOKUP($A7,'The List'!$B1:$AS665,8,FALSE)," ")</f>
        <v xml:space="preserve"> </v>
      </c>
      <c r="G7" s="93" t="str">
        <f>IFERROR(VLOOKUP($A7,'The List'!$B1:$AS665,10,FALSE)," ")</f>
        <v xml:space="preserve"> </v>
      </c>
      <c r="H7" s="54"/>
      <c r="I7" s="83" t="str">
        <f>IFERROR(VLOOKUP($A7,'The List'!$B1:$AS665,16,FALSE)," ")</f>
        <v xml:space="preserve"> </v>
      </c>
      <c r="J7" s="83" t="str">
        <f>IFERROR(VLOOKUP($A7,'The List'!$B1:$AS665,17,FALSE)," ")</f>
        <v xml:space="preserve"> </v>
      </c>
      <c r="K7" s="83" t="str">
        <f>IFERROR(VLOOKUP($A7,'The List'!$B1:$AS665,18,FALSE)," ")</f>
        <v xml:space="preserve"> </v>
      </c>
      <c r="L7" s="83" t="str">
        <f>IFERROR(VLOOKUP($A7,'The List'!$B1:$AS665,19,FALSE)," ")</f>
        <v xml:space="preserve"> </v>
      </c>
      <c r="M7" s="83" t="str">
        <f>IFERROR(VLOOKUP($A7,'The List'!$B1:$AS665,20,FALSE)," ")</f>
        <v xml:space="preserve"> </v>
      </c>
      <c r="N7" s="83" t="str">
        <f>IFERROR(VLOOKUP($A7,'The List'!$B1:$AS665,21,FALSE)," ")</f>
        <v xml:space="preserve"> </v>
      </c>
      <c r="O7" s="83" t="str">
        <f>IFERROR(VLOOKUP($A7,'The List'!$B1:$AS665,22,FALSE)," ")</f>
        <v xml:space="preserve"> </v>
      </c>
      <c r="P7" s="83" t="str">
        <f>IFERROR(VLOOKUP($A7,'The List'!$B1:$AS665,23,FALSE)," ")</f>
        <v xml:space="preserve"> </v>
      </c>
      <c r="Q7" s="83" t="str">
        <f>IFERROR(VLOOKUP($A7,'The List'!$B1:$AS665,24,FALSE)," ")</f>
        <v xml:space="preserve"> </v>
      </c>
      <c r="R7" s="83" t="str">
        <f>IFERROR(VLOOKUP($A7,'The List'!$B1:$AS665,25,FALSE)," ")</f>
        <v xml:space="preserve"> </v>
      </c>
      <c r="S7" s="83" t="str">
        <f>IFERROR(VLOOKUP($A7,'The List'!$B1:$AS665,26,FALSE)," ")</f>
        <v xml:space="preserve"> </v>
      </c>
      <c r="T7" s="83" t="str">
        <f>IFERROR(VLOOKUP($A7,'The List'!$B1:$AS665,27,FALSE)," ")</f>
        <v xml:space="preserve"> </v>
      </c>
      <c r="U7" s="83" t="str">
        <f>IFERROR(VLOOKUP($A7,'The List'!$B1:$AS665,28,FALSE)," ")</f>
        <v xml:space="preserve"> </v>
      </c>
      <c r="V7" s="83" t="str">
        <f>IFERROR(VLOOKUP($A7,'The List'!$B1:$AS665,29,FALSE)," ")</f>
        <v xml:space="preserve"> </v>
      </c>
      <c r="W7" s="83" t="str">
        <f>IFERROR(VLOOKUP($A7,'The List'!$B1:$AS665,30,FALSE)," ")</f>
        <v xml:space="preserve"> </v>
      </c>
      <c r="X7" s="83" t="str">
        <f>IFERROR(VLOOKUP($A7,'The List'!$B1:$AS665,31,FALSE)," ")</f>
        <v xml:space="preserve"> </v>
      </c>
      <c r="Y7" s="83" t="str">
        <f>IFERROR(VLOOKUP($A7,'The List'!$B1:$AS665,32,FALSE)," ")</f>
        <v xml:space="preserve"> </v>
      </c>
      <c r="Z7" s="83" t="str">
        <f>IFERROR(VLOOKUP($A7,'The List'!$B1:$AS665,33,FALSE)," ")</f>
        <v xml:space="preserve"> </v>
      </c>
      <c r="AA7" s="86"/>
      <c r="AB7" s="91"/>
      <c r="AC7" s="91"/>
      <c r="AD7" s="9" t="s">
        <v>798</v>
      </c>
      <c r="AE7" s="51">
        <f>VLOOKUP(AD7,T1:Y464,2,FALSE)</f>
        <v>0</v>
      </c>
      <c r="AF7" s="51">
        <f>VLOOKUP(AD7,T1:AA464,5,FALSE)</f>
        <v>0</v>
      </c>
    </row>
    <row r="8" spans="1:32" ht="21.25" customHeight="1" x14ac:dyDescent="0.15">
      <c r="A8" s="23"/>
      <c r="B8" s="94" t="str">
        <f>IFERROR(VLOOKUP($A8,'The List'!$B1:$AS665,3,FALSE)," ")</f>
        <v xml:space="preserve"> </v>
      </c>
      <c r="C8" s="96" t="str">
        <f>IFERROR(VLOOKUP($A8,'The List'!$B1:$AS665,4,FALSE)," ")</f>
        <v xml:space="preserve"> </v>
      </c>
      <c r="D8" s="65" t="str">
        <f>IFERROR(VLOOKUP($A8,'The List'!$B1:$AS665,5,FALSE)," ")</f>
        <v xml:space="preserve"> </v>
      </c>
      <c r="E8" s="65" t="str">
        <f>IFERROR(VLOOKUP($A8,'The List'!$B1:$AS665,6,FALSE)," ")</f>
        <v xml:space="preserve"> </v>
      </c>
      <c r="F8" s="93" t="str">
        <f>IFERROR(VLOOKUP($A8,'The List'!$B1:$AS665,8,FALSE)," ")</f>
        <v xml:space="preserve"> </v>
      </c>
      <c r="G8" s="93" t="str">
        <f>IFERROR(VLOOKUP($A8,'The List'!$B1:$AS665,10,FALSE)," ")</f>
        <v xml:space="preserve"> </v>
      </c>
      <c r="H8" s="54"/>
      <c r="I8" s="83" t="str">
        <f>IFERROR(VLOOKUP($A8,'The List'!$B1:$AS665,16,FALSE)," ")</f>
        <v xml:space="preserve"> </v>
      </c>
      <c r="J8" s="83" t="str">
        <f>IFERROR(VLOOKUP($A8,'The List'!$B1:$AS665,17,FALSE)," ")</f>
        <v xml:space="preserve"> </v>
      </c>
      <c r="K8" s="83" t="str">
        <f>IFERROR(VLOOKUP($A8,'The List'!$B1:$AS665,18,FALSE)," ")</f>
        <v xml:space="preserve"> </v>
      </c>
      <c r="L8" s="83" t="str">
        <f>IFERROR(VLOOKUP($A8,'The List'!$B1:$AS665,19,FALSE)," ")</f>
        <v xml:space="preserve"> </v>
      </c>
      <c r="M8" s="83" t="str">
        <f>IFERROR(VLOOKUP($A8,'The List'!$B1:$AS665,20,FALSE)," ")</f>
        <v xml:space="preserve"> </v>
      </c>
      <c r="N8" s="83" t="str">
        <f>IFERROR(VLOOKUP($A8,'The List'!$B1:$AS665,21,FALSE)," ")</f>
        <v xml:space="preserve"> </v>
      </c>
      <c r="O8" s="83" t="str">
        <f>IFERROR(VLOOKUP($A8,'The List'!$B1:$AS665,22,FALSE)," ")</f>
        <v xml:space="preserve"> </v>
      </c>
      <c r="P8" s="83" t="str">
        <f>IFERROR(VLOOKUP($A8,'The List'!$B1:$AS665,23,FALSE)," ")</f>
        <v xml:space="preserve"> </v>
      </c>
      <c r="Q8" s="83" t="str">
        <f>IFERROR(VLOOKUP($A8,'The List'!$B1:$AS665,24,FALSE)," ")</f>
        <v xml:space="preserve"> </v>
      </c>
      <c r="R8" s="83" t="str">
        <f>IFERROR(VLOOKUP($A8,'The List'!$B1:$AS665,25,FALSE)," ")</f>
        <v xml:space="preserve"> </v>
      </c>
      <c r="S8" s="83" t="str">
        <f>IFERROR(VLOOKUP($A8,'The List'!$B1:$AS665,26,FALSE)," ")</f>
        <v xml:space="preserve"> </v>
      </c>
      <c r="T8" s="83" t="str">
        <f>IFERROR(VLOOKUP($A8,'The List'!$B1:$AS665,27,FALSE)," ")</f>
        <v xml:space="preserve"> </v>
      </c>
      <c r="U8" s="83" t="str">
        <f>IFERROR(VLOOKUP($A8,'The List'!$B1:$AS665,28,FALSE)," ")</f>
        <v xml:space="preserve"> </v>
      </c>
      <c r="V8" s="83" t="str">
        <f>IFERROR(VLOOKUP($A8,'The List'!$B1:$AS665,29,FALSE)," ")</f>
        <v xml:space="preserve"> </v>
      </c>
      <c r="W8" s="83" t="str">
        <f>IFERROR(VLOOKUP($A8,'The List'!$B1:$AS665,30,FALSE)," ")</f>
        <v xml:space="preserve"> </v>
      </c>
      <c r="X8" s="83" t="str">
        <f>IFERROR(VLOOKUP($A8,'The List'!$B1:$AS665,31,FALSE)," ")</f>
        <v xml:space="preserve"> </v>
      </c>
      <c r="Y8" s="83" t="str">
        <f>IFERROR(VLOOKUP($A8,'The List'!$B1:$AS665,32,FALSE)," ")</f>
        <v xml:space="preserve"> </v>
      </c>
      <c r="Z8" s="83" t="str">
        <f>IFERROR(VLOOKUP($A8,'The List'!$B1:$AS665,33,FALSE)," ")</f>
        <v xml:space="preserve"> </v>
      </c>
      <c r="AA8" s="86"/>
      <c r="AB8" s="91"/>
      <c r="AC8" s="91"/>
      <c r="AD8" s="9" t="s">
        <v>799</v>
      </c>
      <c r="AE8" s="51">
        <f>VLOOKUP(AD8,T1:Y464,2,FALSE)</f>
        <v>0</v>
      </c>
      <c r="AF8" s="51">
        <f>VLOOKUP(AD8,T1:AA464,5,FALSE)</f>
        <v>0</v>
      </c>
    </row>
    <row r="9" spans="1:32" ht="21.25" customHeight="1" x14ac:dyDescent="0.15">
      <c r="A9" s="23"/>
      <c r="B9" s="94" t="str">
        <f>IFERROR(VLOOKUP($A9,'The List'!$B1:$AS665,3,FALSE)," ")</f>
        <v xml:space="preserve"> </v>
      </c>
      <c r="C9" s="96" t="str">
        <f>IFERROR(VLOOKUP($A9,'The List'!$B1:$AS665,4,FALSE)," ")</f>
        <v xml:space="preserve"> </v>
      </c>
      <c r="D9" s="65" t="str">
        <f>IFERROR(VLOOKUP($A9,'The List'!$B1:$AS665,5,FALSE)," ")</f>
        <v xml:space="preserve"> </v>
      </c>
      <c r="E9" s="65" t="str">
        <f>IFERROR(VLOOKUP($A9,'The List'!$B1:$AS665,6,FALSE)," ")</f>
        <v xml:space="preserve"> </v>
      </c>
      <c r="F9" s="93" t="str">
        <f>IFERROR(VLOOKUP($A9,'The List'!$B1:$AS665,8,FALSE)," ")</f>
        <v xml:space="preserve"> </v>
      </c>
      <c r="G9" s="93" t="str">
        <f>IFERROR(VLOOKUP($A9,'The List'!$B1:$AS665,10,FALSE)," ")</f>
        <v xml:space="preserve"> </v>
      </c>
      <c r="H9" s="54"/>
      <c r="I9" s="83" t="str">
        <f>IFERROR(VLOOKUP($A9,'The List'!$B1:$AS665,16,FALSE)," ")</f>
        <v xml:space="preserve"> </v>
      </c>
      <c r="J9" s="83" t="str">
        <f>IFERROR(VLOOKUP($A9,'The List'!$B1:$AS665,17,FALSE)," ")</f>
        <v xml:space="preserve"> </v>
      </c>
      <c r="K9" s="83" t="str">
        <f>IFERROR(VLOOKUP($A9,'The List'!$B1:$AS665,18,FALSE)," ")</f>
        <v xml:space="preserve"> </v>
      </c>
      <c r="L9" s="83" t="str">
        <f>IFERROR(VLOOKUP($A9,'The List'!$B1:$AS665,19,FALSE)," ")</f>
        <v xml:space="preserve"> </v>
      </c>
      <c r="M9" s="83" t="str">
        <f>IFERROR(VLOOKUP($A9,'The List'!$B1:$AS665,20,FALSE)," ")</f>
        <v xml:space="preserve"> </v>
      </c>
      <c r="N9" s="83" t="str">
        <f>IFERROR(VLOOKUP($A9,'The List'!$B1:$AS665,21,FALSE)," ")</f>
        <v xml:space="preserve"> </v>
      </c>
      <c r="O9" s="83" t="str">
        <f>IFERROR(VLOOKUP($A9,'The List'!$B1:$AS665,22,FALSE)," ")</f>
        <v xml:space="preserve"> </v>
      </c>
      <c r="P9" s="83" t="str">
        <f>IFERROR(VLOOKUP($A9,'The List'!$B1:$AS665,23,FALSE)," ")</f>
        <v xml:space="preserve"> </v>
      </c>
      <c r="Q9" s="83" t="str">
        <f>IFERROR(VLOOKUP($A9,'The List'!$B1:$AS665,24,FALSE)," ")</f>
        <v xml:space="preserve"> </v>
      </c>
      <c r="R9" s="83" t="str">
        <f>IFERROR(VLOOKUP($A9,'The List'!$B1:$AS665,25,FALSE)," ")</f>
        <v xml:space="preserve"> </v>
      </c>
      <c r="S9" s="83" t="str">
        <f>IFERROR(VLOOKUP($A9,'The List'!$B1:$AS665,26,FALSE)," ")</f>
        <v xml:space="preserve"> </v>
      </c>
      <c r="T9" s="83" t="str">
        <f>IFERROR(VLOOKUP($A9,'The List'!$B1:$AS665,27,FALSE)," ")</f>
        <v xml:space="preserve"> </v>
      </c>
      <c r="U9" s="83" t="str">
        <f>IFERROR(VLOOKUP($A9,'The List'!$B1:$AS665,28,FALSE)," ")</f>
        <v xml:space="preserve"> </v>
      </c>
      <c r="V9" s="83" t="str">
        <f>IFERROR(VLOOKUP($A9,'The List'!$B1:$AS665,29,FALSE)," ")</f>
        <v xml:space="preserve"> </v>
      </c>
      <c r="W9" s="83" t="str">
        <f>IFERROR(VLOOKUP($A9,'The List'!$B1:$AS665,30,FALSE)," ")</f>
        <v xml:space="preserve"> </v>
      </c>
      <c r="X9" s="83" t="str">
        <f>IFERROR(VLOOKUP($A9,'The List'!$B1:$AS665,31,FALSE)," ")</f>
        <v xml:space="preserve"> </v>
      </c>
      <c r="Y9" s="83" t="str">
        <f>IFERROR(VLOOKUP($A9,'The List'!$B1:$AS665,32,FALSE)," ")</f>
        <v xml:space="preserve"> </v>
      </c>
      <c r="Z9" s="83" t="str">
        <f>IFERROR(VLOOKUP($A9,'The List'!$B1:$AS665,33,FALSE)," ")</f>
        <v xml:space="preserve"> </v>
      </c>
      <c r="AA9" s="86"/>
      <c r="AB9" s="91"/>
      <c r="AC9" s="91"/>
      <c r="AD9" s="9" t="s">
        <v>800</v>
      </c>
      <c r="AE9" s="51">
        <f>VLOOKUP(AD9,T1:Y464,2,FALSE)</f>
        <v>0</v>
      </c>
      <c r="AF9" s="51">
        <f>VLOOKUP(AD9,T1:AA464,5,FALSE)</f>
        <v>0</v>
      </c>
    </row>
    <row r="10" spans="1:32" ht="21.25" customHeight="1" x14ac:dyDescent="0.15">
      <c r="A10" s="9" t="s">
        <v>129</v>
      </c>
      <c r="B10" s="97" t="str">
        <f>IFERROR(VLOOKUP($A10,'The List'!$B1:$AS665,3,FALSE)," ")</f>
        <v>RW</v>
      </c>
      <c r="C10" s="98">
        <f>IFERROR(VLOOKUP($A10,'The List'!$B1:$AS665,4,FALSE)," ")</f>
        <v>1</v>
      </c>
      <c r="D10" s="65" t="str">
        <f>IFERROR(VLOOKUP($A10,'The List'!$B1:$AS665,5,FALSE)," ")</f>
        <v>T.B</v>
      </c>
      <c r="E10" s="90">
        <f>IFERROR(VLOOKUP($A10,'The List'!$B1:$AS665,6,FALSE)," ")</f>
        <v>31</v>
      </c>
      <c r="F10" s="51">
        <f>IFERROR(VLOOKUP($A10,'The List'!$B1:$AS665,8,FALSE)," ")</f>
        <v>572.95622430556693</v>
      </c>
      <c r="G10" s="51">
        <f>IFERROR(VLOOKUP($A10,'The List'!$B1:$AS665,10,FALSE)," ")</f>
        <v>204.10850119927454</v>
      </c>
      <c r="H10" s="54"/>
      <c r="I10" s="56">
        <f>IFERROR(VLOOKUP($A10,'The List'!$B1:$AS665,16,FALSE)," ")</f>
        <v>78.352500000000006</v>
      </c>
      <c r="J10" s="56">
        <f>IFERROR(VLOOKUP($A10,'The List'!$B1:$AS665,17,FALSE)," ")</f>
        <v>21.6773910862217</v>
      </c>
      <c r="K10" s="56">
        <f>IFERROR(VLOOKUP($A10,'The List'!$B1:$AS665,18,FALSE)," ")</f>
        <v>37.373783634877299</v>
      </c>
      <c r="L10" s="56">
        <f>IFERROR(VLOOKUP($A10,'The List'!$B1:$AS665,19,FALSE)," ")</f>
        <v>84.819526527279137</v>
      </c>
      <c r="M10" s="56">
        <f>IFERROR(VLOOKUP($A10,'The List'!$B1:$AS665,20,FALSE)," ")</f>
        <v>122.19331016215644</v>
      </c>
      <c r="N10" s="56">
        <f>IFERROR(VLOOKUP($A10,'The List'!$B1:$AS665,21,FALSE)," ")</f>
        <v>288.47411855459592</v>
      </c>
      <c r="O10" s="56">
        <f>IFERROR(VLOOKUP($A10,'The List'!$B1:$AS665,22,FALSE)," ")</f>
        <v>10.238845313863839</v>
      </c>
      <c r="P10" s="56">
        <f>IFERROR(VLOOKUP($A10,'The List'!$B1:$AS665,23,FALSE)," ")</f>
        <v>45.748533723112537</v>
      </c>
      <c r="Q10" s="56">
        <f>IFERROR(VLOOKUP($A10,'The List'!$B1:$AS665,24,FALSE)," ")</f>
        <v>3.5410258580854969E-3</v>
      </c>
      <c r="R10" s="56">
        <f>IFERROR(VLOOKUP($A10,'The List'!$B1:$AS665,25,FALSE)," ")</f>
        <v>6.0706992429258207E-3</v>
      </c>
      <c r="S10" s="56">
        <f>IFERROR(VLOOKUP($A10,'The List'!$B1:$AS665,26,FALSE)," ")</f>
        <v>32.769260238888464</v>
      </c>
      <c r="T10" s="56">
        <f>IFERROR(VLOOKUP($A10,'The List'!$B1:$AS665,27,FALSE)," ")</f>
        <v>51.27276469007716</v>
      </c>
      <c r="U10" s="56">
        <f>IFERROR(VLOOKUP($A10,'The List'!$B1:$AS665,28,FALSE)," ")</f>
        <v>4.3690572098256553</v>
      </c>
      <c r="V10" s="56">
        <f>IFERROR(VLOOKUP($A10,'The List'!$B1:$AS665,29,FALSE)," ")</f>
        <v>32.187367432596609</v>
      </c>
      <c r="W10" s="56">
        <f>IFERROR(VLOOKUP($A10,'The List'!$B1:$AS665,30,FALSE)," ")</f>
        <v>5.8886739690452634</v>
      </c>
      <c r="X10" s="56">
        <f>IFERROR(VLOOKUP($A10,'The List'!$B1:$AS665,31,FALSE)," ")</f>
        <v>2.610979867691638</v>
      </c>
      <c r="Y10" s="56">
        <f>IFERROR(VLOOKUP($A10,'The List'!$B1:$AS665,32,FALSE)," ")</f>
        <v>0.81812893380081619</v>
      </c>
      <c r="Z10" s="58">
        <f>IFERROR(VLOOKUP($A10,'The List'!$B1:$AS665,33,FALSE)," ")</f>
        <v>0.76141645507289202</v>
      </c>
      <c r="AA10" s="86"/>
      <c r="AB10" s="91"/>
      <c r="AC10" s="91"/>
      <c r="AD10" s="9" t="s">
        <v>801</v>
      </c>
      <c r="AE10" s="51">
        <f>VLOOKUP(AD10,T1:Y464,2,FALSE)</f>
        <v>0</v>
      </c>
      <c r="AF10" s="51">
        <f>VLOOKUP(AD10,T1:AA464,5,FALSE)</f>
        <v>0</v>
      </c>
    </row>
    <row r="11" spans="1:32" ht="21.25" customHeight="1" x14ac:dyDescent="0.15">
      <c r="A11" s="23"/>
      <c r="B11" s="97" t="str">
        <f>IFERROR(VLOOKUP($A11,'The List'!$B1:$AS665,3,FALSE)," ")</f>
        <v xml:space="preserve"> </v>
      </c>
      <c r="C11" s="99" t="str">
        <f>IFERROR(VLOOKUP($A11,'The List'!$B1:$AS665,4,FALSE)," ")</f>
        <v xml:space="preserve"> </v>
      </c>
      <c r="D11" s="65" t="str">
        <f>IFERROR(VLOOKUP($A11,'The List'!$B1:$AS665,5,FALSE)," ")</f>
        <v xml:space="preserve"> </v>
      </c>
      <c r="E11" s="65" t="str">
        <f>IFERROR(VLOOKUP($A11,'The List'!$B1:$AS665,6,FALSE)," ")</f>
        <v xml:space="preserve"> </v>
      </c>
      <c r="F11" s="93" t="str">
        <f>IFERROR(VLOOKUP($A11,'The List'!$B1:$AS665,8,FALSE)," ")</f>
        <v xml:space="preserve"> </v>
      </c>
      <c r="G11" s="93" t="str">
        <f>IFERROR(VLOOKUP($A11,'The List'!$B1:$AS665,10,FALSE)," ")</f>
        <v xml:space="preserve"> </v>
      </c>
      <c r="H11" s="54"/>
      <c r="I11" s="83" t="str">
        <f>IFERROR(VLOOKUP($A11,'The List'!$B1:$AS665,16,FALSE)," ")</f>
        <v xml:space="preserve"> </v>
      </c>
      <c r="J11" s="83" t="str">
        <f>IFERROR(VLOOKUP($A11,'The List'!$B1:$AS665,17,FALSE)," ")</f>
        <v xml:space="preserve"> </v>
      </c>
      <c r="K11" s="83" t="str">
        <f>IFERROR(VLOOKUP($A11,'The List'!$B1:$AS665,18,FALSE)," ")</f>
        <v xml:space="preserve"> </v>
      </c>
      <c r="L11" s="83" t="str">
        <f>IFERROR(VLOOKUP($A11,'The List'!$B1:$AS665,19,FALSE)," ")</f>
        <v xml:space="preserve"> </v>
      </c>
      <c r="M11" s="83" t="str">
        <f>IFERROR(VLOOKUP($A11,'The List'!$B1:$AS665,20,FALSE)," ")</f>
        <v xml:space="preserve"> </v>
      </c>
      <c r="N11" s="83" t="str">
        <f>IFERROR(VLOOKUP($A11,'The List'!$B1:$AS665,21,FALSE)," ")</f>
        <v xml:space="preserve"> </v>
      </c>
      <c r="O11" s="83" t="str">
        <f>IFERROR(VLOOKUP($A11,'The List'!$B1:$AS665,22,FALSE)," ")</f>
        <v xml:space="preserve"> </v>
      </c>
      <c r="P11" s="83" t="str">
        <f>IFERROR(VLOOKUP($A11,'The List'!$B1:$AS665,23,FALSE)," ")</f>
        <v xml:space="preserve"> </v>
      </c>
      <c r="Q11" s="83" t="str">
        <f>IFERROR(VLOOKUP($A11,'The List'!$B1:$AS665,24,FALSE)," ")</f>
        <v xml:space="preserve"> </v>
      </c>
      <c r="R11" s="83" t="str">
        <f>IFERROR(VLOOKUP($A11,'The List'!$B1:$AS665,25,FALSE)," ")</f>
        <v xml:space="preserve"> </v>
      </c>
      <c r="S11" s="83" t="str">
        <f>IFERROR(VLOOKUP($A11,'The List'!$B1:$AS665,26,FALSE)," ")</f>
        <v xml:space="preserve"> </v>
      </c>
      <c r="T11" s="83" t="str">
        <f>IFERROR(VLOOKUP($A11,'The List'!$B1:$AS665,27,FALSE)," ")</f>
        <v xml:space="preserve"> </v>
      </c>
      <c r="U11" s="83" t="str">
        <f>IFERROR(VLOOKUP($A11,'The List'!$B1:$AS665,28,FALSE)," ")</f>
        <v xml:space="preserve"> </v>
      </c>
      <c r="V11" s="83" t="str">
        <f>IFERROR(VLOOKUP($A11,'The List'!$B1:$AS665,29,FALSE)," ")</f>
        <v xml:space="preserve"> </v>
      </c>
      <c r="W11" s="83" t="str">
        <f>IFERROR(VLOOKUP($A11,'The List'!$B1:$AS665,30,FALSE)," ")</f>
        <v xml:space="preserve"> </v>
      </c>
      <c r="X11" s="83" t="str">
        <f>IFERROR(VLOOKUP($A11,'The List'!$B1:$AS665,31,FALSE)," ")</f>
        <v xml:space="preserve"> </v>
      </c>
      <c r="Y11" s="83" t="str">
        <f>IFERROR(VLOOKUP($A11,'The List'!$B1:$AS665,32,FALSE)," ")</f>
        <v xml:space="preserve"> </v>
      </c>
      <c r="Z11" s="83" t="str">
        <f>IFERROR(VLOOKUP($A11,'The List'!$B1:$AS665,33,FALSE)," ")</f>
        <v xml:space="preserve"> </v>
      </c>
      <c r="AA11" s="86"/>
      <c r="AB11" s="91"/>
      <c r="AC11" s="91"/>
      <c r="AD11" s="9" t="s">
        <v>802</v>
      </c>
      <c r="AE11" s="51">
        <f>VLOOKUP(AD11,T1:Y464,2,FALSE)</f>
        <v>0</v>
      </c>
      <c r="AF11" s="51">
        <f>VLOOKUP(AD11,T1:AA464,5,FALSE)</f>
        <v>0</v>
      </c>
    </row>
    <row r="12" spans="1:32" ht="21.25" customHeight="1" x14ac:dyDescent="0.15">
      <c r="A12" s="23"/>
      <c r="B12" s="97" t="str">
        <f>IFERROR(VLOOKUP($A12,'The List'!$B1:$AS665,3,FALSE)," ")</f>
        <v xml:space="preserve"> </v>
      </c>
      <c r="C12" s="99" t="str">
        <f>IFERROR(VLOOKUP($A12,'The List'!$B1:$AS665,4,FALSE)," ")</f>
        <v xml:space="preserve"> </v>
      </c>
      <c r="D12" s="65" t="str">
        <f>IFERROR(VLOOKUP($A12,'The List'!$B1:$AS665,5,FALSE)," ")</f>
        <v xml:space="preserve"> </v>
      </c>
      <c r="E12" s="65" t="str">
        <f>IFERROR(VLOOKUP($A12,'The List'!$B1:$AS665,6,FALSE)," ")</f>
        <v xml:space="preserve"> </v>
      </c>
      <c r="F12" s="93" t="str">
        <f>IFERROR(VLOOKUP($A12,'The List'!$B1:$AS665,8,FALSE)," ")</f>
        <v xml:space="preserve"> </v>
      </c>
      <c r="G12" s="93" t="str">
        <f>IFERROR(VLOOKUP($A12,'The List'!$B1:$AS665,10,FALSE)," ")</f>
        <v xml:space="preserve"> </v>
      </c>
      <c r="H12" s="54"/>
      <c r="I12" s="83" t="str">
        <f>IFERROR(VLOOKUP($A12,'The List'!$B1:$AS665,16,FALSE)," ")</f>
        <v xml:space="preserve"> </v>
      </c>
      <c r="J12" s="83" t="str">
        <f>IFERROR(VLOOKUP($A12,'The List'!$B1:$AS665,17,FALSE)," ")</f>
        <v xml:space="preserve"> </v>
      </c>
      <c r="K12" s="83" t="str">
        <f>IFERROR(VLOOKUP($A12,'The List'!$B1:$AS665,18,FALSE)," ")</f>
        <v xml:space="preserve"> </v>
      </c>
      <c r="L12" s="83" t="str">
        <f>IFERROR(VLOOKUP($A12,'The List'!$B1:$AS665,19,FALSE)," ")</f>
        <v xml:space="preserve"> </v>
      </c>
      <c r="M12" s="83" t="str">
        <f>IFERROR(VLOOKUP($A12,'The List'!$B1:$AS665,20,FALSE)," ")</f>
        <v xml:space="preserve"> </v>
      </c>
      <c r="N12" s="83" t="str">
        <f>IFERROR(VLOOKUP($A12,'The List'!$B1:$AS665,21,FALSE)," ")</f>
        <v xml:space="preserve"> </v>
      </c>
      <c r="O12" s="83" t="str">
        <f>IFERROR(VLOOKUP($A12,'The List'!$B1:$AS665,22,FALSE)," ")</f>
        <v xml:space="preserve"> </v>
      </c>
      <c r="P12" s="83" t="str">
        <f>IFERROR(VLOOKUP($A12,'The List'!$B1:$AS665,23,FALSE)," ")</f>
        <v xml:space="preserve"> </v>
      </c>
      <c r="Q12" s="83" t="str">
        <f>IFERROR(VLOOKUP($A12,'The List'!$B1:$AS665,24,FALSE)," ")</f>
        <v xml:space="preserve"> </v>
      </c>
      <c r="R12" s="83" t="str">
        <f>IFERROR(VLOOKUP($A12,'The List'!$B1:$AS665,25,FALSE)," ")</f>
        <v xml:space="preserve"> </v>
      </c>
      <c r="S12" s="83" t="str">
        <f>IFERROR(VLOOKUP($A12,'The List'!$B1:$AS665,26,FALSE)," ")</f>
        <v xml:space="preserve"> </v>
      </c>
      <c r="T12" s="83" t="str">
        <f>IFERROR(VLOOKUP($A12,'The List'!$B1:$AS665,27,FALSE)," ")</f>
        <v xml:space="preserve"> </v>
      </c>
      <c r="U12" s="83" t="str">
        <f>IFERROR(VLOOKUP($A12,'The List'!$B1:$AS665,28,FALSE)," ")</f>
        <v xml:space="preserve"> </v>
      </c>
      <c r="V12" s="83" t="str">
        <f>IFERROR(VLOOKUP($A12,'The List'!$B1:$AS665,29,FALSE)," ")</f>
        <v xml:space="preserve"> </v>
      </c>
      <c r="W12" s="83" t="str">
        <f>IFERROR(VLOOKUP($A12,'The List'!$B1:$AS665,30,FALSE)," ")</f>
        <v xml:space="preserve"> </v>
      </c>
      <c r="X12" s="83" t="str">
        <f>IFERROR(VLOOKUP($A12,'The List'!$B1:$AS665,31,FALSE)," ")</f>
        <v xml:space="preserve"> </v>
      </c>
      <c r="Y12" s="83" t="str">
        <f>IFERROR(VLOOKUP($A12,'The List'!$B1:$AS665,32,FALSE)," ")</f>
        <v xml:space="preserve"> </v>
      </c>
      <c r="Z12" s="83" t="str">
        <f>IFERROR(VLOOKUP($A12,'The List'!$B1:$AS665,33,FALSE)," ")</f>
        <v xml:space="preserve"> </v>
      </c>
      <c r="AA12" s="86"/>
      <c r="AB12" s="91"/>
      <c r="AC12" s="91"/>
      <c r="AD12" s="9" t="s">
        <v>803</v>
      </c>
      <c r="AE12" s="51">
        <f>VLOOKUP(AD12,T1:Y464,2,FALSE)</f>
        <v>0</v>
      </c>
      <c r="AF12" s="51">
        <f>VLOOKUP(AD12,T1:AA464,5,FALSE)</f>
        <v>0</v>
      </c>
    </row>
    <row r="13" spans="1:32" ht="21.25" customHeight="1" x14ac:dyDescent="0.15">
      <c r="A13" s="23"/>
      <c r="B13" s="97" t="str">
        <f>IFERROR(VLOOKUP($A13,'The List'!$B1:$AS665,3,FALSE)," ")</f>
        <v xml:space="preserve"> </v>
      </c>
      <c r="C13" s="99" t="str">
        <f>IFERROR(VLOOKUP($A13,'The List'!$B1:$AS665,4,FALSE)," ")</f>
        <v xml:space="preserve"> </v>
      </c>
      <c r="D13" s="65" t="str">
        <f>IFERROR(VLOOKUP($A13,'The List'!$B1:$AS665,5,FALSE)," ")</f>
        <v xml:space="preserve"> </v>
      </c>
      <c r="E13" s="65" t="str">
        <f>IFERROR(VLOOKUP($A13,'The List'!$B1:$AS665,6,FALSE)," ")</f>
        <v xml:space="preserve"> </v>
      </c>
      <c r="F13" s="93" t="str">
        <f>IFERROR(VLOOKUP($A13,'The List'!$B1:$AS665,8,FALSE)," ")</f>
        <v xml:space="preserve"> </v>
      </c>
      <c r="G13" s="93" t="str">
        <f>IFERROR(VLOOKUP($A13,'The List'!$B1:$AS665,10,FALSE)," ")</f>
        <v xml:space="preserve"> </v>
      </c>
      <c r="H13" s="54"/>
      <c r="I13" s="83" t="str">
        <f>IFERROR(VLOOKUP($A13,'The List'!$B1:$AS665,16,FALSE)," ")</f>
        <v xml:space="preserve"> </v>
      </c>
      <c r="J13" s="83" t="str">
        <f>IFERROR(VLOOKUP($A13,'The List'!$B1:$AS665,17,FALSE)," ")</f>
        <v xml:space="preserve"> </v>
      </c>
      <c r="K13" s="83" t="str">
        <f>IFERROR(VLOOKUP($A13,'The List'!$B1:$AS665,18,FALSE)," ")</f>
        <v xml:space="preserve"> </v>
      </c>
      <c r="L13" s="83" t="str">
        <f>IFERROR(VLOOKUP($A13,'The List'!$B1:$AS665,19,FALSE)," ")</f>
        <v xml:space="preserve"> </v>
      </c>
      <c r="M13" s="83" t="str">
        <f>IFERROR(VLOOKUP($A13,'The List'!$B1:$AS665,20,FALSE)," ")</f>
        <v xml:space="preserve"> </v>
      </c>
      <c r="N13" s="83" t="str">
        <f>IFERROR(VLOOKUP($A13,'The List'!$B1:$AS665,21,FALSE)," ")</f>
        <v xml:space="preserve"> </v>
      </c>
      <c r="O13" s="83" t="str">
        <f>IFERROR(VLOOKUP($A13,'The List'!$B1:$AS665,22,FALSE)," ")</f>
        <v xml:space="preserve"> </v>
      </c>
      <c r="P13" s="83" t="str">
        <f>IFERROR(VLOOKUP($A13,'The List'!$B1:$AS665,23,FALSE)," ")</f>
        <v xml:space="preserve"> </v>
      </c>
      <c r="Q13" s="83" t="str">
        <f>IFERROR(VLOOKUP($A13,'The List'!$B1:$AS665,24,FALSE)," ")</f>
        <v xml:space="preserve"> </v>
      </c>
      <c r="R13" s="83" t="str">
        <f>IFERROR(VLOOKUP($A13,'The List'!$B1:$AS665,25,FALSE)," ")</f>
        <v xml:space="preserve"> </v>
      </c>
      <c r="S13" s="83" t="str">
        <f>IFERROR(VLOOKUP($A13,'The List'!$B1:$AS665,26,FALSE)," ")</f>
        <v xml:space="preserve"> </v>
      </c>
      <c r="T13" s="83" t="str">
        <f>IFERROR(VLOOKUP($A13,'The List'!$B1:$AS665,27,FALSE)," ")</f>
        <v xml:space="preserve"> </v>
      </c>
      <c r="U13" s="83" t="str">
        <f>IFERROR(VLOOKUP($A13,'The List'!$B1:$AS665,28,FALSE)," ")</f>
        <v xml:space="preserve"> </v>
      </c>
      <c r="V13" s="83" t="str">
        <f>IFERROR(VLOOKUP($A13,'The List'!$B1:$AS665,29,FALSE)," ")</f>
        <v xml:space="preserve"> </v>
      </c>
      <c r="W13" s="83" t="str">
        <f>IFERROR(VLOOKUP($A13,'The List'!$B1:$AS665,30,FALSE)," ")</f>
        <v xml:space="preserve"> </v>
      </c>
      <c r="X13" s="83" t="str">
        <f>IFERROR(VLOOKUP($A13,'The List'!$B1:$AS665,31,FALSE)," ")</f>
        <v xml:space="preserve"> </v>
      </c>
      <c r="Y13" s="83" t="str">
        <f>IFERROR(VLOOKUP($A13,'The List'!$B1:$AS665,32,FALSE)," ")</f>
        <v xml:space="preserve"> </v>
      </c>
      <c r="Z13" s="83" t="str">
        <f>IFERROR(VLOOKUP($A13,'The List'!$B1:$AS665,33,FALSE)," ")</f>
        <v xml:space="preserve"> </v>
      </c>
      <c r="AA13" s="86"/>
      <c r="AB13" s="91"/>
      <c r="AC13" s="91"/>
      <c r="AD13" s="9" t="s">
        <v>804</v>
      </c>
      <c r="AE13" s="51">
        <f>VLOOKUP(AD13,T1:Y464,2,FALSE)</f>
        <v>0</v>
      </c>
      <c r="AF13" s="51">
        <f>VLOOKUP(AD13,T1:AA464,5,FALSE)</f>
        <v>0</v>
      </c>
    </row>
    <row r="14" spans="1:32" ht="21.25" customHeight="1" x14ac:dyDescent="0.15">
      <c r="A14" s="9" t="s">
        <v>132</v>
      </c>
      <c r="B14" s="100" t="str">
        <f>IFERROR(VLOOKUP($A14,'The List'!$B1:$AS665,3,FALSE)," ")</f>
        <v>D</v>
      </c>
      <c r="C14" s="101">
        <f>IFERROR(VLOOKUP($A14,'The List'!$B1:$AS665,4,FALSE)," ")</f>
        <v>1</v>
      </c>
      <c r="D14" s="65" t="str">
        <f>IFERROR(VLOOKUP($A14,'The List'!$B1:$AS665,5,FALSE)," ")</f>
        <v>COL</v>
      </c>
      <c r="E14" s="90">
        <f>IFERROR(VLOOKUP($A14,'The List'!$B1:$AS665,6,FALSE)," ")</f>
        <v>25</v>
      </c>
      <c r="F14" s="51">
        <f>IFERROR(VLOOKUP($A14,'The List'!$B1:$AS665,8,FALSE)," ")</f>
        <v>488.28538030647155</v>
      </c>
      <c r="G14" s="51">
        <f>IFERROR(VLOOKUP($A14,'The List'!$B1:$AS665,10,FALSE)," ")</f>
        <v>152.05125526087664</v>
      </c>
      <c r="H14" s="54"/>
      <c r="I14" s="56">
        <f>IFERROR(VLOOKUP($A14,'The List'!$B1:$AS665,16,FALSE)," ")</f>
        <v>77.617500000000007</v>
      </c>
      <c r="J14" s="56">
        <f>IFERROR(VLOOKUP($A14,'The List'!$B1:$AS665,17,FALSE)," ")</f>
        <v>25.836596637368402</v>
      </c>
      <c r="K14" s="56">
        <f>IFERROR(VLOOKUP($A14,'The List'!$B1:$AS665,18,FALSE)," ")</f>
        <v>22.169474574648742</v>
      </c>
      <c r="L14" s="56">
        <f>IFERROR(VLOOKUP($A14,'The List'!$B1:$AS665,19,FALSE)," ")</f>
        <v>65.069133788367935</v>
      </c>
      <c r="M14" s="56">
        <f>IFERROR(VLOOKUP($A14,'The List'!$B1:$AS665,20,FALSE)," ")</f>
        <v>87.238608363016681</v>
      </c>
      <c r="N14" s="56">
        <f>IFERROR(VLOOKUP($A14,'The List'!$B1:$AS665,21,FALSE)," ")</f>
        <v>233.99013930758929</v>
      </c>
      <c r="O14" s="56">
        <f>IFERROR(VLOOKUP($A14,'The List'!$B1:$AS665,22,FALSE)," ")</f>
        <v>7.2599894357970616</v>
      </c>
      <c r="P14" s="56">
        <f>IFERROR(VLOOKUP($A14,'The List'!$B1:$AS665,23,FALSE)," ")</f>
        <v>37.662229332189852</v>
      </c>
      <c r="Q14" s="56">
        <f>IFERROR(VLOOKUP($A14,'The List'!$B1:$AS665,24,FALSE)," ")</f>
        <v>0.49269865437348059</v>
      </c>
      <c r="R14" s="56">
        <f>IFERROR(VLOOKUP($A14,'The List'!$B1:$AS665,25,FALSE)," ")</f>
        <v>1.9870300859589476</v>
      </c>
      <c r="S14" s="56">
        <f>IFERROR(VLOOKUP($A14,'The List'!$B1:$AS665,26,FALSE)," ")</f>
        <v>139.85045229095607</v>
      </c>
      <c r="T14" s="56">
        <f>IFERROR(VLOOKUP($A14,'The List'!$B1:$AS665,27,FALSE)," ")</f>
        <v>59.957022749098769</v>
      </c>
      <c r="U14" s="56">
        <f>IFERROR(VLOOKUP($A14,'The List'!$B1:$AS665,28,FALSE)," ")</f>
        <v>5.0103328612580889</v>
      </c>
      <c r="V14" s="56">
        <f>IFERROR(VLOOKUP($A14,'The List'!$B1:$AS665,29,FALSE)," ")</f>
        <v>29.078520178465698</v>
      </c>
      <c r="W14" s="56">
        <f>IFERROR(VLOOKUP($A14,'The List'!$B1:$AS665,30,FALSE)," ")</f>
        <v>3.3123557090763178</v>
      </c>
      <c r="X14" s="56">
        <f>IFERROR(VLOOKUP($A14,'The List'!$B1:$AS665,31,FALSE)," ")</f>
        <v>0</v>
      </c>
      <c r="Y14" s="56">
        <f>IFERROR(VLOOKUP($A14,'The List'!$B1:$AS665,32,FALSE)," ")</f>
        <v>0</v>
      </c>
      <c r="Z14" s="58">
        <f>IFERROR(VLOOKUP($A14,'The List'!$B1:$AS665,33,FALSE)," ")</f>
        <v>0</v>
      </c>
      <c r="AA14" s="86"/>
      <c r="AB14" s="91"/>
      <c r="AC14" s="91"/>
      <c r="AD14" s="9" t="s">
        <v>805</v>
      </c>
      <c r="AE14" s="51">
        <f>VLOOKUP(AD14,T1:Y464,2,FALSE)</f>
        <v>0</v>
      </c>
      <c r="AF14" s="51">
        <f>VLOOKUP(AD14,T1:AA464,5,FALSE)</f>
        <v>0</v>
      </c>
    </row>
    <row r="15" spans="1:32" ht="21.25" customHeight="1" x14ac:dyDescent="0.15">
      <c r="A15" s="23"/>
      <c r="B15" s="100" t="str">
        <f>IFERROR(VLOOKUP($A15,'The List'!$B1:$AS665,3,FALSE)," ")</f>
        <v xml:space="preserve"> </v>
      </c>
      <c r="C15" s="102" t="str">
        <f>IFERROR(VLOOKUP($A15,'The List'!$B1:$AS665,4,FALSE)," ")</f>
        <v xml:space="preserve"> </v>
      </c>
      <c r="D15" s="65" t="str">
        <f>IFERROR(VLOOKUP($A15,'The List'!$B1:$AS665,5,FALSE)," ")</f>
        <v xml:space="preserve"> </v>
      </c>
      <c r="E15" s="65" t="str">
        <f>IFERROR(VLOOKUP($A15,'The List'!$B1:$AS665,6,FALSE)," ")</f>
        <v xml:space="preserve"> </v>
      </c>
      <c r="F15" s="93" t="str">
        <f>IFERROR(VLOOKUP($A15,'The List'!$B1:$AS665,8,FALSE)," ")</f>
        <v xml:space="preserve"> </v>
      </c>
      <c r="G15" s="93" t="str">
        <f>IFERROR(VLOOKUP($A15,'The List'!$B1:$AS665,10,FALSE)," ")</f>
        <v xml:space="preserve"> </v>
      </c>
      <c r="H15" s="54"/>
      <c r="I15" s="83" t="str">
        <f>IFERROR(VLOOKUP($A15,'The List'!$B1:$AS665,16,FALSE)," ")</f>
        <v xml:space="preserve"> </v>
      </c>
      <c r="J15" s="83" t="str">
        <f>IFERROR(VLOOKUP($A15,'The List'!$B1:$AS665,17,FALSE)," ")</f>
        <v xml:space="preserve"> </v>
      </c>
      <c r="K15" s="83" t="str">
        <f>IFERROR(VLOOKUP($A15,'The List'!$B1:$AS665,18,FALSE)," ")</f>
        <v xml:space="preserve"> </v>
      </c>
      <c r="L15" s="83" t="str">
        <f>IFERROR(VLOOKUP($A15,'The List'!$B1:$AS665,19,FALSE)," ")</f>
        <v xml:space="preserve"> </v>
      </c>
      <c r="M15" s="83" t="str">
        <f>IFERROR(VLOOKUP($A15,'The List'!$B1:$AS665,20,FALSE)," ")</f>
        <v xml:space="preserve"> </v>
      </c>
      <c r="N15" s="83" t="str">
        <f>IFERROR(VLOOKUP($A15,'The List'!$B1:$AS665,21,FALSE)," ")</f>
        <v xml:space="preserve"> </v>
      </c>
      <c r="O15" s="83" t="str">
        <f>IFERROR(VLOOKUP($A15,'The List'!$B1:$AS665,22,FALSE)," ")</f>
        <v xml:space="preserve"> </v>
      </c>
      <c r="P15" s="83" t="str">
        <f>IFERROR(VLOOKUP($A15,'The List'!$B1:$AS665,23,FALSE)," ")</f>
        <v xml:space="preserve"> </v>
      </c>
      <c r="Q15" s="83" t="str">
        <f>IFERROR(VLOOKUP($A15,'The List'!$B1:$AS665,24,FALSE)," ")</f>
        <v xml:space="preserve"> </v>
      </c>
      <c r="R15" s="83" t="str">
        <f>IFERROR(VLOOKUP($A15,'The List'!$B1:$AS665,25,FALSE)," ")</f>
        <v xml:space="preserve"> </v>
      </c>
      <c r="S15" s="83" t="str">
        <f>IFERROR(VLOOKUP($A15,'The List'!$B1:$AS665,26,FALSE)," ")</f>
        <v xml:space="preserve"> </v>
      </c>
      <c r="T15" s="83" t="str">
        <f>IFERROR(VLOOKUP($A15,'The List'!$B1:$AS665,27,FALSE)," ")</f>
        <v xml:space="preserve"> </v>
      </c>
      <c r="U15" s="83" t="str">
        <f>IFERROR(VLOOKUP($A15,'The List'!$B1:$AS665,28,FALSE)," ")</f>
        <v xml:space="preserve"> </v>
      </c>
      <c r="V15" s="83" t="str">
        <f>IFERROR(VLOOKUP($A15,'The List'!$B1:$AS665,29,FALSE)," ")</f>
        <v xml:space="preserve"> </v>
      </c>
      <c r="W15" s="83" t="str">
        <f>IFERROR(VLOOKUP($A15,'The List'!$B1:$AS665,30,FALSE)," ")</f>
        <v xml:space="preserve"> </v>
      </c>
      <c r="X15" s="83" t="str">
        <f>IFERROR(VLOOKUP($A15,'The List'!$B1:$AS665,31,FALSE)," ")</f>
        <v xml:space="preserve"> </v>
      </c>
      <c r="Y15" s="83" t="str">
        <f>IFERROR(VLOOKUP($A15,'The List'!$B1:$AS665,32,FALSE)," ")</f>
        <v xml:space="preserve"> </v>
      </c>
      <c r="Z15" s="83" t="str">
        <f>IFERROR(VLOOKUP($A15,'The List'!$B1:$AS665,33,FALSE)," ")</f>
        <v xml:space="preserve"> </v>
      </c>
      <c r="AA15" s="86"/>
      <c r="AB15" s="91"/>
      <c r="AC15" s="91"/>
      <c r="AD15" s="9" t="s">
        <v>806</v>
      </c>
      <c r="AE15" s="51">
        <f>VLOOKUP(AD15,T1:Y464,2,FALSE)</f>
        <v>0</v>
      </c>
      <c r="AF15" s="51">
        <f>VLOOKUP(AD15,T1:AA464,5,FALSE)</f>
        <v>0</v>
      </c>
    </row>
    <row r="16" spans="1:32" ht="21.25" customHeight="1" x14ac:dyDescent="0.15">
      <c r="A16" s="23"/>
      <c r="B16" s="100" t="str">
        <f>IFERROR(VLOOKUP($A16,'The List'!$B1:$AS665,3,FALSE)," ")</f>
        <v xml:space="preserve"> </v>
      </c>
      <c r="C16" s="102" t="str">
        <f>IFERROR(VLOOKUP($A16,'The List'!$B1:$AS665,4,FALSE)," ")</f>
        <v xml:space="preserve"> </v>
      </c>
      <c r="D16" s="65" t="str">
        <f>IFERROR(VLOOKUP($A16,'The List'!$B1:$AS665,5,FALSE)," ")</f>
        <v xml:space="preserve"> </v>
      </c>
      <c r="E16" s="65" t="str">
        <f>IFERROR(VLOOKUP($A16,'The List'!$B1:$AS665,6,FALSE)," ")</f>
        <v xml:space="preserve"> </v>
      </c>
      <c r="F16" s="93" t="str">
        <f>IFERROR(VLOOKUP($A16,'The List'!$B1:$AS665,8,FALSE)," ")</f>
        <v xml:space="preserve"> </v>
      </c>
      <c r="G16" s="93" t="str">
        <f>IFERROR(VLOOKUP($A16,'The List'!$B1:$AS665,10,FALSE)," ")</f>
        <v xml:space="preserve"> </v>
      </c>
      <c r="H16" s="54"/>
      <c r="I16" s="83" t="str">
        <f>IFERROR(VLOOKUP($A16,'The List'!$B1:$AS665,16,FALSE)," ")</f>
        <v xml:space="preserve"> </v>
      </c>
      <c r="J16" s="83" t="str">
        <f>IFERROR(VLOOKUP($A16,'The List'!$B1:$AS665,17,FALSE)," ")</f>
        <v xml:space="preserve"> </v>
      </c>
      <c r="K16" s="83" t="str">
        <f>IFERROR(VLOOKUP($A16,'The List'!$B1:$AS665,18,FALSE)," ")</f>
        <v xml:space="preserve"> </v>
      </c>
      <c r="L16" s="83" t="str">
        <f>IFERROR(VLOOKUP($A16,'The List'!$B1:$AS665,19,FALSE)," ")</f>
        <v xml:space="preserve"> </v>
      </c>
      <c r="M16" s="83" t="str">
        <f>IFERROR(VLOOKUP($A16,'The List'!$B1:$AS665,20,FALSE)," ")</f>
        <v xml:space="preserve"> </v>
      </c>
      <c r="N16" s="83" t="str">
        <f>IFERROR(VLOOKUP($A16,'The List'!$B1:$AS665,21,FALSE)," ")</f>
        <v xml:space="preserve"> </v>
      </c>
      <c r="O16" s="83" t="str">
        <f>IFERROR(VLOOKUP($A16,'The List'!$B1:$AS665,22,FALSE)," ")</f>
        <v xml:space="preserve"> </v>
      </c>
      <c r="P16" s="83" t="str">
        <f>IFERROR(VLOOKUP($A16,'The List'!$B1:$AS665,23,FALSE)," ")</f>
        <v xml:space="preserve"> </v>
      </c>
      <c r="Q16" s="83" t="str">
        <f>IFERROR(VLOOKUP($A16,'The List'!$B1:$AS665,24,FALSE)," ")</f>
        <v xml:space="preserve"> </v>
      </c>
      <c r="R16" s="83" t="str">
        <f>IFERROR(VLOOKUP($A16,'The List'!$B1:$AS665,25,FALSE)," ")</f>
        <v xml:space="preserve"> </v>
      </c>
      <c r="S16" s="83" t="str">
        <f>IFERROR(VLOOKUP($A16,'The List'!$B1:$AS665,26,FALSE)," ")</f>
        <v xml:space="preserve"> </v>
      </c>
      <c r="T16" s="83" t="str">
        <f>IFERROR(VLOOKUP($A16,'The List'!$B1:$AS665,27,FALSE)," ")</f>
        <v xml:space="preserve"> </v>
      </c>
      <c r="U16" s="83" t="str">
        <f>IFERROR(VLOOKUP($A16,'The List'!$B1:$AS665,28,FALSE)," ")</f>
        <v xml:space="preserve"> </v>
      </c>
      <c r="V16" s="83" t="str">
        <f>IFERROR(VLOOKUP($A16,'The List'!$B1:$AS665,29,FALSE)," ")</f>
        <v xml:space="preserve"> </v>
      </c>
      <c r="W16" s="83" t="str">
        <f>IFERROR(VLOOKUP($A16,'The List'!$B1:$AS665,30,FALSE)," ")</f>
        <v xml:space="preserve"> </v>
      </c>
      <c r="X16" s="83" t="str">
        <f>IFERROR(VLOOKUP($A16,'The List'!$B1:$AS665,31,FALSE)," ")</f>
        <v xml:space="preserve"> </v>
      </c>
      <c r="Y16" s="83" t="str">
        <f>IFERROR(VLOOKUP($A16,'The List'!$B1:$AS665,32,FALSE)," ")</f>
        <v xml:space="preserve"> </v>
      </c>
      <c r="Z16" s="83" t="str">
        <f>IFERROR(VLOOKUP($A16,'The List'!$B1:$AS665,33,FALSE)," ")</f>
        <v xml:space="preserve"> </v>
      </c>
      <c r="AA16" s="86"/>
      <c r="AB16" s="91"/>
      <c r="AC16" s="91"/>
      <c r="AD16" s="9" t="s">
        <v>807</v>
      </c>
      <c r="AE16" s="51">
        <f>VLOOKUP(AD16,T1:Y464,2,FALSE)</f>
        <v>0</v>
      </c>
      <c r="AF16" s="51">
        <f>VLOOKUP(AD16,T1:AA464,5,FALSE)</f>
        <v>0</v>
      </c>
    </row>
    <row r="17" spans="1:32" ht="21.25" customHeight="1" x14ac:dyDescent="0.15">
      <c r="A17" s="23"/>
      <c r="B17" s="100" t="str">
        <f>IFERROR(VLOOKUP($A17,'The List'!$B1:$AS665,3,FALSE)," ")</f>
        <v xml:space="preserve"> </v>
      </c>
      <c r="C17" s="102" t="str">
        <f>IFERROR(VLOOKUP($A17,'The List'!$B1:$AS665,4,FALSE)," ")</f>
        <v xml:space="preserve"> </v>
      </c>
      <c r="D17" s="65" t="str">
        <f>IFERROR(VLOOKUP($A17,'The List'!$B1:$AS665,5,FALSE)," ")</f>
        <v xml:space="preserve"> </v>
      </c>
      <c r="E17" s="65" t="str">
        <f>IFERROR(VLOOKUP($A17,'The List'!$B1:$AS665,6,FALSE)," ")</f>
        <v xml:space="preserve"> </v>
      </c>
      <c r="F17" s="93" t="str">
        <f>IFERROR(VLOOKUP($A17,'The List'!$B1:$AS665,8,FALSE)," ")</f>
        <v xml:space="preserve"> </v>
      </c>
      <c r="G17" s="93" t="str">
        <f>IFERROR(VLOOKUP($A17,'The List'!$B1:$AS665,10,FALSE)," ")</f>
        <v xml:space="preserve"> </v>
      </c>
      <c r="H17" s="54"/>
      <c r="I17" s="83" t="str">
        <f>IFERROR(VLOOKUP($A17,'The List'!$B1:$AS665,16,FALSE)," ")</f>
        <v xml:space="preserve"> </v>
      </c>
      <c r="J17" s="83" t="str">
        <f>IFERROR(VLOOKUP($A17,'The List'!$B1:$AS665,17,FALSE)," ")</f>
        <v xml:space="preserve"> </v>
      </c>
      <c r="K17" s="83" t="str">
        <f>IFERROR(VLOOKUP($A17,'The List'!$B1:$AS665,18,FALSE)," ")</f>
        <v xml:space="preserve"> </v>
      </c>
      <c r="L17" s="83" t="str">
        <f>IFERROR(VLOOKUP($A17,'The List'!$B1:$AS665,19,FALSE)," ")</f>
        <v xml:space="preserve"> </v>
      </c>
      <c r="M17" s="83" t="str">
        <f>IFERROR(VLOOKUP($A17,'The List'!$B1:$AS665,20,FALSE)," ")</f>
        <v xml:space="preserve"> </v>
      </c>
      <c r="N17" s="83" t="str">
        <f>IFERROR(VLOOKUP($A17,'The List'!$B1:$AS665,21,FALSE)," ")</f>
        <v xml:space="preserve"> </v>
      </c>
      <c r="O17" s="83" t="str">
        <f>IFERROR(VLOOKUP($A17,'The List'!$B1:$AS665,22,FALSE)," ")</f>
        <v xml:space="preserve"> </v>
      </c>
      <c r="P17" s="83" t="str">
        <f>IFERROR(VLOOKUP($A17,'The List'!$B1:$AS665,23,FALSE)," ")</f>
        <v xml:space="preserve"> </v>
      </c>
      <c r="Q17" s="83" t="str">
        <f>IFERROR(VLOOKUP($A17,'The List'!$B1:$AS665,24,FALSE)," ")</f>
        <v xml:space="preserve"> </v>
      </c>
      <c r="R17" s="83" t="str">
        <f>IFERROR(VLOOKUP($A17,'The List'!$B1:$AS665,25,FALSE)," ")</f>
        <v xml:space="preserve"> </v>
      </c>
      <c r="S17" s="83" t="str">
        <f>IFERROR(VLOOKUP($A17,'The List'!$B1:$AS665,26,FALSE)," ")</f>
        <v xml:space="preserve"> </v>
      </c>
      <c r="T17" s="83" t="str">
        <f>IFERROR(VLOOKUP($A17,'The List'!$B1:$AS665,27,FALSE)," ")</f>
        <v xml:space="preserve"> </v>
      </c>
      <c r="U17" s="83" t="str">
        <f>IFERROR(VLOOKUP($A17,'The List'!$B1:$AS665,28,FALSE)," ")</f>
        <v xml:space="preserve"> </v>
      </c>
      <c r="V17" s="83" t="str">
        <f>IFERROR(VLOOKUP($A17,'The List'!$B1:$AS665,29,FALSE)," ")</f>
        <v xml:space="preserve"> </v>
      </c>
      <c r="W17" s="83" t="str">
        <f>IFERROR(VLOOKUP($A17,'The List'!$B1:$AS665,30,FALSE)," ")</f>
        <v xml:space="preserve"> </v>
      </c>
      <c r="X17" s="83" t="str">
        <f>IFERROR(VLOOKUP($A17,'The List'!$B1:$AS665,31,FALSE)," ")</f>
        <v xml:space="preserve"> </v>
      </c>
      <c r="Y17" s="83" t="str">
        <f>IFERROR(VLOOKUP($A17,'The List'!$B1:$AS665,32,FALSE)," ")</f>
        <v xml:space="preserve"> </v>
      </c>
      <c r="Z17" s="83" t="str">
        <f>IFERROR(VLOOKUP($A17,'The List'!$B1:$AS665,33,FALSE)," ")</f>
        <v xml:space="preserve"> </v>
      </c>
      <c r="AA17" s="86"/>
      <c r="AB17" s="91"/>
      <c r="AC17" s="91"/>
      <c r="AD17" s="9" t="s">
        <v>808</v>
      </c>
      <c r="AE17" s="51">
        <f>VLOOKUP(AD17,T1:Y464,2,FALSE)</f>
        <v>0</v>
      </c>
      <c r="AF17" s="51">
        <f>VLOOKUP(AD17,T1:AA464,5,FALSE)</f>
        <v>0</v>
      </c>
    </row>
    <row r="18" spans="1:32" ht="21.25" customHeight="1" x14ac:dyDescent="0.15">
      <c r="A18" s="23"/>
      <c r="B18" s="100" t="str">
        <f>IFERROR(VLOOKUP($A18,'The List'!$B1:$AS665,3,FALSE)," ")</f>
        <v xml:space="preserve"> </v>
      </c>
      <c r="C18" s="102" t="str">
        <f>IFERROR(VLOOKUP($A18,'The List'!$B1:$AS665,4,FALSE)," ")</f>
        <v xml:space="preserve"> </v>
      </c>
      <c r="D18" s="65" t="str">
        <f>IFERROR(VLOOKUP($A18,'The List'!$B1:$AS665,5,FALSE)," ")</f>
        <v xml:space="preserve"> </v>
      </c>
      <c r="E18" s="65" t="str">
        <f>IFERROR(VLOOKUP($A18,'The List'!$B1:$AS665,6,FALSE)," ")</f>
        <v xml:space="preserve"> </v>
      </c>
      <c r="F18" s="93" t="str">
        <f>IFERROR(VLOOKUP($A18,'The List'!$B1:$AS665,8,FALSE)," ")</f>
        <v xml:space="preserve"> </v>
      </c>
      <c r="G18" s="93" t="str">
        <f>IFERROR(VLOOKUP($A18,'The List'!$B1:$AS665,10,FALSE)," ")</f>
        <v xml:space="preserve"> </v>
      </c>
      <c r="H18" s="54"/>
      <c r="I18" s="83" t="str">
        <f>IFERROR(VLOOKUP($A18,'The List'!$B1:$AS665,16,FALSE)," ")</f>
        <v xml:space="preserve"> </v>
      </c>
      <c r="J18" s="83" t="str">
        <f>IFERROR(VLOOKUP($A18,'The List'!$B1:$AS665,17,FALSE)," ")</f>
        <v xml:space="preserve"> </v>
      </c>
      <c r="K18" s="83" t="str">
        <f>IFERROR(VLOOKUP($A18,'The List'!$B1:$AS665,18,FALSE)," ")</f>
        <v xml:space="preserve"> </v>
      </c>
      <c r="L18" s="83" t="str">
        <f>IFERROR(VLOOKUP($A18,'The List'!$B1:$AS665,19,FALSE)," ")</f>
        <v xml:space="preserve"> </v>
      </c>
      <c r="M18" s="83" t="str">
        <f>IFERROR(VLOOKUP($A18,'The List'!$B1:$AS665,20,FALSE)," ")</f>
        <v xml:space="preserve"> </v>
      </c>
      <c r="N18" s="83" t="str">
        <f>IFERROR(VLOOKUP($A18,'The List'!$B1:$AS665,21,FALSE)," ")</f>
        <v xml:space="preserve"> </v>
      </c>
      <c r="O18" s="83" t="str">
        <f>IFERROR(VLOOKUP($A18,'The List'!$B1:$AS665,22,FALSE)," ")</f>
        <v xml:space="preserve"> </v>
      </c>
      <c r="P18" s="83" t="str">
        <f>IFERROR(VLOOKUP($A18,'The List'!$B1:$AS665,23,FALSE)," ")</f>
        <v xml:space="preserve"> </v>
      </c>
      <c r="Q18" s="83" t="str">
        <f>IFERROR(VLOOKUP($A18,'The List'!$B1:$AS665,24,FALSE)," ")</f>
        <v xml:space="preserve"> </v>
      </c>
      <c r="R18" s="83" t="str">
        <f>IFERROR(VLOOKUP($A18,'The List'!$B1:$AS665,25,FALSE)," ")</f>
        <v xml:space="preserve"> </v>
      </c>
      <c r="S18" s="83" t="str">
        <f>IFERROR(VLOOKUP($A18,'The List'!$B1:$AS665,26,FALSE)," ")</f>
        <v xml:space="preserve"> </v>
      </c>
      <c r="T18" s="83" t="str">
        <f>IFERROR(VLOOKUP($A18,'The List'!$B1:$AS665,27,FALSE)," ")</f>
        <v xml:space="preserve"> </v>
      </c>
      <c r="U18" s="83" t="str">
        <f>IFERROR(VLOOKUP($A18,'The List'!$B1:$AS665,28,FALSE)," ")</f>
        <v xml:space="preserve"> </v>
      </c>
      <c r="V18" s="83" t="str">
        <f>IFERROR(VLOOKUP($A18,'The List'!$B1:$AS665,29,FALSE)," ")</f>
        <v xml:space="preserve"> </v>
      </c>
      <c r="W18" s="83" t="str">
        <f>IFERROR(VLOOKUP($A18,'The List'!$B1:$AS665,30,FALSE)," ")</f>
        <v xml:space="preserve"> </v>
      </c>
      <c r="X18" s="83" t="str">
        <f>IFERROR(VLOOKUP($A18,'The List'!$B1:$AS665,31,FALSE)," ")</f>
        <v xml:space="preserve"> </v>
      </c>
      <c r="Y18" s="83" t="str">
        <f>IFERROR(VLOOKUP($A18,'The List'!$B1:$AS665,32,FALSE)," ")</f>
        <v xml:space="preserve"> </v>
      </c>
      <c r="Z18" s="83" t="str">
        <f>IFERROR(VLOOKUP($A18,'The List'!$B1:$AS665,33,FALSE)," ")</f>
        <v xml:space="preserve"> </v>
      </c>
      <c r="AA18" s="86"/>
      <c r="AB18" s="91"/>
      <c r="AC18" s="91"/>
      <c r="AD18" s="23"/>
      <c r="AE18" s="51">
        <f>VLOOKUP(AD18,T1:Y464,2,FALSE)</f>
        <v>0</v>
      </c>
      <c r="AF18" s="51">
        <f>VLOOKUP(AD18,T1:AA464,5,FALSE)</f>
        <v>0</v>
      </c>
    </row>
    <row r="19" spans="1:32" ht="21.25" customHeight="1" x14ac:dyDescent="0.15">
      <c r="A19" s="23"/>
      <c r="B19" s="100" t="str">
        <f>IFERROR(VLOOKUP($A19,'The List'!$B1:$AS665,3,FALSE)," ")</f>
        <v xml:space="preserve"> </v>
      </c>
      <c r="C19" s="102" t="str">
        <f>IFERROR(VLOOKUP($A19,'The List'!$B1:$AS665,4,FALSE)," ")</f>
        <v xml:space="preserve"> </v>
      </c>
      <c r="D19" s="65" t="str">
        <f>IFERROR(VLOOKUP($A19,'The List'!$B1:$AS665,5,FALSE)," ")</f>
        <v xml:space="preserve"> </v>
      </c>
      <c r="E19" s="65" t="str">
        <f>IFERROR(VLOOKUP($A19,'The List'!$B1:$AS665,6,FALSE)," ")</f>
        <v xml:space="preserve"> </v>
      </c>
      <c r="F19" s="93" t="str">
        <f>IFERROR(VLOOKUP($A19,'The List'!$B1:$AS665,8,FALSE)," ")</f>
        <v xml:space="preserve"> </v>
      </c>
      <c r="G19" s="93" t="str">
        <f>IFERROR(VLOOKUP($A19,'The List'!$B1:$AS665,10,FALSE)," ")</f>
        <v xml:space="preserve"> </v>
      </c>
      <c r="H19" s="54"/>
      <c r="I19" s="83" t="str">
        <f>IFERROR(VLOOKUP($A19,'The List'!$B1:$AS665,16,FALSE)," ")</f>
        <v xml:space="preserve"> </v>
      </c>
      <c r="J19" s="83" t="str">
        <f>IFERROR(VLOOKUP($A19,'The List'!$B1:$AS665,17,FALSE)," ")</f>
        <v xml:space="preserve"> </v>
      </c>
      <c r="K19" s="83" t="str">
        <f>IFERROR(VLOOKUP($A19,'The List'!$B1:$AS665,18,FALSE)," ")</f>
        <v xml:space="preserve"> </v>
      </c>
      <c r="L19" s="83" t="str">
        <f>IFERROR(VLOOKUP($A19,'The List'!$B1:$AS665,19,FALSE)," ")</f>
        <v xml:space="preserve"> </v>
      </c>
      <c r="M19" s="83" t="str">
        <f>IFERROR(VLOOKUP($A19,'The List'!$B1:$AS665,20,FALSE)," ")</f>
        <v xml:space="preserve"> </v>
      </c>
      <c r="N19" s="83" t="str">
        <f>IFERROR(VLOOKUP($A19,'The List'!$B1:$AS665,21,FALSE)," ")</f>
        <v xml:space="preserve"> </v>
      </c>
      <c r="O19" s="83" t="str">
        <f>IFERROR(VLOOKUP($A19,'The List'!$B1:$AS665,22,FALSE)," ")</f>
        <v xml:space="preserve"> </v>
      </c>
      <c r="P19" s="83" t="str">
        <f>IFERROR(VLOOKUP($A19,'The List'!$B1:$AS665,23,FALSE)," ")</f>
        <v xml:space="preserve"> </v>
      </c>
      <c r="Q19" s="83" t="str">
        <f>IFERROR(VLOOKUP($A19,'The List'!$B1:$AS665,24,FALSE)," ")</f>
        <v xml:space="preserve"> </v>
      </c>
      <c r="R19" s="83" t="str">
        <f>IFERROR(VLOOKUP($A19,'The List'!$B1:$AS665,25,FALSE)," ")</f>
        <v xml:space="preserve"> </v>
      </c>
      <c r="S19" s="83" t="str">
        <f>IFERROR(VLOOKUP($A19,'The List'!$B1:$AS665,26,FALSE)," ")</f>
        <v xml:space="preserve"> </v>
      </c>
      <c r="T19" s="83" t="str">
        <f>IFERROR(VLOOKUP($A19,'The List'!$B1:$AS665,27,FALSE)," ")</f>
        <v xml:space="preserve"> </v>
      </c>
      <c r="U19" s="83" t="str">
        <f>IFERROR(VLOOKUP($A19,'The List'!$B1:$AS665,28,FALSE)," ")</f>
        <v xml:space="preserve"> </v>
      </c>
      <c r="V19" s="83" t="str">
        <f>IFERROR(VLOOKUP($A19,'The List'!$B1:$AS665,29,FALSE)," ")</f>
        <v xml:space="preserve"> </v>
      </c>
      <c r="W19" s="83" t="str">
        <f>IFERROR(VLOOKUP($A19,'The List'!$B1:$AS665,30,FALSE)," ")</f>
        <v xml:space="preserve"> </v>
      </c>
      <c r="X19" s="83" t="str">
        <f>IFERROR(VLOOKUP($A19,'The List'!$B1:$AS665,31,FALSE)," ")</f>
        <v xml:space="preserve"> </v>
      </c>
      <c r="Y19" s="83" t="str">
        <f>IFERROR(VLOOKUP($A19,'The List'!$B1:$AS665,32,FALSE)," ")</f>
        <v xml:space="preserve"> </v>
      </c>
      <c r="Z19" s="83" t="str">
        <f>IFERROR(VLOOKUP($A19,'The List'!$B1:$AS665,33,FALSE)," ")</f>
        <v xml:space="preserve"> </v>
      </c>
      <c r="AA19" s="86"/>
      <c r="AB19" s="91"/>
      <c r="AC19" s="91"/>
      <c r="AD19" s="23"/>
      <c r="AE19" s="51">
        <f>VLOOKUP(AD19,T1:Y464,2,FALSE)</f>
        <v>0</v>
      </c>
      <c r="AF19" s="51">
        <f>VLOOKUP(AD19,T1:AA464,5,FALSE)</f>
        <v>0</v>
      </c>
    </row>
    <row r="20" spans="1:32" ht="21.25" customHeight="1" x14ac:dyDescent="0.15">
      <c r="A20" s="23"/>
      <c r="B20" s="100" t="str">
        <f>IFERROR(VLOOKUP($A20,'The List'!$B1:$AS665,3,FALSE)," ")</f>
        <v xml:space="preserve"> </v>
      </c>
      <c r="C20" s="102" t="str">
        <f>IFERROR(VLOOKUP($A20,'The List'!$B1:$AS665,4,FALSE)," ")</f>
        <v xml:space="preserve"> </v>
      </c>
      <c r="D20" s="65" t="str">
        <f>IFERROR(VLOOKUP($A20,'The List'!$B1:$AS665,5,FALSE)," ")</f>
        <v xml:space="preserve"> </v>
      </c>
      <c r="E20" s="65" t="str">
        <f>IFERROR(VLOOKUP($A20,'The List'!$B1:$AS665,6,FALSE)," ")</f>
        <v xml:space="preserve"> </v>
      </c>
      <c r="F20" s="93" t="str">
        <f>IFERROR(VLOOKUP($A20,'The List'!$B1:$AS665,8,FALSE)," ")</f>
        <v xml:space="preserve"> </v>
      </c>
      <c r="G20" s="93" t="str">
        <f>IFERROR(VLOOKUP($A20,'The List'!$B1:$AS665,10,FALSE)," ")</f>
        <v xml:space="preserve"> </v>
      </c>
      <c r="H20" s="54"/>
      <c r="I20" s="83" t="str">
        <f>IFERROR(VLOOKUP($A20,'The List'!$B1:$AS665,16,FALSE)," ")</f>
        <v xml:space="preserve"> </v>
      </c>
      <c r="J20" s="83" t="str">
        <f>IFERROR(VLOOKUP($A20,'The List'!$B1:$AS665,17,FALSE)," ")</f>
        <v xml:space="preserve"> </v>
      </c>
      <c r="K20" s="83" t="str">
        <f>IFERROR(VLOOKUP($A20,'The List'!$B1:$AS665,18,FALSE)," ")</f>
        <v xml:space="preserve"> </v>
      </c>
      <c r="L20" s="83" t="str">
        <f>IFERROR(VLOOKUP($A20,'The List'!$B1:$AS665,19,FALSE)," ")</f>
        <v xml:space="preserve"> </v>
      </c>
      <c r="M20" s="83" t="str">
        <f>IFERROR(VLOOKUP($A20,'The List'!$B1:$AS665,20,FALSE)," ")</f>
        <v xml:space="preserve"> </v>
      </c>
      <c r="N20" s="83" t="str">
        <f>IFERROR(VLOOKUP($A20,'The List'!$B1:$AS665,21,FALSE)," ")</f>
        <v xml:space="preserve"> </v>
      </c>
      <c r="O20" s="83" t="str">
        <f>IFERROR(VLOOKUP($A20,'The List'!$B1:$AS665,22,FALSE)," ")</f>
        <v xml:space="preserve"> </v>
      </c>
      <c r="P20" s="83" t="str">
        <f>IFERROR(VLOOKUP($A20,'The List'!$B1:$AS665,23,FALSE)," ")</f>
        <v xml:space="preserve"> </v>
      </c>
      <c r="Q20" s="83" t="str">
        <f>IFERROR(VLOOKUP($A20,'The List'!$B1:$AS665,24,FALSE)," ")</f>
        <v xml:space="preserve"> </v>
      </c>
      <c r="R20" s="83" t="str">
        <f>IFERROR(VLOOKUP($A20,'The List'!$B1:$AS665,25,FALSE)," ")</f>
        <v xml:space="preserve"> </v>
      </c>
      <c r="S20" s="83" t="str">
        <f>IFERROR(VLOOKUP($A20,'The List'!$B1:$AS665,26,FALSE)," ")</f>
        <v xml:space="preserve"> </v>
      </c>
      <c r="T20" s="83" t="str">
        <f>IFERROR(VLOOKUP($A20,'The List'!$B1:$AS665,27,FALSE)," ")</f>
        <v xml:space="preserve"> </v>
      </c>
      <c r="U20" s="83" t="str">
        <f>IFERROR(VLOOKUP($A20,'The List'!$B1:$AS665,28,FALSE)," ")</f>
        <v xml:space="preserve"> </v>
      </c>
      <c r="V20" s="83" t="str">
        <f>IFERROR(VLOOKUP($A20,'The List'!$B1:$AS665,29,FALSE)," ")</f>
        <v xml:space="preserve"> </v>
      </c>
      <c r="W20" s="83" t="str">
        <f>IFERROR(VLOOKUP($A20,'The List'!$B1:$AS665,30,FALSE)," ")</f>
        <v xml:space="preserve"> </v>
      </c>
      <c r="X20" s="83" t="str">
        <f>IFERROR(VLOOKUP($A20,'The List'!$B1:$AS665,31,FALSE)," ")</f>
        <v xml:space="preserve"> </v>
      </c>
      <c r="Y20" s="83" t="str">
        <f>IFERROR(VLOOKUP($A20,'The List'!$B1:$AS665,32,FALSE)," ")</f>
        <v xml:space="preserve"> </v>
      </c>
      <c r="Z20" s="83" t="str">
        <f>IFERROR(VLOOKUP($A20,'The List'!$B1:$AS665,33,FALSE)," ")</f>
        <v xml:space="preserve"> </v>
      </c>
      <c r="AA20" s="86"/>
      <c r="AB20" s="91"/>
      <c r="AC20" s="91"/>
      <c r="AD20" s="103"/>
      <c r="AE20" s="103"/>
      <c r="AF20" s="103"/>
    </row>
    <row r="21" spans="1:32" ht="21.25" customHeight="1" x14ac:dyDescent="0.15">
      <c r="A21" s="104"/>
      <c r="B21" s="105" t="str">
        <f>IFERROR(VLOOKUP($A21,'The List'!$B1:$AS665,3,FALSE)," ")</f>
        <v xml:space="preserve"> </v>
      </c>
      <c r="C21" s="106" t="str">
        <f>IFERROR(VLOOKUP($A21,'The List'!$B1:$AS665,4,FALSE)," ")</f>
        <v xml:space="preserve"> </v>
      </c>
      <c r="D21" s="107" t="str">
        <f>IFERROR(VLOOKUP($A21,'The List'!$B1:$AS665,5,FALSE)," ")</f>
        <v xml:space="preserve"> </v>
      </c>
      <c r="E21" s="107" t="str">
        <f>IFERROR(VLOOKUP($A21,'The List'!$B1:$AS665,6,FALSE)," ")</f>
        <v xml:space="preserve"> </v>
      </c>
      <c r="F21" s="108" t="str">
        <f>IFERROR(VLOOKUP($A21,'The List'!$B1:$AS665,8,FALSE)," ")</f>
        <v xml:space="preserve"> </v>
      </c>
      <c r="G21" s="108" t="str">
        <f>IFERROR(VLOOKUP($A21,'The List'!$B1:$AS665,10,FALSE)," ")</f>
        <v xml:space="preserve"> </v>
      </c>
      <c r="H21" s="109"/>
      <c r="I21" s="110" t="str">
        <f>IFERROR(VLOOKUP($A21,'The List'!$B1:$AS665,16,FALSE)," ")</f>
        <v xml:space="preserve"> </v>
      </c>
      <c r="J21" s="110" t="str">
        <f>IFERROR(VLOOKUP($A21,'The List'!$B1:$AS665,17,FALSE)," ")</f>
        <v xml:space="preserve"> </v>
      </c>
      <c r="K21" s="110" t="str">
        <f>IFERROR(VLOOKUP($A21,'The List'!$B1:$AS665,18,FALSE)," ")</f>
        <v xml:space="preserve"> </v>
      </c>
      <c r="L21" s="110" t="str">
        <f>IFERROR(VLOOKUP($A21,'The List'!$B1:$AS665,19,FALSE)," ")</f>
        <v xml:space="preserve"> </v>
      </c>
      <c r="M21" s="110" t="str">
        <f>IFERROR(VLOOKUP($A21,'The List'!$B1:$AS665,20,FALSE)," ")</f>
        <v xml:space="preserve"> </v>
      </c>
      <c r="N21" s="110" t="str">
        <f>IFERROR(VLOOKUP($A21,'The List'!$B1:$AS665,21,FALSE)," ")</f>
        <v xml:space="preserve"> </v>
      </c>
      <c r="O21" s="110" t="str">
        <f>IFERROR(VLOOKUP($A21,'The List'!$B1:$AS665,22,FALSE)," ")</f>
        <v xml:space="preserve"> </v>
      </c>
      <c r="P21" s="110" t="str">
        <f>IFERROR(VLOOKUP($A21,'The List'!$B1:$AS665,23,FALSE)," ")</f>
        <v xml:space="preserve"> </v>
      </c>
      <c r="Q21" s="110" t="str">
        <f>IFERROR(VLOOKUP($A21,'The List'!$B1:$AS665,24,FALSE)," ")</f>
        <v xml:space="preserve"> </v>
      </c>
      <c r="R21" s="110" t="str">
        <f>IFERROR(VLOOKUP($A21,'The List'!$B1:$AS665,25,FALSE)," ")</f>
        <v xml:space="preserve"> </v>
      </c>
      <c r="S21" s="110" t="str">
        <f>IFERROR(VLOOKUP($A21,'The List'!$B1:$AS665,26,FALSE)," ")</f>
        <v xml:space="preserve"> </v>
      </c>
      <c r="T21" s="110" t="str">
        <f>IFERROR(VLOOKUP($A21,'The List'!$B1:$AS665,27,FALSE)," ")</f>
        <v xml:space="preserve"> </v>
      </c>
      <c r="U21" s="110" t="str">
        <f>IFERROR(VLOOKUP($A21,'The List'!$B1:$AS665,28,FALSE)," ")</f>
        <v xml:space="preserve"> </v>
      </c>
      <c r="V21" s="110" t="str">
        <f>IFERROR(VLOOKUP($A21,'The List'!$B1:$AS665,29,FALSE)," ")</f>
        <v xml:space="preserve"> </v>
      </c>
      <c r="W21" s="110" t="str">
        <f>IFERROR(VLOOKUP($A21,'The List'!$B1:$AS665,30,FALSE)," ")</f>
        <v xml:space="preserve"> </v>
      </c>
      <c r="X21" s="110" t="str">
        <f>IFERROR(VLOOKUP($A21,'The List'!$B1:$AS665,31,FALSE)," ")</f>
        <v xml:space="preserve"> </v>
      </c>
      <c r="Y21" s="110" t="str">
        <f>IFERROR(VLOOKUP($A21,'The List'!$B1:$AS665,32,FALSE)," ")</f>
        <v xml:space="preserve"> </v>
      </c>
      <c r="Z21" s="110" t="str">
        <f>IFERROR(VLOOKUP($A21,'The List'!$B1:$AS665,33,FALSE)," ")</f>
        <v xml:space="preserve"> </v>
      </c>
      <c r="AA21" s="86"/>
      <c r="AB21" s="91"/>
      <c r="AC21" s="91"/>
      <c r="AD21" s="91"/>
      <c r="AE21" s="91"/>
      <c r="AF21" s="91"/>
    </row>
    <row r="22" spans="1:32" ht="21.25" customHeight="1" x14ac:dyDescent="0.15">
      <c r="A22" s="111"/>
      <c r="B22" s="112"/>
      <c r="C22" s="113"/>
      <c r="D22" s="114"/>
      <c r="E22" s="115">
        <f>IFERROR(AVERAGE(E2:E21)," ")</f>
        <v>27.75</v>
      </c>
      <c r="F22" s="116">
        <f>SUM(F2:F21)</f>
        <v>2228.2866255524204</v>
      </c>
      <c r="G22" s="116">
        <f>SUM(G2:G21)</f>
        <v>752.2061073199518</v>
      </c>
      <c r="H22" s="117"/>
      <c r="I22" s="118">
        <f>SUM(I2:I21)</f>
        <v>318.11250000000001</v>
      </c>
      <c r="J22" s="117">
        <f>AVERAGE(J2:J21)</f>
        <v>22.490515077334702</v>
      </c>
      <c r="K22" s="118">
        <f t="shared" ref="K22:Y22" si="0">SUM(K2:K21)</f>
        <v>152.16475014867444</v>
      </c>
      <c r="L22" s="118">
        <f t="shared" si="0"/>
        <v>310.50695125648542</v>
      </c>
      <c r="M22" s="118">
        <f t="shared" si="0"/>
        <v>462.67170140515987</v>
      </c>
      <c r="N22" s="118">
        <f t="shared" si="0"/>
        <v>1066.7666296804225</v>
      </c>
      <c r="O22" s="118">
        <f t="shared" si="0"/>
        <v>53.02024395716338</v>
      </c>
      <c r="P22" s="118">
        <f t="shared" si="0"/>
        <v>180.51616178193296</v>
      </c>
      <c r="Q22" s="118">
        <f t="shared" si="0"/>
        <v>1.7414332790001699</v>
      </c>
      <c r="R22" s="118">
        <f t="shared" si="0"/>
        <v>4.4591092308843088</v>
      </c>
      <c r="S22" s="118">
        <f t="shared" si="0"/>
        <v>243.82587096782379</v>
      </c>
      <c r="T22" s="118">
        <f t="shared" si="0"/>
        <v>278.40789727285664</v>
      </c>
      <c r="U22" s="118">
        <f t="shared" si="0"/>
        <v>32.688857366209334</v>
      </c>
      <c r="V22" s="118">
        <f t="shared" si="0"/>
        <v>138.80221364540071</v>
      </c>
      <c r="W22" s="118">
        <f t="shared" si="0"/>
        <v>24.157099677832417</v>
      </c>
      <c r="X22" s="118">
        <f t="shared" si="0"/>
        <v>1315.7877658391499</v>
      </c>
      <c r="Y22" s="118">
        <f t="shared" si="0"/>
        <v>1117.7863675763151</v>
      </c>
      <c r="Z22" s="119">
        <f>IFERROR(X22/(X22+Y22),0)</f>
        <v>0.54068119305347484</v>
      </c>
      <c r="AA22" s="86"/>
      <c r="AB22" s="120"/>
      <c r="AC22" s="120"/>
      <c r="AD22" s="120"/>
      <c r="AE22" s="120"/>
      <c r="AF22" s="120"/>
    </row>
    <row r="23" spans="1:32" ht="21.25" customHeight="1" x14ac:dyDescent="0.15">
      <c r="A23" s="34"/>
      <c r="B23" s="121"/>
      <c r="C23" s="122"/>
      <c r="D23" s="12"/>
      <c r="E23" s="12"/>
      <c r="F23" s="123"/>
      <c r="G23" s="124"/>
      <c r="H23" s="125"/>
      <c r="I23" s="12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91"/>
      <c r="AC23" s="91"/>
      <c r="AD23" s="91"/>
      <c r="AE23" s="91"/>
      <c r="AF23" s="91"/>
    </row>
    <row r="24" spans="1:32" ht="21.25" customHeight="1" x14ac:dyDescent="0.15">
      <c r="A24" s="37" t="s">
        <v>89</v>
      </c>
      <c r="B24" s="205" t="s">
        <v>91</v>
      </c>
      <c r="C24" s="195"/>
      <c r="D24" s="40" t="s">
        <v>92</v>
      </c>
      <c r="E24" s="40" t="s">
        <v>93</v>
      </c>
      <c r="F24" s="127" t="s">
        <v>95</v>
      </c>
      <c r="G24" s="127" t="s">
        <v>97</v>
      </c>
      <c r="H24" s="128"/>
      <c r="I24" s="129" t="s">
        <v>102</v>
      </c>
      <c r="J24" s="129" t="s">
        <v>118</v>
      </c>
      <c r="K24" s="129" t="s">
        <v>119</v>
      </c>
      <c r="L24" s="129" t="s">
        <v>120</v>
      </c>
      <c r="M24" s="129" t="s">
        <v>121</v>
      </c>
      <c r="N24" s="129" t="s">
        <v>122</v>
      </c>
      <c r="O24" s="129" t="s">
        <v>123</v>
      </c>
      <c r="P24" s="129" t="s">
        <v>124</v>
      </c>
      <c r="Q24" s="129" t="s">
        <v>125</v>
      </c>
      <c r="R24" s="86"/>
      <c r="S24" s="86"/>
      <c r="T24" s="86"/>
      <c r="U24" s="205" t="s">
        <v>809</v>
      </c>
      <c r="V24" s="206"/>
      <c r="W24" s="206"/>
      <c r="X24" s="205" t="s">
        <v>810</v>
      </c>
      <c r="Y24" s="206"/>
      <c r="Z24" s="206"/>
      <c r="AA24" s="86"/>
      <c r="AB24" s="86"/>
      <c r="AC24" s="86"/>
      <c r="AD24" s="86"/>
      <c r="AE24" s="86"/>
      <c r="AF24" s="86"/>
    </row>
    <row r="25" spans="1:32" ht="21.25" customHeight="1" x14ac:dyDescent="0.15">
      <c r="A25" s="130" t="s">
        <v>147</v>
      </c>
      <c r="B25" s="131" t="str">
        <f>IFERROR(VLOOKUP($A25,'The List'!$B1:$AS665,3,FALSE)," ")</f>
        <v>G</v>
      </c>
      <c r="C25" s="132">
        <f>IFERROR(VLOOKUP($A25,'The List'!$B1:$AS665,4,FALSE)," ")</f>
        <v>1</v>
      </c>
      <c r="D25" s="49" t="str">
        <f>IFERROR(VLOOKUP($A25,'The List'!$B1:$AS665,5,FALSE)," ")</f>
        <v>NYR</v>
      </c>
      <c r="E25" s="133">
        <f>IFERROR(VLOOKUP($A25,'The List'!$B1:$AS665,6,FALSE)," ")</f>
        <v>28</v>
      </c>
      <c r="F25" s="134">
        <f>IFERROR(VLOOKUP($A25,'The List'!$B1:$AS665,8,FALSE)," ")</f>
        <v>484.22409325757781</v>
      </c>
      <c r="G25" s="134">
        <f>IFERROR(VLOOKUP($A25,'The List'!$B1:$AS665,10,FALSE)," ")</f>
        <v>73.564350488157629</v>
      </c>
      <c r="H25" s="135"/>
      <c r="I25" s="136">
        <f>IFERROR(VLOOKUP($A25,'The List'!$B1:$AS665,35,FALSE)," ")</f>
        <v>60</v>
      </c>
      <c r="J25" s="136">
        <f>IFERROR(VLOOKUP($A25,'The List'!$B1:$AS665,36,FALSE)," ")</f>
        <v>38.825850385632428</v>
      </c>
      <c r="K25" s="136">
        <f>IFERROR(VLOOKUP($A25,'The List'!$B1:$AS665,37,FALSE)," ")</f>
        <v>13.674149614367572</v>
      </c>
      <c r="L25" s="136">
        <f>IFERROR(VLOOKUP($A25,'The List'!$B1:$AS665,38,FALSE)," ")</f>
        <v>7.5</v>
      </c>
      <c r="M25" s="136">
        <f>IFERROR(VLOOKUP($A25,'The List'!$B1:$AS665,39,FALSE)," ")</f>
        <v>4.5699095089966741</v>
      </c>
      <c r="N25" s="136">
        <f>IFERROR(VLOOKUP($A25,'The List'!$B1:$AS665,40,FALSE)," ")</f>
        <v>1632.1125332101751</v>
      </c>
      <c r="O25" s="136">
        <f>IFERROR(VLOOKUP($A25,'The List'!$B1:$AS665,41,FALSE)," ")</f>
        <v>150.9598780044679</v>
      </c>
      <c r="P25" s="137">
        <f>IFERROR(VLOOKUP($A25,'The List'!$B1:$AS665,42,FALSE)," ")</f>
        <v>0.91533721398244683</v>
      </c>
      <c r="Q25" s="138">
        <f>IFERROR(VLOOKUP($A25,'The List'!$B1:$AS665,43,FALSE)," ")</f>
        <v>2.5159979667411316</v>
      </c>
      <c r="R25" s="86"/>
      <c r="S25" s="86"/>
      <c r="T25" s="139" t="str">
        <f>A$1</f>
        <v>TEAM 1</v>
      </c>
      <c r="U25" s="207">
        <f>F22+F28</f>
        <v>2712.5107188099983</v>
      </c>
      <c r="V25" s="195"/>
      <c r="W25" s="195"/>
      <c r="X25" s="207">
        <f>G28+G22</f>
        <v>825.77045780810943</v>
      </c>
      <c r="Y25" s="195"/>
      <c r="Z25" s="195"/>
      <c r="AA25" s="86"/>
      <c r="AB25" s="86"/>
      <c r="AC25" s="86"/>
      <c r="AD25" s="86"/>
      <c r="AE25" s="86"/>
      <c r="AF25" s="86"/>
    </row>
    <row r="26" spans="1:32" ht="21.25" customHeight="1" x14ac:dyDescent="0.15">
      <c r="A26" s="23"/>
      <c r="B26" s="140" t="str">
        <f>IFERROR(VLOOKUP($A26,'The List'!$B1:$AS665,3,FALSE)," ")</f>
        <v xml:space="preserve"> </v>
      </c>
      <c r="C26" s="141" t="str">
        <f>IFERROR(VLOOKUP($A26,'The List'!$B1:$AS665,4,FALSE)," ")</f>
        <v xml:space="preserve"> </v>
      </c>
      <c r="D26" s="65" t="str">
        <f>IFERROR(VLOOKUP($A26,'The List'!$B1:$AS665,5,FALSE)," ")</f>
        <v xml:space="preserve"> </v>
      </c>
      <c r="E26" s="65" t="str">
        <f>IFERROR(VLOOKUP($A26,'The List'!$B1:$AS665,6,FALSE)," ")</f>
        <v xml:space="preserve"> </v>
      </c>
      <c r="F26" s="93" t="str">
        <f>IFERROR(VLOOKUP($A26,'The List'!$B1:$AS665,8,FALSE)," ")</f>
        <v xml:space="preserve"> </v>
      </c>
      <c r="G26" s="93" t="str">
        <f>IFERROR(VLOOKUP($A26,'The List'!$B1:$AS665,10,FALSE)," ")</f>
        <v xml:space="preserve"> </v>
      </c>
      <c r="H26" s="54"/>
      <c r="I26" s="83" t="str">
        <f>IFERROR(VLOOKUP($A26,'The List'!$B1:$AS665,35,FALSE)," ")</f>
        <v xml:space="preserve"> </v>
      </c>
      <c r="J26" s="83" t="str">
        <f>IFERROR(VLOOKUP($A26,'The List'!$B1:$AS665,36,FALSE)," ")</f>
        <v xml:space="preserve"> </v>
      </c>
      <c r="K26" s="83" t="str">
        <f>IFERROR(VLOOKUP($A26,'The List'!$B1:$AS665,37,FALSE)," ")</f>
        <v xml:space="preserve"> </v>
      </c>
      <c r="L26" s="83" t="str">
        <f>IFERROR(VLOOKUP($A26,'The List'!$B1:$AS665,38,FALSE)," ")</f>
        <v xml:space="preserve"> </v>
      </c>
      <c r="M26" s="83" t="str">
        <f>IFERROR(VLOOKUP($A26,'The List'!$B1:$AS665,39,FALSE)," ")</f>
        <v xml:space="preserve"> </v>
      </c>
      <c r="N26" s="83" t="str">
        <f>IFERROR(VLOOKUP($A26,'The List'!$B1:$AS665,40,FALSE)," ")</f>
        <v xml:space="preserve"> </v>
      </c>
      <c r="O26" s="83" t="str">
        <f>IFERROR(VLOOKUP($A26,'The List'!$B1:$AS665,41,FALSE)," ")</f>
        <v xml:space="preserve"> </v>
      </c>
      <c r="P26" s="83" t="str">
        <f>IFERROR(VLOOKUP($A26,'The List'!$B1:$AS665,42,FALSE)," ")</f>
        <v xml:space="preserve"> </v>
      </c>
      <c r="Q26" s="83" t="str">
        <f>IFERROR(VLOOKUP($A26,'The List'!$B1:$AS665,43,FALSE)," ")</f>
        <v xml:space="preserve"> </v>
      </c>
      <c r="R26" s="86"/>
      <c r="S26" s="86"/>
      <c r="T26" s="86"/>
      <c r="U26" s="195"/>
      <c r="V26" s="195"/>
      <c r="W26" s="195"/>
      <c r="X26" s="195"/>
      <c r="Y26" s="195"/>
      <c r="Z26" s="195"/>
      <c r="AA26" s="86"/>
      <c r="AB26" s="86"/>
      <c r="AC26" s="86"/>
      <c r="AD26" s="86"/>
      <c r="AE26" s="86"/>
      <c r="AF26" s="86"/>
    </row>
    <row r="27" spans="1:32" ht="21.25" customHeight="1" x14ac:dyDescent="0.15">
      <c r="A27" s="104"/>
      <c r="B27" s="142" t="str">
        <f>IFERROR(VLOOKUP($A27,'The List'!$B1:$AS665,3,FALSE)," ")</f>
        <v xml:space="preserve"> </v>
      </c>
      <c r="C27" s="143" t="str">
        <f>IFERROR(VLOOKUP($A27,'The List'!$B1:$AS665,4,FALSE)," ")</f>
        <v xml:space="preserve"> </v>
      </c>
      <c r="D27" s="107" t="str">
        <f>IFERROR(VLOOKUP($A27,'The List'!$B1:$AS665,5,FALSE)," ")</f>
        <v xml:space="preserve"> </v>
      </c>
      <c r="E27" s="107" t="str">
        <f>IFERROR(VLOOKUP($A27,'The List'!$B1:$AS665,6,FALSE)," ")</f>
        <v xml:space="preserve"> </v>
      </c>
      <c r="F27" s="108" t="str">
        <f>IFERROR(VLOOKUP($A27,'The List'!$B1:$AS665,8,FALSE)," ")</f>
        <v xml:space="preserve"> </v>
      </c>
      <c r="G27" s="108" t="str">
        <f>IFERROR(VLOOKUP($A27,'The List'!$B1:$AS665,10,FALSE)," ")</f>
        <v xml:space="preserve"> </v>
      </c>
      <c r="H27" s="109"/>
      <c r="I27" s="110" t="str">
        <f>IFERROR(VLOOKUP($A27,'The List'!$B1:$AS665,35,FALSE)," ")</f>
        <v xml:space="preserve"> </v>
      </c>
      <c r="J27" s="110" t="str">
        <f>IFERROR(VLOOKUP($A27,'The List'!$B1:$AS665,36,FALSE)," ")</f>
        <v xml:space="preserve"> </v>
      </c>
      <c r="K27" s="110" t="str">
        <f>IFERROR(VLOOKUP($A27,'The List'!$B1:$AS665,37,FALSE)," ")</f>
        <v xml:space="preserve"> </v>
      </c>
      <c r="L27" s="110" t="str">
        <f>IFERROR(VLOOKUP($A27,'The List'!$B1:$AS665,38,FALSE)," ")</f>
        <v xml:space="preserve"> </v>
      </c>
      <c r="M27" s="110" t="str">
        <f>IFERROR(VLOOKUP($A27,'The List'!$B1:$AS665,39,FALSE)," ")</f>
        <v xml:space="preserve"> </v>
      </c>
      <c r="N27" s="110" t="str">
        <f>IFERROR(VLOOKUP($A27,'The List'!$B1:$AS665,40,FALSE)," ")</f>
        <v xml:space="preserve"> </v>
      </c>
      <c r="O27" s="110" t="str">
        <f>IFERROR(VLOOKUP($A27,'The List'!$B1:$AS665,41,FALSE)," ")</f>
        <v xml:space="preserve"> </v>
      </c>
      <c r="P27" s="110" t="str">
        <f>IFERROR(VLOOKUP($A27,'The List'!$B1:$AS665,42,FALSE)," ")</f>
        <v xml:space="preserve"> </v>
      </c>
      <c r="Q27" s="110" t="str">
        <f>IFERROR(VLOOKUP($A27,'The List'!$B1:$AS665,43,FALSE)," ")</f>
        <v xml:space="preserve"> </v>
      </c>
      <c r="R27" s="86"/>
      <c r="S27" s="86"/>
      <c r="T27" s="86"/>
      <c r="U27" s="195"/>
      <c r="V27" s="195"/>
      <c r="W27" s="195"/>
      <c r="X27" s="195"/>
      <c r="Y27" s="195"/>
      <c r="Z27" s="195"/>
      <c r="AA27" s="86"/>
      <c r="AB27" s="86"/>
      <c r="AC27" s="86"/>
      <c r="AD27" s="86"/>
      <c r="AE27" s="86"/>
      <c r="AF27" s="86"/>
    </row>
    <row r="28" spans="1:32" ht="21.25" customHeight="1" x14ac:dyDescent="0.15">
      <c r="A28" s="111"/>
      <c r="B28" s="112"/>
      <c r="C28" s="113"/>
      <c r="D28" s="114"/>
      <c r="E28" s="115">
        <f>IFERROR(AVERAGE(E25:E27)," ")</f>
        <v>28</v>
      </c>
      <c r="F28" s="116">
        <f>SUM(F25:F27)</f>
        <v>484.22409325757781</v>
      </c>
      <c r="G28" s="116">
        <f>SUM(G25:G27)</f>
        <v>73.564350488157629</v>
      </c>
      <c r="H28" s="117"/>
      <c r="I28" s="118">
        <f t="shared" ref="I28:O28" si="1">SUM(I25:I27)</f>
        <v>60</v>
      </c>
      <c r="J28" s="117">
        <f t="shared" si="1"/>
        <v>38.825850385632428</v>
      </c>
      <c r="K28" s="118">
        <f t="shared" si="1"/>
        <v>13.674149614367572</v>
      </c>
      <c r="L28" s="118">
        <f t="shared" si="1"/>
        <v>7.5</v>
      </c>
      <c r="M28" s="118">
        <f t="shared" si="1"/>
        <v>4.5699095089966741</v>
      </c>
      <c r="N28" s="118">
        <f t="shared" si="1"/>
        <v>1632.1125332101751</v>
      </c>
      <c r="O28" s="118">
        <f t="shared" si="1"/>
        <v>150.9598780044679</v>
      </c>
      <c r="P28" s="144">
        <f>1-(O28/(N28+O28))</f>
        <v>0.91533721398244683</v>
      </c>
      <c r="Q28" s="145">
        <f>O28/I28</f>
        <v>2.5159979667411316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</row>
    <row r="29" spans="1:32" ht="70.75" customHeight="1" x14ac:dyDescent="0.15">
      <c r="A29" s="34"/>
      <c r="B29" s="121"/>
      <c r="C29" s="122"/>
      <c r="D29" s="12"/>
      <c r="E29" s="12"/>
      <c r="F29" s="123"/>
      <c r="G29" s="124"/>
      <c r="H29" s="125"/>
      <c r="I29" s="12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91"/>
      <c r="AB29" s="91"/>
      <c r="AC29" s="91"/>
      <c r="AD29" s="91"/>
      <c r="AE29" s="91"/>
      <c r="AF29" s="91"/>
    </row>
    <row r="30" spans="1:32" ht="21.25" customHeight="1" x14ac:dyDescent="0.15">
      <c r="A30" s="38" t="s">
        <v>794</v>
      </c>
      <c r="B30" s="204" t="s">
        <v>91</v>
      </c>
      <c r="C30" s="200"/>
      <c r="D30" s="39" t="s">
        <v>92</v>
      </c>
      <c r="E30" s="39" t="s">
        <v>93</v>
      </c>
      <c r="F30" s="41" t="s">
        <v>95</v>
      </c>
      <c r="G30" s="41" t="s">
        <v>97</v>
      </c>
      <c r="H30" s="42"/>
      <c r="I30" s="44" t="s">
        <v>102</v>
      </c>
      <c r="J30" s="44" t="s">
        <v>55</v>
      </c>
      <c r="K30" s="44" t="s">
        <v>103</v>
      </c>
      <c r="L30" s="44" t="s">
        <v>104</v>
      </c>
      <c r="M30" s="44" t="s">
        <v>105</v>
      </c>
      <c r="N30" s="44" t="s">
        <v>106</v>
      </c>
      <c r="O30" s="44" t="s">
        <v>107</v>
      </c>
      <c r="P30" s="44" t="s">
        <v>63</v>
      </c>
      <c r="Q30" s="44" t="s">
        <v>108</v>
      </c>
      <c r="R30" s="44" t="s">
        <v>109</v>
      </c>
      <c r="S30" s="44" t="s">
        <v>110</v>
      </c>
      <c r="T30" s="44" t="s">
        <v>111</v>
      </c>
      <c r="U30" s="44" t="s">
        <v>112</v>
      </c>
      <c r="V30" s="44" t="s">
        <v>113</v>
      </c>
      <c r="W30" s="44" t="s">
        <v>114</v>
      </c>
      <c r="X30" s="44" t="s">
        <v>115</v>
      </c>
      <c r="Y30" s="44" t="s">
        <v>116</v>
      </c>
      <c r="Z30" s="44" t="s">
        <v>117</v>
      </c>
      <c r="AA30" s="86"/>
      <c r="AB30" s="91"/>
      <c r="AC30" s="87"/>
      <c r="AD30" s="87"/>
      <c r="AE30" s="87"/>
      <c r="AF30" s="87"/>
    </row>
    <row r="31" spans="1:32" ht="21.25" customHeight="1" x14ac:dyDescent="0.15">
      <c r="A31" s="23"/>
      <c r="B31" s="88" t="str">
        <f>IFERROR(VLOOKUP($A31,'The List'!$B1:$AS665,3,FALSE)," ")</f>
        <v xml:space="preserve"> </v>
      </c>
      <c r="C31" s="92" t="str">
        <f>IFERROR(VLOOKUP($A31,'The List'!$B1:$AS665,4,FALSE)," ")</f>
        <v xml:space="preserve"> </v>
      </c>
      <c r="D31" s="65" t="str">
        <f>IFERROR(VLOOKUP($A31,'The List'!$B1:$AS665,5,FALSE)," ")</f>
        <v xml:space="preserve"> </v>
      </c>
      <c r="E31" s="65" t="str">
        <f>IFERROR(VLOOKUP($A31,'The List'!$B1:$AS665,6,FALSE)," ")</f>
        <v xml:space="preserve"> </v>
      </c>
      <c r="F31" s="93" t="str">
        <f>IFERROR(VLOOKUP($A31,'The List'!$B1:$AS665,8,FALSE)," ")</f>
        <v xml:space="preserve"> </v>
      </c>
      <c r="G31" s="93" t="str">
        <f>IFERROR(VLOOKUP($A31,'The List'!$B1:$AS665,10,FALSE)," ")</f>
        <v xml:space="preserve"> </v>
      </c>
      <c r="H31" s="54"/>
      <c r="I31" s="83" t="str">
        <f>IFERROR(VLOOKUP($A31,'The List'!$B1:$AS665,16,FALSE)," ")</f>
        <v xml:space="preserve"> </v>
      </c>
      <c r="J31" s="83" t="str">
        <f>IFERROR(VLOOKUP($A31,'The List'!$B1:$AS665,17,FALSE)," ")</f>
        <v xml:space="preserve"> </v>
      </c>
      <c r="K31" s="83" t="str">
        <f>IFERROR(VLOOKUP($A31,'The List'!$B1:$AS665,18,FALSE)," ")</f>
        <v xml:space="preserve"> </v>
      </c>
      <c r="L31" s="83" t="str">
        <f>IFERROR(VLOOKUP($A31,'The List'!$B1:$AS665,19,FALSE)," ")</f>
        <v xml:space="preserve"> </v>
      </c>
      <c r="M31" s="83" t="str">
        <f>IFERROR(VLOOKUP($A31,'The List'!$B1:$AS665,20,FALSE)," ")</f>
        <v xml:space="preserve"> </v>
      </c>
      <c r="N31" s="83" t="str">
        <f>IFERROR(VLOOKUP($A31,'The List'!$B1:$AS665,21,FALSE)," ")</f>
        <v xml:space="preserve"> </v>
      </c>
      <c r="O31" s="83" t="str">
        <f>IFERROR(VLOOKUP($A31,'The List'!$B1:$AS665,22,FALSE)," ")</f>
        <v xml:space="preserve"> </v>
      </c>
      <c r="P31" s="83" t="str">
        <f>IFERROR(VLOOKUP($A31,'The List'!$B1:$AS665,23,FALSE)," ")</f>
        <v xml:space="preserve"> </v>
      </c>
      <c r="Q31" s="83" t="str">
        <f>IFERROR(VLOOKUP($A31,'The List'!$B1:$AS665,24,FALSE)," ")</f>
        <v xml:space="preserve"> </v>
      </c>
      <c r="R31" s="83" t="str">
        <f>IFERROR(VLOOKUP($A31,'The List'!$B1:$AS665,25,FALSE)," ")</f>
        <v xml:space="preserve"> </v>
      </c>
      <c r="S31" s="83" t="str">
        <f>IFERROR(VLOOKUP($A31,'The List'!$B1:$AS665,26,FALSE)," ")</f>
        <v xml:space="preserve"> </v>
      </c>
      <c r="T31" s="83" t="str">
        <f>IFERROR(VLOOKUP($A31,'The List'!$B1:$AS665,27,FALSE)," ")</f>
        <v xml:space="preserve"> </v>
      </c>
      <c r="U31" s="83" t="str">
        <f>IFERROR(VLOOKUP($A31,'The List'!$B1:$AS665,28,FALSE)," ")</f>
        <v xml:space="preserve"> </v>
      </c>
      <c r="V31" s="83" t="str">
        <f>IFERROR(VLOOKUP($A31,'The List'!$B1:$AS665,29,FALSE)," ")</f>
        <v xml:space="preserve"> </v>
      </c>
      <c r="W31" s="83" t="str">
        <f>IFERROR(VLOOKUP($A31,'The List'!$B1:$AS665,30,FALSE)," ")</f>
        <v xml:space="preserve"> </v>
      </c>
      <c r="X31" s="83" t="str">
        <f>IFERROR(VLOOKUP($A31,'The List'!$B1:$AS665,31,FALSE)," ")</f>
        <v xml:space="preserve"> </v>
      </c>
      <c r="Y31" s="83" t="str">
        <f>IFERROR(VLOOKUP($A31,'The List'!$B1:$AS665,32,FALSE)," ")</f>
        <v xml:space="preserve"> </v>
      </c>
      <c r="Z31" s="83" t="str">
        <f>IFERROR(VLOOKUP($A31,'The List'!$B1:$AS665,33,FALSE)," ")</f>
        <v xml:space="preserve"> </v>
      </c>
      <c r="AA31" s="86"/>
      <c r="AB31" s="91"/>
      <c r="AC31" s="91"/>
      <c r="AD31" s="91"/>
      <c r="AE31" s="91"/>
      <c r="AF31" s="91"/>
    </row>
    <row r="32" spans="1:32" ht="21.25" customHeight="1" x14ac:dyDescent="0.15">
      <c r="A32" s="23"/>
      <c r="B32" s="88" t="str">
        <f>IFERROR(VLOOKUP($A32,'The List'!$B1:$AS665,3,FALSE)," ")</f>
        <v xml:space="preserve"> </v>
      </c>
      <c r="C32" s="92" t="str">
        <f>IFERROR(VLOOKUP($A32,'The List'!$B1:$AS665,4,FALSE)," ")</f>
        <v xml:space="preserve"> </v>
      </c>
      <c r="D32" s="65" t="str">
        <f>IFERROR(VLOOKUP($A32,'The List'!$B1:$AS665,5,FALSE)," ")</f>
        <v xml:space="preserve"> </v>
      </c>
      <c r="E32" s="65" t="str">
        <f>IFERROR(VLOOKUP($A32,'The List'!$B1:$AS665,6,FALSE)," ")</f>
        <v xml:space="preserve"> </v>
      </c>
      <c r="F32" s="93" t="str">
        <f>IFERROR(VLOOKUP($A32,'The List'!$B1:$AS665,8,FALSE)," ")</f>
        <v xml:space="preserve"> </v>
      </c>
      <c r="G32" s="93" t="str">
        <f>IFERROR(VLOOKUP($A32,'The List'!$B1:$AS665,10,FALSE)," ")</f>
        <v xml:space="preserve"> </v>
      </c>
      <c r="H32" s="54"/>
      <c r="I32" s="83" t="str">
        <f>IFERROR(VLOOKUP($A32,'The List'!$B1:$AS665,16,FALSE)," ")</f>
        <v xml:space="preserve"> </v>
      </c>
      <c r="J32" s="83" t="str">
        <f>IFERROR(VLOOKUP($A32,'The List'!$B1:$AS665,17,FALSE)," ")</f>
        <v xml:space="preserve"> </v>
      </c>
      <c r="K32" s="83" t="str">
        <f>IFERROR(VLOOKUP($A32,'The List'!$B1:$AS665,18,FALSE)," ")</f>
        <v xml:space="preserve"> </v>
      </c>
      <c r="L32" s="83" t="str">
        <f>IFERROR(VLOOKUP($A32,'The List'!$B1:$AS665,19,FALSE)," ")</f>
        <v xml:space="preserve"> </v>
      </c>
      <c r="M32" s="83" t="str">
        <f>IFERROR(VLOOKUP($A32,'The List'!$B1:$AS665,20,FALSE)," ")</f>
        <v xml:space="preserve"> </v>
      </c>
      <c r="N32" s="83" t="str">
        <f>IFERROR(VLOOKUP($A32,'The List'!$B1:$AS665,21,FALSE)," ")</f>
        <v xml:space="preserve"> </v>
      </c>
      <c r="O32" s="83" t="str">
        <f>IFERROR(VLOOKUP($A32,'The List'!$B1:$AS665,22,FALSE)," ")</f>
        <v xml:space="preserve"> </v>
      </c>
      <c r="P32" s="83" t="str">
        <f>IFERROR(VLOOKUP($A32,'The List'!$B1:$AS665,23,FALSE)," ")</f>
        <v xml:space="preserve"> </v>
      </c>
      <c r="Q32" s="83" t="str">
        <f>IFERROR(VLOOKUP($A32,'The List'!$B1:$AS665,24,FALSE)," ")</f>
        <v xml:space="preserve"> </v>
      </c>
      <c r="R32" s="83" t="str">
        <f>IFERROR(VLOOKUP($A32,'The List'!$B1:$AS665,25,FALSE)," ")</f>
        <v xml:space="preserve"> </v>
      </c>
      <c r="S32" s="83" t="str">
        <f>IFERROR(VLOOKUP($A32,'The List'!$B1:$AS665,26,FALSE)," ")</f>
        <v xml:space="preserve"> </v>
      </c>
      <c r="T32" s="83" t="str">
        <f>IFERROR(VLOOKUP($A32,'The List'!$B1:$AS665,27,FALSE)," ")</f>
        <v xml:space="preserve"> </v>
      </c>
      <c r="U32" s="83" t="str">
        <f>IFERROR(VLOOKUP($A32,'The List'!$B1:$AS665,28,FALSE)," ")</f>
        <v xml:space="preserve"> </v>
      </c>
      <c r="V32" s="83" t="str">
        <f>IFERROR(VLOOKUP($A32,'The List'!$B1:$AS665,29,FALSE)," ")</f>
        <v xml:space="preserve"> </v>
      </c>
      <c r="W32" s="83" t="str">
        <f>IFERROR(VLOOKUP($A32,'The List'!$B1:$AS665,30,FALSE)," ")</f>
        <v xml:space="preserve"> </v>
      </c>
      <c r="X32" s="83" t="str">
        <f>IFERROR(VLOOKUP($A32,'The List'!$B1:$AS665,31,FALSE)," ")</f>
        <v xml:space="preserve"> </v>
      </c>
      <c r="Y32" s="83" t="str">
        <f>IFERROR(VLOOKUP($A32,'The List'!$B1:$AS665,32,FALSE)," ")</f>
        <v xml:space="preserve"> </v>
      </c>
      <c r="Z32" s="83" t="str">
        <f>IFERROR(VLOOKUP($A32,'The List'!$B1:$AS665,33,FALSE)," ")</f>
        <v xml:space="preserve"> </v>
      </c>
      <c r="AA32" s="86"/>
      <c r="AB32" s="91"/>
      <c r="AC32" s="91"/>
      <c r="AD32" s="91"/>
      <c r="AE32" s="91"/>
      <c r="AF32" s="91"/>
    </row>
    <row r="33" spans="1:32" ht="21.25" customHeight="1" x14ac:dyDescent="0.15">
      <c r="A33" s="23"/>
      <c r="B33" s="88" t="str">
        <f>IFERROR(VLOOKUP($A33,'The List'!$B1:$AS665,3,FALSE)," ")</f>
        <v xml:space="preserve"> </v>
      </c>
      <c r="C33" s="92" t="str">
        <f>IFERROR(VLOOKUP($A33,'The List'!$B1:$AS665,4,FALSE)," ")</f>
        <v xml:space="preserve"> </v>
      </c>
      <c r="D33" s="65" t="str">
        <f>IFERROR(VLOOKUP($A33,'The List'!$B1:$AS665,5,FALSE)," ")</f>
        <v xml:space="preserve"> </v>
      </c>
      <c r="E33" s="65" t="str">
        <f>IFERROR(VLOOKUP($A33,'The List'!$B1:$AS665,6,FALSE)," ")</f>
        <v xml:space="preserve"> </v>
      </c>
      <c r="F33" s="93" t="str">
        <f>IFERROR(VLOOKUP($A33,'The List'!$B1:$AS665,8,FALSE)," ")</f>
        <v xml:space="preserve"> </v>
      </c>
      <c r="G33" s="93" t="str">
        <f>IFERROR(VLOOKUP($A33,'The List'!$B1:$AS665,10,FALSE)," ")</f>
        <v xml:space="preserve"> </v>
      </c>
      <c r="H33" s="54"/>
      <c r="I33" s="83" t="str">
        <f>IFERROR(VLOOKUP($A33,'The List'!$B1:$AS665,16,FALSE)," ")</f>
        <v xml:space="preserve"> </v>
      </c>
      <c r="J33" s="83" t="str">
        <f>IFERROR(VLOOKUP($A33,'The List'!$B1:$AS665,17,FALSE)," ")</f>
        <v xml:space="preserve"> </v>
      </c>
      <c r="K33" s="83" t="str">
        <f>IFERROR(VLOOKUP($A33,'The List'!$B1:$AS665,18,FALSE)," ")</f>
        <v xml:space="preserve"> </v>
      </c>
      <c r="L33" s="83" t="str">
        <f>IFERROR(VLOOKUP($A33,'The List'!$B1:$AS665,19,FALSE)," ")</f>
        <v xml:space="preserve"> </v>
      </c>
      <c r="M33" s="83" t="str">
        <f>IFERROR(VLOOKUP($A33,'The List'!$B1:$AS665,20,FALSE)," ")</f>
        <v xml:space="preserve"> </v>
      </c>
      <c r="N33" s="83" t="str">
        <f>IFERROR(VLOOKUP($A33,'The List'!$B1:$AS665,21,FALSE)," ")</f>
        <v xml:space="preserve"> </v>
      </c>
      <c r="O33" s="83" t="str">
        <f>IFERROR(VLOOKUP($A33,'The List'!$B1:$AS665,22,FALSE)," ")</f>
        <v xml:space="preserve"> </v>
      </c>
      <c r="P33" s="83" t="str">
        <f>IFERROR(VLOOKUP($A33,'The List'!$B1:$AS665,23,FALSE)," ")</f>
        <v xml:space="preserve"> </v>
      </c>
      <c r="Q33" s="83" t="str">
        <f>IFERROR(VLOOKUP($A33,'The List'!$B1:$AS665,24,FALSE)," ")</f>
        <v xml:space="preserve"> </v>
      </c>
      <c r="R33" s="83" t="str">
        <f>IFERROR(VLOOKUP($A33,'The List'!$B1:$AS665,25,FALSE)," ")</f>
        <v xml:space="preserve"> </v>
      </c>
      <c r="S33" s="83" t="str">
        <f>IFERROR(VLOOKUP($A33,'The List'!$B1:$AS665,26,FALSE)," ")</f>
        <v xml:space="preserve"> </v>
      </c>
      <c r="T33" s="83" t="str">
        <f>IFERROR(VLOOKUP($A33,'The List'!$B1:$AS665,27,FALSE)," ")</f>
        <v xml:space="preserve"> </v>
      </c>
      <c r="U33" s="83" t="str">
        <f>IFERROR(VLOOKUP($A33,'The List'!$B1:$AS665,28,FALSE)," ")</f>
        <v xml:space="preserve"> </v>
      </c>
      <c r="V33" s="83" t="str">
        <f>IFERROR(VLOOKUP($A33,'The List'!$B1:$AS665,29,FALSE)," ")</f>
        <v xml:space="preserve"> </v>
      </c>
      <c r="W33" s="83" t="str">
        <f>IFERROR(VLOOKUP($A33,'The List'!$B1:$AS665,30,FALSE)," ")</f>
        <v xml:space="preserve"> </v>
      </c>
      <c r="X33" s="83" t="str">
        <f>IFERROR(VLOOKUP($A33,'The List'!$B1:$AS665,31,FALSE)," ")</f>
        <v xml:space="preserve"> </v>
      </c>
      <c r="Y33" s="83" t="str">
        <f>IFERROR(VLOOKUP($A33,'The List'!$B1:$AS665,32,FALSE)," ")</f>
        <v xml:space="preserve"> </v>
      </c>
      <c r="Z33" s="83" t="str">
        <f>IFERROR(VLOOKUP($A33,'The List'!$B1:$AS665,33,FALSE)," ")</f>
        <v xml:space="preserve"> </v>
      </c>
      <c r="AA33" s="86"/>
      <c r="AB33" s="91"/>
      <c r="AC33" s="91"/>
      <c r="AD33" s="91"/>
      <c r="AE33" s="91"/>
      <c r="AF33" s="91"/>
    </row>
    <row r="34" spans="1:32" ht="21.25" customHeight="1" x14ac:dyDescent="0.15">
      <c r="A34" s="23"/>
      <c r="B34" s="88" t="str">
        <f>IFERROR(VLOOKUP($A34,'The List'!$B1:$AS665,3,FALSE)," ")</f>
        <v xml:space="preserve"> </v>
      </c>
      <c r="C34" s="92" t="str">
        <f>IFERROR(VLOOKUP($A34,'The List'!$B1:$AS665,4,FALSE)," ")</f>
        <v xml:space="preserve"> </v>
      </c>
      <c r="D34" s="65" t="str">
        <f>IFERROR(VLOOKUP($A34,'The List'!$B1:$AS665,5,FALSE)," ")</f>
        <v xml:space="preserve"> </v>
      </c>
      <c r="E34" s="65" t="str">
        <f>IFERROR(VLOOKUP($A34,'The List'!$B1:$AS665,6,FALSE)," ")</f>
        <v xml:space="preserve"> </v>
      </c>
      <c r="F34" s="93" t="str">
        <f>IFERROR(VLOOKUP($A34,'The List'!$B1:$AS665,8,FALSE)," ")</f>
        <v xml:space="preserve"> </v>
      </c>
      <c r="G34" s="93" t="str">
        <f>IFERROR(VLOOKUP($A34,'The List'!$B1:$AS665,10,FALSE)," ")</f>
        <v xml:space="preserve"> </v>
      </c>
      <c r="H34" s="54"/>
      <c r="I34" s="83" t="str">
        <f>IFERROR(VLOOKUP($A34,'The List'!$B1:$AS665,16,FALSE)," ")</f>
        <v xml:space="preserve"> </v>
      </c>
      <c r="J34" s="83" t="str">
        <f>IFERROR(VLOOKUP($A34,'The List'!$B1:$AS665,17,FALSE)," ")</f>
        <v xml:space="preserve"> </v>
      </c>
      <c r="K34" s="83" t="str">
        <f>IFERROR(VLOOKUP($A34,'The List'!$B1:$AS665,18,FALSE)," ")</f>
        <v xml:space="preserve"> </v>
      </c>
      <c r="L34" s="83" t="str">
        <f>IFERROR(VLOOKUP($A34,'The List'!$B1:$AS665,19,FALSE)," ")</f>
        <v xml:space="preserve"> </v>
      </c>
      <c r="M34" s="83" t="str">
        <f>IFERROR(VLOOKUP($A34,'The List'!$B1:$AS665,20,FALSE)," ")</f>
        <v xml:space="preserve"> </v>
      </c>
      <c r="N34" s="83" t="str">
        <f>IFERROR(VLOOKUP($A34,'The List'!$B1:$AS665,21,FALSE)," ")</f>
        <v xml:space="preserve"> </v>
      </c>
      <c r="O34" s="83" t="str">
        <f>IFERROR(VLOOKUP($A34,'The List'!$B1:$AS665,22,FALSE)," ")</f>
        <v xml:space="preserve"> </v>
      </c>
      <c r="P34" s="83" t="str">
        <f>IFERROR(VLOOKUP($A34,'The List'!$B1:$AS665,23,FALSE)," ")</f>
        <v xml:space="preserve"> </v>
      </c>
      <c r="Q34" s="83" t="str">
        <f>IFERROR(VLOOKUP($A34,'The List'!$B1:$AS665,24,FALSE)," ")</f>
        <v xml:space="preserve"> </v>
      </c>
      <c r="R34" s="83" t="str">
        <f>IFERROR(VLOOKUP($A34,'The List'!$B1:$AS665,25,FALSE)," ")</f>
        <v xml:space="preserve"> </v>
      </c>
      <c r="S34" s="83" t="str">
        <f>IFERROR(VLOOKUP($A34,'The List'!$B1:$AS665,26,FALSE)," ")</f>
        <v xml:space="preserve"> </v>
      </c>
      <c r="T34" s="83" t="str">
        <f>IFERROR(VLOOKUP($A34,'The List'!$B1:$AS665,27,FALSE)," ")</f>
        <v xml:space="preserve"> </v>
      </c>
      <c r="U34" s="83" t="str">
        <f>IFERROR(VLOOKUP($A34,'The List'!$B1:$AS665,28,FALSE)," ")</f>
        <v xml:space="preserve"> </v>
      </c>
      <c r="V34" s="83" t="str">
        <f>IFERROR(VLOOKUP($A34,'The List'!$B1:$AS665,29,FALSE)," ")</f>
        <v xml:space="preserve"> </v>
      </c>
      <c r="W34" s="83" t="str">
        <f>IFERROR(VLOOKUP($A34,'The List'!$B1:$AS665,30,FALSE)," ")</f>
        <v xml:space="preserve"> </v>
      </c>
      <c r="X34" s="83" t="str">
        <f>IFERROR(VLOOKUP($A34,'The List'!$B1:$AS665,31,FALSE)," ")</f>
        <v xml:space="preserve"> </v>
      </c>
      <c r="Y34" s="83" t="str">
        <f>IFERROR(VLOOKUP($A34,'The List'!$B1:$AS665,32,FALSE)," ")</f>
        <v xml:space="preserve"> </v>
      </c>
      <c r="Z34" s="83" t="str">
        <f>IFERROR(VLOOKUP($A34,'The List'!$B1:$AS665,33,FALSE)," ")</f>
        <v xml:space="preserve"> </v>
      </c>
      <c r="AA34" s="86"/>
      <c r="AB34" s="91"/>
      <c r="AC34" s="91"/>
      <c r="AD34" s="91"/>
      <c r="AE34" s="91"/>
      <c r="AF34" s="91"/>
    </row>
    <row r="35" spans="1:32" ht="21.25" customHeight="1" x14ac:dyDescent="0.15">
      <c r="A35" s="23"/>
      <c r="B35" s="94" t="str">
        <f>IFERROR(VLOOKUP($A35,'The List'!$B1:$AS665,3,FALSE)," ")</f>
        <v xml:space="preserve"> </v>
      </c>
      <c r="C35" s="96" t="str">
        <f>IFERROR(VLOOKUP($A35,'The List'!$B1:$AS665,4,FALSE)," ")</f>
        <v xml:space="preserve"> </v>
      </c>
      <c r="D35" s="65" t="str">
        <f>IFERROR(VLOOKUP($A35,'The List'!$B1:$AS665,5,FALSE)," ")</f>
        <v xml:space="preserve"> </v>
      </c>
      <c r="E35" s="65" t="str">
        <f>IFERROR(VLOOKUP($A35,'The List'!$B1:$AS665,6,FALSE)," ")</f>
        <v xml:space="preserve"> </v>
      </c>
      <c r="F35" s="93" t="str">
        <f>IFERROR(VLOOKUP($A35,'The List'!$B1:$AS665,8,FALSE)," ")</f>
        <v xml:space="preserve"> </v>
      </c>
      <c r="G35" s="93" t="str">
        <f>IFERROR(VLOOKUP($A35,'The List'!$B1:$AS665,10,FALSE)," ")</f>
        <v xml:space="preserve"> </v>
      </c>
      <c r="H35" s="54"/>
      <c r="I35" s="83" t="str">
        <f>IFERROR(VLOOKUP($A35,'The List'!$B1:$AS665,16,FALSE)," ")</f>
        <v xml:space="preserve"> </v>
      </c>
      <c r="J35" s="83" t="str">
        <f>IFERROR(VLOOKUP($A35,'The List'!$B1:$AS665,17,FALSE)," ")</f>
        <v xml:space="preserve"> </v>
      </c>
      <c r="K35" s="83" t="str">
        <f>IFERROR(VLOOKUP($A35,'The List'!$B1:$AS665,18,FALSE)," ")</f>
        <v xml:space="preserve"> </v>
      </c>
      <c r="L35" s="83" t="str">
        <f>IFERROR(VLOOKUP($A35,'The List'!$B1:$AS665,19,FALSE)," ")</f>
        <v xml:space="preserve"> </v>
      </c>
      <c r="M35" s="83" t="str">
        <f>IFERROR(VLOOKUP($A35,'The List'!$B1:$AS665,20,FALSE)," ")</f>
        <v xml:space="preserve"> </v>
      </c>
      <c r="N35" s="83" t="str">
        <f>IFERROR(VLOOKUP($A35,'The List'!$B1:$AS665,21,FALSE)," ")</f>
        <v xml:space="preserve"> </v>
      </c>
      <c r="O35" s="83" t="str">
        <f>IFERROR(VLOOKUP($A35,'The List'!$B1:$AS665,22,FALSE)," ")</f>
        <v xml:space="preserve"> </v>
      </c>
      <c r="P35" s="83" t="str">
        <f>IFERROR(VLOOKUP($A35,'The List'!$B1:$AS665,23,FALSE)," ")</f>
        <v xml:space="preserve"> </v>
      </c>
      <c r="Q35" s="83" t="str">
        <f>IFERROR(VLOOKUP($A35,'The List'!$B1:$AS665,24,FALSE)," ")</f>
        <v xml:space="preserve"> </v>
      </c>
      <c r="R35" s="83" t="str">
        <f>IFERROR(VLOOKUP($A35,'The List'!$B1:$AS665,25,FALSE)," ")</f>
        <v xml:space="preserve"> </v>
      </c>
      <c r="S35" s="83" t="str">
        <f>IFERROR(VLOOKUP($A35,'The List'!$B1:$AS665,26,FALSE)," ")</f>
        <v xml:space="preserve"> </v>
      </c>
      <c r="T35" s="83" t="str">
        <f>IFERROR(VLOOKUP($A35,'The List'!$B1:$AS665,27,FALSE)," ")</f>
        <v xml:space="preserve"> </v>
      </c>
      <c r="U35" s="83" t="str">
        <f>IFERROR(VLOOKUP($A35,'The List'!$B1:$AS665,28,FALSE)," ")</f>
        <v xml:space="preserve"> </v>
      </c>
      <c r="V35" s="83" t="str">
        <f>IFERROR(VLOOKUP($A35,'The List'!$B1:$AS665,29,FALSE)," ")</f>
        <v xml:space="preserve"> </v>
      </c>
      <c r="W35" s="83" t="str">
        <f>IFERROR(VLOOKUP($A35,'The List'!$B1:$AS665,30,FALSE)," ")</f>
        <v xml:space="preserve"> </v>
      </c>
      <c r="X35" s="83" t="str">
        <f>IFERROR(VLOOKUP($A35,'The List'!$B1:$AS665,31,FALSE)," ")</f>
        <v xml:space="preserve"> </v>
      </c>
      <c r="Y35" s="83" t="str">
        <f>IFERROR(VLOOKUP($A35,'The List'!$B1:$AS665,32,FALSE)," ")</f>
        <v xml:space="preserve"> </v>
      </c>
      <c r="Z35" s="83" t="str">
        <f>IFERROR(VLOOKUP($A35,'The List'!$B1:$AS665,33,FALSE)," ")</f>
        <v xml:space="preserve"> </v>
      </c>
      <c r="AA35" s="86"/>
      <c r="AB35" s="91"/>
      <c r="AC35" s="91"/>
      <c r="AD35" s="91"/>
      <c r="AE35" s="91"/>
      <c r="AF35" s="91"/>
    </row>
    <row r="36" spans="1:32" ht="21.25" customHeight="1" x14ac:dyDescent="0.15">
      <c r="A36" s="23"/>
      <c r="B36" s="94" t="str">
        <f>IFERROR(VLOOKUP($A36,'The List'!$B1:$AS665,3,FALSE)," ")</f>
        <v xml:space="preserve"> </v>
      </c>
      <c r="C36" s="96" t="str">
        <f>IFERROR(VLOOKUP($A36,'The List'!$B1:$AS665,4,FALSE)," ")</f>
        <v xml:space="preserve"> </v>
      </c>
      <c r="D36" s="65" t="str">
        <f>IFERROR(VLOOKUP($A36,'The List'!$B1:$AS665,5,FALSE)," ")</f>
        <v xml:space="preserve"> </v>
      </c>
      <c r="E36" s="65" t="str">
        <f>IFERROR(VLOOKUP($A36,'The List'!$B1:$AS665,6,FALSE)," ")</f>
        <v xml:space="preserve"> </v>
      </c>
      <c r="F36" s="93" t="str">
        <f>IFERROR(VLOOKUP($A36,'The List'!$B1:$AS665,8,FALSE)," ")</f>
        <v xml:space="preserve"> </v>
      </c>
      <c r="G36" s="93" t="str">
        <f>IFERROR(VLOOKUP($A36,'The List'!$B1:$AS665,10,FALSE)," ")</f>
        <v xml:space="preserve"> </v>
      </c>
      <c r="H36" s="54"/>
      <c r="I36" s="83" t="str">
        <f>IFERROR(VLOOKUP($A36,'The List'!$B1:$AS665,16,FALSE)," ")</f>
        <v xml:space="preserve"> </v>
      </c>
      <c r="J36" s="83" t="str">
        <f>IFERROR(VLOOKUP($A36,'The List'!$B1:$AS665,17,FALSE)," ")</f>
        <v xml:space="preserve"> </v>
      </c>
      <c r="K36" s="83" t="str">
        <f>IFERROR(VLOOKUP($A36,'The List'!$B1:$AS665,18,FALSE)," ")</f>
        <v xml:space="preserve"> </v>
      </c>
      <c r="L36" s="83" t="str">
        <f>IFERROR(VLOOKUP($A36,'The List'!$B1:$AS665,19,FALSE)," ")</f>
        <v xml:space="preserve"> </v>
      </c>
      <c r="M36" s="83" t="str">
        <f>IFERROR(VLOOKUP($A36,'The List'!$B1:$AS665,20,FALSE)," ")</f>
        <v xml:space="preserve"> </v>
      </c>
      <c r="N36" s="83" t="str">
        <f>IFERROR(VLOOKUP($A36,'The List'!$B1:$AS665,21,FALSE)," ")</f>
        <v xml:space="preserve"> </v>
      </c>
      <c r="O36" s="83" t="str">
        <f>IFERROR(VLOOKUP($A36,'The List'!$B1:$AS665,22,FALSE)," ")</f>
        <v xml:space="preserve"> </v>
      </c>
      <c r="P36" s="83" t="str">
        <f>IFERROR(VLOOKUP($A36,'The List'!$B1:$AS665,23,FALSE)," ")</f>
        <v xml:space="preserve"> </v>
      </c>
      <c r="Q36" s="83" t="str">
        <f>IFERROR(VLOOKUP($A36,'The List'!$B1:$AS665,24,FALSE)," ")</f>
        <v xml:space="preserve"> </v>
      </c>
      <c r="R36" s="83" t="str">
        <f>IFERROR(VLOOKUP($A36,'The List'!$B1:$AS665,25,FALSE)," ")</f>
        <v xml:space="preserve"> </v>
      </c>
      <c r="S36" s="83" t="str">
        <f>IFERROR(VLOOKUP($A36,'The List'!$B1:$AS665,26,FALSE)," ")</f>
        <v xml:space="preserve"> </v>
      </c>
      <c r="T36" s="83" t="str">
        <f>IFERROR(VLOOKUP($A36,'The List'!$B1:$AS665,27,FALSE)," ")</f>
        <v xml:space="preserve"> </v>
      </c>
      <c r="U36" s="83" t="str">
        <f>IFERROR(VLOOKUP($A36,'The List'!$B1:$AS665,28,FALSE)," ")</f>
        <v xml:space="preserve"> </v>
      </c>
      <c r="V36" s="83" t="str">
        <f>IFERROR(VLOOKUP($A36,'The List'!$B1:$AS665,29,FALSE)," ")</f>
        <v xml:space="preserve"> </v>
      </c>
      <c r="W36" s="83" t="str">
        <f>IFERROR(VLOOKUP($A36,'The List'!$B1:$AS665,30,FALSE)," ")</f>
        <v xml:space="preserve"> </v>
      </c>
      <c r="X36" s="83" t="str">
        <f>IFERROR(VLOOKUP($A36,'The List'!$B1:$AS665,31,FALSE)," ")</f>
        <v xml:space="preserve"> </v>
      </c>
      <c r="Y36" s="83" t="str">
        <f>IFERROR(VLOOKUP($A36,'The List'!$B1:$AS665,32,FALSE)," ")</f>
        <v xml:space="preserve"> </v>
      </c>
      <c r="Z36" s="83" t="str">
        <f>IFERROR(VLOOKUP($A36,'The List'!$B1:$AS665,33,FALSE)," ")</f>
        <v xml:space="preserve"> </v>
      </c>
      <c r="AA36" s="86"/>
      <c r="AB36" s="91"/>
      <c r="AC36" s="91"/>
      <c r="AD36" s="91"/>
      <c r="AE36" s="91"/>
      <c r="AF36" s="91"/>
    </row>
    <row r="37" spans="1:32" ht="21.25" customHeight="1" x14ac:dyDescent="0.15">
      <c r="A37" s="23"/>
      <c r="B37" s="94" t="str">
        <f>IFERROR(VLOOKUP($A37,'The List'!$B1:$AS665,3,FALSE)," ")</f>
        <v xml:space="preserve"> </v>
      </c>
      <c r="C37" s="96" t="str">
        <f>IFERROR(VLOOKUP($A37,'The List'!$B1:$AS665,4,FALSE)," ")</f>
        <v xml:space="preserve"> </v>
      </c>
      <c r="D37" s="65" t="str">
        <f>IFERROR(VLOOKUP($A37,'The List'!$B1:$AS665,5,FALSE)," ")</f>
        <v xml:space="preserve"> </v>
      </c>
      <c r="E37" s="65" t="str">
        <f>IFERROR(VLOOKUP($A37,'The List'!$B1:$AS665,6,FALSE)," ")</f>
        <v xml:space="preserve"> </v>
      </c>
      <c r="F37" s="93" t="str">
        <f>IFERROR(VLOOKUP($A37,'The List'!$B1:$AS665,8,FALSE)," ")</f>
        <v xml:space="preserve"> </v>
      </c>
      <c r="G37" s="93" t="str">
        <f>IFERROR(VLOOKUP($A37,'The List'!$B1:$AS665,10,FALSE)," ")</f>
        <v xml:space="preserve"> </v>
      </c>
      <c r="H37" s="54"/>
      <c r="I37" s="83" t="str">
        <f>IFERROR(VLOOKUP($A37,'The List'!$B1:$AS665,16,FALSE)," ")</f>
        <v xml:space="preserve"> </v>
      </c>
      <c r="J37" s="83" t="str">
        <f>IFERROR(VLOOKUP($A37,'The List'!$B1:$AS665,17,FALSE)," ")</f>
        <v xml:space="preserve"> </v>
      </c>
      <c r="K37" s="83" t="str">
        <f>IFERROR(VLOOKUP($A37,'The List'!$B1:$AS665,18,FALSE)," ")</f>
        <v xml:space="preserve"> </v>
      </c>
      <c r="L37" s="83" t="str">
        <f>IFERROR(VLOOKUP($A37,'The List'!$B1:$AS665,19,FALSE)," ")</f>
        <v xml:space="preserve"> </v>
      </c>
      <c r="M37" s="83" t="str">
        <f>IFERROR(VLOOKUP($A37,'The List'!$B1:$AS665,20,FALSE)," ")</f>
        <v xml:space="preserve"> </v>
      </c>
      <c r="N37" s="83" t="str">
        <f>IFERROR(VLOOKUP($A37,'The List'!$B1:$AS665,21,FALSE)," ")</f>
        <v xml:space="preserve"> </v>
      </c>
      <c r="O37" s="83" t="str">
        <f>IFERROR(VLOOKUP($A37,'The List'!$B1:$AS665,22,FALSE)," ")</f>
        <v xml:space="preserve"> </v>
      </c>
      <c r="P37" s="83" t="str">
        <f>IFERROR(VLOOKUP($A37,'The List'!$B1:$AS665,23,FALSE)," ")</f>
        <v xml:space="preserve"> </v>
      </c>
      <c r="Q37" s="83" t="str">
        <f>IFERROR(VLOOKUP($A37,'The List'!$B1:$AS665,24,FALSE)," ")</f>
        <v xml:space="preserve"> </v>
      </c>
      <c r="R37" s="83" t="str">
        <f>IFERROR(VLOOKUP($A37,'The List'!$B1:$AS665,25,FALSE)," ")</f>
        <v xml:space="preserve"> </v>
      </c>
      <c r="S37" s="83" t="str">
        <f>IFERROR(VLOOKUP($A37,'The List'!$B1:$AS665,26,FALSE)," ")</f>
        <v xml:space="preserve"> </v>
      </c>
      <c r="T37" s="83" t="str">
        <f>IFERROR(VLOOKUP($A37,'The List'!$B1:$AS665,27,FALSE)," ")</f>
        <v xml:space="preserve"> </v>
      </c>
      <c r="U37" s="83" t="str">
        <f>IFERROR(VLOOKUP($A37,'The List'!$B1:$AS665,28,FALSE)," ")</f>
        <v xml:space="preserve"> </v>
      </c>
      <c r="V37" s="83" t="str">
        <f>IFERROR(VLOOKUP($A37,'The List'!$B1:$AS665,29,FALSE)," ")</f>
        <v xml:space="preserve"> </v>
      </c>
      <c r="W37" s="83" t="str">
        <f>IFERROR(VLOOKUP($A37,'The List'!$B1:$AS665,30,FALSE)," ")</f>
        <v xml:space="preserve"> </v>
      </c>
      <c r="X37" s="83" t="str">
        <f>IFERROR(VLOOKUP($A37,'The List'!$B1:$AS665,31,FALSE)," ")</f>
        <v xml:space="preserve"> </v>
      </c>
      <c r="Y37" s="83" t="str">
        <f>IFERROR(VLOOKUP($A37,'The List'!$B1:$AS665,32,FALSE)," ")</f>
        <v xml:space="preserve"> </v>
      </c>
      <c r="Z37" s="83" t="str">
        <f>IFERROR(VLOOKUP($A37,'The List'!$B1:$AS665,33,FALSE)," ")</f>
        <v xml:space="preserve"> </v>
      </c>
      <c r="AA37" s="86"/>
      <c r="AB37" s="91"/>
      <c r="AC37" s="91"/>
      <c r="AD37" s="91"/>
      <c r="AE37" s="91"/>
      <c r="AF37" s="91"/>
    </row>
    <row r="38" spans="1:32" ht="21.25" customHeight="1" x14ac:dyDescent="0.15">
      <c r="A38" s="23"/>
      <c r="B38" s="94" t="str">
        <f>IFERROR(VLOOKUP($A38,'The List'!$B1:$AS665,3,FALSE)," ")</f>
        <v xml:space="preserve"> </v>
      </c>
      <c r="C38" s="96" t="str">
        <f>IFERROR(VLOOKUP($A38,'The List'!$B1:$AS665,4,FALSE)," ")</f>
        <v xml:space="preserve"> </v>
      </c>
      <c r="D38" s="65" t="str">
        <f>IFERROR(VLOOKUP($A38,'The List'!$B1:$AS665,5,FALSE)," ")</f>
        <v xml:space="preserve"> </v>
      </c>
      <c r="E38" s="65" t="str">
        <f>IFERROR(VLOOKUP($A38,'The List'!$B1:$AS665,6,FALSE)," ")</f>
        <v xml:space="preserve"> </v>
      </c>
      <c r="F38" s="93" t="str">
        <f>IFERROR(VLOOKUP($A38,'The List'!$B1:$AS665,8,FALSE)," ")</f>
        <v xml:space="preserve"> </v>
      </c>
      <c r="G38" s="93" t="str">
        <f>IFERROR(VLOOKUP($A38,'The List'!$B1:$AS665,10,FALSE)," ")</f>
        <v xml:space="preserve"> </v>
      </c>
      <c r="H38" s="54"/>
      <c r="I38" s="83" t="str">
        <f>IFERROR(VLOOKUP($A38,'The List'!$B1:$AS665,16,FALSE)," ")</f>
        <v xml:space="preserve"> </v>
      </c>
      <c r="J38" s="83" t="str">
        <f>IFERROR(VLOOKUP($A38,'The List'!$B1:$AS665,17,FALSE)," ")</f>
        <v xml:space="preserve"> </v>
      </c>
      <c r="K38" s="83" t="str">
        <f>IFERROR(VLOOKUP($A38,'The List'!$B1:$AS665,18,FALSE)," ")</f>
        <v xml:space="preserve"> </v>
      </c>
      <c r="L38" s="83" t="str">
        <f>IFERROR(VLOOKUP($A38,'The List'!$B1:$AS665,19,FALSE)," ")</f>
        <v xml:space="preserve"> </v>
      </c>
      <c r="M38" s="83" t="str">
        <f>IFERROR(VLOOKUP($A38,'The List'!$B1:$AS665,20,FALSE)," ")</f>
        <v xml:space="preserve"> </v>
      </c>
      <c r="N38" s="83" t="str">
        <f>IFERROR(VLOOKUP($A38,'The List'!$B1:$AS665,21,FALSE)," ")</f>
        <v xml:space="preserve"> </v>
      </c>
      <c r="O38" s="83" t="str">
        <f>IFERROR(VLOOKUP($A38,'The List'!$B1:$AS665,22,FALSE)," ")</f>
        <v xml:space="preserve"> </v>
      </c>
      <c r="P38" s="83" t="str">
        <f>IFERROR(VLOOKUP($A38,'The List'!$B1:$AS665,23,FALSE)," ")</f>
        <v xml:space="preserve"> </v>
      </c>
      <c r="Q38" s="83" t="str">
        <f>IFERROR(VLOOKUP($A38,'The List'!$B1:$AS665,24,FALSE)," ")</f>
        <v xml:space="preserve"> </v>
      </c>
      <c r="R38" s="83" t="str">
        <f>IFERROR(VLOOKUP($A38,'The List'!$B1:$AS665,25,FALSE)," ")</f>
        <v xml:space="preserve"> </v>
      </c>
      <c r="S38" s="83" t="str">
        <f>IFERROR(VLOOKUP($A38,'The List'!$B1:$AS665,26,FALSE)," ")</f>
        <v xml:space="preserve"> </v>
      </c>
      <c r="T38" s="83" t="str">
        <f>IFERROR(VLOOKUP($A38,'The List'!$B1:$AS665,27,FALSE)," ")</f>
        <v xml:space="preserve"> </v>
      </c>
      <c r="U38" s="83" t="str">
        <f>IFERROR(VLOOKUP($A38,'The List'!$B1:$AS665,28,FALSE)," ")</f>
        <v xml:space="preserve"> </v>
      </c>
      <c r="V38" s="83" t="str">
        <f>IFERROR(VLOOKUP($A38,'The List'!$B1:$AS665,29,FALSE)," ")</f>
        <v xml:space="preserve"> </v>
      </c>
      <c r="W38" s="83" t="str">
        <f>IFERROR(VLOOKUP($A38,'The List'!$B1:$AS665,30,FALSE)," ")</f>
        <v xml:space="preserve"> </v>
      </c>
      <c r="X38" s="83" t="str">
        <f>IFERROR(VLOOKUP($A38,'The List'!$B1:$AS665,31,FALSE)," ")</f>
        <v xml:space="preserve"> </v>
      </c>
      <c r="Y38" s="83" t="str">
        <f>IFERROR(VLOOKUP($A38,'The List'!$B1:$AS665,32,FALSE)," ")</f>
        <v xml:space="preserve"> </v>
      </c>
      <c r="Z38" s="83" t="str">
        <f>IFERROR(VLOOKUP($A38,'The List'!$B1:$AS665,33,FALSE)," ")</f>
        <v xml:space="preserve"> </v>
      </c>
      <c r="AA38" s="86"/>
      <c r="AB38" s="91"/>
      <c r="AC38" s="91"/>
      <c r="AD38" s="91"/>
      <c r="AE38" s="91"/>
      <c r="AF38" s="91"/>
    </row>
    <row r="39" spans="1:32" ht="21.25" customHeight="1" x14ac:dyDescent="0.15">
      <c r="A39" s="23"/>
      <c r="B39" s="97" t="str">
        <f>IFERROR(VLOOKUP($A39,'The List'!$B1:$AS665,3,FALSE)," ")</f>
        <v xml:space="preserve"> </v>
      </c>
      <c r="C39" s="99" t="str">
        <f>IFERROR(VLOOKUP($A39,'The List'!$B1:$AS665,4,FALSE)," ")</f>
        <v xml:space="preserve"> </v>
      </c>
      <c r="D39" s="65" t="str">
        <f>IFERROR(VLOOKUP($A39,'The List'!$B1:$AS665,5,FALSE)," ")</f>
        <v xml:space="preserve"> </v>
      </c>
      <c r="E39" s="65" t="str">
        <f>IFERROR(VLOOKUP($A39,'The List'!$B1:$AS665,6,FALSE)," ")</f>
        <v xml:space="preserve"> </v>
      </c>
      <c r="F39" s="93" t="str">
        <f>IFERROR(VLOOKUP($A39,'The List'!$B1:$AS665,8,FALSE)," ")</f>
        <v xml:space="preserve"> </v>
      </c>
      <c r="G39" s="93" t="str">
        <f>IFERROR(VLOOKUP($A39,'The List'!$B1:$AS665,10,FALSE)," ")</f>
        <v xml:space="preserve"> </v>
      </c>
      <c r="H39" s="54"/>
      <c r="I39" s="83" t="str">
        <f>IFERROR(VLOOKUP($A39,'The List'!$B1:$AS665,16,FALSE)," ")</f>
        <v xml:space="preserve"> </v>
      </c>
      <c r="J39" s="83" t="str">
        <f>IFERROR(VLOOKUP($A39,'The List'!$B1:$AS665,17,FALSE)," ")</f>
        <v xml:space="preserve"> </v>
      </c>
      <c r="K39" s="83" t="str">
        <f>IFERROR(VLOOKUP($A39,'The List'!$B1:$AS665,18,FALSE)," ")</f>
        <v xml:space="preserve"> </v>
      </c>
      <c r="L39" s="83" t="str">
        <f>IFERROR(VLOOKUP($A39,'The List'!$B1:$AS665,19,FALSE)," ")</f>
        <v xml:space="preserve"> </v>
      </c>
      <c r="M39" s="83" t="str">
        <f>IFERROR(VLOOKUP($A39,'The List'!$B1:$AS665,20,FALSE)," ")</f>
        <v xml:space="preserve"> </v>
      </c>
      <c r="N39" s="83" t="str">
        <f>IFERROR(VLOOKUP($A39,'The List'!$B1:$AS665,21,FALSE)," ")</f>
        <v xml:space="preserve"> </v>
      </c>
      <c r="O39" s="83" t="str">
        <f>IFERROR(VLOOKUP($A39,'The List'!$B1:$AS665,22,FALSE)," ")</f>
        <v xml:space="preserve"> </v>
      </c>
      <c r="P39" s="83" t="str">
        <f>IFERROR(VLOOKUP($A39,'The List'!$B1:$AS665,23,FALSE)," ")</f>
        <v xml:space="preserve"> </v>
      </c>
      <c r="Q39" s="83" t="str">
        <f>IFERROR(VLOOKUP($A39,'The List'!$B1:$AS665,24,FALSE)," ")</f>
        <v xml:space="preserve"> </v>
      </c>
      <c r="R39" s="83" t="str">
        <f>IFERROR(VLOOKUP($A39,'The List'!$B1:$AS665,25,FALSE)," ")</f>
        <v xml:space="preserve"> </v>
      </c>
      <c r="S39" s="83" t="str">
        <f>IFERROR(VLOOKUP($A39,'The List'!$B1:$AS665,26,FALSE)," ")</f>
        <v xml:space="preserve"> </v>
      </c>
      <c r="T39" s="83" t="str">
        <f>IFERROR(VLOOKUP($A39,'The List'!$B1:$AS665,27,FALSE)," ")</f>
        <v xml:space="preserve"> </v>
      </c>
      <c r="U39" s="83" t="str">
        <f>IFERROR(VLOOKUP($A39,'The List'!$B1:$AS665,28,FALSE)," ")</f>
        <v xml:space="preserve"> </v>
      </c>
      <c r="V39" s="83" t="str">
        <f>IFERROR(VLOOKUP($A39,'The List'!$B1:$AS665,29,FALSE)," ")</f>
        <v xml:space="preserve"> </v>
      </c>
      <c r="W39" s="83" t="str">
        <f>IFERROR(VLOOKUP($A39,'The List'!$B1:$AS665,30,FALSE)," ")</f>
        <v xml:space="preserve"> </v>
      </c>
      <c r="X39" s="83" t="str">
        <f>IFERROR(VLOOKUP($A39,'The List'!$B1:$AS665,31,FALSE)," ")</f>
        <v xml:space="preserve"> </v>
      </c>
      <c r="Y39" s="83" t="str">
        <f>IFERROR(VLOOKUP($A39,'The List'!$B1:$AS665,32,FALSE)," ")</f>
        <v xml:space="preserve"> </v>
      </c>
      <c r="Z39" s="83" t="str">
        <f>IFERROR(VLOOKUP($A39,'The List'!$B1:$AS665,33,FALSE)," ")</f>
        <v xml:space="preserve"> </v>
      </c>
      <c r="AA39" s="86"/>
      <c r="AB39" s="91"/>
      <c r="AC39" s="91"/>
      <c r="AD39" s="91"/>
      <c r="AE39" s="91"/>
      <c r="AF39" s="91"/>
    </row>
    <row r="40" spans="1:32" ht="21.25" customHeight="1" x14ac:dyDescent="0.15">
      <c r="A40" s="23"/>
      <c r="B40" s="97" t="str">
        <f>IFERROR(VLOOKUP($A40,'The List'!$B1:$AS665,3,FALSE)," ")</f>
        <v xml:space="preserve"> </v>
      </c>
      <c r="C40" s="99" t="str">
        <f>IFERROR(VLOOKUP($A40,'The List'!$B1:$AS665,4,FALSE)," ")</f>
        <v xml:space="preserve"> </v>
      </c>
      <c r="D40" s="65" t="str">
        <f>IFERROR(VLOOKUP($A40,'The List'!$B1:$AS665,5,FALSE)," ")</f>
        <v xml:space="preserve"> </v>
      </c>
      <c r="E40" s="65" t="str">
        <f>IFERROR(VLOOKUP($A40,'The List'!$B1:$AS665,6,FALSE)," ")</f>
        <v xml:space="preserve"> </v>
      </c>
      <c r="F40" s="93" t="str">
        <f>IFERROR(VLOOKUP($A40,'The List'!$B1:$AS665,8,FALSE)," ")</f>
        <v xml:space="preserve"> </v>
      </c>
      <c r="G40" s="93" t="str">
        <f>IFERROR(VLOOKUP($A40,'The List'!$B1:$AS665,10,FALSE)," ")</f>
        <v xml:space="preserve"> </v>
      </c>
      <c r="H40" s="54"/>
      <c r="I40" s="83" t="str">
        <f>IFERROR(VLOOKUP($A40,'The List'!$B1:$AS665,16,FALSE)," ")</f>
        <v xml:space="preserve"> </v>
      </c>
      <c r="J40" s="83" t="str">
        <f>IFERROR(VLOOKUP($A40,'The List'!$B1:$AS665,17,FALSE)," ")</f>
        <v xml:space="preserve"> </v>
      </c>
      <c r="K40" s="83" t="str">
        <f>IFERROR(VLOOKUP($A40,'The List'!$B1:$AS665,18,FALSE)," ")</f>
        <v xml:space="preserve"> </v>
      </c>
      <c r="L40" s="83" t="str">
        <f>IFERROR(VLOOKUP($A40,'The List'!$B1:$AS665,19,FALSE)," ")</f>
        <v xml:space="preserve"> </v>
      </c>
      <c r="M40" s="83" t="str">
        <f>IFERROR(VLOOKUP($A40,'The List'!$B1:$AS665,20,FALSE)," ")</f>
        <v xml:space="preserve"> </v>
      </c>
      <c r="N40" s="83" t="str">
        <f>IFERROR(VLOOKUP($A40,'The List'!$B1:$AS665,21,FALSE)," ")</f>
        <v xml:space="preserve"> </v>
      </c>
      <c r="O40" s="83" t="str">
        <f>IFERROR(VLOOKUP($A40,'The List'!$B1:$AS665,22,FALSE)," ")</f>
        <v xml:space="preserve"> </v>
      </c>
      <c r="P40" s="83" t="str">
        <f>IFERROR(VLOOKUP($A40,'The List'!$B1:$AS665,23,FALSE)," ")</f>
        <v xml:space="preserve"> </v>
      </c>
      <c r="Q40" s="83" t="str">
        <f>IFERROR(VLOOKUP($A40,'The List'!$B1:$AS665,24,FALSE)," ")</f>
        <v xml:space="preserve"> </v>
      </c>
      <c r="R40" s="83" t="str">
        <f>IFERROR(VLOOKUP($A40,'The List'!$B1:$AS665,25,FALSE)," ")</f>
        <v xml:space="preserve"> </v>
      </c>
      <c r="S40" s="83" t="str">
        <f>IFERROR(VLOOKUP($A40,'The List'!$B1:$AS665,26,FALSE)," ")</f>
        <v xml:space="preserve"> </v>
      </c>
      <c r="T40" s="83" t="str">
        <f>IFERROR(VLOOKUP($A40,'The List'!$B1:$AS665,27,FALSE)," ")</f>
        <v xml:space="preserve"> </v>
      </c>
      <c r="U40" s="83" t="str">
        <f>IFERROR(VLOOKUP($A40,'The List'!$B1:$AS665,28,FALSE)," ")</f>
        <v xml:space="preserve"> </v>
      </c>
      <c r="V40" s="83" t="str">
        <f>IFERROR(VLOOKUP($A40,'The List'!$B1:$AS665,29,FALSE)," ")</f>
        <v xml:space="preserve"> </v>
      </c>
      <c r="W40" s="83" t="str">
        <f>IFERROR(VLOOKUP($A40,'The List'!$B1:$AS665,30,FALSE)," ")</f>
        <v xml:space="preserve"> </v>
      </c>
      <c r="X40" s="83" t="str">
        <f>IFERROR(VLOOKUP($A40,'The List'!$B1:$AS665,31,FALSE)," ")</f>
        <v xml:space="preserve"> </v>
      </c>
      <c r="Y40" s="83" t="str">
        <f>IFERROR(VLOOKUP($A40,'The List'!$B1:$AS665,32,FALSE)," ")</f>
        <v xml:space="preserve"> </v>
      </c>
      <c r="Z40" s="83" t="str">
        <f>IFERROR(VLOOKUP($A40,'The List'!$B1:$AS665,33,FALSE)," ")</f>
        <v xml:space="preserve"> </v>
      </c>
      <c r="AA40" s="86"/>
      <c r="AB40" s="91"/>
      <c r="AC40" s="91"/>
      <c r="AD40" s="91"/>
      <c r="AE40" s="91"/>
      <c r="AF40" s="91"/>
    </row>
    <row r="41" spans="1:32" ht="21.25" customHeight="1" x14ac:dyDescent="0.15">
      <c r="A41" s="23"/>
      <c r="B41" s="97" t="str">
        <f>IFERROR(VLOOKUP($A41,'The List'!$B1:$AS665,3,FALSE)," ")</f>
        <v xml:space="preserve"> </v>
      </c>
      <c r="C41" s="99" t="str">
        <f>IFERROR(VLOOKUP($A41,'The List'!$B1:$AS665,4,FALSE)," ")</f>
        <v xml:space="preserve"> </v>
      </c>
      <c r="D41" s="65" t="str">
        <f>IFERROR(VLOOKUP($A41,'The List'!$B1:$AS665,5,FALSE)," ")</f>
        <v xml:space="preserve"> </v>
      </c>
      <c r="E41" s="65" t="str">
        <f>IFERROR(VLOOKUP($A41,'The List'!$B1:$AS665,6,FALSE)," ")</f>
        <v xml:space="preserve"> </v>
      </c>
      <c r="F41" s="93" t="str">
        <f>IFERROR(VLOOKUP($A41,'The List'!$B1:$AS665,8,FALSE)," ")</f>
        <v xml:space="preserve"> </v>
      </c>
      <c r="G41" s="93" t="str">
        <f>IFERROR(VLOOKUP($A41,'The List'!$B1:$AS665,10,FALSE)," ")</f>
        <v xml:space="preserve"> </v>
      </c>
      <c r="H41" s="54"/>
      <c r="I41" s="83" t="str">
        <f>IFERROR(VLOOKUP($A41,'The List'!$B1:$AS665,16,FALSE)," ")</f>
        <v xml:space="preserve"> </v>
      </c>
      <c r="J41" s="83" t="str">
        <f>IFERROR(VLOOKUP($A41,'The List'!$B1:$AS665,17,FALSE)," ")</f>
        <v xml:space="preserve"> </v>
      </c>
      <c r="K41" s="83" t="str">
        <f>IFERROR(VLOOKUP($A41,'The List'!$B1:$AS665,18,FALSE)," ")</f>
        <v xml:space="preserve"> </v>
      </c>
      <c r="L41" s="83" t="str">
        <f>IFERROR(VLOOKUP($A41,'The List'!$B1:$AS665,19,FALSE)," ")</f>
        <v xml:space="preserve"> </v>
      </c>
      <c r="M41" s="83" t="str">
        <f>IFERROR(VLOOKUP($A41,'The List'!$B1:$AS665,20,FALSE)," ")</f>
        <v xml:space="preserve"> </v>
      </c>
      <c r="N41" s="83" t="str">
        <f>IFERROR(VLOOKUP($A41,'The List'!$B1:$AS665,21,FALSE)," ")</f>
        <v xml:space="preserve"> </v>
      </c>
      <c r="O41" s="83" t="str">
        <f>IFERROR(VLOOKUP($A41,'The List'!$B1:$AS665,22,FALSE)," ")</f>
        <v xml:space="preserve"> </v>
      </c>
      <c r="P41" s="83" t="str">
        <f>IFERROR(VLOOKUP($A41,'The List'!$B1:$AS665,23,FALSE)," ")</f>
        <v xml:space="preserve"> </v>
      </c>
      <c r="Q41" s="83" t="str">
        <f>IFERROR(VLOOKUP($A41,'The List'!$B1:$AS665,24,FALSE)," ")</f>
        <v xml:space="preserve"> </v>
      </c>
      <c r="R41" s="83" t="str">
        <f>IFERROR(VLOOKUP($A41,'The List'!$B1:$AS665,25,FALSE)," ")</f>
        <v xml:space="preserve"> </v>
      </c>
      <c r="S41" s="83" t="str">
        <f>IFERROR(VLOOKUP($A41,'The List'!$B1:$AS665,26,FALSE)," ")</f>
        <v xml:space="preserve"> </v>
      </c>
      <c r="T41" s="83" t="str">
        <f>IFERROR(VLOOKUP($A41,'The List'!$B1:$AS665,27,FALSE)," ")</f>
        <v xml:space="preserve"> </v>
      </c>
      <c r="U41" s="83" t="str">
        <f>IFERROR(VLOOKUP($A41,'The List'!$B1:$AS665,28,FALSE)," ")</f>
        <v xml:space="preserve"> </v>
      </c>
      <c r="V41" s="83" t="str">
        <f>IFERROR(VLOOKUP($A41,'The List'!$B1:$AS665,29,FALSE)," ")</f>
        <v xml:space="preserve"> </v>
      </c>
      <c r="W41" s="83" t="str">
        <f>IFERROR(VLOOKUP($A41,'The List'!$B1:$AS665,30,FALSE)," ")</f>
        <v xml:space="preserve"> </v>
      </c>
      <c r="X41" s="83" t="str">
        <f>IFERROR(VLOOKUP($A41,'The List'!$B1:$AS665,31,FALSE)," ")</f>
        <v xml:space="preserve"> </v>
      </c>
      <c r="Y41" s="83" t="str">
        <f>IFERROR(VLOOKUP($A41,'The List'!$B1:$AS665,32,FALSE)," ")</f>
        <v xml:space="preserve"> </v>
      </c>
      <c r="Z41" s="83" t="str">
        <f>IFERROR(VLOOKUP($A41,'The List'!$B1:$AS665,33,FALSE)," ")</f>
        <v xml:space="preserve"> </v>
      </c>
      <c r="AA41" s="86"/>
      <c r="AB41" s="91"/>
      <c r="AC41" s="91"/>
      <c r="AD41" s="91"/>
      <c r="AE41" s="91"/>
      <c r="AF41" s="91"/>
    </row>
    <row r="42" spans="1:32" ht="21.25" customHeight="1" x14ac:dyDescent="0.15">
      <c r="A42" s="23"/>
      <c r="B42" s="97" t="str">
        <f>IFERROR(VLOOKUP($A42,'The List'!$B1:$AS665,3,FALSE)," ")</f>
        <v xml:space="preserve"> </v>
      </c>
      <c r="C42" s="99" t="str">
        <f>IFERROR(VLOOKUP($A42,'The List'!$B1:$AS665,4,FALSE)," ")</f>
        <v xml:space="preserve"> </v>
      </c>
      <c r="D42" s="65" t="str">
        <f>IFERROR(VLOOKUP($A42,'The List'!$B1:$AS665,5,FALSE)," ")</f>
        <v xml:space="preserve"> </v>
      </c>
      <c r="E42" s="65" t="str">
        <f>IFERROR(VLOOKUP($A42,'The List'!$B1:$AS665,6,FALSE)," ")</f>
        <v xml:space="preserve"> </v>
      </c>
      <c r="F42" s="93" t="str">
        <f>IFERROR(VLOOKUP($A42,'The List'!$B1:$AS665,8,FALSE)," ")</f>
        <v xml:space="preserve"> </v>
      </c>
      <c r="G42" s="93" t="str">
        <f>IFERROR(VLOOKUP($A42,'The List'!$B1:$AS665,10,FALSE)," ")</f>
        <v xml:space="preserve"> </v>
      </c>
      <c r="H42" s="54"/>
      <c r="I42" s="83" t="str">
        <f>IFERROR(VLOOKUP($A42,'The List'!$B1:$AS665,16,FALSE)," ")</f>
        <v xml:space="preserve"> </v>
      </c>
      <c r="J42" s="83" t="str">
        <f>IFERROR(VLOOKUP($A42,'The List'!$B1:$AS665,17,FALSE)," ")</f>
        <v xml:space="preserve"> </v>
      </c>
      <c r="K42" s="83" t="str">
        <f>IFERROR(VLOOKUP($A42,'The List'!$B1:$AS665,18,FALSE)," ")</f>
        <v xml:space="preserve"> </v>
      </c>
      <c r="L42" s="83" t="str">
        <f>IFERROR(VLOOKUP($A42,'The List'!$B1:$AS665,19,FALSE)," ")</f>
        <v xml:space="preserve"> </v>
      </c>
      <c r="M42" s="83" t="str">
        <f>IFERROR(VLOOKUP($A42,'The List'!$B1:$AS665,20,FALSE)," ")</f>
        <v xml:space="preserve"> </v>
      </c>
      <c r="N42" s="83" t="str">
        <f>IFERROR(VLOOKUP($A42,'The List'!$B1:$AS665,21,FALSE)," ")</f>
        <v xml:space="preserve"> </v>
      </c>
      <c r="O42" s="83" t="str">
        <f>IFERROR(VLOOKUP($A42,'The List'!$B1:$AS665,22,FALSE)," ")</f>
        <v xml:space="preserve"> </v>
      </c>
      <c r="P42" s="83" t="str">
        <f>IFERROR(VLOOKUP($A42,'The List'!$B1:$AS665,23,FALSE)," ")</f>
        <v xml:space="preserve"> </v>
      </c>
      <c r="Q42" s="83" t="str">
        <f>IFERROR(VLOOKUP($A42,'The List'!$B1:$AS665,24,FALSE)," ")</f>
        <v xml:space="preserve"> </v>
      </c>
      <c r="R42" s="83" t="str">
        <f>IFERROR(VLOOKUP($A42,'The List'!$B1:$AS665,25,FALSE)," ")</f>
        <v xml:space="preserve"> </v>
      </c>
      <c r="S42" s="83" t="str">
        <f>IFERROR(VLOOKUP($A42,'The List'!$B1:$AS665,26,FALSE)," ")</f>
        <v xml:space="preserve"> </v>
      </c>
      <c r="T42" s="83" t="str">
        <f>IFERROR(VLOOKUP($A42,'The List'!$B1:$AS665,27,FALSE)," ")</f>
        <v xml:space="preserve"> </v>
      </c>
      <c r="U42" s="83" t="str">
        <f>IFERROR(VLOOKUP($A42,'The List'!$B1:$AS665,28,FALSE)," ")</f>
        <v xml:space="preserve"> </v>
      </c>
      <c r="V42" s="83" t="str">
        <f>IFERROR(VLOOKUP($A42,'The List'!$B1:$AS665,29,FALSE)," ")</f>
        <v xml:space="preserve"> </v>
      </c>
      <c r="W42" s="83" t="str">
        <f>IFERROR(VLOOKUP($A42,'The List'!$B1:$AS665,30,FALSE)," ")</f>
        <v xml:space="preserve"> </v>
      </c>
      <c r="X42" s="83" t="str">
        <f>IFERROR(VLOOKUP($A42,'The List'!$B1:$AS665,31,FALSE)," ")</f>
        <v xml:space="preserve"> </v>
      </c>
      <c r="Y42" s="83" t="str">
        <f>IFERROR(VLOOKUP($A42,'The List'!$B1:$AS665,32,FALSE)," ")</f>
        <v xml:space="preserve"> </v>
      </c>
      <c r="Z42" s="83" t="str">
        <f>IFERROR(VLOOKUP($A42,'The List'!$B1:$AS665,33,FALSE)," ")</f>
        <v xml:space="preserve"> </v>
      </c>
      <c r="AA42" s="86"/>
      <c r="AB42" s="91"/>
      <c r="AC42" s="91"/>
      <c r="AD42" s="91"/>
      <c r="AE42" s="91"/>
      <c r="AF42" s="91"/>
    </row>
    <row r="43" spans="1:32" ht="21.25" customHeight="1" x14ac:dyDescent="0.15">
      <c r="A43" s="23"/>
      <c r="B43" s="100" t="str">
        <f>IFERROR(VLOOKUP($A43,'The List'!$B1:$AS665,3,FALSE)," ")</f>
        <v xml:space="preserve"> </v>
      </c>
      <c r="C43" s="102" t="str">
        <f>IFERROR(VLOOKUP($A43,'The List'!$B1:$AS665,4,FALSE)," ")</f>
        <v xml:space="preserve"> </v>
      </c>
      <c r="D43" s="65" t="str">
        <f>IFERROR(VLOOKUP($A43,'The List'!$B1:$AS665,5,FALSE)," ")</f>
        <v xml:space="preserve"> </v>
      </c>
      <c r="E43" s="65" t="str">
        <f>IFERROR(VLOOKUP($A43,'The List'!$B1:$AS665,6,FALSE)," ")</f>
        <v xml:space="preserve"> </v>
      </c>
      <c r="F43" s="93" t="str">
        <f>IFERROR(VLOOKUP($A43,'The List'!$B1:$AS665,8,FALSE)," ")</f>
        <v xml:space="preserve"> </v>
      </c>
      <c r="G43" s="93" t="str">
        <f>IFERROR(VLOOKUP($A43,'The List'!$B1:$AS665,10,FALSE)," ")</f>
        <v xml:space="preserve"> </v>
      </c>
      <c r="H43" s="54"/>
      <c r="I43" s="83" t="str">
        <f>IFERROR(VLOOKUP($A43,'The List'!$B1:$AS665,16,FALSE)," ")</f>
        <v xml:space="preserve"> </v>
      </c>
      <c r="J43" s="83" t="str">
        <f>IFERROR(VLOOKUP($A43,'The List'!$B1:$AS665,17,FALSE)," ")</f>
        <v xml:space="preserve"> </v>
      </c>
      <c r="K43" s="83" t="str">
        <f>IFERROR(VLOOKUP($A43,'The List'!$B1:$AS665,18,FALSE)," ")</f>
        <v xml:space="preserve"> </v>
      </c>
      <c r="L43" s="83" t="str">
        <f>IFERROR(VLOOKUP($A43,'The List'!$B1:$AS665,19,FALSE)," ")</f>
        <v xml:space="preserve"> </v>
      </c>
      <c r="M43" s="83" t="str">
        <f>IFERROR(VLOOKUP($A43,'The List'!$B1:$AS665,20,FALSE)," ")</f>
        <v xml:space="preserve"> </v>
      </c>
      <c r="N43" s="83" t="str">
        <f>IFERROR(VLOOKUP($A43,'The List'!$B1:$AS665,21,FALSE)," ")</f>
        <v xml:space="preserve"> </v>
      </c>
      <c r="O43" s="83" t="str">
        <f>IFERROR(VLOOKUP($A43,'The List'!$B1:$AS665,22,FALSE)," ")</f>
        <v xml:space="preserve"> </v>
      </c>
      <c r="P43" s="83" t="str">
        <f>IFERROR(VLOOKUP($A43,'The List'!$B1:$AS665,23,FALSE)," ")</f>
        <v xml:space="preserve"> </v>
      </c>
      <c r="Q43" s="83" t="str">
        <f>IFERROR(VLOOKUP($A43,'The List'!$B1:$AS665,24,FALSE)," ")</f>
        <v xml:space="preserve"> </v>
      </c>
      <c r="R43" s="83" t="str">
        <f>IFERROR(VLOOKUP($A43,'The List'!$B1:$AS665,25,FALSE)," ")</f>
        <v xml:space="preserve"> </v>
      </c>
      <c r="S43" s="83" t="str">
        <f>IFERROR(VLOOKUP($A43,'The List'!$B1:$AS665,26,FALSE)," ")</f>
        <v xml:space="preserve"> </v>
      </c>
      <c r="T43" s="83" t="str">
        <f>IFERROR(VLOOKUP($A43,'The List'!$B1:$AS665,27,FALSE)," ")</f>
        <v xml:space="preserve"> </v>
      </c>
      <c r="U43" s="83" t="str">
        <f>IFERROR(VLOOKUP($A43,'The List'!$B1:$AS665,28,FALSE)," ")</f>
        <v xml:space="preserve"> </v>
      </c>
      <c r="V43" s="83" t="str">
        <f>IFERROR(VLOOKUP($A43,'The List'!$B1:$AS665,29,FALSE)," ")</f>
        <v xml:space="preserve"> </v>
      </c>
      <c r="W43" s="83" t="str">
        <f>IFERROR(VLOOKUP($A43,'The List'!$B1:$AS665,30,FALSE)," ")</f>
        <v xml:space="preserve"> </v>
      </c>
      <c r="X43" s="83" t="str">
        <f>IFERROR(VLOOKUP($A43,'The List'!$B1:$AS665,31,FALSE)," ")</f>
        <v xml:space="preserve"> </v>
      </c>
      <c r="Y43" s="83" t="str">
        <f>IFERROR(VLOOKUP($A43,'The List'!$B1:$AS665,32,FALSE)," ")</f>
        <v xml:space="preserve"> </v>
      </c>
      <c r="Z43" s="83" t="str">
        <f>IFERROR(VLOOKUP($A43,'The List'!$B1:$AS665,33,FALSE)," ")</f>
        <v xml:space="preserve"> </v>
      </c>
      <c r="AA43" s="86"/>
      <c r="AB43" s="91"/>
      <c r="AC43" s="91"/>
      <c r="AD43" s="91"/>
      <c r="AE43" s="91"/>
      <c r="AF43" s="91"/>
    </row>
    <row r="44" spans="1:32" ht="21.25" customHeight="1" x14ac:dyDescent="0.15">
      <c r="A44" s="23"/>
      <c r="B44" s="100" t="str">
        <f>IFERROR(VLOOKUP($A44,'The List'!$B1:$AS665,3,FALSE)," ")</f>
        <v xml:space="preserve"> </v>
      </c>
      <c r="C44" s="102" t="str">
        <f>IFERROR(VLOOKUP($A44,'The List'!$B1:$AS665,4,FALSE)," ")</f>
        <v xml:space="preserve"> </v>
      </c>
      <c r="D44" s="65" t="str">
        <f>IFERROR(VLOOKUP($A44,'The List'!$B1:$AS665,5,FALSE)," ")</f>
        <v xml:space="preserve"> </v>
      </c>
      <c r="E44" s="65" t="str">
        <f>IFERROR(VLOOKUP($A44,'The List'!$B1:$AS665,6,FALSE)," ")</f>
        <v xml:space="preserve"> </v>
      </c>
      <c r="F44" s="93" t="str">
        <f>IFERROR(VLOOKUP($A44,'The List'!$B1:$AS665,8,FALSE)," ")</f>
        <v xml:space="preserve"> </v>
      </c>
      <c r="G44" s="93" t="str">
        <f>IFERROR(VLOOKUP($A44,'The List'!$B1:$AS665,10,FALSE)," ")</f>
        <v xml:space="preserve"> </v>
      </c>
      <c r="H44" s="54"/>
      <c r="I44" s="83" t="str">
        <f>IFERROR(VLOOKUP($A44,'The List'!$B1:$AS665,16,FALSE)," ")</f>
        <v xml:space="preserve"> </v>
      </c>
      <c r="J44" s="83" t="str">
        <f>IFERROR(VLOOKUP($A44,'The List'!$B1:$AS665,17,FALSE)," ")</f>
        <v xml:space="preserve"> </v>
      </c>
      <c r="K44" s="83" t="str">
        <f>IFERROR(VLOOKUP($A44,'The List'!$B1:$AS665,18,FALSE)," ")</f>
        <v xml:space="preserve"> </v>
      </c>
      <c r="L44" s="83" t="str">
        <f>IFERROR(VLOOKUP($A44,'The List'!$B1:$AS665,19,FALSE)," ")</f>
        <v xml:space="preserve"> </v>
      </c>
      <c r="M44" s="83" t="str">
        <f>IFERROR(VLOOKUP($A44,'The List'!$B1:$AS665,20,FALSE)," ")</f>
        <v xml:space="preserve"> </v>
      </c>
      <c r="N44" s="83" t="str">
        <f>IFERROR(VLOOKUP($A44,'The List'!$B1:$AS665,21,FALSE)," ")</f>
        <v xml:space="preserve"> </v>
      </c>
      <c r="O44" s="83" t="str">
        <f>IFERROR(VLOOKUP($A44,'The List'!$B1:$AS665,22,FALSE)," ")</f>
        <v xml:space="preserve"> </v>
      </c>
      <c r="P44" s="83" t="str">
        <f>IFERROR(VLOOKUP($A44,'The List'!$B1:$AS665,23,FALSE)," ")</f>
        <v xml:space="preserve"> </v>
      </c>
      <c r="Q44" s="83" t="str">
        <f>IFERROR(VLOOKUP($A44,'The List'!$B1:$AS665,24,FALSE)," ")</f>
        <v xml:space="preserve"> </v>
      </c>
      <c r="R44" s="83" t="str">
        <f>IFERROR(VLOOKUP($A44,'The List'!$B1:$AS665,25,FALSE)," ")</f>
        <v xml:space="preserve"> </v>
      </c>
      <c r="S44" s="83" t="str">
        <f>IFERROR(VLOOKUP($A44,'The List'!$B1:$AS665,26,FALSE)," ")</f>
        <v xml:space="preserve"> </v>
      </c>
      <c r="T44" s="83" t="str">
        <f>IFERROR(VLOOKUP($A44,'The List'!$B1:$AS665,27,FALSE)," ")</f>
        <v xml:space="preserve"> </v>
      </c>
      <c r="U44" s="83" t="str">
        <f>IFERROR(VLOOKUP($A44,'The List'!$B1:$AS665,28,FALSE)," ")</f>
        <v xml:space="preserve"> </v>
      </c>
      <c r="V44" s="83" t="str">
        <f>IFERROR(VLOOKUP($A44,'The List'!$B1:$AS665,29,FALSE)," ")</f>
        <v xml:space="preserve"> </v>
      </c>
      <c r="W44" s="83" t="str">
        <f>IFERROR(VLOOKUP($A44,'The List'!$B1:$AS665,30,FALSE)," ")</f>
        <v xml:space="preserve"> </v>
      </c>
      <c r="X44" s="83" t="str">
        <f>IFERROR(VLOOKUP($A44,'The List'!$B1:$AS665,31,FALSE)," ")</f>
        <v xml:space="preserve"> </v>
      </c>
      <c r="Y44" s="83" t="str">
        <f>IFERROR(VLOOKUP($A44,'The List'!$B1:$AS665,32,FALSE)," ")</f>
        <v xml:space="preserve"> </v>
      </c>
      <c r="Z44" s="83" t="str">
        <f>IFERROR(VLOOKUP($A44,'The List'!$B1:$AS665,33,FALSE)," ")</f>
        <v xml:space="preserve"> </v>
      </c>
      <c r="AA44" s="86"/>
      <c r="AB44" s="91"/>
      <c r="AC44" s="91"/>
      <c r="AD44" s="91"/>
      <c r="AE44" s="91"/>
      <c r="AF44" s="91"/>
    </row>
    <row r="45" spans="1:32" ht="21.25" customHeight="1" x14ac:dyDescent="0.15">
      <c r="A45" s="23"/>
      <c r="B45" s="100" t="str">
        <f>IFERROR(VLOOKUP($A45,'The List'!$B1:$AS665,3,FALSE)," ")</f>
        <v xml:space="preserve"> </v>
      </c>
      <c r="C45" s="102" t="str">
        <f>IFERROR(VLOOKUP($A45,'The List'!$B1:$AS665,4,FALSE)," ")</f>
        <v xml:space="preserve"> </v>
      </c>
      <c r="D45" s="65" t="str">
        <f>IFERROR(VLOOKUP($A45,'The List'!$B1:$AS665,5,FALSE)," ")</f>
        <v xml:space="preserve"> </v>
      </c>
      <c r="E45" s="65" t="str">
        <f>IFERROR(VLOOKUP($A45,'The List'!$B1:$AS665,6,FALSE)," ")</f>
        <v xml:space="preserve"> </v>
      </c>
      <c r="F45" s="93" t="str">
        <f>IFERROR(VLOOKUP($A45,'The List'!$B1:$AS665,8,FALSE)," ")</f>
        <v xml:space="preserve"> </v>
      </c>
      <c r="G45" s="93" t="str">
        <f>IFERROR(VLOOKUP($A45,'The List'!$B1:$AS665,10,FALSE)," ")</f>
        <v xml:space="preserve"> </v>
      </c>
      <c r="H45" s="54"/>
      <c r="I45" s="83" t="str">
        <f>IFERROR(VLOOKUP($A45,'The List'!$B1:$AS665,16,FALSE)," ")</f>
        <v xml:space="preserve"> </v>
      </c>
      <c r="J45" s="83" t="str">
        <f>IFERROR(VLOOKUP($A45,'The List'!$B1:$AS665,17,FALSE)," ")</f>
        <v xml:space="preserve"> </v>
      </c>
      <c r="K45" s="83" t="str">
        <f>IFERROR(VLOOKUP($A45,'The List'!$B1:$AS665,18,FALSE)," ")</f>
        <v xml:space="preserve"> </v>
      </c>
      <c r="L45" s="83" t="str">
        <f>IFERROR(VLOOKUP($A45,'The List'!$B1:$AS665,19,FALSE)," ")</f>
        <v xml:space="preserve"> </v>
      </c>
      <c r="M45" s="83" t="str">
        <f>IFERROR(VLOOKUP($A45,'The List'!$B1:$AS665,20,FALSE)," ")</f>
        <v xml:space="preserve"> </v>
      </c>
      <c r="N45" s="83" t="str">
        <f>IFERROR(VLOOKUP($A45,'The List'!$B1:$AS665,21,FALSE)," ")</f>
        <v xml:space="preserve"> </v>
      </c>
      <c r="O45" s="83" t="str">
        <f>IFERROR(VLOOKUP($A45,'The List'!$B1:$AS665,22,FALSE)," ")</f>
        <v xml:space="preserve"> </v>
      </c>
      <c r="P45" s="83" t="str">
        <f>IFERROR(VLOOKUP($A45,'The List'!$B1:$AS665,23,FALSE)," ")</f>
        <v xml:space="preserve"> </v>
      </c>
      <c r="Q45" s="83" t="str">
        <f>IFERROR(VLOOKUP($A45,'The List'!$B1:$AS665,24,FALSE)," ")</f>
        <v xml:space="preserve"> </v>
      </c>
      <c r="R45" s="83" t="str">
        <f>IFERROR(VLOOKUP($A45,'The List'!$B1:$AS665,25,FALSE)," ")</f>
        <v xml:space="preserve"> </v>
      </c>
      <c r="S45" s="83" t="str">
        <f>IFERROR(VLOOKUP($A45,'The List'!$B1:$AS665,26,FALSE)," ")</f>
        <v xml:space="preserve"> </v>
      </c>
      <c r="T45" s="83" t="str">
        <f>IFERROR(VLOOKUP($A45,'The List'!$B1:$AS665,27,FALSE)," ")</f>
        <v xml:space="preserve"> </v>
      </c>
      <c r="U45" s="83" t="str">
        <f>IFERROR(VLOOKUP($A45,'The List'!$B1:$AS665,28,FALSE)," ")</f>
        <v xml:space="preserve"> </v>
      </c>
      <c r="V45" s="83" t="str">
        <f>IFERROR(VLOOKUP($A45,'The List'!$B1:$AS665,29,FALSE)," ")</f>
        <v xml:space="preserve"> </v>
      </c>
      <c r="W45" s="83" t="str">
        <f>IFERROR(VLOOKUP($A45,'The List'!$B1:$AS665,30,FALSE)," ")</f>
        <v xml:space="preserve"> </v>
      </c>
      <c r="X45" s="83" t="str">
        <f>IFERROR(VLOOKUP($A45,'The List'!$B1:$AS665,31,FALSE)," ")</f>
        <v xml:space="preserve"> </v>
      </c>
      <c r="Y45" s="83" t="str">
        <f>IFERROR(VLOOKUP($A45,'The List'!$B1:$AS665,32,FALSE)," ")</f>
        <v xml:space="preserve"> </v>
      </c>
      <c r="Z45" s="83" t="str">
        <f>IFERROR(VLOOKUP($A45,'The List'!$B1:$AS665,33,FALSE)," ")</f>
        <v xml:space="preserve"> </v>
      </c>
      <c r="AA45" s="86"/>
      <c r="AB45" s="91"/>
      <c r="AC45" s="91"/>
      <c r="AD45" s="91"/>
      <c r="AE45" s="91"/>
      <c r="AF45" s="91"/>
    </row>
    <row r="46" spans="1:32" ht="21.25" customHeight="1" x14ac:dyDescent="0.15">
      <c r="A46" s="23"/>
      <c r="B46" s="100" t="str">
        <f>IFERROR(VLOOKUP($A46,'The List'!$B1:$AS665,3,FALSE)," ")</f>
        <v xml:space="preserve"> </v>
      </c>
      <c r="C46" s="102" t="str">
        <f>IFERROR(VLOOKUP($A46,'The List'!$B1:$AS665,4,FALSE)," ")</f>
        <v xml:space="preserve"> </v>
      </c>
      <c r="D46" s="65" t="str">
        <f>IFERROR(VLOOKUP($A46,'The List'!$B1:$AS665,5,FALSE)," ")</f>
        <v xml:space="preserve"> </v>
      </c>
      <c r="E46" s="65" t="str">
        <f>IFERROR(VLOOKUP($A46,'The List'!$B1:$AS665,6,FALSE)," ")</f>
        <v xml:space="preserve"> </v>
      </c>
      <c r="F46" s="93" t="str">
        <f>IFERROR(VLOOKUP($A46,'The List'!$B1:$AS665,8,FALSE)," ")</f>
        <v xml:space="preserve"> </v>
      </c>
      <c r="G46" s="93" t="str">
        <f>IFERROR(VLOOKUP($A46,'The List'!$B1:$AS665,10,FALSE)," ")</f>
        <v xml:space="preserve"> </v>
      </c>
      <c r="H46" s="54"/>
      <c r="I46" s="83" t="str">
        <f>IFERROR(VLOOKUP($A46,'The List'!$B1:$AS665,16,FALSE)," ")</f>
        <v xml:space="preserve"> </v>
      </c>
      <c r="J46" s="83" t="str">
        <f>IFERROR(VLOOKUP($A46,'The List'!$B1:$AS665,17,FALSE)," ")</f>
        <v xml:space="preserve"> </v>
      </c>
      <c r="K46" s="83" t="str">
        <f>IFERROR(VLOOKUP($A46,'The List'!$B1:$AS665,18,FALSE)," ")</f>
        <v xml:space="preserve"> </v>
      </c>
      <c r="L46" s="83" t="str">
        <f>IFERROR(VLOOKUP($A46,'The List'!$B1:$AS665,19,FALSE)," ")</f>
        <v xml:space="preserve"> </v>
      </c>
      <c r="M46" s="83" t="str">
        <f>IFERROR(VLOOKUP($A46,'The List'!$B1:$AS665,20,FALSE)," ")</f>
        <v xml:space="preserve"> </v>
      </c>
      <c r="N46" s="83" t="str">
        <f>IFERROR(VLOOKUP($A46,'The List'!$B1:$AS665,21,FALSE)," ")</f>
        <v xml:space="preserve"> </v>
      </c>
      <c r="O46" s="83" t="str">
        <f>IFERROR(VLOOKUP($A46,'The List'!$B1:$AS665,22,FALSE)," ")</f>
        <v xml:space="preserve"> </v>
      </c>
      <c r="P46" s="83" t="str">
        <f>IFERROR(VLOOKUP($A46,'The List'!$B1:$AS665,23,FALSE)," ")</f>
        <v xml:space="preserve"> </v>
      </c>
      <c r="Q46" s="83" t="str">
        <f>IFERROR(VLOOKUP($A46,'The List'!$B1:$AS665,24,FALSE)," ")</f>
        <v xml:space="preserve"> </v>
      </c>
      <c r="R46" s="83" t="str">
        <f>IFERROR(VLOOKUP($A46,'The List'!$B1:$AS665,25,FALSE)," ")</f>
        <v xml:space="preserve"> </v>
      </c>
      <c r="S46" s="83" t="str">
        <f>IFERROR(VLOOKUP($A46,'The List'!$B1:$AS665,26,FALSE)," ")</f>
        <v xml:space="preserve"> </v>
      </c>
      <c r="T46" s="83" t="str">
        <f>IFERROR(VLOOKUP($A46,'The List'!$B1:$AS665,27,FALSE)," ")</f>
        <v xml:space="preserve"> </v>
      </c>
      <c r="U46" s="83" t="str">
        <f>IFERROR(VLOOKUP($A46,'The List'!$B1:$AS665,28,FALSE)," ")</f>
        <v xml:space="preserve"> </v>
      </c>
      <c r="V46" s="83" t="str">
        <f>IFERROR(VLOOKUP($A46,'The List'!$B1:$AS665,29,FALSE)," ")</f>
        <v xml:space="preserve"> </v>
      </c>
      <c r="W46" s="83" t="str">
        <f>IFERROR(VLOOKUP($A46,'The List'!$B1:$AS665,30,FALSE)," ")</f>
        <v xml:space="preserve"> </v>
      </c>
      <c r="X46" s="83" t="str">
        <f>IFERROR(VLOOKUP($A46,'The List'!$B1:$AS665,31,FALSE)," ")</f>
        <v xml:space="preserve"> </v>
      </c>
      <c r="Y46" s="83" t="str">
        <f>IFERROR(VLOOKUP($A46,'The List'!$B1:$AS665,32,FALSE)," ")</f>
        <v xml:space="preserve"> </v>
      </c>
      <c r="Z46" s="83" t="str">
        <f>IFERROR(VLOOKUP($A46,'The List'!$B1:$AS665,33,FALSE)," ")</f>
        <v xml:space="preserve"> </v>
      </c>
      <c r="AA46" s="86"/>
      <c r="AB46" s="91"/>
      <c r="AC46" s="91"/>
      <c r="AD46" s="91"/>
      <c r="AE46" s="91"/>
      <c r="AF46" s="91"/>
    </row>
    <row r="47" spans="1:32" ht="21.25" customHeight="1" x14ac:dyDescent="0.15">
      <c r="A47" s="23"/>
      <c r="B47" s="100" t="str">
        <f>IFERROR(VLOOKUP($A47,'The List'!$B1:$AS665,3,FALSE)," ")</f>
        <v xml:space="preserve"> </v>
      </c>
      <c r="C47" s="102" t="str">
        <f>IFERROR(VLOOKUP($A47,'The List'!$B1:$AS665,4,FALSE)," ")</f>
        <v xml:space="preserve"> </v>
      </c>
      <c r="D47" s="65" t="str">
        <f>IFERROR(VLOOKUP($A47,'The List'!$B1:$AS665,5,FALSE)," ")</f>
        <v xml:space="preserve"> </v>
      </c>
      <c r="E47" s="65" t="str">
        <f>IFERROR(VLOOKUP($A47,'The List'!$B1:$AS665,6,FALSE)," ")</f>
        <v xml:space="preserve"> </v>
      </c>
      <c r="F47" s="93" t="str">
        <f>IFERROR(VLOOKUP($A47,'The List'!$B1:$AS665,8,FALSE)," ")</f>
        <v xml:space="preserve"> </v>
      </c>
      <c r="G47" s="93" t="str">
        <f>IFERROR(VLOOKUP($A47,'The List'!$B1:$AS665,10,FALSE)," ")</f>
        <v xml:space="preserve"> </v>
      </c>
      <c r="H47" s="54"/>
      <c r="I47" s="83" t="str">
        <f>IFERROR(VLOOKUP($A47,'The List'!$B1:$AS665,16,FALSE)," ")</f>
        <v xml:space="preserve"> </v>
      </c>
      <c r="J47" s="83" t="str">
        <f>IFERROR(VLOOKUP($A47,'The List'!$B1:$AS665,17,FALSE)," ")</f>
        <v xml:space="preserve"> </v>
      </c>
      <c r="K47" s="83" t="str">
        <f>IFERROR(VLOOKUP($A47,'The List'!$B1:$AS665,18,FALSE)," ")</f>
        <v xml:space="preserve"> </v>
      </c>
      <c r="L47" s="83" t="str">
        <f>IFERROR(VLOOKUP($A47,'The List'!$B1:$AS665,19,FALSE)," ")</f>
        <v xml:space="preserve"> </v>
      </c>
      <c r="M47" s="83" t="str">
        <f>IFERROR(VLOOKUP($A47,'The List'!$B1:$AS665,20,FALSE)," ")</f>
        <v xml:space="preserve"> </v>
      </c>
      <c r="N47" s="83" t="str">
        <f>IFERROR(VLOOKUP($A47,'The List'!$B1:$AS665,21,FALSE)," ")</f>
        <v xml:space="preserve"> </v>
      </c>
      <c r="O47" s="83" t="str">
        <f>IFERROR(VLOOKUP($A47,'The List'!$B1:$AS665,22,FALSE)," ")</f>
        <v xml:space="preserve"> </v>
      </c>
      <c r="P47" s="83" t="str">
        <f>IFERROR(VLOOKUP($A47,'The List'!$B1:$AS665,23,FALSE)," ")</f>
        <v xml:space="preserve"> </v>
      </c>
      <c r="Q47" s="83" t="str">
        <f>IFERROR(VLOOKUP($A47,'The List'!$B1:$AS665,24,FALSE)," ")</f>
        <v xml:space="preserve"> </v>
      </c>
      <c r="R47" s="83" t="str">
        <f>IFERROR(VLOOKUP($A47,'The List'!$B1:$AS665,25,FALSE)," ")</f>
        <v xml:space="preserve"> </v>
      </c>
      <c r="S47" s="83" t="str">
        <f>IFERROR(VLOOKUP($A47,'The List'!$B1:$AS665,26,FALSE)," ")</f>
        <v xml:space="preserve"> </v>
      </c>
      <c r="T47" s="83" t="str">
        <f>IFERROR(VLOOKUP($A47,'The List'!$B1:$AS665,27,FALSE)," ")</f>
        <v xml:space="preserve"> </v>
      </c>
      <c r="U47" s="83" t="str">
        <f>IFERROR(VLOOKUP($A47,'The List'!$B1:$AS665,28,FALSE)," ")</f>
        <v xml:space="preserve"> </v>
      </c>
      <c r="V47" s="83" t="str">
        <f>IFERROR(VLOOKUP($A47,'The List'!$B1:$AS665,29,FALSE)," ")</f>
        <v xml:space="preserve"> </v>
      </c>
      <c r="W47" s="83" t="str">
        <f>IFERROR(VLOOKUP($A47,'The List'!$B1:$AS665,30,FALSE)," ")</f>
        <v xml:space="preserve"> </v>
      </c>
      <c r="X47" s="83" t="str">
        <f>IFERROR(VLOOKUP($A47,'The List'!$B1:$AS665,31,FALSE)," ")</f>
        <v xml:space="preserve"> </v>
      </c>
      <c r="Y47" s="83" t="str">
        <f>IFERROR(VLOOKUP($A47,'The List'!$B1:$AS665,32,FALSE)," ")</f>
        <v xml:space="preserve"> </v>
      </c>
      <c r="Z47" s="83" t="str">
        <f>IFERROR(VLOOKUP($A47,'The List'!$B1:$AS665,33,FALSE)," ")</f>
        <v xml:space="preserve"> </v>
      </c>
      <c r="AA47" s="86"/>
      <c r="AB47" s="91"/>
      <c r="AC47" s="91"/>
      <c r="AD47" s="91"/>
      <c r="AE47" s="91"/>
      <c r="AF47" s="91"/>
    </row>
    <row r="48" spans="1:32" ht="21.25" customHeight="1" x14ac:dyDescent="0.15">
      <c r="A48" s="23"/>
      <c r="B48" s="100" t="str">
        <f>IFERROR(VLOOKUP($A48,'The List'!$B1:$AS665,3,FALSE)," ")</f>
        <v xml:space="preserve"> </v>
      </c>
      <c r="C48" s="102" t="str">
        <f>IFERROR(VLOOKUP($A48,'The List'!$B1:$AS665,4,FALSE)," ")</f>
        <v xml:space="preserve"> </v>
      </c>
      <c r="D48" s="65" t="str">
        <f>IFERROR(VLOOKUP($A48,'The List'!$B1:$AS665,5,FALSE)," ")</f>
        <v xml:space="preserve"> </v>
      </c>
      <c r="E48" s="65" t="str">
        <f>IFERROR(VLOOKUP($A48,'The List'!$B1:$AS665,6,FALSE)," ")</f>
        <v xml:space="preserve"> </v>
      </c>
      <c r="F48" s="93" t="str">
        <f>IFERROR(VLOOKUP($A48,'The List'!$B1:$AS665,8,FALSE)," ")</f>
        <v xml:space="preserve"> </v>
      </c>
      <c r="G48" s="93" t="str">
        <f>IFERROR(VLOOKUP($A48,'The List'!$B1:$AS665,10,FALSE)," ")</f>
        <v xml:space="preserve"> </v>
      </c>
      <c r="H48" s="54"/>
      <c r="I48" s="83" t="str">
        <f>IFERROR(VLOOKUP($A48,'The List'!$B1:$AS665,16,FALSE)," ")</f>
        <v xml:space="preserve"> </v>
      </c>
      <c r="J48" s="83" t="str">
        <f>IFERROR(VLOOKUP($A48,'The List'!$B1:$AS665,17,FALSE)," ")</f>
        <v xml:space="preserve"> </v>
      </c>
      <c r="K48" s="83" t="str">
        <f>IFERROR(VLOOKUP($A48,'The List'!$B1:$AS665,18,FALSE)," ")</f>
        <v xml:space="preserve"> </v>
      </c>
      <c r="L48" s="83" t="str">
        <f>IFERROR(VLOOKUP($A48,'The List'!$B1:$AS665,19,FALSE)," ")</f>
        <v xml:space="preserve"> </v>
      </c>
      <c r="M48" s="83" t="str">
        <f>IFERROR(VLOOKUP($A48,'The List'!$B1:$AS665,20,FALSE)," ")</f>
        <v xml:space="preserve"> </v>
      </c>
      <c r="N48" s="83" t="str">
        <f>IFERROR(VLOOKUP($A48,'The List'!$B1:$AS665,21,FALSE)," ")</f>
        <v xml:space="preserve"> </v>
      </c>
      <c r="O48" s="83" t="str">
        <f>IFERROR(VLOOKUP($A48,'The List'!$B1:$AS665,22,FALSE)," ")</f>
        <v xml:space="preserve"> </v>
      </c>
      <c r="P48" s="83" t="str">
        <f>IFERROR(VLOOKUP($A48,'The List'!$B1:$AS665,23,FALSE)," ")</f>
        <v xml:space="preserve"> </v>
      </c>
      <c r="Q48" s="83" t="str">
        <f>IFERROR(VLOOKUP($A48,'The List'!$B1:$AS665,24,FALSE)," ")</f>
        <v xml:space="preserve"> </v>
      </c>
      <c r="R48" s="83" t="str">
        <f>IFERROR(VLOOKUP($A48,'The List'!$B1:$AS665,25,FALSE)," ")</f>
        <v xml:space="preserve"> </v>
      </c>
      <c r="S48" s="83" t="str">
        <f>IFERROR(VLOOKUP($A48,'The List'!$B1:$AS665,26,FALSE)," ")</f>
        <v xml:space="preserve"> </v>
      </c>
      <c r="T48" s="83" t="str">
        <f>IFERROR(VLOOKUP($A48,'The List'!$B1:$AS665,27,FALSE)," ")</f>
        <v xml:space="preserve"> </v>
      </c>
      <c r="U48" s="83" t="str">
        <f>IFERROR(VLOOKUP($A48,'The List'!$B1:$AS665,28,FALSE)," ")</f>
        <v xml:space="preserve"> </v>
      </c>
      <c r="V48" s="83" t="str">
        <f>IFERROR(VLOOKUP($A48,'The List'!$B1:$AS665,29,FALSE)," ")</f>
        <v xml:space="preserve"> </v>
      </c>
      <c r="W48" s="83" t="str">
        <f>IFERROR(VLOOKUP($A48,'The List'!$B1:$AS665,30,FALSE)," ")</f>
        <v xml:space="preserve"> </v>
      </c>
      <c r="X48" s="83" t="str">
        <f>IFERROR(VLOOKUP($A48,'The List'!$B1:$AS665,31,FALSE)," ")</f>
        <v xml:space="preserve"> </v>
      </c>
      <c r="Y48" s="83" t="str">
        <f>IFERROR(VLOOKUP($A48,'The List'!$B1:$AS665,32,FALSE)," ")</f>
        <v xml:space="preserve"> </v>
      </c>
      <c r="Z48" s="83" t="str">
        <f>IFERROR(VLOOKUP($A48,'The List'!$B1:$AS665,33,FALSE)," ")</f>
        <v xml:space="preserve"> </v>
      </c>
      <c r="AA48" s="86"/>
      <c r="AB48" s="91"/>
      <c r="AC48" s="91"/>
      <c r="AD48" s="91"/>
      <c r="AE48" s="91"/>
      <c r="AF48" s="91"/>
    </row>
    <row r="49" spans="1:32" ht="21.25" customHeight="1" x14ac:dyDescent="0.15">
      <c r="A49" s="23"/>
      <c r="B49" s="100" t="str">
        <f>IFERROR(VLOOKUP($A49,'The List'!$B1:$AS665,3,FALSE)," ")</f>
        <v xml:space="preserve"> </v>
      </c>
      <c r="C49" s="102" t="str">
        <f>IFERROR(VLOOKUP($A49,'The List'!$B1:$AS665,4,FALSE)," ")</f>
        <v xml:space="preserve"> </v>
      </c>
      <c r="D49" s="65" t="str">
        <f>IFERROR(VLOOKUP($A49,'The List'!$B1:$AS665,5,FALSE)," ")</f>
        <v xml:space="preserve"> </v>
      </c>
      <c r="E49" s="65" t="str">
        <f>IFERROR(VLOOKUP($A49,'The List'!$B1:$AS665,6,FALSE)," ")</f>
        <v xml:space="preserve"> </v>
      </c>
      <c r="F49" s="93" t="str">
        <f>IFERROR(VLOOKUP($A49,'The List'!$B1:$AS665,8,FALSE)," ")</f>
        <v xml:space="preserve"> </v>
      </c>
      <c r="G49" s="93" t="str">
        <f>IFERROR(VLOOKUP($A49,'The List'!$B1:$AS665,10,FALSE)," ")</f>
        <v xml:space="preserve"> </v>
      </c>
      <c r="H49" s="54"/>
      <c r="I49" s="83" t="str">
        <f>IFERROR(VLOOKUP($A49,'The List'!$B1:$AS665,16,FALSE)," ")</f>
        <v xml:space="preserve"> </v>
      </c>
      <c r="J49" s="83" t="str">
        <f>IFERROR(VLOOKUP($A49,'The List'!$B1:$AS665,17,FALSE)," ")</f>
        <v xml:space="preserve"> </v>
      </c>
      <c r="K49" s="83" t="str">
        <f>IFERROR(VLOOKUP($A49,'The List'!$B1:$AS665,18,FALSE)," ")</f>
        <v xml:space="preserve"> </v>
      </c>
      <c r="L49" s="83" t="str">
        <f>IFERROR(VLOOKUP($A49,'The List'!$B1:$AS665,19,FALSE)," ")</f>
        <v xml:space="preserve"> </v>
      </c>
      <c r="M49" s="83" t="str">
        <f>IFERROR(VLOOKUP($A49,'The List'!$B1:$AS665,20,FALSE)," ")</f>
        <v xml:space="preserve"> </v>
      </c>
      <c r="N49" s="83" t="str">
        <f>IFERROR(VLOOKUP($A49,'The List'!$B1:$AS665,21,FALSE)," ")</f>
        <v xml:space="preserve"> </v>
      </c>
      <c r="O49" s="83" t="str">
        <f>IFERROR(VLOOKUP($A49,'The List'!$B1:$AS665,22,FALSE)," ")</f>
        <v xml:space="preserve"> </v>
      </c>
      <c r="P49" s="83" t="str">
        <f>IFERROR(VLOOKUP($A49,'The List'!$B1:$AS665,23,FALSE)," ")</f>
        <v xml:space="preserve"> </v>
      </c>
      <c r="Q49" s="83" t="str">
        <f>IFERROR(VLOOKUP($A49,'The List'!$B1:$AS665,24,FALSE)," ")</f>
        <v xml:space="preserve"> </v>
      </c>
      <c r="R49" s="83" t="str">
        <f>IFERROR(VLOOKUP($A49,'The List'!$B1:$AS665,25,FALSE)," ")</f>
        <v xml:space="preserve"> </v>
      </c>
      <c r="S49" s="83" t="str">
        <f>IFERROR(VLOOKUP($A49,'The List'!$B1:$AS665,26,FALSE)," ")</f>
        <v xml:space="preserve"> </v>
      </c>
      <c r="T49" s="83" t="str">
        <f>IFERROR(VLOOKUP($A49,'The List'!$B1:$AS665,27,FALSE)," ")</f>
        <v xml:space="preserve"> </v>
      </c>
      <c r="U49" s="83" t="str">
        <f>IFERROR(VLOOKUP($A49,'The List'!$B1:$AS665,28,FALSE)," ")</f>
        <v xml:space="preserve"> </v>
      </c>
      <c r="V49" s="83" t="str">
        <f>IFERROR(VLOOKUP($A49,'The List'!$B1:$AS665,29,FALSE)," ")</f>
        <v xml:space="preserve"> </v>
      </c>
      <c r="W49" s="83" t="str">
        <f>IFERROR(VLOOKUP($A49,'The List'!$B1:$AS665,30,FALSE)," ")</f>
        <v xml:space="preserve"> </v>
      </c>
      <c r="X49" s="83" t="str">
        <f>IFERROR(VLOOKUP($A49,'The List'!$B1:$AS665,31,FALSE)," ")</f>
        <v xml:space="preserve"> </v>
      </c>
      <c r="Y49" s="83" t="str">
        <f>IFERROR(VLOOKUP($A49,'The List'!$B1:$AS665,32,FALSE)," ")</f>
        <v xml:space="preserve"> </v>
      </c>
      <c r="Z49" s="83" t="str">
        <f>IFERROR(VLOOKUP($A49,'The List'!$B1:$AS665,33,FALSE)," ")</f>
        <v xml:space="preserve"> </v>
      </c>
      <c r="AA49" s="86"/>
      <c r="AB49" s="91"/>
      <c r="AC49" s="91"/>
      <c r="AD49" s="91"/>
      <c r="AE49" s="91"/>
      <c r="AF49" s="91"/>
    </row>
    <row r="50" spans="1:32" ht="21.25" customHeight="1" x14ac:dyDescent="0.15">
      <c r="A50" s="104"/>
      <c r="B50" s="105" t="str">
        <f>IFERROR(VLOOKUP($A50,'The List'!$B1:$AS665,3,FALSE)," ")</f>
        <v xml:space="preserve"> </v>
      </c>
      <c r="C50" s="106" t="str">
        <f>IFERROR(VLOOKUP($A50,'The List'!$B1:$AS665,4,FALSE)," ")</f>
        <v xml:space="preserve"> </v>
      </c>
      <c r="D50" s="107" t="str">
        <f>IFERROR(VLOOKUP($A50,'The List'!$B1:$AS665,5,FALSE)," ")</f>
        <v xml:space="preserve"> </v>
      </c>
      <c r="E50" s="107" t="str">
        <f>IFERROR(VLOOKUP($A50,'The List'!$B1:$AS665,6,FALSE)," ")</f>
        <v xml:space="preserve"> </v>
      </c>
      <c r="F50" s="108" t="str">
        <f>IFERROR(VLOOKUP($A50,'The List'!$B1:$AS665,8,FALSE)," ")</f>
        <v xml:space="preserve"> </v>
      </c>
      <c r="G50" s="108" t="str">
        <f>IFERROR(VLOOKUP($A50,'The List'!$B1:$AS665,10,FALSE)," ")</f>
        <v xml:space="preserve"> </v>
      </c>
      <c r="H50" s="109"/>
      <c r="I50" s="110" t="str">
        <f>IFERROR(VLOOKUP($A50,'The List'!$B1:$AS665,16,FALSE)," ")</f>
        <v xml:space="preserve"> </v>
      </c>
      <c r="J50" s="110" t="str">
        <f>IFERROR(VLOOKUP($A50,'The List'!$B1:$AS665,17,FALSE)," ")</f>
        <v xml:space="preserve"> </v>
      </c>
      <c r="K50" s="110" t="str">
        <f>IFERROR(VLOOKUP($A50,'The List'!$B1:$AS665,18,FALSE)," ")</f>
        <v xml:space="preserve"> </v>
      </c>
      <c r="L50" s="110" t="str">
        <f>IFERROR(VLOOKUP($A50,'The List'!$B1:$AS665,19,FALSE)," ")</f>
        <v xml:space="preserve"> </v>
      </c>
      <c r="M50" s="110" t="str">
        <f>IFERROR(VLOOKUP($A50,'The List'!$B1:$AS665,20,FALSE)," ")</f>
        <v xml:space="preserve"> </v>
      </c>
      <c r="N50" s="110" t="str">
        <f>IFERROR(VLOOKUP($A50,'The List'!$B1:$AS665,21,FALSE)," ")</f>
        <v xml:space="preserve"> </v>
      </c>
      <c r="O50" s="110" t="str">
        <f>IFERROR(VLOOKUP($A50,'The List'!$B1:$AS665,22,FALSE)," ")</f>
        <v xml:space="preserve"> </v>
      </c>
      <c r="P50" s="110" t="str">
        <f>IFERROR(VLOOKUP($A50,'The List'!$B1:$AS665,23,FALSE)," ")</f>
        <v xml:space="preserve"> </v>
      </c>
      <c r="Q50" s="110" t="str">
        <f>IFERROR(VLOOKUP($A50,'The List'!$B1:$AS665,24,FALSE)," ")</f>
        <v xml:space="preserve"> </v>
      </c>
      <c r="R50" s="110" t="str">
        <f>IFERROR(VLOOKUP($A50,'The List'!$B1:$AS665,25,FALSE)," ")</f>
        <v xml:space="preserve"> </v>
      </c>
      <c r="S50" s="110" t="str">
        <f>IFERROR(VLOOKUP($A50,'The List'!$B1:$AS665,26,FALSE)," ")</f>
        <v xml:space="preserve"> </v>
      </c>
      <c r="T50" s="110" t="str">
        <f>IFERROR(VLOOKUP($A50,'The List'!$B1:$AS665,27,FALSE)," ")</f>
        <v xml:space="preserve"> </v>
      </c>
      <c r="U50" s="110" t="str">
        <f>IFERROR(VLOOKUP($A50,'The List'!$B1:$AS665,28,FALSE)," ")</f>
        <v xml:space="preserve"> </v>
      </c>
      <c r="V50" s="110" t="str">
        <f>IFERROR(VLOOKUP($A50,'The List'!$B1:$AS665,29,FALSE)," ")</f>
        <v xml:space="preserve"> </v>
      </c>
      <c r="W50" s="110" t="str">
        <f>IFERROR(VLOOKUP($A50,'The List'!$B1:$AS665,30,FALSE)," ")</f>
        <v xml:space="preserve"> </v>
      </c>
      <c r="X50" s="110" t="str">
        <f>IFERROR(VLOOKUP($A50,'The List'!$B1:$AS665,31,FALSE)," ")</f>
        <v xml:space="preserve"> </v>
      </c>
      <c r="Y50" s="110" t="str">
        <f>IFERROR(VLOOKUP($A50,'The List'!$B1:$AS665,32,FALSE)," ")</f>
        <v xml:space="preserve"> </v>
      </c>
      <c r="Z50" s="110" t="str">
        <f>IFERROR(VLOOKUP($A50,'The List'!$B1:$AS665,33,FALSE)," ")</f>
        <v xml:space="preserve"> </v>
      </c>
      <c r="AA50" s="86"/>
      <c r="AB50" s="91"/>
      <c r="AC50" s="91"/>
      <c r="AD50" s="91"/>
      <c r="AE50" s="91"/>
      <c r="AF50" s="91"/>
    </row>
    <row r="51" spans="1:32" ht="21.25" customHeight="1" x14ac:dyDescent="0.15">
      <c r="A51" s="111"/>
      <c r="B51" s="112"/>
      <c r="C51" s="113"/>
      <c r="D51" s="114"/>
      <c r="E51" s="146" t="str">
        <f>IFERROR(AVERAGE(E31:E50)," ")</f>
        <v xml:space="preserve"> </v>
      </c>
      <c r="F51" s="116">
        <f>SUM(F31:F50)</f>
        <v>0</v>
      </c>
      <c r="G51" s="116">
        <f>SUM(G31:G50)</f>
        <v>0</v>
      </c>
      <c r="H51" s="117"/>
      <c r="I51" s="118">
        <f>SUM(I31:I50)</f>
        <v>0</v>
      </c>
      <c r="J51" s="117" t="e">
        <f>AVERAGE(J31:J50)</f>
        <v>#DIV/0!</v>
      </c>
      <c r="K51" s="118">
        <f t="shared" ref="K51:Y51" si="2">SUM(K31:K50)</f>
        <v>0</v>
      </c>
      <c r="L51" s="118">
        <f t="shared" si="2"/>
        <v>0</v>
      </c>
      <c r="M51" s="118">
        <f t="shared" si="2"/>
        <v>0</v>
      </c>
      <c r="N51" s="118">
        <f t="shared" si="2"/>
        <v>0</v>
      </c>
      <c r="O51" s="118">
        <f t="shared" si="2"/>
        <v>0</v>
      </c>
      <c r="P51" s="118">
        <f t="shared" si="2"/>
        <v>0</v>
      </c>
      <c r="Q51" s="118">
        <f t="shared" si="2"/>
        <v>0</v>
      </c>
      <c r="R51" s="118">
        <f t="shared" si="2"/>
        <v>0</v>
      </c>
      <c r="S51" s="118">
        <f t="shared" si="2"/>
        <v>0</v>
      </c>
      <c r="T51" s="118">
        <f t="shared" si="2"/>
        <v>0</v>
      </c>
      <c r="U51" s="118">
        <f t="shared" si="2"/>
        <v>0</v>
      </c>
      <c r="V51" s="118">
        <f t="shared" si="2"/>
        <v>0</v>
      </c>
      <c r="W51" s="118">
        <f t="shared" si="2"/>
        <v>0</v>
      </c>
      <c r="X51" s="118">
        <f t="shared" si="2"/>
        <v>0</v>
      </c>
      <c r="Y51" s="118">
        <f t="shared" si="2"/>
        <v>0</v>
      </c>
      <c r="Z51" s="119">
        <f>IFERROR(X51/(X51+Y51),0)</f>
        <v>0</v>
      </c>
      <c r="AA51" s="86"/>
      <c r="AB51" s="91"/>
      <c r="AC51" s="120"/>
      <c r="AD51" s="120"/>
      <c r="AE51" s="120"/>
      <c r="AF51" s="120"/>
    </row>
    <row r="52" spans="1:32" ht="21.25" customHeight="1" x14ac:dyDescent="0.15">
      <c r="A52" s="34"/>
      <c r="B52" s="121"/>
      <c r="C52" s="122"/>
      <c r="D52" s="12"/>
      <c r="E52" s="12"/>
      <c r="F52" s="123"/>
      <c r="G52" s="124"/>
      <c r="H52" s="125"/>
      <c r="I52" s="12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91"/>
      <c r="AC52" s="91"/>
      <c r="AD52" s="91"/>
      <c r="AE52" s="91"/>
      <c r="AF52" s="91"/>
    </row>
    <row r="53" spans="1:32" ht="21.25" customHeight="1" x14ac:dyDescent="0.15">
      <c r="A53" s="37" t="s">
        <v>89</v>
      </c>
      <c r="B53" s="205" t="s">
        <v>91</v>
      </c>
      <c r="C53" s="195"/>
      <c r="D53" s="40" t="s">
        <v>92</v>
      </c>
      <c r="E53" s="40" t="s">
        <v>93</v>
      </c>
      <c r="F53" s="127" t="s">
        <v>95</v>
      </c>
      <c r="G53" s="127" t="s">
        <v>97</v>
      </c>
      <c r="H53" s="128"/>
      <c r="I53" s="129" t="s">
        <v>102</v>
      </c>
      <c r="J53" s="129" t="s">
        <v>118</v>
      </c>
      <c r="K53" s="129" t="s">
        <v>119</v>
      </c>
      <c r="L53" s="129" t="s">
        <v>120</v>
      </c>
      <c r="M53" s="129" t="s">
        <v>121</v>
      </c>
      <c r="N53" s="129" t="s">
        <v>122</v>
      </c>
      <c r="O53" s="129" t="s">
        <v>123</v>
      </c>
      <c r="P53" s="129" t="s">
        <v>124</v>
      </c>
      <c r="Q53" s="129" t="s">
        <v>125</v>
      </c>
      <c r="R53" s="86"/>
      <c r="S53" s="86"/>
      <c r="T53" s="86"/>
      <c r="U53" s="205" t="s">
        <v>809</v>
      </c>
      <c r="V53" s="206"/>
      <c r="W53" s="206"/>
      <c r="X53" s="205" t="s">
        <v>810</v>
      </c>
      <c r="Y53" s="206"/>
      <c r="Z53" s="206"/>
      <c r="AA53" s="86"/>
      <c r="AB53" s="91"/>
      <c r="AC53" s="86"/>
      <c r="AD53" s="86"/>
      <c r="AE53" s="86"/>
      <c r="AF53" s="86"/>
    </row>
    <row r="54" spans="1:32" ht="21.25" customHeight="1" x14ac:dyDescent="0.15">
      <c r="A54" s="147"/>
      <c r="B54" s="131" t="str">
        <f>IFERROR(VLOOKUP($A54,'The List'!$B1:$AS665,3,FALSE)," ")</f>
        <v xml:space="preserve"> </v>
      </c>
      <c r="C54" s="148" t="str">
        <f>IFERROR(VLOOKUP($A54,'The List'!$B1:$AS665,4,FALSE)," ")</f>
        <v xml:space="preserve"> </v>
      </c>
      <c r="D54" s="49" t="str">
        <f>IFERROR(VLOOKUP($A54,'The List'!$B1:$AS665,5,FALSE)," ")</f>
        <v xml:space="preserve"> </v>
      </c>
      <c r="E54" s="49" t="str">
        <f>IFERROR(VLOOKUP($A54,'The List'!$B1:$AS665,6,FALSE)," ")</f>
        <v xml:space="preserve"> </v>
      </c>
      <c r="F54" s="149" t="str">
        <f>IFERROR(VLOOKUP($A54,'The List'!$B1:$AS665,8,FALSE)," ")</f>
        <v xml:space="preserve"> </v>
      </c>
      <c r="G54" s="149" t="str">
        <f>IFERROR(VLOOKUP($A54,'The List'!$B1:$AS665,10,FALSE)," ")</f>
        <v xml:space="preserve"> </v>
      </c>
      <c r="H54" s="135"/>
      <c r="I54" s="150" t="str">
        <f>IFERROR(VLOOKUP($A54,'The List'!$B1:$AS665,35,FALSE)," ")</f>
        <v xml:space="preserve"> </v>
      </c>
      <c r="J54" s="150" t="str">
        <f>IFERROR(VLOOKUP($A54,'The List'!$B1:$AS665,36,FALSE)," ")</f>
        <v xml:space="preserve"> </v>
      </c>
      <c r="K54" s="150" t="str">
        <f>IFERROR(VLOOKUP($A54,'The List'!$B1:$AS665,37,FALSE)," ")</f>
        <v xml:space="preserve"> </v>
      </c>
      <c r="L54" s="150" t="str">
        <f>IFERROR(VLOOKUP($A54,'The List'!$B1:$AS665,38,FALSE)," ")</f>
        <v xml:space="preserve"> </v>
      </c>
      <c r="M54" s="150" t="str">
        <f>IFERROR(VLOOKUP($A54,'The List'!$B1:$AS665,39,FALSE)," ")</f>
        <v xml:space="preserve"> </v>
      </c>
      <c r="N54" s="150" t="str">
        <f>IFERROR(VLOOKUP($A54,'The List'!$B1:$AS665,40,FALSE)," ")</f>
        <v xml:space="preserve"> </v>
      </c>
      <c r="O54" s="150" t="str">
        <f>IFERROR(VLOOKUP($A54,'The List'!$B1:$AS665,41,FALSE)," ")</f>
        <v xml:space="preserve"> </v>
      </c>
      <c r="P54" s="150" t="str">
        <f>IFERROR(VLOOKUP($A54,'The List'!$B1:$AS665,42,FALSE)," ")</f>
        <v xml:space="preserve"> </v>
      </c>
      <c r="Q54" s="150" t="str">
        <f>IFERROR(VLOOKUP($A54,'The List'!$B1:$AS665,43,FALSE)," ")</f>
        <v xml:space="preserve"> </v>
      </c>
      <c r="R54" s="86"/>
      <c r="S54" s="86"/>
      <c r="T54" s="139" t="str">
        <f>A30</f>
        <v>TEAM 2</v>
      </c>
      <c r="U54" s="207">
        <f>F51+F57</f>
        <v>0</v>
      </c>
      <c r="V54" s="195"/>
      <c r="W54" s="195"/>
      <c r="X54" s="207">
        <f>G57+G51</f>
        <v>0</v>
      </c>
      <c r="Y54" s="195"/>
      <c r="Z54" s="195"/>
      <c r="AA54" s="86"/>
      <c r="AB54" s="91"/>
      <c r="AC54" s="86"/>
      <c r="AD54" s="86"/>
      <c r="AE54" s="86"/>
      <c r="AF54" s="86"/>
    </row>
    <row r="55" spans="1:32" ht="21.25" customHeight="1" x14ac:dyDescent="0.15">
      <c r="A55" s="23"/>
      <c r="B55" s="140" t="str">
        <f>IFERROR(VLOOKUP($A55,'The List'!$B1:$AS665,3,FALSE)," ")</f>
        <v xml:space="preserve"> </v>
      </c>
      <c r="C55" s="141" t="str">
        <f>IFERROR(VLOOKUP($A55,'The List'!$B1:$AS665,4,FALSE)," ")</f>
        <v xml:space="preserve"> </v>
      </c>
      <c r="D55" s="65" t="str">
        <f>IFERROR(VLOOKUP($A55,'The List'!$B1:$AS665,5,FALSE)," ")</f>
        <v xml:space="preserve"> </v>
      </c>
      <c r="E55" s="65" t="str">
        <f>IFERROR(VLOOKUP($A55,'The List'!$B1:$AS665,6,FALSE)," ")</f>
        <v xml:space="preserve"> </v>
      </c>
      <c r="F55" s="93" t="str">
        <f>IFERROR(VLOOKUP($A55,'The List'!$B1:$AS665,8,FALSE)," ")</f>
        <v xml:space="preserve"> </v>
      </c>
      <c r="G55" s="93" t="str">
        <f>IFERROR(VLOOKUP($A55,'The List'!$B1:$AS665,10,FALSE)," ")</f>
        <v xml:space="preserve"> </v>
      </c>
      <c r="H55" s="54"/>
      <c r="I55" s="83" t="str">
        <f>IFERROR(VLOOKUP($A55,'The List'!$B1:$AS665,35,FALSE)," ")</f>
        <v xml:space="preserve"> </v>
      </c>
      <c r="J55" s="83" t="str">
        <f>IFERROR(VLOOKUP($A55,'The List'!$B1:$AS665,36,FALSE)," ")</f>
        <v xml:space="preserve"> </v>
      </c>
      <c r="K55" s="83" t="str">
        <f>IFERROR(VLOOKUP($A55,'The List'!$B1:$AS665,37,FALSE)," ")</f>
        <v xml:space="preserve"> </v>
      </c>
      <c r="L55" s="83" t="str">
        <f>IFERROR(VLOOKUP($A55,'The List'!$B1:$AS665,38,FALSE)," ")</f>
        <v xml:space="preserve"> </v>
      </c>
      <c r="M55" s="83" t="str">
        <f>IFERROR(VLOOKUP($A55,'The List'!$B1:$AS665,39,FALSE)," ")</f>
        <v xml:space="preserve"> </v>
      </c>
      <c r="N55" s="83" t="str">
        <f>IFERROR(VLOOKUP($A55,'The List'!$B1:$AS665,40,FALSE)," ")</f>
        <v xml:space="preserve"> </v>
      </c>
      <c r="O55" s="83" t="str">
        <f>IFERROR(VLOOKUP($A55,'The List'!$B1:$AS665,41,FALSE)," ")</f>
        <v xml:space="preserve"> </v>
      </c>
      <c r="P55" s="83" t="str">
        <f>IFERROR(VLOOKUP($A55,'The List'!$B1:$AS665,42,FALSE)," ")</f>
        <v xml:space="preserve"> </v>
      </c>
      <c r="Q55" s="83" t="str">
        <f>IFERROR(VLOOKUP($A55,'The List'!$B1:$AS665,43,FALSE)," ")</f>
        <v xml:space="preserve"> </v>
      </c>
      <c r="R55" s="86"/>
      <c r="S55" s="86"/>
      <c r="T55" s="86"/>
      <c r="U55" s="195"/>
      <c r="V55" s="195"/>
      <c r="W55" s="195"/>
      <c r="X55" s="195"/>
      <c r="Y55" s="195"/>
      <c r="Z55" s="195"/>
      <c r="AA55" s="86"/>
      <c r="AB55" s="91"/>
      <c r="AC55" s="86"/>
      <c r="AD55" s="86"/>
      <c r="AE55" s="86"/>
      <c r="AF55" s="86"/>
    </row>
    <row r="56" spans="1:32" ht="21.25" customHeight="1" x14ac:dyDescent="0.15">
      <c r="A56" s="104"/>
      <c r="B56" s="142" t="str">
        <f>IFERROR(VLOOKUP($A56,'The List'!$B1:$AS665,3,FALSE)," ")</f>
        <v xml:space="preserve"> </v>
      </c>
      <c r="C56" s="143" t="str">
        <f>IFERROR(VLOOKUP($A56,'The List'!$B1:$AS665,4,FALSE)," ")</f>
        <v xml:space="preserve"> </v>
      </c>
      <c r="D56" s="107" t="str">
        <f>IFERROR(VLOOKUP($A56,'The List'!$B1:$AS665,5,FALSE)," ")</f>
        <v xml:space="preserve"> </v>
      </c>
      <c r="E56" s="107" t="str">
        <f>IFERROR(VLOOKUP($A56,'The List'!$B1:$AS665,6,FALSE)," ")</f>
        <v xml:space="preserve"> </v>
      </c>
      <c r="F56" s="108" t="str">
        <f>IFERROR(VLOOKUP($A56,'The List'!$B1:$AS665,8,FALSE)," ")</f>
        <v xml:space="preserve"> </v>
      </c>
      <c r="G56" s="108" t="str">
        <f>IFERROR(VLOOKUP($A56,'The List'!$B1:$AS665,10,FALSE)," ")</f>
        <v xml:space="preserve"> </v>
      </c>
      <c r="H56" s="109"/>
      <c r="I56" s="110" t="str">
        <f>IFERROR(VLOOKUP($A56,'The List'!$B1:$AS665,35,FALSE)," ")</f>
        <v xml:space="preserve"> </v>
      </c>
      <c r="J56" s="110" t="str">
        <f>IFERROR(VLOOKUP($A56,'The List'!$B1:$AS665,36,FALSE)," ")</f>
        <v xml:space="preserve"> </v>
      </c>
      <c r="K56" s="110" t="str">
        <f>IFERROR(VLOOKUP($A56,'The List'!$B1:$AS665,37,FALSE)," ")</f>
        <v xml:space="preserve"> </v>
      </c>
      <c r="L56" s="110" t="str">
        <f>IFERROR(VLOOKUP($A56,'The List'!$B1:$AS665,38,FALSE)," ")</f>
        <v xml:space="preserve"> </v>
      </c>
      <c r="M56" s="110" t="str">
        <f>IFERROR(VLOOKUP($A56,'The List'!$B1:$AS665,39,FALSE)," ")</f>
        <v xml:space="preserve"> </v>
      </c>
      <c r="N56" s="110" t="str">
        <f>IFERROR(VLOOKUP($A56,'The List'!$B1:$AS665,40,FALSE)," ")</f>
        <v xml:space="preserve"> </v>
      </c>
      <c r="O56" s="110" t="str">
        <f>IFERROR(VLOOKUP($A56,'The List'!$B1:$AS665,41,FALSE)," ")</f>
        <v xml:space="preserve"> </v>
      </c>
      <c r="P56" s="110" t="str">
        <f>IFERROR(VLOOKUP($A56,'The List'!$B1:$AS665,42,FALSE)," ")</f>
        <v xml:space="preserve"> </v>
      </c>
      <c r="Q56" s="110" t="str">
        <f>IFERROR(VLOOKUP($A56,'The List'!$B1:$AS665,43,FALSE)," ")</f>
        <v xml:space="preserve"> </v>
      </c>
      <c r="R56" s="86"/>
      <c r="S56" s="86"/>
      <c r="T56" s="86"/>
      <c r="U56" s="195"/>
      <c r="V56" s="195"/>
      <c r="W56" s="195"/>
      <c r="X56" s="195"/>
      <c r="Y56" s="195"/>
      <c r="Z56" s="195"/>
      <c r="AA56" s="86"/>
      <c r="AB56" s="91"/>
      <c r="AC56" s="86"/>
      <c r="AD56" s="86"/>
      <c r="AE56" s="86"/>
      <c r="AF56" s="86"/>
    </row>
    <row r="57" spans="1:32" ht="21.25" customHeight="1" x14ac:dyDescent="0.15">
      <c r="A57" s="111"/>
      <c r="B57" s="112"/>
      <c r="C57" s="113"/>
      <c r="D57" s="114"/>
      <c r="E57" s="146" t="str">
        <f>IFERROR(AVERAGE(E54:E56)," ")</f>
        <v xml:space="preserve"> </v>
      </c>
      <c r="F57" s="116">
        <f>SUM(F54:F56)</f>
        <v>0</v>
      </c>
      <c r="G57" s="116">
        <f>SUM(G54:G56)</f>
        <v>0</v>
      </c>
      <c r="H57" s="117"/>
      <c r="I57" s="118">
        <f t="shared" ref="I57:O57" si="3">SUM(I54:I56)</f>
        <v>0</v>
      </c>
      <c r="J57" s="117">
        <f t="shared" si="3"/>
        <v>0</v>
      </c>
      <c r="K57" s="118">
        <f t="shared" si="3"/>
        <v>0</v>
      </c>
      <c r="L57" s="118">
        <f t="shared" si="3"/>
        <v>0</v>
      </c>
      <c r="M57" s="118">
        <f t="shared" si="3"/>
        <v>0</v>
      </c>
      <c r="N57" s="118">
        <f t="shared" si="3"/>
        <v>0</v>
      </c>
      <c r="O57" s="118">
        <f t="shared" si="3"/>
        <v>0</v>
      </c>
      <c r="P57" s="144" t="e">
        <f>1-(O57/(N57+O57))</f>
        <v>#DIV/0!</v>
      </c>
      <c r="Q57" s="145" t="e">
        <f>O57/I57</f>
        <v>#DIV/0!</v>
      </c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121"/>
      <c r="AC57" s="86"/>
      <c r="AD57" s="86"/>
      <c r="AE57" s="86"/>
      <c r="AF57" s="86"/>
    </row>
    <row r="58" spans="1:32" ht="70.75" customHeight="1" x14ac:dyDescent="0.15">
      <c r="A58" s="34"/>
      <c r="B58" s="121"/>
      <c r="C58" s="122"/>
      <c r="D58" s="12"/>
      <c r="E58" s="12"/>
      <c r="F58" s="123"/>
      <c r="G58" s="124"/>
      <c r="H58" s="125"/>
      <c r="I58" s="12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91"/>
      <c r="AB58" s="91"/>
      <c r="AC58" s="91"/>
      <c r="AD58" s="91"/>
      <c r="AE58" s="91"/>
      <c r="AF58" s="91"/>
    </row>
    <row r="59" spans="1:32" ht="21.25" customHeight="1" x14ac:dyDescent="0.15">
      <c r="A59" s="38" t="s">
        <v>795</v>
      </c>
      <c r="B59" s="204" t="s">
        <v>91</v>
      </c>
      <c r="C59" s="200"/>
      <c r="D59" s="39" t="s">
        <v>92</v>
      </c>
      <c r="E59" s="39" t="s">
        <v>93</v>
      </c>
      <c r="F59" s="41" t="s">
        <v>95</v>
      </c>
      <c r="G59" s="41" t="s">
        <v>97</v>
      </c>
      <c r="H59" s="42"/>
      <c r="I59" s="44" t="s">
        <v>102</v>
      </c>
      <c r="J59" s="44" t="s">
        <v>55</v>
      </c>
      <c r="K59" s="44" t="s">
        <v>103</v>
      </c>
      <c r="L59" s="44" t="s">
        <v>104</v>
      </c>
      <c r="M59" s="44" t="s">
        <v>105</v>
      </c>
      <c r="N59" s="44" t="s">
        <v>106</v>
      </c>
      <c r="O59" s="44" t="s">
        <v>107</v>
      </c>
      <c r="P59" s="44" t="s">
        <v>63</v>
      </c>
      <c r="Q59" s="44" t="s">
        <v>108</v>
      </c>
      <c r="R59" s="44" t="s">
        <v>109</v>
      </c>
      <c r="S59" s="44" t="s">
        <v>110</v>
      </c>
      <c r="T59" s="44" t="s">
        <v>111</v>
      </c>
      <c r="U59" s="44" t="s">
        <v>112</v>
      </c>
      <c r="V59" s="44" t="s">
        <v>113</v>
      </c>
      <c r="W59" s="44" t="s">
        <v>114</v>
      </c>
      <c r="X59" s="44" t="s">
        <v>115</v>
      </c>
      <c r="Y59" s="44" t="s">
        <v>116</v>
      </c>
      <c r="Z59" s="44" t="s">
        <v>117</v>
      </c>
      <c r="AA59" s="86"/>
      <c r="AB59" s="87"/>
      <c r="AC59" s="87"/>
      <c r="AD59" s="87"/>
      <c r="AE59" s="87"/>
      <c r="AF59" s="87"/>
    </row>
    <row r="60" spans="1:32" ht="21.25" customHeight="1" x14ac:dyDescent="0.15">
      <c r="A60" s="23"/>
      <c r="B60" s="88" t="str">
        <f>IFERROR(VLOOKUP($A60,'The List'!$B1:$AS665,3,FALSE)," ")</f>
        <v xml:space="preserve"> </v>
      </c>
      <c r="C60" s="92" t="str">
        <f>IFERROR(VLOOKUP($A60,'The List'!$B1:$AS665,4,FALSE)," ")</f>
        <v xml:space="preserve"> </v>
      </c>
      <c r="D60" s="65" t="str">
        <f>IFERROR(VLOOKUP($A60,'The List'!$B1:$AS665,5,FALSE)," ")</f>
        <v xml:space="preserve"> </v>
      </c>
      <c r="E60" s="65" t="str">
        <f>IFERROR(VLOOKUP($A60,'The List'!$B1:$AS665,6,FALSE)," ")</f>
        <v xml:space="preserve"> </v>
      </c>
      <c r="F60" s="93" t="str">
        <f>IFERROR(VLOOKUP($A60,'The List'!$B1:$AS665,8,FALSE)," ")</f>
        <v xml:space="preserve"> </v>
      </c>
      <c r="G60" s="93" t="str">
        <f>IFERROR(VLOOKUP($A60,'The List'!$B1:$AS665,10,FALSE)," ")</f>
        <v xml:space="preserve"> </v>
      </c>
      <c r="H60" s="54"/>
      <c r="I60" s="83" t="str">
        <f>IFERROR(VLOOKUP($A60,'The List'!$B1:$AS665,16,FALSE)," ")</f>
        <v xml:space="preserve"> </v>
      </c>
      <c r="J60" s="83" t="str">
        <f>IFERROR(VLOOKUP($A60,'The List'!$B1:$AS665,17,FALSE)," ")</f>
        <v xml:space="preserve"> </v>
      </c>
      <c r="K60" s="83" t="str">
        <f>IFERROR(VLOOKUP($A60,'The List'!$B1:$AS665,18,FALSE)," ")</f>
        <v xml:space="preserve"> </v>
      </c>
      <c r="L60" s="83" t="str">
        <f>IFERROR(VLOOKUP($A60,'The List'!$B1:$AS665,19,FALSE)," ")</f>
        <v xml:space="preserve"> </v>
      </c>
      <c r="M60" s="83" t="str">
        <f>IFERROR(VLOOKUP($A60,'The List'!$B1:$AS665,20,FALSE)," ")</f>
        <v xml:space="preserve"> </v>
      </c>
      <c r="N60" s="83" t="str">
        <f>IFERROR(VLOOKUP($A60,'The List'!$B1:$AS665,21,FALSE)," ")</f>
        <v xml:space="preserve"> </v>
      </c>
      <c r="O60" s="83" t="str">
        <f>IFERROR(VLOOKUP($A60,'The List'!$B1:$AS665,22,FALSE)," ")</f>
        <v xml:space="preserve"> </v>
      </c>
      <c r="P60" s="83" t="str">
        <f>IFERROR(VLOOKUP($A60,'The List'!$B1:$AS665,23,FALSE)," ")</f>
        <v xml:space="preserve"> </v>
      </c>
      <c r="Q60" s="83" t="str">
        <f>IFERROR(VLOOKUP($A60,'The List'!$B1:$AS665,24,FALSE)," ")</f>
        <v xml:space="preserve"> </v>
      </c>
      <c r="R60" s="83" t="str">
        <f>IFERROR(VLOOKUP($A60,'The List'!$B1:$AS665,25,FALSE)," ")</f>
        <v xml:space="preserve"> </v>
      </c>
      <c r="S60" s="83" t="str">
        <f>IFERROR(VLOOKUP($A60,'The List'!$B1:$AS665,26,FALSE)," ")</f>
        <v xml:space="preserve"> </v>
      </c>
      <c r="T60" s="83" t="str">
        <f>IFERROR(VLOOKUP($A60,'The List'!$B1:$AS665,27,FALSE)," ")</f>
        <v xml:space="preserve"> </v>
      </c>
      <c r="U60" s="83" t="str">
        <f>IFERROR(VLOOKUP($A60,'The List'!$B1:$AS665,28,FALSE)," ")</f>
        <v xml:space="preserve"> </v>
      </c>
      <c r="V60" s="83" t="str">
        <f>IFERROR(VLOOKUP($A60,'The List'!$B1:$AS665,29,FALSE)," ")</f>
        <v xml:space="preserve"> </v>
      </c>
      <c r="W60" s="83" t="str">
        <f>IFERROR(VLOOKUP($A60,'The List'!$B1:$AS665,30,FALSE)," ")</f>
        <v xml:space="preserve"> </v>
      </c>
      <c r="X60" s="83" t="str">
        <f>IFERROR(VLOOKUP($A60,'The List'!$B1:$AS665,31,FALSE)," ")</f>
        <v xml:space="preserve"> </v>
      </c>
      <c r="Y60" s="83" t="str">
        <f>IFERROR(VLOOKUP($A60,'The List'!$B1:$AS665,32,FALSE)," ")</f>
        <v xml:space="preserve"> </v>
      </c>
      <c r="Z60" s="83" t="str">
        <f>IFERROR(VLOOKUP($A60,'The List'!$B1:$AS665,33,FALSE)," ")</f>
        <v xml:space="preserve"> </v>
      </c>
      <c r="AA60" s="86"/>
      <c r="AB60" s="91"/>
      <c r="AC60" s="91"/>
      <c r="AD60" s="91"/>
      <c r="AE60" s="91"/>
      <c r="AF60" s="91"/>
    </row>
    <row r="61" spans="1:32" ht="21.25" customHeight="1" x14ac:dyDescent="0.15">
      <c r="A61" s="23"/>
      <c r="B61" s="88" t="str">
        <f>IFERROR(VLOOKUP($A61,'The List'!$B1:$AS665,3,FALSE)," ")</f>
        <v xml:space="preserve"> </v>
      </c>
      <c r="C61" s="92" t="str">
        <f>IFERROR(VLOOKUP($A61,'The List'!$B1:$AS665,4,FALSE)," ")</f>
        <v xml:space="preserve"> </v>
      </c>
      <c r="D61" s="65" t="str">
        <f>IFERROR(VLOOKUP($A61,'The List'!$B1:$AS665,5,FALSE)," ")</f>
        <v xml:space="preserve"> </v>
      </c>
      <c r="E61" s="65" t="str">
        <f>IFERROR(VLOOKUP($A61,'The List'!$B1:$AS665,6,FALSE)," ")</f>
        <v xml:space="preserve"> </v>
      </c>
      <c r="F61" s="93" t="str">
        <f>IFERROR(VLOOKUP($A61,'The List'!$B1:$AS665,8,FALSE)," ")</f>
        <v xml:space="preserve"> </v>
      </c>
      <c r="G61" s="93" t="str">
        <f>IFERROR(VLOOKUP($A61,'The List'!$B1:$AS665,10,FALSE)," ")</f>
        <v xml:space="preserve"> </v>
      </c>
      <c r="H61" s="54"/>
      <c r="I61" s="83" t="str">
        <f>IFERROR(VLOOKUP($A61,'The List'!$B1:$AS665,16,FALSE)," ")</f>
        <v xml:space="preserve"> </v>
      </c>
      <c r="J61" s="83" t="str">
        <f>IFERROR(VLOOKUP($A61,'The List'!$B1:$AS665,17,FALSE)," ")</f>
        <v xml:space="preserve"> </v>
      </c>
      <c r="K61" s="83" t="str">
        <f>IFERROR(VLOOKUP($A61,'The List'!$B1:$AS665,18,FALSE)," ")</f>
        <v xml:space="preserve"> </v>
      </c>
      <c r="L61" s="83" t="str">
        <f>IFERROR(VLOOKUP($A61,'The List'!$B1:$AS665,19,FALSE)," ")</f>
        <v xml:space="preserve"> </v>
      </c>
      <c r="M61" s="83" t="str">
        <f>IFERROR(VLOOKUP($A61,'The List'!$B1:$AS665,20,FALSE)," ")</f>
        <v xml:space="preserve"> </v>
      </c>
      <c r="N61" s="83" t="str">
        <f>IFERROR(VLOOKUP($A61,'The List'!$B1:$AS665,21,FALSE)," ")</f>
        <v xml:space="preserve"> </v>
      </c>
      <c r="O61" s="83" t="str">
        <f>IFERROR(VLOOKUP($A61,'The List'!$B1:$AS665,22,FALSE)," ")</f>
        <v xml:space="preserve"> </v>
      </c>
      <c r="P61" s="83" t="str">
        <f>IFERROR(VLOOKUP($A61,'The List'!$B1:$AS665,23,FALSE)," ")</f>
        <v xml:space="preserve"> </v>
      </c>
      <c r="Q61" s="83" t="str">
        <f>IFERROR(VLOOKUP($A61,'The List'!$B1:$AS665,24,FALSE)," ")</f>
        <v xml:space="preserve"> </v>
      </c>
      <c r="R61" s="83" t="str">
        <f>IFERROR(VLOOKUP($A61,'The List'!$B1:$AS665,25,FALSE)," ")</f>
        <v xml:space="preserve"> </v>
      </c>
      <c r="S61" s="83" t="str">
        <f>IFERROR(VLOOKUP($A61,'The List'!$B1:$AS665,26,FALSE)," ")</f>
        <v xml:space="preserve"> </v>
      </c>
      <c r="T61" s="83" t="str">
        <f>IFERROR(VLOOKUP($A61,'The List'!$B1:$AS665,27,FALSE)," ")</f>
        <v xml:space="preserve"> </v>
      </c>
      <c r="U61" s="83" t="str">
        <f>IFERROR(VLOOKUP($A61,'The List'!$B1:$AS665,28,FALSE)," ")</f>
        <v xml:space="preserve"> </v>
      </c>
      <c r="V61" s="83" t="str">
        <f>IFERROR(VLOOKUP($A61,'The List'!$B1:$AS665,29,FALSE)," ")</f>
        <v xml:space="preserve"> </v>
      </c>
      <c r="W61" s="83" t="str">
        <f>IFERROR(VLOOKUP($A61,'The List'!$B1:$AS665,30,FALSE)," ")</f>
        <v xml:space="preserve"> </v>
      </c>
      <c r="X61" s="83" t="str">
        <f>IFERROR(VLOOKUP($A61,'The List'!$B1:$AS665,31,FALSE)," ")</f>
        <v xml:space="preserve"> </v>
      </c>
      <c r="Y61" s="83" t="str">
        <f>IFERROR(VLOOKUP($A61,'The List'!$B1:$AS665,32,FALSE)," ")</f>
        <v xml:space="preserve"> </v>
      </c>
      <c r="Z61" s="83" t="str">
        <f>IFERROR(VLOOKUP($A61,'The List'!$B1:$AS665,33,FALSE)," ")</f>
        <v xml:space="preserve"> </v>
      </c>
      <c r="AA61" s="86"/>
      <c r="AB61" s="91"/>
      <c r="AC61" s="91"/>
      <c r="AD61" s="91"/>
      <c r="AE61" s="91"/>
      <c r="AF61" s="91"/>
    </row>
    <row r="62" spans="1:32" ht="21.25" customHeight="1" x14ac:dyDescent="0.15">
      <c r="A62" s="23"/>
      <c r="B62" s="88" t="str">
        <f>IFERROR(VLOOKUP($A62,'The List'!$B1:$AS665,3,FALSE)," ")</f>
        <v xml:space="preserve"> </v>
      </c>
      <c r="C62" s="92" t="str">
        <f>IFERROR(VLOOKUP($A62,'The List'!$B1:$AS665,4,FALSE)," ")</f>
        <v xml:space="preserve"> </v>
      </c>
      <c r="D62" s="65" t="str">
        <f>IFERROR(VLOOKUP($A62,'The List'!$B1:$AS665,5,FALSE)," ")</f>
        <v xml:space="preserve"> </v>
      </c>
      <c r="E62" s="65" t="str">
        <f>IFERROR(VLOOKUP($A62,'The List'!$B1:$AS665,6,FALSE)," ")</f>
        <v xml:space="preserve"> </v>
      </c>
      <c r="F62" s="93" t="str">
        <f>IFERROR(VLOOKUP($A62,'The List'!$B1:$AS665,8,FALSE)," ")</f>
        <v xml:space="preserve"> </v>
      </c>
      <c r="G62" s="93" t="str">
        <f>IFERROR(VLOOKUP($A62,'The List'!$B1:$AS665,10,FALSE)," ")</f>
        <v xml:space="preserve"> </v>
      </c>
      <c r="H62" s="54"/>
      <c r="I62" s="83" t="str">
        <f>IFERROR(VLOOKUP($A62,'The List'!$B1:$AS665,16,FALSE)," ")</f>
        <v xml:space="preserve"> </v>
      </c>
      <c r="J62" s="83" t="str">
        <f>IFERROR(VLOOKUP($A62,'The List'!$B1:$AS665,17,FALSE)," ")</f>
        <v xml:space="preserve"> </v>
      </c>
      <c r="K62" s="83" t="str">
        <f>IFERROR(VLOOKUP($A62,'The List'!$B1:$AS665,18,FALSE)," ")</f>
        <v xml:space="preserve"> </v>
      </c>
      <c r="L62" s="83" t="str">
        <f>IFERROR(VLOOKUP($A62,'The List'!$B1:$AS665,19,FALSE)," ")</f>
        <v xml:space="preserve"> </v>
      </c>
      <c r="M62" s="83" t="str">
        <f>IFERROR(VLOOKUP($A62,'The List'!$B1:$AS665,20,FALSE)," ")</f>
        <v xml:space="preserve"> </v>
      </c>
      <c r="N62" s="83" t="str">
        <f>IFERROR(VLOOKUP($A62,'The List'!$B1:$AS665,21,FALSE)," ")</f>
        <v xml:space="preserve"> </v>
      </c>
      <c r="O62" s="83" t="str">
        <f>IFERROR(VLOOKUP($A62,'The List'!$B1:$AS665,22,FALSE)," ")</f>
        <v xml:space="preserve"> </v>
      </c>
      <c r="P62" s="83" t="str">
        <f>IFERROR(VLOOKUP($A62,'The List'!$B1:$AS665,23,FALSE)," ")</f>
        <v xml:space="preserve"> </v>
      </c>
      <c r="Q62" s="83" t="str">
        <f>IFERROR(VLOOKUP($A62,'The List'!$B1:$AS665,24,FALSE)," ")</f>
        <v xml:space="preserve"> </v>
      </c>
      <c r="R62" s="83" t="str">
        <f>IFERROR(VLOOKUP($A62,'The List'!$B1:$AS665,25,FALSE)," ")</f>
        <v xml:space="preserve"> </v>
      </c>
      <c r="S62" s="83" t="str">
        <f>IFERROR(VLOOKUP($A62,'The List'!$B1:$AS665,26,FALSE)," ")</f>
        <v xml:space="preserve"> </v>
      </c>
      <c r="T62" s="83" t="str">
        <f>IFERROR(VLOOKUP($A62,'The List'!$B1:$AS665,27,FALSE)," ")</f>
        <v xml:space="preserve"> </v>
      </c>
      <c r="U62" s="83" t="str">
        <f>IFERROR(VLOOKUP($A62,'The List'!$B1:$AS665,28,FALSE)," ")</f>
        <v xml:space="preserve"> </v>
      </c>
      <c r="V62" s="83" t="str">
        <f>IFERROR(VLOOKUP($A62,'The List'!$B1:$AS665,29,FALSE)," ")</f>
        <v xml:space="preserve"> </v>
      </c>
      <c r="W62" s="83" t="str">
        <f>IFERROR(VLOOKUP($A62,'The List'!$B1:$AS665,30,FALSE)," ")</f>
        <v xml:space="preserve"> </v>
      </c>
      <c r="X62" s="83" t="str">
        <f>IFERROR(VLOOKUP($A62,'The List'!$B1:$AS665,31,FALSE)," ")</f>
        <v xml:space="preserve"> </v>
      </c>
      <c r="Y62" s="83" t="str">
        <f>IFERROR(VLOOKUP($A62,'The List'!$B1:$AS665,32,FALSE)," ")</f>
        <v xml:space="preserve"> </v>
      </c>
      <c r="Z62" s="83" t="str">
        <f>IFERROR(VLOOKUP($A62,'The List'!$B1:$AS665,33,FALSE)," ")</f>
        <v xml:space="preserve"> </v>
      </c>
      <c r="AA62" s="86"/>
      <c r="AB62" s="91"/>
      <c r="AC62" s="91"/>
      <c r="AD62" s="91"/>
      <c r="AE62" s="91"/>
      <c r="AF62" s="91"/>
    </row>
    <row r="63" spans="1:32" ht="21.25" customHeight="1" x14ac:dyDescent="0.15">
      <c r="A63" s="23"/>
      <c r="B63" s="88" t="str">
        <f>IFERROR(VLOOKUP($A63,'The List'!$B1:$AS665,3,FALSE)," ")</f>
        <v xml:space="preserve"> </v>
      </c>
      <c r="C63" s="92" t="str">
        <f>IFERROR(VLOOKUP($A63,'The List'!$B1:$AS665,4,FALSE)," ")</f>
        <v xml:space="preserve"> </v>
      </c>
      <c r="D63" s="65" t="str">
        <f>IFERROR(VLOOKUP($A63,'The List'!$B1:$AS665,5,FALSE)," ")</f>
        <v xml:space="preserve"> </v>
      </c>
      <c r="E63" s="65" t="str">
        <f>IFERROR(VLOOKUP($A63,'The List'!$B1:$AS665,6,FALSE)," ")</f>
        <v xml:space="preserve"> </v>
      </c>
      <c r="F63" s="93" t="str">
        <f>IFERROR(VLOOKUP($A63,'The List'!$B1:$AS665,8,FALSE)," ")</f>
        <v xml:space="preserve"> </v>
      </c>
      <c r="G63" s="93" t="str">
        <f>IFERROR(VLOOKUP($A63,'The List'!$B1:$AS665,10,FALSE)," ")</f>
        <v xml:space="preserve"> </v>
      </c>
      <c r="H63" s="54"/>
      <c r="I63" s="83" t="str">
        <f>IFERROR(VLOOKUP($A63,'The List'!$B1:$AS665,16,FALSE)," ")</f>
        <v xml:space="preserve"> </v>
      </c>
      <c r="J63" s="83" t="str">
        <f>IFERROR(VLOOKUP($A63,'The List'!$B1:$AS665,17,FALSE)," ")</f>
        <v xml:space="preserve"> </v>
      </c>
      <c r="K63" s="83" t="str">
        <f>IFERROR(VLOOKUP($A63,'The List'!$B1:$AS665,18,FALSE)," ")</f>
        <v xml:space="preserve"> </v>
      </c>
      <c r="L63" s="83" t="str">
        <f>IFERROR(VLOOKUP($A63,'The List'!$B1:$AS665,19,FALSE)," ")</f>
        <v xml:space="preserve"> </v>
      </c>
      <c r="M63" s="83" t="str">
        <f>IFERROR(VLOOKUP($A63,'The List'!$B1:$AS665,20,FALSE)," ")</f>
        <v xml:space="preserve"> </v>
      </c>
      <c r="N63" s="83" t="str">
        <f>IFERROR(VLOOKUP($A63,'The List'!$B1:$AS665,21,FALSE)," ")</f>
        <v xml:space="preserve"> </v>
      </c>
      <c r="O63" s="83" t="str">
        <f>IFERROR(VLOOKUP($A63,'The List'!$B1:$AS665,22,FALSE)," ")</f>
        <v xml:space="preserve"> </v>
      </c>
      <c r="P63" s="83" t="str">
        <f>IFERROR(VLOOKUP($A63,'The List'!$B1:$AS665,23,FALSE)," ")</f>
        <v xml:space="preserve"> </v>
      </c>
      <c r="Q63" s="83" t="str">
        <f>IFERROR(VLOOKUP($A63,'The List'!$B1:$AS665,24,FALSE)," ")</f>
        <v xml:space="preserve"> </v>
      </c>
      <c r="R63" s="83" t="str">
        <f>IFERROR(VLOOKUP($A63,'The List'!$B1:$AS665,25,FALSE)," ")</f>
        <v xml:space="preserve"> </v>
      </c>
      <c r="S63" s="83" t="str">
        <f>IFERROR(VLOOKUP($A63,'The List'!$B1:$AS665,26,FALSE)," ")</f>
        <v xml:space="preserve"> </v>
      </c>
      <c r="T63" s="83" t="str">
        <f>IFERROR(VLOOKUP($A63,'The List'!$B1:$AS665,27,FALSE)," ")</f>
        <v xml:space="preserve"> </v>
      </c>
      <c r="U63" s="83" t="str">
        <f>IFERROR(VLOOKUP($A63,'The List'!$B1:$AS665,28,FALSE)," ")</f>
        <v xml:space="preserve"> </v>
      </c>
      <c r="V63" s="83" t="str">
        <f>IFERROR(VLOOKUP($A63,'The List'!$B1:$AS665,29,FALSE)," ")</f>
        <v xml:space="preserve"> </v>
      </c>
      <c r="W63" s="83" t="str">
        <f>IFERROR(VLOOKUP($A63,'The List'!$B1:$AS665,30,FALSE)," ")</f>
        <v xml:space="preserve"> </v>
      </c>
      <c r="X63" s="83" t="str">
        <f>IFERROR(VLOOKUP($A63,'The List'!$B1:$AS665,31,FALSE)," ")</f>
        <v xml:space="preserve"> </v>
      </c>
      <c r="Y63" s="83" t="str">
        <f>IFERROR(VLOOKUP($A63,'The List'!$B1:$AS665,32,FALSE)," ")</f>
        <v xml:space="preserve"> </v>
      </c>
      <c r="Z63" s="83" t="str">
        <f>IFERROR(VLOOKUP($A63,'The List'!$B1:$AS665,33,FALSE)," ")</f>
        <v xml:space="preserve"> </v>
      </c>
      <c r="AA63" s="86"/>
      <c r="AB63" s="91"/>
      <c r="AC63" s="91"/>
      <c r="AD63" s="91"/>
      <c r="AE63" s="91"/>
      <c r="AF63" s="91"/>
    </row>
    <row r="64" spans="1:32" ht="21.25" customHeight="1" x14ac:dyDescent="0.15">
      <c r="A64" s="23"/>
      <c r="B64" s="94" t="str">
        <f>IFERROR(VLOOKUP($A64,'The List'!$B1:$AS665,3,FALSE)," ")</f>
        <v xml:space="preserve"> </v>
      </c>
      <c r="C64" s="96" t="str">
        <f>IFERROR(VLOOKUP($A64,'The List'!$B1:$AS665,4,FALSE)," ")</f>
        <v xml:space="preserve"> </v>
      </c>
      <c r="D64" s="65" t="str">
        <f>IFERROR(VLOOKUP($A64,'The List'!$B1:$AS665,5,FALSE)," ")</f>
        <v xml:space="preserve"> </v>
      </c>
      <c r="E64" s="65" t="str">
        <f>IFERROR(VLOOKUP($A64,'The List'!$B1:$AS665,6,FALSE)," ")</f>
        <v xml:space="preserve"> </v>
      </c>
      <c r="F64" s="93" t="str">
        <f>IFERROR(VLOOKUP($A64,'The List'!$B1:$AS665,8,FALSE)," ")</f>
        <v xml:space="preserve"> </v>
      </c>
      <c r="G64" s="93" t="str">
        <f>IFERROR(VLOOKUP($A64,'The List'!$B1:$AS665,10,FALSE)," ")</f>
        <v xml:space="preserve"> </v>
      </c>
      <c r="H64" s="54"/>
      <c r="I64" s="83" t="str">
        <f>IFERROR(VLOOKUP($A64,'The List'!$B1:$AS665,16,FALSE)," ")</f>
        <v xml:space="preserve"> </v>
      </c>
      <c r="J64" s="83" t="str">
        <f>IFERROR(VLOOKUP($A64,'The List'!$B1:$AS665,17,FALSE)," ")</f>
        <v xml:space="preserve"> </v>
      </c>
      <c r="K64" s="83" t="str">
        <f>IFERROR(VLOOKUP($A64,'The List'!$B1:$AS665,18,FALSE)," ")</f>
        <v xml:space="preserve"> </v>
      </c>
      <c r="L64" s="83" t="str">
        <f>IFERROR(VLOOKUP($A64,'The List'!$B1:$AS665,19,FALSE)," ")</f>
        <v xml:space="preserve"> </v>
      </c>
      <c r="M64" s="83" t="str">
        <f>IFERROR(VLOOKUP($A64,'The List'!$B1:$AS665,20,FALSE)," ")</f>
        <v xml:space="preserve"> </v>
      </c>
      <c r="N64" s="83" t="str">
        <f>IFERROR(VLOOKUP($A64,'The List'!$B1:$AS665,21,FALSE)," ")</f>
        <v xml:space="preserve"> </v>
      </c>
      <c r="O64" s="83" t="str">
        <f>IFERROR(VLOOKUP($A64,'The List'!$B1:$AS665,22,FALSE)," ")</f>
        <v xml:space="preserve"> </v>
      </c>
      <c r="P64" s="83" t="str">
        <f>IFERROR(VLOOKUP($A64,'The List'!$B1:$AS665,23,FALSE)," ")</f>
        <v xml:space="preserve"> </v>
      </c>
      <c r="Q64" s="83" t="str">
        <f>IFERROR(VLOOKUP($A64,'The List'!$B1:$AS665,24,FALSE)," ")</f>
        <v xml:space="preserve"> </v>
      </c>
      <c r="R64" s="83" t="str">
        <f>IFERROR(VLOOKUP($A64,'The List'!$B1:$AS665,25,FALSE)," ")</f>
        <v xml:space="preserve"> </v>
      </c>
      <c r="S64" s="83" t="str">
        <f>IFERROR(VLOOKUP($A64,'The List'!$B1:$AS665,26,FALSE)," ")</f>
        <v xml:space="preserve"> </v>
      </c>
      <c r="T64" s="83" t="str">
        <f>IFERROR(VLOOKUP($A64,'The List'!$B1:$AS665,27,FALSE)," ")</f>
        <v xml:space="preserve"> </v>
      </c>
      <c r="U64" s="83" t="str">
        <f>IFERROR(VLOOKUP($A64,'The List'!$B1:$AS665,28,FALSE)," ")</f>
        <v xml:space="preserve"> </v>
      </c>
      <c r="V64" s="83" t="str">
        <f>IFERROR(VLOOKUP($A64,'The List'!$B1:$AS665,29,FALSE)," ")</f>
        <v xml:space="preserve"> </v>
      </c>
      <c r="W64" s="83" t="str">
        <f>IFERROR(VLOOKUP($A64,'The List'!$B1:$AS665,30,FALSE)," ")</f>
        <v xml:space="preserve"> </v>
      </c>
      <c r="X64" s="83" t="str">
        <f>IFERROR(VLOOKUP($A64,'The List'!$B1:$AS665,31,FALSE)," ")</f>
        <v xml:space="preserve"> </v>
      </c>
      <c r="Y64" s="83" t="str">
        <f>IFERROR(VLOOKUP($A64,'The List'!$B1:$AS665,32,FALSE)," ")</f>
        <v xml:space="preserve"> </v>
      </c>
      <c r="Z64" s="83" t="str">
        <f>IFERROR(VLOOKUP($A64,'The List'!$B1:$AS665,33,FALSE)," ")</f>
        <v xml:space="preserve"> </v>
      </c>
      <c r="AA64" s="86"/>
      <c r="AB64" s="91"/>
      <c r="AC64" s="91"/>
      <c r="AD64" s="91"/>
      <c r="AE64" s="91"/>
      <c r="AF64" s="91"/>
    </row>
    <row r="65" spans="1:32" ht="21.25" customHeight="1" x14ac:dyDescent="0.15">
      <c r="A65" s="23"/>
      <c r="B65" s="94" t="str">
        <f>IFERROR(VLOOKUP($A65,'The List'!$B1:$AS665,3,FALSE)," ")</f>
        <v xml:space="preserve"> </v>
      </c>
      <c r="C65" s="96" t="str">
        <f>IFERROR(VLOOKUP($A65,'The List'!$B1:$AS665,4,FALSE)," ")</f>
        <v xml:space="preserve"> </v>
      </c>
      <c r="D65" s="65" t="str">
        <f>IFERROR(VLOOKUP($A65,'The List'!$B1:$AS665,5,FALSE)," ")</f>
        <v xml:space="preserve"> </v>
      </c>
      <c r="E65" s="65" t="str">
        <f>IFERROR(VLOOKUP($A65,'The List'!$B1:$AS665,6,FALSE)," ")</f>
        <v xml:space="preserve"> </v>
      </c>
      <c r="F65" s="93" t="str">
        <f>IFERROR(VLOOKUP($A65,'The List'!$B1:$AS665,8,FALSE)," ")</f>
        <v xml:space="preserve"> </v>
      </c>
      <c r="G65" s="93" t="str">
        <f>IFERROR(VLOOKUP($A65,'The List'!$B1:$AS665,10,FALSE)," ")</f>
        <v xml:space="preserve"> </v>
      </c>
      <c r="H65" s="54"/>
      <c r="I65" s="83" t="str">
        <f>IFERROR(VLOOKUP($A65,'The List'!$B1:$AS665,16,FALSE)," ")</f>
        <v xml:space="preserve"> </v>
      </c>
      <c r="J65" s="83" t="str">
        <f>IFERROR(VLOOKUP($A65,'The List'!$B1:$AS665,17,FALSE)," ")</f>
        <v xml:space="preserve"> </v>
      </c>
      <c r="K65" s="83" t="str">
        <f>IFERROR(VLOOKUP($A65,'The List'!$B1:$AS665,18,FALSE)," ")</f>
        <v xml:space="preserve"> </v>
      </c>
      <c r="L65" s="83" t="str">
        <f>IFERROR(VLOOKUP($A65,'The List'!$B1:$AS665,19,FALSE)," ")</f>
        <v xml:space="preserve"> </v>
      </c>
      <c r="M65" s="83" t="str">
        <f>IFERROR(VLOOKUP($A65,'The List'!$B1:$AS665,20,FALSE)," ")</f>
        <v xml:space="preserve"> </v>
      </c>
      <c r="N65" s="83" t="str">
        <f>IFERROR(VLOOKUP($A65,'The List'!$B1:$AS665,21,FALSE)," ")</f>
        <v xml:space="preserve"> </v>
      </c>
      <c r="O65" s="83" t="str">
        <f>IFERROR(VLOOKUP($A65,'The List'!$B1:$AS665,22,FALSE)," ")</f>
        <v xml:space="preserve"> </v>
      </c>
      <c r="P65" s="83" t="str">
        <f>IFERROR(VLOOKUP($A65,'The List'!$B1:$AS665,23,FALSE)," ")</f>
        <v xml:space="preserve"> </v>
      </c>
      <c r="Q65" s="83" t="str">
        <f>IFERROR(VLOOKUP($A65,'The List'!$B1:$AS665,24,FALSE)," ")</f>
        <v xml:space="preserve"> </v>
      </c>
      <c r="R65" s="83" t="str">
        <f>IFERROR(VLOOKUP($A65,'The List'!$B1:$AS665,25,FALSE)," ")</f>
        <v xml:space="preserve"> </v>
      </c>
      <c r="S65" s="83" t="str">
        <f>IFERROR(VLOOKUP($A65,'The List'!$B1:$AS665,26,FALSE)," ")</f>
        <v xml:space="preserve"> </v>
      </c>
      <c r="T65" s="83" t="str">
        <f>IFERROR(VLOOKUP($A65,'The List'!$B1:$AS665,27,FALSE)," ")</f>
        <v xml:space="preserve"> </v>
      </c>
      <c r="U65" s="83" t="str">
        <f>IFERROR(VLOOKUP($A65,'The List'!$B1:$AS665,28,FALSE)," ")</f>
        <v xml:space="preserve"> </v>
      </c>
      <c r="V65" s="83" t="str">
        <f>IFERROR(VLOOKUP($A65,'The List'!$B1:$AS665,29,FALSE)," ")</f>
        <v xml:space="preserve"> </v>
      </c>
      <c r="W65" s="83" t="str">
        <f>IFERROR(VLOOKUP($A65,'The List'!$B1:$AS665,30,FALSE)," ")</f>
        <v xml:space="preserve"> </v>
      </c>
      <c r="X65" s="83" t="str">
        <f>IFERROR(VLOOKUP($A65,'The List'!$B1:$AS665,31,FALSE)," ")</f>
        <v xml:space="preserve"> </v>
      </c>
      <c r="Y65" s="83" t="str">
        <f>IFERROR(VLOOKUP($A65,'The List'!$B1:$AS665,32,FALSE)," ")</f>
        <v xml:space="preserve"> </v>
      </c>
      <c r="Z65" s="83" t="str">
        <f>IFERROR(VLOOKUP($A65,'The List'!$B1:$AS665,33,FALSE)," ")</f>
        <v xml:space="preserve"> </v>
      </c>
      <c r="AA65" s="86"/>
      <c r="AB65" s="91"/>
      <c r="AC65" s="91"/>
      <c r="AD65" s="91"/>
      <c r="AE65" s="91"/>
      <c r="AF65" s="91"/>
    </row>
    <row r="66" spans="1:32" ht="21.25" customHeight="1" x14ac:dyDescent="0.15">
      <c r="A66" s="23"/>
      <c r="B66" s="94" t="str">
        <f>IFERROR(VLOOKUP($A66,'The List'!$B1:$AS665,3,FALSE)," ")</f>
        <v xml:space="preserve"> </v>
      </c>
      <c r="C66" s="96" t="str">
        <f>IFERROR(VLOOKUP($A66,'The List'!$B1:$AS665,4,FALSE)," ")</f>
        <v xml:space="preserve"> </v>
      </c>
      <c r="D66" s="65" t="str">
        <f>IFERROR(VLOOKUP($A66,'The List'!$B1:$AS665,5,FALSE)," ")</f>
        <v xml:space="preserve"> </v>
      </c>
      <c r="E66" s="65" t="str">
        <f>IFERROR(VLOOKUP($A66,'The List'!$B1:$AS665,6,FALSE)," ")</f>
        <v xml:space="preserve"> </v>
      </c>
      <c r="F66" s="93" t="str">
        <f>IFERROR(VLOOKUP($A66,'The List'!$B1:$AS665,8,FALSE)," ")</f>
        <v xml:space="preserve"> </v>
      </c>
      <c r="G66" s="93" t="str">
        <f>IFERROR(VLOOKUP($A66,'The List'!$B1:$AS665,10,FALSE)," ")</f>
        <v xml:space="preserve"> </v>
      </c>
      <c r="H66" s="54"/>
      <c r="I66" s="83" t="str">
        <f>IFERROR(VLOOKUP($A66,'The List'!$B1:$AS665,16,FALSE)," ")</f>
        <v xml:space="preserve"> </v>
      </c>
      <c r="J66" s="83" t="str">
        <f>IFERROR(VLOOKUP($A66,'The List'!$B1:$AS665,17,FALSE)," ")</f>
        <v xml:space="preserve"> </v>
      </c>
      <c r="K66" s="83" t="str">
        <f>IFERROR(VLOOKUP($A66,'The List'!$B1:$AS665,18,FALSE)," ")</f>
        <v xml:space="preserve"> </v>
      </c>
      <c r="L66" s="83" t="str">
        <f>IFERROR(VLOOKUP($A66,'The List'!$B1:$AS665,19,FALSE)," ")</f>
        <v xml:space="preserve"> </v>
      </c>
      <c r="M66" s="83" t="str">
        <f>IFERROR(VLOOKUP($A66,'The List'!$B1:$AS665,20,FALSE)," ")</f>
        <v xml:space="preserve"> </v>
      </c>
      <c r="N66" s="83" t="str">
        <f>IFERROR(VLOOKUP($A66,'The List'!$B1:$AS665,21,FALSE)," ")</f>
        <v xml:space="preserve"> </v>
      </c>
      <c r="O66" s="83" t="str">
        <f>IFERROR(VLOOKUP($A66,'The List'!$B1:$AS665,22,FALSE)," ")</f>
        <v xml:space="preserve"> </v>
      </c>
      <c r="P66" s="83" t="str">
        <f>IFERROR(VLOOKUP($A66,'The List'!$B1:$AS665,23,FALSE)," ")</f>
        <v xml:space="preserve"> </v>
      </c>
      <c r="Q66" s="83" t="str">
        <f>IFERROR(VLOOKUP($A66,'The List'!$B1:$AS665,24,FALSE)," ")</f>
        <v xml:space="preserve"> </v>
      </c>
      <c r="R66" s="83" t="str">
        <f>IFERROR(VLOOKUP($A66,'The List'!$B1:$AS665,25,FALSE)," ")</f>
        <v xml:space="preserve"> </v>
      </c>
      <c r="S66" s="83" t="str">
        <f>IFERROR(VLOOKUP($A66,'The List'!$B1:$AS665,26,FALSE)," ")</f>
        <v xml:space="preserve"> </v>
      </c>
      <c r="T66" s="83" t="str">
        <f>IFERROR(VLOOKUP($A66,'The List'!$B1:$AS665,27,FALSE)," ")</f>
        <v xml:space="preserve"> </v>
      </c>
      <c r="U66" s="83" t="str">
        <f>IFERROR(VLOOKUP($A66,'The List'!$B1:$AS665,28,FALSE)," ")</f>
        <v xml:space="preserve"> </v>
      </c>
      <c r="V66" s="83" t="str">
        <f>IFERROR(VLOOKUP($A66,'The List'!$B1:$AS665,29,FALSE)," ")</f>
        <v xml:space="preserve"> </v>
      </c>
      <c r="W66" s="83" t="str">
        <f>IFERROR(VLOOKUP($A66,'The List'!$B1:$AS665,30,FALSE)," ")</f>
        <v xml:space="preserve"> </v>
      </c>
      <c r="X66" s="83" t="str">
        <f>IFERROR(VLOOKUP($A66,'The List'!$B1:$AS665,31,FALSE)," ")</f>
        <v xml:space="preserve"> </v>
      </c>
      <c r="Y66" s="83" t="str">
        <f>IFERROR(VLOOKUP($A66,'The List'!$B1:$AS665,32,FALSE)," ")</f>
        <v xml:space="preserve"> </v>
      </c>
      <c r="Z66" s="83" t="str">
        <f>IFERROR(VLOOKUP($A66,'The List'!$B1:$AS665,33,FALSE)," ")</f>
        <v xml:space="preserve"> </v>
      </c>
      <c r="AA66" s="86"/>
      <c r="AB66" s="91"/>
      <c r="AC66" s="91"/>
      <c r="AD66" s="91"/>
      <c r="AE66" s="91"/>
      <c r="AF66" s="91"/>
    </row>
    <row r="67" spans="1:32" ht="21.25" customHeight="1" x14ac:dyDescent="0.15">
      <c r="A67" s="23"/>
      <c r="B67" s="94" t="str">
        <f>IFERROR(VLOOKUP($A67,'The List'!$B1:$AS665,3,FALSE)," ")</f>
        <v xml:space="preserve"> </v>
      </c>
      <c r="C67" s="96" t="str">
        <f>IFERROR(VLOOKUP($A67,'The List'!$B1:$AS665,4,FALSE)," ")</f>
        <v xml:space="preserve"> </v>
      </c>
      <c r="D67" s="65" t="str">
        <f>IFERROR(VLOOKUP($A67,'The List'!$B1:$AS665,5,FALSE)," ")</f>
        <v xml:space="preserve"> </v>
      </c>
      <c r="E67" s="65" t="str">
        <f>IFERROR(VLOOKUP($A67,'The List'!$B1:$AS665,6,FALSE)," ")</f>
        <v xml:space="preserve"> </v>
      </c>
      <c r="F67" s="93" t="str">
        <f>IFERROR(VLOOKUP($A67,'The List'!$B1:$AS665,8,FALSE)," ")</f>
        <v xml:space="preserve"> </v>
      </c>
      <c r="G67" s="93" t="str">
        <f>IFERROR(VLOOKUP($A67,'The List'!$B1:$AS665,10,FALSE)," ")</f>
        <v xml:space="preserve"> </v>
      </c>
      <c r="H67" s="54"/>
      <c r="I67" s="83" t="str">
        <f>IFERROR(VLOOKUP($A67,'The List'!$B1:$AS665,16,FALSE)," ")</f>
        <v xml:space="preserve"> </v>
      </c>
      <c r="J67" s="83" t="str">
        <f>IFERROR(VLOOKUP($A67,'The List'!$B1:$AS665,17,FALSE)," ")</f>
        <v xml:space="preserve"> </v>
      </c>
      <c r="K67" s="83" t="str">
        <f>IFERROR(VLOOKUP($A67,'The List'!$B1:$AS665,18,FALSE)," ")</f>
        <v xml:space="preserve"> </v>
      </c>
      <c r="L67" s="83" t="str">
        <f>IFERROR(VLOOKUP($A67,'The List'!$B1:$AS665,19,FALSE)," ")</f>
        <v xml:space="preserve"> </v>
      </c>
      <c r="M67" s="83" t="str">
        <f>IFERROR(VLOOKUP($A67,'The List'!$B1:$AS665,20,FALSE)," ")</f>
        <v xml:space="preserve"> </v>
      </c>
      <c r="N67" s="83" t="str">
        <f>IFERROR(VLOOKUP($A67,'The List'!$B1:$AS665,21,FALSE)," ")</f>
        <v xml:space="preserve"> </v>
      </c>
      <c r="O67" s="83" t="str">
        <f>IFERROR(VLOOKUP($A67,'The List'!$B1:$AS665,22,FALSE)," ")</f>
        <v xml:space="preserve"> </v>
      </c>
      <c r="P67" s="83" t="str">
        <f>IFERROR(VLOOKUP($A67,'The List'!$B1:$AS665,23,FALSE)," ")</f>
        <v xml:space="preserve"> </v>
      </c>
      <c r="Q67" s="83" t="str">
        <f>IFERROR(VLOOKUP($A67,'The List'!$B1:$AS665,24,FALSE)," ")</f>
        <v xml:space="preserve"> </v>
      </c>
      <c r="R67" s="83" t="str">
        <f>IFERROR(VLOOKUP($A67,'The List'!$B1:$AS665,25,FALSE)," ")</f>
        <v xml:space="preserve"> </v>
      </c>
      <c r="S67" s="83" t="str">
        <f>IFERROR(VLOOKUP($A67,'The List'!$B1:$AS665,26,FALSE)," ")</f>
        <v xml:space="preserve"> </v>
      </c>
      <c r="T67" s="83" t="str">
        <f>IFERROR(VLOOKUP($A67,'The List'!$B1:$AS665,27,FALSE)," ")</f>
        <v xml:space="preserve"> </v>
      </c>
      <c r="U67" s="83" t="str">
        <f>IFERROR(VLOOKUP($A67,'The List'!$B1:$AS665,28,FALSE)," ")</f>
        <v xml:space="preserve"> </v>
      </c>
      <c r="V67" s="83" t="str">
        <f>IFERROR(VLOOKUP($A67,'The List'!$B1:$AS665,29,FALSE)," ")</f>
        <v xml:space="preserve"> </v>
      </c>
      <c r="W67" s="83" t="str">
        <f>IFERROR(VLOOKUP($A67,'The List'!$B1:$AS665,30,FALSE)," ")</f>
        <v xml:space="preserve"> </v>
      </c>
      <c r="X67" s="83" t="str">
        <f>IFERROR(VLOOKUP($A67,'The List'!$B1:$AS665,31,FALSE)," ")</f>
        <v xml:space="preserve"> </v>
      </c>
      <c r="Y67" s="83" t="str">
        <f>IFERROR(VLOOKUP($A67,'The List'!$B1:$AS665,32,FALSE)," ")</f>
        <v xml:space="preserve"> </v>
      </c>
      <c r="Z67" s="83" t="str">
        <f>IFERROR(VLOOKUP($A67,'The List'!$B1:$AS665,33,FALSE)," ")</f>
        <v xml:space="preserve"> </v>
      </c>
      <c r="AA67" s="86"/>
      <c r="AB67" s="91"/>
      <c r="AC67" s="91"/>
      <c r="AD67" s="91"/>
      <c r="AE67" s="91"/>
      <c r="AF67" s="91"/>
    </row>
    <row r="68" spans="1:32" ht="21.25" customHeight="1" x14ac:dyDescent="0.15">
      <c r="A68" s="23"/>
      <c r="B68" s="97" t="str">
        <f>IFERROR(VLOOKUP($A68,'The List'!$B1:$AS665,3,FALSE)," ")</f>
        <v xml:space="preserve"> </v>
      </c>
      <c r="C68" s="99" t="str">
        <f>IFERROR(VLOOKUP($A68,'The List'!$B1:$AS665,4,FALSE)," ")</f>
        <v xml:space="preserve"> </v>
      </c>
      <c r="D68" s="65" t="str">
        <f>IFERROR(VLOOKUP($A68,'The List'!$B1:$AS665,5,FALSE)," ")</f>
        <v xml:space="preserve"> </v>
      </c>
      <c r="E68" s="65" t="str">
        <f>IFERROR(VLOOKUP($A68,'The List'!$B1:$AS665,6,FALSE)," ")</f>
        <v xml:space="preserve"> </v>
      </c>
      <c r="F68" s="93" t="str">
        <f>IFERROR(VLOOKUP($A68,'The List'!$B1:$AS665,8,FALSE)," ")</f>
        <v xml:space="preserve"> </v>
      </c>
      <c r="G68" s="93" t="str">
        <f>IFERROR(VLOOKUP($A68,'The List'!$B1:$AS665,10,FALSE)," ")</f>
        <v xml:space="preserve"> </v>
      </c>
      <c r="H68" s="54"/>
      <c r="I68" s="83" t="str">
        <f>IFERROR(VLOOKUP($A68,'The List'!$B1:$AS665,16,FALSE)," ")</f>
        <v xml:space="preserve"> </v>
      </c>
      <c r="J68" s="83" t="str">
        <f>IFERROR(VLOOKUP($A68,'The List'!$B1:$AS665,17,FALSE)," ")</f>
        <v xml:space="preserve"> </v>
      </c>
      <c r="K68" s="83" t="str">
        <f>IFERROR(VLOOKUP($A68,'The List'!$B1:$AS665,18,FALSE)," ")</f>
        <v xml:space="preserve"> </v>
      </c>
      <c r="L68" s="83" t="str">
        <f>IFERROR(VLOOKUP($A68,'The List'!$B1:$AS665,19,FALSE)," ")</f>
        <v xml:space="preserve"> </v>
      </c>
      <c r="M68" s="83" t="str">
        <f>IFERROR(VLOOKUP($A68,'The List'!$B1:$AS665,20,FALSE)," ")</f>
        <v xml:space="preserve"> </v>
      </c>
      <c r="N68" s="83" t="str">
        <f>IFERROR(VLOOKUP($A68,'The List'!$B1:$AS665,21,FALSE)," ")</f>
        <v xml:space="preserve"> </v>
      </c>
      <c r="O68" s="83" t="str">
        <f>IFERROR(VLOOKUP($A68,'The List'!$B1:$AS665,22,FALSE)," ")</f>
        <v xml:space="preserve"> </v>
      </c>
      <c r="P68" s="83" t="str">
        <f>IFERROR(VLOOKUP($A68,'The List'!$B1:$AS665,23,FALSE)," ")</f>
        <v xml:space="preserve"> </v>
      </c>
      <c r="Q68" s="83" t="str">
        <f>IFERROR(VLOOKUP($A68,'The List'!$B1:$AS665,24,FALSE)," ")</f>
        <v xml:space="preserve"> </v>
      </c>
      <c r="R68" s="83" t="str">
        <f>IFERROR(VLOOKUP($A68,'The List'!$B1:$AS665,25,FALSE)," ")</f>
        <v xml:space="preserve"> </v>
      </c>
      <c r="S68" s="83" t="str">
        <f>IFERROR(VLOOKUP($A68,'The List'!$B1:$AS665,26,FALSE)," ")</f>
        <v xml:space="preserve"> </v>
      </c>
      <c r="T68" s="83" t="str">
        <f>IFERROR(VLOOKUP($A68,'The List'!$B1:$AS665,27,FALSE)," ")</f>
        <v xml:space="preserve"> </v>
      </c>
      <c r="U68" s="83" t="str">
        <f>IFERROR(VLOOKUP($A68,'The List'!$B1:$AS665,28,FALSE)," ")</f>
        <v xml:space="preserve"> </v>
      </c>
      <c r="V68" s="83" t="str">
        <f>IFERROR(VLOOKUP($A68,'The List'!$B1:$AS665,29,FALSE)," ")</f>
        <v xml:space="preserve"> </v>
      </c>
      <c r="W68" s="83" t="str">
        <f>IFERROR(VLOOKUP($A68,'The List'!$B1:$AS665,30,FALSE)," ")</f>
        <v xml:space="preserve"> </v>
      </c>
      <c r="X68" s="83" t="str">
        <f>IFERROR(VLOOKUP($A68,'The List'!$B1:$AS665,31,FALSE)," ")</f>
        <v xml:space="preserve"> </v>
      </c>
      <c r="Y68" s="83" t="str">
        <f>IFERROR(VLOOKUP($A68,'The List'!$B1:$AS665,32,FALSE)," ")</f>
        <v xml:space="preserve"> </v>
      </c>
      <c r="Z68" s="83" t="str">
        <f>IFERROR(VLOOKUP($A68,'The List'!$B1:$AS665,33,FALSE)," ")</f>
        <v xml:space="preserve"> </v>
      </c>
      <c r="AA68" s="86"/>
      <c r="AB68" s="91"/>
      <c r="AC68" s="91"/>
      <c r="AD68" s="91"/>
      <c r="AE68" s="91"/>
      <c r="AF68" s="91"/>
    </row>
    <row r="69" spans="1:32" ht="21.25" customHeight="1" x14ac:dyDescent="0.15">
      <c r="A69" s="23"/>
      <c r="B69" s="97" t="str">
        <f>IFERROR(VLOOKUP($A69,'The List'!$B1:$AS665,3,FALSE)," ")</f>
        <v xml:space="preserve"> </v>
      </c>
      <c r="C69" s="99" t="str">
        <f>IFERROR(VLOOKUP($A69,'The List'!$B1:$AS665,4,FALSE)," ")</f>
        <v xml:space="preserve"> </v>
      </c>
      <c r="D69" s="65" t="str">
        <f>IFERROR(VLOOKUP($A69,'The List'!$B1:$AS665,5,FALSE)," ")</f>
        <v xml:space="preserve"> </v>
      </c>
      <c r="E69" s="65" t="str">
        <f>IFERROR(VLOOKUP($A69,'The List'!$B1:$AS665,6,FALSE)," ")</f>
        <v xml:space="preserve"> </v>
      </c>
      <c r="F69" s="93" t="str">
        <f>IFERROR(VLOOKUP($A69,'The List'!$B1:$AS665,8,FALSE)," ")</f>
        <v xml:space="preserve"> </v>
      </c>
      <c r="G69" s="93" t="str">
        <f>IFERROR(VLOOKUP($A69,'The List'!$B1:$AS665,10,FALSE)," ")</f>
        <v xml:space="preserve"> </v>
      </c>
      <c r="H69" s="54"/>
      <c r="I69" s="83" t="str">
        <f>IFERROR(VLOOKUP($A69,'The List'!$B1:$AS665,16,FALSE)," ")</f>
        <v xml:space="preserve"> </v>
      </c>
      <c r="J69" s="83" t="str">
        <f>IFERROR(VLOOKUP($A69,'The List'!$B1:$AS665,17,FALSE)," ")</f>
        <v xml:space="preserve"> </v>
      </c>
      <c r="K69" s="83" t="str">
        <f>IFERROR(VLOOKUP($A69,'The List'!$B1:$AS665,18,FALSE)," ")</f>
        <v xml:space="preserve"> </v>
      </c>
      <c r="L69" s="83" t="str">
        <f>IFERROR(VLOOKUP($A69,'The List'!$B1:$AS665,19,FALSE)," ")</f>
        <v xml:space="preserve"> </v>
      </c>
      <c r="M69" s="83" t="str">
        <f>IFERROR(VLOOKUP($A69,'The List'!$B1:$AS665,20,FALSE)," ")</f>
        <v xml:space="preserve"> </v>
      </c>
      <c r="N69" s="83" t="str">
        <f>IFERROR(VLOOKUP($A69,'The List'!$B1:$AS665,21,FALSE)," ")</f>
        <v xml:space="preserve"> </v>
      </c>
      <c r="O69" s="83" t="str">
        <f>IFERROR(VLOOKUP($A69,'The List'!$B1:$AS665,22,FALSE)," ")</f>
        <v xml:space="preserve"> </v>
      </c>
      <c r="P69" s="83" t="str">
        <f>IFERROR(VLOOKUP($A69,'The List'!$B1:$AS665,23,FALSE)," ")</f>
        <v xml:space="preserve"> </v>
      </c>
      <c r="Q69" s="83" t="str">
        <f>IFERROR(VLOOKUP($A69,'The List'!$B1:$AS665,24,FALSE)," ")</f>
        <v xml:space="preserve"> </v>
      </c>
      <c r="R69" s="83" t="str">
        <f>IFERROR(VLOOKUP($A69,'The List'!$B1:$AS665,25,FALSE)," ")</f>
        <v xml:space="preserve"> </v>
      </c>
      <c r="S69" s="83" t="str">
        <f>IFERROR(VLOOKUP($A69,'The List'!$B1:$AS665,26,FALSE)," ")</f>
        <v xml:space="preserve"> </v>
      </c>
      <c r="T69" s="83" t="str">
        <f>IFERROR(VLOOKUP($A69,'The List'!$B1:$AS665,27,FALSE)," ")</f>
        <v xml:space="preserve"> </v>
      </c>
      <c r="U69" s="83" t="str">
        <f>IFERROR(VLOOKUP($A69,'The List'!$B1:$AS665,28,FALSE)," ")</f>
        <v xml:space="preserve"> </v>
      </c>
      <c r="V69" s="83" t="str">
        <f>IFERROR(VLOOKUP($A69,'The List'!$B1:$AS665,29,FALSE)," ")</f>
        <v xml:space="preserve"> </v>
      </c>
      <c r="W69" s="83" t="str">
        <f>IFERROR(VLOOKUP($A69,'The List'!$B1:$AS665,30,FALSE)," ")</f>
        <v xml:space="preserve"> </v>
      </c>
      <c r="X69" s="83" t="str">
        <f>IFERROR(VLOOKUP($A69,'The List'!$B1:$AS665,31,FALSE)," ")</f>
        <v xml:space="preserve"> </v>
      </c>
      <c r="Y69" s="83" t="str">
        <f>IFERROR(VLOOKUP($A69,'The List'!$B1:$AS665,32,FALSE)," ")</f>
        <v xml:space="preserve"> </v>
      </c>
      <c r="Z69" s="83" t="str">
        <f>IFERROR(VLOOKUP($A69,'The List'!$B1:$AS665,33,FALSE)," ")</f>
        <v xml:space="preserve"> </v>
      </c>
      <c r="AA69" s="86"/>
      <c r="AB69" s="91"/>
      <c r="AC69" s="91"/>
      <c r="AD69" s="91"/>
      <c r="AE69" s="91"/>
      <c r="AF69" s="91"/>
    </row>
    <row r="70" spans="1:32" ht="21.25" customHeight="1" x14ac:dyDescent="0.15">
      <c r="A70" s="23"/>
      <c r="B70" s="97" t="str">
        <f>IFERROR(VLOOKUP($A70,'The List'!$B1:$AS665,3,FALSE)," ")</f>
        <v xml:space="preserve"> </v>
      </c>
      <c r="C70" s="99" t="str">
        <f>IFERROR(VLOOKUP($A70,'The List'!$B1:$AS665,4,FALSE)," ")</f>
        <v xml:space="preserve"> </v>
      </c>
      <c r="D70" s="65" t="str">
        <f>IFERROR(VLOOKUP($A70,'The List'!$B1:$AS665,5,FALSE)," ")</f>
        <v xml:space="preserve"> </v>
      </c>
      <c r="E70" s="65" t="str">
        <f>IFERROR(VLOOKUP($A70,'The List'!$B1:$AS665,6,FALSE)," ")</f>
        <v xml:space="preserve"> </v>
      </c>
      <c r="F70" s="93" t="str">
        <f>IFERROR(VLOOKUP($A70,'The List'!$B1:$AS665,8,FALSE)," ")</f>
        <v xml:space="preserve"> </v>
      </c>
      <c r="G70" s="93" t="str">
        <f>IFERROR(VLOOKUP($A70,'The List'!$B1:$AS665,10,FALSE)," ")</f>
        <v xml:space="preserve"> </v>
      </c>
      <c r="H70" s="54"/>
      <c r="I70" s="83" t="str">
        <f>IFERROR(VLOOKUP($A70,'The List'!$B1:$AS665,16,FALSE)," ")</f>
        <v xml:space="preserve"> </v>
      </c>
      <c r="J70" s="83" t="str">
        <f>IFERROR(VLOOKUP($A70,'The List'!$B1:$AS665,17,FALSE)," ")</f>
        <v xml:space="preserve"> </v>
      </c>
      <c r="K70" s="83" t="str">
        <f>IFERROR(VLOOKUP($A70,'The List'!$B1:$AS665,18,FALSE)," ")</f>
        <v xml:space="preserve"> </v>
      </c>
      <c r="L70" s="83" t="str">
        <f>IFERROR(VLOOKUP($A70,'The List'!$B1:$AS665,19,FALSE)," ")</f>
        <v xml:space="preserve"> </v>
      </c>
      <c r="M70" s="83" t="str">
        <f>IFERROR(VLOOKUP($A70,'The List'!$B1:$AS665,20,FALSE)," ")</f>
        <v xml:space="preserve"> </v>
      </c>
      <c r="N70" s="83" t="str">
        <f>IFERROR(VLOOKUP($A70,'The List'!$B1:$AS665,21,FALSE)," ")</f>
        <v xml:space="preserve"> </v>
      </c>
      <c r="O70" s="83" t="str">
        <f>IFERROR(VLOOKUP($A70,'The List'!$B1:$AS665,22,FALSE)," ")</f>
        <v xml:space="preserve"> </v>
      </c>
      <c r="P70" s="83" t="str">
        <f>IFERROR(VLOOKUP($A70,'The List'!$B1:$AS665,23,FALSE)," ")</f>
        <v xml:space="preserve"> </v>
      </c>
      <c r="Q70" s="83" t="str">
        <f>IFERROR(VLOOKUP($A70,'The List'!$B1:$AS665,24,FALSE)," ")</f>
        <v xml:space="preserve"> </v>
      </c>
      <c r="R70" s="83" t="str">
        <f>IFERROR(VLOOKUP($A70,'The List'!$B1:$AS665,25,FALSE)," ")</f>
        <v xml:space="preserve"> </v>
      </c>
      <c r="S70" s="83" t="str">
        <f>IFERROR(VLOOKUP($A70,'The List'!$B1:$AS665,26,FALSE)," ")</f>
        <v xml:space="preserve"> </v>
      </c>
      <c r="T70" s="83" t="str">
        <f>IFERROR(VLOOKUP($A70,'The List'!$B1:$AS665,27,FALSE)," ")</f>
        <v xml:space="preserve"> </v>
      </c>
      <c r="U70" s="83" t="str">
        <f>IFERROR(VLOOKUP($A70,'The List'!$B1:$AS665,28,FALSE)," ")</f>
        <v xml:space="preserve"> </v>
      </c>
      <c r="V70" s="83" t="str">
        <f>IFERROR(VLOOKUP($A70,'The List'!$B1:$AS665,29,FALSE)," ")</f>
        <v xml:space="preserve"> </v>
      </c>
      <c r="W70" s="83" t="str">
        <f>IFERROR(VLOOKUP($A70,'The List'!$B1:$AS665,30,FALSE)," ")</f>
        <v xml:space="preserve"> </v>
      </c>
      <c r="X70" s="83" t="str">
        <f>IFERROR(VLOOKUP($A70,'The List'!$B1:$AS665,31,FALSE)," ")</f>
        <v xml:space="preserve"> </v>
      </c>
      <c r="Y70" s="83" t="str">
        <f>IFERROR(VLOOKUP($A70,'The List'!$B1:$AS665,32,FALSE)," ")</f>
        <v xml:space="preserve"> </v>
      </c>
      <c r="Z70" s="83" t="str">
        <f>IFERROR(VLOOKUP($A70,'The List'!$B1:$AS665,33,FALSE)," ")</f>
        <v xml:space="preserve"> </v>
      </c>
      <c r="AA70" s="86"/>
      <c r="AB70" s="91"/>
      <c r="AC70" s="91"/>
      <c r="AD70" s="91"/>
      <c r="AE70" s="91"/>
      <c r="AF70" s="91"/>
    </row>
    <row r="71" spans="1:32" ht="21.25" customHeight="1" x14ac:dyDescent="0.15">
      <c r="A71" s="23"/>
      <c r="B71" s="97" t="str">
        <f>IFERROR(VLOOKUP($A71,'The List'!$B1:$AS665,3,FALSE)," ")</f>
        <v xml:space="preserve"> </v>
      </c>
      <c r="C71" s="99" t="str">
        <f>IFERROR(VLOOKUP($A71,'The List'!$B1:$AS665,4,FALSE)," ")</f>
        <v xml:space="preserve"> </v>
      </c>
      <c r="D71" s="65" t="str">
        <f>IFERROR(VLOOKUP($A71,'The List'!$B1:$AS665,5,FALSE)," ")</f>
        <v xml:space="preserve"> </v>
      </c>
      <c r="E71" s="65" t="str">
        <f>IFERROR(VLOOKUP($A71,'The List'!$B1:$AS665,6,FALSE)," ")</f>
        <v xml:space="preserve"> </v>
      </c>
      <c r="F71" s="93" t="str">
        <f>IFERROR(VLOOKUP($A71,'The List'!$B1:$AS665,8,FALSE)," ")</f>
        <v xml:space="preserve"> </v>
      </c>
      <c r="G71" s="93" t="str">
        <f>IFERROR(VLOOKUP($A71,'The List'!$B1:$AS665,10,FALSE)," ")</f>
        <v xml:space="preserve"> </v>
      </c>
      <c r="H71" s="54"/>
      <c r="I71" s="83" t="str">
        <f>IFERROR(VLOOKUP($A71,'The List'!$B1:$AS665,16,FALSE)," ")</f>
        <v xml:space="preserve"> </v>
      </c>
      <c r="J71" s="83" t="str">
        <f>IFERROR(VLOOKUP($A71,'The List'!$B1:$AS665,17,FALSE)," ")</f>
        <v xml:space="preserve"> </v>
      </c>
      <c r="K71" s="83" t="str">
        <f>IFERROR(VLOOKUP($A71,'The List'!$B1:$AS665,18,FALSE)," ")</f>
        <v xml:space="preserve"> </v>
      </c>
      <c r="L71" s="83" t="str">
        <f>IFERROR(VLOOKUP($A71,'The List'!$B1:$AS665,19,FALSE)," ")</f>
        <v xml:space="preserve"> </v>
      </c>
      <c r="M71" s="83" t="str">
        <f>IFERROR(VLOOKUP($A71,'The List'!$B1:$AS665,20,FALSE)," ")</f>
        <v xml:space="preserve"> </v>
      </c>
      <c r="N71" s="83" t="str">
        <f>IFERROR(VLOOKUP($A71,'The List'!$B1:$AS665,21,FALSE)," ")</f>
        <v xml:space="preserve"> </v>
      </c>
      <c r="O71" s="83" t="str">
        <f>IFERROR(VLOOKUP($A71,'The List'!$B1:$AS665,22,FALSE)," ")</f>
        <v xml:space="preserve"> </v>
      </c>
      <c r="P71" s="83" t="str">
        <f>IFERROR(VLOOKUP($A71,'The List'!$B1:$AS665,23,FALSE)," ")</f>
        <v xml:space="preserve"> </v>
      </c>
      <c r="Q71" s="83" t="str">
        <f>IFERROR(VLOOKUP($A71,'The List'!$B1:$AS665,24,FALSE)," ")</f>
        <v xml:space="preserve"> </v>
      </c>
      <c r="R71" s="83" t="str">
        <f>IFERROR(VLOOKUP($A71,'The List'!$B1:$AS665,25,FALSE)," ")</f>
        <v xml:space="preserve"> </v>
      </c>
      <c r="S71" s="83" t="str">
        <f>IFERROR(VLOOKUP($A71,'The List'!$B1:$AS665,26,FALSE)," ")</f>
        <v xml:space="preserve"> </v>
      </c>
      <c r="T71" s="83" t="str">
        <f>IFERROR(VLOOKUP($A71,'The List'!$B1:$AS665,27,FALSE)," ")</f>
        <v xml:space="preserve"> </v>
      </c>
      <c r="U71" s="83" t="str">
        <f>IFERROR(VLOOKUP($A71,'The List'!$B1:$AS665,28,FALSE)," ")</f>
        <v xml:space="preserve"> </v>
      </c>
      <c r="V71" s="83" t="str">
        <f>IFERROR(VLOOKUP($A71,'The List'!$B1:$AS665,29,FALSE)," ")</f>
        <v xml:space="preserve"> </v>
      </c>
      <c r="W71" s="83" t="str">
        <f>IFERROR(VLOOKUP($A71,'The List'!$B1:$AS665,30,FALSE)," ")</f>
        <v xml:space="preserve"> </v>
      </c>
      <c r="X71" s="83" t="str">
        <f>IFERROR(VLOOKUP($A71,'The List'!$B1:$AS665,31,FALSE)," ")</f>
        <v xml:space="preserve"> </v>
      </c>
      <c r="Y71" s="83" t="str">
        <f>IFERROR(VLOOKUP($A71,'The List'!$B1:$AS665,32,FALSE)," ")</f>
        <v xml:space="preserve"> </v>
      </c>
      <c r="Z71" s="83" t="str">
        <f>IFERROR(VLOOKUP($A71,'The List'!$B1:$AS665,33,FALSE)," ")</f>
        <v xml:space="preserve"> </v>
      </c>
      <c r="AA71" s="86"/>
      <c r="AB71" s="91"/>
      <c r="AC71" s="91"/>
      <c r="AD71" s="91"/>
      <c r="AE71" s="91"/>
      <c r="AF71" s="91"/>
    </row>
    <row r="72" spans="1:32" ht="21.25" customHeight="1" x14ac:dyDescent="0.15">
      <c r="A72" s="23"/>
      <c r="B72" s="100" t="str">
        <f>IFERROR(VLOOKUP($A72,'The List'!$B1:$AS665,3,FALSE)," ")</f>
        <v xml:space="preserve"> </v>
      </c>
      <c r="C72" s="102" t="str">
        <f>IFERROR(VLOOKUP($A72,'The List'!$B1:$AS665,4,FALSE)," ")</f>
        <v xml:space="preserve"> </v>
      </c>
      <c r="D72" s="65" t="str">
        <f>IFERROR(VLOOKUP($A72,'The List'!$B1:$AS665,5,FALSE)," ")</f>
        <v xml:space="preserve"> </v>
      </c>
      <c r="E72" s="65" t="str">
        <f>IFERROR(VLOOKUP($A72,'The List'!$B1:$AS665,6,FALSE)," ")</f>
        <v xml:space="preserve"> </v>
      </c>
      <c r="F72" s="93" t="str">
        <f>IFERROR(VLOOKUP($A72,'The List'!$B1:$AS665,8,FALSE)," ")</f>
        <v xml:space="preserve"> </v>
      </c>
      <c r="G72" s="93" t="str">
        <f>IFERROR(VLOOKUP($A72,'The List'!$B1:$AS665,10,FALSE)," ")</f>
        <v xml:space="preserve"> </v>
      </c>
      <c r="H72" s="54"/>
      <c r="I72" s="83" t="str">
        <f>IFERROR(VLOOKUP($A72,'The List'!$B1:$AS665,16,FALSE)," ")</f>
        <v xml:space="preserve"> </v>
      </c>
      <c r="J72" s="83" t="str">
        <f>IFERROR(VLOOKUP($A72,'The List'!$B1:$AS665,17,FALSE)," ")</f>
        <v xml:space="preserve"> </v>
      </c>
      <c r="K72" s="83" t="str">
        <f>IFERROR(VLOOKUP($A72,'The List'!$B1:$AS665,18,FALSE)," ")</f>
        <v xml:space="preserve"> </v>
      </c>
      <c r="L72" s="83" t="str">
        <f>IFERROR(VLOOKUP($A72,'The List'!$B1:$AS665,19,FALSE)," ")</f>
        <v xml:space="preserve"> </v>
      </c>
      <c r="M72" s="83" t="str">
        <f>IFERROR(VLOOKUP($A72,'The List'!$B1:$AS665,20,FALSE)," ")</f>
        <v xml:space="preserve"> </v>
      </c>
      <c r="N72" s="83" t="str">
        <f>IFERROR(VLOOKUP($A72,'The List'!$B1:$AS665,21,FALSE)," ")</f>
        <v xml:space="preserve"> </v>
      </c>
      <c r="O72" s="83" t="str">
        <f>IFERROR(VLOOKUP($A72,'The List'!$B1:$AS665,22,FALSE)," ")</f>
        <v xml:space="preserve"> </v>
      </c>
      <c r="P72" s="83" t="str">
        <f>IFERROR(VLOOKUP($A72,'The List'!$B1:$AS665,23,FALSE)," ")</f>
        <v xml:space="preserve"> </v>
      </c>
      <c r="Q72" s="83" t="str">
        <f>IFERROR(VLOOKUP($A72,'The List'!$B1:$AS665,24,FALSE)," ")</f>
        <v xml:space="preserve"> </v>
      </c>
      <c r="R72" s="83" t="str">
        <f>IFERROR(VLOOKUP($A72,'The List'!$B1:$AS665,25,FALSE)," ")</f>
        <v xml:space="preserve"> </v>
      </c>
      <c r="S72" s="83" t="str">
        <f>IFERROR(VLOOKUP($A72,'The List'!$B1:$AS665,26,FALSE)," ")</f>
        <v xml:space="preserve"> </v>
      </c>
      <c r="T72" s="83" t="str">
        <f>IFERROR(VLOOKUP($A72,'The List'!$B1:$AS665,27,FALSE)," ")</f>
        <v xml:space="preserve"> </v>
      </c>
      <c r="U72" s="83" t="str">
        <f>IFERROR(VLOOKUP($A72,'The List'!$B1:$AS665,28,FALSE)," ")</f>
        <v xml:space="preserve"> </v>
      </c>
      <c r="V72" s="83" t="str">
        <f>IFERROR(VLOOKUP($A72,'The List'!$B1:$AS665,29,FALSE)," ")</f>
        <v xml:space="preserve"> </v>
      </c>
      <c r="W72" s="83" t="str">
        <f>IFERROR(VLOOKUP($A72,'The List'!$B1:$AS665,30,FALSE)," ")</f>
        <v xml:space="preserve"> </v>
      </c>
      <c r="X72" s="83" t="str">
        <f>IFERROR(VLOOKUP($A72,'The List'!$B1:$AS665,31,FALSE)," ")</f>
        <v xml:space="preserve"> </v>
      </c>
      <c r="Y72" s="83" t="str">
        <f>IFERROR(VLOOKUP($A72,'The List'!$B1:$AS665,32,FALSE)," ")</f>
        <v xml:space="preserve"> </v>
      </c>
      <c r="Z72" s="83" t="str">
        <f>IFERROR(VLOOKUP($A72,'The List'!$B1:$AS665,33,FALSE)," ")</f>
        <v xml:space="preserve"> </v>
      </c>
      <c r="AA72" s="86"/>
      <c r="AB72" s="91"/>
      <c r="AC72" s="91"/>
      <c r="AD72" s="91"/>
      <c r="AE72" s="91"/>
      <c r="AF72" s="91"/>
    </row>
    <row r="73" spans="1:32" ht="21.25" customHeight="1" x14ac:dyDescent="0.15">
      <c r="A73" s="23"/>
      <c r="B73" s="100" t="str">
        <f>IFERROR(VLOOKUP($A73,'The List'!$B1:$AS665,3,FALSE)," ")</f>
        <v xml:space="preserve"> </v>
      </c>
      <c r="C73" s="102" t="str">
        <f>IFERROR(VLOOKUP($A73,'The List'!$B1:$AS665,4,FALSE)," ")</f>
        <v xml:space="preserve"> </v>
      </c>
      <c r="D73" s="65" t="str">
        <f>IFERROR(VLOOKUP($A73,'The List'!$B1:$AS665,5,FALSE)," ")</f>
        <v xml:space="preserve"> </v>
      </c>
      <c r="E73" s="65" t="str">
        <f>IFERROR(VLOOKUP($A73,'The List'!$B1:$AS665,6,FALSE)," ")</f>
        <v xml:space="preserve"> </v>
      </c>
      <c r="F73" s="93" t="str">
        <f>IFERROR(VLOOKUP($A73,'The List'!$B1:$AS665,8,FALSE)," ")</f>
        <v xml:space="preserve"> </v>
      </c>
      <c r="G73" s="93" t="str">
        <f>IFERROR(VLOOKUP($A73,'The List'!$B1:$AS665,10,FALSE)," ")</f>
        <v xml:space="preserve"> </v>
      </c>
      <c r="H73" s="54"/>
      <c r="I73" s="83" t="str">
        <f>IFERROR(VLOOKUP($A73,'The List'!$B1:$AS665,16,FALSE)," ")</f>
        <v xml:space="preserve"> </v>
      </c>
      <c r="J73" s="83" t="str">
        <f>IFERROR(VLOOKUP($A73,'The List'!$B1:$AS665,17,FALSE)," ")</f>
        <v xml:space="preserve"> </v>
      </c>
      <c r="K73" s="83" t="str">
        <f>IFERROR(VLOOKUP($A73,'The List'!$B1:$AS665,18,FALSE)," ")</f>
        <v xml:space="preserve"> </v>
      </c>
      <c r="L73" s="83" t="str">
        <f>IFERROR(VLOOKUP($A73,'The List'!$B1:$AS665,19,FALSE)," ")</f>
        <v xml:space="preserve"> </v>
      </c>
      <c r="M73" s="83" t="str">
        <f>IFERROR(VLOOKUP($A73,'The List'!$B1:$AS665,20,FALSE)," ")</f>
        <v xml:space="preserve"> </v>
      </c>
      <c r="N73" s="83" t="str">
        <f>IFERROR(VLOOKUP($A73,'The List'!$B1:$AS665,21,FALSE)," ")</f>
        <v xml:space="preserve"> </v>
      </c>
      <c r="O73" s="83" t="str">
        <f>IFERROR(VLOOKUP($A73,'The List'!$B1:$AS665,22,FALSE)," ")</f>
        <v xml:space="preserve"> </v>
      </c>
      <c r="P73" s="83" t="str">
        <f>IFERROR(VLOOKUP($A73,'The List'!$B1:$AS665,23,FALSE)," ")</f>
        <v xml:space="preserve"> </v>
      </c>
      <c r="Q73" s="83" t="str">
        <f>IFERROR(VLOOKUP($A73,'The List'!$B1:$AS665,24,FALSE)," ")</f>
        <v xml:space="preserve"> </v>
      </c>
      <c r="R73" s="83" t="str">
        <f>IFERROR(VLOOKUP($A73,'The List'!$B1:$AS665,25,FALSE)," ")</f>
        <v xml:space="preserve"> </v>
      </c>
      <c r="S73" s="83" t="str">
        <f>IFERROR(VLOOKUP($A73,'The List'!$B1:$AS665,26,FALSE)," ")</f>
        <v xml:space="preserve"> </v>
      </c>
      <c r="T73" s="83" t="str">
        <f>IFERROR(VLOOKUP($A73,'The List'!$B1:$AS665,27,FALSE)," ")</f>
        <v xml:space="preserve"> </v>
      </c>
      <c r="U73" s="83" t="str">
        <f>IFERROR(VLOOKUP($A73,'The List'!$B1:$AS665,28,FALSE)," ")</f>
        <v xml:space="preserve"> </v>
      </c>
      <c r="V73" s="83" t="str">
        <f>IFERROR(VLOOKUP($A73,'The List'!$B1:$AS665,29,FALSE)," ")</f>
        <v xml:space="preserve"> </v>
      </c>
      <c r="W73" s="83" t="str">
        <f>IFERROR(VLOOKUP($A73,'The List'!$B1:$AS665,30,FALSE)," ")</f>
        <v xml:space="preserve"> </v>
      </c>
      <c r="X73" s="83" t="str">
        <f>IFERROR(VLOOKUP($A73,'The List'!$B1:$AS665,31,FALSE)," ")</f>
        <v xml:space="preserve"> </v>
      </c>
      <c r="Y73" s="83" t="str">
        <f>IFERROR(VLOOKUP($A73,'The List'!$B1:$AS665,32,FALSE)," ")</f>
        <v xml:space="preserve"> </v>
      </c>
      <c r="Z73" s="83" t="str">
        <f>IFERROR(VLOOKUP($A73,'The List'!$B1:$AS665,33,FALSE)," ")</f>
        <v xml:space="preserve"> </v>
      </c>
      <c r="AA73" s="86"/>
      <c r="AB73" s="91"/>
      <c r="AC73" s="91"/>
      <c r="AD73" s="91"/>
      <c r="AE73" s="91"/>
      <c r="AF73" s="91"/>
    </row>
    <row r="74" spans="1:32" ht="21.25" customHeight="1" x14ac:dyDescent="0.15">
      <c r="A74" s="23"/>
      <c r="B74" s="100" t="str">
        <f>IFERROR(VLOOKUP($A74,'The List'!$B1:$AS665,3,FALSE)," ")</f>
        <v xml:space="preserve"> </v>
      </c>
      <c r="C74" s="102" t="str">
        <f>IFERROR(VLOOKUP($A74,'The List'!$B1:$AS665,4,FALSE)," ")</f>
        <v xml:space="preserve"> </v>
      </c>
      <c r="D74" s="65" t="str">
        <f>IFERROR(VLOOKUP($A74,'The List'!$B1:$AS665,5,FALSE)," ")</f>
        <v xml:space="preserve"> </v>
      </c>
      <c r="E74" s="65" t="str">
        <f>IFERROR(VLOOKUP($A74,'The List'!$B1:$AS665,6,FALSE)," ")</f>
        <v xml:space="preserve"> </v>
      </c>
      <c r="F74" s="93" t="str">
        <f>IFERROR(VLOOKUP($A74,'The List'!$B1:$AS665,8,FALSE)," ")</f>
        <v xml:space="preserve"> </v>
      </c>
      <c r="G74" s="93" t="str">
        <f>IFERROR(VLOOKUP($A74,'The List'!$B1:$AS665,10,FALSE)," ")</f>
        <v xml:space="preserve"> </v>
      </c>
      <c r="H74" s="54"/>
      <c r="I74" s="83" t="str">
        <f>IFERROR(VLOOKUP($A74,'The List'!$B1:$AS665,16,FALSE)," ")</f>
        <v xml:space="preserve"> </v>
      </c>
      <c r="J74" s="83" t="str">
        <f>IFERROR(VLOOKUP($A74,'The List'!$B1:$AS665,17,FALSE)," ")</f>
        <v xml:space="preserve"> </v>
      </c>
      <c r="K74" s="83" t="str">
        <f>IFERROR(VLOOKUP($A74,'The List'!$B1:$AS665,18,FALSE)," ")</f>
        <v xml:space="preserve"> </v>
      </c>
      <c r="L74" s="83" t="str">
        <f>IFERROR(VLOOKUP($A74,'The List'!$B1:$AS665,19,FALSE)," ")</f>
        <v xml:space="preserve"> </v>
      </c>
      <c r="M74" s="83" t="str">
        <f>IFERROR(VLOOKUP($A74,'The List'!$B1:$AS665,20,FALSE)," ")</f>
        <v xml:space="preserve"> </v>
      </c>
      <c r="N74" s="83" t="str">
        <f>IFERROR(VLOOKUP($A74,'The List'!$B1:$AS665,21,FALSE)," ")</f>
        <v xml:space="preserve"> </v>
      </c>
      <c r="O74" s="83" t="str">
        <f>IFERROR(VLOOKUP($A74,'The List'!$B1:$AS665,22,FALSE)," ")</f>
        <v xml:space="preserve"> </v>
      </c>
      <c r="P74" s="83" t="str">
        <f>IFERROR(VLOOKUP($A74,'The List'!$B1:$AS665,23,FALSE)," ")</f>
        <v xml:space="preserve"> </v>
      </c>
      <c r="Q74" s="83" t="str">
        <f>IFERROR(VLOOKUP($A74,'The List'!$B1:$AS665,24,FALSE)," ")</f>
        <v xml:space="preserve"> </v>
      </c>
      <c r="R74" s="83" t="str">
        <f>IFERROR(VLOOKUP($A74,'The List'!$B1:$AS665,25,FALSE)," ")</f>
        <v xml:space="preserve"> </v>
      </c>
      <c r="S74" s="83" t="str">
        <f>IFERROR(VLOOKUP($A74,'The List'!$B1:$AS665,26,FALSE)," ")</f>
        <v xml:space="preserve"> </v>
      </c>
      <c r="T74" s="83" t="str">
        <f>IFERROR(VLOOKUP($A74,'The List'!$B1:$AS665,27,FALSE)," ")</f>
        <v xml:space="preserve"> </v>
      </c>
      <c r="U74" s="83" t="str">
        <f>IFERROR(VLOOKUP($A74,'The List'!$B1:$AS665,28,FALSE)," ")</f>
        <v xml:space="preserve"> </v>
      </c>
      <c r="V74" s="83" t="str">
        <f>IFERROR(VLOOKUP($A74,'The List'!$B1:$AS665,29,FALSE)," ")</f>
        <v xml:space="preserve"> </v>
      </c>
      <c r="W74" s="83" t="str">
        <f>IFERROR(VLOOKUP($A74,'The List'!$B1:$AS665,30,FALSE)," ")</f>
        <v xml:space="preserve"> </v>
      </c>
      <c r="X74" s="83" t="str">
        <f>IFERROR(VLOOKUP($A74,'The List'!$B1:$AS665,31,FALSE)," ")</f>
        <v xml:space="preserve"> </v>
      </c>
      <c r="Y74" s="83" t="str">
        <f>IFERROR(VLOOKUP($A74,'The List'!$B1:$AS665,32,FALSE)," ")</f>
        <v xml:space="preserve"> </v>
      </c>
      <c r="Z74" s="83" t="str">
        <f>IFERROR(VLOOKUP($A74,'The List'!$B1:$AS665,33,FALSE)," ")</f>
        <v xml:space="preserve"> </v>
      </c>
      <c r="AA74" s="86"/>
      <c r="AB74" s="91"/>
      <c r="AC74" s="91"/>
      <c r="AD74" s="91"/>
      <c r="AE74" s="91"/>
      <c r="AF74" s="91"/>
    </row>
    <row r="75" spans="1:32" ht="21.25" customHeight="1" x14ac:dyDescent="0.15">
      <c r="A75" s="23"/>
      <c r="B75" s="100" t="str">
        <f>IFERROR(VLOOKUP($A75,'The List'!$B1:$AS665,3,FALSE)," ")</f>
        <v xml:space="preserve"> </v>
      </c>
      <c r="C75" s="102" t="str">
        <f>IFERROR(VLOOKUP($A75,'The List'!$B1:$AS665,4,FALSE)," ")</f>
        <v xml:space="preserve"> </v>
      </c>
      <c r="D75" s="65" t="str">
        <f>IFERROR(VLOOKUP($A75,'The List'!$B1:$AS665,5,FALSE)," ")</f>
        <v xml:space="preserve"> </v>
      </c>
      <c r="E75" s="65" t="str">
        <f>IFERROR(VLOOKUP($A75,'The List'!$B1:$AS665,6,FALSE)," ")</f>
        <v xml:space="preserve"> </v>
      </c>
      <c r="F75" s="93" t="str">
        <f>IFERROR(VLOOKUP($A75,'The List'!$B1:$AS665,8,FALSE)," ")</f>
        <v xml:space="preserve"> </v>
      </c>
      <c r="G75" s="93" t="str">
        <f>IFERROR(VLOOKUP($A75,'The List'!$B1:$AS665,10,FALSE)," ")</f>
        <v xml:space="preserve"> </v>
      </c>
      <c r="H75" s="54"/>
      <c r="I75" s="83" t="str">
        <f>IFERROR(VLOOKUP($A75,'The List'!$B1:$AS665,16,FALSE)," ")</f>
        <v xml:space="preserve"> </v>
      </c>
      <c r="J75" s="83" t="str">
        <f>IFERROR(VLOOKUP($A75,'The List'!$B1:$AS665,17,FALSE)," ")</f>
        <v xml:space="preserve"> </v>
      </c>
      <c r="K75" s="83" t="str">
        <f>IFERROR(VLOOKUP($A75,'The List'!$B1:$AS665,18,FALSE)," ")</f>
        <v xml:space="preserve"> </v>
      </c>
      <c r="L75" s="83" t="str">
        <f>IFERROR(VLOOKUP($A75,'The List'!$B1:$AS665,19,FALSE)," ")</f>
        <v xml:space="preserve"> </v>
      </c>
      <c r="M75" s="83" t="str">
        <f>IFERROR(VLOOKUP($A75,'The List'!$B1:$AS665,20,FALSE)," ")</f>
        <v xml:space="preserve"> </v>
      </c>
      <c r="N75" s="83" t="str">
        <f>IFERROR(VLOOKUP($A75,'The List'!$B1:$AS665,21,FALSE)," ")</f>
        <v xml:space="preserve"> </v>
      </c>
      <c r="O75" s="83" t="str">
        <f>IFERROR(VLOOKUP($A75,'The List'!$B1:$AS665,22,FALSE)," ")</f>
        <v xml:space="preserve"> </v>
      </c>
      <c r="P75" s="83" t="str">
        <f>IFERROR(VLOOKUP($A75,'The List'!$B1:$AS665,23,FALSE)," ")</f>
        <v xml:space="preserve"> </v>
      </c>
      <c r="Q75" s="83" t="str">
        <f>IFERROR(VLOOKUP($A75,'The List'!$B1:$AS665,24,FALSE)," ")</f>
        <v xml:space="preserve"> </v>
      </c>
      <c r="R75" s="83" t="str">
        <f>IFERROR(VLOOKUP($A75,'The List'!$B1:$AS665,25,FALSE)," ")</f>
        <v xml:space="preserve"> </v>
      </c>
      <c r="S75" s="83" t="str">
        <f>IFERROR(VLOOKUP($A75,'The List'!$B1:$AS665,26,FALSE)," ")</f>
        <v xml:space="preserve"> </v>
      </c>
      <c r="T75" s="83" t="str">
        <f>IFERROR(VLOOKUP($A75,'The List'!$B1:$AS665,27,FALSE)," ")</f>
        <v xml:space="preserve"> </v>
      </c>
      <c r="U75" s="83" t="str">
        <f>IFERROR(VLOOKUP($A75,'The List'!$B1:$AS665,28,FALSE)," ")</f>
        <v xml:space="preserve"> </v>
      </c>
      <c r="V75" s="83" t="str">
        <f>IFERROR(VLOOKUP($A75,'The List'!$B1:$AS665,29,FALSE)," ")</f>
        <v xml:space="preserve"> </v>
      </c>
      <c r="W75" s="83" t="str">
        <f>IFERROR(VLOOKUP($A75,'The List'!$B1:$AS665,30,FALSE)," ")</f>
        <v xml:space="preserve"> </v>
      </c>
      <c r="X75" s="83" t="str">
        <f>IFERROR(VLOOKUP($A75,'The List'!$B1:$AS665,31,FALSE)," ")</f>
        <v xml:space="preserve"> </v>
      </c>
      <c r="Y75" s="83" t="str">
        <f>IFERROR(VLOOKUP($A75,'The List'!$B1:$AS665,32,FALSE)," ")</f>
        <v xml:space="preserve"> </v>
      </c>
      <c r="Z75" s="83" t="str">
        <f>IFERROR(VLOOKUP($A75,'The List'!$B1:$AS665,33,FALSE)," ")</f>
        <v xml:space="preserve"> </v>
      </c>
      <c r="AA75" s="86"/>
      <c r="AB75" s="91"/>
      <c r="AC75" s="91"/>
      <c r="AD75" s="91"/>
      <c r="AE75" s="91"/>
      <c r="AF75" s="91"/>
    </row>
    <row r="76" spans="1:32" ht="21.25" customHeight="1" x14ac:dyDescent="0.15">
      <c r="A76" s="23"/>
      <c r="B76" s="100" t="str">
        <f>IFERROR(VLOOKUP($A76,'The List'!$B1:$AS665,3,FALSE)," ")</f>
        <v xml:space="preserve"> </v>
      </c>
      <c r="C76" s="102" t="str">
        <f>IFERROR(VLOOKUP($A76,'The List'!$B1:$AS665,4,FALSE)," ")</f>
        <v xml:space="preserve"> </v>
      </c>
      <c r="D76" s="65" t="str">
        <f>IFERROR(VLOOKUP($A76,'The List'!$B1:$AS665,5,FALSE)," ")</f>
        <v xml:space="preserve"> </v>
      </c>
      <c r="E76" s="65" t="str">
        <f>IFERROR(VLOOKUP($A76,'The List'!$B1:$AS665,6,FALSE)," ")</f>
        <v xml:space="preserve"> </v>
      </c>
      <c r="F76" s="93" t="str">
        <f>IFERROR(VLOOKUP($A76,'The List'!$B1:$AS665,8,FALSE)," ")</f>
        <v xml:space="preserve"> </v>
      </c>
      <c r="G76" s="93" t="str">
        <f>IFERROR(VLOOKUP($A76,'The List'!$B1:$AS665,10,FALSE)," ")</f>
        <v xml:space="preserve"> </v>
      </c>
      <c r="H76" s="54"/>
      <c r="I76" s="83" t="str">
        <f>IFERROR(VLOOKUP($A76,'The List'!$B1:$AS665,16,FALSE)," ")</f>
        <v xml:space="preserve"> </v>
      </c>
      <c r="J76" s="83" t="str">
        <f>IFERROR(VLOOKUP($A76,'The List'!$B1:$AS665,17,FALSE)," ")</f>
        <v xml:space="preserve"> </v>
      </c>
      <c r="K76" s="83" t="str">
        <f>IFERROR(VLOOKUP($A76,'The List'!$B1:$AS665,18,FALSE)," ")</f>
        <v xml:space="preserve"> </v>
      </c>
      <c r="L76" s="83" t="str">
        <f>IFERROR(VLOOKUP($A76,'The List'!$B1:$AS665,19,FALSE)," ")</f>
        <v xml:space="preserve"> </v>
      </c>
      <c r="M76" s="83" t="str">
        <f>IFERROR(VLOOKUP($A76,'The List'!$B1:$AS665,20,FALSE)," ")</f>
        <v xml:space="preserve"> </v>
      </c>
      <c r="N76" s="83" t="str">
        <f>IFERROR(VLOOKUP($A76,'The List'!$B1:$AS665,21,FALSE)," ")</f>
        <v xml:space="preserve"> </v>
      </c>
      <c r="O76" s="83" t="str">
        <f>IFERROR(VLOOKUP($A76,'The List'!$B1:$AS665,22,FALSE)," ")</f>
        <v xml:space="preserve"> </v>
      </c>
      <c r="P76" s="83" t="str">
        <f>IFERROR(VLOOKUP($A76,'The List'!$B1:$AS665,23,FALSE)," ")</f>
        <v xml:space="preserve"> </v>
      </c>
      <c r="Q76" s="83" t="str">
        <f>IFERROR(VLOOKUP($A76,'The List'!$B1:$AS665,24,FALSE)," ")</f>
        <v xml:space="preserve"> </v>
      </c>
      <c r="R76" s="83" t="str">
        <f>IFERROR(VLOOKUP($A76,'The List'!$B1:$AS665,25,FALSE)," ")</f>
        <v xml:space="preserve"> </v>
      </c>
      <c r="S76" s="83" t="str">
        <f>IFERROR(VLOOKUP($A76,'The List'!$B1:$AS665,26,FALSE)," ")</f>
        <v xml:space="preserve"> </v>
      </c>
      <c r="T76" s="83" t="str">
        <f>IFERROR(VLOOKUP($A76,'The List'!$B1:$AS665,27,FALSE)," ")</f>
        <v xml:space="preserve"> </v>
      </c>
      <c r="U76" s="83" t="str">
        <f>IFERROR(VLOOKUP($A76,'The List'!$B1:$AS665,28,FALSE)," ")</f>
        <v xml:space="preserve"> </v>
      </c>
      <c r="V76" s="83" t="str">
        <f>IFERROR(VLOOKUP($A76,'The List'!$B1:$AS665,29,FALSE)," ")</f>
        <v xml:space="preserve"> </v>
      </c>
      <c r="W76" s="83" t="str">
        <f>IFERROR(VLOOKUP($A76,'The List'!$B1:$AS665,30,FALSE)," ")</f>
        <v xml:space="preserve"> </v>
      </c>
      <c r="X76" s="83" t="str">
        <f>IFERROR(VLOOKUP($A76,'The List'!$B1:$AS665,31,FALSE)," ")</f>
        <v xml:space="preserve"> </v>
      </c>
      <c r="Y76" s="83" t="str">
        <f>IFERROR(VLOOKUP($A76,'The List'!$B1:$AS665,32,FALSE)," ")</f>
        <v xml:space="preserve"> </v>
      </c>
      <c r="Z76" s="83" t="str">
        <f>IFERROR(VLOOKUP($A76,'The List'!$B1:$AS665,33,FALSE)," ")</f>
        <v xml:space="preserve"> </v>
      </c>
      <c r="AA76" s="86"/>
      <c r="AB76" s="91"/>
      <c r="AC76" s="91"/>
      <c r="AD76" s="91"/>
      <c r="AE76" s="91"/>
      <c r="AF76" s="91"/>
    </row>
    <row r="77" spans="1:32" ht="21.25" customHeight="1" x14ac:dyDescent="0.15">
      <c r="A77" s="23"/>
      <c r="B77" s="100" t="str">
        <f>IFERROR(VLOOKUP($A77,'The List'!$B1:$AS665,3,FALSE)," ")</f>
        <v xml:space="preserve"> </v>
      </c>
      <c r="C77" s="102" t="str">
        <f>IFERROR(VLOOKUP($A77,'The List'!$B1:$AS665,4,FALSE)," ")</f>
        <v xml:space="preserve"> </v>
      </c>
      <c r="D77" s="65" t="str">
        <f>IFERROR(VLOOKUP($A77,'The List'!$B1:$AS665,5,FALSE)," ")</f>
        <v xml:space="preserve"> </v>
      </c>
      <c r="E77" s="65" t="str">
        <f>IFERROR(VLOOKUP($A77,'The List'!$B1:$AS665,6,FALSE)," ")</f>
        <v xml:space="preserve"> </v>
      </c>
      <c r="F77" s="93" t="str">
        <f>IFERROR(VLOOKUP($A77,'The List'!$B1:$AS665,8,FALSE)," ")</f>
        <v xml:space="preserve"> </v>
      </c>
      <c r="G77" s="93" t="str">
        <f>IFERROR(VLOOKUP($A77,'The List'!$B1:$AS665,10,FALSE)," ")</f>
        <v xml:space="preserve"> </v>
      </c>
      <c r="H77" s="54"/>
      <c r="I77" s="83" t="str">
        <f>IFERROR(VLOOKUP($A77,'The List'!$B1:$AS665,16,FALSE)," ")</f>
        <v xml:space="preserve"> </v>
      </c>
      <c r="J77" s="83" t="str">
        <f>IFERROR(VLOOKUP($A77,'The List'!$B1:$AS665,17,FALSE)," ")</f>
        <v xml:space="preserve"> </v>
      </c>
      <c r="K77" s="83" t="str">
        <f>IFERROR(VLOOKUP($A77,'The List'!$B1:$AS665,18,FALSE)," ")</f>
        <v xml:space="preserve"> </v>
      </c>
      <c r="L77" s="83" t="str">
        <f>IFERROR(VLOOKUP($A77,'The List'!$B1:$AS665,19,FALSE)," ")</f>
        <v xml:space="preserve"> </v>
      </c>
      <c r="M77" s="83" t="str">
        <f>IFERROR(VLOOKUP($A77,'The List'!$B1:$AS665,20,FALSE)," ")</f>
        <v xml:space="preserve"> </v>
      </c>
      <c r="N77" s="83" t="str">
        <f>IFERROR(VLOOKUP($A77,'The List'!$B1:$AS665,21,FALSE)," ")</f>
        <v xml:space="preserve"> </v>
      </c>
      <c r="O77" s="83" t="str">
        <f>IFERROR(VLOOKUP($A77,'The List'!$B1:$AS665,22,FALSE)," ")</f>
        <v xml:space="preserve"> </v>
      </c>
      <c r="P77" s="83" t="str">
        <f>IFERROR(VLOOKUP($A77,'The List'!$B1:$AS665,23,FALSE)," ")</f>
        <v xml:space="preserve"> </v>
      </c>
      <c r="Q77" s="83" t="str">
        <f>IFERROR(VLOOKUP($A77,'The List'!$B1:$AS665,24,FALSE)," ")</f>
        <v xml:space="preserve"> </v>
      </c>
      <c r="R77" s="83" t="str">
        <f>IFERROR(VLOOKUP($A77,'The List'!$B1:$AS665,25,FALSE)," ")</f>
        <v xml:space="preserve"> </v>
      </c>
      <c r="S77" s="83" t="str">
        <f>IFERROR(VLOOKUP($A77,'The List'!$B1:$AS665,26,FALSE)," ")</f>
        <v xml:space="preserve"> </v>
      </c>
      <c r="T77" s="83" t="str">
        <f>IFERROR(VLOOKUP($A77,'The List'!$B1:$AS665,27,FALSE)," ")</f>
        <v xml:space="preserve"> </v>
      </c>
      <c r="U77" s="83" t="str">
        <f>IFERROR(VLOOKUP($A77,'The List'!$B1:$AS665,28,FALSE)," ")</f>
        <v xml:space="preserve"> </v>
      </c>
      <c r="V77" s="83" t="str">
        <f>IFERROR(VLOOKUP($A77,'The List'!$B1:$AS665,29,FALSE)," ")</f>
        <v xml:space="preserve"> </v>
      </c>
      <c r="W77" s="83" t="str">
        <f>IFERROR(VLOOKUP($A77,'The List'!$B1:$AS665,30,FALSE)," ")</f>
        <v xml:space="preserve"> </v>
      </c>
      <c r="X77" s="83" t="str">
        <f>IFERROR(VLOOKUP($A77,'The List'!$B1:$AS665,31,FALSE)," ")</f>
        <v xml:space="preserve"> </v>
      </c>
      <c r="Y77" s="83" t="str">
        <f>IFERROR(VLOOKUP($A77,'The List'!$B1:$AS665,32,FALSE)," ")</f>
        <v xml:space="preserve"> </v>
      </c>
      <c r="Z77" s="83" t="str">
        <f>IFERROR(VLOOKUP($A77,'The List'!$B1:$AS665,33,FALSE)," ")</f>
        <v xml:space="preserve"> </v>
      </c>
      <c r="AA77" s="86"/>
      <c r="AB77" s="91"/>
      <c r="AC77" s="91"/>
      <c r="AD77" s="91"/>
      <c r="AE77" s="91"/>
      <c r="AF77" s="91"/>
    </row>
    <row r="78" spans="1:32" ht="21.25" customHeight="1" x14ac:dyDescent="0.15">
      <c r="A78" s="23"/>
      <c r="B78" s="100" t="str">
        <f>IFERROR(VLOOKUP($A78,'The List'!$B1:$AS665,3,FALSE)," ")</f>
        <v xml:space="preserve"> </v>
      </c>
      <c r="C78" s="102" t="str">
        <f>IFERROR(VLOOKUP($A78,'The List'!$B1:$AS665,4,FALSE)," ")</f>
        <v xml:space="preserve"> </v>
      </c>
      <c r="D78" s="65" t="str">
        <f>IFERROR(VLOOKUP($A78,'The List'!$B1:$AS665,5,FALSE)," ")</f>
        <v xml:space="preserve"> </v>
      </c>
      <c r="E78" s="65" t="str">
        <f>IFERROR(VLOOKUP($A78,'The List'!$B1:$AS665,6,FALSE)," ")</f>
        <v xml:space="preserve"> </v>
      </c>
      <c r="F78" s="93" t="str">
        <f>IFERROR(VLOOKUP($A78,'The List'!$B1:$AS665,8,FALSE)," ")</f>
        <v xml:space="preserve"> </v>
      </c>
      <c r="G78" s="93" t="str">
        <f>IFERROR(VLOOKUP($A78,'The List'!$B1:$AS665,10,FALSE)," ")</f>
        <v xml:space="preserve"> </v>
      </c>
      <c r="H78" s="54"/>
      <c r="I78" s="83" t="str">
        <f>IFERROR(VLOOKUP($A78,'The List'!$B1:$AS665,16,FALSE)," ")</f>
        <v xml:space="preserve"> </v>
      </c>
      <c r="J78" s="83" t="str">
        <f>IFERROR(VLOOKUP($A78,'The List'!$B1:$AS665,17,FALSE)," ")</f>
        <v xml:space="preserve"> </v>
      </c>
      <c r="K78" s="83" t="str">
        <f>IFERROR(VLOOKUP($A78,'The List'!$B1:$AS665,18,FALSE)," ")</f>
        <v xml:space="preserve"> </v>
      </c>
      <c r="L78" s="83" t="str">
        <f>IFERROR(VLOOKUP($A78,'The List'!$B1:$AS665,19,FALSE)," ")</f>
        <v xml:space="preserve"> </v>
      </c>
      <c r="M78" s="83" t="str">
        <f>IFERROR(VLOOKUP($A78,'The List'!$B1:$AS665,20,FALSE)," ")</f>
        <v xml:space="preserve"> </v>
      </c>
      <c r="N78" s="83" t="str">
        <f>IFERROR(VLOOKUP($A78,'The List'!$B1:$AS665,21,FALSE)," ")</f>
        <v xml:space="preserve"> </v>
      </c>
      <c r="O78" s="83" t="str">
        <f>IFERROR(VLOOKUP($A78,'The List'!$B1:$AS665,22,FALSE)," ")</f>
        <v xml:space="preserve"> </v>
      </c>
      <c r="P78" s="83" t="str">
        <f>IFERROR(VLOOKUP($A78,'The List'!$B1:$AS665,23,FALSE)," ")</f>
        <v xml:space="preserve"> </v>
      </c>
      <c r="Q78" s="83" t="str">
        <f>IFERROR(VLOOKUP($A78,'The List'!$B1:$AS665,24,FALSE)," ")</f>
        <v xml:space="preserve"> </v>
      </c>
      <c r="R78" s="83" t="str">
        <f>IFERROR(VLOOKUP($A78,'The List'!$B1:$AS665,25,FALSE)," ")</f>
        <v xml:space="preserve"> </v>
      </c>
      <c r="S78" s="83" t="str">
        <f>IFERROR(VLOOKUP($A78,'The List'!$B1:$AS665,26,FALSE)," ")</f>
        <v xml:space="preserve"> </v>
      </c>
      <c r="T78" s="83" t="str">
        <f>IFERROR(VLOOKUP($A78,'The List'!$B1:$AS665,27,FALSE)," ")</f>
        <v xml:space="preserve"> </v>
      </c>
      <c r="U78" s="83" t="str">
        <f>IFERROR(VLOOKUP($A78,'The List'!$B1:$AS665,28,FALSE)," ")</f>
        <v xml:space="preserve"> </v>
      </c>
      <c r="V78" s="83" t="str">
        <f>IFERROR(VLOOKUP($A78,'The List'!$B1:$AS665,29,FALSE)," ")</f>
        <v xml:space="preserve"> </v>
      </c>
      <c r="W78" s="83" t="str">
        <f>IFERROR(VLOOKUP($A78,'The List'!$B1:$AS665,30,FALSE)," ")</f>
        <v xml:space="preserve"> </v>
      </c>
      <c r="X78" s="83" t="str">
        <f>IFERROR(VLOOKUP($A78,'The List'!$B1:$AS665,31,FALSE)," ")</f>
        <v xml:space="preserve"> </v>
      </c>
      <c r="Y78" s="83" t="str">
        <f>IFERROR(VLOOKUP($A78,'The List'!$B1:$AS665,32,FALSE)," ")</f>
        <v xml:space="preserve"> </v>
      </c>
      <c r="Z78" s="83" t="str">
        <f>IFERROR(VLOOKUP($A78,'The List'!$B1:$AS665,33,FALSE)," ")</f>
        <v xml:space="preserve"> </v>
      </c>
      <c r="AA78" s="86"/>
      <c r="AB78" s="91"/>
      <c r="AC78" s="91"/>
      <c r="AD78" s="91"/>
      <c r="AE78" s="91"/>
      <c r="AF78" s="91"/>
    </row>
    <row r="79" spans="1:32" ht="21.25" customHeight="1" x14ac:dyDescent="0.15">
      <c r="A79" s="104"/>
      <c r="B79" s="105" t="str">
        <f>IFERROR(VLOOKUP($A79,'The List'!$B1:$AS665,3,FALSE)," ")</f>
        <v xml:space="preserve"> </v>
      </c>
      <c r="C79" s="106" t="str">
        <f>IFERROR(VLOOKUP($A79,'The List'!$B1:$AS665,4,FALSE)," ")</f>
        <v xml:space="preserve"> </v>
      </c>
      <c r="D79" s="107" t="str">
        <f>IFERROR(VLOOKUP($A79,'The List'!$B1:$AS665,5,FALSE)," ")</f>
        <v xml:space="preserve"> </v>
      </c>
      <c r="E79" s="107" t="str">
        <f>IFERROR(VLOOKUP($A79,'The List'!$B1:$AS665,6,FALSE)," ")</f>
        <v xml:space="preserve"> </v>
      </c>
      <c r="F79" s="108" t="str">
        <f>IFERROR(VLOOKUP($A79,'The List'!$B1:$AS665,8,FALSE)," ")</f>
        <v xml:space="preserve"> </v>
      </c>
      <c r="G79" s="108" t="str">
        <f>IFERROR(VLOOKUP($A79,'The List'!$B1:$AS665,10,FALSE)," ")</f>
        <v xml:space="preserve"> </v>
      </c>
      <c r="H79" s="109"/>
      <c r="I79" s="110" t="str">
        <f>IFERROR(VLOOKUP($A79,'The List'!$B1:$AS665,16,FALSE)," ")</f>
        <v xml:space="preserve"> </v>
      </c>
      <c r="J79" s="110" t="str">
        <f>IFERROR(VLOOKUP($A79,'The List'!$B1:$AS665,17,FALSE)," ")</f>
        <v xml:space="preserve"> </v>
      </c>
      <c r="K79" s="110" t="str">
        <f>IFERROR(VLOOKUP($A79,'The List'!$B1:$AS665,18,FALSE)," ")</f>
        <v xml:space="preserve"> </v>
      </c>
      <c r="L79" s="110" t="str">
        <f>IFERROR(VLOOKUP($A79,'The List'!$B1:$AS665,19,FALSE)," ")</f>
        <v xml:space="preserve"> </v>
      </c>
      <c r="M79" s="110" t="str">
        <f>IFERROR(VLOOKUP($A79,'The List'!$B1:$AS665,20,FALSE)," ")</f>
        <v xml:space="preserve"> </v>
      </c>
      <c r="N79" s="110" t="str">
        <f>IFERROR(VLOOKUP($A79,'The List'!$B1:$AS665,21,FALSE)," ")</f>
        <v xml:space="preserve"> </v>
      </c>
      <c r="O79" s="110" t="str">
        <f>IFERROR(VLOOKUP($A79,'The List'!$B1:$AS665,22,FALSE)," ")</f>
        <v xml:space="preserve"> </v>
      </c>
      <c r="P79" s="110" t="str">
        <f>IFERROR(VLOOKUP($A79,'The List'!$B1:$AS665,23,FALSE)," ")</f>
        <v xml:space="preserve"> </v>
      </c>
      <c r="Q79" s="110" t="str">
        <f>IFERROR(VLOOKUP($A79,'The List'!$B1:$AS665,24,FALSE)," ")</f>
        <v xml:space="preserve"> </v>
      </c>
      <c r="R79" s="110" t="str">
        <f>IFERROR(VLOOKUP($A79,'The List'!$B1:$AS665,25,FALSE)," ")</f>
        <v xml:space="preserve"> </v>
      </c>
      <c r="S79" s="110" t="str">
        <f>IFERROR(VLOOKUP($A79,'The List'!$B1:$AS665,26,FALSE)," ")</f>
        <v xml:space="preserve"> </v>
      </c>
      <c r="T79" s="110" t="str">
        <f>IFERROR(VLOOKUP($A79,'The List'!$B1:$AS665,27,FALSE)," ")</f>
        <v xml:space="preserve"> </v>
      </c>
      <c r="U79" s="110" t="str">
        <f>IFERROR(VLOOKUP($A79,'The List'!$B1:$AS665,28,FALSE)," ")</f>
        <v xml:space="preserve"> </v>
      </c>
      <c r="V79" s="110" t="str">
        <f>IFERROR(VLOOKUP($A79,'The List'!$B1:$AS665,29,FALSE)," ")</f>
        <v xml:space="preserve"> </v>
      </c>
      <c r="W79" s="110" t="str">
        <f>IFERROR(VLOOKUP($A79,'The List'!$B1:$AS665,30,FALSE)," ")</f>
        <v xml:space="preserve"> </v>
      </c>
      <c r="X79" s="110" t="str">
        <f>IFERROR(VLOOKUP($A79,'The List'!$B1:$AS665,31,FALSE)," ")</f>
        <v xml:space="preserve"> </v>
      </c>
      <c r="Y79" s="110" t="str">
        <f>IFERROR(VLOOKUP($A79,'The List'!$B1:$AS665,32,FALSE)," ")</f>
        <v xml:space="preserve"> </v>
      </c>
      <c r="Z79" s="110" t="str">
        <f>IFERROR(VLOOKUP($A79,'The List'!$B1:$AS665,33,FALSE)," ")</f>
        <v xml:space="preserve"> </v>
      </c>
      <c r="AA79" s="86"/>
      <c r="AB79" s="91"/>
      <c r="AC79" s="91"/>
      <c r="AD79" s="91"/>
      <c r="AE79" s="91"/>
      <c r="AF79" s="91"/>
    </row>
    <row r="80" spans="1:32" ht="21.25" customHeight="1" x14ac:dyDescent="0.15">
      <c r="A80" s="111"/>
      <c r="B80" s="112"/>
      <c r="C80" s="113"/>
      <c r="D80" s="114"/>
      <c r="E80" s="146" t="str">
        <f>IFERROR(AVERAGE(E60:E79)," ")</f>
        <v xml:space="preserve"> </v>
      </c>
      <c r="F80" s="116">
        <f>SUM(F60:F79)</f>
        <v>0</v>
      </c>
      <c r="G80" s="116">
        <f>SUM(G60:G79)</f>
        <v>0</v>
      </c>
      <c r="H80" s="117"/>
      <c r="I80" s="118">
        <f>SUM(I60:I79)</f>
        <v>0</v>
      </c>
      <c r="J80" s="117" t="e">
        <f>AVERAGE(J60:J79)</f>
        <v>#DIV/0!</v>
      </c>
      <c r="K80" s="118">
        <f t="shared" ref="K80:Y80" si="4">SUM(K60:K79)</f>
        <v>0</v>
      </c>
      <c r="L80" s="118">
        <f t="shared" si="4"/>
        <v>0</v>
      </c>
      <c r="M80" s="118">
        <f t="shared" si="4"/>
        <v>0</v>
      </c>
      <c r="N80" s="118">
        <f t="shared" si="4"/>
        <v>0</v>
      </c>
      <c r="O80" s="118">
        <f t="shared" si="4"/>
        <v>0</v>
      </c>
      <c r="P80" s="118">
        <f t="shared" si="4"/>
        <v>0</v>
      </c>
      <c r="Q80" s="118">
        <f t="shared" si="4"/>
        <v>0</v>
      </c>
      <c r="R80" s="118">
        <f t="shared" si="4"/>
        <v>0</v>
      </c>
      <c r="S80" s="118">
        <f t="shared" si="4"/>
        <v>0</v>
      </c>
      <c r="T80" s="118">
        <f t="shared" si="4"/>
        <v>0</v>
      </c>
      <c r="U80" s="118">
        <f t="shared" si="4"/>
        <v>0</v>
      </c>
      <c r="V80" s="118">
        <f t="shared" si="4"/>
        <v>0</v>
      </c>
      <c r="W80" s="118">
        <f t="shared" si="4"/>
        <v>0</v>
      </c>
      <c r="X80" s="118">
        <f t="shared" si="4"/>
        <v>0</v>
      </c>
      <c r="Y80" s="118">
        <f t="shared" si="4"/>
        <v>0</v>
      </c>
      <c r="Z80" s="119">
        <f>IFERROR(X80/(X80+Y80),0)</f>
        <v>0</v>
      </c>
      <c r="AA80" s="86"/>
      <c r="AB80" s="120"/>
      <c r="AC80" s="120"/>
      <c r="AD80" s="120"/>
      <c r="AE80" s="120"/>
      <c r="AF80" s="120"/>
    </row>
    <row r="81" spans="1:32" ht="21.25" customHeight="1" x14ac:dyDescent="0.15">
      <c r="A81" s="34"/>
      <c r="B81" s="121"/>
      <c r="C81" s="122"/>
      <c r="D81" s="12"/>
      <c r="E81" s="12"/>
      <c r="F81" s="123"/>
      <c r="G81" s="124"/>
      <c r="H81" s="125"/>
      <c r="I81" s="12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91"/>
      <c r="AC81" s="91"/>
      <c r="AD81" s="91"/>
      <c r="AE81" s="91"/>
      <c r="AF81" s="91"/>
    </row>
    <row r="82" spans="1:32" ht="21.25" customHeight="1" x14ac:dyDescent="0.15">
      <c r="A82" s="37" t="s">
        <v>89</v>
      </c>
      <c r="B82" s="205" t="s">
        <v>91</v>
      </c>
      <c r="C82" s="195"/>
      <c r="D82" s="40" t="s">
        <v>92</v>
      </c>
      <c r="E82" s="40" t="s">
        <v>93</v>
      </c>
      <c r="F82" s="127" t="s">
        <v>95</v>
      </c>
      <c r="G82" s="127" t="s">
        <v>97</v>
      </c>
      <c r="H82" s="128"/>
      <c r="I82" s="129" t="s">
        <v>102</v>
      </c>
      <c r="J82" s="129" t="s">
        <v>118</v>
      </c>
      <c r="K82" s="129" t="s">
        <v>119</v>
      </c>
      <c r="L82" s="129" t="s">
        <v>120</v>
      </c>
      <c r="M82" s="129" t="s">
        <v>121</v>
      </c>
      <c r="N82" s="129" t="s">
        <v>122</v>
      </c>
      <c r="O82" s="129" t="s">
        <v>123</v>
      </c>
      <c r="P82" s="129" t="s">
        <v>124</v>
      </c>
      <c r="Q82" s="129" t="s">
        <v>125</v>
      </c>
      <c r="R82" s="86"/>
      <c r="S82" s="86"/>
      <c r="T82" s="86"/>
      <c r="U82" s="205" t="s">
        <v>809</v>
      </c>
      <c r="V82" s="206"/>
      <c r="W82" s="206"/>
      <c r="X82" s="205" t="s">
        <v>810</v>
      </c>
      <c r="Y82" s="206"/>
      <c r="Z82" s="206"/>
      <c r="AA82" s="86"/>
      <c r="AB82" s="86"/>
      <c r="AC82" s="86"/>
      <c r="AD82" s="86"/>
      <c r="AE82" s="86"/>
      <c r="AF82" s="86"/>
    </row>
    <row r="83" spans="1:32" ht="21.25" customHeight="1" x14ac:dyDescent="0.15">
      <c r="A83" s="147"/>
      <c r="B83" s="131" t="str">
        <f>IFERROR(VLOOKUP($A83,'The List'!$B1:$AS665,3,FALSE)," ")</f>
        <v xml:space="preserve"> </v>
      </c>
      <c r="C83" s="148" t="str">
        <f>IFERROR(VLOOKUP($A83,'The List'!$B1:$AS665,4,FALSE)," ")</f>
        <v xml:space="preserve"> </v>
      </c>
      <c r="D83" s="49" t="str">
        <f>IFERROR(VLOOKUP($A83,'The List'!$B1:$AS665,5,FALSE)," ")</f>
        <v xml:space="preserve"> </v>
      </c>
      <c r="E83" s="49" t="str">
        <f>IFERROR(VLOOKUP($A83,'The List'!$B1:$AS665,6,FALSE)," ")</f>
        <v xml:space="preserve"> </v>
      </c>
      <c r="F83" s="149" t="str">
        <f>IFERROR(VLOOKUP($A83,'The List'!$B1:$AS665,8,FALSE)," ")</f>
        <v xml:space="preserve"> </v>
      </c>
      <c r="G83" s="149" t="str">
        <f>IFERROR(VLOOKUP($A83,'The List'!$B1:$AS665,10,FALSE)," ")</f>
        <v xml:space="preserve"> </v>
      </c>
      <c r="H83" s="135"/>
      <c r="I83" s="150" t="str">
        <f>IFERROR(VLOOKUP($A83,'The List'!$B1:$AS665,35,FALSE)," ")</f>
        <v xml:space="preserve"> </v>
      </c>
      <c r="J83" s="150" t="str">
        <f>IFERROR(VLOOKUP($A83,'The List'!$B1:$AS665,36,FALSE)," ")</f>
        <v xml:space="preserve"> </v>
      </c>
      <c r="K83" s="150" t="str">
        <f>IFERROR(VLOOKUP($A83,'The List'!$B1:$AS665,37,FALSE)," ")</f>
        <v xml:space="preserve"> </v>
      </c>
      <c r="L83" s="150" t="str">
        <f>IFERROR(VLOOKUP($A83,'The List'!$B1:$AS665,38,FALSE)," ")</f>
        <v xml:space="preserve"> </v>
      </c>
      <c r="M83" s="150" t="str">
        <f>IFERROR(VLOOKUP($A83,'The List'!$B1:$AS665,39,FALSE)," ")</f>
        <v xml:space="preserve"> </v>
      </c>
      <c r="N83" s="150" t="str">
        <f>IFERROR(VLOOKUP($A83,'The List'!$B1:$AS665,40,FALSE)," ")</f>
        <v xml:space="preserve"> </v>
      </c>
      <c r="O83" s="150" t="str">
        <f>IFERROR(VLOOKUP($A83,'The List'!$B1:$AS665,41,FALSE)," ")</f>
        <v xml:space="preserve"> </v>
      </c>
      <c r="P83" s="150" t="str">
        <f>IFERROR(VLOOKUP($A83,'The List'!$B1:$AS665,42,FALSE)," ")</f>
        <v xml:space="preserve"> </v>
      </c>
      <c r="Q83" s="150" t="str">
        <f>IFERROR(VLOOKUP($A83,'The List'!$B1:$AS665,43,FALSE)," ")</f>
        <v xml:space="preserve"> </v>
      </c>
      <c r="R83" s="86"/>
      <c r="S83" s="86"/>
      <c r="T83" s="139" t="str">
        <f>A59</f>
        <v>TEAM 3</v>
      </c>
      <c r="U83" s="207">
        <f>F80+F86</f>
        <v>0</v>
      </c>
      <c r="V83" s="195"/>
      <c r="W83" s="195"/>
      <c r="X83" s="207">
        <f>G86+G80</f>
        <v>0</v>
      </c>
      <c r="Y83" s="195"/>
      <c r="Z83" s="195"/>
      <c r="AA83" s="86"/>
      <c r="AB83" s="86"/>
      <c r="AC83" s="86"/>
      <c r="AD83" s="86"/>
      <c r="AE83" s="86"/>
      <c r="AF83" s="86"/>
    </row>
    <row r="84" spans="1:32" ht="21.25" customHeight="1" x14ac:dyDescent="0.15">
      <c r="A84" s="23"/>
      <c r="B84" s="140" t="str">
        <f>IFERROR(VLOOKUP($A84,'The List'!$B1:$AS665,3,FALSE)," ")</f>
        <v xml:space="preserve"> </v>
      </c>
      <c r="C84" s="141" t="str">
        <f>IFERROR(VLOOKUP($A84,'The List'!$B1:$AS665,4,FALSE)," ")</f>
        <v xml:space="preserve"> </v>
      </c>
      <c r="D84" s="65" t="str">
        <f>IFERROR(VLOOKUP($A84,'The List'!$B1:$AS665,5,FALSE)," ")</f>
        <v xml:space="preserve"> </v>
      </c>
      <c r="E84" s="65" t="str">
        <f>IFERROR(VLOOKUP($A84,'The List'!$B1:$AS665,6,FALSE)," ")</f>
        <v xml:space="preserve"> </v>
      </c>
      <c r="F84" s="93" t="str">
        <f>IFERROR(VLOOKUP($A84,'The List'!$B1:$AS665,8,FALSE)," ")</f>
        <v xml:space="preserve"> </v>
      </c>
      <c r="G84" s="93" t="str">
        <f>IFERROR(VLOOKUP($A84,'The List'!$B1:$AS665,10,FALSE)," ")</f>
        <v xml:space="preserve"> </v>
      </c>
      <c r="H84" s="54"/>
      <c r="I84" s="83" t="str">
        <f>IFERROR(VLOOKUP($A84,'The List'!$B1:$AS665,35,FALSE)," ")</f>
        <v xml:space="preserve"> </v>
      </c>
      <c r="J84" s="83" t="str">
        <f>IFERROR(VLOOKUP($A84,'The List'!$B1:$AS665,36,FALSE)," ")</f>
        <v xml:space="preserve"> </v>
      </c>
      <c r="K84" s="83" t="str">
        <f>IFERROR(VLOOKUP($A84,'The List'!$B1:$AS665,37,FALSE)," ")</f>
        <v xml:space="preserve"> </v>
      </c>
      <c r="L84" s="83" t="str">
        <f>IFERROR(VLOOKUP($A84,'The List'!$B1:$AS665,38,FALSE)," ")</f>
        <v xml:space="preserve"> </v>
      </c>
      <c r="M84" s="83" t="str">
        <f>IFERROR(VLOOKUP($A84,'The List'!$B1:$AS665,39,FALSE)," ")</f>
        <v xml:space="preserve"> </v>
      </c>
      <c r="N84" s="83" t="str">
        <f>IFERROR(VLOOKUP($A84,'The List'!$B1:$AS665,40,FALSE)," ")</f>
        <v xml:space="preserve"> </v>
      </c>
      <c r="O84" s="83" t="str">
        <f>IFERROR(VLOOKUP($A84,'The List'!$B1:$AS665,41,FALSE)," ")</f>
        <v xml:space="preserve"> </v>
      </c>
      <c r="P84" s="83" t="str">
        <f>IFERROR(VLOOKUP($A84,'The List'!$B1:$AS665,42,FALSE)," ")</f>
        <v xml:space="preserve"> </v>
      </c>
      <c r="Q84" s="83" t="str">
        <f>IFERROR(VLOOKUP($A84,'The List'!$B1:$AS665,43,FALSE)," ")</f>
        <v xml:space="preserve"> </v>
      </c>
      <c r="R84" s="86"/>
      <c r="S84" s="86"/>
      <c r="T84" s="86"/>
      <c r="U84" s="195"/>
      <c r="V84" s="195"/>
      <c r="W84" s="195"/>
      <c r="X84" s="195"/>
      <c r="Y84" s="195"/>
      <c r="Z84" s="195"/>
      <c r="AA84" s="86"/>
      <c r="AB84" s="86"/>
      <c r="AC84" s="86"/>
      <c r="AD84" s="86"/>
      <c r="AE84" s="86"/>
      <c r="AF84" s="86"/>
    </row>
    <row r="85" spans="1:32" ht="21.25" customHeight="1" x14ac:dyDescent="0.15">
      <c r="A85" s="104"/>
      <c r="B85" s="142" t="str">
        <f>IFERROR(VLOOKUP($A85,'The List'!$B1:$AS665,3,FALSE)," ")</f>
        <v xml:space="preserve"> </v>
      </c>
      <c r="C85" s="143" t="str">
        <f>IFERROR(VLOOKUP($A85,'The List'!$B1:$AS665,4,FALSE)," ")</f>
        <v xml:space="preserve"> </v>
      </c>
      <c r="D85" s="107" t="str">
        <f>IFERROR(VLOOKUP($A85,'The List'!$B1:$AS665,5,FALSE)," ")</f>
        <v xml:space="preserve"> </v>
      </c>
      <c r="E85" s="107" t="str">
        <f>IFERROR(VLOOKUP($A85,'The List'!$B1:$AS665,6,FALSE)," ")</f>
        <v xml:space="preserve"> </v>
      </c>
      <c r="F85" s="108" t="str">
        <f>IFERROR(VLOOKUP($A85,'The List'!$B1:$AS665,8,FALSE)," ")</f>
        <v xml:space="preserve"> </v>
      </c>
      <c r="G85" s="108" t="str">
        <f>IFERROR(VLOOKUP($A85,'The List'!$B1:$AS665,10,FALSE)," ")</f>
        <v xml:space="preserve"> </v>
      </c>
      <c r="H85" s="109"/>
      <c r="I85" s="110" t="str">
        <f>IFERROR(VLOOKUP($A85,'The List'!$B1:$AS665,35,FALSE)," ")</f>
        <v xml:space="preserve"> </v>
      </c>
      <c r="J85" s="110" t="str">
        <f>IFERROR(VLOOKUP($A85,'The List'!$B1:$AS665,36,FALSE)," ")</f>
        <v xml:space="preserve"> </v>
      </c>
      <c r="K85" s="110" t="str">
        <f>IFERROR(VLOOKUP($A85,'The List'!$B1:$AS665,37,FALSE)," ")</f>
        <v xml:space="preserve"> </v>
      </c>
      <c r="L85" s="110" t="str">
        <f>IFERROR(VLOOKUP($A85,'The List'!$B1:$AS665,38,FALSE)," ")</f>
        <v xml:space="preserve"> </v>
      </c>
      <c r="M85" s="110" t="str">
        <f>IFERROR(VLOOKUP($A85,'The List'!$B1:$AS665,39,FALSE)," ")</f>
        <v xml:space="preserve"> </v>
      </c>
      <c r="N85" s="110" t="str">
        <f>IFERROR(VLOOKUP($A85,'The List'!$B1:$AS665,40,FALSE)," ")</f>
        <v xml:space="preserve"> </v>
      </c>
      <c r="O85" s="110" t="str">
        <f>IFERROR(VLOOKUP($A85,'The List'!$B1:$AS665,41,FALSE)," ")</f>
        <v xml:space="preserve"> </v>
      </c>
      <c r="P85" s="110" t="str">
        <f>IFERROR(VLOOKUP($A85,'The List'!$B1:$AS665,42,FALSE)," ")</f>
        <v xml:space="preserve"> </v>
      </c>
      <c r="Q85" s="110" t="str">
        <f>IFERROR(VLOOKUP($A85,'The List'!$B1:$AS665,43,FALSE)," ")</f>
        <v xml:space="preserve"> </v>
      </c>
      <c r="R85" s="86"/>
      <c r="S85" s="86"/>
      <c r="T85" s="86"/>
      <c r="U85" s="195"/>
      <c r="V85" s="195"/>
      <c r="W85" s="195"/>
      <c r="X85" s="195"/>
      <c r="Y85" s="195"/>
      <c r="Z85" s="195"/>
      <c r="AA85" s="86"/>
      <c r="AB85" s="86"/>
      <c r="AC85" s="86"/>
      <c r="AD85" s="86"/>
      <c r="AE85" s="86"/>
      <c r="AF85" s="86"/>
    </row>
    <row r="86" spans="1:32" ht="21.25" customHeight="1" x14ac:dyDescent="0.15">
      <c r="A86" s="111"/>
      <c r="B86" s="112"/>
      <c r="C86" s="113"/>
      <c r="D86" s="114"/>
      <c r="E86" s="146" t="str">
        <f>IFERROR(AVERAGE(E83:E85)," ")</f>
        <v xml:space="preserve"> </v>
      </c>
      <c r="F86" s="116">
        <f>SUM(F83:F85)</f>
        <v>0</v>
      </c>
      <c r="G86" s="116">
        <f>SUM(G83:G85)</f>
        <v>0</v>
      </c>
      <c r="H86" s="117"/>
      <c r="I86" s="118">
        <f t="shared" ref="I86:O86" si="5">SUM(I83:I85)</f>
        <v>0</v>
      </c>
      <c r="J86" s="117">
        <f t="shared" si="5"/>
        <v>0</v>
      </c>
      <c r="K86" s="118">
        <f t="shared" si="5"/>
        <v>0</v>
      </c>
      <c r="L86" s="118">
        <f t="shared" si="5"/>
        <v>0</v>
      </c>
      <c r="M86" s="118">
        <f t="shared" si="5"/>
        <v>0</v>
      </c>
      <c r="N86" s="118">
        <f t="shared" si="5"/>
        <v>0</v>
      </c>
      <c r="O86" s="118">
        <f t="shared" si="5"/>
        <v>0</v>
      </c>
      <c r="P86" s="144" t="e">
        <f>1-(O86/(N86+O86))</f>
        <v>#DIV/0!</v>
      </c>
      <c r="Q86" s="145" t="e">
        <f>O86/I86</f>
        <v>#DIV/0!</v>
      </c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</row>
    <row r="87" spans="1:32" ht="70.75" customHeight="1" x14ac:dyDescent="0.15">
      <c r="A87" s="34"/>
      <c r="B87" s="121"/>
      <c r="C87" s="122"/>
      <c r="D87" s="12"/>
      <c r="E87" s="12"/>
      <c r="F87" s="123"/>
      <c r="G87" s="124"/>
      <c r="H87" s="125"/>
      <c r="I87" s="12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91"/>
      <c r="AB87" s="91"/>
      <c r="AC87" s="91"/>
      <c r="AD87" s="91"/>
      <c r="AE87" s="91"/>
      <c r="AF87" s="91"/>
    </row>
    <row r="88" spans="1:32" ht="21.25" customHeight="1" x14ac:dyDescent="0.15">
      <c r="A88" s="38" t="s">
        <v>796</v>
      </c>
      <c r="B88" s="204" t="s">
        <v>91</v>
      </c>
      <c r="C88" s="200"/>
      <c r="D88" s="39" t="s">
        <v>92</v>
      </c>
      <c r="E88" s="39" t="s">
        <v>93</v>
      </c>
      <c r="F88" s="41" t="s">
        <v>95</v>
      </c>
      <c r="G88" s="41" t="s">
        <v>97</v>
      </c>
      <c r="H88" s="42"/>
      <c r="I88" s="44" t="s">
        <v>102</v>
      </c>
      <c r="J88" s="44" t="s">
        <v>55</v>
      </c>
      <c r="K88" s="44" t="s">
        <v>103</v>
      </c>
      <c r="L88" s="44" t="s">
        <v>104</v>
      </c>
      <c r="M88" s="44" t="s">
        <v>105</v>
      </c>
      <c r="N88" s="44" t="s">
        <v>106</v>
      </c>
      <c r="O88" s="44" t="s">
        <v>107</v>
      </c>
      <c r="P88" s="44" t="s">
        <v>63</v>
      </c>
      <c r="Q88" s="44" t="s">
        <v>108</v>
      </c>
      <c r="R88" s="44" t="s">
        <v>109</v>
      </c>
      <c r="S88" s="44" t="s">
        <v>110</v>
      </c>
      <c r="T88" s="44" t="s">
        <v>111</v>
      </c>
      <c r="U88" s="44" t="s">
        <v>112</v>
      </c>
      <c r="V88" s="44" t="s">
        <v>113</v>
      </c>
      <c r="W88" s="44" t="s">
        <v>114</v>
      </c>
      <c r="X88" s="44" t="s">
        <v>115</v>
      </c>
      <c r="Y88" s="44" t="s">
        <v>116</v>
      </c>
      <c r="Z88" s="44" t="s">
        <v>117</v>
      </c>
      <c r="AA88" s="86"/>
      <c r="AB88" s="87"/>
      <c r="AC88" s="87"/>
      <c r="AD88" s="87"/>
      <c r="AE88" s="87"/>
      <c r="AF88" s="87"/>
    </row>
    <row r="89" spans="1:32" ht="21.25" customHeight="1" x14ac:dyDescent="0.15">
      <c r="A89" s="23"/>
      <c r="B89" s="88" t="str">
        <f>IFERROR(VLOOKUP($A89,'The List'!$B1:$AS665,3,FALSE)," ")</f>
        <v xml:space="preserve"> </v>
      </c>
      <c r="C89" s="92" t="str">
        <f>IFERROR(VLOOKUP($A89,'The List'!$B1:$AS665,4,FALSE)," ")</f>
        <v xml:space="preserve"> </v>
      </c>
      <c r="D89" s="65" t="str">
        <f>IFERROR(VLOOKUP($A89,'The List'!$B1:$AS665,5,FALSE)," ")</f>
        <v xml:space="preserve"> </v>
      </c>
      <c r="E89" s="65" t="str">
        <f>IFERROR(VLOOKUP($A89,'The List'!$B1:$AS665,6,FALSE)," ")</f>
        <v xml:space="preserve"> </v>
      </c>
      <c r="F89" s="93" t="str">
        <f>IFERROR(VLOOKUP($A89,'The List'!$B1:$AS665,8,FALSE)," ")</f>
        <v xml:space="preserve"> </v>
      </c>
      <c r="G89" s="93" t="str">
        <f>IFERROR(VLOOKUP($A89,'The List'!$B1:$AS665,10,FALSE)," ")</f>
        <v xml:space="preserve"> </v>
      </c>
      <c r="H89" s="54"/>
      <c r="I89" s="83" t="str">
        <f>IFERROR(VLOOKUP($A89,'The List'!$B1:$AS665,16,FALSE)," ")</f>
        <v xml:space="preserve"> </v>
      </c>
      <c r="J89" s="83" t="str">
        <f>IFERROR(VLOOKUP($A89,'The List'!$B1:$AS665,17,FALSE)," ")</f>
        <v xml:space="preserve"> </v>
      </c>
      <c r="K89" s="83" t="str">
        <f>IFERROR(VLOOKUP($A89,'The List'!$B1:$AS665,18,FALSE)," ")</f>
        <v xml:space="preserve"> </v>
      </c>
      <c r="L89" s="83" t="str">
        <f>IFERROR(VLOOKUP($A89,'The List'!$B1:$AS665,19,FALSE)," ")</f>
        <v xml:space="preserve"> </v>
      </c>
      <c r="M89" s="83" t="str">
        <f>IFERROR(VLOOKUP($A89,'The List'!$B1:$AS665,20,FALSE)," ")</f>
        <v xml:space="preserve"> </v>
      </c>
      <c r="N89" s="83" t="str">
        <f>IFERROR(VLOOKUP($A89,'The List'!$B1:$AS665,21,FALSE)," ")</f>
        <v xml:space="preserve"> </v>
      </c>
      <c r="O89" s="83" t="str">
        <f>IFERROR(VLOOKUP($A89,'The List'!$B1:$AS665,22,FALSE)," ")</f>
        <v xml:space="preserve"> </v>
      </c>
      <c r="P89" s="83" t="str">
        <f>IFERROR(VLOOKUP($A89,'The List'!$B1:$AS665,23,FALSE)," ")</f>
        <v xml:space="preserve"> </v>
      </c>
      <c r="Q89" s="83" t="str">
        <f>IFERROR(VLOOKUP($A89,'The List'!$B1:$AS665,24,FALSE)," ")</f>
        <v xml:space="preserve"> </v>
      </c>
      <c r="R89" s="83" t="str">
        <f>IFERROR(VLOOKUP($A89,'The List'!$B1:$AS665,25,FALSE)," ")</f>
        <v xml:space="preserve"> </v>
      </c>
      <c r="S89" s="83" t="str">
        <f>IFERROR(VLOOKUP($A89,'The List'!$B1:$AS665,26,FALSE)," ")</f>
        <v xml:space="preserve"> </v>
      </c>
      <c r="T89" s="83" t="str">
        <f>IFERROR(VLOOKUP($A89,'The List'!$B1:$AS665,27,FALSE)," ")</f>
        <v xml:space="preserve"> </v>
      </c>
      <c r="U89" s="83" t="str">
        <f>IFERROR(VLOOKUP($A89,'The List'!$B1:$AS665,28,FALSE)," ")</f>
        <v xml:space="preserve"> </v>
      </c>
      <c r="V89" s="83" t="str">
        <f>IFERROR(VLOOKUP($A89,'The List'!$B1:$AS665,29,FALSE)," ")</f>
        <v xml:space="preserve"> </v>
      </c>
      <c r="W89" s="83" t="str">
        <f>IFERROR(VLOOKUP($A89,'The List'!$B1:$AS665,30,FALSE)," ")</f>
        <v xml:space="preserve"> </v>
      </c>
      <c r="X89" s="83" t="str">
        <f>IFERROR(VLOOKUP($A89,'The List'!$B1:$AS665,31,FALSE)," ")</f>
        <v xml:space="preserve"> </v>
      </c>
      <c r="Y89" s="83" t="str">
        <f>IFERROR(VLOOKUP($A89,'The List'!$B1:$AS665,32,FALSE)," ")</f>
        <v xml:space="preserve"> </v>
      </c>
      <c r="Z89" s="83" t="str">
        <f>IFERROR(VLOOKUP($A89,'The List'!$B1:$AS665,33,FALSE)," ")</f>
        <v xml:space="preserve"> </v>
      </c>
      <c r="AA89" s="86"/>
      <c r="AB89" s="91"/>
      <c r="AC89" s="91"/>
      <c r="AD89" s="91"/>
      <c r="AE89" s="91"/>
      <c r="AF89" s="91"/>
    </row>
    <row r="90" spans="1:32" ht="21.25" customHeight="1" x14ac:dyDescent="0.15">
      <c r="A90" s="23"/>
      <c r="B90" s="88" t="str">
        <f>IFERROR(VLOOKUP($A90,'The List'!$B1:$AS665,3,FALSE)," ")</f>
        <v xml:space="preserve"> </v>
      </c>
      <c r="C90" s="92" t="str">
        <f>IFERROR(VLOOKUP($A90,'The List'!$B1:$AS665,4,FALSE)," ")</f>
        <v xml:space="preserve"> </v>
      </c>
      <c r="D90" s="65" t="str">
        <f>IFERROR(VLOOKUP($A90,'The List'!$B1:$AS665,5,FALSE)," ")</f>
        <v xml:space="preserve"> </v>
      </c>
      <c r="E90" s="65" t="str">
        <f>IFERROR(VLOOKUP($A90,'The List'!$B1:$AS665,6,FALSE)," ")</f>
        <v xml:space="preserve"> </v>
      </c>
      <c r="F90" s="93" t="str">
        <f>IFERROR(VLOOKUP($A90,'The List'!$B1:$AS665,8,FALSE)," ")</f>
        <v xml:space="preserve"> </v>
      </c>
      <c r="G90" s="93" t="str">
        <f>IFERROR(VLOOKUP($A90,'The List'!$B1:$AS665,10,FALSE)," ")</f>
        <v xml:space="preserve"> </v>
      </c>
      <c r="H90" s="54"/>
      <c r="I90" s="83" t="str">
        <f>IFERROR(VLOOKUP($A90,'The List'!$B1:$AS665,16,FALSE)," ")</f>
        <v xml:space="preserve"> </v>
      </c>
      <c r="J90" s="83" t="str">
        <f>IFERROR(VLOOKUP($A90,'The List'!$B1:$AS665,17,FALSE)," ")</f>
        <v xml:space="preserve"> </v>
      </c>
      <c r="K90" s="83" t="str">
        <f>IFERROR(VLOOKUP($A90,'The List'!$B1:$AS665,18,FALSE)," ")</f>
        <v xml:space="preserve"> </v>
      </c>
      <c r="L90" s="83" t="str">
        <f>IFERROR(VLOOKUP($A90,'The List'!$B1:$AS665,19,FALSE)," ")</f>
        <v xml:space="preserve"> </v>
      </c>
      <c r="M90" s="83" t="str">
        <f>IFERROR(VLOOKUP($A90,'The List'!$B1:$AS665,20,FALSE)," ")</f>
        <v xml:space="preserve"> </v>
      </c>
      <c r="N90" s="83" t="str">
        <f>IFERROR(VLOOKUP($A90,'The List'!$B1:$AS665,21,FALSE)," ")</f>
        <v xml:space="preserve"> </v>
      </c>
      <c r="O90" s="83" t="str">
        <f>IFERROR(VLOOKUP($A90,'The List'!$B1:$AS665,22,FALSE)," ")</f>
        <v xml:space="preserve"> </v>
      </c>
      <c r="P90" s="83" t="str">
        <f>IFERROR(VLOOKUP($A90,'The List'!$B1:$AS665,23,FALSE)," ")</f>
        <v xml:space="preserve"> </v>
      </c>
      <c r="Q90" s="83" t="str">
        <f>IFERROR(VLOOKUP($A90,'The List'!$B1:$AS665,24,FALSE)," ")</f>
        <v xml:space="preserve"> </v>
      </c>
      <c r="R90" s="83" t="str">
        <f>IFERROR(VLOOKUP($A90,'The List'!$B1:$AS665,25,FALSE)," ")</f>
        <v xml:space="preserve"> </v>
      </c>
      <c r="S90" s="83" t="str">
        <f>IFERROR(VLOOKUP($A90,'The List'!$B1:$AS665,26,FALSE)," ")</f>
        <v xml:space="preserve"> </v>
      </c>
      <c r="T90" s="83" t="str">
        <f>IFERROR(VLOOKUP($A90,'The List'!$B1:$AS665,27,FALSE)," ")</f>
        <v xml:space="preserve"> </v>
      </c>
      <c r="U90" s="83" t="str">
        <f>IFERROR(VLOOKUP($A90,'The List'!$B1:$AS665,28,FALSE)," ")</f>
        <v xml:space="preserve"> </v>
      </c>
      <c r="V90" s="83" t="str">
        <f>IFERROR(VLOOKUP($A90,'The List'!$B1:$AS665,29,FALSE)," ")</f>
        <v xml:space="preserve"> </v>
      </c>
      <c r="W90" s="83" t="str">
        <f>IFERROR(VLOOKUP($A90,'The List'!$B1:$AS665,30,FALSE)," ")</f>
        <v xml:space="preserve"> </v>
      </c>
      <c r="X90" s="83" t="str">
        <f>IFERROR(VLOOKUP($A90,'The List'!$B1:$AS665,31,FALSE)," ")</f>
        <v xml:space="preserve"> </v>
      </c>
      <c r="Y90" s="83" t="str">
        <f>IFERROR(VLOOKUP($A90,'The List'!$B1:$AS665,32,FALSE)," ")</f>
        <v xml:space="preserve"> </v>
      </c>
      <c r="Z90" s="83" t="str">
        <f>IFERROR(VLOOKUP($A90,'The List'!$B1:$AS665,33,FALSE)," ")</f>
        <v xml:space="preserve"> </v>
      </c>
      <c r="AA90" s="86"/>
      <c r="AB90" s="91"/>
      <c r="AC90" s="91"/>
      <c r="AD90" s="91"/>
      <c r="AE90" s="91"/>
      <c r="AF90" s="91"/>
    </row>
    <row r="91" spans="1:32" ht="21.25" customHeight="1" x14ac:dyDescent="0.15">
      <c r="A91" s="23"/>
      <c r="B91" s="88" t="str">
        <f>IFERROR(VLOOKUP($A91,'The List'!$B1:$AS665,3,FALSE)," ")</f>
        <v xml:space="preserve"> </v>
      </c>
      <c r="C91" s="92" t="str">
        <f>IFERROR(VLOOKUP($A91,'The List'!$B1:$AS665,4,FALSE)," ")</f>
        <v xml:space="preserve"> </v>
      </c>
      <c r="D91" s="65" t="str">
        <f>IFERROR(VLOOKUP($A91,'The List'!$B1:$AS665,5,FALSE)," ")</f>
        <v xml:space="preserve"> </v>
      </c>
      <c r="E91" s="65" t="str">
        <f>IFERROR(VLOOKUP($A91,'The List'!$B1:$AS665,6,FALSE)," ")</f>
        <v xml:space="preserve"> </v>
      </c>
      <c r="F91" s="93" t="str">
        <f>IFERROR(VLOOKUP($A91,'The List'!$B1:$AS665,8,FALSE)," ")</f>
        <v xml:space="preserve"> </v>
      </c>
      <c r="G91" s="93" t="str">
        <f>IFERROR(VLOOKUP($A91,'The List'!$B1:$AS665,10,FALSE)," ")</f>
        <v xml:space="preserve"> </v>
      </c>
      <c r="H91" s="54"/>
      <c r="I91" s="83" t="str">
        <f>IFERROR(VLOOKUP($A91,'The List'!$B1:$AS665,16,FALSE)," ")</f>
        <v xml:space="preserve"> </v>
      </c>
      <c r="J91" s="83" t="str">
        <f>IFERROR(VLOOKUP($A91,'The List'!$B1:$AS665,17,FALSE)," ")</f>
        <v xml:space="preserve"> </v>
      </c>
      <c r="K91" s="83" t="str">
        <f>IFERROR(VLOOKUP($A91,'The List'!$B1:$AS665,18,FALSE)," ")</f>
        <v xml:space="preserve"> </v>
      </c>
      <c r="L91" s="83" t="str">
        <f>IFERROR(VLOOKUP($A91,'The List'!$B1:$AS665,19,FALSE)," ")</f>
        <v xml:space="preserve"> </v>
      </c>
      <c r="M91" s="83" t="str">
        <f>IFERROR(VLOOKUP($A91,'The List'!$B1:$AS665,20,FALSE)," ")</f>
        <v xml:space="preserve"> </v>
      </c>
      <c r="N91" s="83" t="str">
        <f>IFERROR(VLOOKUP($A91,'The List'!$B1:$AS665,21,FALSE)," ")</f>
        <v xml:space="preserve"> </v>
      </c>
      <c r="O91" s="83" t="str">
        <f>IFERROR(VLOOKUP($A91,'The List'!$B1:$AS665,22,FALSE)," ")</f>
        <v xml:space="preserve"> </v>
      </c>
      <c r="P91" s="83" t="str">
        <f>IFERROR(VLOOKUP($A91,'The List'!$B1:$AS665,23,FALSE)," ")</f>
        <v xml:space="preserve"> </v>
      </c>
      <c r="Q91" s="83" t="str">
        <f>IFERROR(VLOOKUP($A91,'The List'!$B1:$AS665,24,FALSE)," ")</f>
        <v xml:space="preserve"> </v>
      </c>
      <c r="R91" s="83" t="str">
        <f>IFERROR(VLOOKUP($A91,'The List'!$B1:$AS665,25,FALSE)," ")</f>
        <v xml:space="preserve"> </v>
      </c>
      <c r="S91" s="83" t="str">
        <f>IFERROR(VLOOKUP($A91,'The List'!$B1:$AS665,26,FALSE)," ")</f>
        <v xml:space="preserve"> </v>
      </c>
      <c r="T91" s="83" t="str">
        <f>IFERROR(VLOOKUP($A91,'The List'!$B1:$AS665,27,FALSE)," ")</f>
        <v xml:space="preserve"> </v>
      </c>
      <c r="U91" s="83" t="str">
        <f>IFERROR(VLOOKUP($A91,'The List'!$B1:$AS665,28,FALSE)," ")</f>
        <v xml:space="preserve"> </v>
      </c>
      <c r="V91" s="83" t="str">
        <f>IFERROR(VLOOKUP($A91,'The List'!$B1:$AS665,29,FALSE)," ")</f>
        <v xml:space="preserve"> </v>
      </c>
      <c r="W91" s="83" t="str">
        <f>IFERROR(VLOOKUP($A91,'The List'!$B1:$AS665,30,FALSE)," ")</f>
        <v xml:space="preserve"> </v>
      </c>
      <c r="X91" s="83" t="str">
        <f>IFERROR(VLOOKUP($A91,'The List'!$B1:$AS665,31,FALSE)," ")</f>
        <v xml:space="preserve"> </v>
      </c>
      <c r="Y91" s="83" t="str">
        <f>IFERROR(VLOOKUP($A91,'The List'!$B1:$AS665,32,FALSE)," ")</f>
        <v xml:space="preserve"> </v>
      </c>
      <c r="Z91" s="83" t="str">
        <f>IFERROR(VLOOKUP($A91,'The List'!$B1:$AS665,33,FALSE)," ")</f>
        <v xml:space="preserve"> </v>
      </c>
      <c r="AA91" s="86"/>
      <c r="AB91" s="91"/>
      <c r="AC91" s="91"/>
      <c r="AD91" s="91"/>
      <c r="AE91" s="91"/>
      <c r="AF91" s="91"/>
    </row>
    <row r="92" spans="1:32" ht="21.25" customHeight="1" x14ac:dyDescent="0.15">
      <c r="A92" s="23"/>
      <c r="B92" s="88" t="str">
        <f>IFERROR(VLOOKUP($A92,'The List'!$B1:$AS665,3,FALSE)," ")</f>
        <v xml:space="preserve"> </v>
      </c>
      <c r="C92" s="92" t="str">
        <f>IFERROR(VLOOKUP($A92,'The List'!$B1:$AS665,4,FALSE)," ")</f>
        <v xml:space="preserve"> </v>
      </c>
      <c r="D92" s="65" t="str">
        <f>IFERROR(VLOOKUP($A92,'The List'!$B1:$AS665,5,FALSE)," ")</f>
        <v xml:space="preserve"> </v>
      </c>
      <c r="E92" s="65" t="str">
        <f>IFERROR(VLOOKUP($A92,'The List'!$B1:$AS665,6,FALSE)," ")</f>
        <v xml:space="preserve"> </v>
      </c>
      <c r="F92" s="93" t="str">
        <f>IFERROR(VLOOKUP($A92,'The List'!$B1:$AS665,8,FALSE)," ")</f>
        <v xml:space="preserve"> </v>
      </c>
      <c r="G92" s="93" t="str">
        <f>IFERROR(VLOOKUP($A92,'The List'!$B1:$AS665,10,FALSE)," ")</f>
        <v xml:space="preserve"> </v>
      </c>
      <c r="H92" s="54"/>
      <c r="I92" s="83" t="str">
        <f>IFERROR(VLOOKUP($A92,'The List'!$B1:$AS665,16,FALSE)," ")</f>
        <v xml:space="preserve"> </v>
      </c>
      <c r="J92" s="83" t="str">
        <f>IFERROR(VLOOKUP($A92,'The List'!$B1:$AS665,17,FALSE)," ")</f>
        <v xml:space="preserve"> </v>
      </c>
      <c r="K92" s="83" t="str">
        <f>IFERROR(VLOOKUP($A92,'The List'!$B1:$AS665,18,FALSE)," ")</f>
        <v xml:space="preserve"> </v>
      </c>
      <c r="L92" s="83" t="str">
        <f>IFERROR(VLOOKUP($A92,'The List'!$B1:$AS665,19,FALSE)," ")</f>
        <v xml:space="preserve"> </v>
      </c>
      <c r="M92" s="83" t="str">
        <f>IFERROR(VLOOKUP($A92,'The List'!$B1:$AS665,20,FALSE)," ")</f>
        <v xml:space="preserve"> </v>
      </c>
      <c r="N92" s="83" t="str">
        <f>IFERROR(VLOOKUP($A92,'The List'!$B1:$AS665,21,FALSE)," ")</f>
        <v xml:space="preserve"> </v>
      </c>
      <c r="O92" s="83" t="str">
        <f>IFERROR(VLOOKUP($A92,'The List'!$B1:$AS665,22,FALSE)," ")</f>
        <v xml:space="preserve"> </v>
      </c>
      <c r="P92" s="83" t="str">
        <f>IFERROR(VLOOKUP($A92,'The List'!$B1:$AS665,23,FALSE)," ")</f>
        <v xml:space="preserve"> </v>
      </c>
      <c r="Q92" s="83" t="str">
        <f>IFERROR(VLOOKUP($A92,'The List'!$B1:$AS665,24,FALSE)," ")</f>
        <v xml:space="preserve"> </v>
      </c>
      <c r="R92" s="83" t="str">
        <f>IFERROR(VLOOKUP($A92,'The List'!$B1:$AS665,25,FALSE)," ")</f>
        <v xml:space="preserve"> </v>
      </c>
      <c r="S92" s="83" t="str">
        <f>IFERROR(VLOOKUP($A92,'The List'!$B1:$AS665,26,FALSE)," ")</f>
        <v xml:space="preserve"> </v>
      </c>
      <c r="T92" s="83" t="str">
        <f>IFERROR(VLOOKUP($A92,'The List'!$B1:$AS665,27,FALSE)," ")</f>
        <v xml:space="preserve"> </v>
      </c>
      <c r="U92" s="83" t="str">
        <f>IFERROR(VLOOKUP($A92,'The List'!$B1:$AS665,28,FALSE)," ")</f>
        <v xml:space="preserve"> </v>
      </c>
      <c r="V92" s="83" t="str">
        <f>IFERROR(VLOOKUP($A92,'The List'!$B1:$AS665,29,FALSE)," ")</f>
        <v xml:space="preserve"> </v>
      </c>
      <c r="W92" s="83" t="str">
        <f>IFERROR(VLOOKUP($A92,'The List'!$B1:$AS665,30,FALSE)," ")</f>
        <v xml:space="preserve"> </v>
      </c>
      <c r="X92" s="83" t="str">
        <f>IFERROR(VLOOKUP($A92,'The List'!$B1:$AS665,31,FALSE)," ")</f>
        <v xml:space="preserve"> </v>
      </c>
      <c r="Y92" s="83" t="str">
        <f>IFERROR(VLOOKUP($A92,'The List'!$B1:$AS665,32,FALSE)," ")</f>
        <v xml:space="preserve"> </v>
      </c>
      <c r="Z92" s="83" t="str">
        <f>IFERROR(VLOOKUP($A92,'The List'!$B1:$AS665,33,FALSE)," ")</f>
        <v xml:space="preserve"> </v>
      </c>
      <c r="AA92" s="86"/>
      <c r="AB92" s="91"/>
      <c r="AC92" s="91"/>
      <c r="AD92" s="91"/>
      <c r="AE92" s="91"/>
      <c r="AF92" s="91"/>
    </row>
    <row r="93" spans="1:32" ht="21.25" customHeight="1" x14ac:dyDescent="0.15">
      <c r="A93" s="23"/>
      <c r="B93" s="94" t="str">
        <f>IFERROR(VLOOKUP($A93,'The List'!$B1:$AS665,3,FALSE)," ")</f>
        <v xml:space="preserve"> </v>
      </c>
      <c r="C93" s="96" t="str">
        <f>IFERROR(VLOOKUP($A93,'The List'!$B1:$AS665,4,FALSE)," ")</f>
        <v xml:space="preserve"> </v>
      </c>
      <c r="D93" s="65" t="str">
        <f>IFERROR(VLOOKUP($A93,'The List'!$B1:$AS665,5,FALSE)," ")</f>
        <v xml:space="preserve"> </v>
      </c>
      <c r="E93" s="65" t="str">
        <f>IFERROR(VLOOKUP($A93,'The List'!$B1:$AS665,6,FALSE)," ")</f>
        <v xml:space="preserve"> </v>
      </c>
      <c r="F93" s="93" t="str">
        <f>IFERROR(VLOOKUP($A93,'The List'!$B1:$AS665,8,FALSE)," ")</f>
        <v xml:space="preserve"> </v>
      </c>
      <c r="G93" s="93" t="str">
        <f>IFERROR(VLOOKUP($A93,'The List'!$B1:$AS665,10,FALSE)," ")</f>
        <v xml:space="preserve"> </v>
      </c>
      <c r="H93" s="54"/>
      <c r="I93" s="83" t="str">
        <f>IFERROR(VLOOKUP($A93,'The List'!$B1:$AS665,16,FALSE)," ")</f>
        <v xml:space="preserve"> </v>
      </c>
      <c r="J93" s="83" t="str">
        <f>IFERROR(VLOOKUP($A93,'The List'!$B1:$AS665,17,FALSE)," ")</f>
        <v xml:space="preserve"> </v>
      </c>
      <c r="K93" s="83" t="str">
        <f>IFERROR(VLOOKUP($A93,'The List'!$B1:$AS665,18,FALSE)," ")</f>
        <v xml:space="preserve"> </v>
      </c>
      <c r="L93" s="83" t="str">
        <f>IFERROR(VLOOKUP($A93,'The List'!$B1:$AS665,19,FALSE)," ")</f>
        <v xml:space="preserve"> </v>
      </c>
      <c r="M93" s="83" t="str">
        <f>IFERROR(VLOOKUP($A93,'The List'!$B1:$AS665,20,FALSE)," ")</f>
        <v xml:space="preserve"> </v>
      </c>
      <c r="N93" s="83" t="str">
        <f>IFERROR(VLOOKUP($A93,'The List'!$B1:$AS665,21,FALSE)," ")</f>
        <v xml:space="preserve"> </v>
      </c>
      <c r="O93" s="83" t="str">
        <f>IFERROR(VLOOKUP($A93,'The List'!$B1:$AS665,22,FALSE)," ")</f>
        <v xml:space="preserve"> </v>
      </c>
      <c r="P93" s="83" t="str">
        <f>IFERROR(VLOOKUP($A93,'The List'!$B1:$AS665,23,FALSE)," ")</f>
        <v xml:space="preserve"> </v>
      </c>
      <c r="Q93" s="83" t="str">
        <f>IFERROR(VLOOKUP($A93,'The List'!$B1:$AS665,24,FALSE)," ")</f>
        <v xml:space="preserve"> </v>
      </c>
      <c r="R93" s="83" t="str">
        <f>IFERROR(VLOOKUP($A93,'The List'!$B1:$AS665,25,FALSE)," ")</f>
        <v xml:space="preserve"> </v>
      </c>
      <c r="S93" s="83" t="str">
        <f>IFERROR(VLOOKUP($A93,'The List'!$B1:$AS665,26,FALSE)," ")</f>
        <v xml:space="preserve"> </v>
      </c>
      <c r="T93" s="83" t="str">
        <f>IFERROR(VLOOKUP($A93,'The List'!$B1:$AS665,27,FALSE)," ")</f>
        <v xml:space="preserve"> </v>
      </c>
      <c r="U93" s="83" t="str">
        <f>IFERROR(VLOOKUP($A93,'The List'!$B1:$AS665,28,FALSE)," ")</f>
        <v xml:space="preserve"> </v>
      </c>
      <c r="V93" s="83" t="str">
        <f>IFERROR(VLOOKUP($A93,'The List'!$B1:$AS665,29,FALSE)," ")</f>
        <v xml:space="preserve"> </v>
      </c>
      <c r="W93" s="83" t="str">
        <f>IFERROR(VLOOKUP($A93,'The List'!$B1:$AS665,30,FALSE)," ")</f>
        <v xml:space="preserve"> </v>
      </c>
      <c r="X93" s="83" t="str">
        <f>IFERROR(VLOOKUP($A93,'The List'!$B1:$AS665,31,FALSE)," ")</f>
        <v xml:space="preserve"> </v>
      </c>
      <c r="Y93" s="83" t="str">
        <f>IFERROR(VLOOKUP($A93,'The List'!$B1:$AS665,32,FALSE)," ")</f>
        <v xml:space="preserve"> </v>
      </c>
      <c r="Z93" s="83" t="str">
        <f>IFERROR(VLOOKUP($A93,'The List'!$B1:$AS665,33,FALSE)," ")</f>
        <v xml:space="preserve"> </v>
      </c>
      <c r="AA93" s="86"/>
      <c r="AB93" s="91"/>
      <c r="AC93" s="91"/>
      <c r="AD93" s="91"/>
      <c r="AE93" s="91"/>
      <c r="AF93" s="91"/>
    </row>
    <row r="94" spans="1:32" ht="21.25" customHeight="1" x14ac:dyDescent="0.15">
      <c r="A94" s="23"/>
      <c r="B94" s="94" t="str">
        <f>IFERROR(VLOOKUP($A94,'The List'!$B1:$AS665,3,FALSE)," ")</f>
        <v xml:space="preserve"> </v>
      </c>
      <c r="C94" s="96" t="str">
        <f>IFERROR(VLOOKUP($A94,'The List'!$B1:$AS665,4,FALSE)," ")</f>
        <v xml:space="preserve"> </v>
      </c>
      <c r="D94" s="65" t="str">
        <f>IFERROR(VLOOKUP($A94,'The List'!$B1:$AS665,5,FALSE)," ")</f>
        <v xml:space="preserve"> </v>
      </c>
      <c r="E94" s="65" t="str">
        <f>IFERROR(VLOOKUP($A94,'The List'!$B1:$AS665,6,FALSE)," ")</f>
        <v xml:space="preserve"> </v>
      </c>
      <c r="F94" s="93" t="str">
        <f>IFERROR(VLOOKUP($A94,'The List'!$B1:$AS665,8,FALSE)," ")</f>
        <v xml:space="preserve"> </v>
      </c>
      <c r="G94" s="93" t="str">
        <f>IFERROR(VLOOKUP($A94,'The List'!$B1:$AS665,10,FALSE)," ")</f>
        <v xml:space="preserve"> </v>
      </c>
      <c r="H94" s="54"/>
      <c r="I94" s="83" t="str">
        <f>IFERROR(VLOOKUP($A94,'The List'!$B1:$AS665,16,FALSE)," ")</f>
        <v xml:space="preserve"> </v>
      </c>
      <c r="J94" s="83" t="str">
        <f>IFERROR(VLOOKUP($A94,'The List'!$B1:$AS665,17,FALSE)," ")</f>
        <v xml:space="preserve"> </v>
      </c>
      <c r="K94" s="83" t="str">
        <f>IFERROR(VLOOKUP($A94,'The List'!$B1:$AS665,18,FALSE)," ")</f>
        <v xml:space="preserve"> </v>
      </c>
      <c r="L94" s="83" t="str">
        <f>IFERROR(VLOOKUP($A94,'The List'!$B1:$AS665,19,FALSE)," ")</f>
        <v xml:space="preserve"> </v>
      </c>
      <c r="M94" s="83" t="str">
        <f>IFERROR(VLOOKUP($A94,'The List'!$B1:$AS665,20,FALSE)," ")</f>
        <v xml:space="preserve"> </v>
      </c>
      <c r="N94" s="83" t="str">
        <f>IFERROR(VLOOKUP($A94,'The List'!$B1:$AS665,21,FALSE)," ")</f>
        <v xml:space="preserve"> </v>
      </c>
      <c r="O94" s="83" t="str">
        <f>IFERROR(VLOOKUP($A94,'The List'!$B1:$AS665,22,FALSE)," ")</f>
        <v xml:space="preserve"> </v>
      </c>
      <c r="P94" s="83" t="str">
        <f>IFERROR(VLOOKUP($A94,'The List'!$B1:$AS665,23,FALSE)," ")</f>
        <v xml:space="preserve"> </v>
      </c>
      <c r="Q94" s="83" t="str">
        <f>IFERROR(VLOOKUP($A94,'The List'!$B1:$AS665,24,FALSE)," ")</f>
        <v xml:space="preserve"> </v>
      </c>
      <c r="R94" s="83" t="str">
        <f>IFERROR(VLOOKUP($A94,'The List'!$B1:$AS665,25,FALSE)," ")</f>
        <v xml:space="preserve"> </v>
      </c>
      <c r="S94" s="83" t="str">
        <f>IFERROR(VLOOKUP($A94,'The List'!$B1:$AS665,26,FALSE)," ")</f>
        <v xml:space="preserve"> </v>
      </c>
      <c r="T94" s="83" t="str">
        <f>IFERROR(VLOOKUP($A94,'The List'!$B1:$AS665,27,FALSE)," ")</f>
        <v xml:space="preserve"> </v>
      </c>
      <c r="U94" s="83" t="str">
        <f>IFERROR(VLOOKUP($A94,'The List'!$B1:$AS665,28,FALSE)," ")</f>
        <v xml:space="preserve"> </v>
      </c>
      <c r="V94" s="83" t="str">
        <f>IFERROR(VLOOKUP($A94,'The List'!$B1:$AS665,29,FALSE)," ")</f>
        <v xml:space="preserve"> </v>
      </c>
      <c r="W94" s="83" t="str">
        <f>IFERROR(VLOOKUP($A94,'The List'!$B1:$AS665,30,FALSE)," ")</f>
        <v xml:space="preserve"> </v>
      </c>
      <c r="X94" s="83" t="str">
        <f>IFERROR(VLOOKUP($A94,'The List'!$B1:$AS665,31,FALSE)," ")</f>
        <v xml:space="preserve"> </v>
      </c>
      <c r="Y94" s="83" t="str">
        <f>IFERROR(VLOOKUP($A94,'The List'!$B1:$AS665,32,FALSE)," ")</f>
        <v xml:space="preserve"> </v>
      </c>
      <c r="Z94" s="83" t="str">
        <f>IFERROR(VLOOKUP($A94,'The List'!$B1:$AS665,33,FALSE)," ")</f>
        <v xml:space="preserve"> </v>
      </c>
      <c r="AA94" s="86"/>
      <c r="AB94" s="91"/>
      <c r="AC94" s="91"/>
      <c r="AD94" s="91"/>
      <c r="AE94" s="91"/>
      <c r="AF94" s="91"/>
    </row>
    <row r="95" spans="1:32" ht="21.25" customHeight="1" x14ac:dyDescent="0.15">
      <c r="A95" s="23"/>
      <c r="B95" s="94" t="str">
        <f>IFERROR(VLOOKUP($A95,'The List'!$B1:$AS665,3,FALSE)," ")</f>
        <v xml:space="preserve"> </v>
      </c>
      <c r="C95" s="96" t="str">
        <f>IFERROR(VLOOKUP($A95,'The List'!$B1:$AS665,4,FALSE)," ")</f>
        <v xml:space="preserve"> </v>
      </c>
      <c r="D95" s="65" t="str">
        <f>IFERROR(VLOOKUP($A95,'The List'!$B1:$AS665,5,FALSE)," ")</f>
        <v xml:space="preserve"> </v>
      </c>
      <c r="E95" s="65" t="str">
        <f>IFERROR(VLOOKUP($A95,'The List'!$B1:$AS665,6,FALSE)," ")</f>
        <v xml:space="preserve"> </v>
      </c>
      <c r="F95" s="93" t="str">
        <f>IFERROR(VLOOKUP($A95,'The List'!$B1:$AS665,8,FALSE)," ")</f>
        <v xml:space="preserve"> </v>
      </c>
      <c r="G95" s="93" t="str">
        <f>IFERROR(VLOOKUP($A95,'The List'!$B1:$AS665,10,FALSE)," ")</f>
        <v xml:space="preserve"> </v>
      </c>
      <c r="H95" s="54"/>
      <c r="I95" s="83" t="str">
        <f>IFERROR(VLOOKUP($A95,'The List'!$B1:$AS665,16,FALSE)," ")</f>
        <v xml:space="preserve"> </v>
      </c>
      <c r="J95" s="83" t="str">
        <f>IFERROR(VLOOKUP($A95,'The List'!$B1:$AS665,17,FALSE)," ")</f>
        <v xml:space="preserve"> </v>
      </c>
      <c r="K95" s="83" t="str">
        <f>IFERROR(VLOOKUP($A95,'The List'!$B1:$AS665,18,FALSE)," ")</f>
        <v xml:space="preserve"> </v>
      </c>
      <c r="L95" s="83" t="str">
        <f>IFERROR(VLOOKUP($A95,'The List'!$B1:$AS665,19,FALSE)," ")</f>
        <v xml:space="preserve"> </v>
      </c>
      <c r="M95" s="83" t="str">
        <f>IFERROR(VLOOKUP($A95,'The List'!$B1:$AS665,20,FALSE)," ")</f>
        <v xml:space="preserve"> </v>
      </c>
      <c r="N95" s="83" t="str">
        <f>IFERROR(VLOOKUP($A95,'The List'!$B1:$AS665,21,FALSE)," ")</f>
        <v xml:space="preserve"> </v>
      </c>
      <c r="O95" s="83" t="str">
        <f>IFERROR(VLOOKUP($A95,'The List'!$B1:$AS665,22,FALSE)," ")</f>
        <v xml:space="preserve"> </v>
      </c>
      <c r="P95" s="83" t="str">
        <f>IFERROR(VLOOKUP($A95,'The List'!$B1:$AS665,23,FALSE)," ")</f>
        <v xml:space="preserve"> </v>
      </c>
      <c r="Q95" s="83" t="str">
        <f>IFERROR(VLOOKUP($A95,'The List'!$B1:$AS665,24,FALSE)," ")</f>
        <v xml:space="preserve"> </v>
      </c>
      <c r="R95" s="83" t="str">
        <f>IFERROR(VLOOKUP($A95,'The List'!$B1:$AS665,25,FALSE)," ")</f>
        <v xml:space="preserve"> </v>
      </c>
      <c r="S95" s="83" t="str">
        <f>IFERROR(VLOOKUP($A95,'The List'!$B1:$AS665,26,FALSE)," ")</f>
        <v xml:space="preserve"> </v>
      </c>
      <c r="T95" s="83" t="str">
        <f>IFERROR(VLOOKUP($A95,'The List'!$B1:$AS665,27,FALSE)," ")</f>
        <v xml:space="preserve"> </v>
      </c>
      <c r="U95" s="83" t="str">
        <f>IFERROR(VLOOKUP($A95,'The List'!$B1:$AS665,28,FALSE)," ")</f>
        <v xml:space="preserve"> </v>
      </c>
      <c r="V95" s="83" t="str">
        <f>IFERROR(VLOOKUP($A95,'The List'!$B1:$AS665,29,FALSE)," ")</f>
        <v xml:space="preserve"> </v>
      </c>
      <c r="W95" s="83" t="str">
        <f>IFERROR(VLOOKUP($A95,'The List'!$B1:$AS665,30,FALSE)," ")</f>
        <v xml:space="preserve"> </v>
      </c>
      <c r="X95" s="83" t="str">
        <f>IFERROR(VLOOKUP($A95,'The List'!$B1:$AS665,31,FALSE)," ")</f>
        <v xml:space="preserve"> </v>
      </c>
      <c r="Y95" s="83" t="str">
        <f>IFERROR(VLOOKUP($A95,'The List'!$B1:$AS665,32,FALSE)," ")</f>
        <v xml:space="preserve"> </v>
      </c>
      <c r="Z95" s="83" t="str">
        <f>IFERROR(VLOOKUP($A95,'The List'!$B1:$AS665,33,FALSE)," ")</f>
        <v xml:space="preserve"> </v>
      </c>
      <c r="AA95" s="86"/>
      <c r="AB95" s="91"/>
      <c r="AC95" s="91"/>
      <c r="AD95" s="91"/>
      <c r="AE95" s="91"/>
      <c r="AF95" s="91"/>
    </row>
    <row r="96" spans="1:32" ht="21.25" customHeight="1" x14ac:dyDescent="0.15">
      <c r="A96" s="23"/>
      <c r="B96" s="94" t="str">
        <f>IFERROR(VLOOKUP($A96,'The List'!$B1:$AS665,3,FALSE)," ")</f>
        <v xml:space="preserve"> </v>
      </c>
      <c r="C96" s="96" t="str">
        <f>IFERROR(VLOOKUP($A96,'The List'!$B1:$AS665,4,FALSE)," ")</f>
        <v xml:space="preserve"> </v>
      </c>
      <c r="D96" s="65" t="str">
        <f>IFERROR(VLOOKUP($A96,'The List'!$B1:$AS665,5,FALSE)," ")</f>
        <v xml:space="preserve"> </v>
      </c>
      <c r="E96" s="65" t="str">
        <f>IFERROR(VLOOKUP($A96,'The List'!$B1:$AS665,6,FALSE)," ")</f>
        <v xml:space="preserve"> </v>
      </c>
      <c r="F96" s="93" t="str">
        <f>IFERROR(VLOOKUP($A96,'The List'!$B1:$AS665,8,FALSE)," ")</f>
        <v xml:space="preserve"> </v>
      </c>
      <c r="G96" s="93" t="str">
        <f>IFERROR(VLOOKUP($A96,'The List'!$B1:$AS665,10,FALSE)," ")</f>
        <v xml:space="preserve"> </v>
      </c>
      <c r="H96" s="54"/>
      <c r="I96" s="83" t="str">
        <f>IFERROR(VLOOKUP($A96,'The List'!$B1:$AS665,16,FALSE)," ")</f>
        <v xml:space="preserve"> </v>
      </c>
      <c r="J96" s="83" t="str">
        <f>IFERROR(VLOOKUP($A96,'The List'!$B1:$AS665,17,FALSE)," ")</f>
        <v xml:space="preserve"> </v>
      </c>
      <c r="K96" s="83" t="str">
        <f>IFERROR(VLOOKUP($A96,'The List'!$B1:$AS665,18,FALSE)," ")</f>
        <v xml:space="preserve"> </v>
      </c>
      <c r="L96" s="83" t="str">
        <f>IFERROR(VLOOKUP($A96,'The List'!$B1:$AS665,19,FALSE)," ")</f>
        <v xml:space="preserve"> </v>
      </c>
      <c r="M96" s="83" t="str">
        <f>IFERROR(VLOOKUP($A96,'The List'!$B1:$AS665,20,FALSE)," ")</f>
        <v xml:space="preserve"> </v>
      </c>
      <c r="N96" s="83" t="str">
        <f>IFERROR(VLOOKUP($A96,'The List'!$B1:$AS665,21,FALSE)," ")</f>
        <v xml:space="preserve"> </v>
      </c>
      <c r="O96" s="83" t="str">
        <f>IFERROR(VLOOKUP($A96,'The List'!$B1:$AS665,22,FALSE)," ")</f>
        <v xml:space="preserve"> </v>
      </c>
      <c r="P96" s="83" t="str">
        <f>IFERROR(VLOOKUP($A96,'The List'!$B1:$AS665,23,FALSE)," ")</f>
        <v xml:space="preserve"> </v>
      </c>
      <c r="Q96" s="83" t="str">
        <f>IFERROR(VLOOKUP($A96,'The List'!$B1:$AS665,24,FALSE)," ")</f>
        <v xml:space="preserve"> </v>
      </c>
      <c r="R96" s="83" t="str">
        <f>IFERROR(VLOOKUP($A96,'The List'!$B1:$AS665,25,FALSE)," ")</f>
        <v xml:space="preserve"> </v>
      </c>
      <c r="S96" s="83" t="str">
        <f>IFERROR(VLOOKUP($A96,'The List'!$B1:$AS665,26,FALSE)," ")</f>
        <v xml:space="preserve"> </v>
      </c>
      <c r="T96" s="83" t="str">
        <f>IFERROR(VLOOKUP($A96,'The List'!$B1:$AS665,27,FALSE)," ")</f>
        <v xml:space="preserve"> </v>
      </c>
      <c r="U96" s="83" t="str">
        <f>IFERROR(VLOOKUP($A96,'The List'!$B1:$AS665,28,FALSE)," ")</f>
        <v xml:space="preserve"> </v>
      </c>
      <c r="V96" s="83" t="str">
        <f>IFERROR(VLOOKUP($A96,'The List'!$B1:$AS665,29,FALSE)," ")</f>
        <v xml:space="preserve"> </v>
      </c>
      <c r="W96" s="83" t="str">
        <f>IFERROR(VLOOKUP($A96,'The List'!$B1:$AS665,30,FALSE)," ")</f>
        <v xml:space="preserve"> </v>
      </c>
      <c r="X96" s="83" t="str">
        <f>IFERROR(VLOOKUP($A96,'The List'!$B1:$AS665,31,FALSE)," ")</f>
        <v xml:space="preserve"> </v>
      </c>
      <c r="Y96" s="83" t="str">
        <f>IFERROR(VLOOKUP($A96,'The List'!$B1:$AS665,32,FALSE)," ")</f>
        <v xml:space="preserve"> </v>
      </c>
      <c r="Z96" s="83" t="str">
        <f>IFERROR(VLOOKUP($A96,'The List'!$B1:$AS665,33,FALSE)," ")</f>
        <v xml:space="preserve"> </v>
      </c>
      <c r="AA96" s="86"/>
      <c r="AB96" s="91"/>
      <c r="AC96" s="91"/>
      <c r="AD96" s="91"/>
      <c r="AE96" s="91"/>
      <c r="AF96" s="91"/>
    </row>
    <row r="97" spans="1:32" ht="21.25" customHeight="1" x14ac:dyDescent="0.15">
      <c r="A97" s="23"/>
      <c r="B97" s="97" t="str">
        <f>IFERROR(VLOOKUP($A97,'The List'!$B1:$AS665,3,FALSE)," ")</f>
        <v xml:space="preserve"> </v>
      </c>
      <c r="C97" s="99" t="str">
        <f>IFERROR(VLOOKUP($A97,'The List'!$B1:$AS665,4,FALSE)," ")</f>
        <v xml:space="preserve"> </v>
      </c>
      <c r="D97" s="65" t="str">
        <f>IFERROR(VLOOKUP($A97,'The List'!$B1:$AS665,5,FALSE)," ")</f>
        <v xml:space="preserve"> </v>
      </c>
      <c r="E97" s="65" t="str">
        <f>IFERROR(VLOOKUP($A97,'The List'!$B1:$AS665,6,FALSE)," ")</f>
        <v xml:space="preserve"> </v>
      </c>
      <c r="F97" s="93" t="str">
        <f>IFERROR(VLOOKUP($A97,'The List'!$B1:$AS665,8,FALSE)," ")</f>
        <v xml:space="preserve"> </v>
      </c>
      <c r="G97" s="93" t="str">
        <f>IFERROR(VLOOKUP($A97,'The List'!$B1:$AS665,10,FALSE)," ")</f>
        <v xml:space="preserve"> </v>
      </c>
      <c r="H97" s="54"/>
      <c r="I97" s="83" t="str">
        <f>IFERROR(VLOOKUP($A97,'The List'!$B1:$AS665,16,FALSE)," ")</f>
        <v xml:space="preserve"> </v>
      </c>
      <c r="J97" s="83" t="str">
        <f>IFERROR(VLOOKUP($A97,'The List'!$B1:$AS665,17,FALSE)," ")</f>
        <v xml:space="preserve"> </v>
      </c>
      <c r="K97" s="83" t="str">
        <f>IFERROR(VLOOKUP($A97,'The List'!$B1:$AS665,18,FALSE)," ")</f>
        <v xml:space="preserve"> </v>
      </c>
      <c r="L97" s="83" t="str">
        <f>IFERROR(VLOOKUP($A97,'The List'!$B1:$AS665,19,FALSE)," ")</f>
        <v xml:space="preserve"> </v>
      </c>
      <c r="M97" s="83" t="str">
        <f>IFERROR(VLOOKUP($A97,'The List'!$B1:$AS665,20,FALSE)," ")</f>
        <v xml:space="preserve"> </v>
      </c>
      <c r="N97" s="83" t="str">
        <f>IFERROR(VLOOKUP($A97,'The List'!$B1:$AS665,21,FALSE)," ")</f>
        <v xml:space="preserve"> </v>
      </c>
      <c r="O97" s="83" t="str">
        <f>IFERROR(VLOOKUP($A97,'The List'!$B1:$AS665,22,FALSE)," ")</f>
        <v xml:space="preserve"> </v>
      </c>
      <c r="P97" s="83" t="str">
        <f>IFERROR(VLOOKUP($A97,'The List'!$B1:$AS665,23,FALSE)," ")</f>
        <v xml:space="preserve"> </v>
      </c>
      <c r="Q97" s="83" t="str">
        <f>IFERROR(VLOOKUP($A97,'The List'!$B1:$AS665,24,FALSE)," ")</f>
        <v xml:space="preserve"> </v>
      </c>
      <c r="R97" s="83" t="str">
        <f>IFERROR(VLOOKUP($A97,'The List'!$B1:$AS665,25,FALSE)," ")</f>
        <v xml:space="preserve"> </v>
      </c>
      <c r="S97" s="83" t="str">
        <f>IFERROR(VLOOKUP($A97,'The List'!$B1:$AS665,26,FALSE)," ")</f>
        <v xml:space="preserve"> </v>
      </c>
      <c r="T97" s="83" t="str">
        <f>IFERROR(VLOOKUP($A97,'The List'!$B1:$AS665,27,FALSE)," ")</f>
        <v xml:space="preserve"> </v>
      </c>
      <c r="U97" s="83" t="str">
        <f>IFERROR(VLOOKUP($A97,'The List'!$B1:$AS665,28,FALSE)," ")</f>
        <v xml:space="preserve"> </v>
      </c>
      <c r="V97" s="83" t="str">
        <f>IFERROR(VLOOKUP($A97,'The List'!$B1:$AS665,29,FALSE)," ")</f>
        <v xml:space="preserve"> </v>
      </c>
      <c r="W97" s="83" t="str">
        <f>IFERROR(VLOOKUP($A97,'The List'!$B1:$AS665,30,FALSE)," ")</f>
        <v xml:space="preserve"> </v>
      </c>
      <c r="X97" s="83" t="str">
        <f>IFERROR(VLOOKUP($A97,'The List'!$B1:$AS665,31,FALSE)," ")</f>
        <v xml:space="preserve"> </v>
      </c>
      <c r="Y97" s="83" t="str">
        <f>IFERROR(VLOOKUP($A97,'The List'!$B1:$AS665,32,FALSE)," ")</f>
        <v xml:space="preserve"> </v>
      </c>
      <c r="Z97" s="83" t="str">
        <f>IFERROR(VLOOKUP($A97,'The List'!$B1:$AS665,33,FALSE)," ")</f>
        <v xml:space="preserve"> </v>
      </c>
      <c r="AA97" s="86"/>
      <c r="AB97" s="91"/>
      <c r="AC97" s="91"/>
      <c r="AD97" s="91"/>
      <c r="AE97" s="91"/>
      <c r="AF97" s="91"/>
    </row>
    <row r="98" spans="1:32" ht="21.25" customHeight="1" x14ac:dyDescent="0.15">
      <c r="A98" s="23"/>
      <c r="B98" s="97" t="str">
        <f>IFERROR(VLOOKUP($A98,'The List'!$B1:$AS665,3,FALSE)," ")</f>
        <v xml:space="preserve"> </v>
      </c>
      <c r="C98" s="99" t="str">
        <f>IFERROR(VLOOKUP($A98,'The List'!$B1:$AS665,4,FALSE)," ")</f>
        <v xml:space="preserve"> </v>
      </c>
      <c r="D98" s="65" t="str">
        <f>IFERROR(VLOOKUP($A98,'The List'!$B1:$AS665,5,FALSE)," ")</f>
        <v xml:space="preserve"> </v>
      </c>
      <c r="E98" s="65" t="str">
        <f>IFERROR(VLOOKUP($A98,'The List'!$B1:$AS665,6,FALSE)," ")</f>
        <v xml:space="preserve"> </v>
      </c>
      <c r="F98" s="93" t="str">
        <f>IFERROR(VLOOKUP($A98,'The List'!$B1:$AS665,8,FALSE)," ")</f>
        <v xml:space="preserve"> </v>
      </c>
      <c r="G98" s="93" t="str">
        <f>IFERROR(VLOOKUP($A98,'The List'!$B1:$AS665,10,FALSE)," ")</f>
        <v xml:space="preserve"> </v>
      </c>
      <c r="H98" s="54"/>
      <c r="I98" s="83" t="str">
        <f>IFERROR(VLOOKUP($A98,'The List'!$B1:$AS665,16,FALSE)," ")</f>
        <v xml:space="preserve"> </v>
      </c>
      <c r="J98" s="83" t="str">
        <f>IFERROR(VLOOKUP($A98,'The List'!$B1:$AS665,17,FALSE)," ")</f>
        <v xml:space="preserve"> </v>
      </c>
      <c r="K98" s="83" t="str">
        <f>IFERROR(VLOOKUP($A98,'The List'!$B1:$AS665,18,FALSE)," ")</f>
        <v xml:space="preserve"> </v>
      </c>
      <c r="L98" s="83" t="str">
        <f>IFERROR(VLOOKUP($A98,'The List'!$B1:$AS665,19,FALSE)," ")</f>
        <v xml:space="preserve"> </v>
      </c>
      <c r="M98" s="83" t="str">
        <f>IFERROR(VLOOKUP($A98,'The List'!$B1:$AS665,20,FALSE)," ")</f>
        <v xml:space="preserve"> </v>
      </c>
      <c r="N98" s="83" t="str">
        <f>IFERROR(VLOOKUP($A98,'The List'!$B1:$AS665,21,FALSE)," ")</f>
        <v xml:space="preserve"> </v>
      </c>
      <c r="O98" s="83" t="str">
        <f>IFERROR(VLOOKUP($A98,'The List'!$B1:$AS665,22,FALSE)," ")</f>
        <v xml:space="preserve"> </v>
      </c>
      <c r="P98" s="83" t="str">
        <f>IFERROR(VLOOKUP($A98,'The List'!$B1:$AS665,23,FALSE)," ")</f>
        <v xml:space="preserve"> </v>
      </c>
      <c r="Q98" s="83" t="str">
        <f>IFERROR(VLOOKUP($A98,'The List'!$B1:$AS665,24,FALSE)," ")</f>
        <v xml:space="preserve"> </v>
      </c>
      <c r="R98" s="83" t="str">
        <f>IFERROR(VLOOKUP($A98,'The List'!$B1:$AS665,25,FALSE)," ")</f>
        <v xml:space="preserve"> </v>
      </c>
      <c r="S98" s="83" t="str">
        <f>IFERROR(VLOOKUP($A98,'The List'!$B1:$AS665,26,FALSE)," ")</f>
        <v xml:space="preserve"> </v>
      </c>
      <c r="T98" s="83" t="str">
        <f>IFERROR(VLOOKUP($A98,'The List'!$B1:$AS665,27,FALSE)," ")</f>
        <v xml:space="preserve"> </v>
      </c>
      <c r="U98" s="83" t="str">
        <f>IFERROR(VLOOKUP($A98,'The List'!$B1:$AS665,28,FALSE)," ")</f>
        <v xml:space="preserve"> </v>
      </c>
      <c r="V98" s="83" t="str">
        <f>IFERROR(VLOOKUP($A98,'The List'!$B1:$AS665,29,FALSE)," ")</f>
        <v xml:space="preserve"> </v>
      </c>
      <c r="W98" s="83" t="str">
        <f>IFERROR(VLOOKUP($A98,'The List'!$B1:$AS665,30,FALSE)," ")</f>
        <v xml:space="preserve"> </v>
      </c>
      <c r="X98" s="83" t="str">
        <f>IFERROR(VLOOKUP($A98,'The List'!$B1:$AS665,31,FALSE)," ")</f>
        <v xml:space="preserve"> </v>
      </c>
      <c r="Y98" s="83" t="str">
        <f>IFERROR(VLOOKUP($A98,'The List'!$B1:$AS665,32,FALSE)," ")</f>
        <v xml:space="preserve"> </v>
      </c>
      <c r="Z98" s="83" t="str">
        <f>IFERROR(VLOOKUP($A98,'The List'!$B1:$AS665,33,FALSE)," ")</f>
        <v xml:space="preserve"> </v>
      </c>
      <c r="AA98" s="86"/>
      <c r="AB98" s="91"/>
      <c r="AC98" s="91"/>
      <c r="AD98" s="91"/>
      <c r="AE98" s="91"/>
      <c r="AF98" s="91"/>
    </row>
    <row r="99" spans="1:32" ht="21.25" customHeight="1" x14ac:dyDescent="0.15">
      <c r="A99" s="23"/>
      <c r="B99" s="97" t="str">
        <f>IFERROR(VLOOKUP($A99,'The List'!$B1:$AS665,3,FALSE)," ")</f>
        <v xml:space="preserve"> </v>
      </c>
      <c r="C99" s="99" t="str">
        <f>IFERROR(VLOOKUP($A99,'The List'!$B1:$AS665,4,FALSE)," ")</f>
        <v xml:space="preserve"> </v>
      </c>
      <c r="D99" s="65" t="str">
        <f>IFERROR(VLOOKUP($A99,'The List'!$B1:$AS665,5,FALSE)," ")</f>
        <v xml:space="preserve"> </v>
      </c>
      <c r="E99" s="65" t="str">
        <f>IFERROR(VLOOKUP($A99,'The List'!$B1:$AS665,6,FALSE)," ")</f>
        <v xml:space="preserve"> </v>
      </c>
      <c r="F99" s="93" t="str">
        <f>IFERROR(VLOOKUP($A99,'The List'!$B1:$AS665,8,FALSE)," ")</f>
        <v xml:space="preserve"> </v>
      </c>
      <c r="G99" s="93" t="str">
        <f>IFERROR(VLOOKUP($A99,'The List'!$B1:$AS665,10,FALSE)," ")</f>
        <v xml:space="preserve"> </v>
      </c>
      <c r="H99" s="54"/>
      <c r="I99" s="83" t="str">
        <f>IFERROR(VLOOKUP($A99,'The List'!$B1:$AS665,16,FALSE)," ")</f>
        <v xml:space="preserve"> </v>
      </c>
      <c r="J99" s="83" t="str">
        <f>IFERROR(VLOOKUP($A99,'The List'!$B1:$AS665,17,FALSE)," ")</f>
        <v xml:space="preserve"> </v>
      </c>
      <c r="K99" s="83" t="str">
        <f>IFERROR(VLOOKUP($A99,'The List'!$B1:$AS665,18,FALSE)," ")</f>
        <v xml:space="preserve"> </v>
      </c>
      <c r="L99" s="83" t="str">
        <f>IFERROR(VLOOKUP($A99,'The List'!$B1:$AS665,19,FALSE)," ")</f>
        <v xml:space="preserve"> </v>
      </c>
      <c r="M99" s="83" t="str">
        <f>IFERROR(VLOOKUP($A99,'The List'!$B1:$AS665,20,FALSE)," ")</f>
        <v xml:space="preserve"> </v>
      </c>
      <c r="N99" s="83" t="str">
        <f>IFERROR(VLOOKUP($A99,'The List'!$B1:$AS665,21,FALSE)," ")</f>
        <v xml:space="preserve"> </v>
      </c>
      <c r="O99" s="83" t="str">
        <f>IFERROR(VLOOKUP($A99,'The List'!$B1:$AS665,22,FALSE)," ")</f>
        <v xml:space="preserve"> </v>
      </c>
      <c r="P99" s="83" t="str">
        <f>IFERROR(VLOOKUP($A99,'The List'!$B1:$AS665,23,FALSE)," ")</f>
        <v xml:space="preserve"> </v>
      </c>
      <c r="Q99" s="83" t="str">
        <f>IFERROR(VLOOKUP($A99,'The List'!$B1:$AS665,24,FALSE)," ")</f>
        <v xml:space="preserve"> </v>
      </c>
      <c r="R99" s="83" t="str">
        <f>IFERROR(VLOOKUP($A99,'The List'!$B1:$AS665,25,FALSE)," ")</f>
        <v xml:space="preserve"> </v>
      </c>
      <c r="S99" s="83" t="str">
        <f>IFERROR(VLOOKUP($A99,'The List'!$B1:$AS665,26,FALSE)," ")</f>
        <v xml:space="preserve"> </v>
      </c>
      <c r="T99" s="83" t="str">
        <f>IFERROR(VLOOKUP($A99,'The List'!$B1:$AS665,27,FALSE)," ")</f>
        <v xml:space="preserve"> </v>
      </c>
      <c r="U99" s="83" t="str">
        <f>IFERROR(VLOOKUP($A99,'The List'!$B1:$AS665,28,FALSE)," ")</f>
        <v xml:space="preserve"> </v>
      </c>
      <c r="V99" s="83" t="str">
        <f>IFERROR(VLOOKUP($A99,'The List'!$B1:$AS665,29,FALSE)," ")</f>
        <v xml:space="preserve"> </v>
      </c>
      <c r="W99" s="83" t="str">
        <f>IFERROR(VLOOKUP($A99,'The List'!$B1:$AS665,30,FALSE)," ")</f>
        <v xml:space="preserve"> </v>
      </c>
      <c r="X99" s="83" t="str">
        <f>IFERROR(VLOOKUP($A99,'The List'!$B1:$AS665,31,FALSE)," ")</f>
        <v xml:space="preserve"> </v>
      </c>
      <c r="Y99" s="83" t="str">
        <f>IFERROR(VLOOKUP($A99,'The List'!$B1:$AS665,32,FALSE)," ")</f>
        <v xml:space="preserve"> </v>
      </c>
      <c r="Z99" s="83" t="str">
        <f>IFERROR(VLOOKUP($A99,'The List'!$B1:$AS665,33,FALSE)," ")</f>
        <v xml:space="preserve"> </v>
      </c>
      <c r="AA99" s="86"/>
      <c r="AB99" s="91"/>
      <c r="AC99" s="91"/>
      <c r="AD99" s="91"/>
      <c r="AE99" s="91"/>
      <c r="AF99" s="91"/>
    </row>
    <row r="100" spans="1:32" ht="21.25" customHeight="1" x14ac:dyDescent="0.15">
      <c r="A100" s="23"/>
      <c r="B100" s="97" t="str">
        <f>IFERROR(VLOOKUP($A100,'The List'!$B1:$AS665,3,FALSE)," ")</f>
        <v xml:space="preserve"> </v>
      </c>
      <c r="C100" s="99" t="str">
        <f>IFERROR(VLOOKUP($A100,'The List'!$B1:$AS665,4,FALSE)," ")</f>
        <v xml:space="preserve"> </v>
      </c>
      <c r="D100" s="65" t="str">
        <f>IFERROR(VLOOKUP($A100,'The List'!$B1:$AS665,5,FALSE)," ")</f>
        <v xml:space="preserve"> </v>
      </c>
      <c r="E100" s="65" t="str">
        <f>IFERROR(VLOOKUP($A100,'The List'!$B1:$AS665,6,FALSE)," ")</f>
        <v xml:space="preserve"> </v>
      </c>
      <c r="F100" s="93" t="str">
        <f>IFERROR(VLOOKUP($A100,'The List'!$B1:$AS665,8,FALSE)," ")</f>
        <v xml:space="preserve"> </v>
      </c>
      <c r="G100" s="93" t="str">
        <f>IFERROR(VLOOKUP($A100,'The List'!$B1:$AS665,10,FALSE)," ")</f>
        <v xml:space="preserve"> </v>
      </c>
      <c r="H100" s="54"/>
      <c r="I100" s="83" t="str">
        <f>IFERROR(VLOOKUP($A100,'The List'!$B1:$AS665,16,FALSE)," ")</f>
        <v xml:space="preserve"> </v>
      </c>
      <c r="J100" s="83" t="str">
        <f>IFERROR(VLOOKUP($A100,'The List'!$B1:$AS665,17,FALSE)," ")</f>
        <v xml:space="preserve"> </v>
      </c>
      <c r="K100" s="83" t="str">
        <f>IFERROR(VLOOKUP($A100,'The List'!$B1:$AS665,18,FALSE)," ")</f>
        <v xml:space="preserve"> </v>
      </c>
      <c r="L100" s="83" t="str">
        <f>IFERROR(VLOOKUP($A100,'The List'!$B1:$AS665,19,FALSE)," ")</f>
        <v xml:space="preserve"> </v>
      </c>
      <c r="M100" s="83" t="str">
        <f>IFERROR(VLOOKUP($A100,'The List'!$B1:$AS665,20,FALSE)," ")</f>
        <v xml:space="preserve"> </v>
      </c>
      <c r="N100" s="83" t="str">
        <f>IFERROR(VLOOKUP($A100,'The List'!$B1:$AS665,21,FALSE)," ")</f>
        <v xml:space="preserve"> </v>
      </c>
      <c r="O100" s="83" t="str">
        <f>IFERROR(VLOOKUP($A100,'The List'!$B1:$AS665,22,FALSE)," ")</f>
        <v xml:space="preserve"> </v>
      </c>
      <c r="P100" s="83" t="str">
        <f>IFERROR(VLOOKUP($A100,'The List'!$B1:$AS665,23,FALSE)," ")</f>
        <v xml:space="preserve"> </v>
      </c>
      <c r="Q100" s="83" t="str">
        <f>IFERROR(VLOOKUP($A100,'The List'!$B1:$AS665,24,FALSE)," ")</f>
        <v xml:space="preserve"> </v>
      </c>
      <c r="R100" s="83" t="str">
        <f>IFERROR(VLOOKUP($A100,'The List'!$B1:$AS665,25,FALSE)," ")</f>
        <v xml:space="preserve"> </v>
      </c>
      <c r="S100" s="83" t="str">
        <f>IFERROR(VLOOKUP($A100,'The List'!$B1:$AS665,26,FALSE)," ")</f>
        <v xml:space="preserve"> </v>
      </c>
      <c r="T100" s="83" t="str">
        <f>IFERROR(VLOOKUP($A100,'The List'!$B1:$AS665,27,FALSE)," ")</f>
        <v xml:space="preserve"> </v>
      </c>
      <c r="U100" s="83" t="str">
        <f>IFERROR(VLOOKUP($A100,'The List'!$B1:$AS665,28,FALSE)," ")</f>
        <v xml:space="preserve"> </v>
      </c>
      <c r="V100" s="83" t="str">
        <f>IFERROR(VLOOKUP($A100,'The List'!$B1:$AS665,29,FALSE)," ")</f>
        <v xml:space="preserve"> </v>
      </c>
      <c r="W100" s="83" t="str">
        <f>IFERROR(VLOOKUP($A100,'The List'!$B1:$AS665,30,FALSE)," ")</f>
        <v xml:space="preserve"> </v>
      </c>
      <c r="X100" s="83" t="str">
        <f>IFERROR(VLOOKUP($A100,'The List'!$B1:$AS665,31,FALSE)," ")</f>
        <v xml:space="preserve"> </v>
      </c>
      <c r="Y100" s="83" t="str">
        <f>IFERROR(VLOOKUP($A100,'The List'!$B1:$AS665,32,FALSE)," ")</f>
        <v xml:space="preserve"> </v>
      </c>
      <c r="Z100" s="83" t="str">
        <f>IFERROR(VLOOKUP($A100,'The List'!$B1:$AS665,33,FALSE)," ")</f>
        <v xml:space="preserve"> </v>
      </c>
      <c r="AA100" s="86"/>
      <c r="AB100" s="91"/>
      <c r="AC100" s="91"/>
      <c r="AD100" s="91"/>
      <c r="AE100" s="91"/>
      <c r="AF100" s="91"/>
    </row>
    <row r="101" spans="1:32" ht="21.25" customHeight="1" x14ac:dyDescent="0.15">
      <c r="A101" s="23"/>
      <c r="B101" s="100" t="str">
        <f>IFERROR(VLOOKUP($A101,'The List'!$B1:$AS665,3,FALSE)," ")</f>
        <v xml:space="preserve"> </v>
      </c>
      <c r="C101" s="102" t="str">
        <f>IFERROR(VLOOKUP($A101,'The List'!$B1:$AS665,4,FALSE)," ")</f>
        <v xml:space="preserve"> </v>
      </c>
      <c r="D101" s="65" t="str">
        <f>IFERROR(VLOOKUP($A101,'The List'!$B1:$AS665,5,FALSE)," ")</f>
        <v xml:space="preserve"> </v>
      </c>
      <c r="E101" s="65" t="str">
        <f>IFERROR(VLOOKUP($A101,'The List'!$B1:$AS665,6,FALSE)," ")</f>
        <v xml:space="preserve"> </v>
      </c>
      <c r="F101" s="93" t="str">
        <f>IFERROR(VLOOKUP($A101,'The List'!$B1:$AS665,8,FALSE)," ")</f>
        <v xml:space="preserve"> </v>
      </c>
      <c r="G101" s="93" t="str">
        <f>IFERROR(VLOOKUP($A101,'The List'!$B1:$AS665,10,FALSE)," ")</f>
        <v xml:space="preserve"> </v>
      </c>
      <c r="H101" s="54"/>
      <c r="I101" s="83" t="str">
        <f>IFERROR(VLOOKUP($A101,'The List'!$B1:$AS665,16,FALSE)," ")</f>
        <v xml:space="preserve"> </v>
      </c>
      <c r="J101" s="83" t="str">
        <f>IFERROR(VLOOKUP($A101,'The List'!$B1:$AS665,17,FALSE)," ")</f>
        <v xml:space="preserve"> </v>
      </c>
      <c r="K101" s="83" t="str">
        <f>IFERROR(VLOOKUP($A101,'The List'!$B1:$AS665,18,FALSE)," ")</f>
        <v xml:space="preserve"> </v>
      </c>
      <c r="L101" s="83" t="str">
        <f>IFERROR(VLOOKUP($A101,'The List'!$B1:$AS665,19,FALSE)," ")</f>
        <v xml:space="preserve"> </v>
      </c>
      <c r="M101" s="83" t="str">
        <f>IFERROR(VLOOKUP($A101,'The List'!$B1:$AS665,20,FALSE)," ")</f>
        <v xml:space="preserve"> </v>
      </c>
      <c r="N101" s="83" t="str">
        <f>IFERROR(VLOOKUP($A101,'The List'!$B1:$AS665,21,FALSE)," ")</f>
        <v xml:space="preserve"> </v>
      </c>
      <c r="O101" s="83" t="str">
        <f>IFERROR(VLOOKUP($A101,'The List'!$B1:$AS665,22,FALSE)," ")</f>
        <v xml:space="preserve"> </v>
      </c>
      <c r="P101" s="83" t="str">
        <f>IFERROR(VLOOKUP($A101,'The List'!$B1:$AS665,23,FALSE)," ")</f>
        <v xml:space="preserve"> </v>
      </c>
      <c r="Q101" s="83" t="str">
        <f>IFERROR(VLOOKUP($A101,'The List'!$B1:$AS665,24,FALSE)," ")</f>
        <v xml:space="preserve"> </v>
      </c>
      <c r="R101" s="83" t="str">
        <f>IFERROR(VLOOKUP($A101,'The List'!$B1:$AS665,25,FALSE)," ")</f>
        <v xml:space="preserve"> </v>
      </c>
      <c r="S101" s="83" t="str">
        <f>IFERROR(VLOOKUP($A101,'The List'!$B1:$AS665,26,FALSE)," ")</f>
        <v xml:space="preserve"> </v>
      </c>
      <c r="T101" s="83" t="str">
        <f>IFERROR(VLOOKUP($A101,'The List'!$B1:$AS665,27,FALSE)," ")</f>
        <v xml:space="preserve"> </v>
      </c>
      <c r="U101" s="83" t="str">
        <f>IFERROR(VLOOKUP($A101,'The List'!$B1:$AS665,28,FALSE)," ")</f>
        <v xml:space="preserve"> </v>
      </c>
      <c r="V101" s="83" t="str">
        <f>IFERROR(VLOOKUP($A101,'The List'!$B1:$AS665,29,FALSE)," ")</f>
        <v xml:space="preserve"> </v>
      </c>
      <c r="W101" s="83" t="str">
        <f>IFERROR(VLOOKUP($A101,'The List'!$B1:$AS665,30,FALSE)," ")</f>
        <v xml:space="preserve"> </v>
      </c>
      <c r="X101" s="83" t="str">
        <f>IFERROR(VLOOKUP($A101,'The List'!$B1:$AS665,31,FALSE)," ")</f>
        <v xml:space="preserve"> </v>
      </c>
      <c r="Y101" s="83" t="str">
        <f>IFERROR(VLOOKUP($A101,'The List'!$B1:$AS665,32,FALSE)," ")</f>
        <v xml:space="preserve"> </v>
      </c>
      <c r="Z101" s="83" t="str">
        <f>IFERROR(VLOOKUP($A101,'The List'!$B1:$AS665,33,FALSE)," ")</f>
        <v xml:space="preserve"> </v>
      </c>
      <c r="AA101" s="86"/>
      <c r="AB101" s="91"/>
      <c r="AC101" s="91"/>
      <c r="AD101" s="91"/>
      <c r="AE101" s="91"/>
      <c r="AF101" s="91"/>
    </row>
    <row r="102" spans="1:32" ht="21.25" customHeight="1" x14ac:dyDescent="0.15">
      <c r="A102" s="23"/>
      <c r="B102" s="100" t="str">
        <f>IFERROR(VLOOKUP($A102,'The List'!$B1:$AS665,3,FALSE)," ")</f>
        <v xml:space="preserve"> </v>
      </c>
      <c r="C102" s="102" t="str">
        <f>IFERROR(VLOOKUP($A102,'The List'!$B1:$AS665,4,FALSE)," ")</f>
        <v xml:space="preserve"> </v>
      </c>
      <c r="D102" s="65" t="str">
        <f>IFERROR(VLOOKUP($A102,'The List'!$B1:$AS665,5,FALSE)," ")</f>
        <v xml:space="preserve"> </v>
      </c>
      <c r="E102" s="65" t="str">
        <f>IFERROR(VLOOKUP($A102,'The List'!$B1:$AS665,6,FALSE)," ")</f>
        <v xml:space="preserve"> </v>
      </c>
      <c r="F102" s="93" t="str">
        <f>IFERROR(VLOOKUP($A102,'The List'!$B1:$AS665,8,FALSE)," ")</f>
        <v xml:space="preserve"> </v>
      </c>
      <c r="G102" s="93" t="str">
        <f>IFERROR(VLOOKUP($A102,'The List'!$B1:$AS665,10,FALSE)," ")</f>
        <v xml:space="preserve"> </v>
      </c>
      <c r="H102" s="54"/>
      <c r="I102" s="83" t="str">
        <f>IFERROR(VLOOKUP($A102,'The List'!$B1:$AS665,16,FALSE)," ")</f>
        <v xml:space="preserve"> </v>
      </c>
      <c r="J102" s="83" t="str">
        <f>IFERROR(VLOOKUP($A102,'The List'!$B1:$AS665,17,FALSE)," ")</f>
        <v xml:space="preserve"> </v>
      </c>
      <c r="K102" s="83" t="str">
        <f>IFERROR(VLOOKUP($A102,'The List'!$B1:$AS665,18,FALSE)," ")</f>
        <v xml:space="preserve"> </v>
      </c>
      <c r="L102" s="83" t="str">
        <f>IFERROR(VLOOKUP($A102,'The List'!$B1:$AS665,19,FALSE)," ")</f>
        <v xml:space="preserve"> </v>
      </c>
      <c r="M102" s="83" t="str">
        <f>IFERROR(VLOOKUP($A102,'The List'!$B1:$AS665,20,FALSE)," ")</f>
        <v xml:space="preserve"> </v>
      </c>
      <c r="N102" s="83" t="str">
        <f>IFERROR(VLOOKUP($A102,'The List'!$B1:$AS665,21,FALSE)," ")</f>
        <v xml:space="preserve"> </v>
      </c>
      <c r="O102" s="83" t="str">
        <f>IFERROR(VLOOKUP($A102,'The List'!$B1:$AS665,22,FALSE)," ")</f>
        <v xml:space="preserve"> </v>
      </c>
      <c r="P102" s="83" t="str">
        <f>IFERROR(VLOOKUP($A102,'The List'!$B1:$AS665,23,FALSE)," ")</f>
        <v xml:space="preserve"> </v>
      </c>
      <c r="Q102" s="83" t="str">
        <f>IFERROR(VLOOKUP($A102,'The List'!$B1:$AS665,24,FALSE)," ")</f>
        <v xml:space="preserve"> </v>
      </c>
      <c r="R102" s="83" t="str">
        <f>IFERROR(VLOOKUP($A102,'The List'!$B1:$AS665,25,FALSE)," ")</f>
        <v xml:space="preserve"> </v>
      </c>
      <c r="S102" s="83" t="str">
        <f>IFERROR(VLOOKUP($A102,'The List'!$B1:$AS665,26,FALSE)," ")</f>
        <v xml:space="preserve"> </v>
      </c>
      <c r="T102" s="83" t="str">
        <f>IFERROR(VLOOKUP($A102,'The List'!$B1:$AS665,27,FALSE)," ")</f>
        <v xml:space="preserve"> </v>
      </c>
      <c r="U102" s="83" t="str">
        <f>IFERROR(VLOOKUP($A102,'The List'!$B1:$AS665,28,FALSE)," ")</f>
        <v xml:space="preserve"> </v>
      </c>
      <c r="V102" s="83" t="str">
        <f>IFERROR(VLOOKUP($A102,'The List'!$B1:$AS665,29,FALSE)," ")</f>
        <v xml:space="preserve"> </v>
      </c>
      <c r="W102" s="83" t="str">
        <f>IFERROR(VLOOKUP($A102,'The List'!$B1:$AS665,30,FALSE)," ")</f>
        <v xml:space="preserve"> </v>
      </c>
      <c r="X102" s="83" t="str">
        <f>IFERROR(VLOOKUP($A102,'The List'!$B1:$AS665,31,FALSE)," ")</f>
        <v xml:space="preserve"> </v>
      </c>
      <c r="Y102" s="83" t="str">
        <f>IFERROR(VLOOKUP($A102,'The List'!$B1:$AS665,32,FALSE)," ")</f>
        <v xml:space="preserve"> </v>
      </c>
      <c r="Z102" s="83" t="str">
        <f>IFERROR(VLOOKUP($A102,'The List'!$B1:$AS665,33,FALSE)," ")</f>
        <v xml:space="preserve"> </v>
      </c>
      <c r="AA102" s="86"/>
      <c r="AB102" s="91"/>
      <c r="AC102" s="91"/>
      <c r="AD102" s="91"/>
      <c r="AE102" s="91"/>
      <c r="AF102" s="91"/>
    </row>
    <row r="103" spans="1:32" ht="21.25" customHeight="1" x14ac:dyDescent="0.15">
      <c r="A103" s="23"/>
      <c r="B103" s="100" t="str">
        <f>IFERROR(VLOOKUP($A103,'The List'!$B1:$AS665,3,FALSE)," ")</f>
        <v xml:space="preserve"> </v>
      </c>
      <c r="C103" s="102" t="str">
        <f>IFERROR(VLOOKUP($A103,'The List'!$B1:$AS665,4,FALSE)," ")</f>
        <v xml:space="preserve"> </v>
      </c>
      <c r="D103" s="65" t="str">
        <f>IFERROR(VLOOKUP($A103,'The List'!$B1:$AS665,5,FALSE)," ")</f>
        <v xml:space="preserve"> </v>
      </c>
      <c r="E103" s="65" t="str">
        <f>IFERROR(VLOOKUP($A103,'The List'!$B1:$AS665,6,FALSE)," ")</f>
        <v xml:space="preserve"> </v>
      </c>
      <c r="F103" s="93" t="str">
        <f>IFERROR(VLOOKUP($A103,'The List'!$B1:$AS665,8,FALSE)," ")</f>
        <v xml:space="preserve"> </v>
      </c>
      <c r="G103" s="93" t="str">
        <f>IFERROR(VLOOKUP($A103,'The List'!$B1:$AS665,10,FALSE)," ")</f>
        <v xml:space="preserve"> </v>
      </c>
      <c r="H103" s="54"/>
      <c r="I103" s="83" t="str">
        <f>IFERROR(VLOOKUP($A103,'The List'!$B1:$AS665,16,FALSE)," ")</f>
        <v xml:space="preserve"> </v>
      </c>
      <c r="J103" s="83" t="str">
        <f>IFERROR(VLOOKUP($A103,'The List'!$B1:$AS665,17,FALSE)," ")</f>
        <v xml:space="preserve"> </v>
      </c>
      <c r="K103" s="83" t="str">
        <f>IFERROR(VLOOKUP($A103,'The List'!$B1:$AS665,18,FALSE)," ")</f>
        <v xml:space="preserve"> </v>
      </c>
      <c r="L103" s="83" t="str">
        <f>IFERROR(VLOOKUP($A103,'The List'!$B1:$AS665,19,FALSE)," ")</f>
        <v xml:space="preserve"> </v>
      </c>
      <c r="M103" s="83" t="str">
        <f>IFERROR(VLOOKUP($A103,'The List'!$B1:$AS665,20,FALSE)," ")</f>
        <v xml:space="preserve"> </v>
      </c>
      <c r="N103" s="83" t="str">
        <f>IFERROR(VLOOKUP($A103,'The List'!$B1:$AS665,21,FALSE)," ")</f>
        <v xml:space="preserve"> </v>
      </c>
      <c r="O103" s="83" t="str">
        <f>IFERROR(VLOOKUP($A103,'The List'!$B1:$AS665,22,FALSE)," ")</f>
        <v xml:space="preserve"> </v>
      </c>
      <c r="P103" s="83" t="str">
        <f>IFERROR(VLOOKUP($A103,'The List'!$B1:$AS665,23,FALSE)," ")</f>
        <v xml:space="preserve"> </v>
      </c>
      <c r="Q103" s="83" t="str">
        <f>IFERROR(VLOOKUP($A103,'The List'!$B1:$AS665,24,FALSE)," ")</f>
        <v xml:space="preserve"> </v>
      </c>
      <c r="R103" s="83" t="str">
        <f>IFERROR(VLOOKUP($A103,'The List'!$B1:$AS665,25,FALSE)," ")</f>
        <v xml:space="preserve"> </v>
      </c>
      <c r="S103" s="83" t="str">
        <f>IFERROR(VLOOKUP($A103,'The List'!$B1:$AS665,26,FALSE)," ")</f>
        <v xml:space="preserve"> </v>
      </c>
      <c r="T103" s="83" t="str">
        <f>IFERROR(VLOOKUP($A103,'The List'!$B1:$AS665,27,FALSE)," ")</f>
        <v xml:space="preserve"> </v>
      </c>
      <c r="U103" s="83" t="str">
        <f>IFERROR(VLOOKUP($A103,'The List'!$B1:$AS665,28,FALSE)," ")</f>
        <v xml:space="preserve"> </v>
      </c>
      <c r="V103" s="83" t="str">
        <f>IFERROR(VLOOKUP($A103,'The List'!$B1:$AS665,29,FALSE)," ")</f>
        <v xml:space="preserve"> </v>
      </c>
      <c r="W103" s="83" t="str">
        <f>IFERROR(VLOOKUP($A103,'The List'!$B1:$AS665,30,FALSE)," ")</f>
        <v xml:space="preserve"> </v>
      </c>
      <c r="X103" s="83" t="str">
        <f>IFERROR(VLOOKUP($A103,'The List'!$B1:$AS665,31,FALSE)," ")</f>
        <v xml:space="preserve"> </v>
      </c>
      <c r="Y103" s="83" t="str">
        <f>IFERROR(VLOOKUP($A103,'The List'!$B1:$AS665,32,FALSE)," ")</f>
        <v xml:space="preserve"> </v>
      </c>
      <c r="Z103" s="83" t="str">
        <f>IFERROR(VLOOKUP($A103,'The List'!$B1:$AS665,33,FALSE)," ")</f>
        <v xml:space="preserve"> </v>
      </c>
      <c r="AA103" s="86"/>
      <c r="AB103" s="91"/>
      <c r="AC103" s="91"/>
      <c r="AD103" s="91"/>
      <c r="AE103" s="91"/>
      <c r="AF103" s="91"/>
    </row>
    <row r="104" spans="1:32" ht="21.25" customHeight="1" x14ac:dyDescent="0.15">
      <c r="A104" s="23"/>
      <c r="B104" s="100" t="str">
        <f>IFERROR(VLOOKUP($A104,'The List'!$B1:$AS665,3,FALSE)," ")</f>
        <v xml:space="preserve"> </v>
      </c>
      <c r="C104" s="102" t="str">
        <f>IFERROR(VLOOKUP($A104,'The List'!$B1:$AS665,4,FALSE)," ")</f>
        <v xml:space="preserve"> </v>
      </c>
      <c r="D104" s="65" t="str">
        <f>IFERROR(VLOOKUP($A104,'The List'!$B1:$AS665,5,FALSE)," ")</f>
        <v xml:space="preserve"> </v>
      </c>
      <c r="E104" s="65" t="str">
        <f>IFERROR(VLOOKUP($A104,'The List'!$B1:$AS665,6,FALSE)," ")</f>
        <v xml:space="preserve"> </v>
      </c>
      <c r="F104" s="93" t="str">
        <f>IFERROR(VLOOKUP($A104,'The List'!$B1:$AS665,8,FALSE)," ")</f>
        <v xml:space="preserve"> </v>
      </c>
      <c r="G104" s="93" t="str">
        <f>IFERROR(VLOOKUP($A104,'The List'!$B1:$AS665,10,FALSE)," ")</f>
        <v xml:space="preserve"> </v>
      </c>
      <c r="H104" s="54"/>
      <c r="I104" s="83" t="str">
        <f>IFERROR(VLOOKUP($A104,'The List'!$B1:$AS665,16,FALSE)," ")</f>
        <v xml:space="preserve"> </v>
      </c>
      <c r="J104" s="83" t="str">
        <f>IFERROR(VLOOKUP($A104,'The List'!$B1:$AS665,17,FALSE)," ")</f>
        <v xml:space="preserve"> </v>
      </c>
      <c r="K104" s="83" t="str">
        <f>IFERROR(VLOOKUP($A104,'The List'!$B1:$AS665,18,FALSE)," ")</f>
        <v xml:space="preserve"> </v>
      </c>
      <c r="L104" s="83" t="str">
        <f>IFERROR(VLOOKUP($A104,'The List'!$B1:$AS665,19,FALSE)," ")</f>
        <v xml:space="preserve"> </v>
      </c>
      <c r="M104" s="83" t="str">
        <f>IFERROR(VLOOKUP($A104,'The List'!$B1:$AS665,20,FALSE)," ")</f>
        <v xml:space="preserve"> </v>
      </c>
      <c r="N104" s="83" t="str">
        <f>IFERROR(VLOOKUP($A104,'The List'!$B1:$AS665,21,FALSE)," ")</f>
        <v xml:space="preserve"> </v>
      </c>
      <c r="O104" s="83" t="str">
        <f>IFERROR(VLOOKUP($A104,'The List'!$B1:$AS665,22,FALSE)," ")</f>
        <v xml:space="preserve"> </v>
      </c>
      <c r="P104" s="83" t="str">
        <f>IFERROR(VLOOKUP($A104,'The List'!$B1:$AS665,23,FALSE)," ")</f>
        <v xml:space="preserve"> </v>
      </c>
      <c r="Q104" s="83" t="str">
        <f>IFERROR(VLOOKUP($A104,'The List'!$B1:$AS665,24,FALSE)," ")</f>
        <v xml:space="preserve"> </v>
      </c>
      <c r="R104" s="83" t="str">
        <f>IFERROR(VLOOKUP($A104,'The List'!$B1:$AS665,25,FALSE)," ")</f>
        <v xml:space="preserve"> </v>
      </c>
      <c r="S104" s="83" t="str">
        <f>IFERROR(VLOOKUP($A104,'The List'!$B1:$AS665,26,FALSE)," ")</f>
        <v xml:space="preserve"> </v>
      </c>
      <c r="T104" s="83" t="str">
        <f>IFERROR(VLOOKUP($A104,'The List'!$B1:$AS665,27,FALSE)," ")</f>
        <v xml:space="preserve"> </v>
      </c>
      <c r="U104" s="83" t="str">
        <f>IFERROR(VLOOKUP($A104,'The List'!$B1:$AS665,28,FALSE)," ")</f>
        <v xml:space="preserve"> </v>
      </c>
      <c r="V104" s="83" t="str">
        <f>IFERROR(VLOOKUP($A104,'The List'!$B1:$AS665,29,FALSE)," ")</f>
        <v xml:space="preserve"> </v>
      </c>
      <c r="W104" s="83" t="str">
        <f>IFERROR(VLOOKUP($A104,'The List'!$B1:$AS665,30,FALSE)," ")</f>
        <v xml:space="preserve"> </v>
      </c>
      <c r="X104" s="83" t="str">
        <f>IFERROR(VLOOKUP($A104,'The List'!$B1:$AS665,31,FALSE)," ")</f>
        <v xml:space="preserve"> </v>
      </c>
      <c r="Y104" s="83" t="str">
        <f>IFERROR(VLOOKUP($A104,'The List'!$B1:$AS665,32,FALSE)," ")</f>
        <v xml:space="preserve"> </v>
      </c>
      <c r="Z104" s="83" t="str">
        <f>IFERROR(VLOOKUP($A104,'The List'!$B1:$AS665,33,FALSE)," ")</f>
        <v xml:space="preserve"> </v>
      </c>
      <c r="AA104" s="86"/>
      <c r="AB104" s="91"/>
      <c r="AC104" s="91"/>
      <c r="AD104" s="91"/>
      <c r="AE104" s="91"/>
      <c r="AF104" s="91"/>
    </row>
    <row r="105" spans="1:32" ht="21.25" customHeight="1" x14ac:dyDescent="0.15">
      <c r="A105" s="23"/>
      <c r="B105" s="100" t="str">
        <f>IFERROR(VLOOKUP($A105,'The List'!$B1:$AS665,3,FALSE)," ")</f>
        <v xml:space="preserve"> </v>
      </c>
      <c r="C105" s="102" t="str">
        <f>IFERROR(VLOOKUP($A105,'The List'!$B1:$AS665,4,FALSE)," ")</f>
        <v xml:space="preserve"> </v>
      </c>
      <c r="D105" s="65" t="str">
        <f>IFERROR(VLOOKUP($A105,'The List'!$B1:$AS665,5,FALSE)," ")</f>
        <v xml:space="preserve"> </v>
      </c>
      <c r="E105" s="65" t="str">
        <f>IFERROR(VLOOKUP($A105,'The List'!$B1:$AS665,6,FALSE)," ")</f>
        <v xml:space="preserve"> </v>
      </c>
      <c r="F105" s="93" t="str">
        <f>IFERROR(VLOOKUP($A105,'The List'!$B1:$AS665,8,FALSE)," ")</f>
        <v xml:space="preserve"> </v>
      </c>
      <c r="G105" s="93" t="str">
        <f>IFERROR(VLOOKUP($A105,'The List'!$B1:$AS665,10,FALSE)," ")</f>
        <v xml:space="preserve"> </v>
      </c>
      <c r="H105" s="54"/>
      <c r="I105" s="83" t="str">
        <f>IFERROR(VLOOKUP($A105,'The List'!$B1:$AS665,16,FALSE)," ")</f>
        <v xml:space="preserve"> </v>
      </c>
      <c r="J105" s="83" t="str">
        <f>IFERROR(VLOOKUP($A105,'The List'!$B1:$AS665,17,FALSE)," ")</f>
        <v xml:space="preserve"> </v>
      </c>
      <c r="K105" s="83" t="str">
        <f>IFERROR(VLOOKUP($A105,'The List'!$B1:$AS665,18,FALSE)," ")</f>
        <v xml:space="preserve"> </v>
      </c>
      <c r="L105" s="83" t="str">
        <f>IFERROR(VLOOKUP($A105,'The List'!$B1:$AS665,19,FALSE)," ")</f>
        <v xml:space="preserve"> </v>
      </c>
      <c r="M105" s="83" t="str">
        <f>IFERROR(VLOOKUP($A105,'The List'!$B1:$AS665,20,FALSE)," ")</f>
        <v xml:space="preserve"> </v>
      </c>
      <c r="N105" s="83" t="str">
        <f>IFERROR(VLOOKUP($A105,'The List'!$B1:$AS665,21,FALSE)," ")</f>
        <v xml:space="preserve"> </v>
      </c>
      <c r="O105" s="83" t="str">
        <f>IFERROR(VLOOKUP($A105,'The List'!$B1:$AS665,22,FALSE)," ")</f>
        <v xml:space="preserve"> </v>
      </c>
      <c r="P105" s="83" t="str">
        <f>IFERROR(VLOOKUP($A105,'The List'!$B1:$AS665,23,FALSE)," ")</f>
        <v xml:space="preserve"> </v>
      </c>
      <c r="Q105" s="83" t="str">
        <f>IFERROR(VLOOKUP($A105,'The List'!$B1:$AS665,24,FALSE)," ")</f>
        <v xml:space="preserve"> </v>
      </c>
      <c r="R105" s="83" t="str">
        <f>IFERROR(VLOOKUP($A105,'The List'!$B1:$AS665,25,FALSE)," ")</f>
        <v xml:space="preserve"> </v>
      </c>
      <c r="S105" s="83" t="str">
        <f>IFERROR(VLOOKUP($A105,'The List'!$B1:$AS665,26,FALSE)," ")</f>
        <v xml:space="preserve"> </v>
      </c>
      <c r="T105" s="83" t="str">
        <f>IFERROR(VLOOKUP($A105,'The List'!$B1:$AS665,27,FALSE)," ")</f>
        <v xml:space="preserve"> </v>
      </c>
      <c r="U105" s="83" t="str">
        <f>IFERROR(VLOOKUP($A105,'The List'!$B1:$AS665,28,FALSE)," ")</f>
        <v xml:space="preserve"> </v>
      </c>
      <c r="V105" s="83" t="str">
        <f>IFERROR(VLOOKUP($A105,'The List'!$B1:$AS665,29,FALSE)," ")</f>
        <v xml:space="preserve"> </v>
      </c>
      <c r="W105" s="83" t="str">
        <f>IFERROR(VLOOKUP($A105,'The List'!$B1:$AS665,30,FALSE)," ")</f>
        <v xml:space="preserve"> </v>
      </c>
      <c r="X105" s="83" t="str">
        <f>IFERROR(VLOOKUP($A105,'The List'!$B1:$AS665,31,FALSE)," ")</f>
        <v xml:space="preserve"> </v>
      </c>
      <c r="Y105" s="83" t="str">
        <f>IFERROR(VLOOKUP($A105,'The List'!$B1:$AS665,32,FALSE)," ")</f>
        <v xml:space="preserve"> </v>
      </c>
      <c r="Z105" s="83" t="str">
        <f>IFERROR(VLOOKUP($A105,'The List'!$B1:$AS665,33,FALSE)," ")</f>
        <v xml:space="preserve"> </v>
      </c>
      <c r="AA105" s="86"/>
      <c r="AB105" s="91"/>
      <c r="AC105" s="91"/>
      <c r="AD105" s="91"/>
      <c r="AE105" s="91"/>
      <c r="AF105" s="91"/>
    </row>
    <row r="106" spans="1:32" ht="21.25" customHeight="1" x14ac:dyDescent="0.15">
      <c r="A106" s="23"/>
      <c r="B106" s="100" t="str">
        <f>IFERROR(VLOOKUP($A106,'The List'!$B1:$AS665,3,FALSE)," ")</f>
        <v xml:space="preserve"> </v>
      </c>
      <c r="C106" s="102" t="str">
        <f>IFERROR(VLOOKUP($A106,'The List'!$B1:$AS665,4,FALSE)," ")</f>
        <v xml:space="preserve"> </v>
      </c>
      <c r="D106" s="65" t="str">
        <f>IFERROR(VLOOKUP($A106,'The List'!$B1:$AS665,5,FALSE)," ")</f>
        <v xml:space="preserve"> </v>
      </c>
      <c r="E106" s="65" t="str">
        <f>IFERROR(VLOOKUP($A106,'The List'!$B1:$AS665,6,FALSE)," ")</f>
        <v xml:space="preserve"> </v>
      </c>
      <c r="F106" s="93" t="str">
        <f>IFERROR(VLOOKUP($A106,'The List'!$B1:$AS665,8,FALSE)," ")</f>
        <v xml:space="preserve"> </v>
      </c>
      <c r="G106" s="93" t="str">
        <f>IFERROR(VLOOKUP($A106,'The List'!$B1:$AS665,10,FALSE)," ")</f>
        <v xml:space="preserve"> </v>
      </c>
      <c r="H106" s="54"/>
      <c r="I106" s="83" t="str">
        <f>IFERROR(VLOOKUP($A106,'The List'!$B1:$AS665,16,FALSE)," ")</f>
        <v xml:space="preserve"> </v>
      </c>
      <c r="J106" s="83" t="str">
        <f>IFERROR(VLOOKUP($A106,'The List'!$B1:$AS665,17,FALSE)," ")</f>
        <v xml:space="preserve"> </v>
      </c>
      <c r="K106" s="83" t="str">
        <f>IFERROR(VLOOKUP($A106,'The List'!$B1:$AS665,18,FALSE)," ")</f>
        <v xml:space="preserve"> </v>
      </c>
      <c r="L106" s="83" t="str">
        <f>IFERROR(VLOOKUP($A106,'The List'!$B1:$AS665,19,FALSE)," ")</f>
        <v xml:space="preserve"> </v>
      </c>
      <c r="M106" s="83" t="str">
        <f>IFERROR(VLOOKUP($A106,'The List'!$B1:$AS665,20,FALSE)," ")</f>
        <v xml:space="preserve"> </v>
      </c>
      <c r="N106" s="83" t="str">
        <f>IFERROR(VLOOKUP($A106,'The List'!$B1:$AS665,21,FALSE)," ")</f>
        <v xml:space="preserve"> </v>
      </c>
      <c r="O106" s="83" t="str">
        <f>IFERROR(VLOOKUP($A106,'The List'!$B1:$AS665,22,FALSE)," ")</f>
        <v xml:space="preserve"> </v>
      </c>
      <c r="P106" s="83" t="str">
        <f>IFERROR(VLOOKUP($A106,'The List'!$B1:$AS665,23,FALSE)," ")</f>
        <v xml:space="preserve"> </v>
      </c>
      <c r="Q106" s="83" t="str">
        <f>IFERROR(VLOOKUP($A106,'The List'!$B1:$AS665,24,FALSE)," ")</f>
        <v xml:space="preserve"> </v>
      </c>
      <c r="R106" s="83" t="str">
        <f>IFERROR(VLOOKUP($A106,'The List'!$B1:$AS665,25,FALSE)," ")</f>
        <v xml:space="preserve"> </v>
      </c>
      <c r="S106" s="83" t="str">
        <f>IFERROR(VLOOKUP($A106,'The List'!$B1:$AS665,26,FALSE)," ")</f>
        <v xml:space="preserve"> </v>
      </c>
      <c r="T106" s="83" t="str">
        <f>IFERROR(VLOOKUP($A106,'The List'!$B1:$AS665,27,FALSE)," ")</f>
        <v xml:space="preserve"> </v>
      </c>
      <c r="U106" s="83" t="str">
        <f>IFERROR(VLOOKUP($A106,'The List'!$B1:$AS665,28,FALSE)," ")</f>
        <v xml:space="preserve"> </v>
      </c>
      <c r="V106" s="83" t="str">
        <f>IFERROR(VLOOKUP($A106,'The List'!$B1:$AS665,29,FALSE)," ")</f>
        <v xml:space="preserve"> </v>
      </c>
      <c r="W106" s="83" t="str">
        <f>IFERROR(VLOOKUP($A106,'The List'!$B1:$AS665,30,FALSE)," ")</f>
        <v xml:space="preserve"> </v>
      </c>
      <c r="X106" s="83" t="str">
        <f>IFERROR(VLOOKUP($A106,'The List'!$B1:$AS665,31,FALSE)," ")</f>
        <v xml:space="preserve"> </v>
      </c>
      <c r="Y106" s="83" t="str">
        <f>IFERROR(VLOOKUP($A106,'The List'!$B1:$AS665,32,FALSE)," ")</f>
        <v xml:space="preserve"> </v>
      </c>
      <c r="Z106" s="83" t="str">
        <f>IFERROR(VLOOKUP($A106,'The List'!$B1:$AS665,33,FALSE)," ")</f>
        <v xml:space="preserve"> </v>
      </c>
      <c r="AA106" s="86"/>
      <c r="AB106" s="91"/>
      <c r="AC106" s="91"/>
      <c r="AD106" s="91"/>
      <c r="AE106" s="91"/>
      <c r="AF106" s="91"/>
    </row>
    <row r="107" spans="1:32" ht="21.25" customHeight="1" x14ac:dyDescent="0.15">
      <c r="A107" s="23"/>
      <c r="B107" s="100" t="str">
        <f>IFERROR(VLOOKUP($A107,'The List'!$B1:$AS665,3,FALSE)," ")</f>
        <v xml:space="preserve"> </v>
      </c>
      <c r="C107" s="102" t="str">
        <f>IFERROR(VLOOKUP($A107,'The List'!$B1:$AS665,4,FALSE)," ")</f>
        <v xml:space="preserve"> </v>
      </c>
      <c r="D107" s="65" t="str">
        <f>IFERROR(VLOOKUP($A107,'The List'!$B1:$AS665,5,FALSE)," ")</f>
        <v xml:space="preserve"> </v>
      </c>
      <c r="E107" s="65" t="str">
        <f>IFERROR(VLOOKUP($A107,'The List'!$B1:$AS665,6,FALSE)," ")</f>
        <v xml:space="preserve"> </v>
      </c>
      <c r="F107" s="93" t="str">
        <f>IFERROR(VLOOKUP($A107,'The List'!$B1:$AS665,8,FALSE)," ")</f>
        <v xml:space="preserve"> </v>
      </c>
      <c r="G107" s="93" t="str">
        <f>IFERROR(VLOOKUP($A107,'The List'!$B1:$AS665,10,FALSE)," ")</f>
        <v xml:space="preserve"> </v>
      </c>
      <c r="H107" s="54"/>
      <c r="I107" s="83" t="str">
        <f>IFERROR(VLOOKUP($A107,'The List'!$B1:$AS665,16,FALSE)," ")</f>
        <v xml:space="preserve"> </v>
      </c>
      <c r="J107" s="83" t="str">
        <f>IFERROR(VLOOKUP($A107,'The List'!$B1:$AS665,17,FALSE)," ")</f>
        <v xml:space="preserve"> </v>
      </c>
      <c r="K107" s="83" t="str">
        <f>IFERROR(VLOOKUP($A107,'The List'!$B1:$AS665,18,FALSE)," ")</f>
        <v xml:space="preserve"> </v>
      </c>
      <c r="L107" s="83" t="str">
        <f>IFERROR(VLOOKUP($A107,'The List'!$B1:$AS665,19,FALSE)," ")</f>
        <v xml:space="preserve"> </v>
      </c>
      <c r="M107" s="83" t="str">
        <f>IFERROR(VLOOKUP($A107,'The List'!$B1:$AS665,20,FALSE)," ")</f>
        <v xml:space="preserve"> </v>
      </c>
      <c r="N107" s="83" t="str">
        <f>IFERROR(VLOOKUP($A107,'The List'!$B1:$AS665,21,FALSE)," ")</f>
        <v xml:space="preserve"> </v>
      </c>
      <c r="O107" s="83" t="str">
        <f>IFERROR(VLOOKUP($A107,'The List'!$B1:$AS665,22,FALSE)," ")</f>
        <v xml:space="preserve"> </v>
      </c>
      <c r="P107" s="83" t="str">
        <f>IFERROR(VLOOKUP($A107,'The List'!$B1:$AS665,23,FALSE)," ")</f>
        <v xml:space="preserve"> </v>
      </c>
      <c r="Q107" s="83" t="str">
        <f>IFERROR(VLOOKUP($A107,'The List'!$B1:$AS665,24,FALSE)," ")</f>
        <v xml:space="preserve"> </v>
      </c>
      <c r="R107" s="83" t="str">
        <f>IFERROR(VLOOKUP($A107,'The List'!$B1:$AS665,25,FALSE)," ")</f>
        <v xml:space="preserve"> </v>
      </c>
      <c r="S107" s="83" t="str">
        <f>IFERROR(VLOOKUP($A107,'The List'!$B1:$AS665,26,FALSE)," ")</f>
        <v xml:space="preserve"> </v>
      </c>
      <c r="T107" s="83" t="str">
        <f>IFERROR(VLOOKUP($A107,'The List'!$B1:$AS665,27,FALSE)," ")</f>
        <v xml:space="preserve"> </v>
      </c>
      <c r="U107" s="83" t="str">
        <f>IFERROR(VLOOKUP($A107,'The List'!$B1:$AS665,28,FALSE)," ")</f>
        <v xml:space="preserve"> </v>
      </c>
      <c r="V107" s="83" t="str">
        <f>IFERROR(VLOOKUP($A107,'The List'!$B1:$AS665,29,FALSE)," ")</f>
        <v xml:space="preserve"> </v>
      </c>
      <c r="W107" s="83" t="str">
        <f>IFERROR(VLOOKUP($A107,'The List'!$B1:$AS665,30,FALSE)," ")</f>
        <v xml:space="preserve"> </v>
      </c>
      <c r="X107" s="83" t="str">
        <f>IFERROR(VLOOKUP($A107,'The List'!$B1:$AS665,31,FALSE)," ")</f>
        <v xml:space="preserve"> </v>
      </c>
      <c r="Y107" s="83" t="str">
        <f>IFERROR(VLOOKUP($A107,'The List'!$B1:$AS665,32,FALSE)," ")</f>
        <v xml:space="preserve"> </v>
      </c>
      <c r="Z107" s="83" t="str">
        <f>IFERROR(VLOOKUP($A107,'The List'!$B1:$AS665,33,FALSE)," ")</f>
        <v xml:space="preserve"> </v>
      </c>
      <c r="AA107" s="86"/>
      <c r="AB107" s="91"/>
      <c r="AC107" s="91"/>
      <c r="AD107" s="91"/>
      <c r="AE107" s="91"/>
      <c r="AF107" s="91"/>
    </row>
    <row r="108" spans="1:32" ht="21.25" customHeight="1" x14ac:dyDescent="0.15">
      <c r="A108" s="104"/>
      <c r="B108" s="105" t="str">
        <f>IFERROR(VLOOKUP($A108,'The List'!$B1:$AS665,3,FALSE)," ")</f>
        <v xml:space="preserve"> </v>
      </c>
      <c r="C108" s="106" t="str">
        <f>IFERROR(VLOOKUP($A108,'The List'!$B1:$AS665,4,FALSE)," ")</f>
        <v xml:space="preserve"> </v>
      </c>
      <c r="D108" s="107" t="str">
        <f>IFERROR(VLOOKUP($A108,'The List'!$B1:$AS665,5,FALSE)," ")</f>
        <v xml:space="preserve"> </v>
      </c>
      <c r="E108" s="107" t="str">
        <f>IFERROR(VLOOKUP($A108,'The List'!$B1:$AS665,6,FALSE)," ")</f>
        <v xml:space="preserve"> </v>
      </c>
      <c r="F108" s="108" t="str">
        <f>IFERROR(VLOOKUP($A108,'The List'!$B1:$AS665,8,FALSE)," ")</f>
        <v xml:space="preserve"> </v>
      </c>
      <c r="G108" s="108" t="str">
        <f>IFERROR(VLOOKUP($A108,'The List'!$B1:$AS665,10,FALSE)," ")</f>
        <v xml:space="preserve"> </v>
      </c>
      <c r="H108" s="109"/>
      <c r="I108" s="110" t="str">
        <f>IFERROR(VLOOKUP($A108,'The List'!$B1:$AS665,16,FALSE)," ")</f>
        <v xml:space="preserve"> </v>
      </c>
      <c r="J108" s="110" t="str">
        <f>IFERROR(VLOOKUP($A108,'The List'!$B1:$AS665,17,FALSE)," ")</f>
        <v xml:space="preserve"> </v>
      </c>
      <c r="K108" s="110" t="str">
        <f>IFERROR(VLOOKUP($A108,'The List'!$B1:$AS665,18,FALSE)," ")</f>
        <v xml:space="preserve"> </v>
      </c>
      <c r="L108" s="110" t="str">
        <f>IFERROR(VLOOKUP($A108,'The List'!$B1:$AS665,19,FALSE)," ")</f>
        <v xml:space="preserve"> </v>
      </c>
      <c r="M108" s="110" t="str">
        <f>IFERROR(VLOOKUP($A108,'The List'!$B1:$AS665,20,FALSE)," ")</f>
        <v xml:space="preserve"> </v>
      </c>
      <c r="N108" s="110" t="str">
        <f>IFERROR(VLOOKUP($A108,'The List'!$B1:$AS665,21,FALSE)," ")</f>
        <v xml:space="preserve"> </v>
      </c>
      <c r="O108" s="110" t="str">
        <f>IFERROR(VLOOKUP($A108,'The List'!$B1:$AS665,22,FALSE)," ")</f>
        <v xml:space="preserve"> </v>
      </c>
      <c r="P108" s="110" t="str">
        <f>IFERROR(VLOOKUP($A108,'The List'!$B1:$AS665,23,FALSE)," ")</f>
        <v xml:space="preserve"> </v>
      </c>
      <c r="Q108" s="110" t="str">
        <f>IFERROR(VLOOKUP($A108,'The List'!$B1:$AS665,24,FALSE)," ")</f>
        <v xml:space="preserve"> </v>
      </c>
      <c r="R108" s="110" t="str">
        <f>IFERROR(VLOOKUP($A108,'The List'!$B1:$AS665,25,FALSE)," ")</f>
        <v xml:space="preserve"> </v>
      </c>
      <c r="S108" s="110" t="str">
        <f>IFERROR(VLOOKUP($A108,'The List'!$B1:$AS665,26,FALSE)," ")</f>
        <v xml:space="preserve"> </v>
      </c>
      <c r="T108" s="110" t="str">
        <f>IFERROR(VLOOKUP($A108,'The List'!$B1:$AS665,27,FALSE)," ")</f>
        <v xml:space="preserve"> </v>
      </c>
      <c r="U108" s="110" t="str">
        <f>IFERROR(VLOOKUP($A108,'The List'!$B1:$AS665,28,FALSE)," ")</f>
        <v xml:space="preserve"> </v>
      </c>
      <c r="V108" s="110" t="str">
        <f>IFERROR(VLOOKUP($A108,'The List'!$B1:$AS665,29,FALSE)," ")</f>
        <v xml:space="preserve"> </v>
      </c>
      <c r="W108" s="110" t="str">
        <f>IFERROR(VLOOKUP($A108,'The List'!$B1:$AS665,30,FALSE)," ")</f>
        <v xml:space="preserve"> </v>
      </c>
      <c r="X108" s="110" t="str">
        <f>IFERROR(VLOOKUP($A108,'The List'!$B1:$AS665,31,FALSE)," ")</f>
        <v xml:space="preserve"> </v>
      </c>
      <c r="Y108" s="110" t="str">
        <f>IFERROR(VLOOKUP($A108,'The List'!$B1:$AS665,32,FALSE)," ")</f>
        <v xml:space="preserve"> </v>
      </c>
      <c r="Z108" s="110" t="str">
        <f>IFERROR(VLOOKUP($A108,'The List'!$B1:$AS665,33,FALSE)," ")</f>
        <v xml:space="preserve"> </v>
      </c>
      <c r="AA108" s="86"/>
      <c r="AB108" s="91"/>
      <c r="AC108" s="91"/>
      <c r="AD108" s="91"/>
      <c r="AE108" s="91"/>
      <c r="AF108" s="91"/>
    </row>
    <row r="109" spans="1:32" ht="21.25" customHeight="1" x14ac:dyDescent="0.15">
      <c r="A109" s="111"/>
      <c r="B109" s="112"/>
      <c r="C109" s="113"/>
      <c r="D109" s="114"/>
      <c r="E109" s="146" t="str">
        <f>IFERROR(AVERAGE(E89:E108)," ")</f>
        <v xml:space="preserve"> </v>
      </c>
      <c r="F109" s="116">
        <f>SUM(F89:F108)</f>
        <v>0</v>
      </c>
      <c r="G109" s="116">
        <f>SUM(G89:G108)</f>
        <v>0</v>
      </c>
      <c r="H109" s="117"/>
      <c r="I109" s="118">
        <f>SUM(I89:I108)</f>
        <v>0</v>
      </c>
      <c r="J109" s="117" t="e">
        <f>AVERAGE(J89:J108)</f>
        <v>#DIV/0!</v>
      </c>
      <c r="K109" s="118">
        <f t="shared" ref="K109:Y109" si="6">SUM(K89:K108)</f>
        <v>0</v>
      </c>
      <c r="L109" s="118">
        <f t="shared" si="6"/>
        <v>0</v>
      </c>
      <c r="M109" s="118">
        <f t="shared" si="6"/>
        <v>0</v>
      </c>
      <c r="N109" s="118">
        <f t="shared" si="6"/>
        <v>0</v>
      </c>
      <c r="O109" s="118">
        <f t="shared" si="6"/>
        <v>0</v>
      </c>
      <c r="P109" s="118">
        <f t="shared" si="6"/>
        <v>0</v>
      </c>
      <c r="Q109" s="118">
        <f t="shared" si="6"/>
        <v>0</v>
      </c>
      <c r="R109" s="118">
        <f t="shared" si="6"/>
        <v>0</v>
      </c>
      <c r="S109" s="118">
        <f t="shared" si="6"/>
        <v>0</v>
      </c>
      <c r="T109" s="118">
        <f t="shared" si="6"/>
        <v>0</v>
      </c>
      <c r="U109" s="118">
        <f t="shared" si="6"/>
        <v>0</v>
      </c>
      <c r="V109" s="118">
        <f t="shared" si="6"/>
        <v>0</v>
      </c>
      <c r="W109" s="118">
        <f t="shared" si="6"/>
        <v>0</v>
      </c>
      <c r="X109" s="118">
        <f t="shared" si="6"/>
        <v>0</v>
      </c>
      <c r="Y109" s="118">
        <f t="shared" si="6"/>
        <v>0</v>
      </c>
      <c r="Z109" s="119">
        <f>IFERROR(X109/(X109+Y109),0)</f>
        <v>0</v>
      </c>
      <c r="AA109" s="86"/>
      <c r="AB109" s="120"/>
      <c r="AC109" s="120"/>
      <c r="AD109" s="120"/>
      <c r="AE109" s="120"/>
      <c r="AF109" s="120"/>
    </row>
    <row r="110" spans="1:32" ht="21.25" customHeight="1" x14ac:dyDescent="0.15">
      <c r="A110" s="34"/>
      <c r="B110" s="121"/>
      <c r="C110" s="122"/>
      <c r="D110" s="12"/>
      <c r="E110" s="12"/>
      <c r="F110" s="123"/>
      <c r="G110" s="124"/>
      <c r="H110" s="125"/>
      <c r="I110" s="12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91"/>
      <c r="AC110" s="91"/>
      <c r="AD110" s="91"/>
      <c r="AE110" s="91"/>
      <c r="AF110" s="91"/>
    </row>
    <row r="111" spans="1:32" ht="21.25" customHeight="1" x14ac:dyDescent="0.15">
      <c r="A111" s="37" t="s">
        <v>89</v>
      </c>
      <c r="B111" s="205" t="s">
        <v>91</v>
      </c>
      <c r="C111" s="195"/>
      <c r="D111" s="40" t="s">
        <v>92</v>
      </c>
      <c r="E111" s="40" t="s">
        <v>93</v>
      </c>
      <c r="F111" s="127" t="s">
        <v>95</v>
      </c>
      <c r="G111" s="127" t="s">
        <v>97</v>
      </c>
      <c r="H111" s="128"/>
      <c r="I111" s="129" t="s">
        <v>102</v>
      </c>
      <c r="J111" s="129" t="s">
        <v>118</v>
      </c>
      <c r="K111" s="129" t="s">
        <v>119</v>
      </c>
      <c r="L111" s="129" t="s">
        <v>120</v>
      </c>
      <c r="M111" s="129" t="s">
        <v>121</v>
      </c>
      <c r="N111" s="129" t="s">
        <v>122</v>
      </c>
      <c r="O111" s="129" t="s">
        <v>123</v>
      </c>
      <c r="P111" s="129" t="s">
        <v>124</v>
      </c>
      <c r="Q111" s="129" t="s">
        <v>125</v>
      </c>
      <c r="R111" s="86"/>
      <c r="S111" s="86"/>
      <c r="T111" s="86"/>
      <c r="U111" s="205" t="s">
        <v>809</v>
      </c>
      <c r="V111" s="206"/>
      <c r="W111" s="206"/>
      <c r="X111" s="205" t="s">
        <v>810</v>
      </c>
      <c r="Y111" s="206"/>
      <c r="Z111" s="206"/>
      <c r="AA111" s="86"/>
      <c r="AB111" s="86"/>
      <c r="AC111" s="86"/>
      <c r="AD111" s="86"/>
      <c r="AE111" s="86"/>
      <c r="AF111" s="86"/>
    </row>
    <row r="112" spans="1:32" ht="21.25" customHeight="1" x14ac:dyDescent="0.15">
      <c r="A112" s="147"/>
      <c r="B112" s="131" t="str">
        <f>IFERROR(VLOOKUP($A112,'The List'!$B1:$AS665,3,FALSE)," ")</f>
        <v xml:space="preserve"> </v>
      </c>
      <c r="C112" s="148" t="str">
        <f>IFERROR(VLOOKUP($A112,'The List'!$B1:$AS665,4,FALSE)," ")</f>
        <v xml:space="preserve"> </v>
      </c>
      <c r="D112" s="49" t="str">
        <f>IFERROR(VLOOKUP($A112,'The List'!$B1:$AS665,5,FALSE)," ")</f>
        <v xml:space="preserve"> </v>
      </c>
      <c r="E112" s="49" t="str">
        <f>IFERROR(VLOOKUP($A112,'The List'!$B1:$AS665,6,FALSE)," ")</f>
        <v xml:space="preserve"> </v>
      </c>
      <c r="F112" s="149" t="str">
        <f>IFERROR(VLOOKUP($A112,'The List'!$B1:$AS665,8,FALSE)," ")</f>
        <v xml:space="preserve"> </v>
      </c>
      <c r="G112" s="149" t="str">
        <f>IFERROR(VLOOKUP($A112,'The List'!$B1:$AS665,10,FALSE)," ")</f>
        <v xml:space="preserve"> </v>
      </c>
      <c r="H112" s="135"/>
      <c r="I112" s="150" t="str">
        <f>IFERROR(VLOOKUP($A112,'The List'!$B1:$AS665,35,FALSE)," ")</f>
        <v xml:space="preserve"> </v>
      </c>
      <c r="J112" s="150" t="str">
        <f>IFERROR(VLOOKUP($A112,'The List'!$B1:$AS665,36,FALSE)," ")</f>
        <v xml:space="preserve"> </v>
      </c>
      <c r="K112" s="150" t="str">
        <f>IFERROR(VLOOKUP($A112,'The List'!$B1:$AS665,37,FALSE)," ")</f>
        <v xml:space="preserve"> </v>
      </c>
      <c r="L112" s="150" t="str">
        <f>IFERROR(VLOOKUP($A112,'The List'!$B1:$AS665,38,FALSE)," ")</f>
        <v xml:space="preserve"> </v>
      </c>
      <c r="M112" s="150" t="str">
        <f>IFERROR(VLOOKUP($A112,'The List'!$B1:$AS665,39,FALSE)," ")</f>
        <v xml:space="preserve"> </v>
      </c>
      <c r="N112" s="150" t="str">
        <f>IFERROR(VLOOKUP($A112,'The List'!$B1:$AS665,40,FALSE)," ")</f>
        <v xml:space="preserve"> </v>
      </c>
      <c r="O112" s="150" t="str">
        <f>IFERROR(VLOOKUP($A112,'The List'!$B1:$AS665,41,FALSE)," ")</f>
        <v xml:space="preserve"> </v>
      </c>
      <c r="P112" s="150" t="str">
        <f>IFERROR(VLOOKUP($A112,'The List'!$B1:$AS665,42,FALSE)," ")</f>
        <v xml:space="preserve"> </v>
      </c>
      <c r="Q112" s="150" t="str">
        <f>IFERROR(VLOOKUP($A112,'The List'!$B1:$AS665,43,FALSE)," ")</f>
        <v xml:space="preserve"> </v>
      </c>
      <c r="R112" s="86"/>
      <c r="S112" s="86"/>
      <c r="T112" s="139" t="str">
        <f>A88</f>
        <v>TEAM 4</v>
      </c>
      <c r="U112" s="207">
        <f>F109+F115</f>
        <v>0</v>
      </c>
      <c r="V112" s="195"/>
      <c r="W112" s="195"/>
      <c r="X112" s="207">
        <f>G115+G109</f>
        <v>0</v>
      </c>
      <c r="Y112" s="195"/>
      <c r="Z112" s="195"/>
      <c r="AA112" s="86"/>
      <c r="AB112" s="86"/>
      <c r="AC112" s="86"/>
      <c r="AD112" s="86"/>
      <c r="AE112" s="86"/>
      <c r="AF112" s="86"/>
    </row>
    <row r="113" spans="1:32" ht="21.25" customHeight="1" x14ac:dyDescent="0.15">
      <c r="A113" s="23"/>
      <c r="B113" s="140" t="str">
        <f>IFERROR(VLOOKUP($A113,'The List'!$B1:$AS665,3,FALSE)," ")</f>
        <v xml:space="preserve"> </v>
      </c>
      <c r="C113" s="141" t="str">
        <f>IFERROR(VLOOKUP($A113,'The List'!$B1:$AS665,4,FALSE)," ")</f>
        <v xml:space="preserve"> </v>
      </c>
      <c r="D113" s="65" t="str">
        <f>IFERROR(VLOOKUP($A113,'The List'!$B1:$AS665,5,FALSE)," ")</f>
        <v xml:space="preserve"> </v>
      </c>
      <c r="E113" s="65" t="str">
        <f>IFERROR(VLOOKUP($A113,'The List'!$B1:$AS665,6,FALSE)," ")</f>
        <v xml:space="preserve"> </v>
      </c>
      <c r="F113" s="93" t="str">
        <f>IFERROR(VLOOKUP($A113,'The List'!$B1:$AS665,8,FALSE)," ")</f>
        <v xml:space="preserve"> </v>
      </c>
      <c r="G113" s="93" t="str">
        <f>IFERROR(VLOOKUP($A113,'The List'!$B1:$AS665,10,FALSE)," ")</f>
        <v xml:space="preserve"> </v>
      </c>
      <c r="H113" s="54"/>
      <c r="I113" s="83" t="str">
        <f>IFERROR(VLOOKUP($A113,'The List'!$B1:$AS665,35,FALSE)," ")</f>
        <v xml:space="preserve"> </v>
      </c>
      <c r="J113" s="83" t="str">
        <f>IFERROR(VLOOKUP($A113,'The List'!$B1:$AS665,36,FALSE)," ")</f>
        <v xml:space="preserve"> </v>
      </c>
      <c r="K113" s="83" t="str">
        <f>IFERROR(VLOOKUP($A113,'The List'!$B1:$AS665,37,FALSE)," ")</f>
        <v xml:space="preserve"> </v>
      </c>
      <c r="L113" s="83" t="str">
        <f>IFERROR(VLOOKUP($A113,'The List'!$B1:$AS665,38,FALSE)," ")</f>
        <v xml:space="preserve"> </v>
      </c>
      <c r="M113" s="83" t="str">
        <f>IFERROR(VLOOKUP($A113,'The List'!$B1:$AS665,39,FALSE)," ")</f>
        <v xml:space="preserve"> </v>
      </c>
      <c r="N113" s="83" t="str">
        <f>IFERROR(VLOOKUP($A113,'The List'!$B1:$AS665,40,FALSE)," ")</f>
        <v xml:space="preserve"> </v>
      </c>
      <c r="O113" s="83" t="str">
        <f>IFERROR(VLOOKUP($A113,'The List'!$B1:$AS665,41,FALSE)," ")</f>
        <v xml:space="preserve"> </v>
      </c>
      <c r="P113" s="83" t="str">
        <f>IFERROR(VLOOKUP($A113,'The List'!$B1:$AS665,42,FALSE)," ")</f>
        <v xml:space="preserve"> </v>
      </c>
      <c r="Q113" s="83" t="str">
        <f>IFERROR(VLOOKUP($A113,'The List'!$B1:$AS665,43,FALSE)," ")</f>
        <v xml:space="preserve"> </v>
      </c>
      <c r="R113" s="86"/>
      <c r="S113" s="86"/>
      <c r="T113" s="86"/>
      <c r="U113" s="195"/>
      <c r="V113" s="195"/>
      <c r="W113" s="195"/>
      <c r="X113" s="195"/>
      <c r="Y113" s="195"/>
      <c r="Z113" s="195"/>
      <c r="AA113" s="86"/>
      <c r="AB113" s="86"/>
      <c r="AC113" s="86"/>
      <c r="AD113" s="86"/>
      <c r="AE113" s="86"/>
      <c r="AF113" s="86"/>
    </row>
    <row r="114" spans="1:32" ht="21.25" customHeight="1" x14ac:dyDescent="0.15">
      <c r="A114" s="104"/>
      <c r="B114" s="142" t="str">
        <f>IFERROR(VLOOKUP($A114,'The List'!$B1:$AS665,3,FALSE)," ")</f>
        <v xml:space="preserve"> </v>
      </c>
      <c r="C114" s="143" t="str">
        <f>IFERROR(VLOOKUP($A114,'The List'!$B1:$AS665,4,FALSE)," ")</f>
        <v xml:space="preserve"> </v>
      </c>
      <c r="D114" s="107" t="str">
        <f>IFERROR(VLOOKUP($A114,'The List'!$B1:$AS665,5,FALSE)," ")</f>
        <v xml:space="preserve"> </v>
      </c>
      <c r="E114" s="107" t="str">
        <f>IFERROR(VLOOKUP($A114,'The List'!$B1:$AS665,6,FALSE)," ")</f>
        <v xml:space="preserve"> </v>
      </c>
      <c r="F114" s="108" t="str">
        <f>IFERROR(VLOOKUP($A114,'The List'!$B1:$AS665,8,FALSE)," ")</f>
        <v xml:space="preserve"> </v>
      </c>
      <c r="G114" s="108" t="str">
        <f>IFERROR(VLOOKUP($A114,'The List'!$B1:$AS665,10,FALSE)," ")</f>
        <v xml:space="preserve"> </v>
      </c>
      <c r="H114" s="109"/>
      <c r="I114" s="110" t="str">
        <f>IFERROR(VLOOKUP($A114,'The List'!$B1:$AS665,35,FALSE)," ")</f>
        <v xml:space="preserve"> </v>
      </c>
      <c r="J114" s="110" t="str">
        <f>IFERROR(VLOOKUP($A114,'The List'!$B1:$AS665,36,FALSE)," ")</f>
        <v xml:space="preserve"> </v>
      </c>
      <c r="K114" s="110" t="str">
        <f>IFERROR(VLOOKUP($A114,'The List'!$B1:$AS665,37,FALSE)," ")</f>
        <v xml:space="preserve"> </v>
      </c>
      <c r="L114" s="110" t="str">
        <f>IFERROR(VLOOKUP($A114,'The List'!$B1:$AS665,38,FALSE)," ")</f>
        <v xml:space="preserve"> </v>
      </c>
      <c r="M114" s="110" t="str">
        <f>IFERROR(VLOOKUP($A114,'The List'!$B1:$AS665,39,FALSE)," ")</f>
        <v xml:space="preserve"> </v>
      </c>
      <c r="N114" s="110" t="str">
        <f>IFERROR(VLOOKUP($A114,'The List'!$B1:$AS665,40,FALSE)," ")</f>
        <v xml:space="preserve"> </v>
      </c>
      <c r="O114" s="110" t="str">
        <f>IFERROR(VLOOKUP($A114,'The List'!$B1:$AS665,41,FALSE)," ")</f>
        <v xml:space="preserve"> </v>
      </c>
      <c r="P114" s="110" t="str">
        <f>IFERROR(VLOOKUP($A114,'The List'!$B1:$AS665,42,FALSE)," ")</f>
        <v xml:space="preserve"> </v>
      </c>
      <c r="Q114" s="110" t="str">
        <f>IFERROR(VLOOKUP($A114,'The List'!$B1:$AS665,43,FALSE)," ")</f>
        <v xml:space="preserve"> </v>
      </c>
      <c r="R114" s="86"/>
      <c r="S114" s="86"/>
      <c r="T114" s="86"/>
      <c r="U114" s="195"/>
      <c r="V114" s="195"/>
      <c r="W114" s="195"/>
      <c r="X114" s="195"/>
      <c r="Y114" s="195"/>
      <c r="Z114" s="195"/>
      <c r="AA114" s="86"/>
      <c r="AB114" s="86"/>
      <c r="AC114" s="86"/>
      <c r="AD114" s="86"/>
      <c r="AE114" s="86"/>
      <c r="AF114" s="86"/>
    </row>
    <row r="115" spans="1:32" ht="21.25" customHeight="1" x14ac:dyDescent="0.15">
      <c r="A115" s="111"/>
      <c r="B115" s="112"/>
      <c r="C115" s="113"/>
      <c r="D115" s="114"/>
      <c r="E115" s="146" t="str">
        <f>IFERROR(AVERAGE(E112:E114)," ")</f>
        <v xml:space="preserve"> </v>
      </c>
      <c r="F115" s="116">
        <f>SUM(F112:F114)</f>
        <v>0</v>
      </c>
      <c r="G115" s="116">
        <f>SUM(G112:G114)</f>
        <v>0</v>
      </c>
      <c r="H115" s="117"/>
      <c r="I115" s="118">
        <f t="shared" ref="I115:O115" si="7">SUM(I112:I114)</f>
        <v>0</v>
      </c>
      <c r="J115" s="117">
        <f t="shared" si="7"/>
        <v>0</v>
      </c>
      <c r="K115" s="118">
        <f t="shared" si="7"/>
        <v>0</v>
      </c>
      <c r="L115" s="118">
        <f t="shared" si="7"/>
        <v>0</v>
      </c>
      <c r="M115" s="118">
        <f t="shared" si="7"/>
        <v>0</v>
      </c>
      <c r="N115" s="118">
        <f t="shared" si="7"/>
        <v>0</v>
      </c>
      <c r="O115" s="118">
        <f t="shared" si="7"/>
        <v>0</v>
      </c>
      <c r="P115" s="144" t="e">
        <f>1-(O115/(N115+O115))</f>
        <v>#DIV/0!</v>
      </c>
      <c r="Q115" s="145" t="e">
        <f>O115/I115</f>
        <v>#DIV/0!</v>
      </c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</row>
    <row r="116" spans="1:32" ht="70.75" customHeight="1" x14ac:dyDescent="0.15">
      <c r="A116" s="34"/>
      <c r="B116" s="121"/>
      <c r="C116" s="122"/>
      <c r="D116" s="12"/>
      <c r="E116" s="12"/>
      <c r="F116" s="123"/>
      <c r="G116" s="124"/>
      <c r="H116" s="125"/>
      <c r="I116" s="12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91"/>
      <c r="AB116" s="91"/>
      <c r="AC116" s="91"/>
      <c r="AD116" s="91"/>
      <c r="AE116" s="91"/>
      <c r="AF116" s="91"/>
    </row>
    <row r="117" spans="1:32" ht="21.25" customHeight="1" x14ac:dyDescent="0.15">
      <c r="A117" s="38" t="s">
        <v>797</v>
      </c>
      <c r="B117" s="204" t="s">
        <v>91</v>
      </c>
      <c r="C117" s="200"/>
      <c r="D117" s="39" t="s">
        <v>92</v>
      </c>
      <c r="E117" s="39" t="s">
        <v>93</v>
      </c>
      <c r="F117" s="41" t="s">
        <v>95</v>
      </c>
      <c r="G117" s="41" t="s">
        <v>97</v>
      </c>
      <c r="H117" s="42"/>
      <c r="I117" s="44" t="s">
        <v>102</v>
      </c>
      <c r="J117" s="44" t="s">
        <v>55</v>
      </c>
      <c r="K117" s="44" t="s">
        <v>103</v>
      </c>
      <c r="L117" s="44" t="s">
        <v>104</v>
      </c>
      <c r="M117" s="44" t="s">
        <v>105</v>
      </c>
      <c r="N117" s="44" t="s">
        <v>106</v>
      </c>
      <c r="O117" s="44" t="s">
        <v>107</v>
      </c>
      <c r="P117" s="44" t="s">
        <v>63</v>
      </c>
      <c r="Q117" s="44" t="s">
        <v>108</v>
      </c>
      <c r="R117" s="44" t="s">
        <v>109</v>
      </c>
      <c r="S117" s="44" t="s">
        <v>110</v>
      </c>
      <c r="T117" s="44" t="s">
        <v>111</v>
      </c>
      <c r="U117" s="44" t="s">
        <v>112</v>
      </c>
      <c r="V117" s="44" t="s">
        <v>113</v>
      </c>
      <c r="W117" s="44" t="s">
        <v>114</v>
      </c>
      <c r="X117" s="44" t="s">
        <v>115</v>
      </c>
      <c r="Y117" s="44" t="s">
        <v>116</v>
      </c>
      <c r="Z117" s="44" t="s">
        <v>117</v>
      </c>
      <c r="AA117" s="86"/>
      <c r="AB117" s="87"/>
      <c r="AC117" s="87"/>
      <c r="AD117" s="87"/>
      <c r="AE117" s="87"/>
      <c r="AF117" s="87"/>
    </row>
    <row r="118" spans="1:32" ht="21.25" customHeight="1" x14ac:dyDescent="0.15">
      <c r="A118" s="23"/>
      <c r="B118" s="88" t="str">
        <f>IFERROR(VLOOKUP($A118,'The List'!$B1:$AS665,3,FALSE)," ")</f>
        <v xml:space="preserve"> </v>
      </c>
      <c r="C118" s="92" t="str">
        <f>IFERROR(VLOOKUP($A118,'The List'!$B1:$AS665,4,FALSE)," ")</f>
        <v xml:space="preserve"> </v>
      </c>
      <c r="D118" s="65" t="str">
        <f>IFERROR(VLOOKUP($A118,'The List'!$B1:$AS665,5,FALSE)," ")</f>
        <v xml:space="preserve"> </v>
      </c>
      <c r="E118" s="65" t="str">
        <f>IFERROR(VLOOKUP($A118,'The List'!$B1:$AS665,6,FALSE)," ")</f>
        <v xml:space="preserve"> </v>
      </c>
      <c r="F118" s="93" t="str">
        <f>IFERROR(VLOOKUP($A118,'The List'!$B1:$AS665,8,FALSE)," ")</f>
        <v xml:space="preserve"> </v>
      </c>
      <c r="G118" s="93" t="str">
        <f>IFERROR(VLOOKUP($A118,'The List'!$B1:$AS665,10,FALSE)," ")</f>
        <v xml:space="preserve"> </v>
      </c>
      <c r="H118" s="54"/>
      <c r="I118" s="83" t="str">
        <f>IFERROR(VLOOKUP($A118,'The List'!$B1:$AS665,16,FALSE)," ")</f>
        <v xml:space="preserve"> </v>
      </c>
      <c r="J118" s="83" t="str">
        <f>IFERROR(VLOOKUP($A118,'The List'!$B1:$AS665,17,FALSE)," ")</f>
        <v xml:space="preserve"> </v>
      </c>
      <c r="K118" s="83" t="str">
        <f>IFERROR(VLOOKUP($A118,'The List'!$B1:$AS665,18,FALSE)," ")</f>
        <v xml:space="preserve"> </v>
      </c>
      <c r="L118" s="83" t="str">
        <f>IFERROR(VLOOKUP($A118,'The List'!$B1:$AS665,19,FALSE)," ")</f>
        <v xml:space="preserve"> </v>
      </c>
      <c r="M118" s="83" t="str">
        <f>IFERROR(VLOOKUP($A118,'The List'!$B1:$AS665,20,FALSE)," ")</f>
        <v xml:space="preserve"> </v>
      </c>
      <c r="N118" s="83" t="str">
        <f>IFERROR(VLOOKUP($A118,'The List'!$B1:$AS665,21,FALSE)," ")</f>
        <v xml:space="preserve"> </v>
      </c>
      <c r="O118" s="83" t="str">
        <f>IFERROR(VLOOKUP($A118,'The List'!$B1:$AS665,22,FALSE)," ")</f>
        <v xml:space="preserve"> </v>
      </c>
      <c r="P118" s="83" t="str">
        <f>IFERROR(VLOOKUP($A118,'The List'!$B1:$AS665,23,FALSE)," ")</f>
        <v xml:space="preserve"> </v>
      </c>
      <c r="Q118" s="83" t="str">
        <f>IFERROR(VLOOKUP($A118,'The List'!$B1:$AS665,24,FALSE)," ")</f>
        <v xml:space="preserve"> </v>
      </c>
      <c r="R118" s="83" t="str">
        <f>IFERROR(VLOOKUP($A118,'The List'!$B1:$AS665,25,FALSE)," ")</f>
        <v xml:space="preserve"> </v>
      </c>
      <c r="S118" s="83" t="str">
        <f>IFERROR(VLOOKUP($A118,'The List'!$B1:$AS665,26,FALSE)," ")</f>
        <v xml:space="preserve"> </v>
      </c>
      <c r="T118" s="83" t="str">
        <f>IFERROR(VLOOKUP($A118,'The List'!$B1:$AS665,27,FALSE)," ")</f>
        <v xml:space="preserve"> </v>
      </c>
      <c r="U118" s="83" t="str">
        <f>IFERROR(VLOOKUP($A118,'The List'!$B1:$AS665,28,FALSE)," ")</f>
        <v xml:space="preserve"> </v>
      </c>
      <c r="V118" s="83" t="str">
        <f>IFERROR(VLOOKUP($A118,'The List'!$B1:$AS665,29,FALSE)," ")</f>
        <v xml:space="preserve"> </v>
      </c>
      <c r="W118" s="83" t="str">
        <f>IFERROR(VLOOKUP($A118,'The List'!$B1:$AS665,30,FALSE)," ")</f>
        <v xml:space="preserve"> </v>
      </c>
      <c r="X118" s="83" t="str">
        <f>IFERROR(VLOOKUP($A118,'The List'!$B1:$AS665,31,FALSE)," ")</f>
        <v xml:space="preserve"> </v>
      </c>
      <c r="Y118" s="83" t="str">
        <f>IFERROR(VLOOKUP($A118,'The List'!$B1:$AS665,32,FALSE)," ")</f>
        <v xml:space="preserve"> </v>
      </c>
      <c r="Z118" s="83" t="str">
        <f>IFERROR(VLOOKUP($A118,'The List'!$B1:$AS665,33,FALSE)," ")</f>
        <v xml:space="preserve"> </v>
      </c>
      <c r="AA118" s="86"/>
      <c r="AB118" s="91"/>
      <c r="AC118" s="91"/>
      <c r="AD118" s="91"/>
      <c r="AE118" s="91"/>
      <c r="AF118" s="91"/>
    </row>
    <row r="119" spans="1:32" ht="21.25" customHeight="1" x14ac:dyDescent="0.15">
      <c r="A119" s="23"/>
      <c r="B119" s="88" t="str">
        <f>IFERROR(VLOOKUP($A119,'The List'!$B1:$AS665,3,FALSE)," ")</f>
        <v xml:space="preserve"> </v>
      </c>
      <c r="C119" s="92" t="str">
        <f>IFERROR(VLOOKUP($A119,'The List'!$B1:$AS665,4,FALSE)," ")</f>
        <v xml:space="preserve"> </v>
      </c>
      <c r="D119" s="65" t="str">
        <f>IFERROR(VLOOKUP($A119,'The List'!$B1:$AS665,5,FALSE)," ")</f>
        <v xml:space="preserve"> </v>
      </c>
      <c r="E119" s="65" t="str">
        <f>IFERROR(VLOOKUP($A119,'The List'!$B1:$AS665,6,FALSE)," ")</f>
        <v xml:space="preserve"> </v>
      </c>
      <c r="F119" s="93" t="str">
        <f>IFERROR(VLOOKUP($A119,'The List'!$B1:$AS665,8,FALSE)," ")</f>
        <v xml:space="preserve"> </v>
      </c>
      <c r="G119" s="93" t="str">
        <f>IFERROR(VLOOKUP($A119,'The List'!$B1:$AS665,10,FALSE)," ")</f>
        <v xml:space="preserve"> </v>
      </c>
      <c r="H119" s="54"/>
      <c r="I119" s="83" t="str">
        <f>IFERROR(VLOOKUP($A119,'The List'!$B1:$AS665,16,FALSE)," ")</f>
        <v xml:space="preserve"> </v>
      </c>
      <c r="J119" s="83" t="str">
        <f>IFERROR(VLOOKUP($A119,'The List'!$B1:$AS665,17,FALSE)," ")</f>
        <v xml:space="preserve"> </v>
      </c>
      <c r="K119" s="83" t="str">
        <f>IFERROR(VLOOKUP($A119,'The List'!$B1:$AS665,18,FALSE)," ")</f>
        <v xml:space="preserve"> </v>
      </c>
      <c r="L119" s="83" t="str">
        <f>IFERROR(VLOOKUP($A119,'The List'!$B1:$AS665,19,FALSE)," ")</f>
        <v xml:space="preserve"> </v>
      </c>
      <c r="M119" s="83" t="str">
        <f>IFERROR(VLOOKUP($A119,'The List'!$B1:$AS665,20,FALSE)," ")</f>
        <v xml:space="preserve"> </v>
      </c>
      <c r="N119" s="83" t="str">
        <f>IFERROR(VLOOKUP($A119,'The List'!$B1:$AS665,21,FALSE)," ")</f>
        <v xml:space="preserve"> </v>
      </c>
      <c r="O119" s="83" t="str">
        <f>IFERROR(VLOOKUP($A119,'The List'!$B1:$AS665,22,FALSE)," ")</f>
        <v xml:space="preserve"> </v>
      </c>
      <c r="P119" s="83" t="str">
        <f>IFERROR(VLOOKUP($A119,'The List'!$B1:$AS665,23,FALSE)," ")</f>
        <v xml:space="preserve"> </v>
      </c>
      <c r="Q119" s="83" t="str">
        <f>IFERROR(VLOOKUP($A119,'The List'!$B1:$AS665,24,FALSE)," ")</f>
        <v xml:space="preserve"> </v>
      </c>
      <c r="R119" s="83" t="str">
        <f>IFERROR(VLOOKUP($A119,'The List'!$B1:$AS665,25,FALSE)," ")</f>
        <v xml:space="preserve"> </v>
      </c>
      <c r="S119" s="83" t="str">
        <f>IFERROR(VLOOKUP($A119,'The List'!$B1:$AS665,26,FALSE)," ")</f>
        <v xml:space="preserve"> </v>
      </c>
      <c r="T119" s="83" t="str">
        <f>IFERROR(VLOOKUP($A119,'The List'!$B1:$AS665,27,FALSE)," ")</f>
        <v xml:space="preserve"> </v>
      </c>
      <c r="U119" s="83" t="str">
        <f>IFERROR(VLOOKUP($A119,'The List'!$B1:$AS665,28,FALSE)," ")</f>
        <v xml:space="preserve"> </v>
      </c>
      <c r="V119" s="83" t="str">
        <f>IFERROR(VLOOKUP($A119,'The List'!$B1:$AS665,29,FALSE)," ")</f>
        <v xml:space="preserve"> </v>
      </c>
      <c r="W119" s="83" t="str">
        <f>IFERROR(VLOOKUP($A119,'The List'!$B1:$AS665,30,FALSE)," ")</f>
        <v xml:space="preserve"> </v>
      </c>
      <c r="X119" s="83" t="str">
        <f>IFERROR(VLOOKUP($A119,'The List'!$B1:$AS665,31,FALSE)," ")</f>
        <v xml:space="preserve"> </v>
      </c>
      <c r="Y119" s="83" t="str">
        <f>IFERROR(VLOOKUP($A119,'The List'!$B1:$AS665,32,FALSE)," ")</f>
        <v xml:space="preserve"> </v>
      </c>
      <c r="Z119" s="83" t="str">
        <f>IFERROR(VLOOKUP($A119,'The List'!$B1:$AS665,33,FALSE)," ")</f>
        <v xml:space="preserve"> </v>
      </c>
      <c r="AA119" s="86"/>
      <c r="AB119" s="91"/>
      <c r="AC119" s="91"/>
      <c r="AD119" s="91"/>
      <c r="AE119" s="91"/>
      <c r="AF119" s="91"/>
    </row>
    <row r="120" spans="1:32" ht="21.25" customHeight="1" x14ac:dyDescent="0.15">
      <c r="A120" s="23"/>
      <c r="B120" s="88" t="str">
        <f>IFERROR(VLOOKUP($A120,'The List'!$B1:$AS665,3,FALSE)," ")</f>
        <v xml:space="preserve"> </v>
      </c>
      <c r="C120" s="92" t="str">
        <f>IFERROR(VLOOKUP($A120,'The List'!$B1:$AS665,4,FALSE)," ")</f>
        <v xml:space="preserve"> </v>
      </c>
      <c r="D120" s="65" t="str">
        <f>IFERROR(VLOOKUP($A120,'The List'!$B1:$AS665,5,FALSE)," ")</f>
        <v xml:space="preserve"> </v>
      </c>
      <c r="E120" s="65" t="str">
        <f>IFERROR(VLOOKUP($A120,'The List'!$B1:$AS665,6,FALSE)," ")</f>
        <v xml:space="preserve"> </v>
      </c>
      <c r="F120" s="93" t="str">
        <f>IFERROR(VLOOKUP($A120,'The List'!$B1:$AS665,8,FALSE)," ")</f>
        <v xml:space="preserve"> </v>
      </c>
      <c r="G120" s="93" t="str">
        <f>IFERROR(VLOOKUP($A120,'The List'!$B1:$AS665,10,FALSE)," ")</f>
        <v xml:space="preserve"> </v>
      </c>
      <c r="H120" s="54"/>
      <c r="I120" s="83" t="str">
        <f>IFERROR(VLOOKUP($A120,'The List'!$B1:$AS665,16,FALSE)," ")</f>
        <v xml:space="preserve"> </v>
      </c>
      <c r="J120" s="83" t="str">
        <f>IFERROR(VLOOKUP($A120,'The List'!$B1:$AS665,17,FALSE)," ")</f>
        <v xml:space="preserve"> </v>
      </c>
      <c r="K120" s="83" t="str">
        <f>IFERROR(VLOOKUP($A120,'The List'!$B1:$AS665,18,FALSE)," ")</f>
        <v xml:space="preserve"> </v>
      </c>
      <c r="L120" s="83" t="str">
        <f>IFERROR(VLOOKUP($A120,'The List'!$B1:$AS665,19,FALSE)," ")</f>
        <v xml:space="preserve"> </v>
      </c>
      <c r="M120" s="83" t="str">
        <f>IFERROR(VLOOKUP($A120,'The List'!$B1:$AS665,20,FALSE)," ")</f>
        <v xml:space="preserve"> </v>
      </c>
      <c r="N120" s="83" t="str">
        <f>IFERROR(VLOOKUP($A120,'The List'!$B1:$AS665,21,FALSE)," ")</f>
        <v xml:space="preserve"> </v>
      </c>
      <c r="O120" s="83" t="str">
        <f>IFERROR(VLOOKUP($A120,'The List'!$B1:$AS665,22,FALSE)," ")</f>
        <v xml:space="preserve"> </v>
      </c>
      <c r="P120" s="83" t="str">
        <f>IFERROR(VLOOKUP($A120,'The List'!$B1:$AS665,23,FALSE)," ")</f>
        <v xml:space="preserve"> </v>
      </c>
      <c r="Q120" s="83" t="str">
        <f>IFERROR(VLOOKUP($A120,'The List'!$B1:$AS665,24,FALSE)," ")</f>
        <v xml:space="preserve"> </v>
      </c>
      <c r="R120" s="83" t="str">
        <f>IFERROR(VLOOKUP($A120,'The List'!$B1:$AS665,25,FALSE)," ")</f>
        <v xml:space="preserve"> </v>
      </c>
      <c r="S120" s="83" t="str">
        <f>IFERROR(VLOOKUP($A120,'The List'!$B1:$AS665,26,FALSE)," ")</f>
        <v xml:space="preserve"> </v>
      </c>
      <c r="T120" s="83" t="str">
        <f>IFERROR(VLOOKUP($A120,'The List'!$B1:$AS665,27,FALSE)," ")</f>
        <v xml:space="preserve"> </v>
      </c>
      <c r="U120" s="83" t="str">
        <f>IFERROR(VLOOKUP($A120,'The List'!$B1:$AS665,28,FALSE)," ")</f>
        <v xml:space="preserve"> </v>
      </c>
      <c r="V120" s="83" t="str">
        <f>IFERROR(VLOOKUP($A120,'The List'!$B1:$AS665,29,FALSE)," ")</f>
        <v xml:space="preserve"> </v>
      </c>
      <c r="W120" s="83" t="str">
        <f>IFERROR(VLOOKUP($A120,'The List'!$B1:$AS665,30,FALSE)," ")</f>
        <v xml:space="preserve"> </v>
      </c>
      <c r="X120" s="83" t="str">
        <f>IFERROR(VLOOKUP($A120,'The List'!$B1:$AS665,31,FALSE)," ")</f>
        <v xml:space="preserve"> </v>
      </c>
      <c r="Y120" s="83" t="str">
        <f>IFERROR(VLOOKUP($A120,'The List'!$B1:$AS665,32,FALSE)," ")</f>
        <v xml:space="preserve"> </v>
      </c>
      <c r="Z120" s="83" t="str">
        <f>IFERROR(VLOOKUP($A120,'The List'!$B1:$AS665,33,FALSE)," ")</f>
        <v xml:space="preserve"> </v>
      </c>
      <c r="AA120" s="86"/>
      <c r="AB120" s="91"/>
      <c r="AC120" s="91"/>
      <c r="AD120" s="91"/>
      <c r="AE120" s="91"/>
      <c r="AF120" s="91"/>
    </row>
    <row r="121" spans="1:32" ht="21.25" customHeight="1" x14ac:dyDescent="0.15">
      <c r="A121" s="23"/>
      <c r="B121" s="88" t="str">
        <f>IFERROR(VLOOKUP($A121,'The List'!$B1:$AS665,3,FALSE)," ")</f>
        <v xml:space="preserve"> </v>
      </c>
      <c r="C121" s="92" t="str">
        <f>IFERROR(VLOOKUP($A121,'The List'!$B1:$AS665,4,FALSE)," ")</f>
        <v xml:space="preserve"> </v>
      </c>
      <c r="D121" s="65" t="str">
        <f>IFERROR(VLOOKUP($A121,'The List'!$B1:$AS665,5,FALSE)," ")</f>
        <v xml:space="preserve"> </v>
      </c>
      <c r="E121" s="65" t="str">
        <f>IFERROR(VLOOKUP($A121,'The List'!$B1:$AS665,6,FALSE)," ")</f>
        <v xml:space="preserve"> </v>
      </c>
      <c r="F121" s="93" t="str">
        <f>IFERROR(VLOOKUP($A121,'The List'!$B1:$AS665,8,FALSE)," ")</f>
        <v xml:space="preserve"> </v>
      </c>
      <c r="G121" s="93" t="str">
        <f>IFERROR(VLOOKUP($A121,'The List'!$B1:$AS665,10,FALSE)," ")</f>
        <v xml:space="preserve"> </v>
      </c>
      <c r="H121" s="54"/>
      <c r="I121" s="83" t="str">
        <f>IFERROR(VLOOKUP($A121,'The List'!$B1:$AS665,16,FALSE)," ")</f>
        <v xml:space="preserve"> </v>
      </c>
      <c r="J121" s="83" t="str">
        <f>IFERROR(VLOOKUP($A121,'The List'!$B1:$AS665,17,FALSE)," ")</f>
        <v xml:space="preserve"> </v>
      </c>
      <c r="K121" s="83" t="str">
        <f>IFERROR(VLOOKUP($A121,'The List'!$B1:$AS665,18,FALSE)," ")</f>
        <v xml:space="preserve"> </v>
      </c>
      <c r="L121" s="83" t="str">
        <f>IFERROR(VLOOKUP($A121,'The List'!$B1:$AS665,19,FALSE)," ")</f>
        <v xml:space="preserve"> </v>
      </c>
      <c r="M121" s="83" t="str">
        <f>IFERROR(VLOOKUP($A121,'The List'!$B1:$AS665,20,FALSE)," ")</f>
        <v xml:space="preserve"> </v>
      </c>
      <c r="N121" s="83" t="str">
        <f>IFERROR(VLOOKUP($A121,'The List'!$B1:$AS665,21,FALSE)," ")</f>
        <v xml:space="preserve"> </v>
      </c>
      <c r="O121" s="83" t="str">
        <f>IFERROR(VLOOKUP($A121,'The List'!$B1:$AS665,22,FALSE)," ")</f>
        <v xml:space="preserve"> </v>
      </c>
      <c r="P121" s="83" t="str">
        <f>IFERROR(VLOOKUP($A121,'The List'!$B1:$AS665,23,FALSE)," ")</f>
        <v xml:space="preserve"> </v>
      </c>
      <c r="Q121" s="83" t="str">
        <f>IFERROR(VLOOKUP($A121,'The List'!$B1:$AS665,24,FALSE)," ")</f>
        <v xml:space="preserve"> </v>
      </c>
      <c r="R121" s="83" t="str">
        <f>IFERROR(VLOOKUP($A121,'The List'!$B1:$AS665,25,FALSE)," ")</f>
        <v xml:space="preserve"> </v>
      </c>
      <c r="S121" s="83" t="str">
        <f>IFERROR(VLOOKUP($A121,'The List'!$B1:$AS665,26,FALSE)," ")</f>
        <v xml:space="preserve"> </v>
      </c>
      <c r="T121" s="83" t="str">
        <f>IFERROR(VLOOKUP($A121,'The List'!$B1:$AS665,27,FALSE)," ")</f>
        <v xml:space="preserve"> </v>
      </c>
      <c r="U121" s="83" t="str">
        <f>IFERROR(VLOOKUP($A121,'The List'!$B1:$AS665,28,FALSE)," ")</f>
        <v xml:space="preserve"> </v>
      </c>
      <c r="V121" s="83" t="str">
        <f>IFERROR(VLOOKUP($A121,'The List'!$B1:$AS665,29,FALSE)," ")</f>
        <v xml:space="preserve"> </v>
      </c>
      <c r="W121" s="83" t="str">
        <f>IFERROR(VLOOKUP($A121,'The List'!$B1:$AS665,30,FALSE)," ")</f>
        <v xml:space="preserve"> </v>
      </c>
      <c r="X121" s="83" t="str">
        <f>IFERROR(VLOOKUP($A121,'The List'!$B1:$AS665,31,FALSE)," ")</f>
        <v xml:space="preserve"> </v>
      </c>
      <c r="Y121" s="83" t="str">
        <f>IFERROR(VLOOKUP($A121,'The List'!$B1:$AS665,32,FALSE)," ")</f>
        <v xml:space="preserve"> </v>
      </c>
      <c r="Z121" s="83" t="str">
        <f>IFERROR(VLOOKUP($A121,'The List'!$B1:$AS665,33,FALSE)," ")</f>
        <v xml:space="preserve"> </v>
      </c>
      <c r="AA121" s="86"/>
      <c r="AB121" s="91"/>
      <c r="AC121" s="91"/>
      <c r="AD121" s="91"/>
      <c r="AE121" s="91"/>
      <c r="AF121" s="91"/>
    </row>
    <row r="122" spans="1:32" ht="21.25" customHeight="1" x14ac:dyDescent="0.15">
      <c r="A122" s="23"/>
      <c r="B122" s="94" t="str">
        <f>IFERROR(VLOOKUP($A122,'The List'!$B1:$AS665,3,FALSE)," ")</f>
        <v xml:space="preserve"> </v>
      </c>
      <c r="C122" s="96" t="str">
        <f>IFERROR(VLOOKUP($A122,'The List'!$B1:$AS665,4,FALSE)," ")</f>
        <v xml:space="preserve"> </v>
      </c>
      <c r="D122" s="65" t="str">
        <f>IFERROR(VLOOKUP($A122,'The List'!$B1:$AS665,5,FALSE)," ")</f>
        <v xml:space="preserve"> </v>
      </c>
      <c r="E122" s="65" t="str">
        <f>IFERROR(VLOOKUP($A122,'The List'!$B1:$AS665,6,FALSE)," ")</f>
        <v xml:space="preserve"> </v>
      </c>
      <c r="F122" s="93" t="str">
        <f>IFERROR(VLOOKUP($A122,'The List'!$B1:$AS665,8,FALSE)," ")</f>
        <v xml:space="preserve"> </v>
      </c>
      <c r="G122" s="93" t="str">
        <f>IFERROR(VLOOKUP($A122,'The List'!$B1:$AS665,10,FALSE)," ")</f>
        <v xml:space="preserve"> </v>
      </c>
      <c r="H122" s="54"/>
      <c r="I122" s="83" t="str">
        <f>IFERROR(VLOOKUP($A122,'The List'!$B1:$AS665,16,FALSE)," ")</f>
        <v xml:space="preserve"> </v>
      </c>
      <c r="J122" s="83" t="str">
        <f>IFERROR(VLOOKUP($A122,'The List'!$B1:$AS665,17,FALSE)," ")</f>
        <v xml:space="preserve"> </v>
      </c>
      <c r="K122" s="83" t="str">
        <f>IFERROR(VLOOKUP($A122,'The List'!$B1:$AS665,18,FALSE)," ")</f>
        <v xml:space="preserve"> </v>
      </c>
      <c r="L122" s="83" t="str">
        <f>IFERROR(VLOOKUP($A122,'The List'!$B1:$AS665,19,FALSE)," ")</f>
        <v xml:space="preserve"> </v>
      </c>
      <c r="M122" s="83" t="str">
        <f>IFERROR(VLOOKUP($A122,'The List'!$B1:$AS665,20,FALSE)," ")</f>
        <v xml:space="preserve"> </v>
      </c>
      <c r="N122" s="83" t="str">
        <f>IFERROR(VLOOKUP($A122,'The List'!$B1:$AS665,21,FALSE)," ")</f>
        <v xml:space="preserve"> </v>
      </c>
      <c r="O122" s="83" t="str">
        <f>IFERROR(VLOOKUP($A122,'The List'!$B1:$AS665,22,FALSE)," ")</f>
        <v xml:space="preserve"> </v>
      </c>
      <c r="P122" s="83" t="str">
        <f>IFERROR(VLOOKUP($A122,'The List'!$B1:$AS665,23,FALSE)," ")</f>
        <v xml:space="preserve"> </v>
      </c>
      <c r="Q122" s="83" t="str">
        <f>IFERROR(VLOOKUP($A122,'The List'!$B1:$AS665,24,FALSE)," ")</f>
        <v xml:space="preserve"> </v>
      </c>
      <c r="R122" s="83" t="str">
        <f>IFERROR(VLOOKUP($A122,'The List'!$B1:$AS665,25,FALSE)," ")</f>
        <v xml:space="preserve"> </v>
      </c>
      <c r="S122" s="83" t="str">
        <f>IFERROR(VLOOKUP($A122,'The List'!$B1:$AS665,26,FALSE)," ")</f>
        <v xml:space="preserve"> </v>
      </c>
      <c r="T122" s="83" t="str">
        <f>IFERROR(VLOOKUP($A122,'The List'!$B1:$AS665,27,FALSE)," ")</f>
        <v xml:space="preserve"> </v>
      </c>
      <c r="U122" s="83" t="str">
        <f>IFERROR(VLOOKUP($A122,'The List'!$B1:$AS665,28,FALSE)," ")</f>
        <v xml:space="preserve"> </v>
      </c>
      <c r="V122" s="83" t="str">
        <f>IFERROR(VLOOKUP($A122,'The List'!$B1:$AS665,29,FALSE)," ")</f>
        <v xml:space="preserve"> </v>
      </c>
      <c r="W122" s="83" t="str">
        <f>IFERROR(VLOOKUP($A122,'The List'!$B1:$AS665,30,FALSE)," ")</f>
        <v xml:space="preserve"> </v>
      </c>
      <c r="X122" s="83" t="str">
        <f>IFERROR(VLOOKUP($A122,'The List'!$B1:$AS665,31,FALSE)," ")</f>
        <v xml:space="preserve"> </v>
      </c>
      <c r="Y122" s="83" t="str">
        <f>IFERROR(VLOOKUP($A122,'The List'!$B1:$AS665,32,FALSE)," ")</f>
        <v xml:space="preserve"> </v>
      </c>
      <c r="Z122" s="83" t="str">
        <f>IFERROR(VLOOKUP($A122,'The List'!$B1:$AS665,33,FALSE)," ")</f>
        <v xml:space="preserve"> </v>
      </c>
      <c r="AA122" s="86"/>
      <c r="AB122" s="91"/>
      <c r="AC122" s="91"/>
      <c r="AD122" s="91"/>
      <c r="AE122" s="91"/>
      <c r="AF122" s="91"/>
    </row>
    <row r="123" spans="1:32" ht="21.25" customHeight="1" x14ac:dyDescent="0.15">
      <c r="A123" s="23"/>
      <c r="B123" s="94" t="str">
        <f>IFERROR(VLOOKUP($A123,'The List'!$B1:$AS665,3,FALSE)," ")</f>
        <v xml:space="preserve"> </v>
      </c>
      <c r="C123" s="96" t="str">
        <f>IFERROR(VLOOKUP($A123,'The List'!$B1:$AS665,4,FALSE)," ")</f>
        <v xml:space="preserve"> </v>
      </c>
      <c r="D123" s="65" t="str">
        <f>IFERROR(VLOOKUP($A123,'The List'!$B1:$AS665,5,FALSE)," ")</f>
        <v xml:space="preserve"> </v>
      </c>
      <c r="E123" s="65" t="str">
        <f>IFERROR(VLOOKUP($A123,'The List'!$B1:$AS665,6,FALSE)," ")</f>
        <v xml:space="preserve"> </v>
      </c>
      <c r="F123" s="93" t="str">
        <f>IFERROR(VLOOKUP($A123,'The List'!$B1:$AS665,8,FALSE)," ")</f>
        <v xml:space="preserve"> </v>
      </c>
      <c r="G123" s="93" t="str">
        <f>IFERROR(VLOOKUP($A123,'The List'!$B1:$AS665,10,FALSE)," ")</f>
        <v xml:space="preserve"> </v>
      </c>
      <c r="H123" s="54"/>
      <c r="I123" s="83" t="str">
        <f>IFERROR(VLOOKUP($A123,'The List'!$B1:$AS665,16,FALSE)," ")</f>
        <v xml:space="preserve"> </v>
      </c>
      <c r="J123" s="83" t="str">
        <f>IFERROR(VLOOKUP($A123,'The List'!$B1:$AS665,17,FALSE)," ")</f>
        <v xml:space="preserve"> </v>
      </c>
      <c r="K123" s="83" t="str">
        <f>IFERROR(VLOOKUP($A123,'The List'!$B1:$AS665,18,FALSE)," ")</f>
        <v xml:space="preserve"> </v>
      </c>
      <c r="L123" s="83" t="str">
        <f>IFERROR(VLOOKUP($A123,'The List'!$B1:$AS665,19,FALSE)," ")</f>
        <v xml:space="preserve"> </v>
      </c>
      <c r="M123" s="83" t="str">
        <f>IFERROR(VLOOKUP($A123,'The List'!$B1:$AS665,20,FALSE)," ")</f>
        <v xml:space="preserve"> </v>
      </c>
      <c r="N123" s="83" t="str">
        <f>IFERROR(VLOOKUP($A123,'The List'!$B1:$AS665,21,FALSE)," ")</f>
        <v xml:space="preserve"> </v>
      </c>
      <c r="O123" s="83" t="str">
        <f>IFERROR(VLOOKUP($A123,'The List'!$B1:$AS665,22,FALSE)," ")</f>
        <v xml:space="preserve"> </v>
      </c>
      <c r="P123" s="83" t="str">
        <f>IFERROR(VLOOKUP($A123,'The List'!$B1:$AS665,23,FALSE)," ")</f>
        <v xml:space="preserve"> </v>
      </c>
      <c r="Q123" s="83" t="str">
        <f>IFERROR(VLOOKUP($A123,'The List'!$B1:$AS665,24,FALSE)," ")</f>
        <v xml:space="preserve"> </v>
      </c>
      <c r="R123" s="83" t="str">
        <f>IFERROR(VLOOKUP($A123,'The List'!$B1:$AS665,25,FALSE)," ")</f>
        <v xml:space="preserve"> </v>
      </c>
      <c r="S123" s="83" t="str">
        <f>IFERROR(VLOOKUP($A123,'The List'!$B1:$AS665,26,FALSE)," ")</f>
        <v xml:space="preserve"> </v>
      </c>
      <c r="T123" s="83" t="str">
        <f>IFERROR(VLOOKUP($A123,'The List'!$B1:$AS665,27,FALSE)," ")</f>
        <v xml:space="preserve"> </v>
      </c>
      <c r="U123" s="83" t="str">
        <f>IFERROR(VLOOKUP($A123,'The List'!$B1:$AS665,28,FALSE)," ")</f>
        <v xml:space="preserve"> </v>
      </c>
      <c r="V123" s="83" t="str">
        <f>IFERROR(VLOOKUP($A123,'The List'!$B1:$AS665,29,FALSE)," ")</f>
        <v xml:space="preserve"> </v>
      </c>
      <c r="W123" s="83" t="str">
        <f>IFERROR(VLOOKUP($A123,'The List'!$B1:$AS665,30,FALSE)," ")</f>
        <v xml:space="preserve"> </v>
      </c>
      <c r="X123" s="83" t="str">
        <f>IFERROR(VLOOKUP($A123,'The List'!$B1:$AS665,31,FALSE)," ")</f>
        <v xml:space="preserve"> </v>
      </c>
      <c r="Y123" s="83" t="str">
        <f>IFERROR(VLOOKUP($A123,'The List'!$B1:$AS665,32,FALSE)," ")</f>
        <v xml:space="preserve"> </v>
      </c>
      <c r="Z123" s="83" t="str">
        <f>IFERROR(VLOOKUP($A123,'The List'!$B1:$AS665,33,FALSE)," ")</f>
        <v xml:space="preserve"> </v>
      </c>
      <c r="AA123" s="86"/>
      <c r="AB123" s="91"/>
      <c r="AC123" s="91"/>
      <c r="AD123" s="91"/>
      <c r="AE123" s="91"/>
      <c r="AF123" s="91"/>
    </row>
    <row r="124" spans="1:32" ht="21.25" customHeight="1" x14ac:dyDescent="0.15">
      <c r="A124" s="23"/>
      <c r="B124" s="94" t="str">
        <f>IFERROR(VLOOKUP($A124,'The List'!$B1:$AS665,3,FALSE)," ")</f>
        <v xml:space="preserve"> </v>
      </c>
      <c r="C124" s="96" t="str">
        <f>IFERROR(VLOOKUP($A124,'The List'!$B1:$AS665,4,FALSE)," ")</f>
        <v xml:space="preserve"> </v>
      </c>
      <c r="D124" s="65" t="str">
        <f>IFERROR(VLOOKUP($A124,'The List'!$B1:$AS665,5,FALSE)," ")</f>
        <v xml:space="preserve"> </v>
      </c>
      <c r="E124" s="65" t="str">
        <f>IFERROR(VLOOKUP($A124,'The List'!$B1:$AS665,6,FALSE)," ")</f>
        <v xml:space="preserve"> </v>
      </c>
      <c r="F124" s="93" t="str">
        <f>IFERROR(VLOOKUP($A124,'The List'!$B1:$AS665,8,FALSE)," ")</f>
        <v xml:space="preserve"> </v>
      </c>
      <c r="G124" s="93" t="str">
        <f>IFERROR(VLOOKUP($A124,'The List'!$B1:$AS665,10,FALSE)," ")</f>
        <v xml:space="preserve"> </v>
      </c>
      <c r="H124" s="54"/>
      <c r="I124" s="83" t="str">
        <f>IFERROR(VLOOKUP($A124,'The List'!$B1:$AS665,16,FALSE)," ")</f>
        <v xml:space="preserve"> </v>
      </c>
      <c r="J124" s="83" t="str">
        <f>IFERROR(VLOOKUP($A124,'The List'!$B1:$AS665,17,FALSE)," ")</f>
        <v xml:space="preserve"> </v>
      </c>
      <c r="K124" s="83" t="str">
        <f>IFERROR(VLOOKUP($A124,'The List'!$B1:$AS665,18,FALSE)," ")</f>
        <v xml:space="preserve"> </v>
      </c>
      <c r="L124" s="83" t="str">
        <f>IFERROR(VLOOKUP($A124,'The List'!$B1:$AS665,19,FALSE)," ")</f>
        <v xml:space="preserve"> </v>
      </c>
      <c r="M124" s="83" t="str">
        <f>IFERROR(VLOOKUP($A124,'The List'!$B1:$AS665,20,FALSE)," ")</f>
        <v xml:space="preserve"> </v>
      </c>
      <c r="N124" s="83" t="str">
        <f>IFERROR(VLOOKUP($A124,'The List'!$B1:$AS665,21,FALSE)," ")</f>
        <v xml:space="preserve"> </v>
      </c>
      <c r="O124" s="83" t="str">
        <f>IFERROR(VLOOKUP($A124,'The List'!$B1:$AS665,22,FALSE)," ")</f>
        <v xml:space="preserve"> </v>
      </c>
      <c r="P124" s="83" t="str">
        <f>IFERROR(VLOOKUP($A124,'The List'!$B1:$AS665,23,FALSE)," ")</f>
        <v xml:space="preserve"> </v>
      </c>
      <c r="Q124" s="83" t="str">
        <f>IFERROR(VLOOKUP($A124,'The List'!$B1:$AS665,24,FALSE)," ")</f>
        <v xml:space="preserve"> </v>
      </c>
      <c r="R124" s="83" t="str">
        <f>IFERROR(VLOOKUP($A124,'The List'!$B1:$AS665,25,FALSE)," ")</f>
        <v xml:space="preserve"> </v>
      </c>
      <c r="S124" s="83" t="str">
        <f>IFERROR(VLOOKUP($A124,'The List'!$B1:$AS665,26,FALSE)," ")</f>
        <v xml:space="preserve"> </v>
      </c>
      <c r="T124" s="83" t="str">
        <f>IFERROR(VLOOKUP($A124,'The List'!$B1:$AS665,27,FALSE)," ")</f>
        <v xml:space="preserve"> </v>
      </c>
      <c r="U124" s="83" t="str">
        <f>IFERROR(VLOOKUP($A124,'The List'!$B1:$AS665,28,FALSE)," ")</f>
        <v xml:space="preserve"> </v>
      </c>
      <c r="V124" s="83" t="str">
        <f>IFERROR(VLOOKUP($A124,'The List'!$B1:$AS665,29,FALSE)," ")</f>
        <v xml:space="preserve"> </v>
      </c>
      <c r="W124" s="83" t="str">
        <f>IFERROR(VLOOKUP($A124,'The List'!$B1:$AS665,30,FALSE)," ")</f>
        <v xml:space="preserve"> </v>
      </c>
      <c r="X124" s="83" t="str">
        <f>IFERROR(VLOOKUP($A124,'The List'!$B1:$AS665,31,FALSE)," ")</f>
        <v xml:space="preserve"> </v>
      </c>
      <c r="Y124" s="83" t="str">
        <f>IFERROR(VLOOKUP($A124,'The List'!$B1:$AS665,32,FALSE)," ")</f>
        <v xml:space="preserve"> </v>
      </c>
      <c r="Z124" s="83" t="str">
        <f>IFERROR(VLOOKUP($A124,'The List'!$B1:$AS665,33,FALSE)," ")</f>
        <v xml:space="preserve"> </v>
      </c>
      <c r="AA124" s="86"/>
      <c r="AB124" s="91"/>
      <c r="AC124" s="91"/>
      <c r="AD124" s="91"/>
      <c r="AE124" s="91"/>
      <c r="AF124" s="91"/>
    </row>
    <row r="125" spans="1:32" ht="21.25" customHeight="1" x14ac:dyDescent="0.15">
      <c r="A125" s="23"/>
      <c r="B125" s="94" t="str">
        <f>IFERROR(VLOOKUP($A125,'The List'!$B1:$AS665,3,FALSE)," ")</f>
        <v xml:space="preserve"> </v>
      </c>
      <c r="C125" s="96" t="str">
        <f>IFERROR(VLOOKUP($A125,'The List'!$B1:$AS665,4,FALSE)," ")</f>
        <v xml:space="preserve"> </v>
      </c>
      <c r="D125" s="65" t="str">
        <f>IFERROR(VLOOKUP($A125,'The List'!$B1:$AS665,5,FALSE)," ")</f>
        <v xml:space="preserve"> </v>
      </c>
      <c r="E125" s="65" t="str">
        <f>IFERROR(VLOOKUP($A125,'The List'!$B1:$AS665,6,FALSE)," ")</f>
        <v xml:space="preserve"> </v>
      </c>
      <c r="F125" s="93" t="str">
        <f>IFERROR(VLOOKUP($A125,'The List'!$B1:$AS665,8,FALSE)," ")</f>
        <v xml:space="preserve"> </v>
      </c>
      <c r="G125" s="93" t="str">
        <f>IFERROR(VLOOKUP($A125,'The List'!$B1:$AS665,10,FALSE)," ")</f>
        <v xml:space="preserve"> </v>
      </c>
      <c r="H125" s="54"/>
      <c r="I125" s="83" t="str">
        <f>IFERROR(VLOOKUP($A125,'The List'!$B1:$AS665,16,FALSE)," ")</f>
        <v xml:space="preserve"> </v>
      </c>
      <c r="J125" s="83" t="str">
        <f>IFERROR(VLOOKUP($A125,'The List'!$B1:$AS665,17,FALSE)," ")</f>
        <v xml:space="preserve"> </v>
      </c>
      <c r="K125" s="83" t="str">
        <f>IFERROR(VLOOKUP($A125,'The List'!$B1:$AS665,18,FALSE)," ")</f>
        <v xml:space="preserve"> </v>
      </c>
      <c r="L125" s="83" t="str">
        <f>IFERROR(VLOOKUP($A125,'The List'!$B1:$AS665,19,FALSE)," ")</f>
        <v xml:space="preserve"> </v>
      </c>
      <c r="M125" s="83" t="str">
        <f>IFERROR(VLOOKUP($A125,'The List'!$B1:$AS665,20,FALSE)," ")</f>
        <v xml:space="preserve"> </v>
      </c>
      <c r="N125" s="83" t="str">
        <f>IFERROR(VLOOKUP($A125,'The List'!$B1:$AS665,21,FALSE)," ")</f>
        <v xml:space="preserve"> </v>
      </c>
      <c r="O125" s="83" t="str">
        <f>IFERROR(VLOOKUP($A125,'The List'!$B1:$AS665,22,FALSE)," ")</f>
        <v xml:space="preserve"> </v>
      </c>
      <c r="P125" s="83" t="str">
        <f>IFERROR(VLOOKUP($A125,'The List'!$B1:$AS665,23,FALSE)," ")</f>
        <v xml:space="preserve"> </v>
      </c>
      <c r="Q125" s="83" t="str">
        <f>IFERROR(VLOOKUP($A125,'The List'!$B1:$AS665,24,FALSE)," ")</f>
        <v xml:space="preserve"> </v>
      </c>
      <c r="R125" s="83" t="str">
        <f>IFERROR(VLOOKUP($A125,'The List'!$B1:$AS665,25,FALSE)," ")</f>
        <v xml:space="preserve"> </v>
      </c>
      <c r="S125" s="83" t="str">
        <f>IFERROR(VLOOKUP($A125,'The List'!$B1:$AS665,26,FALSE)," ")</f>
        <v xml:space="preserve"> </v>
      </c>
      <c r="T125" s="83" t="str">
        <f>IFERROR(VLOOKUP($A125,'The List'!$B1:$AS665,27,FALSE)," ")</f>
        <v xml:space="preserve"> </v>
      </c>
      <c r="U125" s="83" t="str">
        <f>IFERROR(VLOOKUP($A125,'The List'!$B1:$AS665,28,FALSE)," ")</f>
        <v xml:space="preserve"> </v>
      </c>
      <c r="V125" s="83" t="str">
        <f>IFERROR(VLOOKUP($A125,'The List'!$B1:$AS665,29,FALSE)," ")</f>
        <v xml:space="preserve"> </v>
      </c>
      <c r="W125" s="83" t="str">
        <f>IFERROR(VLOOKUP($A125,'The List'!$B1:$AS665,30,FALSE)," ")</f>
        <v xml:space="preserve"> </v>
      </c>
      <c r="X125" s="83" t="str">
        <f>IFERROR(VLOOKUP($A125,'The List'!$B1:$AS665,31,FALSE)," ")</f>
        <v xml:space="preserve"> </v>
      </c>
      <c r="Y125" s="83" t="str">
        <f>IFERROR(VLOOKUP($A125,'The List'!$B1:$AS665,32,FALSE)," ")</f>
        <v xml:space="preserve"> </v>
      </c>
      <c r="Z125" s="83" t="str">
        <f>IFERROR(VLOOKUP($A125,'The List'!$B1:$AS665,33,FALSE)," ")</f>
        <v xml:space="preserve"> </v>
      </c>
      <c r="AA125" s="86"/>
      <c r="AB125" s="91"/>
      <c r="AC125" s="91"/>
      <c r="AD125" s="91"/>
      <c r="AE125" s="91"/>
      <c r="AF125" s="91"/>
    </row>
    <row r="126" spans="1:32" ht="21.25" customHeight="1" x14ac:dyDescent="0.15">
      <c r="A126" s="23"/>
      <c r="B126" s="97" t="str">
        <f>IFERROR(VLOOKUP($A126,'The List'!$B1:$AS665,3,FALSE)," ")</f>
        <v xml:space="preserve"> </v>
      </c>
      <c r="C126" s="99" t="str">
        <f>IFERROR(VLOOKUP($A126,'The List'!$B1:$AS665,4,FALSE)," ")</f>
        <v xml:space="preserve"> </v>
      </c>
      <c r="D126" s="65" t="str">
        <f>IFERROR(VLOOKUP($A126,'The List'!$B1:$AS665,5,FALSE)," ")</f>
        <v xml:space="preserve"> </v>
      </c>
      <c r="E126" s="65" t="str">
        <f>IFERROR(VLOOKUP($A126,'The List'!$B1:$AS665,6,FALSE)," ")</f>
        <v xml:space="preserve"> </v>
      </c>
      <c r="F126" s="93" t="str">
        <f>IFERROR(VLOOKUP($A126,'The List'!$B1:$AS665,8,FALSE)," ")</f>
        <v xml:space="preserve"> </v>
      </c>
      <c r="G126" s="93" t="str">
        <f>IFERROR(VLOOKUP($A126,'The List'!$B1:$AS665,10,FALSE)," ")</f>
        <v xml:space="preserve"> </v>
      </c>
      <c r="H126" s="54"/>
      <c r="I126" s="83" t="str">
        <f>IFERROR(VLOOKUP($A126,'The List'!$B1:$AS665,16,FALSE)," ")</f>
        <v xml:space="preserve"> </v>
      </c>
      <c r="J126" s="83" t="str">
        <f>IFERROR(VLOOKUP($A126,'The List'!$B1:$AS665,17,FALSE)," ")</f>
        <v xml:space="preserve"> </v>
      </c>
      <c r="K126" s="83" t="str">
        <f>IFERROR(VLOOKUP($A126,'The List'!$B1:$AS665,18,FALSE)," ")</f>
        <v xml:space="preserve"> </v>
      </c>
      <c r="L126" s="83" t="str">
        <f>IFERROR(VLOOKUP($A126,'The List'!$B1:$AS665,19,FALSE)," ")</f>
        <v xml:space="preserve"> </v>
      </c>
      <c r="M126" s="83" t="str">
        <f>IFERROR(VLOOKUP($A126,'The List'!$B1:$AS665,20,FALSE)," ")</f>
        <v xml:space="preserve"> </v>
      </c>
      <c r="N126" s="83" t="str">
        <f>IFERROR(VLOOKUP($A126,'The List'!$B1:$AS665,21,FALSE)," ")</f>
        <v xml:space="preserve"> </v>
      </c>
      <c r="O126" s="83" t="str">
        <f>IFERROR(VLOOKUP($A126,'The List'!$B1:$AS665,22,FALSE)," ")</f>
        <v xml:space="preserve"> </v>
      </c>
      <c r="P126" s="83" t="str">
        <f>IFERROR(VLOOKUP($A126,'The List'!$B1:$AS665,23,FALSE)," ")</f>
        <v xml:space="preserve"> </v>
      </c>
      <c r="Q126" s="83" t="str">
        <f>IFERROR(VLOOKUP($A126,'The List'!$B1:$AS665,24,FALSE)," ")</f>
        <v xml:space="preserve"> </v>
      </c>
      <c r="R126" s="83" t="str">
        <f>IFERROR(VLOOKUP($A126,'The List'!$B1:$AS665,25,FALSE)," ")</f>
        <v xml:space="preserve"> </v>
      </c>
      <c r="S126" s="83" t="str">
        <f>IFERROR(VLOOKUP($A126,'The List'!$B1:$AS665,26,FALSE)," ")</f>
        <v xml:space="preserve"> </v>
      </c>
      <c r="T126" s="83" t="str">
        <f>IFERROR(VLOOKUP($A126,'The List'!$B1:$AS665,27,FALSE)," ")</f>
        <v xml:space="preserve"> </v>
      </c>
      <c r="U126" s="83" t="str">
        <f>IFERROR(VLOOKUP($A126,'The List'!$B1:$AS665,28,FALSE)," ")</f>
        <v xml:space="preserve"> </v>
      </c>
      <c r="V126" s="83" t="str">
        <f>IFERROR(VLOOKUP($A126,'The List'!$B1:$AS665,29,FALSE)," ")</f>
        <v xml:space="preserve"> </v>
      </c>
      <c r="W126" s="83" t="str">
        <f>IFERROR(VLOOKUP($A126,'The List'!$B1:$AS665,30,FALSE)," ")</f>
        <v xml:space="preserve"> </v>
      </c>
      <c r="X126" s="83" t="str">
        <f>IFERROR(VLOOKUP($A126,'The List'!$B1:$AS665,31,FALSE)," ")</f>
        <v xml:space="preserve"> </v>
      </c>
      <c r="Y126" s="83" t="str">
        <f>IFERROR(VLOOKUP($A126,'The List'!$B1:$AS665,32,FALSE)," ")</f>
        <v xml:space="preserve"> </v>
      </c>
      <c r="Z126" s="83" t="str">
        <f>IFERROR(VLOOKUP($A126,'The List'!$B1:$AS665,33,FALSE)," ")</f>
        <v xml:space="preserve"> </v>
      </c>
      <c r="AA126" s="86"/>
      <c r="AB126" s="91"/>
      <c r="AC126" s="91"/>
      <c r="AD126" s="91"/>
      <c r="AE126" s="91"/>
      <c r="AF126" s="91"/>
    </row>
    <row r="127" spans="1:32" ht="21.25" customHeight="1" x14ac:dyDescent="0.15">
      <c r="A127" s="23"/>
      <c r="B127" s="97" t="str">
        <f>IFERROR(VLOOKUP($A127,'The List'!$B1:$AS665,3,FALSE)," ")</f>
        <v xml:space="preserve"> </v>
      </c>
      <c r="C127" s="99" t="str">
        <f>IFERROR(VLOOKUP($A127,'The List'!$B1:$AS665,4,FALSE)," ")</f>
        <v xml:space="preserve"> </v>
      </c>
      <c r="D127" s="65" t="str">
        <f>IFERROR(VLOOKUP($A127,'The List'!$B1:$AS665,5,FALSE)," ")</f>
        <v xml:space="preserve"> </v>
      </c>
      <c r="E127" s="65" t="str">
        <f>IFERROR(VLOOKUP($A127,'The List'!$B1:$AS665,6,FALSE)," ")</f>
        <v xml:space="preserve"> </v>
      </c>
      <c r="F127" s="93" t="str">
        <f>IFERROR(VLOOKUP($A127,'The List'!$B1:$AS665,8,FALSE)," ")</f>
        <v xml:space="preserve"> </v>
      </c>
      <c r="G127" s="93" t="str">
        <f>IFERROR(VLOOKUP($A127,'The List'!$B1:$AS665,10,FALSE)," ")</f>
        <v xml:space="preserve"> </v>
      </c>
      <c r="H127" s="54"/>
      <c r="I127" s="83" t="str">
        <f>IFERROR(VLOOKUP($A127,'The List'!$B1:$AS665,16,FALSE)," ")</f>
        <v xml:space="preserve"> </v>
      </c>
      <c r="J127" s="83" t="str">
        <f>IFERROR(VLOOKUP($A127,'The List'!$B1:$AS665,17,FALSE)," ")</f>
        <v xml:space="preserve"> </v>
      </c>
      <c r="K127" s="83" t="str">
        <f>IFERROR(VLOOKUP($A127,'The List'!$B1:$AS665,18,FALSE)," ")</f>
        <v xml:space="preserve"> </v>
      </c>
      <c r="L127" s="83" t="str">
        <f>IFERROR(VLOOKUP($A127,'The List'!$B1:$AS665,19,FALSE)," ")</f>
        <v xml:space="preserve"> </v>
      </c>
      <c r="M127" s="83" t="str">
        <f>IFERROR(VLOOKUP($A127,'The List'!$B1:$AS665,20,FALSE)," ")</f>
        <v xml:space="preserve"> </v>
      </c>
      <c r="N127" s="83" t="str">
        <f>IFERROR(VLOOKUP($A127,'The List'!$B1:$AS665,21,FALSE)," ")</f>
        <v xml:space="preserve"> </v>
      </c>
      <c r="O127" s="83" t="str">
        <f>IFERROR(VLOOKUP($A127,'The List'!$B1:$AS665,22,FALSE)," ")</f>
        <v xml:space="preserve"> </v>
      </c>
      <c r="P127" s="83" t="str">
        <f>IFERROR(VLOOKUP($A127,'The List'!$B1:$AS665,23,FALSE)," ")</f>
        <v xml:space="preserve"> </v>
      </c>
      <c r="Q127" s="83" t="str">
        <f>IFERROR(VLOOKUP($A127,'The List'!$B1:$AS665,24,FALSE)," ")</f>
        <v xml:space="preserve"> </v>
      </c>
      <c r="R127" s="83" t="str">
        <f>IFERROR(VLOOKUP($A127,'The List'!$B1:$AS665,25,FALSE)," ")</f>
        <v xml:space="preserve"> </v>
      </c>
      <c r="S127" s="83" t="str">
        <f>IFERROR(VLOOKUP($A127,'The List'!$B1:$AS665,26,FALSE)," ")</f>
        <v xml:space="preserve"> </v>
      </c>
      <c r="T127" s="83" t="str">
        <f>IFERROR(VLOOKUP($A127,'The List'!$B1:$AS665,27,FALSE)," ")</f>
        <v xml:space="preserve"> </v>
      </c>
      <c r="U127" s="83" t="str">
        <f>IFERROR(VLOOKUP($A127,'The List'!$B1:$AS665,28,FALSE)," ")</f>
        <v xml:space="preserve"> </v>
      </c>
      <c r="V127" s="83" t="str">
        <f>IFERROR(VLOOKUP($A127,'The List'!$B1:$AS665,29,FALSE)," ")</f>
        <v xml:space="preserve"> </v>
      </c>
      <c r="W127" s="83" t="str">
        <f>IFERROR(VLOOKUP($A127,'The List'!$B1:$AS665,30,FALSE)," ")</f>
        <v xml:space="preserve"> </v>
      </c>
      <c r="X127" s="83" t="str">
        <f>IFERROR(VLOOKUP($A127,'The List'!$B1:$AS665,31,FALSE)," ")</f>
        <v xml:space="preserve"> </v>
      </c>
      <c r="Y127" s="83" t="str">
        <f>IFERROR(VLOOKUP($A127,'The List'!$B1:$AS665,32,FALSE)," ")</f>
        <v xml:space="preserve"> </v>
      </c>
      <c r="Z127" s="83" t="str">
        <f>IFERROR(VLOOKUP($A127,'The List'!$B1:$AS665,33,FALSE)," ")</f>
        <v xml:space="preserve"> </v>
      </c>
      <c r="AA127" s="86"/>
      <c r="AB127" s="91"/>
      <c r="AC127" s="91"/>
      <c r="AD127" s="91"/>
      <c r="AE127" s="91"/>
      <c r="AF127" s="91"/>
    </row>
    <row r="128" spans="1:32" ht="21.25" customHeight="1" x14ac:dyDescent="0.15">
      <c r="A128" s="23"/>
      <c r="B128" s="97" t="str">
        <f>IFERROR(VLOOKUP($A128,'The List'!$B1:$AS665,3,FALSE)," ")</f>
        <v xml:space="preserve"> </v>
      </c>
      <c r="C128" s="99" t="str">
        <f>IFERROR(VLOOKUP($A128,'The List'!$B1:$AS665,4,FALSE)," ")</f>
        <v xml:space="preserve"> </v>
      </c>
      <c r="D128" s="65" t="str">
        <f>IFERROR(VLOOKUP($A128,'The List'!$B1:$AS665,5,FALSE)," ")</f>
        <v xml:space="preserve"> </v>
      </c>
      <c r="E128" s="65" t="str">
        <f>IFERROR(VLOOKUP($A128,'The List'!$B1:$AS665,6,FALSE)," ")</f>
        <v xml:space="preserve"> </v>
      </c>
      <c r="F128" s="93" t="str">
        <f>IFERROR(VLOOKUP($A128,'The List'!$B1:$AS665,8,FALSE)," ")</f>
        <v xml:space="preserve"> </v>
      </c>
      <c r="G128" s="93" t="str">
        <f>IFERROR(VLOOKUP($A128,'The List'!$B1:$AS665,10,FALSE)," ")</f>
        <v xml:space="preserve"> </v>
      </c>
      <c r="H128" s="54"/>
      <c r="I128" s="83" t="str">
        <f>IFERROR(VLOOKUP($A128,'The List'!$B1:$AS665,16,FALSE)," ")</f>
        <v xml:space="preserve"> </v>
      </c>
      <c r="J128" s="83" t="str">
        <f>IFERROR(VLOOKUP($A128,'The List'!$B1:$AS665,17,FALSE)," ")</f>
        <v xml:space="preserve"> </v>
      </c>
      <c r="K128" s="83" t="str">
        <f>IFERROR(VLOOKUP($A128,'The List'!$B1:$AS665,18,FALSE)," ")</f>
        <v xml:space="preserve"> </v>
      </c>
      <c r="L128" s="83" t="str">
        <f>IFERROR(VLOOKUP($A128,'The List'!$B1:$AS665,19,FALSE)," ")</f>
        <v xml:space="preserve"> </v>
      </c>
      <c r="M128" s="83" t="str">
        <f>IFERROR(VLOOKUP($A128,'The List'!$B1:$AS665,20,FALSE)," ")</f>
        <v xml:space="preserve"> </v>
      </c>
      <c r="N128" s="83" t="str">
        <f>IFERROR(VLOOKUP($A128,'The List'!$B1:$AS665,21,FALSE)," ")</f>
        <v xml:space="preserve"> </v>
      </c>
      <c r="O128" s="83" t="str">
        <f>IFERROR(VLOOKUP($A128,'The List'!$B1:$AS665,22,FALSE)," ")</f>
        <v xml:space="preserve"> </v>
      </c>
      <c r="P128" s="83" t="str">
        <f>IFERROR(VLOOKUP($A128,'The List'!$B1:$AS665,23,FALSE)," ")</f>
        <v xml:space="preserve"> </v>
      </c>
      <c r="Q128" s="83" t="str">
        <f>IFERROR(VLOOKUP($A128,'The List'!$B1:$AS665,24,FALSE)," ")</f>
        <v xml:space="preserve"> </v>
      </c>
      <c r="R128" s="83" t="str">
        <f>IFERROR(VLOOKUP($A128,'The List'!$B1:$AS665,25,FALSE)," ")</f>
        <v xml:space="preserve"> </v>
      </c>
      <c r="S128" s="83" t="str">
        <f>IFERROR(VLOOKUP($A128,'The List'!$B1:$AS665,26,FALSE)," ")</f>
        <v xml:space="preserve"> </v>
      </c>
      <c r="T128" s="83" t="str">
        <f>IFERROR(VLOOKUP($A128,'The List'!$B1:$AS665,27,FALSE)," ")</f>
        <v xml:space="preserve"> </v>
      </c>
      <c r="U128" s="83" t="str">
        <f>IFERROR(VLOOKUP($A128,'The List'!$B1:$AS665,28,FALSE)," ")</f>
        <v xml:space="preserve"> </v>
      </c>
      <c r="V128" s="83" t="str">
        <f>IFERROR(VLOOKUP($A128,'The List'!$B1:$AS665,29,FALSE)," ")</f>
        <v xml:space="preserve"> </v>
      </c>
      <c r="W128" s="83" t="str">
        <f>IFERROR(VLOOKUP($A128,'The List'!$B1:$AS665,30,FALSE)," ")</f>
        <v xml:space="preserve"> </v>
      </c>
      <c r="X128" s="83" t="str">
        <f>IFERROR(VLOOKUP($A128,'The List'!$B1:$AS665,31,FALSE)," ")</f>
        <v xml:space="preserve"> </v>
      </c>
      <c r="Y128" s="83" t="str">
        <f>IFERROR(VLOOKUP($A128,'The List'!$B1:$AS665,32,FALSE)," ")</f>
        <v xml:space="preserve"> </v>
      </c>
      <c r="Z128" s="83" t="str">
        <f>IFERROR(VLOOKUP($A128,'The List'!$B1:$AS665,33,FALSE)," ")</f>
        <v xml:space="preserve"> </v>
      </c>
      <c r="AA128" s="86"/>
      <c r="AB128" s="91"/>
      <c r="AC128" s="91"/>
      <c r="AD128" s="91"/>
      <c r="AE128" s="91"/>
      <c r="AF128" s="91"/>
    </row>
    <row r="129" spans="1:32" ht="21.25" customHeight="1" x14ac:dyDescent="0.15">
      <c r="A129" s="23"/>
      <c r="B129" s="97" t="str">
        <f>IFERROR(VLOOKUP($A129,'The List'!$B1:$AS665,3,FALSE)," ")</f>
        <v xml:space="preserve"> </v>
      </c>
      <c r="C129" s="99" t="str">
        <f>IFERROR(VLOOKUP($A129,'The List'!$B1:$AS665,4,FALSE)," ")</f>
        <v xml:space="preserve"> </v>
      </c>
      <c r="D129" s="65" t="str">
        <f>IFERROR(VLOOKUP($A129,'The List'!$B1:$AS665,5,FALSE)," ")</f>
        <v xml:space="preserve"> </v>
      </c>
      <c r="E129" s="65" t="str">
        <f>IFERROR(VLOOKUP($A129,'The List'!$B1:$AS665,6,FALSE)," ")</f>
        <v xml:space="preserve"> </v>
      </c>
      <c r="F129" s="93" t="str">
        <f>IFERROR(VLOOKUP($A129,'The List'!$B1:$AS665,8,FALSE)," ")</f>
        <v xml:space="preserve"> </v>
      </c>
      <c r="G129" s="93" t="str">
        <f>IFERROR(VLOOKUP($A129,'The List'!$B1:$AS665,10,FALSE)," ")</f>
        <v xml:space="preserve"> </v>
      </c>
      <c r="H129" s="54"/>
      <c r="I129" s="83" t="str">
        <f>IFERROR(VLOOKUP($A129,'The List'!$B1:$AS665,16,FALSE)," ")</f>
        <v xml:space="preserve"> </v>
      </c>
      <c r="J129" s="83" t="str">
        <f>IFERROR(VLOOKUP($A129,'The List'!$B1:$AS665,17,FALSE)," ")</f>
        <v xml:space="preserve"> </v>
      </c>
      <c r="K129" s="83" t="str">
        <f>IFERROR(VLOOKUP($A129,'The List'!$B1:$AS665,18,FALSE)," ")</f>
        <v xml:space="preserve"> </v>
      </c>
      <c r="L129" s="83" t="str">
        <f>IFERROR(VLOOKUP($A129,'The List'!$B1:$AS665,19,FALSE)," ")</f>
        <v xml:space="preserve"> </v>
      </c>
      <c r="M129" s="83" t="str">
        <f>IFERROR(VLOOKUP($A129,'The List'!$B1:$AS665,20,FALSE)," ")</f>
        <v xml:space="preserve"> </v>
      </c>
      <c r="N129" s="83" t="str">
        <f>IFERROR(VLOOKUP($A129,'The List'!$B1:$AS665,21,FALSE)," ")</f>
        <v xml:space="preserve"> </v>
      </c>
      <c r="O129" s="83" t="str">
        <f>IFERROR(VLOOKUP($A129,'The List'!$B1:$AS665,22,FALSE)," ")</f>
        <v xml:space="preserve"> </v>
      </c>
      <c r="P129" s="83" t="str">
        <f>IFERROR(VLOOKUP($A129,'The List'!$B1:$AS665,23,FALSE)," ")</f>
        <v xml:space="preserve"> </v>
      </c>
      <c r="Q129" s="83" t="str">
        <f>IFERROR(VLOOKUP($A129,'The List'!$B1:$AS665,24,FALSE)," ")</f>
        <v xml:space="preserve"> </v>
      </c>
      <c r="R129" s="83" t="str">
        <f>IFERROR(VLOOKUP($A129,'The List'!$B1:$AS665,25,FALSE)," ")</f>
        <v xml:space="preserve"> </v>
      </c>
      <c r="S129" s="83" t="str">
        <f>IFERROR(VLOOKUP($A129,'The List'!$B1:$AS665,26,FALSE)," ")</f>
        <v xml:space="preserve"> </v>
      </c>
      <c r="T129" s="83" t="str">
        <f>IFERROR(VLOOKUP($A129,'The List'!$B1:$AS665,27,FALSE)," ")</f>
        <v xml:space="preserve"> </v>
      </c>
      <c r="U129" s="83" t="str">
        <f>IFERROR(VLOOKUP($A129,'The List'!$B1:$AS665,28,FALSE)," ")</f>
        <v xml:space="preserve"> </v>
      </c>
      <c r="V129" s="83" t="str">
        <f>IFERROR(VLOOKUP($A129,'The List'!$B1:$AS665,29,FALSE)," ")</f>
        <v xml:space="preserve"> </v>
      </c>
      <c r="W129" s="83" t="str">
        <f>IFERROR(VLOOKUP($A129,'The List'!$B1:$AS665,30,FALSE)," ")</f>
        <v xml:space="preserve"> </v>
      </c>
      <c r="X129" s="83" t="str">
        <f>IFERROR(VLOOKUP($A129,'The List'!$B1:$AS665,31,FALSE)," ")</f>
        <v xml:space="preserve"> </v>
      </c>
      <c r="Y129" s="83" t="str">
        <f>IFERROR(VLOOKUP($A129,'The List'!$B1:$AS665,32,FALSE)," ")</f>
        <v xml:space="preserve"> </v>
      </c>
      <c r="Z129" s="83" t="str">
        <f>IFERROR(VLOOKUP($A129,'The List'!$B1:$AS665,33,FALSE)," ")</f>
        <v xml:space="preserve"> </v>
      </c>
      <c r="AA129" s="86"/>
      <c r="AB129" s="91"/>
      <c r="AC129" s="91"/>
      <c r="AD129" s="91"/>
      <c r="AE129" s="91"/>
      <c r="AF129" s="91"/>
    </row>
    <row r="130" spans="1:32" ht="21.25" customHeight="1" x14ac:dyDescent="0.15">
      <c r="A130" s="23"/>
      <c r="B130" s="100" t="str">
        <f>IFERROR(VLOOKUP($A130,'The List'!$B1:$AS665,3,FALSE)," ")</f>
        <v xml:space="preserve"> </v>
      </c>
      <c r="C130" s="102" t="str">
        <f>IFERROR(VLOOKUP($A130,'The List'!$B1:$AS665,4,FALSE)," ")</f>
        <v xml:space="preserve"> </v>
      </c>
      <c r="D130" s="65" t="str">
        <f>IFERROR(VLOOKUP($A130,'The List'!$B1:$AS665,5,FALSE)," ")</f>
        <v xml:space="preserve"> </v>
      </c>
      <c r="E130" s="65" t="str">
        <f>IFERROR(VLOOKUP($A130,'The List'!$B1:$AS665,6,FALSE)," ")</f>
        <v xml:space="preserve"> </v>
      </c>
      <c r="F130" s="93" t="str">
        <f>IFERROR(VLOOKUP($A130,'The List'!$B1:$AS665,8,FALSE)," ")</f>
        <v xml:space="preserve"> </v>
      </c>
      <c r="G130" s="93" t="str">
        <f>IFERROR(VLOOKUP($A130,'The List'!$B1:$AS665,10,FALSE)," ")</f>
        <v xml:space="preserve"> </v>
      </c>
      <c r="H130" s="54"/>
      <c r="I130" s="83" t="str">
        <f>IFERROR(VLOOKUP($A130,'The List'!$B1:$AS665,16,FALSE)," ")</f>
        <v xml:space="preserve"> </v>
      </c>
      <c r="J130" s="83" t="str">
        <f>IFERROR(VLOOKUP($A130,'The List'!$B1:$AS665,17,FALSE)," ")</f>
        <v xml:space="preserve"> </v>
      </c>
      <c r="K130" s="83" t="str">
        <f>IFERROR(VLOOKUP($A130,'The List'!$B1:$AS665,18,FALSE)," ")</f>
        <v xml:space="preserve"> </v>
      </c>
      <c r="L130" s="83" t="str">
        <f>IFERROR(VLOOKUP($A130,'The List'!$B1:$AS665,19,FALSE)," ")</f>
        <v xml:space="preserve"> </v>
      </c>
      <c r="M130" s="83" t="str">
        <f>IFERROR(VLOOKUP($A130,'The List'!$B1:$AS665,20,FALSE)," ")</f>
        <v xml:space="preserve"> </v>
      </c>
      <c r="N130" s="83" t="str">
        <f>IFERROR(VLOOKUP($A130,'The List'!$B1:$AS665,21,FALSE)," ")</f>
        <v xml:space="preserve"> </v>
      </c>
      <c r="O130" s="83" t="str">
        <f>IFERROR(VLOOKUP($A130,'The List'!$B1:$AS665,22,FALSE)," ")</f>
        <v xml:space="preserve"> </v>
      </c>
      <c r="P130" s="83" t="str">
        <f>IFERROR(VLOOKUP($A130,'The List'!$B1:$AS665,23,FALSE)," ")</f>
        <v xml:space="preserve"> </v>
      </c>
      <c r="Q130" s="83" t="str">
        <f>IFERROR(VLOOKUP($A130,'The List'!$B1:$AS665,24,FALSE)," ")</f>
        <v xml:space="preserve"> </v>
      </c>
      <c r="R130" s="83" t="str">
        <f>IFERROR(VLOOKUP($A130,'The List'!$B1:$AS665,25,FALSE)," ")</f>
        <v xml:space="preserve"> </v>
      </c>
      <c r="S130" s="83" t="str">
        <f>IFERROR(VLOOKUP($A130,'The List'!$B1:$AS665,26,FALSE)," ")</f>
        <v xml:space="preserve"> </v>
      </c>
      <c r="T130" s="83" t="str">
        <f>IFERROR(VLOOKUP($A130,'The List'!$B1:$AS665,27,FALSE)," ")</f>
        <v xml:space="preserve"> </v>
      </c>
      <c r="U130" s="83" t="str">
        <f>IFERROR(VLOOKUP($A130,'The List'!$B1:$AS665,28,FALSE)," ")</f>
        <v xml:space="preserve"> </v>
      </c>
      <c r="V130" s="83" t="str">
        <f>IFERROR(VLOOKUP($A130,'The List'!$B1:$AS665,29,FALSE)," ")</f>
        <v xml:space="preserve"> </v>
      </c>
      <c r="W130" s="83" t="str">
        <f>IFERROR(VLOOKUP($A130,'The List'!$B1:$AS665,30,FALSE)," ")</f>
        <v xml:space="preserve"> </v>
      </c>
      <c r="X130" s="83" t="str">
        <f>IFERROR(VLOOKUP($A130,'The List'!$B1:$AS665,31,FALSE)," ")</f>
        <v xml:space="preserve"> </v>
      </c>
      <c r="Y130" s="83" t="str">
        <f>IFERROR(VLOOKUP($A130,'The List'!$B1:$AS665,32,FALSE)," ")</f>
        <v xml:space="preserve"> </v>
      </c>
      <c r="Z130" s="83" t="str">
        <f>IFERROR(VLOOKUP($A130,'The List'!$B1:$AS665,33,FALSE)," ")</f>
        <v xml:space="preserve"> </v>
      </c>
      <c r="AA130" s="86"/>
      <c r="AB130" s="91"/>
      <c r="AC130" s="91"/>
      <c r="AD130" s="91"/>
      <c r="AE130" s="91"/>
      <c r="AF130" s="91"/>
    </row>
    <row r="131" spans="1:32" ht="21.25" customHeight="1" x14ac:dyDescent="0.15">
      <c r="A131" s="23"/>
      <c r="B131" s="100" t="str">
        <f>IFERROR(VLOOKUP($A131,'The List'!$B1:$AS665,3,FALSE)," ")</f>
        <v xml:space="preserve"> </v>
      </c>
      <c r="C131" s="102" t="str">
        <f>IFERROR(VLOOKUP($A131,'The List'!$B1:$AS665,4,FALSE)," ")</f>
        <v xml:space="preserve"> </v>
      </c>
      <c r="D131" s="65" t="str">
        <f>IFERROR(VLOOKUP($A131,'The List'!$B1:$AS665,5,FALSE)," ")</f>
        <v xml:space="preserve"> </v>
      </c>
      <c r="E131" s="65" t="str">
        <f>IFERROR(VLOOKUP($A131,'The List'!$B1:$AS665,6,FALSE)," ")</f>
        <v xml:space="preserve"> </v>
      </c>
      <c r="F131" s="93" t="str">
        <f>IFERROR(VLOOKUP($A131,'The List'!$B1:$AS665,8,FALSE)," ")</f>
        <v xml:space="preserve"> </v>
      </c>
      <c r="G131" s="93" t="str">
        <f>IFERROR(VLOOKUP($A131,'The List'!$B1:$AS665,10,FALSE)," ")</f>
        <v xml:space="preserve"> </v>
      </c>
      <c r="H131" s="54"/>
      <c r="I131" s="83" t="str">
        <f>IFERROR(VLOOKUP($A131,'The List'!$B1:$AS665,16,FALSE)," ")</f>
        <v xml:space="preserve"> </v>
      </c>
      <c r="J131" s="83" t="str">
        <f>IFERROR(VLOOKUP($A131,'The List'!$B1:$AS665,17,FALSE)," ")</f>
        <v xml:space="preserve"> </v>
      </c>
      <c r="K131" s="83" t="str">
        <f>IFERROR(VLOOKUP($A131,'The List'!$B1:$AS665,18,FALSE)," ")</f>
        <v xml:space="preserve"> </v>
      </c>
      <c r="L131" s="83" t="str">
        <f>IFERROR(VLOOKUP($A131,'The List'!$B1:$AS665,19,FALSE)," ")</f>
        <v xml:space="preserve"> </v>
      </c>
      <c r="M131" s="83" t="str">
        <f>IFERROR(VLOOKUP($A131,'The List'!$B1:$AS665,20,FALSE)," ")</f>
        <v xml:space="preserve"> </v>
      </c>
      <c r="N131" s="83" t="str">
        <f>IFERROR(VLOOKUP($A131,'The List'!$B1:$AS665,21,FALSE)," ")</f>
        <v xml:space="preserve"> </v>
      </c>
      <c r="O131" s="83" t="str">
        <f>IFERROR(VLOOKUP($A131,'The List'!$B1:$AS665,22,FALSE)," ")</f>
        <v xml:space="preserve"> </v>
      </c>
      <c r="P131" s="83" t="str">
        <f>IFERROR(VLOOKUP($A131,'The List'!$B1:$AS665,23,FALSE)," ")</f>
        <v xml:space="preserve"> </v>
      </c>
      <c r="Q131" s="83" t="str">
        <f>IFERROR(VLOOKUP($A131,'The List'!$B1:$AS665,24,FALSE)," ")</f>
        <v xml:space="preserve"> </v>
      </c>
      <c r="R131" s="83" t="str">
        <f>IFERROR(VLOOKUP($A131,'The List'!$B1:$AS665,25,FALSE)," ")</f>
        <v xml:space="preserve"> </v>
      </c>
      <c r="S131" s="83" t="str">
        <f>IFERROR(VLOOKUP($A131,'The List'!$B1:$AS665,26,FALSE)," ")</f>
        <v xml:space="preserve"> </v>
      </c>
      <c r="T131" s="83" t="str">
        <f>IFERROR(VLOOKUP($A131,'The List'!$B1:$AS665,27,FALSE)," ")</f>
        <v xml:space="preserve"> </v>
      </c>
      <c r="U131" s="83" t="str">
        <f>IFERROR(VLOOKUP($A131,'The List'!$B1:$AS665,28,FALSE)," ")</f>
        <v xml:space="preserve"> </v>
      </c>
      <c r="V131" s="83" t="str">
        <f>IFERROR(VLOOKUP($A131,'The List'!$B1:$AS665,29,FALSE)," ")</f>
        <v xml:space="preserve"> </v>
      </c>
      <c r="W131" s="83" t="str">
        <f>IFERROR(VLOOKUP($A131,'The List'!$B1:$AS665,30,FALSE)," ")</f>
        <v xml:space="preserve"> </v>
      </c>
      <c r="X131" s="83" t="str">
        <f>IFERROR(VLOOKUP($A131,'The List'!$B1:$AS665,31,FALSE)," ")</f>
        <v xml:space="preserve"> </v>
      </c>
      <c r="Y131" s="83" t="str">
        <f>IFERROR(VLOOKUP($A131,'The List'!$B1:$AS665,32,FALSE)," ")</f>
        <v xml:space="preserve"> </v>
      </c>
      <c r="Z131" s="83" t="str">
        <f>IFERROR(VLOOKUP($A131,'The List'!$B1:$AS665,33,FALSE)," ")</f>
        <v xml:space="preserve"> </v>
      </c>
      <c r="AA131" s="86"/>
      <c r="AB131" s="91"/>
      <c r="AC131" s="91"/>
      <c r="AD131" s="91"/>
      <c r="AE131" s="91"/>
      <c r="AF131" s="91"/>
    </row>
    <row r="132" spans="1:32" ht="21.25" customHeight="1" x14ac:dyDescent="0.15">
      <c r="A132" s="23"/>
      <c r="B132" s="100" t="str">
        <f>IFERROR(VLOOKUP($A132,'The List'!$B1:$AS665,3,FALSE)," ")</f>
        <v xml:space="preserve"> </v>
      </c>
      <c r="C132" s="102" t="str">
        <f>IFERROR(VLOOKUP($A132,'The List'!$B1:$AS665,4,FALSE)," ")</f>
        <v xml:space="preserve"> </v>
      </c>
      <c r="D132" s="65" t="str">
        <f>IFERROR(VLOOKUP($A132,'The List'!$B1:$AS665,5,FALSE)," ")</f>
        <v xml:space="preserve"> </v>
      </c>
      <c r="E132" s="65" t="str">
        <f>IFERROR(VLOOKUP($A132,'The List'!$B1:$AS665,6,FALSE)," ")</f>
        <v xml:space="preserve"> </v>
      </c>
      <c r="F132" s="93" t="str">
        <f>IFERROR(VLOOKUP($A132,'The List'!$B1:$AS665,8,FALSE)," ")</f>
        <v xml:space="preserve"> </v>
      </c>
      <c r="G132" s="93" t="str">
        <f>IFERROR(VLOOKUP($A132,'The List'!$B1:$AS665,10,FALSE)," ")</f>
        <v xml:space="preserve"> </v>
      </c>
      <c r="H132" s="54"/>
      <c r="I132" s="83" t="str">
        <f>IFERROR(VLOOKUP($A132,'The List'!$B1:$AS665,16,FALSE)," ")</f>
        <v xml:space="preserve"> </v>
      </c>
      <c r="J132" s="83" t="str">
        <f>IFERROR(VLOOKUP($A132,'The List'!$B1:$AS665,17,FALSE)," ")</f>
        <v xml:space="preserve"> </v>
      </c>
      <c r="K132" s="83" t="str">
        <f>IFERROR(VLOOKUP($A132,'The List'!$B1:$AS665,18,FALSE)," ")</f>
        <v xml:space="preserve"> </v>
      </c>
      <c r="L132" s="83" t="str">
        <f>IFERROR(VLOOKUP($A132,'The List'!$B1:$AS665,19,FALSE)," ")</f>
        <v xml:space="preserve"> </v>
      </c>
      <c r="M132" s="83" t="str">
        <f>IFERROR(VLOOKUP($A132,'The List'!$B1:$AS665,20,FALSE)," ")</f>
        <v xml:space="preserve"> </v>
      </c>
      <c r="N132" s="83" t="str">
        <f>IFERROR(VLOOKUP($A132,'The List'!$B1:$AS665,21,FALSE)," ")</f>
        <v xml:space="preserve"> </v>
      </c>
      <c r="O132" s="83" t="str">
        <f>IFERROR(VLOOKUP($A132,'The List'!$B1:$AS665,22,FALSE)," ")</f>
        <v xml:space="preserve"> </v>
      </c>
      <c r="P132" s="83" t="str">
        <f>IFERROR(VLOOKUP($A132,'The List'!$B1:$AS665,23,FALSE)," ")</f>
        <v xml:space="preserve"> </v>
      </c>
      <c r="Q132" s="83" t="str">
        <f>IFERROR(VLOOKUP($A132,'The List'!$B1:$AS665,24,FALSE)," ")</f>
        <v xml:space="preserve"> </v>
      </c>
      <c r="R132" s="83" t="str">
        <f>IFERROR(VLOOKUP($A132,'The List'!$B1:$AS665,25,FALSE)," ")</f>
        <v xml:space="preserve"> </v>
      </c>
      <c r="S132" s="83" t="str">
        <f>IFERROR(VLOOKUP($A132,'The List'!$B1:$AS665,26,FALSE)," ")</f>
        <v xml:space="preserve"> </v>
      </c>
      <c r="T132" s="83" t="str">
        <f>IFERROR(VLOOKUP($A132,'The List'!$B1:$AS665,27,FALSE)," ")</f>
        <v xml:space="preserve"> </v>
      </c>
      <c r="U132" s="83" t="str">
        <f>IFERROR(VLOOKUP($A132,'The List'!$B1:$AS665,28,FALSE)," ")</f>
        <v xml:space="preserve"> </v>
      </c>
      <c r="V132" s="83" t="str">
        <f>IFERROR(VLOOKUP($A132,'The List'!$B1:$AS665,29,FALSE)," ")</f>
        <v xml:space="preserve"> </v>
      </c>
      <c r="W132" s="83" t="str">
        <f>IFERROR(VLOOKUP($A132,'The List'!$B1:$AS665,30,FALSE)," ")</f>
        <v xml:space="preserve"> </v>
      </c>
      <c r="X132" s="83" t="str">
        <f>IFERROR(VLOOKUP($A132,'The List'!$B1:$AS665,31,FALSE)," ")</f>
        <v xml:space="preserve"> </v>
      </c>
      <c r="Y132" s="83" t="str">
        <f>IFERROR(VLOOKUP($A132,'The List'!$B1:$AS665,32,FALSE)," ")</f>
        <v xml:space="preserve"> </v>
      </c>
      <c r="Z132" s="83" t="str">
        <f>IFERROR(VLOOKUP($A132,'The List'!$B1:$AS665,33,FALSE)," ")</f>
        <v xml:space="preserve"> </v>
      </c>
      <c r="AA132" s="86"/>
      <c r="AB132" s="91"/>
      <c r="AC132" s="91"/>
      <c r="AD132" s="91"/>
      <c r="AE132" s="91"/>
      <c r="AF132" s="91"/>
    </row>
    <row r="133" spans="1:32" ht="21.25" customHeight="1" x14ac:dyDescent="0.15">
      <c r="A133" s="23"/>
      <c r="B133" s="100" t="str">
        <f>IFERROR(VLOOKUP($A133,'The List'!$B1:$AS665,3,FALSE)," ")</f>
        <v xml:space="preserve"> </v>
      </c>
      <c r="C133" s="102" t="str">
        <f>IFERROR(VLOOKUP($A133,'The List'!$B1:$AS665,4,FALSE)," ")</f>
        <v xml:space="preserve"> </v>
      </c>
      <c r="D133" s="65" t="str">
        <f>IFERROR(VLOOKUP($A133,'The List'!$B1:$AS665,5,FALSE)," ")</f>
        <v xml:space="preserve"> </v>
      </c>
      <c r="E133" s="65" t="str">
        <f>IFERROR(VLOOKUP($A133,'The List'!$B1:$AS665,6,FALSE)," ")</f>
        <v xml:space="preserve"> </v>
      </c>
      <c r="F133" s="93" t="str">
        <f>IFERROR(VLOOKUP($A133,'The List'!$B1:$AS665,8,FALSE)," ")</f>
        <v xml:space="preserve"> </v>
      </c>
      <c r="G133" s="93" t="str">
        <f>IFERROR(VLOOKUP($A133,'The List'!$B1:$AS665,10,FALSE)," ")</f>
        <v xml:space="preserve"> </v>
      </c>
      <c r="H133" s="54"/>
      <c r="I133" s="83" t="str">
        <f>IFERROR(VLOOKUP($A133,'The List'!$B1:$AS665,16,FALSE)," ")</f>
        <v xml:space="preserve"> </v>
      </c>
      <c r="J133" s="83" t="str">
        <f>IFERROR(VLOOKUP($A133,'The List'!$B1:$AS665,17,FALSE)," ")</f>
        <v xml:space="preserve"> </v>
      </c>
      <c r="K133" s="83" t="str">
        <f>IFERROR(VLOOKUP($A133,'The List'!$B1:$AS665,18,FALSE)," ")</f>
        <v xml:space="preserve"> </v>
      </c>
      <c r="L133" s="83" t="str">
        <f>IFERROR(VLOOKUP($A133,'The List'!$B1:$AS665,19,FALSE)," ")</f>
        <v xml:space="preserve"> </v>
      </c>
      <c r="M133" s="83" t="str">
        <f>IFERROR(VLOOKUP($A133,'The List'!$B1:$AS665,20,FALSE)," ")</f>
        <v xml:space="preserve"> </v>
      </c>
      <c r="N133" s="83" t="str">
        <f>IFERROR(VLOOKUP($A133,'The List'!$B1:$AS665,21,FALSE)," ")</f>
        <v xml:space="preserve"> </v>
      </c>
      <c r="O133" s="83" t="str">
        <f>IFERROR(VLOOKUP($A133,'The List'!$B1:$AS665,22,FALSE)," ")</f>
        <v xml:space="preserve"> </v>
      </c>
      <c r="P133" s="83" t="str">
        <f>IFERROR(VLOOKUP($A133,'The List'!$B1:$AS665,23,FALSE)," ")</f>
        <v xml:space="preserve"> </v>
      </c>
      <c r="Q133" s="83" t="str">
        <f>IFERROR(VLOOKUP($A133,'The List'!$B1:$AS665,24,FALSE)," ")</f>
        <v xml:space="preserve"> </v>
      </c>
      <c r="R133" s="83" t="str">
        <f>IFERROR(VLOOKUP($A133,'The List'!$B1:$AS665,25,FALSE)," ")</f>
        <v xml:space="preserve"> </v>
      </c>
      <c r="S133" s="83" t="str">
        <f>IFERROR(VLOOKUP($A133,'The List'!$B1:$AS665,26,FALSE)," ")</f>
        <v xml:space="preserve"> </v>
      </c>
      <c r="T133" s="83" t="str">
        <f>IFERROR(VLOOKUP($A133,'The List'!$B1:$AS665,27,FALSE)," ")</f>
        <v xml:space="preserve"> </v>
      </c>
      <c r="U133" s="83" t="str">
        <f>IFERROR(VLOOKUP($A133,'The List'!$B1:$AS665,28,FALSE)," ")</f>
        <v xml:space="preserve"> </v>
      </c>
      <c r="V133" s="83" t="str">
        <f>IFERROR(VLOOKUP($A133,'The List'!$B1:$AS665,29,FALSE)," ")</f>
        <v xml:space="preserve"> </v>
      </c>
      <c r="W133" s="83" t="str">
        <f>IFERROR(VLOOKUP($A133,'The List'!$B1:$AS665,30,FALSE)," ")</f>
        <v xml:space="preserve"> </v>
      </c>
      <c r="X133" s="83" t="str">
        <f>IFERROR(VLOOKUP($A133,'The List'!$B1:$AS665,31,FALSE)," ")</f>
        <v xml:space="preserve"> </v>
      </c>
      <c r="Y133" s="83" t="str">
        <f>IFERROR(VLOOKUP($A133,'The List'!$B1:$AS665,32,FALSE)," ")</f>
        <v xml:space="preserve"> </v>
      </c>
      <c r="Z133" s="83" t="str">
        <f>IFERROR(VLOOKUP($A133,'The List'!$B1:$AS665,33,FALSE)," ")</f>
        <v xml:space="preserve"> </v>
      </c>
      <c r="AA133" s="86"/>
      <c r="AB133" s="91"/>
      <c r="AC133" s="91"/>
      <c r="AD133" s="91"/>
      <c r="AE133" s="91"/>
      <c r="AF133" s="91"/>
    </row>
    <row r="134" spans="1:32" ht="21.25" customHeight="1" x14ac:dyDescent="0.15">
      <c r="A134" s="23"/>
      <c r="B134" s="100" t="str">
        <f>IFERROR(VLOOKUP($A134,'The List'!$B1:$AS665,3,FALSE)," ")</f>
        <v xml:space="preserve"> </v>
      </c>
      <c r="C134" s="102" t="str">
        <f>IFERROR(VLOOKUP($A134,'The List'!$B1:$AS665,4,FALSE)," ")</f>
        <v xml:space="preserve"> </v>
      </c>
      <c r="D134" s="65" t="str">
        <f>IFERROR(VLOOKUP($A134,'The List'!$B1:$AS665,5,FALSE)," ")</f>
        <v xml:space="preserve"> </v>
      </c>
      <c r="E134" s="65" t="str">
        <f>IFERROR(VLOOKUP($A134,'The List'!$B1:$AS665,6,FALSE)," ")</f>
        <v xml:space="preserve"> </v>
      </c>
      <c r="F134" s="93" t="str">
        <f>IFERROR(VLOOKUP($A134,'The List'!$B1:$AS665,8,FALSE)," ")</f>
        <v xml:space="preserve"> </v>
      </c>
      <c r="G134" s="93" t="str">
        <f>IFERROR(VLOOKUP($A134,'The List'!$B1:$AS665,10,FALSE)," ")</f>
        <v xml:space="preserve"> </v>
      </c>
      <c r="H134" s="54"/>
      <c r="I134" s="83" t="str">
        <f>IFERROR(VLOOKUP($A134,'The List'!$B1:$AS665,16,FALSE)," ")</f>
        <v xml:space="preserve"> </v>
      </c>
      <c r="J134" s="83" t="str">
        <f>IFERROR(VLOOKUP($A134,'The List'!$B1:$AS665,17,FALSE)," ")</f>
        <v xml:space="preserve"> </v>
      </c>
      <c r="K134" s="83" t="str">
        <f>IFERROR(VLOOKUP($A134,'The List'!$B1:$AS665,18,FALSE)," ")</f>
        <v xml:space="preserve"> </v>
      </c>
      <c r="L134" s="83" t="str">
        <f>IFERROR(VLOOKUP($A134,'The List'!$B1:$AS665,19,FALSE)," ")</f>
        <v xml:space="preserve"> </v>
      </c>
      <c r="M134" s="83" t="str">
        <f>IFERROR(VLOOKUP($A134,'The List'!$B1:$AS665,20,FALSE)," ")</f>
        <v xml:space="preserve"> </v>
      </c>
      <c r="N134" s="83" t="str">
        <f>IFERROR(VLOOKUP($A134,'The List'!$B1:$AS665,21,FALSE)," ")</f>
        <v xml:space="preserve"> </v>
      </c>
      <c r="O134" s="83" t="str">
        <f>IFERROR(VLOOKUP($A134,'The List'!$B1:$AS665,22,FALSE)," ")</f>
        <v xml:space="preserve"> </v>
      </c>
      <c r="P134" s="83" t="str">
        <f>IFERROR(VLOOKUP($A134,'The List'!$B1:$AS665,23,FALSE)," ")</f>
        <v xml:space="preserve"> </v>
      </c>
      <c r="Q134" s="83" t="str">
        <f>IFERROR(VLOOKUP($A134,'The List'!$B1:$AS665,24,FALSE)," ")</f>
        <v xml:space="preserve"> </v>
      </c>
      <c r="R134" s="83" t="str">
        <f>IFERROR(VLOOKUP($A134,'The List'!$B1:$AS665,25,FALSE)," ")</f>
        <v xml:space="preserve"> </v>
      </c>
      <c r="S134" s="83" t="str">
        <f>IFERROR(VLOOKUP($A134,'The List'!$B1:$AS665,26,FALSE)," ")</f>
        <v xml:space="preserve"> </v>
      </c>
      <c r="T134" s="83" t="str">
        <f>IFERROR(VLOOKUP($A134,'The List'!$B1:$AS665,27,FALSE)," ")</f>
        <v xml:space="preserve"> </v>
      </c>
      <c r="U134" s="83" t="str">
        <f>IFERROR(VLOOKUP($A134,'The List'!$B1:$AS665,28,FALSE)," ")</f>
        <v xml:space="preserve"> </v>
      </c>
      <c r="V134" s="83" t="str">
        <f>IFERROR(VLOOKUP($A134,'The List'!$B1:$AS665,29,FALSE)," ")</f>
        <v xml:space="preserve"> </v>
      </c>
      <c r="W134" s="83" t="str">
        <f>IFERROR(VLOOKUP($A134,'The List'!$B1:$AS665,30,FALSE)," ")</f>
        <v xml:space="preserve"> </v>
      </c>
      <c r="X134" s="83" t="str">
        <f>IFERROR(VLOOKUP($A134,'The List'!$B1:$AS665,31,FALSE)," ")</f>
        <v xml:space="preserve"> </v>
      </c>
      <c r="Y134" s="83" t="str">
        <f>IFERROR(VLOOKUP($A134,'The List'!$B1:$AS665,32,FALSE)," ")</f>
        <v xml:space="preserve"> </v>
      </c>
      <c r="Z134" s="83" t="str">
        <f>IFERROR(VLOOKUP($A134,'The List'!$B1:$AS665,33,FALSE)," ")</f>
        <v xml:space="preserve"> </v>
      </c>
      <c r="AA134" s="86"/>
      <c r="AB134" s="91"/>
      <c r="AC134" s="91"/>
      <c r="AD134" s="91"/>
      <c r="AE134" s="91"/>
      <c r="AF134" s="91"/>
    </row>
    <row r="135" spans="1:32" ht="21.25" customHeight="1" x14ac:dyDescent="0.15">
      <c r="A135" s="23"/>
      <c r="B135" s="100" t="str">
        <f>IFERROR(VLOOKUP($A135,'The List'!$B1:$AS665,3,FALSE)," ")</f>
        <v xml:space="preserve"> </v>
      </c>
      <c r="C135" s="102" t="str">
        <f>IFERROR(VLOOKUP($A135,'The List'!$B1:$AS665,4,FALSE)," ")</f>
        <v xml:space="preserve"> </v>
      </c>
      <c r="D135" s="65" t="str">
        <f>IFERROR(VLOOKUP($A135,'The List'!$B1:$AS665,5,FALSE)," ")</f>
        <v xml:space="preserve"> </v>
      </c>
      <c r="E135" s="65" t="str">
        <f>IFERROR(VLOOKUP($A135,'The List'!$B1:$AS665,6,FALSE)," ")</f>
        <v xml:space="preserve"> </v>
      </c>
      <c r="F135" s="93" t="str">
        <f>IFERROR(VLOOKUP($A135,'The List'!$B1:$AS665,8,FALSE)," ")</f>
        <v xml:space="preserve"> </v>
      </c>
      <c r="G135" s="93" t="str">
        <f>IFERROR(VLOOKUP($A135,'The List'!$B1:$AS665,10,FALSE)," ")</f>
        <v xml:space="preserve"> </v>
      </c>
      <c r="H135" s="54"/>
      <c r="I135" s="83" t="str">
        <f>IFERROR(VLOOKUP($A135,'The List'!$B1:$AS665,16,FALSE)," ")</f>
        <v xml:space="preserve"> </v>
      </c>
      <c r="J135" s="83" t="str">
        <f>IFERROR(VLOOKUP($A135,'The List'!$B1:$AS665,17,FALSE)," ")</f>
        <v xml:space="preserve"> </v>
      </c>
      <c r="K135" s="83" t="str">
        <f>IFERROR(VLOOKUP($A135,'The List'!$B1:$AS665,18,FALSE)," ")</f>
        <v xml:space="preserve"> </v>
      </c>
      <c r="L135" s="83" t="str">
        <f>IFERROR(VLOOKUP($A135,'The List'!$B1:$AS665,19,FALSE)," ")</f>
        <v xml:space="preserve"> </v>
      </c>
      <c r="M135" s="83" t="str">
        <f>IFERROR(VLOOKUP($A135,'The List'!$B1:$AS665,20,FALSE)," ")</f>
        <v xml:space="preserve"> </v>
      </c>
      <c r="N135" s="83" t="str">
        <f>IFERROR(VLOOKUP($A135,'The List'!$B1:$AS665,21,FALSE)," ")</f>
        <v xml:space="preserve"> </v>
      </c>
      <c r="O135" s="83" t="str">
        <f>IFERROR(VLOOKUP($A135,'The List'!$B1:$AS665,22,FALSE)," ")</f>
        <v xml:space="preserve"> </v>
      </c>
      <c r="P135" s="83" t="str">
        <f>IFERROR(VLOOKUP($A135,'The List'!$B1:$AS665,23,FALSE)," ")</f>
        <v xml:space="preserve"> </v>
      </c>
      <c r="Q135" s="83" t="str">
        <f>IFERROR(VLOOKUP($A135,'The List'!$B1:$AS665,24,FALSE)," ")</f>
        <v xml:space="preserve"> </v>
      </c>
      <c r="R135" s="83" t="str">
        <f>IFERROR(VLOOKUP($A135,'The List'!$B1:$AS665,25,FALSE)," ")</f>
        <v xml:space="preserve"> </v>
      </c>
      <c r="S135" s="83" t="str">
        <f>IFERROR(VLOOKUP($A135,'The List'!$B1:$AS665,26,FALSE)," ")</f>
        <v xml:space="preserve"> </v>
      </c>
      <c r="T135" s="83" t="str">
        <f>IFERROR(VLOOKUP($A135,'The List'!$B1:$AS665,27,FALSE)," ")</f>
        <v xml:space="preserve"> </v>
      </c>
      <c r="U135" s="83" t="str">
        <f>IFERROR(VLOOKUP($A135,'The List'!$B1:$AS665,28,FALSE)," ")</f>
        <v xml:space="preserve"> </v>
      </c>
      <c r="V135" s="83" t="str">
        <f>IFERROR(VLOOKUP($A135,'The List'!$B1:$AS665,29,FALSE)," ")</f>
        <v xml:space="preserve"> </v>
      </c>
      <c r="W135" s="83" t="str">
        <f>IFERROR(VLOOKUP($A135,'The List'!$B1:$AS665,30,FALSE)," ")</f>
        <v xml:space="preserve"> </v>
      </c>
      <c r="X135" s="83" t="str">
        <f>IFERROR(VLOOKUP($A135,'The List'!$B1:$AS665,31,FALSE)," ")</f>
        <v xml:space="preserve"> </v>
      </c>
      <c r="Y135" s="83" t="str">
        <f>IFERROR(VLOOKUP($A135,'The List'!$B1:$AS665,32,FALSE)," ")</f>
        <v xml:space="preserve"> </v>
      </c>
      <c r="Z135" s="83" t="str">
        <f>IFERROR(VLOOKUP($A135,'The List'!$B1:$AS665,33,FALSE)," ")</f>
        <v xml:space="preserve"> </v>
      </c>
      <c r="AA135" s="86"/>
      <c r="AB135" s="91"/>
      <c r="AC135" s="91"/>
      <c r="AD135" s="91"/>
      <c r="AE135" s="91"/>
      <c r="AF135" s="91"/>
    </row>
    <row r="136" spans="1:32" ht="21.25" customHeight="1" x14ac:dyDescent="0.15">
      <c r="A136" s="23"/>
      <c r="B136" s="100" t="str">
        <f>IFERROR(VLOOKUP($A136,'The List'!$B1:$AS665,3,FALSE)," ")</f>
        <v xml:space="preserve"> </v>
      </c>
      <c r="C136" s="102" t="str">
        <f>IFERROR(VLOOKUP($A136,'The List'!$B1:$AS665,4,FALSE)," ")</f>
        <v xml:space="preserve"> </v>
      </c>
      <c r="D136" s="65" t="str">
        <f>IFERROR(VLOOKUP($A136,'The List'!$B1:$AS665,5,FALSE)," ")</f>
        <v xml:space="preserve"> </v>
      </c>
      <c r="E136" s="65" t="str">
        <f>IFERROR(VLOOKUP($A136,'The List'!$B1:$AS665,6,FALSE)," ")</f>
        <v xml:space="preserve"> </v>
      </c>
      <c r="F136" s="93" t="str">
        <f>IFERROR(VLOOKUP($A136,'The List'!$B1:$AS665,8,FALSE)," ")</f>
        <v xml:space="preserve"> </v>
      </c>
      <c r="G136" s="93" t="str">
        <f>IFERROR(VLOOKUP($A136,'The List'!$B1:$AS665,10,FALSE)," ")</f>
        <v xml:space="preserve"> </v>
      </c>
      <c r="H136" s="54"/>
      <c r="I136" s="83" t="str">
        <f>IFERROR(VLOOKUP($A136,'The List'!$B1:$AS665,16,FALSE)," ")</f>
        <v xml:space="preserve"> </v>
      </c>
      <c r="J136" s="83" t="str">
        <f>IFERROR(VLOOKUP($A136,'The List'!$B1:$AS665,17,FALSE)," ")</f>
        <v xml:space="preserve"> </v>
      </c>
      <c r="K136" s="83" t="str">
        <f>IFERROR(VLOOKUP($A136,'The List'!$B1:$AS665,18,FALSE)," ")</f>
        <v xml:space="preserve"> </v>
      </c>
      <c r="L136" s="83" t="str">
        <f>IFERROR(VLOOKUP($A136,'The List'!$B1:$AS665,19,FALSE)," ")</f>
        <v xml:space="preserve"> </v>
      </c>
      <c r="M136" s="83" t="str">
        <f>IFERROR(VLOOKUP($A136,'The List'!$B1:$AS665,20,FALSE)," ")</f>
        <v xml:space="preserve"> </v>
      </c>
      <c r="N136" s="83" t="str">
        <f>IFERROR(VLOOKUP($A136,'The List'!$B1:$AS665,21,FALSE)," ")</f>
        <v xml:space="preserve"> </v>
      </c>
      <c r="O136" s="83" t="str">
        <f>IFERROR(VLOOKUP($A136,'The List'!$B1:$AS665,22,FALSE)," ")</f>
        <v xml:space="preserve"> </v>
      </c>
      <c r="P136" s="83" t="str">
        <f>IFERROR(VLOOKUP($A136,'The List'!$B1:$AS665,23,FALSE)," ")</f>
        <v xml:space="preserve"> </v>
      </c>
      <c r="Q136" s="83" t="str">
        <f>IFERROR(VLOOKUP($A136,'The List'!$B1:$AS665,24,FALSE)," ")</f>
        <v xml:space="preserve"> </v>
      </c>
      <c r="R136" s="83" t="str">
        <f>IFERROR(VLOOKUP($A136,'The List'!$B1:$AS665,25,FALSE)," ")</f>
        <v xml:space="preserve"> </v>
      </c>
      <c r="S136" s="83" t="str">
        <f>IFERROR(VLOOKUP($A136,'The List'!$B1:$AS665,26,FALSE)," ")</f>
        <v xml:space="preserve"> </v>
      </c>
      <c r="T136" s="83" t="str">
        <f>IFERROR(VLOOKUP($A136,'The List'!$B1:$AS665,27,FALSE)," ")</f>
        <v xml:space="preserve"> </v>
      </c>
      <c r="U136" s="83" t="str">
        <f>IFERROR(VLOOKUP($A136,'The List'!$B1:$AS665,28,FALSE)," ")</f>
        <v xml:space="preserve"> </v>
      </c>
      <c r="V136" s="83" t="str">
        <f>IFERROR(VLOOKUP($A136,'The List'!$B1:$AS665,29,FALSE)," ")</f>
        <v xml:space="preserve"> </v>
      </c>
      <c r="W136" s="83" t="str">
        <f>IFERROR(VLOOKUP($A136,'The List'!$B1:$AS665,30,FALSE)," ")</f>
        <v xml:space="preserve"> </v>
      </c>
      <c r="X136" s="83" t="str">
        <f>IFERROR(VLOOKUP($A136,'The List'!$B1:$AS665,31,FALSE)," ")</f>
        <v xml:space="preserve"> </v>
      </c>
      <c r="Y136" s="83" t="str">
        <f>IFERROR(VLOOKUP($A136,'The List'!$B1:$AS665,32,FALSE)," ")</f>
        <v xml:space="preserve"> </v>
      </c>
      <c r="Z136" s="83" t="str">
        <f>IFERROR(VLOOKUP($A136,'The List'!$B1:$AS665,33,FALSE)," ")</f>
        <v xml:space="preserve"> </v>
      </c>
      <c r="AA136" s="86"/>
      <c r="AB136" s="91"/>
      <c r="AC136" s="91"/>
      <c r="AD136" s="91"/>
      <c r="AE136" s="91"/>
      <c r="AF136" s="91"/>
    </row>
    <row r="137" spans="1:32" ht="21.25" customHeight="1" x14ac:dyDescent="0.15">
      <c r="A137" s="104"/>
      <c r="B137" s="105" t="str">
        <f>IFERROR(VLOOKUP($A137,'The List'!$B1:$AS665,3,FALSE)," ")</f>
        <v xml:space="preserve"> </v>
      </c>
      <c r="C137" s="106" t="str">
        <f>IFERROR(VLOOKUP($A137,'The List'!$B1:$AS665,4,FALSE)," ")</f>
        <v xml:space="preserve"> </v>
      </c>
      <c r="D137" s="107" t="str">
        <f>IFERROR(VLOOKUP($A137,'The List'!$B1:$AS665,5,FALSE)," ")</f>
        <v xml:space="preserve"> </v>
      </c>
      <c r="E137" s="107" t="str">
        <f>IFERROR(VLOOKUP($A137,'The List'!$B1:$AS665,6,FALSE)," ")</f>
        <v xml:space="preserve"> </v>
      </c>
      <c r="F137" s="108" t="str">
        <f>IFERROR(VLOOKUP($A137,'The List'!$B1:$AS665,8,FALSE)," ")</f>
        <v xml:space="preserve"> </v>
      </c>
      <c r="G137" s="108" t="str">
        <f>IFERROR(VLOOKUP($A137,'The List'!$B1:$AS665,10,FALSE)," ")</f>
        <v xml:space="preserve"> </v>
      </c>
      <c r="H137" s="109"/>
      <c r="I137" s="110" t="str">
        <f>IFERROR(VLOOKUP($A137,'The List'!$B1:$AS665,16,FALSE)," ")</f>
        <v xml:space="preserve"> </v>
      </c>
      <c r="J137" s="110" t="str">
        <f>IFERROR(VLOOKUP($A137,'The List'!$B1:$AS665,17,FALSE)," ")</f>
        <v xml:space="preserve"> </v>
      </c>
      <c r="K137" s="110" t="str">
        <f>IFERROR(VLOOKUP($A137,'The List'!$B1:$AS665,18,FALSE)," ")</f>
        <v xml:space="preserve"> </v>
      </c>
      <c r="L137" s="110" t="str">
        <f>IFERROR(VLOOKUP($A137,'The List'!$B1:$AS665,19,FALSE)," ")</f>
        <v xml:space="preserve"> </v>
      </c>
      <c r="M137" s="110" t="str">
        <f>IFERROR(VLOOKUP($A137,'The List'!$B1:$AS665,20,FALSE)," ")</f>
        <v xml:space="preserve"> </v>
      </c>
      <c r="N137" s="110" t="str">
        <f>IFERROR(VLOOKUP($A137,'The List'!$B1:$AS665,21,FALSE)," ")</f>
        <v xml:space="preserve"> </v>
      </c>
      <c r="O137" s="110" t="str">
        <f>IFERROR(VLOOKUP($A137,'The List'!$B1:$AS665,22,FALSE)," ")</f>
        <v xml:space="preserve"> </v>
      </c>
      <c r="P137" s="110" t="str">
        <f>IFERROR(VLOOKUP($A137,'The List'!$B1:$AS665,23,FALSE)," ")</f>
        <v xml:space="preserve"> </v>
      </c>
      <c r="Q137" s="110" t="str">
        <f>IFERROR(VLOOKUP($A137,'The List'!$B1:$AS665,24,FALSE)," ")</f>
        <v xml:space="preserve"> </v>
      </c>
      <c r="R137" s="110" t="str">
        <f>IFERROR(VLOOKUP($A137,'The List'!$B1:$AS665,25,FALSE)," ")</f>
        <v xml:space="preserve"> </v>
      </c>
      <c r="S137" s="110" t="str">
        <f>IFERROR(VLOOKUP($A137,'The List'!$B1:$AS665,26,FALSE)," ")</f>
        <v xml:space="preserve"> </v>
      </c>
      <c r="T137" s="110" t="str">
        <f>IFERROR(VLOOKUP($A137,'The List'!$B1:$AS665,27,FALSE)," ")</f>
        <v xml:space="preserve"> </v>
      </c>
      <c r="U137" s="110" t="str">
        <f>IFERROR(VLOOKUP($A137,'The List'!$B1:$AS665,28,FALSE)," ")</f>
        <v xml:space="preserve"> </v>
      </c>
      <c r="V137" s="110" t="str">
        <f>IFERROR(VLOOKUP($A137,'The List'!$B1:$AS665,29,FALSE)," ")</f>
        <v xml:space="preserve"> </v>
      </c>
      <c r="W137" s="110" t="str">
        <f>IFERROR(VLOOKUP($A137,'The List'!$B1:$AS665,30,FALSE)," ")</f>
        <v xml:space="preserve"> </v>
      </c>
      <c r="X137" s="110" t="str">
        <f>IFERROR(VLOOKUP($A137,'The List'!$B1:$AS665,31,FALSE)," ")</f>
        <v xml:space="preserve"> </v>
      </c>
      <c r="Y137" s="110" t="str">
        <f>IFERROR(VLOOKUP($A137,'The List'!$B1:$AS665,32,FALSE)," ")</f>
        <v xml:space="preserve"> </v>
      </c>
      <c r="Z137" s="110" t="str">
        <f>IFERROR(VLOOKUP($A137,'The List'!$B1:$AS665,33,FALSE)," ")</f>
        <v xml:space="preserve"> </v>
      </c>
      <c r="AA137" s="86"/>
      <c r="AB137" s="91"/>
      <c r="AC137" s="91"/>
      <c r="AD137" s="91"/>
      <c r="AE137" s="91"/>
      <c r="AF137" s="91"/>
    </row>
    <row r="138" spans="1:32" ht="21.25" customHeight="1" x14ac:dyDescent="0.15">
      <c r="A138" s="111"/>
      <c r="B138" s="112"/>
      <c r="C138" s="113"/>
      <c r="D138" s="114"/>
      <c r="E138" s="146" t="str">
        <f>IFERROR(AVERAGE(E118:E137)," ")</f>
        <v xml:space="preserve"> </v>
      </c>
      <c r="F138" s="116">
        <f>SUM(F118:F137)</f>
        <v>0</v>
      </c>
      <c r="G138" s="116">
        <f>SUM(G118:G137)</f>
        <v>0</v>
      </c>
      <c r="H138" s="117"/>
      <c r="I138" s="118">
        <f>SUM(I118:I137)</f>
        <v>0</v>
      </c>
      <c r="J138" s="117" t="e">
        <f>AVERAGE(J118:J137)</f>
        <v>#DIV/0!</v>
      </c>
      <c r="K138" s="118">
        <f t="shared" ref="K138:Y138" si="8">SUM(K118:K137)</f>
        <v>0</v>
      </c>
      <c r="L138" s="118">
        <f t="shared" si="8"/>
        <v>0</v>
      </c>
      <c r="M138" s="118">
        <f t="shared" si="8"/>
        <v>0</v>
      </c>
      <c r="N138" s="118">
        <f t="shared" si="8"/>
        <v>0</v>
      </c>
      <c r="O138" s="118">
        <f t="shared" si="8"/>
        <v>0</v>
      </c>
      <c r="P138" s="118">
        <f t="shared" si="8"/>
        <v>0</v>
      </c>
      <c r="Q138" s="118">
        <f t="shared" si="8"/>
        <v>0</v>
      </c>
      <c r="R138" s="118">
        <f t="shared" si="8"/>
        <v>0</v>
      </c>
      <c r="S138" s="118">
        <f t="shared" si="8"/>
        <v>0</v>
      </c>
      <c r="T138" s="118">
        <f t="shared" si="8"/>
        <v>0</v>
      </c>
      <c r="U138" s="118">
        <f t="shared" si="8"/>
        <v>0</v>
      </c>
      <c r="V138" s="118">
        <f t="shared" si="8"/>
        <v>0</v>
      </c>
      <c r="W138" s="118">
        <f t="shared" si="8"/>
        <v>0</v>
      </c>
      <c r="X138" s="118">
        <f t="shared" si="8"/>
        <v>0</v>
      </c>
      <c r="Y138" s="118">
        <f t="shared" si="8"/>
        <v>0</v>
      </c>
      <c r="Z138" s="119">
        <f>IFERROR(X138/(X138+Y138),0)</f>
        <v>0</v>
      </c>
      <c r="AA138" s="86"/>
      <c r="AB138" s="120"/>
      <c r="AC138" s="120"/>
      <c r="AD138" s="120"/>
      <c r="AE138" s="120"/>
      <c r="AF138" s="120"/>
    </row>
    <row r="139" spans="1:32" ht="21.25" customHeight="1" x14ac:dyDescent="0.15">
      <c r="A139" s="34"/>
      <c r="B139" s="121"/>
      <c r="C139" s="122"/>
      <c r="D139" s="12"/>
      <c r="E139" s="12"/>
      <c r="F139" s="123"/>
      <c r="G139" s="124"/>
      <c r="H139" s="125"/>
      <c r="I139" s="12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91"/>
      <c r="AC139" s="91"/>
      <c r="AD139" s="91"/>
      <c r="AE139" s="91"/>
      <c r="AF139" s="91"/>
    </row>
    <row r="140" spans="1:32" ht="21.25" customHeight="1" x14ac:dyDescent="0.15">
      <c r="A140" s="37" t="s">
        <v>89</v>
      </c>
      <c r="B140" s="205" t="s">
        <v>91</v>
      </c>
      <c r="C140" s="195"/>
      <c r="D140" s="40" t="s">
        <v>92</v>
      </c>
      <c r="E140" s="40" t="s">
        <v>93</v>
      </c>
      <c r="F140" s="127" t="s">
        <v>95</v>
      </c>
      <c r="G140" s="127" t="s">
        <v>97</v>
      </c>
      <c r="H140" s="128"/>
      <c r="I140" s="129" t="s">
        <v>102</v>
      </c>
      <c r="J140" s="129" t="s">
        <v>118</v>
      </c>
      <c r="K140" s="129" t="s">
        <v>119</v>
      </c>
      <c r="L140" s="129" t="s">
        <v>120</v>
      </c>
      <c r="M140" s="129" t="s">
        <v>121</v>
      </c>
      <c r="N140" s="129" t="s">
        <v>122</v>
      </c>
      <c r="O140" s="129" t="s">
        <v>123</v>
      </c>
      <c r="P140" s="129" t="s">
        <v>124</v>
      </c>
      <c r="Q140" s="129" t="s">
        <v>125</v>
      </c>
      <c r="R140" s="86"/>
      <c r="S140" s="86"/>
      <c r="T140" s="86"/>
      <c r="U140" s="205" t="s">
        <v>809</v>
      </c>
      <c r="V140" s="206"/>
      <c r="W140" s="206"/>
      <c r="X140" s="205" t="s">
        <v>810</v>
      </c>
      <c r="Y140" s="206"/>
      <c r="Z140" s="206"/>
      <c r="AA140" s="86"/>
      <c r="AB140" s="86"/>
      <c r="AC140" s="86"/>
      <c r="AD140" s="86"/>
      <c r="AE140" s="86"/>
      <c r="AF140" s="86"/>
    </row>
    <row r="141" spans="1:32" ht="21.25" customHeight="1" x14ac:dyDescent="0.15">
      <c r="A141" s="147"/>
      <c r="B141" s="131" t="str">
        <f>IFERROR(VLOOKUP($A141,'The List'!$B1:$AS665,3,FALSE)," ")</f>
        <v xml:space="preserve"> </v>
      </c>
      <c r="C141" s="148" t="str">
        <f>IFERROR(VLOOKUP($A141,'The List'!$B1:$AS665,4,FALSE)," ")</f>
        <v xml:space="preserve"> </v>
      </c>
      <c r="D141" s="49" t="str">
        <f>IFERROR(VLOOKUP($A141,'The List'!$B1:$AS665,5,FALSE)," ")</f>
        <v xml:space="preserve"> </v>
      </c>
      <c r="E141" s="49" t="str">
        <f>IFERROR(VLOOKUP($A141,'The List'!$B1:$AS665,6,FALSE)," ")</f>
        <v xml:space="preserve"> </v>
      </c>
      <c r="F141" s="149" t="str">
        <f>IFERROR(VLOOKUP($A141,'The List'!$B1:$AS665,8,FALSE)," ")</f>
        <v xml:space="preserve"> </v>
      </c>
      <c r="G141" s="149" t="str">
        <f>IFERROR(VLOOKUP($A141,'The List'!$B1:$AS665,10,FALSE)," ")</f>
        <v xml:space="preserve"> </v>
      </c>
      <c r="H141" s="135"/>
      <c r="I141" s="150" t="str">
        <f>IFERROR(VLOOKUP($A141,'The List'!$B1:$AS665,35,FALSE)," ")</f>
        <v xml:space="preserve"> </v>
      </c>
      <c r="J141" s="150" t="str">
        <f>IFERROR(VLOOKUP($A141,'The List'!$B1:$AS665,36,FALSE)," ")</f>
        <v xml:space="preserve"> </v>
      </c>
      <c r="K141" s="150" t="str">
        <f>IFERROR(VLOOKUP($A141,'The List'!$B1:$AS665,37,FALSE)," ")</f>
        <v xml:space="preserve"> </v>
      </c>
      <c r="L141" s="150" t="str">
        <f>IFERROR(VLOOKUP($A141,'The List'!$B1:$AS665,38,FALSE)," ")</f>
        <v xml:space="preserve"> </v>
      </c>
      <c r="M141" s="150" t="str">
        <f>IFERROR(VLOOKUP($A141,'The List'!$B1:$AS665,39,FALSE)," ")</f>
        <v xml:space="preserve"> </v>
      </c>
      <c r="N141" s="150" t="str">
        <f>IFERROR(VLOOKUP($A141,'The List'!$B1:$AS665,40,FALSE)," ")</f>
        <v xml:space="preserve"> </v>
      </c>
      <c r="O141" s="150" t="str">
        <f>IFERROR(VLOOKUP($A141,'The List'!$B1:$AS665,41,FALSE)," ")</f>
        <v xml:space="preserve"> </v>
      </c>
      <c r="P141" s="150" t="str">
        <f>IFERROR(VLOOKUP($A141,'The List'!$B1:$AS665,42,FALSE)," ")</f>
        <v xml:space="preserve"> </v>
      </c>
      <c r="Q141" s="150" t="str">
        <f>IFERROR(VLOOKUP($A141,'The List'!$B1:$AS665,43,FALSE)," ")</f>
        <v xml:space="preserve"> </v>
      </c>
      <c r="R141" s="86"/>
      <c r="S141" s="86"/>
      <c r="T141" s="139" t="str">
        <f>A117</f>
        <v>TEAM 5</v>
      </c>
      <c r="U141" s="207">
        <f>F138+F144</f>
        <v>0</v>
      </c>
      <c r="V141" s="195"/>
      <c r="W141" s="195"/>
      <c r="X141" s="207">
        <f>G144+G138</f>
        <v>0</v>
      </c>
      <c r="Y141" s="195"/>
      <c r="Z141" s="195"/>
      <c r="AA141" s="86"/>
      <c r="AB141" s="86"/>
      <c r="AC141" s="86"/>
      <c r="AD141" s="86"/>
      <c r="AE141" s="86"/>
      <c r="AF141" s="86"/>
    </row>
    <row r="142" spans="1:32" ht="21.25" customHeight="1" x14ac:dyDescent="0.15">
      <c r="A142" s="23"/>
      <c r="B142" s="140" t="str">
        <f>IFERROR(VLOOKUP($A142,'The List'!$B1:$AS665,3,FALSE)," ")</f>
        <v xml:space="preserve"> </v>
      </c>
      <c r="C142" s="141" t="str">
        <f>IFERROR(VLOOKUP($A142,'The List'!$B1:$AS665,4,FALSE)," ")</f>
        <v xml:space="preserve"> </v>
      </c>
      <c r="D142" s="65" t="str">
        <f>IFERROR(VLOOKUP($A142,'The List'!$B1:$AS665,5,FALSE)," ")</f>
        <v xml:space="preserve"> </v>
      </c>
      <c r="E142" s="65" t="str">
        <f>IFERROR(VLOOKUP($A142,'The List'!$B1:$AS665,6,FALSE)," ")</f>
        <v xml:space="preserve"> </v>
      </c>
      <c r="F142" s="93" t="str">
        <f>IFERROR(VLOOKUP($A142,'The List'!$B1:$AS665,8,FALSE)," ")</f>
        <v xml:space="preserve"> </v>
      </c>
      <c r="G142" s="93" t="str">
        <f>IFERROR(VLOOKUP($A142,'The List'!$B1:$AS665,10,FALSE)," ")</f>
        <v xml:space="preserve"> </v>
      </c>
      <c r="H142" s="54"/>
      <c r="I142" s="83" t="str">
        <f>IFERROR(VLOOKUP($A142,'The List'!$B1:$AS665,35,FALSE)," ")</f>
        <v xml:space="preserve"> </v>
      </c>
      <c r="J142" s="83" t="str">
        <f>IFERROR(VLOOKUP($A142,'The List'!$B1:$AS665,36,FALSE)," ")</f>
        <v xml:space="preserve"> </v>
      </c>
      <c r="K142" s="83" t="str">
        <f>IFERROR(VLOOKUP($A142,'The List'!$B1:$AS665,37,FALSE)," ")</f>
        <v xml:space="preserve"> </v>
      </c>
      <c r="L142" s="83" t="str">
        <f>IFERROR(VLOOKUP($A142,'The List'!$B1:$AS665,38,FALSE)," ")</f>
        <v xml:space="preserve"> </v>
      </c>
      <c r="M142" s="83" t="str">
        <f>IFERROR(VLOOKUP($A142,'The List'!$B1:$AS665,39,FALSE)," ")</f>
        <v xml:space="preserve"> </v>
      </c>
      <c r="N142" s="83" t="str">
        <f>IFERROR(VLOOKUP($A142,'The List'!$B1:$AS665,40,FALSE)," ")</f>
        <v xml:space="preserve"> </v>
      </c>
      <c r="O142" s="83" t="str">
        <f>IFERROR(VLOOKUP($A142,'The List'!$B1:$AS665,41,FALSE)," ")</f>
        <v xml:space="preserve"> </v>
      </c>
      <c r="P142" s="83" t="str">
        <f>IFERROR(VLOOKUP($A142,'The List'!$B1:$AS665,42,FALSE)," ")</f>
        <v xml:space="preserve"> </v>
      </c>
      <c r="Q142" s="83" t="str">
        <f>IFERROR(VLOOKUP($A142,'The List'!$B1:$AS665,43,FALSE)," ")</f>
        <v xml:space="preserve"> </v>
      </c>
      <c r="R142" s="86"/>
      <c r="S142" s="86"/>
      <c r="T142" s="86"/>
      <c r="U142" s="195"/>
      <c r="V142" s="195"/>
      <c r="W142" s="195"/>
      <c r="X142" s="195"/>
      <c r="Y142" s="195"/>
      <c r="Z142" s="195"/>
      <c r="AA142" s="86"/>
      <c r="AB142" s="86"/>
      <c r="AC142" s="86"/>
      <c r="AD142" s="86"/>
      <c r="AE142" s="86"/>
      <c r="AF142" s="86"/>
    </row>
    <row r="143" spans="1:32" ht="21.25" customHeight="1" x14ac:dyDescent="0.15">
      <c r="A143" s="104"/>
      <c r="B143" s="142" t="str">
        <f>IFERROR(VLOOKUP($A143,'The List'!$B1:$AS665,3,FALSE)," ")</f>
        <v xml:space="preserve"> </v>
      </c>
      <c r="C143" s="143" t="str">
        <f>IFERROR(VLOOKUP($A143,'The List'!$B1:$AS665,4,FALSE)," ")</f>
        <v xml:space="preserve"> </v>
      </c>
      <c r="D143" s="107" t="str">
        <f>IFERROR(VLOOKUP($A143,'The List'!$B1:$AS665,5,FALSE)," ")</f>
        <v xml:space="preserve"> </v>
      </c>
      <c r="E143" s="107" t="str">
        <f>IFERROR(VLOOKUP($A143,'The List'!$B1:$AS665,6,FALSE)," ")</f>
        <v xml:space="preserve"> </v>
      </c>
      <c r="F143" s="108" t="str">
        <f>IFERROR(VLOOKUP($A143,'The List'!$B1:$AS665,8,FALSE)," ")</f>
        <v xml:space="preserve"> </v>
      </c>
      <c r="G143" s="108" t="str">
        <f>IFERROR(VLOOKUP($A143,'The List'!$B1:$AS665,10,FALSE)," ")</f>
        <v xml:space="preserve"> </v>
      </c>
      <c r="H143" s="109"/>
      <c r="I143" s="110" t="str">
        <f>IFERROR(VLOOKUP($A143,'The List'!$B1:$AS665,35,FALSE)," ")</f>
        <v xml:space="preserve"> </v>
      </c>
      <c r="J143" s="110" t="str">
        <f>IFERROR(VLOOKUP($A143,'The List'!$B1:$AS665,36,FALSE)," ")</f>
        <v xml:space="preserve"> </v>
      </c>
      <c r="K143" s="110" t="str">
        <f>IFERROR(VLOOKUP($A143,'The List'!$B1:$AS665,37,FALSE)," ")</f>
        <v xml:space="preserve"> </v>
      </c>
      <c r="L143" s="110" t="str">
        <f>IFERROR(VLOOKUP($A143,'The List'!$B1:$AS665,38,FALSE)," ")</f>
        <v xml:space="preserve"> </v>
      </c>
      <c r="M143" s="110" t="str">
        <f>IFERROR(VLOOKUP($A143,'The List'!$B1:$AS665,39,FALSE)," ")</f>
        <v xml:space="preserve"> </v>
      </c>
      <c r="N143" s="110" t="str">
        <f>IFERROR(VLOOKUP($A143,'The List'!$B1:$AS665,40,FALSE)," ")</f>
        <v xml:space="preserve"> </v>
      </c>
      <c r="O143" s="110" t="str">
        <f>IFERROR(VLOOKUP($A143,'The List'!$B1:$AS665,41,FALSE)," ")</f>
        <v xml:space="preserve"> </v>
      </c>
      <c r="P143" s="110" t="str">
        <f>IFERROR(VLOOKUP($A143,'The List'!$B1:$AS665,42,FALSE)," ")</f>
        <v xml:space="preserve"> </v>
      </c>
      <c r="Q143" s="110" t="str">
        <f>IFERROR(VLOOKUP($A143,'The List'!$B1:$AS665,43,FALSE)," ")</f>
        <v xml:space="preserve"> </v>
      </c>
      <c r="R143" s="86"/>
      <c r="S143" s="86"/>
      <c r="T143" s="86"/>
      <c r="U143" s="195"/>
      <c r="V143" s="195"/>
      <c r="W143" s="195"/>
      <c r="X143" s="195"/>
      <c r="Y143" s="195"/>
      <c r="Z143" s="195"/>
      <c r="AA143" s="86"/>
      <c r="AB143" s="86"/>
      <c r="AC143" s="86"/>
      <c r="AD143" s="86"/>
      <c r="AE143" s="86"/>
      <c r="AF143" s="86"/>
    </row>
    <row r="144" spans="1:32" ht="21.25" customHeight="1" x14ac:dyDescent="0.15">
      <c r="A144" s="111"/>
      <c r="B144" s="112"/>
      <c r="C144" s="113"/>
      <c r="D144" s="114"/>
      <c r="E144" s="146" t="str">
        <f>IFERROR(AVERAGE(E141:E143)," ")</f>
        <v xml:space="preserve"> </v>
      </c>
      <c r="F144" s="116">
        <f>SUM(F141:F143)</f>
        <v>0</v>
      </c>
      <c r="G144" s="116">
        <f>SUM(G141:G143)</f>
        <v>0</v>
      </c>
      <c r="H144" s="117"/>
      <c r="I144" s="118">
        <f t="shared" ref="I144:O144" si="9">SUM(I141:I143)</f>
        <v>0</v>
      </c>
      <c r="J144" s="117">
        <f t="shared" si="9"/>
        <v>0</v>
      </c>
      <c r="K144" s="118">
        <f t="shared" si="9"/>
        <v>0</v>
      </c>
      <c r="L144" s="118">
        <f t="shared" si="9"/>
        <v>0</v>
      </c>
      <c r="M144" s="118">
        <f t="shared" si="9"/>
        <v>0</v>
      </c>
      <c r="N144" s="118">
        <f t="shared" si="9"/>
        <v>0</v>
      </c>
      <c r="O144" s="118">
        <f t="shared" si="9"/>
        <v>0</v>
      </c>
      <c r="P144" s="144" t="e">
        <f>1-(O144/(N144+O144))</f>
        <v>#DIV/0!</v>
      </c>
      <c r="Q144" s="145" t="e">
        <f>O144/I144</f>
        <v>#DIV/0!</v>
      </c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</row>
    <row r="145" spans="1:32" ht="70.75" customHeight="1" x14ac:dyDescent="0.15">
      <c r="A145" s="34"/>
      <c r="B145" s="121"/>
      <c r="C145" s="122"/>
      <c r="D145" s="12"/>
      <c r="E145" s="12"/>
      <c r="F145" s="123"/>
      <c r="G145" s="124"/>
      <c r="H145" s="125"/>
      <c r="I145" s="12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91"/>
      <c r="AB145" s="91"/>
      <c r="AC145" s="91"/>
      <c r="AD145" s="91"/>
      <c r="AE145" s="91"/>
      <c r="AF145" s="91"/>
    </row>
    <row r="146" spans="1:32" ht="21.25" customHeight="1" x14ac:dyDescent="0.15">
      <c r="A146" s="38" t="s">
        <v>798</v>
      </c>
      <c r="B146" s="204" t="s">
        <v>91</v>
      </c>
      <c r="C146" s="200"/>
      <c r="D146" s="39" t="s">
        <v>92</v>
      </c>
      <c r="E146" s="39" t="s">
        <v>93</v>
      </c>
      <c r="F146" s="41" t="s">
        <v>95</v>
      </c>
      <c r="G146" s="41" t="s">
        <v>97</v>
      </c>
      <c r="H146" s="42"/>
      <c r="I146" s="44" t="s">
        <v>102</v>
      </c>
      <c r="J146" s="44" t="s">
        <v>55</v>
      </c>
      <c r="K146" s="44" t="s">
        <v>103</v>
      </c>
      <c r="L146" s="44" t="s">
        <v>104</v>
      </c>
      <c r="M146" s="44" t="s">
        <v>105</v>
      </c>
      <c r="N146" s="44" t="s">
        <v>106</v>
      </c>
      <c r="O146" s="44" t="s">
        <v>107</v>
      </c>
      <c r="P146" s="44" t="s">
        <v>63</v>
      </c>
      <c r="Q146" s="44" t="s">
        <v>108</v>
      </c>
      <c r="R146" s="44" t="s">
        <v>109</v>
      </c>
      <c r="S146" s="44" t="s">
        <v>110</v>
      </c>
      <c r="T146" s="44" t="s">
        <v>111</v>
      </c>
      <c r="U146" s="44" t="s">
        <v>112</v>
      </c>
      <c r="V146" s="44" t="s">
        <v>113</v>
      </c>
      <c r="W146" s="44" t="s">
        <v>114</v>
      </c>
      <c r="X146" s="44" t="s">
        <v>115</v>
      </c>
      <c r="Y146" s="44" t="s">
        <v>116</v>
      </c>
      <c r="Z146" s="44" t="s">
        <v>117</v>
      </c>
      <c r="AA146" s="86"/>
      <c r="AB146" s="87"/>
      <c r="AC146" s="87"/>
      <c r="AD146" s="87"/>
      <c r="AE146" s="87"/>
      <c r="AF146" s="87"/>
    </row>
    <row r="147" spans="1:32" ht="21.25" customHeight="1" x14ac:dyDescent="0.15">
      <c r="A147" s="23"/>
      <c r="B147" s="88" t="str">
        <f>IFERROR(VLOOKUP($A147,'The List'!$B1:$AS665,3,FALSE)," ")</f>
        <v xml:space="preserve"> </v>
      </c>
      <c r="C147" s="92" t="str">
        <f>IFERROR(VLOOKUP($A147,'The List'!$B1:$AS665,4,FALSE)," ")</f>
        <v xml:space="preserve"> </v>
      </c>
      <c r="D147" s="65" t="str">
        <f>IFERROR(VLOOKUP($A147,'The List'!$B1:$AS665,5,FALSE)," ")</f>
        <v xml:space="preserve"> </v>
      </c>
      <c r="E147" s="65" t="str">
        <f>IFERROR(VLOOKUP($A147,'The List'!$B1:$AS665,6,FALSE)," ")</f>
        <v xml:space="preserve"> </v>
      </c>
      <c r="F147" s="93" t="str">
        <f>IFERROR(VLOOKUP($A147,'The List'!$B1:$AS665,8,FALSE)," ")</f>
        <v xml:space="preserve"> </v>
      </c>
      <c r="G147" s="93" t="str">
        <f>IFERROR(VLOOKUP($A147,'The List'!$B1:$AS665,10,FALSE)," ")</f>
        <v xml:space="preserve"> </v>
      </c>
      <c r="H147" s="54"/>
      <c r="I147" s="83" t="str">
        <f>IFERROR(VLOOKUP($A147,'The List'!$B1:$AS665,16,FALSE)," ")</f>
        <v xml:space="preserve"> </v>
      </c>
      <c r="J147" s="83" t="str">
        <f>IFERROR(VLOOKUP($A147,'The List'!$B1:$AS665,17,FALSE)," ")</f>
        <v xml:space="preserve"> </v>
      </c>
      <c r="K147" s="83" t="str">
        <f>IFERROR(VLOOKUP($A147,'The List'!$B1:$AS665,18,FALSE)," ")</f>
        <v xml:space="preserve"> </v>
      </c>
      <c r="L147" s="83" t="str">
        <f>IFERROR(VLOOKUP($A147,'The List'!$B1:$AS665,19,FALSE)," ")</f>
        <v xml:space="preserve"> </v>
      </c>
      <c r="M147" s="83" t="str">
        <f>IFERROR(VLOOKUP($A147,'The List'!$B1:$AS665,20,FALSE)," ")</f>
        <v xml:space="preserve"> </v>
      </c>
      <c r="N147" s="83" t="str">
        <f>IFERROR(VLOOKUP($A147,'The List'!$B1:$AS665,21,FALSE)," ")</f>
        <v xml:space="preserve"> </v>
      </c>
      <c r="O147" s="83" t="str">
        <f>IFERROR(VLOOKUP($A147,'The List'!$B1:$AS665,22,FALSE)," ")</f>
        <v xml:space="preserve"> </v>
      </c>
      <c r="P147" s="83" t="str">
        <f>IFERROR(VLOOKUP($A147,'The List'!$B1:$AS665,23,FALSE)," ")</f>
        <v xml:space="preserve"> </v>
      </c>
      <c r="Q147" s="83" t="str">
        <f>IFERROR(VLOOKUP($A147,'The List'!$B1:$AS665,24,FALSE)," ")</f>
        <v xml:space="preserve"> </v>
      </c>
      <c r="R147" s="83" t="str">
        <f>IFERROR(VLOOKUP($A147,'The List'!$B1:$AS665,25,FALSE)," ")</f>
        <v xml:space="preserve"> </v>
      </c>
      <c r="S147" s="83" t="str">
        <f>IFERROR(VLOOKUP($A147,'The List'!$B1:$AS665,26,FALSE)," ")</f>
        <v xml:space="preserve"> </v>
      </c>
      <c r="T147" s="83" t="str">
        <f>IFERROR(VLOOKUP($A147,'The List'!$B1:$AS665,27,FALSE)," ")</f>
        <v xml:space="preserve"> </v>
      </c>
      <c r="U147" s="83" t="str">
        <f>IFERROR(VLOOKUP($A147,'The List'!$B1:$AS665,28,FALSE)," ")</f>
        <v xml:space="preserve"> </v>
      </c>
      <c r="V147" s="83" t="str">
        <f>IFERROR(VLOOKUP($A147,'The List'!$B1:$AS665,29,FALSE)," ")</f>
        <v xml:space="preserve"> </v>
      </c>
      <c r="W147" s="83" t="str">
        <f>IFERROR(VLOOKUP($A147,'The List'!$B1:$AS665,30,FALSE)," ")</f>
        <v xml:space="preserve"> </v>
      </c>
      <c r="X147" s="83" t="str">
        <f>IFERROR(VLOOKUP($A147,'The List'!$B1:$AS665,31,FALSE)," ")</f>
        <v xml:space="preserve"> </v>
      </c>
      <c r="Y147" s="83" t="str">
        <f>IFERROR(VLOOKUP($A147,'The List'!$B1:$AS665,32,FALSE)," ")</f>
        <v xml:space="preserve"> </v>
      </c>
      <c r="Z147" s="83" t="str">
        <f>IFERROR(VLOOKUP($A147,'The List'!$B1:$AS665,33,FALSE)," ")</f>
        <v xml:space="preserve"> </v>
      </c>
      <c r="AA147" s="86"/>
      <c r="AB147" s="91"/>
      <c r="AC147" s="91"/>
      <c r="AD147" s="91"/>
      <c r="AE147" s="91"/>
      <c r="AF147" s="91"/>
    </row>
    <row r="148" spans="1:32" ht="21.25" customHeight="1" x14ac:dyDescent="0.15">
      <c r="A148" s="23"/>
      <c r="B148" s="88" t="str">
        <f>IFERROR(VLOOKUP($A148,'The List'!$B1:$AS665,3,FALSE)," ")</f>
        <v xml:space="preserve"> </v>
      </c>
      <c r="C148" s="92" t="str">
        <f>IFERROR(VLOOKUP($A148,'The List'!$B1:$AS665,4,FALSE)," ")</f>
        <v xml:space="preserve"> </v>
      </c>
      <c r="D148" s="65" t="str">
        <f>IFERROR(VLOOKUP($A148,'The List'!$B1:$AS665,5,FALSE)," ")</f>
        <v xml:space="preserve"> </v>
      </c>
      <c r="E148" s="65" t="str">
        <f>IFERROR(VLOOKUP($A148,'The List'!$B1:$AS665,6,FALSE)," ")</f>
        <v xml:space="preserve"> </v>
      </c>
      <c r="F148" s="93" t="str">
        <f>IFERROR(VLOOKUP($A148,'The List'!$B1:$AS665,8,FALSE)," ")</f>
        <v xml:space="preserve"> </v>
      </c>
      <c r="G148" s="93" t="str">
        <f>IFERROR(VLOOKUP($A148,'The List'!$B1:$AS665,10,FALSE)," ")</f>
        <v xml:space="preserve"> </v>
      </c>
      <c r="H148" s="54"/>
      <c r="I148" s="83" t="str">
        <f>IFERROR(VLOOKUP($A148,'The List'!$B1:$AS665,16,FALSE)," ")</f>
        <v xml:space="preserve"> </v>
      </c>
      <c r="J148" s="83" t="str">
        <f>IFERROR(VLOOKUP($A148,'The List'!$B1:$AS665,17,FALSE)," ")</f>
        <v xml:space="preserve"> </v>
      </c>
      <c r="K148" s="83" t="str">
        <f>IFERROR(VLOOKUP($A148,'The List'!$B1:$AS665,18,FALSE)," ")</f>
        <v xml:space="preserve"> </v>
      </c>
      <c r="L148" s="83" t="str">
        <f>IFERROR(VLOOKUP($A148,'The List'!$B1:$AS665,19,FALSE)," ")</f>
        <v xml:space="preserve"> </v>
      </c>
      <c r="M148" s="83" t="str">
        <f>IFERROR(VLOOKUP($A148,'The List'!$B1:$AS665,20,FALSE)," ")</f>
        <v xml:space="preserve"> </v>
      </c>
      <c r="N148" s="83" t="str">
        <f>IFERROR(VLOOKUP($A148,'The List'!$B1:$AS665,21,FALSE)," ")</f>
        <v xml:space="preserve"> </v>
      </c>
      <c r="O148" s="83" t="str">
        <f>IFERROR(VLOOKUP($A148,'The List'!$B1:$AS665,22,FALSE)," ")</f>
        <v xml:space="preserve"> </v>
      </c>
      <c r="P148" s="83" t="str">
        <f>IFERROR(VLOOKUP($A148,'The List'!$B1:$AS665,23,FALSE)," ")</f>
        <v xml:space="preserve"> </v>
      </c>
      <c r="Q148" s="83" t="str">
        <f>IFERROR(VLOOKUP($A148,'The List'!$B1:$AS665,24,FALSE)," ")</f>
        <v xml:space="preserve"> </v>
      </c>
      <c r="R148" s="83" t="str">
        <f>IFERROR(VLOOKUP($A148,'The List'!$B1:$AS665,25,FALSE)," ")</f>
        <v xml:space="preserve"> </v>
      </c>
      <c r="S148" s="83" t="str">
        <f>IFERROR(VLOOKUP($A148,'The List'!$B1:$AS665,26,FALSE)," ")</f>
        <v xml:space="preserve"> </v>
      </c>
      <c r="T148" s="83" t="str">
        <f>IFERROR(VLOOKUP($A148,'The List'!$B1:$AS665,27,FALSE)," ")</f>
        <v xml:space="preserve"> </v>
      </c>
      <c r="U148" s="83" t="str">
        <f>IFERROR(VLOOKUP($A148,'The List'!$B1:$AS665,28,FALSE)," ")</f>
        <v xml:space="preserve"> </v>
      </c>
      <c r="V148" s="83" t="str">
        <f>IFERROR(VLOOKUP($A148,'The List'!$B1:$AS665,29,FALSE)," ")</f>
        <v xml:space="preserve"> </v>
      </c>
      <c r="W148" s="83" t="str">
        <f>IFERROR(VLOOKUP($A148,'The List'!$B1:$AS665,30,FALSE)," ")</f>
        <v xml:space="preserve"> </v>
      </c>
      <c r="X148" s="83" t="str">
        <f>IFERROR(VLOOKUP($A148,'The List'!$B1:$AS665,31,FALSE)," ")</f>
        <v xml:space="preserve"> </v>
      </c>
      <c r="Y148" s="83" t="str">
        <f>IFERROR(VLOOKUP($A148,'The List'!$B1:$AS665,32,FALSE)," ")</f>
        <v xml:space="preserve"> </v>
      </c>
      <c r="Z148" s="83" t="str">
        <f>IFERROR(VLOOKUP($A148,'The List'!$B1:$AS665,33,FALSE)," ")</f>
        <v xml:space="preserve"> </v>
      </c>
      <c r="AA148" s="86"/>
      <c r="AB148" s="91"/>
      <c r="AC148" s="91"/>
      <c r="AD148" s="91"/>
      <c r="AE148" s="91"/>
      <c r="AF148" s="91"/>
    </row>
    <row r="149" spans="1:32" ht="21.25" customHeight="1" x14ac:dyDescent="0.15">
      <c r="A149" s="23"/>
      <c r="B149" s="88" t="str">
        <f>IFERROR(VLOOKUP($A149,'The List'!$B1:$AS665,3,FALSE)," ")</f>
        <v xml:space="preserve"> </v>
      </c>
      <c r="C149" s="92" t="str">
        <f>IFERROR(VLOOKUP($A149,'The List'!$B1:$AS665,4,FALSE)," ")</f>
        <v xml:space="preserve"> </v>
      </c>
      <c r="D149" s="65" t="str">
        <f>IFERROR(VLOOKUP($A149,'The List'!$B1:$AS665,5,FALSE)," ")</f>
        <v xml:space="preserve"> </v>
      </c>
      <c r="E149" s="65" t="str">
        <f>IFERROR(VLOOKUP($A149,'The List'!$B1:$AS665,6,FALSE)," ")</f>
        <v xml:space="preserve"> </v>
      </c>
      <c r="F149" s="93" t="str">
        <f>IFERROR(VLOOKUP($A149,'The List'!$B1:$AS665,8,FALSE)," ")</f>
        <v xml:space="preserve"> </v>
      </c>
      <c r="G149" s="93" t="str">
        <f>IFERROR(VLOOKUP($A149,'The List'!$B1:$AS665,10,FALSE)," ")</f>
        <v xml:space="preserve"> </v>
      </c>
      <c r="H149" s="54"/>
      <c r="I149" s="83" t="str">
        <f>IFERROR(VLOOKUP($A149,'The List'!$B1:$AS665,16,FALSE)," ")</f>
        <v xml:space="preserve"> </v>
      </c>
      <c r="J149" s="83" t="str">
        <f>IFERROR(VLOOKUP($A149,'The List'!$B1:$AS665,17,FALSE)," ")</f>
        <v xml:space="preserve"> </v>
      </c>
      <c r="K149" s="83" t="str">
        <f>IFERROR(VLOOKUP($A149,'The List'!$B1:$AS665,18,FALSE)," ")</f>
        <v xml:space="preserve"> </v>
      </c>
      <c r="L149" s="83" t="str">
        <f>IFERROR(VLOOKUP($A149,'The List'!$B1:$AS665,19,FALSE)," ")</f>
        <v xml:space="preserve"> </v>
      </c>
      <c r="M149" s="83" t="str">
        <f>IFERROR(VLOOKUP($A149,'The List'!$B1:$AS665,20,FALSE)," ")</f>
        <v xml:space="preserve"> </v>
      </c>
      <c r="N149" s="83" t="str">
        <f>IFERROR(VLOOKUP($A149,'The List'!$B1:$AS665,21,FALSE)," ")</f>
        <v xml:space="preserve"> </v>
      </c>
      <c r="O149" s="83" t="str">
        <f>IFERROR(VLOOKUP($A149,'The List'!$B1:$AS665,22,FALSE)," ")</f>
        <v xml:space="preserve"> </v>
      </c>
      <c r="P149" s="83" t="str">
        <f>IFERROR(VLOOKUP($A149,'The List'!$B1:$AS665,23,FALSE)," ")</f>
        <v xml:space="preserve"> </v>
      </c>
      <c r="Q149" s="83" t="str">
        <f>IFERROR(VLOOKUP($A149,'The List'!$B1:$AS665,24,FALSE)," ")</f>
        <v xml:space="preserve"> </v>
      </c>
      <c r="R149" s="83" t="str">
        <f>IFERROR(VLOOKUP($A149,'The List'!$B1:$AS665,25,FALSE)," ")</f>
        <v xml:space="preserve"> </v>
      </c>
      <c r="S149" s="83" t="str">
        <f>IFERROR(VLOOKUP($A149,'The List'!$B1:$AS665,26,FALSE)," ")</f>
        <v xml:space="preserve"> </v>
      </c>
      <c r="T149" s="83" t="str">
        <f>IFERROR(VLOOKUP($A149,'The List'!$B1:$AS665,27,FALSE)," ")</f>
        <v xml:space="preserve"> </v>
      </c>
      <c r="U149" s="83" t="str">
        <f>IFERROR(VLOOKUP($A149,'The List'!$B1:$AS665,28,FALSE)," ")</f>
        <v xml:space="preserve"> </v>
      </c>
      <c r="V149" s="83" t="str">
        <f>IFERROR(VLOOKUP($A149,'The List'!$B1:$AS665,29,FALSE)," ")</f>
        <v xml:space="preserve"> </v>
      </c>
      <c r="W149" s="83" t="str">
        <f>IFERROR(VLOOKUP($A149,'The List'!$B1:$AS665,30,FALSE)," ")</f>
        <v xml:space="preserve"> </v>
      </c>
      <c r="X149" s="83" t="str">
        <f>IFERROR(VLOOKUP($A149,'The List'!$B1:$AS665,31,FALSE)," ")</f>
        <v xml:space="preserve"> </v>
      </c>
      <c r="Y149" s="83" t="str">
        <f>IFERROR(VLOOKUP($A149,'The List'!$B1:$AS665,32,FALSE)," ")</f>
        <v xml:space="preserve"> </v>
      </c>
      <c r="Z149" s="83" t="str">
        <f>IFERROR(VLOOKUP($A149,'The List'!$B1:$AS665,33,FALSE)," ")</f>
        <v xml:space="preserve"> </v>
      </c>
      <c r="AA149" s="86"/>
      <c r="AB149" s="91"/>
      <c r="AC149" s="91"/>
      <c r="AD149" s="91"/>
      <c r="AE149" s="91"/>
      <c r="AF149" s="91"/>
    </row>
    <row r="150" spans="1:32" ht="21.25" customHeight="1" x14ac:dyDescent="0.15">
      <c r="A150" s="23"/>
      <c r="B150" s="88" t="str">
        <f>IFERROR(VLOOKUP($A150,'The List'!$B1:$AS665,3,FALSE)," ")</f>
        <v xml:space="preserve"> </v>
      </c>
      <c r="C150" s="92" t="str">
        <f>IFERROR(VLOOKUP($A150,'The List'!$B1:$AS665,4,FALSE)," ")</f>
        <v xml:space="preserve"> </v>
      </c>
      <c r="D150" s="65" t="str">
        <f>IFERROR(VLOOKUP($A150,'The List'!$B1:$AS665,5,FALSE)," ")</f>
        <v xml:space="preserve"> </v>
      </c>
      <c r="E150" s="65" t="str">
        <f>IFERROR(VLOOKUP($A150,'The List'!$B1:$AS665,6,FALSE)," ")</f>
        <v xml:space="preserve"> </v>
      </c>
      <c r="F150" s="93" t="str">
        <f>IFERROR(VLOOKUP($A150,'The List'!$B1:$AS665,8,FALSE)," ")</f>
        <v xml:space="preserve"> </v>
      </c>
      <c r="G150" s="93" t="str">
        <f>IFERROR(VLOOKUP($A150,'The List'!$B1:$AS665,10,FALSE)," ")</f>
        <v xml:space="preserve"> </v>
      </c>
      <c r="H150" s="54"/>
      <c r="I150" s="83" t="str">
        <f>IFERROR(VLOOKUP($A150,'The List'!$B1:$AS665,16,FALSE)," ")</f>
        <v xml:space="preserve"> </v>
      </c>
      <c r="J150" s="83" t="str">
        <f>IFERROR(VLOOKUP($A150,'The List'!$B1:$AS665,17,FALSE)," ")</f>
        <v xml:space="preserve"> </v>
      </c>
      <c r="K150" s="83" t="str">
        <f>IFERROR(VLOOKUP($A150,'The List'!$B1:$AS665,18,FALSE)," ")</f>
        <v xml:space="preserve"> </v>
      </c>
      <c r="L150" s="83" t="str">
        <f>IFERROR(VLOOKUP($A150,'The List'!$B1:$AS665,19,FALSE)," ")</f>
        <v xml:space="preserve"> </v>
      </c>
      <c r="M150" s="83" t="str">
        <f>IFERROR(VLOOKUP($A150,'The List'!$B1:$AS665,20,FALSE)," ")</f>
        <v xml:space="preserve"> </v>
      </c>
      <c r="N150" s="83" t="str">
        <f>IFERROR(VLOOKUP($A150,'The List'!$B1:$AS665,21,FALSE)," ")</f>
        <v xml:space="preserve"> </v>
      </c>
      <c r="O150" s="83" t="str">
        <f>IFERROR(VLOOKUP($A150,'The List'!$B1:$AS665,22,FALSE)," ")</f>
        <v xml:space="preserve"> </v>
      </c>
      <c r="P150" s="83" t="str">
        <f>IFERROR(VLOOKUP($A150,'The List'!$B1:$AS665,23,FALSE)," ")</f>
        <v xml:space="preserve"> </v>
      </c>
      <c r="Q150" s="83" t="str">
        <f>IFERROR(VLOOKUP($A150,'The List'!$B1:$AS665,24,FALSE)," ")</f>
        <v xml:space="preserve"> </v>
      </c>
      <c r="R150" s="83" t="str">
        <f>IFERROR(VLOOKUP($A150,'The List'!$B1:$AS665,25,FALSE)," ")</f>
        <v xml:space="preserve"> </v>
      </c>
      <c r="S150" s="83" t="str">
        <f>IFERROR(VLOOKUP($A150,'The List'!$B1:$AS665,26,FALSE)," ")</f>
        <v xml:space="preserve"> </v>
      </c>
      <c r="T150" s="83" t="str">
        <f>IFERROR(VLOOKUP($A150,'The List'!$B1:$AS665,27,FALSE)," ")</f>
        <v xml:space="preserve"> </v>
      </c>
      <c r="U150" s="83" t="str">
        <f>IFERROR(VLOOKUP($A150,'The List'!$B1:$AS665,28,FALSE)," ")</f>
        <v xml:space="preserve"> </v>
      </c>
      <c r="V150" s="83" t="str">
        <f>IFERROR(VLOOKUP($A150,'The List'!$B1:$AS665,29,FALSE)," ")</f>
        <v xml:space="preserve"> </v>
      </c>
      <c r="W150" s="83" t="str">
        <f>IFERROR(VLOOKUP($A150,'The List'!$B1:$AS665,30,FALSE)," ")</f>
        <v xml:space="preserve"> </v>
      </c>
      <c r="X150" s="83" t="str">
        <f>IFERROR(VLOOKUP($A150,'The List'!$B1:$AS665,31,FALSE)," ")</f>
        <v xml:space="preserve"> </v>
      </c>
      <c r="Y150" s="83" t="str">
        <f>IFERROR(VLOOKUP($A150,'The List'!$B1:$AS665,32,FALSE)," ")</f>
        <v xml:space="preserve"> </v>
      </c>
      <c r="Z150" s="83" t="str">
        <f>IFERROR(VLOOKUP($A150,'The List'!$B1:$AS665,33,FALSE)," ")</f>
        <v xml:space="preserve"> </v>
      </c>
      <c r="AA150" s="86"/>
      <c r="AB150" s="91"/>
      <c r="AC150" s="91"/>
      <c r="AD150" s="91"/>
      <c r="AE150" s="91"/>
      <c r="AF150" s="91"/>
    </row>
    <row r="151" spans="1:32" ht="21.25" customHeight="1" x14ac:dyDescent="0.15">
      <c r="A151" s="23"/>
      <c r="B151" s="94" t="str">
        <f>IFERROR(VLOOKUP($A151,'The List'!$B1:$AS665,3,FALSE)," ")</f>
        <v xml:space="preserve"> </v>
      </c>
      <c r="C151" s="96" t="str">
        <f>IFERROR(VLOOKUP($A151,'The List'!$B1:$AS665,4,FALSE)," ")</f>
        <v xml:space="preserve"> </v>
      </c>
      <c r="D151" s="65" t="str">
        <f>IFERROR(VLOOKUP($A151,'The List'!$B1:$AS665,5,FALSE)," ")</f>
        <v xml:space="preserve"> </v>
      </c>
      <c r="E151" s="65" t="str">
        <f>IFERROR(VLOOKUP($A151,'The List'!$B1:$AS665,6,FALSE)," ")</f>
        <v xml:space="preserve"> </v>
      </c>
      <c r="F151" s="93" t="str">
        <f>IFERROR(VLOOKUP($A151,'The List'!$B1:$AS665,8,FALSE)," ")</f>
        <v xml:space="preserve"> </v>
      </c>
      <c r="G151" s="93" t="str">
        <f>IFERROR(VLOOKUP($A151,'The List'!$B1:$AS665,10,FALSE)," ")</f>
        <v xml:space="preserve"> </v>
      </c>
      <c r="H151" s="54"/>
      <c r="I151" s="83" t="str">
        <f>IFERROR(VLOOKUP($A151,'The List'!$B1:$AS665,16,FALSE)," ")</f>
        <v xml:space="preserve"> </v>
      </c>
      <c r="J151" s="83" t="str">
        <f>IFERROR(VLOOKUP($A151,'The List'!$B1:$AS665,17,FALSE)," ")</f>
        <v xml:space="preserve"> </v>
      </c>
      <c r="K151" s="83" t="str">
        <f>IFERROR(VLOOKUP($A151,'The List'!$B1:$AS665,18,FALSE)," ")</f>
        <v xml:space="preserve"> </v>
      </c>
      <c r="L151" s="83" t="str">
        <f>IFERROR(VLOOKUP($A151,'The List'!$B1:$AS665,19,FALSE)," ")</f>
        <v xml:space="preserve"> </v>
      </c>
      <c r="M151" s="83" t="str">
        <f>IFERROR(VLOOKUP($A151,'The List'!$B1:$AS665,20,FALSE)," ")</f>
        <v xml:space="preserve"> </v>
      </c>
      <c r="N151" s="83" t="str">
        <f>IFERROR(VLOOKUP($A151,'The List'!$B1:$AS665,21,FALSE)," ")</f>
        <v xml:space="preserve"> </v>
      </c>
      <c r="O151" s="83" t="str">
        <f>IFERROR(VLOOKUP($A151,'The List'!$B1:$AS665,22,FALSE)," ")</f>
        <v xml:space="preserve"> </v>
      </c>
      <c r="P151" s="83" t="str">
        <f>IFERROR(VLOOKUP($A151,'The List'!$B1:$AS665,23,FALSE)," ")</f>
        <v xml:space="preserve"> </v>
      </c>
      <c r="Q151" s="83" t="str">
        <f>IFERROR(VLOOKUP($A151,'The List'!$B1:$AS665,24,FALSE)," ")</f>
        <v xml:space="preserve"> </v>
      </c>
      <c r="R151" s="83" t="str">
        <f>IFERROR(VLOOKUP($A151,'The List'!$B1:$AS665,25,FALSE)," ")</f>
        <v xml:space="preserve"> </v>
      </c>
      <c r="S151" s="83" t="str">
        <f>IFERROR(VLOOKUP($A151,'The List'!$B1:$AS665,26,FALSE)," ")</f>
        <v xml:space="preserve"> </v>
      </c>
      <c r="T151" s="83" t="str">
        <f>IFERROR(VLOOKUP($A151,'The List'!$B1:$AS665,27,FALSE)," ")</f>
        <v xml:space="preserve"> </v>
      </c>
      <c r="U151" s="83" t="str">
        <f>IFERROR(VLOOKUP($A151,'The List'!$B1:$AS665,28,FALSE)," ")</f>
        <v xml:space="preserve"> </v>
      </c>
      <c r="V151" s="83" t="str">
        <f>IFERROR(VLOOKUP($A151,'The List'!$B1:$AS665,29,FALSE)," ")</f>
        <v xml:space="preserve"> </v>
      </c>
      <c r="W151" s="83" t="str">
        <f>IFERROR(VLOOKUP($A151,'The List'!$B1:$AS665,30,FALSE)," ")</f>
        <v xml:space="preserve"> </v>
      </c>
      <c r="X151" s="83" t="str">
        <f>IFERROR(VLOOKUP($A151,'The List'!$B1:$AS665,31,FALSE)," ")</f>
        <v xml:space="preserve"> </v>
      </c>
      <c r="Y151" s="83" t="str">
        <f>IFERROR(VLOOKUP($A151,'The List'!$B1:$AS665,32,FALSE)," ")</f>
        <v xml:space="preserve"> </v>
      </c>
      <c r="Z151" s="83" t="str">
        <f>IFERROR(VLOOKUP($A151,'The List'!$B1:$AS665,33,FALSE)," ")</f>
        <v xml:space="preserve"> </v>
      </c>
      <c r="AA151" s="86"/>
      <c r="AB151" s="91"/>
      <c r="AC151" s="91"/>
      <c r="AD151" s="91"/>
      <c r="AE151" s="91"/>
      <c r="AF151" s="91"/>
    </row>
    <row r="152" spans="1:32" ht="21.25" customHeight="1" x14ac:dyDescent="0.15">
      <c r="A152" s="23"/>
      <c r="B152" s="94" t="str">
        <f>IFERROR(VLOOKUP($A152,'The List'!$B1:$AS665,3,FALSE)," ")</f>
        <v xml:space="preserve"> </v>
      </c>
      <c r="C152" s="96" t="str">
        <f>IFERROR(VLOOKUP($A152,'The List'!$B1:$AS665,4,FALSE)," ")</f>
        <v xml:space="preserve"> </v>
      </c>
      <c r="D152" s="65" t="str">
        <f>IFERROR(VLOOKUP($A152,'The List'!$B1:$AS665,5,FALSE)," ")</f>
        <v xml:space="preserve"> </v>
      </c>
      <c r="E152" s="65" t="str">
        <f>IFERROR(VLOOKUP($A152,'The List'!$B1:$AS665,6,FALSE)," ")</f>
        <v xml:space="preserve"> </v>
      </c>
      <c r="F152" s="93" t="str">
        <f>IFERROR(VLOOKUP($A152,'The List'!$B1:$AS665,8,FALSE)," ")</f>
        <v xml:space="preserve"> </v>
      </c>
      <c r="G152" s="93" t="str">
        <f>IFERROR(VLOOKUP($A152,'The List'!$B1:$AS665,10,FALSE)," ")</f>
        <v xml:space="preserve"> </v>
      </c>
      <c r="H152" s="54"/>
      <c r="I152" s="83" t="str">
        <f>IFERROR(VLOOKUP($A152,'The List'!$B1:$AS665,16,FALSE)," ")</f>
        <v xml:space="preserve"> </v>
      </c>
      <c r="J152" s="83" t="str">
        <f>IFERROR(VLOOKUP($A152,'The List'!$B1:$AS665,17,FALSE)," ")</f>
        <v xml:space="preserve"> </v>
      </c>
      <c r="K152" s="83" t="str">
        <f>IFERROR(VLOOKUP($A152,'The List'!$B1:$AS665,18,FALSE)," ")</f>
        <v xml:space="preserve"> </v>
      </c>
      <c r="L152" s="83" t="str">
        <f>IFERROR(VLOOKUP($A152,'The List'!$B1:$AS665,19,FALSE)," ")</f>
        <v xml:space="preserve"> </v>
      </c>
      <c r="M152" s="83" t="str">
        <f>IFERROR(VLOOKUP($A152,'The List'!$B1:$AS665,20,FALSE)," ")</f>
        <v xml:space="preserve"> </v>
      </c>
      <c r="N152" s="83" t="str">
        <f>IFERROR(VLOOKUP($A152,'The List'!$B1:$AS665,21,FALSE)," ")</f>
        <v xml:space="preserve"> </v>
      </c>
      <c r="O152" s="83" t="str">
        <f>IFERROR(VLOOKUP($A152,'The List'!$B1:$AS665,22,FALSE)," ")</f>
        <v xml:space="preserve"> </v>
      </c>
      <c r="P152" s="83" t="str">
        <f>IFERROR(VLOOKUP($A152,'The List'!$B1:$AS665,23,FALSE)," ")</f>
        <v xml:space="preserve"> </v>
      </c>
      <c r="Q152" s="83" t="str">
        <f>IFERROR(VLOOKUP($A152,'The List'!$B1:$AS665,24,FALSE)," ")</f>
        <v xml:space="preserve"> </v>
      </c>
      <c r="R152" s="83" t="str">
        <f>IFERROR(VLOOKUP($A152,'The List'!$B1:$AS665,25,FALSE)," ")</f>
        <v xml:space="preserve"> </v>
      </c>
      <c r="S152" s="83" t="str">
        <f>IFERROR(VLOOKUP($A152,'The List'!$B1:$AS665,26,FALSE)," ")</f>
        <v xml:space="preserve"> </v>
      </c>
      <c r="T152" s="83" t="str">
        <f>IFERROR(VLOOKUP($A152,'The List'!$B1:$AS665,27,FALSE)," ")</f>
        <v xml:space="preserve"> </v>
      </c>
      <c r="U152" s="83" t="str">
        <f>IFERROR(VLOOKUP($A152,'The List'!$B1:$AS665,28,FALSE)," ")</f>
        <v xml:space="preserve"> </v>
      </c>
      <c r="V152" s="83" t="str">
        <f>IFERROR(VLOOKUP($A152,'The List'!$B1:$AS665,29,FALSE)," ")</f>
        <v xml:space="preserve"> </v>
      </c>
      <c r="W152" s="83" t="str">
        <f>IFERROR(VLOOKUP($A152,'The List'!$B1:$AS665,30,FALSE)," ")</f>
        <v xml:space="preserve"> </v>
      </c>
      <c r="X152" s="83" t="str">
        <f>IFERROR(VLOOKUP($A152,'The List'!$B1:$AS665,31,FALSE)," ")</f>
        <v xml:space="preserve"> </v>
      </c>
      <c r="Y152" s="83" t="str">
        <f>IFERROR(VLOOKUP($A152,'The List'!$B1:$AS665,32,FALSE)," ")</f>
        <v xml:space="preserve"> </v>
      </c>
      <c r="Z152" s="83" t="str">
        <f>IFERROR(VLOOKUP($A152,'The List'!$B1:$AS665,33,FALSE)," ")</f>
        <v xml:space="preserve"> </v>
      </c>
      <c r="AA152" s="86"/>
      <c r="AB152" s="91"/>
      <c r="AC152" s="91"/>
      <c r="AD152" s="91"/>
      <c r="AE152" s="91"/>
      <c r="AF152" s="91"/>
    </row>
    <row r="153" spans="1:32" ht="21.25" customHeight="1" x14ac:dyDescent="0.15">
      <c r="A153" s="23"/>
      <c r="B153" s="94" t="str">
        <f>IFERROR(VLOOKUP($A153,'The List'!$B1:$AS665,3,FALSE)," ")</f>
        <v xml:space="preserve"> </v>
      </c>
      <c r="C153" s="96" t="str">
        <f>IFERROR(VLOOKUP($A153,'The List'!$B1:$AS665,4,FALSE)," ")</f>
        <v xml:space="preserve"> </v>
      </c>
      <c r="D153" s="65" t="str">
        <f>IFERROR(VLOOKUP($A153,'The List'!$B1:$AS665,5,FALSE)," ")</f>
        <v xml:space="preserve"> </v>
      </c>
      <c r="E153" s="65" t="str">
        <f>IFERROR(VLOOKUP($A153,'The List'!$B1:$AS665,6,FALSE)," ")</f>
        <v xml:space="preserve"> </v>
      </c>
      <c r="F153" s="93" t="str">
        <f>IFERROR(VLOOKUP($A153,'The List'!$B1:$AS665,8,FALSE)," ")</f>
        <v xml:space="preserve"> </v>
      </c>
      <c r="G153" s="93" t="str">
        <f>IFERROR(VLOOKUP($A153,'The List'!$B1:$AS665,10,FALSE)," ")</f>
        <v xml:space="preserve"> </v>
      </c>
      <c r="H153" s="54"/>
      <c r="I153" s="83" t="str">
        <f>IFERROR(VLOOKUP($A153,'The List'!$B1:$AS665,16,FALSE)," ")</f>
        <v xml:space="preserve"> </v>
      </c>
      <c r="J153" s="83" t="str">
        <f>IFERROR(VLOOKUP($A153,'The List'!$B1:$AS665,17,FALSE)," ")</f>
        <v xml:space="preserve"> </v>
      </c>
      <c r="K153" s="83" t="str">
        <f>IFERROR(VLOOKUP($A153,'The List'!$B1:$AS665,18,FALSE)," ")</f>
        <v xml:space="preserve"> </v>
      </c>
      <c r="L153" s="83" t="str">
        <f>IFERROR(VLOOKUP($A153,'The List'!$B1:$AS665,19,FALSE)," ")</f>
        <v xml:space="preserve"> </v>
      </c>
      <c r="M153" s="83" t="str">
        <f>IFERROR(VLOOKUP($A153,'The List'!$B1:$AS665,20,FALSE)," ")</f>
        <v xml:space="preserve"> </v>
      </c>
      <c r="N153" s="83" t="str">
        <f>IFERROR(VLOOKUP($A153,'The List'!$B1:$AS665,21,FALSE)," ")</f>
        <v xml:space="preserve"> </v>
      </c>
      <c r="O153" s="83" t="str">
        <f>IFERROR(VLOOKUP($A153,'The List'!$B1:$AS665,22,FALSE)," ")</f>
        <v xml:space="preserve"> </v>
      </c>
      <c r="P153" s="83" t="str">
        <f>IFERROR(VLOOKUP($A153,'The List'!$B1:$AS665,23,FALSE)," ")</f>
        <v xml:space="preserve"> </v>
      </c>
      <c r="Q153" s="83" t="str">
        <f>IFERROR(VLOOKUP($A153,'The List'!$B1:$AS665,24,FALSE)," ")</f>
        <v xml:space="preserve"> </v>
      </c>
      <c r="R153" s="83" t="str">
        <f>IFERROR(VLOOKUP($A153,'The List'!$B1:$AS665,25,FALSE)," ")</f>
        <v xml:space="preserve"> </v>
      </c>
      <c r="S153" s="83" t="str">
        <f>IFERROR(VLOOKUP($A153,'The List'!$B1:$AS665,26,FALSE)," ")</f>
        <v xml:space="preserve"> </v>
      </c>
      <c r="T153" s="83" t="str">
        <f>IFERROR(VLOOKUP($A153,'The List'!$B1:$AS665,27,FALSE)," ")</f>
        <v xml:space="preserve"> </v>
      </c>
      <c r="U153" s="83" t="str">
        <f>IFERROR(VLOOKUP($A153,'The List'!$B1:$AS665,28,FALSE)," ")</f>
        <v xml:space="preserve"> </v>
      </c>
      <c r="V153" s="83" t="str">
        <f>IFERROR(VLOOKUP($A153,'The List'!$B1:$AS665,29,FALSE)," ")</f>
        <v xml:space="preserve"> </v>
      </c>
      <c r="W153" s="83" t="str">
        <f>IFERROR(VLOOKUP($A153,'The List'!$B1:$AS665,30,FALSE)," ")</f>
        <v xml:space="preserve"> </v>
      </c>
      <c r="X153" s="83" t="str">
        <f>IFERROR(VLOOKUP($A153,'The List'!$B1:$AS665,31,FALSE)," ")</f>
        <v xml:space="preserve"> </v>
      </c>
      <c r="Y153" s="83" t="str">
        <f>IFERROR(VLOOKUP($A153,'The List'!$B1:$AS665,32,FALSE)," ")</f>
        <v xml:space="preserve"> </v>
      </c>
      <c r="Z153" s="83" t="str">
        <f>IFERROR(VLOOKUP($A153,'The List'!$B1:$AS665,33,FALSE)," ")</f>
        <v xml:space="preserve"> </v>
      </c>
      <c r="AA153" s="86"/>
      <c r="AB153" s="91"/>
      <c r="AC153" s="91"/>
      <c r="AD153" s="91"/>
      <c r="AE153" s="91"/>
      <c r="AF153" s="91"/>
    </row>
    <row r="154" spans="1:32" ht="21.25" customHeight="1" x14ac:dyDescent="0.15">
      <c r="A154" s="23"/>
      <c r="B154" s="94" t="str">
        <f>IFERROR(VLOOKUP($A154,'The List'!$B1:$AS665,3,FALSE)," ")</f>
        <v xml:space="preserve"> </v>
      </c>
      <c r="C154" s="96" t="str">
        <f>IFERROR(VLOOKUP($A154,'The List'!$B1:$AS665,4,FALSE)," ")</f>
        <v xml:space="preserve"> </v>
      </c>
      <c r="D154" s="65" t="str">
        <f>IFERROR(VLOOKUP($A154,'The List'!$B1:$AS665,5,FALSE)," ")</f>
        <v xml:space="preserve"> </v>
      </c>
      <c r="E154" s="65" t="str">
        <f>IFERROR(VLOOKUP($A154,'The List'!$B1:$AS665,6,FALSE)," ")</f>
        <v xml:space="preserve"> </v>
      </c>
      <c r="F154" s="93" t="str">
        <f>IFERROR(VLOOKUP($A154,'The List'!$B1:$AS665,8,FALSE)," ")</f>
        <v xml:space="preserve"> </v>
      </c>
      <c r="G154" s="93" t="str">
        <f>IFERROR(VLOOKUP($A154,'The List'!$B1:$AS665,10,FALSE)," ")</f>
        <v xml:space="preserve"> </v>
      </c>
      <c r="H154" s="54"/>
      <c r="I154" s="83" t="str">
        <f>IFERROR(VLOOKUP($A154,'The List'!$B1:$AS665,16,FALSE)," ")</f>
        <v xml:space="preserve"> </v>
      </c>
      <c r="J154" s="83" t="str">
        <f>IFERROR(VLOOKUP($A154,'The List'!$B1:$AS665,17,FALSE)," ")</f>
        <v xml:space="preserve"> </v>
      </c>
      <c r="K154" s="83" t="str">
        <f>IFERROR(VLOOKUP($A154,'The List'!$B1:$AS665,18,FALSE)," ")</f>
        <v xml:space="preserve"> </v>
      </c>
      <c r="L154" s="83" t="str">
        <f>IFERROR(VLOOKUP($A154,'The List'!$B1:$AS665,19,FALSE)," ")</f>
        <v xml:space="preserve"> </v>
      </c>
      <c r="M154" s="83" t="str">
        <f>IFERROR(VLOOKUP($A154,'The List'!$B1:$AS665,20,FALSE)," ")</f>
        <v xml:space="preserve"> </v>
      </c>
      <c r="N154" s="83" t="str">
        <f>IFERROR(VLOOKUP($A154,'The List'!$B1:$AS665,21,FALSE)," ")</f>
        <v xml:space="preserve"> </v>
      </c>
      <c r="O154" s="83" t="str">
        <f>IFERROR(VLOOKUP($A154,'The List'!$B1:$AS665,22,FALSE)," ")</f>
        <v xml:space="preserve"> </v>
      </c>
      <c r="P154" s="83" t="str">
        <f>IFERROR(VLOOKUP($A154,'The List'!$B1:$AS665,23,FALSE)," ")</f>
        <v xml:space="preserve"> </v>
      </c>
      <c r="Q154" s="83" t="str">
        <f>IFERROR(VLOOKUP($A154,'The List'!$B1:$AS665,24,FALSE)," ")</f>
        <v xml:space="preserve"> </v>
      </c>
      <c r="R154" s="83" t="str">
        <f>IFERROR(VLOOKUP($A154,'The List'!$B1:$AS665,25,FALSE)," ")</f>
        <v xml:space="preserve"> </v>
      </c>
      <c r="S154" s="83" t="str">
        <f>IFERROR(VLOOKUP($A154,'The List'!$B1:$AS665,26,FALSE)," ")</f>
        <v xml:space="preserve"> </v>
      </c>
      <c r="T154" s="83" t="str">
        <f>IFERROR(VLOOKUP($A154,'The List'!$B1:$AS665,27,FALSE)," ")</f>
        <v xml:space="preserve"> </v>
      </c>
      <c r="U154" s="83" t="str">
        <f>IFERROR(VLOOKUP($A154,'The List'!$B1:$AS665,28,FALSE)," ")</f>
        <v xml:space="preserve"> </v>
      </c>
      <c r="V154" s="83" t="str">
        <f>IFERROR(VLOOKUP($A154,'The List'!$B1:$AS665,29,FALSE)," ")</f>
        <v xml:space="preserve"> </v>
      </c>
      <c r="W154" s="83" t="str">
        <f>IFERROR(VLOOKUP($A154,'The List'!$B1:$AS665,30,FALSE)," ")</f>
        <v xml:space="preserve"> </v>
      </c>
      <c r="X154" s="83" t="str">
        <f>IFERROR(VLOOKUP($A154,'The List'!$B1:$AS665,31,FALSE)," ")</f>
        <v xml:space="preserve"> </v>
      </c>
      <c r="Y154" s="83" t="str">
        <f>IFERROR(VLOOKUP($A154,'The List'!$B1:$AS665,32,FALSE)," ")</f>
        <v xml:space="preserve"> </v>
      </c>
      <c r="Z154" s="83" t="str">
        <f>IFERROR(VLOOKUP($A154,'The List'!$B1:$AS665,33,FALSE)," ")</f>
        <v xml:space="preserve"> </v>
      </c>
      <c r="AA154" s="86"/>
      <c r="AB154" s="91"/>
      <c r="AC154" s="91"/>
      <c r="AD154" s="91"/>
      <c r="AE154" s="91"/>
      <c r="AF154" s="91"/>
    </row>
    <row r="155" spans="1:32" ht="21.25" customHeight="1" x14ac:dyDescent="0.15">
      <c r="A155" s="23"/>
      <c r="B155" s="97" t="str">
        <f>IFERROR(VLOOKUP($A155,'The List'!$B1:$AS665,3,FALSE)," ")</f>
        <v xml:space="preserve"> </v>
      </c>
      <c r="C155" s="99" t="str">
        <f>IFERROR(VLOOKUP($A155,'The List'!$B1:$AS665,4,FALSE)," ")</f>
        <v xml:space="preserve"> </v>
      </c>
      <c r="D155" s="65" t="str">
        <f>IFERROR(VLOOKUP($A155,'The List'!$B1:$AS665,5,FALSE)," ")</f>
        <v xml:space="preserve"> </v>
      </c>
      <c r="E155" s="65" t="str">
        <f>IFERROR(VLOOKUP($A155,'The List'!$B1:$AS665,6,FALSE)," ")</f>
        <v xml:space="preserve"> </v>
      </c>
      <c r="F155" s="93" t="str">
        <f>IFERROR(VLOOKUP($A155,'The List'!$B1:$AS665,8,FALSE)," ")</f>
        <v xml:space="preserve"> </v>
      </c>
      <c r="G155" s="93" t="str">
        <f>IFERROR(VLOOKUP($A155,'The List'!$B1:$AS665,10,FALSE)," ")</f>
        <v xml:space="preserve"> </v>
      </c>
      <c r="H155" s="54"/>
      <c r="I155" s="83" t="str">
        <f>IFERROR(VLOOKUP($A155,'The List'!$B1:$AS665,16,FALSE)," ")</f>
        <v xml:space="preserve"> </v>
      </c>
      <c r="J155" s="83" t="str">
        <f>IFERROR(VLOOKUP($A155,'The List'!$B1:$AS665,17,FALSE)," ")</f>
        <v xml:space="preserve"> </v>
      </c>
      <c r="K155" s="83" t="str">
        <f>IFERROR(VLOOKUP($A155,'The List'!$B1:$AS665,18,FALSE)," ")</f>
        <v xml:space="preserve"> </v>
      </c>
      <c r="L155" s="83" t="str">
        <f>IFERROR(VLOOKUP($A155,'The List'!$B1:$AS665,19,FALSE)," ")</f>
        <v xml:space="preserve"> </v>
      </c>
      <c r="M155" s="83" t="str">
        <f>IFERROR(VLOOKUP($A155,'The List'!$B1:$AS665,20,FALSE)," ")</f>
        <v xml:space="preserve"> </v>
      </c>
      <c r="N155" s="83" t="str">
        <f>IFERROR(VLOOKUP($A155,'The List'!$B1:$AS665,21,FALSE)," ")</f>
        <v xml:space="preserve"> </v>
      </c>
      <c r="O155" s="83" t="str">
        <f>IFERROR(VLOOKUP($A155,'The List'!$B1:$AS665,22,FALSE)," ")</f>
        <v xml:space="preserve"> </v>
      </c>
      <c r="P155" s="83" t="str">
        <f>IFERROR(VLOOKUP($A155,'The List'!$B1:$AS665,23,FALSE)," ")</f>
        <v xml:space="preserve"> </v>
      </c>
      <c r="Q155" s="83" t="str">
        <f>IFERROR(VLOOKUP($A155,'The List'!$B1:$AS665,24,FALSE)," ")</f>
        <v xml:space="preserve"> </v>
      </c>
      <c r="R155" s="83" t="str">
        <f>IFERROR(VLOOKUP($A155,'The List'!$B1:$AS665,25,FALSE)," ")</f>
        <v xml:space="preserve"> </v>
      </c>
      <c r="S155" s="83" t="str">
        <f>IFERROR(VLOOKUP($A155,'The List'!$B1:$AS665,26,FALSE)," ")</f>
        <v xml:space="preserve"> </v>
      </c>
      <c r="T155" s="83" t="str">
        <f>IFERROR(VLOOKUP($A155,'The List'!$B1:$AS665,27,FALSE)," ")</f>
        <v xml:space="preserve"> </v>
      </c>
      <c r="U155" s="83" t="str">
        <f>IFERROR(VLOOKUP($A155,'The List'!$B1:$AS665,28,FALSE)," ")</f>
        <v xml:space="preserve"> </v>
      </c>
      <c r="V155" s="83" t="str">
        <f>IFERROR(VLOOKUP($A155,'The List'!$B1:$AS665,29,FALSE)," ")</f>
        <v xml:space="preserve"> </v>
      </c>
      <c r="W155" s="83" t="str">
        <f>IFERROR(VLOOKUP($A155,'The List'!$B1:$AS665,30,FALSE)," ")</f>
        <v xml:space="preserve"> </v>
      </c>
      <c r="X155" s="83" t="str">
        <f>IFERROR(VLOOKUP($A155,'The List'!$B1:$AS665,31,FALSE)," ")</f>
        <v xml:space="preserve"> </v>
      </c>
      <c r="Y155" s="83" t="str">
        <f>IFERROR(VLOOKUP($A155,'The List'!$B1:$AS665,32,FALSE)," ")</f>
        <v xml:space="preserve"> </v>
      </c>
      <c r="Z155" s="83" t="str">
        <f>IFERROR(VLOOKUP($A155,'The List'!$B1:$AS665,33,FALSE)," ")</f>
        <v xml:space="preserve"> </v>
      </c>
      <c r="AA155" s="86"/>
      <c r="AB155" s="91"/>
      <c r="AC155" s="91"/>
      <c r="AD155" s="91"/>
      <c r="AE155" s="91"/>
      <c r="AF155" s="91"/>
    </row>
    <row r="156" spans="1:32" ht="21.25" customHeight="1" x14ac:dyDescent="0.15">
      <c r="A156" s="23"/>
      <c r="B156" s="97" t="str">
        <f>IFERROR(VLOOKUP($A156,'The List'!$B1:$AS665,3,FALSE)," ")</f>
        <v xml:space="preserve"> </v>
      </c>
      <c r="C156" s="99" t="str">
        <f>IFERROR(VLOOKUP($A156,'The List'!$B1:$AS665,4,FALSE)," ")</f>
        <v xml:space="preserve"> </v>
      </c>
      <c r="D156" s="65" t="str">
        <f>IFERROR(VLOOKUP($A156,'The List'!$B1:$AS665,5,FALSE)," ")</f>
        <v xml:space="preserve"> </v>
      </c>
      <c r="E156" s="65" t="str">
        <f>IFERROR(VLOOKUP($A156,'The List'!$B1:$AS665,6,FALSE)," ")</f>
        <v xml:space="preserve"> </v>
      </c>
      <c r="F156" s="93" t="str">
        <f>IFERROR(VLOOKUP($A156,'The List'!$B1:$AS665,8,FALSE)," ")</f>
        <v xml:space="preserve"> </v>
      </c>
      <c r="G156" s="93" t="str">
        <f>IFERROR(VLOOKUP($A156,'The List'!$B1:$AS665,10,FALSE)," ")</f>
        <v xml:space="preserve"> </v>
      </c>
      <c r="H156" s="54"/>
      <c r="I156" s="83" t="str">
        <f>IFERROR(VLOOKUP($A156,'The List'!$B1:$AS665,16,FALSE)," ")</f>
        <v xml:space="preserve"> </v>
      </c>
      <c r="J156" s="83" t="str">
        <f>IFERROR(VLOOKUP($A156,'The List'!$B1:$AS665,17,FALSE)," ")</f>
        <v xml:space="preserve"> </v>
      </c>
      <c r="K156" s="83" t="str">
        <f>IFERROR(VLOOKUP($A156,'The List'!$B1:$AS665,18,FALSE)," ")</f>
        <v xml:space="preserve"> </v>
      </c>
      <c r="L156" s="83" t="str">
        <f>IFERROR(VLOOKUP($A156,'The List'!$B1:$AS665,19,FALSE)," ")</f>
        <v xml:space="preserve"> </v>
      </c>
      <c r="M156" s="83" t="str">
        <f>IFERROR(VLOOKUP($A156,'The List'!$B1:$AS665,20,FALSE)," ")</f>
        <v xml:space="preserve"> </v>
      </c>
      <c r="N156" s="83" t="str">
        <f>IFERROR(VLOOKUP($A156,'The List'!$B1:$AS665,21,FALSE)," ")</f>
        <v xml:space="preserve"> </v>
      </c>
      <c r="O156" s="83" t="str">
        <f>IFERROR(VLOOKUP($A156,'The List'!$B1:$AS665,22,FALSE)," ")</f>
        <v xml:space="preserve"> </v>
      </c>
      <c r="P156" s="83" t="str">
        <f>IFERROR(VLOOKUP($A156,'The List'!$B1:$AS665,23,FALSE)," ")</f>
        <v xml:space="preserve"> </v>
      </c>
      <c r="Q156" s="83" t="str">
        <f>IFERROR(VLOOKUP($A156,'The List'!$B1:$AS665,24,FALSE)," ")</f>
        <v xml:space="preserve"> </v>
      </c>
      <c r="R156" s="83" t="str">
        <f>IFERROR(VLOOKUP($A156,'The List'!$B1:$AS665,25,FALSE)," ")</f>
        <v xml:space="preserve"> </v>
      </c>
      <c r="S156" s="83" t="str">
        <f>IFERROR(VLOOKUP($A156,'The List'!$B1:$AS665,26,FALSE)," ")</f>
        <v xml:space="preserve"> </v>
      </c>
      <c r="T156" s="83" t="str">
        <f>IFERROR(VLOOKUP($A156,'The List'!$B1:$AS665,27,FALSE)," ")</f>
        <v xml:space="preserve"> </v>
      </c>
      <c r="U156" s="83" t="str">
        <f>IFERROR(VLOOKUP($A156,'The List'!$B1:$AS665,28,FALSE)," ")</f>
        <v xml:space="preserve"> </v>
      </c>
      <c r="V156" s="83" t="str">
        <f>IFERROR(VLOOKUP($A156,'The List'!$B1:$AS665,29,FALSE)," ")</f>
        <v xml:space="preserve"> </v>
      </c>
      <c r="W156" s="83" t="str">
        <f>IFERROR(VLOOKUP($A156,'The List'!$B1:$AS665,30,FALSE)," ")</f>
        <v xml:space="preserve"> </v>
      </c>
      <c r="X156" s="83" t="str">
        <f>IFERROR(VLOOKUP($A156,'The List'!$B1:$AS665,31,FALSE)," ")</f>
        <v xml:space="preserve"> </v>
      </c>
      <c r="Y156" s="83" t="str">
        <f>IFERROR(VLOOKUP($A156,'The List'!$B1:$AS665,32,FALSE)," ")</f>
        <v xml:space="preserve"> </v>
      </c>
      <c r="Z156" s="83" t="str">
        <f>IFERROR(VLOOKUP($A156,'The List'!$B1:$AS665,33,FALSE)," ")</f>
        <v xml:space="preserve"> </v>
      </c>
      <c r="AA156" s="86"/>
      <c r="AB156" s="91"/>
      <c r="AC156" s="91"/>
      <c r="AD156" s="91"/>
      <c r="AE156" s="91"/>
      <c r="AF156" s="91"/>
    </row>
    <row r="157" spans="1:32" ht="21.25" customHeight="1" x14ac:dyDescent="0.15">
      <c r="A157" s="23"/>
      <c r="B157" s="97" t="str">
        <f>IFERROR(VLOOKUP($A157,'The List'!$B1:$AS665,3,FALSE)," ")</f>
        <v xml:space="preserve"> </v>
      </c>
      <c r="C157" s="99" t="str">
        <f>IFERROR(VLOOKUP($A157,'The List'!$B1:$AS665,4,FALSE)," ")</f>
        <v xml:space="preserve"> </v>
      </c>
      <c r="D157" s="65" t="str">
        <f>IFERROR(VLOOKUP($A157,'The List'!$B1:$AS665,5,FALSE)," ")</f>
        <v xml:space="preserve"> </v>
      </c>
      <c r="E157" s="65" t="str">
        <f>IFERROR(VLOOKUP($A157,'The List'!$B1:$AS665,6,FALSE)," ")</f>
        <v xml:space="preserve"> </v>
      </c>
      <c r="F157" s="93" t="str">
        <f>IFERROR(VLOOKUP($A157,'The List'!$B1:$AS665,8,FALSE)," ")</f>
        <v xml:space="preserve"> </v>
      </c>
      <c r="G157" s="93" t="str">
        <f>IFERROR(VLOOKUP($A157,'The List'!$B1:$AS665,10,FALSE)," ")</f>
        <v xml:space="preserve"> </v>
      </c>
      <c r="H157" s="54"/>
      <c r="I157" s="83" t="str">
        <f>IFERROR(VLOOKUP($A157,'The List'!$B1:$AS665,16,FALSE)," ")</f>
        <v xml:space="preserve"> </v>
      </c>
      <c r="J157" s="83" t="str">
        <f>IFERROR(VLOOKUP($A157,'The List'!$B1:$AS665,17,FALSE)," ")</f>
        <v xml:space="preserve"> </v>
      </c>
      <c r="K157" s="83" t="str">
        <f>IFERROR(VLOOKUP($A157,'The List'!$B1:$AS665,18,FALSE)," ")</f>
        <v xml:space="preserve"> </v>
      </c>
      <c r="L157" s="83" t="str">
        <f>IFERROR(VLOOKUP($A157,'The List'!$B1:$AS665,19,FALSE)," ")</f>
        <v xml:space="preserve"> </v>
      </c>
      <c r="M157" s="83" t="str">
        <f>IFERROR(VLOOKUP($A157,'The List'!$B1:$AS665,20,FALSE)," ")</f>
        <v xml:space="preserve"> </v>
      </c>
      <c r="N157" s="83" t="str">
        <f>IFERROR(VLOOKUP($A157,'The List'!$B1:$AS665,21,FALSE)," ")</f>
        <v xml:space="preserve"> </v>
      </c>
      <c r="O157" s="83" t="str">
        <f>IFERROR(VLOOKUP($A157,'The List'!$B1:$AS665,22,FALSE)," ")</f>
        <v xml:space="preserve"> </v>
      </c>
      <c r="P157" s="83" t="str">
        <f>IFERROR(VLOOKUP($A157,'The List'!$B1:$AS665,23,FALSE)," ")</f>
        <v xml:space="preserve"> </v>
      </c>
      <c r="Q157" s="83" t="str">
        <f>IFERROR(VLOOKUP($A157,'The List'!$B1:$AS665,24,FALSE)," ")</f>
        <v xml:space="preserve"> </v>
      </c>
      <c r="R157" s="83" t="str">
        <f>IFERROR(VLOOKUP($A157,'The List'!$B1:$AS665,25,FALSE)," ")</f>
        <v xml:space="preserve"> </v>
      </c>
      <c r="S157" s="83" t="str">
        <f>IFERROR(VLOOKUP($A157,'The List'!$B1:$AS665,26,FALSE)," ")</f>
        <v xml:space="preserve"> </v>
      </c>
      <c r="T157" s="83" t="str">
        <f>IFERROR(VLOOKUP($A157,'The List'!$B1:$AS665,27,FALSE)," ")</f>
        <v xml:space="preserve"> </v>
      </c>
      <c r="U157" s="83" t="str">
        <f>IFERROR(VLOOKUP($A157,'The List'!$B1:$AS665,28,FALSE)," ")</f>
        <v xml:space="preserve"> </v>
      </c>
      <c r="V157" s="83" t="str">
        <f>IFERROR(VLOOKUP($A157,'The List'!$B1:$AS665,29,FALSE)," ")</f>
        <v xml:space="preserve"> </v>
      </c>
      <c r="W157" s="83" t="str">
        <f>IFERROR(VLOOKUP($A157,'The List'!$B1:$AS665,30,FALSE)," ")</f>
        <v xml:space="preserve"> </v>
      </c>
      <c r="X157" s="83" t="str">
        <f>IFERROR(VLOOKUP($A157,'The List'!$B1:$AS665,31,FALSE)," ")</f>
        <v xml:space="preserve"> </v>
      </c>
      <c r="Y157" s="83" t="str">
        <f>IFERROR(VLOOKUP($A157,'The List'!$B1:$AS665,32,FALSE)," ")</f>
        <v xml:space="preserve"> </v>
      </c>
      <c r="Z157" s="83" t="str">
        <f>IFERROR(VLOOKUP($A157,'The List'!$B1:$AS665,33,FALSE)," ")</f>
        <v xml:space="preserve"> </v>
      </c>
      <c r="AA157" s="86"/>
      <c r="AB157" s="91"/>
      <c r="AC157" s="91"/>
      <c r="AD157" s="91"/>
      <c r="AE157" s="91"/>
      <c r="AF157" s="91"/>
    </row>
    <row r="158" spans="1:32" ht="21.25" customHeight="1" x14ac:dyDescent="0.15">
      <c r="A158" s="23"/>
      <c r="B158" s="97" t="str">
        <f>IFERROR(VLOOKUP($A158,'The List'!$B1:$AS665,3,FALSE)," ")</f>
        <v xml:space="preserve"> </v>
      </c>
      <c r="C158" s="99" t="str">
        <f>IFERROR(VLOOKUP($A158,'The List'!$B1:$AS665,4,FALSE)," ")</f>
        <v xml:space="preserve"> </v>
      </c>
      <c r="D158" s="65" t="str">
        <f>IFERROR(VLOOKUP($A158,'The List'!$B1:$AS665,5,FALSE)," ")</f>
        <v xml:space="preserve"> </v>
      </c>
      <c r="E158" s="65" t="str">
        <f>IFERROR(VLOOKUP($A158,'The List'!$B1:$AS665,6,FALSE)," ")</f>
        <v xml:space="preserve"> </v>
      </c>
      <c r="F158" s="93" t="str">
        <f>IFERROR(VLOOKUP($A158,'The List'!$B1:$AS665,8,FALSE)," ")</f>
        <v xml:space="preserve"> </v>
      </c>
      <c r="G158" s="93" t="str">
        <f>IFERROR(VLOOKUP($A158,'The List'!$B1:$AS665,10,FALSE)," ")</f>
        <v xml:space="preserve"> </v>
      </c>
      <c r="H158" s="54"/>
      <c r="I158" s="83" t="str">
        <f>IFERROR(VLOOKUP($A158,'The List'!$B1:$AS665,16,FALSE)," ")</f>
        <v xml:space="preserve"> </v>
      </c>
      <c r="J158" s="83" t="str">
        <f>IFERROR(VLOOKUP($A158,'The List'!$B1:$AS665,17,FALSE)," ")</f>
        <v xml:space="preserve"> </v>
      </c>
      <c r="K158" s="83" t="str">
        <f>IFERROR(VLOOKUP($A158,'The List'!$B1:$AS665,18,FALSE)," ")</f>
        <v xml:space="preserve"> </v>
      </c>
      <c r="L158" s="83" t="str">
        <f>IFERROR(VLOOKUP($A158,'The List'!$B1:$AS665,19,FALSE)," ")</f>
        <v xml:space="preserve"> </v>
      </c>
      <c r="M158" s="83" t="str">
        <f>IFERROR(VLOOKUP($A158,'The List'!$B1:$AS665,20,FALSE)," ")</f>
        <v xml:space="preserve"> </v>
      </c>
      <c r="N158" s="83" t="str">
        <f>IFERROR(VLOOKUP($A158,'The List'!$B1:$AS665,21,FALSE)," ")</f>
        <v xml:space="preserve"> </v>
      </c>
      <c r="O158" s="83" t="str">
        <f>IFERROR(VLOOKUP($A158,'The List'!$B1:$AS665,22,FALSE)," ")</f>
        <v xml:space="preserve"> </v>
      </c>
      <c r="P158" s="83" t="str">
        <f>IFERROR(VLOOKUP($A158,'The List'!$B1:$AS665,23,FALSE)," ")</f>
        <v xml:space="preserve"> </v>
      </c>
      <c r="Q158" s="83" t="str">
        <f>IFERROR(VLOOKUP($A158,'The List'!$B1:$AS665,24,FALSE)," ")</f>
        <v xml:space="preserve"> </v>
      </c>
      <c r="R158" s="83" t="str">
        <f>IFERROR(VLOOKUP($A158,'The List'!$B1:$AS665,25,FALSE)," ")</f>
        <v xml:space="preserve"> </v>
      </c>
      <c r="S158" s="83" t="str">
        <f>IFERROR(VLOOKUP($A158,'The List'!$B1:$AS665,26,FALSE)," ")</f>
        <v xml:space="preserve"> </v>
      </c>
      <c r="T158" s="83" t="str">
        <f>IFERROR(VLOOKUP($A158,'The List'!$B1:$AS665,27,FALSE)," ")</f>
        <v xml:space="preserve"> </v>
      </c>
      <c r="U158" s="83" t="str">
        <f>IFERROR(VLOOKUP($A158,'The List'!$B1:$AS665,28,FALSE)," ")</f>
        <v xml:space="preserve"> </v>
      </c>
      <c r="V158" s="83" t="str">
        <f>IFERROR(VLOOKUP($A158,'The List'!$B1:$AS665,29,FALSE)," ")</f>
        <v xml:space="preserve"> </v>
      </c>
      <c r="W158" s="83" t="str">
        <f>IFERROR(VLOOKUP($A158,'The List'!$B1:$AS665,30,FALSE)," ")</f>
        <v xml:space="preserve"> </v>
      </c>
      <c r="X158" s="83" t="str">
        <f>IFERROR(VLOOKUP($A158,'The List'!$B1:$AS665,31,FALSE)," ")</f>
        <v xml:space="preserve"> </v>
      </c>
      <c r="Y158" s="83" t="str">
        <f>IFERROR(VLOOKUP($A158,'The List'!$B1:$AS665,32,FALSE)," ")</f>
        <v xml:space="preserve"> </v>
      </c>
      <c r="Z158" s="83" t="str">
        <f>IFERROR(VLOOKUP($A158,'The List'!$B1:$AS665,33,FALSE)," ")</f>
        <v xml:space="preserve"> </v>
      </c>
      <c r="AA158" s="86"/>
      <c r="AB158" s="91"/>
      <c r="AC158" s="91"/>
      <c r="AD158" s="91"/>
      <c r="AE158" s="91"/>
      <c r="AF158" s="91"/>
    </row>
    <row r="159" spans="1:32" ht="21.25" customHeight="1" x14ac:dyDescent="0.15">
      <c r="A159" s="23"/>
      <c r="B159" s="100" t="str">
        <f>IFERROR(VLOOKUP($A159,'The List'!$B1:$AS665,3,FALSE)," ")</f>
        <v xml:space="preserve"> </v>
      </c>
      <c r="C159" s="102" t="str">
        <f>IFERROR(VLOOKUP($A159,'The List'!$B1:$AS665,4,FALSE)," ")</f>
        <v xml:space="preserve"> </v>
      </c>
      <c r="D159" s="65" t="str">
        <f>IFERROR(VLOOKUP($A159,'The List'!$B1:$AS665,5,FALSE)," ")</f>
        <v xml:space="preserve"> </v>
      </c>
      <c r="E159" s="65" t="str">
        <f>IFERROR(VLOOKUP($A159,'The List'!$B1:$AS665,6,FALSE)," ")</f>
        <v xml:space="preserve"> </v>
      </c>
      <c r="F159" s="93" t="str">
        <f>IFERROR(VLOOKUP($A159,'The List'!$B1:$AS665,8,FALSE)," ")</f>
        <v xml:space="preserve"> </v>
      </c>
      <c r="G159" s="93" t="str">
        <f>IFERROR(VLOOKUP($A159,'The List'!$B1:$AS665,10,FALSE)," ")</f>
        <v xml:space="preserve"> </v>
      </c>
      <c r="H159" s="54"/>
      <c r="I159" s="83" t="str">
        <f>IFERROR(VLOOKUP($A159,'The List'!$B1:$AS665,16,FALSE)," ")</f>
        <v xml:space="preserve"> </v>
      </c>
      <c r="J159" s="83" t="str">
        <f>IFERROR(VLOOKUP($A159,'The List'!$B1:$AS665,17,FALSE)," ")</f>
        <v xml:space="preserve"> </v>
      </c>
      <c r="K159" s="83" t="str">
        <f>IFERROR(VLOOKUP($A159,'The List'!$B1:$AS665,18,FALSE)," ")</f>
        <v xml:space="preserve"> </v>
      </c>
      <c r="L159" s="83" t="str">
        <f>IFERROR(VLOOKUP($A159,'The List'!$B1:$AS665,19,FALSE)," ")</f>
        <v xml:space="preserve"> </v>
      </c>
      <c r="M159" s="83" t="str">
        <f>IFERROR(VLOOKUP($A159,'The List'!$B1:$AS665,20,FALSE)," ")</f>
        <v xml:space="preserve"> </v>
      </c>
      <c r="N159" s="83" t="str">
        <f>IFERROR(VLOOKUP($A159,'The List'!$B1:$AS665,21,FALSE)," ")</f>
        <v xml:space="preserve"> </v>
      </c>
      <c r="O159" s="83" t="str">
        <f>IFERROR(VLOOKUP($A159,'The List'!$B1:$AS665,22,FALSE)," ")</f>
        <v xml:space="preserve"> </v>
      </c>
      <c r="P159" s="83" t="str">
        <f>IFERROR(VLOOKUP($A159,'The List'!$B1:$AS665,23,FALSE)," ")</f>
        <v xml:space="preserve"> </v>
      </c>
      <c r="Q159" s="83" t="str">
        <f>IFERROR(VLOOKUP($A159,'The List'!$B1:$AS665,24,FALSE)," ")</f>
        <v xml:space="preserve"> </v>
      </c>
      <c r="R159" s="83" t="str">
        <f>IFERROR(VLOOKUP($A159,'The List'!$B1:$AS665,25,FALSE)," ")</f>
        <v xml:space="preserve"> </v>
      </c>
      <c r="S159" s="83" t="str">
        <f>IFERROR(VLOOKUP($A159,'The List'!$B1:$AS665,26,FALSE)," ")</f>
        <v xml:space="preserve"> </v>
      </c>
      <c r="T159" s="83" t="str">
        <f>IFERROR(VLOOKUP($A159,'The List'!$B1:$AS665,27,FALSE)," ")</f>
        <v xml:space="preserve"> </v>
      </c>
      <c r="U159" s="83" t="str">
        <f>IFERROR(VLOOKUP($A159,'The List'!$B1:$AS665,28,FALSE)," ")</f>
        <v xml:space="preserve"> </v>
      </c>
      <c r="V159" s="83" t="str">
        <f>IFERROR(VLOOKUP($A159,'The List'!$B1:$AS665,29,FALSE)," ")</f>
        <v xml:space="preserve"> </v>
      </c>
      <c r="W159" s="83" t="str">
        <f>IFERROR(VLOOKUP($A159,'The List'!$B1:$AS665,30,FALSE)," ")</f>
        <v xml:space="preserve"> </v>
      </c>
      <c r="X159" s="83" t="str">
        <f>IFERROR(VLOOKUP($A159,'The List'!$B1:$AS665,31,FALSE)," ")</f>
        <v xml:space="preserve"> </v>
      </c>
      <c r="Y159" s="83" t="str">
        <f>IFERROR(VLOOKUP($A159,'The List'!$B1:$AS665,32,FALSE)," ")</f>
        <v xml:space="preserve"> </v>
      </c>
      <c r="Z159" s="83" t="str">
        <f>IFERROR(VLOOKUP($A159,'The List'!$B1:$AS665,33,FALSE)," ")</f>
        <v xml:space="preserve"> </v>
      </c>
      <c r="AA159" s="86"/>
      <c r="AB159" s="91"/>
      <c r="AC159" s="91"/>
      <c r="AD159" s="91"/>
      <c r="AE159" s="91"/>
      <c r="AF159" s="91"/>
    </row>
    <row r="160" spans="1:32" ht="21.25" customHeight="1" x14ac:dyDescent="0.15">
      <c r="A160" s="23"/>
      <c r="B160" s="100" t="str">
        <f>IFERROR(VLOOKUP($A160,'The List'!$B1:$AS665,3,FALSE)," ")</f>
        <v xml:space="preserve"> </v>
      </c>
      <c r="C160" s="102" t="str">
        <f>IFERROR(VLOOKUP($A160,'The List'!$B1:$AS665,4,FALSE)," ")</f>
        <v xml:space="preserve"> </v>
      </c>
      <c r="D160" s="65" t="str">
        <f>IFERROR(VLOOKUP($A160,'The List'!$B1:$AS665,5,FALSE)," ")</f>
        <v xml:space="preserve"> </v>
      </c>
      <c r="E160" s="65" t="str">
        <f>IFERROR(VLOOKUP($A160,'The List'!$B1:$AS665,6,FALSE)," ")</f>
        <v xml:space="preserve"> </v>
      </c>
      <c r="F160" s="93" t="str">
        <f>IFERROR(VLOOKUP($A160,'The List'!$B1:$AS665,8,FALSE)," ")</f>
        <v xml:space="preserve"> </v>
      </c>
      <c r="G160" s="93" t="str">
        <f>IFERROR(VLOOKUP($A160,'The List'!$B1:$AS665,10,FALSE)," ")</f>
        <v xml:space="preserve"> </v>
      </c>
      <c r="H160" s="54"/>
      <c r="I160" s="83" t="str">
        <f>IFERROR(VLOOKUP($A160,'The List'!$B1:$AS665,16,FALSE)," ")</f>
        <v xml:space="preserve"> </v>
      </c>
      <c r="J160" s="83" t="str">
        <f>IFERROR(VLOOKUP($A160,'The List'!$B1:$AS665,17,FALSE)," ")</f>
        <v xml:space="preserve"> </v>
      </c>
      <c r="K160" s="83" t="str">
        <f>IFERROR(VLOOKUP($A160,'The List'!$B1:$AS665,18,FALSE)," ")</f>
        <v xml:space="preserve"> </v>
      </c>
      <c r="L160" s="83" t="str">
        <f>IFERROR(VLOOKUP($A160,'The List'!$B1:$AS665,19,FALSE)," ")</f>
        <v xml:space="preserve"> </v>
      </c>
      <c r="M160" s="83" t="str">
        <f>IFERROR(VLOOKUP($A160,'The List'!$B1:$AS665,20,FALSE)," ")</f>
        <v xml:space="preserve"> </v>
      </c>
      <c r="N160" s="83" t="str">
        <f>IFERROR(VLOOKUP($A160,'The List'!$B1:$AS665,21,FALSE)," ")</f>
        <v xml:space="preserve"> </v>
      </c>
      <c r="O160" s="83" t="str">
        <f>IFERROR(VLOOKUP($A160,'The List'!$B1:$AS665,22,FALSE)," ")</f>
        <v xml:space="preserve"> </v>
      </c>
      <c r="P160" s="83" t="str">
        <f>IFERROR(VLOOKUP($A160,'The List'!$B1:$AS665,23,FALSE)," ")</f>
        <v xml:space="preserve"> </v>
      </c>
      <c r="Q160" s="83" t="str">
        <f>IFERROR(VLOOKUP($A160,'The List'!$B1:$AS665,24,FALSE)," ")</f>
        <v xml:space="preserve"> </v>
      </c>
      <c r="R160" s="83" t="str">
        <f>IFERROR(VLOOKUP($A160,'The List'!$B1:$AS665,25,FALSE)," ")</f>
        <v xml:space="preserve"> </v>
      </c>
      <c r="S160" s="83" t="str">
        <f>IFERROR(VLOOKUP($A160,'The List'!$B1:$AS665,26,FALSE)," ")</f>
        <v xml:space="preserve"> </v>
      </c>
      <c r="T160" s="83" t="str">
        <f>IFERROR(VLOOKUP($A160,'The List'!$B1:$AS665,27,FALSE)," ")</f>
        <v xml:space="preserve"> </v>
      </c>
      <c r="U160" s="83" t="str">
        <f>IFERROR(VLOOKUP($A160,'The List'!$B1:$AS665,28,FALSE)," ")</f>
        <v xml:space="preserve"> </v>
      </c>
      <c r="V160" s="83" t="str">
        <f>IFERROR(VLOOKUP($A160,'The List'!$B1:$AS665,29,FALSE)," ")</f>
        <v xml:space="preserve"> </v>
      </c>
      <c r="W160" s="83" t="str">
        <f>IFERROR(VLOOKUP($A160,'The List'!$B1:$AS665,30,FALSE)," ")</f>
        <v xml:space="preserve"> </v>
      </c>
      <c r="X160" s="83" t="str">
        <f>IFERROR(VLOOKUP($A160,'The List'!$B1:$AS665,31,FALSE)," ")</f>
        <v xml:space="preserve"> </v>
      </c>
      <c r="Y160" s="83" t="str">
        <f>IFERROR(VLOOKUP($A160,'The List'!$B1:$AS665,32,FALSE)," ")</f>
        <v xml:space="preserve"> </v>
      </c>
      <c r="Z160" s="83" t="str">
        <f>IFERROR(VLOOKUP($A160,'The List'!$B1:$AS665,33,FALSE)," ")</f>
        <v xml:space="preserve"> </v>
      </c>
      <c r="AA160" s="86"/>
      <c r="AB160" s="91"/>
      <c r="AC160" s="91"/>
      <c r="AD160" s="91"/>
      <c r="AE160" s="91"/>
      <c r="AF160" s="91"/>
    </row>
    <row r="161" spans="1:32" ht="21.25" customHeight="1" x14ac:dyDescent="0.15">
      <c r="A161" s="23"/>
      <c r="B161" s="100" t="str">
        <f>IFERROR(VLOOKUP($A161,'The List'!$B1:$AS665,3,FALSE)," ")</f>
        <v xml:space="preserve"> </v>
      </c>
      <c r="C161" s="102" t="str">
        <f>IFERROR(VLOOKUP($A161,'The List'!$B1:$AS665,4,FALSE)," ")</f>
        <v xml:space="preserve"> </v>
      </c>
      <c r="D161" s="65" t="str">
        <f>IFERROR(VLOOKUP($A161,'The List'!$B1:$AS665,5,FALSE)," ")</f>
        <v xml:space="preserve"> </v>
      </c>
      <c r="E161" s="65" t="str">
        <f>IFERROR(VLOOKUP($A161,'The List'!$B1:$AS665,6,FALSE)," ")</f>
        <v xml:space="preserve"> </v>
      </c>
      <c r="F161" s="93" t="str">
        <f>IFERROR(VLOOKUP($A161,'The List'!$B1:$AS665,8,FALSE)," ")</f>
        <v xml:space="preserve"> </v>
      </c>
      <c r="G161" s="93" t="str">
        <f>IFERROR(VLOOKUP($A161,'The List'!$B1:$AS665,10,FALSE)," ")</f>
        <v xml:space="preserve"> </v>
      </c>
      <c r="H161" s="54"/>
      <c r="I161" s="83" t="str">
        <f>IFERROR(VLOOKUP($A161,'The List'!$B1:$AS665,16,FALSE)," ")</f>
        <v xml:space="preserve"> </v>
      </c>
      <c r="J161" s="83" t="str">
        <f>IFERROR(VLOOKUP($A161,'The List'!$B1:$AS665,17,FALSE)," ")</f>
        <v xml:space="preserve"> </v>
      </c>
      <c r="K161" s="83" t="str">
        <f>IFERROR(VLOOKUP($A161,'The List'!$B1:$AS665,18,FALSE)," ")</f>
        <v xml:space="preserve"> </v>
      </c>
      <c r="L161" s="83" t="str">
        <f>IFERROR(VLOOKUP($A161,'The List'!$B1:$AS665,19,FALSE)," ")</f>
        <v xml:space="preserve"> </v>
      </c>
      <c r="M161" s="83" t="str">
        <f>IFERROR(VLOOKUP($A161,'The List'!$B1:$AS665,20,FALSE)," ")</f>
        <v xml:space="preserve"> </v>
      </c>
      <c r="N161" s="83" t="str">
        <f>IFERROR(VLOOKUP($A161,'The List'!$B1:$AS665,21,FALSE)," ")</f>
        <v xml:space="preserve"> </v>
      </c>
      <c r="O161" s="83" t="str">
        <f>IFERROR(VLOOKUP($A161,'The List'!$B1:$AS665,22,FALSE)," ")</f>
        <v xml:space="preserve"> </v>
      </c>
      <c r="P161" s="83" t="str">
        <f>IFERROR(VLOOKUP($A161,'The List'!$B1:$AS665,23,FALSE)," ")</f>
        <v xml:space="preserve"> </v>
      </c>
      <c r="Q161" s="83" t="str">
        <f>IFERROR(VLOOKUP($A161,'The List'!$B1:$AS665,24,FALSE)," ")</f>
        <v xml:space="preserve"> </v>
      </c>
      <c r="R161" s="83" t="str">
        <f>IFERROR(VLOOKUP($A161,'The List'!$B1:$AS665,25,FALSE)," ")</f>
        <v xml:space="preserve"> </v>
      </c>
      <c r="S161" s="83" t="str">
        <f>IFERROR(VLOOKUP($A161,'The List'!$B1:$AS665,26,FALSE)," ")</f>
        <v xml:space="preserve"> </v>
      </c>
      <c r="T161" s="83" t="str">
        <f>IFERROR(VLOOKUP($A161,'The List'!$B1:$AS665,27,FALSE)," ")</f>
        <v xml:space="preserve"> </v>
      </c>
      <c r="U161" s="83" t="str">
        <f>IFERROR(VLOOKUP($A161,'The List'!$B1:$AS665,28,FALSE)," ")</f>
        <v xml:space="preserve"> </v>
      </c>
      <c r="V161" s="83" t="str">
        <f>IFERROR(VLOOKUP($A161,'The List'!$B1:$AS665,29,FALSE)," ")</f>
        <v xml:space="preserve"> </v>
      </c>
      <c r="W161" s="83" t="str">
        <f>IFERROR(VLOOKUP($A161,'The List'!$B1:$AS665,30,FALSE)," ")</f>
        <v xml:space="preserve"> </v>
      </c>
      <c r="X161" s="83" t="str">
        <f>IFERROR(VLOOKUP($A161,'The List'!$B1:$AS665,31,FALSE)," ")</f>
        <v xml:space="preserve"> </v>
      </c>
      <c r="Y161" s="83" t="str">
        <f>IFERROR(VLOOKUP($A161,'The List'!$B1:$AS665,32,FALSE)," ")</f>
        <v xml:space="preserve"> </v>
      </c>
      <c r="Z161" s="83" t="str">
        <f>IFERROR(VLOOKUP($A161,'The List'!$B1:$AS665,33,FALSE)," ")</f>
        <v xml:space="preserve"> </v>
      </c>
      <c r="AA161" s="86"/>
      <c r="AB161" s="91"/>
      <c r="AC161" s="91"/>
      <c r="AD161" s="91"/>
      <c r="AE161" s="91"/>
      <c r="AF161" s="91"/>
    </row>
    <row r="162" spans="1:32" ht="21.25" customHeight="1" x14ac:dyDescent="0.15">
      <c r="A162" s="23"/>
      <c r="B162" s="100" t="str">
        <f>IFERROR(VLOOKUP($A162,'The List'!$B1:$AS665,3,FALSE)," ")</f>
        <v xml:space="preserve"> </v>
      </c>
      <c r="C162" s="102" t="str">
        <f>IFERROR(VLOOKUP($A162,'The List'!$B1:$AS665,4,FALSE)," ")</f>
        <v xml:space="preserve"> </v>
      </c>
      <c r="D162" s="65" t="str">
        <f>IFERROR(VLOOKUP($A162,'The List'!$B1:$AS665,5,FALSE)," ")</f>
        <v xml:space="preserve"> </v>
      </c>
      <c r="E162" s="65" t="str">
        <f>IFERROR(VLOOKUP($A162,'The List'!$B1:$AS665,6,FALSE)," ")</f>
        <v xml:space="preserve"> </v>
      </c>
      <c r="F162" s="93" t="str">
        <f>IFERROR(VLOOKUP($A162,'The List'!$B1:$AS665,8,FALSE)," ")</f>
        <v xml:space="preserve"> </v>
      </c>
      <c r="G162" s="93" t="str">
        <f>IFERROR(VLOOKUP($A162,'The List'!$B1:$AS665,10,FALSE)," ")</f>
        <v xml:space="preserve"> </v>
      </c>
      <c r="H162" s="54"/>
      <c r="I162" s="83" t="str">
        <f>IFERROR(VLOOKUP($A162,'The List'!$B1:$AS665,16,FALSE)," ")</f>
        <v xml:space="preserve"> </v>
      </c>
      <c r="J162" s="83" t="str">
        <f>IFERROR(VLOOKUP($A162,'The List'!$B1:$AS665,17,FALSE)," ")</f>
        <v xml:space="preserve"> </v>
      </c>
      <c r="K162" s="83" t="str">
        <f>IFERROR(VLOOKUP($A162,'The List'!$B1:$AS665,18,FALSE)," ")</f>
        <v xml:space="preserve"> </v>
      </c>
      <c r="L162" s="83" t="str">
        <f>IFERROR(VLOOKUP($A162,'The List'!$B1:$AS665,19,FALSE)," ")</f>
        <v xml:space="preserve"> </v>
      </c>
      <c r="M162" s="83" t="str">
        <f>IFERROR(VLOOKUP($A162,'The List'!$B1:$AS665,20,FALSE)," ")</f>
        <v xml:space="preserve"> </v>
      </c>
      <c r="N162" s="83" t="str">
        <f>IFERROR(VLOOKUP($A162,'The List'!$B1:$AS665,21,FALSE)," ")</f>
        <v xml:space="preserve"> </v>
      </c>
      <c r="O162" s="83" t="str">
        <f>IFERROR(VLOOKUP($A162,'The List'!$B1:$AS665,22,FALSE)," ")</f>
        <v xml:space="preserve"> </v>
      </c>
      <c r="P162" s="83" t="str">
        <f>IFERROR(VLOOKUP($A162,'The List'!$B1:$AS665,23,FALSE)," ")</f>
        <v xml:space="preserve"> </v>
      </c>
      <c r="Q162" s="83" t="str">
        <f>IFERROR(VLOOKUP($A162,'The List'!$B1:$AS665,24,FALSE)," ")</f>
        <v xml:space="preserve"> </v>
      </c>
      <c r="R162" s="83" t="str">
        <f>IFERROR(VLOOKUP($A162,'The List'!$B1:$AS665,25,FALSE)," ")</f>
        <v xml:space="preserve"> </v>
      </c>
      <c r="S162" s="83" t="str">
        <f>IFERROR(VLOOKUP($A162,'The List'!$B1:$AS665,26,FALSE)," ")</f>
        <v xml:space="preserve"> </v>
      </c>
      <c r="T162" s="83" t="str">
        <f>IFERROR(VLOOKUP($A162,'The List'!$B1:$AS665,27,FALSE)," ")</f>
        <v xml:space="preserve"> </v>
      </c>
      <c r="U162" s="83" t="str">
        <f>IFERROR(VLOOKUP($A162,'The List'!$B1:$AS665,28,FALSE)," ")</f>
        <v xml:space="preserve"> </v>
      </c>
      <c r="V162" s="83" t="str">
        <f>IFERROR(VLOOKUP($A162,'The List'!$B1:$AS665,29,FALSE)," ")</f>
        <v xml:space="preserve"> </v>
      </c>
      <c r="W162" s="83" t="str">
        <f>IFERROR(VLOOKUP($A162,'The List'!$B1:$AS665,30,FALSE)," ")</f>
        <v xml:space="preserve"> </v>
      </c>
      <c r="X162" s="83" t="str">
        <f>IFERROR(VLOOKUP($A162,'The List'!$B1:$AS665,31,FALSE)," ")</f>
        <v xml:space="preserve"> </v>
      </c>
      <c r="Y162" s="83" t="str">
        <f>IFERROR(VLOOKUP($A162,'The List'!$B1:$AS665,32,FALSE)," ")</f>
        <v xml:space="preserve"> </v>
      </c>
      <c r="Z162" s="83" t="str">
        <f>IFERROR(VLOOKUP($A162,'The List'!$B1:$AS665,33,FALSE)," ")</f>
        <v xml:space="preserve"> </v>
      </c>
      <c r="AA162" s="86"/>
      <c r="AB162" s="91"/>
      <c r="AC162" s="91"/>
      <c r="AD162" s="91"/>
      <c r="AE162" s="91"/>
      <c r="AF162" s="91"/>
    </row>
    <row r="163" spans="1:32" ht="21.25" customHeight="1" x14ac:dyDescent="0.15">
      <c r="A163" s="23"/>
      <c r="B163" s="100" t="str">
        <f>IFERROR(VLOOKUP($A163,'The List'!$B1:$AS665,3,FALSE)," ")</f>
        <v xml:space="preserve"> </v>
      </c>
      <c r="C163" s="102" t="str">
        <f>IFERROR(VLOOKUP($A163,'The List'!$B1:$AS665,4,FALSE)," ")</f>
        <v xml:space="preserve"> </v>
      </c>
      <c r="D163" s="65" t="str">
        <f>IFERROR(VLOOKUP($A163,'The List'!$B1:$AS665,5,FALSE)," ")</f>
        <v xml:space="preserve"> </v>
      </c>
      <c r="E163" s="65" t="str">
        <f>IFERROR(VLOOKUP($A163,'The List'!$B1:$AS665,6,FALSE)," ")</f>
        <v xml:space="preserve"> </v>
      </c>
      <c r="F163" s="93" t="str">
        <f>IFERROR(VLOOKUP($A163,'The List'!$B1:$AS665,8,FALSE)," ")</f>
        <v xml:space="preserve"> </v>
      </c>
      <c r="G163" s="93" t="str">
        <f>IFERROR(VLOOKUP($A163,'The List'!$B1:$AS665,10,FALSE)," ")</f>
        <v xml:space="preserve"> </v>
      </c>
      <c r="H163" s="54"/>
      <c r="I163" s="83" t="str">
        <f>IFERROR(VLOOKUP($A163,'The List'!$B1:$AS665,16,FALSE)," ")</f>
        <v xml:space="preserve"> </v>
      </c>
      <c r="J163" s="83" t="str">
        <f>IFERROR(VLOOKUP($A163,'The List'!$B1:$AS665,17,FALSE)," ")</f>
        <v xml:space="preserve"> </v>
      </c>
      <c r="K163" s="83" t="str">
        <f>IFERROR(VLOOKUP($A163,'The List'!$B1:$AS665,18,FALSE)," ")</f>
        <v xml:space="preserve"> </v>
      </c>
      <c r="L163" s="83" t="str">
        <f>IFERROR(VLOOKUP($A163,'The List'!$B1:$AS665,19,FALSE)," ")</f>
        <v xml:space="preserve"> </v>
      </c>
      <c r="M163" s="83" t="str">
        <f>IFERROR(VLOOKUP($A163,'The List'!$B1:$AS665,20,FALSE)," ")</f>
        <v xml:space="preserve"> </v>
      </c>
      <c r="N163" s="83" t="str">
        <f>IFERROR(VLOOKUP($A163,'The List'!$B1:$AS665,21,FALSE)," ")</f>
        <v xml:space="preserve"> </v>
      </c>
      <c r="O163" s="83" t="str">
        <f>IFERROR(VLOOKUP($A163,'The List'!$B1:$AS665,22,FALSE)," ")</f>
        <v xml:space="preserve"> </v>
      </c>
      <c r="P163" s="83" t="str">
        <f>IFERROR(VLOOKUP($A163,'The List'!$B1:$AS665,23,FALSE)," ")</f>
        <v xml:space="preserve"> </v>
      </c>
      <c r="Q163" s="83" t="str">
        <f>IFERROR(VLOOKUP($A163,'The List'!$B1:$AS665,24,FALSE)," ")</f>
        <v xml:space="preserve"> </v>
      </c>
      <c r="R163" s="83" t="str">
        <f>IFERROR(VLOOKUP($A163,'The List'!$B1:$AS665,25,FALSE)," ")</f>
        <v xml:space="preserve"> </v>
      </c>
      <c r="S163" s="83" t="str">
        <f>IFERROR(VLOOKUP($A163,'The List'!$B1:$AS665,26,FALSE)," ")</f>
        <v xml:space="preserve"> </v>
      </c>
      <c r="T163" s="83" t="str">
        <f>IFERROR(VLOOKUP($A163,'The List'!$B1:$AS665,27,FALSE)," ")</f>
        <v xml:space="preserve"> </v>
      </c>
      <c r="U163" s="83" t="str">
        <f>IFERROR(VLOOKUP($A163,'The List'!$B1:$AS665,28,FALSE)," ")</f>
        <v xml:space="preserve"> </v>
      </c>
      <c r="V163" s="83" t="str">
        <f>IFERROR(VLOOKUP($A163,'The List'!$B1:$AS665,29,FALSE)," ")</f>
        <v xml:space="preserve"> </v>
      </c>
      <c r="W163" s="83" t="str">
        <f>IFERROR(VLOOKUP($A163,'The List'!$B1:$AS665,30,FALSE)," ")</f>
        <v xml:space="preserve"> </v>
      </c>
      <c r="X163" s="83" t="str">
        <f>IFERROR(VLOOKUP($A163,'The List'!$B1:$AS665,31,FALSE)," ")</f>
        <v xml:space="preserve"> </v>
      </c>
      <c r="Y163" s="83" t="str">
        <f>IFERROR(VLOOKUP($A163,'The List'!$B1:$AS665,32,FALSE)," ")</f>
        <v xml:space="preserve"> </v>
      </c>
      <c r="Z163" s="83" t="str">
        <f>IFERROR(VLOOKUP($A163,'The List'!$B1:$AS665,33,FALSE)," ")</f>
        <v xml:space="preserve"> </v>
      </c>
      <c r="AA163" s="86"/>
      <c r="AB163" s="91"/>
      <c r="AC163" s="91"/>
      <c r="AD163" s="91"/>
      <c r="AE163" s="91"/>
      <c r="AF163" s="91"/>
    </row>
    <row r="164" spans="1:32" ht="21.25" customHeight="1" x14ac:dyDescent="0.15">
      <c r="A164" s="23"/>
      <c r="B164" s="100" t="str">
        <f>IFERROR(VLOOKUP($A164,'The List'!$B1:$AS665,3,FALSE)," ")</f>
        <v xml:space="preserve"> </v>
      </c>
      <c r="C164" s="102" t="str">
        <f>IFERROR(VLOOKUP($A164,'The List'!$B1:$AS665,4,FALSE)," ")</f>
        <v xml:space="preserve"> </v>
      </c>
      <c r="D164" s="65" t="str">
        <f>IFERROR(VLOOKUP($A164,'The List'!$B1:$AS665,5,FALSE)," ")</f>
        <v xml:space="preserve"> </v>
      </c>
      <c r="E164" s="65" t="str">
        <f>IFERROR(VLOOKUP($A164,'The List'!$B1:$AS665,6,FALSE)," ")</f>
        <v xml:space="preserve"> </v>
      </c>
      <c r="F164" s="93" t="str">
        <f>IFERROR(VLOOKUP($A164,'The List'!$B1:$AS665,8,FALSE)," ")</f>
        <v xml:space="preserve"> </v>
      </c>
      <c r="G164" s="93" t="str">
        <f>IFERROR(VLOOKUP($A164,'The List'!$B1:$AS665,10,FALSE)," ")</f>
        <v xml:space="preserve"> </v>
      </c>
      <c r="H164" s="54"/>
      <c r="I164" s="83" t="str">
        <f>IFERROR(VLOOKUP($A164,'The List'!$B1:$AS665,16,FALSE)," ")</f>
        <v xml:space="preserve"> </v>
      </c>
      <c r="J164" s="83" t="str">
        <f>IFERROR(VLOOKUP($A164,'The List'!$B1:$AS665,17,FALSE)," ")</f>
        <v xml:space="preserve"> </v>
      </c>
      <c r="K164" s="83" t="str">
        <f>IFERROR(VLOOKUP($A164,'The List'!$B1:$AS665,18,FALSE)," ")</f>
        <v xml:space="preserve"> </v>
      </c>
      <c r="L164" s="83" t="str">
        <f>IFERROR(VLOOKUP($A164,'The List'!$B1:$AS665,19,FALSE)," ")</f>
        <v xml:space="preserve"> </v>
      </c>
      <c r="M164" s="83" t="str">
        <f>IFERROR(VLOOKUP($A164,'The List'!$B1:$AS665,20,FALSE)," ")</f>
        <v xml:space="preserve"> </v>
      </c>
      <c r="N164" s="83" t="str">
        <f>IFERROR(VLOOKUP($A164,'The List'!$B1:$AS665,21,FALSE)," ")</f>
        <v xml:space="preserve"> </v>
      </c>
      <c r="O164" s="83" t="str">
        <f>IFERROR(VLOOKUP($A164,'The List'!$B1:$AS665,22,FALSE)," ")</f>
        <v xml:space="preserve"> </v>
      </c>
      <c r="P164" s="83" t="str">
        <f>IFERROR(VLOOKUP($A164,'The List'!$B1:$AS665,23,FALSE)," ")</f>
        <v xml:space="preserve"> </v>
      </c>
      <c r="Q164" s="83" t="str">
        <f>IFERROR(VLOOKUP($A164,'The List'!$B1:$AS665,24,FALSE)," ")</f>
        <v xml:space="preserve"> </v>
      </c>
      <c r="R164" s="83" t="str">
        <f>IFERROR(VLOOKUP($A164,'The List'!$B1:$AS665,25,FALSE)," ")</f>
        <v xml:space="preserve"> </v>
      </c>
      <c r="S164" s="83" t="str">
        <f>IFERROR(VLOOKUP($A164,'The List'!$B1:$AS665,26,FALSE)," ")</f>
        <v xml:space="preserve"> </v>
      </c>
      <c r="T164" s="83" t="str">
        <f>IFERROR(VLOOKUP($A164,'The List'!$B1:$AS665,27,FALSE)," ")</f>
        <v xml:space="preserve"> </v>
      </c>
      <c r="U164" s="83" t="str">
        <f>IFERROR(VLOOKUP($A164,'The List'!$B1:$AS665,28,FALSE)," ")</f>
        <v xml:space="preserve"> </v>
      </c>
      <c r="V164" s="83" t="str">
        <f>IFERROR(VLOOKUP($A164,'The List'!$B1:$AS665,29,FALSE)," ")</f>
        <v xml:space="preserve"> </v>
      </c>
      <c r="W164" s="83" t="str">
        <f>IFERROR(VLOOKUP($A164,'The List'!$B1:$AS665,30,FALSE)," ")</f>
        <v xml:space="preserve"> </v>
      </c>
      <c r="X164" s="83" t="str">
        <f>IFERROR(VLOOKUP($A164,'The List'!$B1:$AS665,31,FALSE)," ")</f>
        <v xml:space="preserve"> </v>
      </c>
      <c r="Y164" s="83" t="str">
        <f>IFERROR(VLOOKUP($A164,'The List'!$B1:$AS665,32,FALSE)," ")</f>
        <v xml:space="preserve"> </v>
      </c>
      <c r="Z164" s="83" t="str">
        <f>IFERROR(VLOOKUP($A164,'The List'!$B1:$AS665,33,FALSE)," ")</f>
        <v xml:space="preserve"> </v>
      </c>
      <c r="AA164" s="86"/>
      <c r="AB164" s="91"/>
      <c r="AC164" s="91"/>
      <c r="AD164" s="91"/>
      <c r="AE164" s="91"/>
      <c r="AF164" s="91"/>
    </row>
    <row r="165" spans="1:32" ht="21.25" customHeight="1" x14ac:dyDescent="0.15">
      <c r="A165" s="23"/>
      <c r="B165" s="100" t="str">
        <f>IFERROR(VLOOKUP($A165,'The List'!$B1:$AS665,3,FALSE)," ")</f>
        <v xml:space="preserve"> </v>
      </c>
      <c r="C165" s="102" t="str">
        <f>IFERROR(VLOOKUP($A165,'The List'!$B1:$AS665,4,FALSE)," ")</f>
        <v xml:space="preserve"> </v>
      </c>
      <c r="D165" s="65" t="str">
        <f>IFERROR(VLOOKUP($A165,'The List'!$B1:$AS665,5,FALSE)," ")</f>
        <v xml:space="preserve"> </v>
      </c>
      <c r="E165" s="65" t="str">
        <f>IFERROR(VLOOKUP($A165,'The List'!$B1:$AS665,6,FALSE)," ")</f>
        <v xml:space="preserve"> </v>
      </c>
      <c r="F165" s="93" t="str">
        <f>IFERROR(VLOOKUP($A165,'The List'!$B1:$AS665,8,FALSE)," ")</f>
        <v xml:space="preserve"> </v>
      </c>
      <c r="G165" s="93" t="str">
        <f>IFERROR(VLOOKUP($A165,'The List'!$B1:$AS665,10,FALSE)," ")</f>
        <v xml:space="preserve"> </v>
      </c>
      <c r="H165" s="54"/>
      <c r="I165" s="83" t="str">
        <f>IFERROR(VLOOKUP($A165,'The List'!$B1:$AS665,16,FALSE)," ")</f>
        <v xml:space="preserve"> </v>
      </c>
      <c r="J165" s="83" t="str">
        <f>IFERROR(VLOOKUP($A165,'The List'!$B1:$AS665,17,FALSE)," ")</f>
        <v xml:space="preserve"> </v>
      </c>
      <c r="K165" s="83" t="str">
        <f>IFERROR(VLOOKUP($A165,'The List'!$B1:$AS665,18,FALSE)," ")</f>
        <v xml:space="preserve"> </v>
      </c>
      <c r="L165" s="83" t="str">
        <f>IFERROR(VLOOKUP($A165,'The List'!$B1:$AS665,19,FALSE)," ")</f>
        <v xml:space="preserve"> </v>
      </c>
      <c r="M165" s="83" t="str">
        <f>IFERROR(VLOOKUP($A165,'The List'!$B1:$AS665,20,FALSE)," ")</f>
        <v xml:space="preserve"> </v>
      </c>
      <c r="N165" s="83" t="str">
        <f>IFERROR(VLOOKUP($A165,'The List'!$B1:$AS665,21,FALSE)," ")</f>
        <v xml:space="preserve"> </v>
      </c>
      <c r="O165" s="83" t="str">
        <f>IFERROR(VLOOKUP($A165,'The List'!$B1:$AS665,22,FALSE)," ")</f>
        <v xml:space="preserve"> </v>
      </c>
      <c r="P165" s="83" t="str">
        <f>IFERROR(VLOOKUP($A165,'The List'!$B1:$AS665,23,FALSE)," ")</f>
        <v xml:space="preserve"> </v>
      </c>
      <c r="Q165" s="83" t="str">
        <f>IFERROR(VLOOKUP($A165,'The List'!$B1:$AS665,24,FALSE)," ")</f>
        <v xml:space="preserve"> </v>
      </c>
      <c r="R165" s="83" t="str">
        <f>IFERROR(VLOOKUP($A165,'The List'!$B1:$AS665,25,FALSE)," ")</f>
        <v xml:space="preserve"> </v>
      </c>
      <c r="S165" s="83" t="str">
        <f>IFERROR(VLOOKUP($A165,'The List'!$B1:$AS665,26,FALSE)," ")</f>
        <v xml:space="preserve"> </v>
      </c>
      <c r="T165" s="83" t="str">
        <f>IFERROR(VLOOKUP($A165,'The List'!$B1:$AS665,27,FALSE)," ")</f>
        <v xml:space="preserve"> </v>
      </c>
      <c r="U165" s="83" t="str">
        <f>IFERROR(VLOOKUP($A165,'The List'!$B1:$AS665,28,FALSE)," ")</f>
        <v xml:space="preserve"> </v>
      </c>
      <c r="V165" s="83" t="str">
        <f>IFERROR(VLOOKUP($A165,'The List'!$B1:$AS665,29,FALSE)," ")</f>
        <v xml:space="preserve"> </v>
      </c>
      <c r="W165" s="83" t="str">
        <f>IFERROR(VLOOKUP($A165,'The List'!$B1:$AS665,30,FALSE)," ")</f>
        <v xml:space="preserve"> </v>
      </c>
      <c r="X165" s="83" t="str">
        <f>IFERROR(VLOOKUP($A165,'The List'!$B1:$AS665,31,FALSE)," ")</f>
        <v xml:space="preserve"> </v>
      </c>
      <c r="Y165" s="83" t="str">
        <f>IFERROR(VLOOKUP($A165,'The List'!$B1:$AS665,32,FALSE)," ")</f>
        <v xml:space="preserve"> </v>
      </c>
      <c r="Z165" s="83" t="str">
        <f>IFERROR(VLOOKUP($A165,'The List'!$B1:$AS665,33,FALSE)," ")</f>
        <v xml:space="preserve"> </v>
      </c>
      <c r="AA165" s="86"/>
      <c r="AB165" s="91"/>
      <c r="AC165" s="91"/>
      <c r="AD165" s="91"/>
      <c r="AE165" s="91"/>
      <c r="AF165" s="91"/>
    </row>
    <row r="166" spans="1:32" ht="21.25" customHeight="1" x14ac:dyDescent="0.15">
      <c r="A166" s="104"/>
      <c r="B166" s="105" t="str">
        <f>IFERROR(VLOOKUP($A166,'The List'!$B1:$AS665,3,FALSE)," ")</f>
        <v xml:space="preserve"> </v>
      </c>
      <c r="C166" s="106" t="str">
        <f>IFERROR(VLOOKUP($A166,'The List'!$B1:$AS665,4,FALSE)," ")</f>
        <v xml:space="preserve"> </v>
      </c>
      <c r="D166" s="107" t="str">
        <f>IFERROR(VLOOKUP($A166,'The List'!$B1:$AS665,5,FALSE)," ")</f>
        <v xml:space="preserve"> </v>
      </c>
      <c r="E166" s="107" t="str">
        <f>IFERROR(VLOOKUP($A166,'The List'!$B1:$AS665,6,FALSE)," ")</f>
        <v xml:space="preserve"> </v>
      </c>
      <c r="F166" s="108" t="str">
        <f>IFERROR(VLOOKUP($A166,'The List'!$B1:$AS665,8,FALSE)," ")</f>
        <v xml:space="preserve"> </v>
      </c>
      <c r="G166" s="108" t="str">
        <f>IFERROR(VLOOKUP($A166,'The List'!$B1:$AS665,10,FALSE)," ")</f>
        <v xml:space="preserve"> </v>
      </c>
      <c r="H166" s="109"/>
      <c r="I166" s="110" t="str">
        <f>IFERROR(VLOOKUP($A166,'The List'!$B1:$AS665,16,FALSE)," ")</f>
        <v xml:space="preserve"> </v>
      </c>
      <c r="J166" s="110" t="str">
        <f>IFERROR(VLOOKUP($A166,'The List'!$B1:$AS665,17,FALSE)," ")</f>
        <v xml:space="preserve"> </v>
      </c>
      <c r="K166" s="110" t="str">
        <f>IFERROR(VLOOKUP($A166,'The List'!$B1:$AS665,18,FALSE)," ")</f>
        <v xml:space="preserve"> </v>
      </c>
      <c r="L166" s="110" t="str">
        <f>IFERROR(VLOOKUP($A166,'The List'!$B1:$AS665,19,FALSE)," ")</f>
        <v xml:space="preserve"> </v>
      </c>
      <c r="M166" s="110" t="str">
        <f>IFERROR(VLOOKUP($A166,'The List'!$B1:$AS665,20,FALSE)," ")</f>
        <v xml:space="preserve"> </v>
      </c>
      <c r="N166" s="110" t="str">
        <f>IFERROR(VLOOKUP($A166,'The List'!$B1:$AS665,21,FALSE)," ")</f>
        <v xml:space="preserve"> </v>
      </c>
      <c r="O166" s="110" t="str">
        <f>IFERROR(VLOOKUP($A166,'The List'!$B1:$AS665,22,FALSE)," ")</f>
        <v xml:space="preserve"> </v>
      </c>
      <c r="P166" s="110" t="str">
        <f>IFERROR(VLOOKUP($A166,'The List'!$B1:$AS665,23,FALSE)," ")</f>
        <v xml:space="preserve"> </v>
      </c>
      <c r="Q166" s="110" t="str">
        <f>IFERROR(VLOOKUP($A166,'The List'!$B1:$AS665,24,FALSE)," ")</f>
        <v xml:space="preserve"> </v>
      </c>
      <c r="R166" s="110" t="str">
        <f>IFERROR(VLOOKUP($A166,'The List'!$B1:$AS665,25,FALSE)," ")</f>
        <v xml:space="preserve"> </v>
      </c>
      <c r="S166" s="110" t="str">
        <f>IFERROR(VLOOKUP($A166,'The List'!$B1:$AS665,26,FALSE)," ")</f>
        <v xml:space="preserve"> </v>
      </c>
      <c r="T166" s="110" t="str">
        <f>IFERROR(VLOOKUP($A166,'The List'!$B1:$AS665,27,FALSE)," ")</f>
        <v xml:space="preserve"> </v>
      </c>
      <c r="U166" s="110" t="str">
        <f>IFERROR(VLOOKUP($A166,'The List'!$B1:$AS665,28,FALSE)," ")</f>
        <v xml:space="preserve"> </v>
      </c>
      <c r="V166" s="110" t="str">
        <f>IFERROR(VLOOKUP($A166,'The List'!$B1:$AS665,29,FALSE)," ")</f>
        <v xml:space="preserve"> </v>
      </c>
      <c r="W166" s="110" t="str">
        <f>IFERROR(VLOOKUP($A166,'The List'!$B1:$AS665,30,FALSE)," ")</f>
        <v xml:space="preserve"> </v>
      </c>
      <c r="X166" s="110" t="str">
        <f>IFERROR(VLOOKUP($A166,'The List'!$B1:$AS665,31,FALSE)," ")</f>
        <v xml:space="preserve"> </v>
      </c>
      <c r="Y166" s="110" t="str">
        <f>IFERROR(VLOOKUP($A166,'The List'!$B1:$AS665,32,FALSE)," ")</f>
        <v xml:space="preserve"> </v>
      </c>
      <c r="Z166" s="110" t="str">
        <f>IFERROR(VLOOKUP($A166,'The List'!$B1:$AS665,33,FALSE)," ")</f>
        <v xml:space="preserve"> </v>
      </c>
      <c r="AA166" s="86"/>
      <c r="AB166" s="91"/>
      <c r="AC166" s="91"/>
      <c r="AD166" s="91"/>
      <c r="AE166" s="91"/>
      <c r="AF166" s="91"/>
    </row>
    <row r="167" spans="1:32" ht="21.25" customHeight="1" x14ac:dyDescent="0.15">
      <c r="A167" s="111"/>
      <c r="B167" s="112"/>
      <c r="C167" s="113"/>
      <c r="D167" s="114"/>
      <c r="E167" s="146" t="str">
        <f>IFERROR(AVERAGE(E147:E166)," ")</f>
        <v xml:space="preserve"> </v>
      </c>
      <c r="F167" s="116">
        <f>SUM(F147:F166)</f>
        <v>0</v>
      </c>
      <c r="G167" s="116">
        <f>SUM(G147:G166)</f>
        <v>0</v>
      </c>
      <c r="H167" s="117"/>
      <c r="I167" s="118">
        <f>SUM(I147:I166)</f>
        <v>0</v>
      </c>
      <c r="J167" s="117" t="e">
        <f>AVERAGE(J147:J166)</f>
        <v>#DIV/0!</v>
      </c>
      <c r="K167" s="118">
        <f t="shared" ref="K167:Y167" si="10">SUM(K147:K166)</f>
        <v>0</v>
      </c>
      <c r="L167" s="118">
        <f t="shared" si="10"/>
        <v>0</v>
      </c>
      <c r="M167" s="118">
        <f t="shared" si="10"/>
        <v>0</v>
      </c>
      <c r="N167" s="118">
        <f t="shared" si="10"/>
        <v>0</v>
      </c>
      <c r="O167" s="118">
        <f t="shared" si="10"/>
        <v>0</v>
      </c>
      <c r="P167" s="118">
        <f t="shared" si="10"/>
        <v>0</v>
      </c>
      <c r="Q167" s="118">
        <f t="shared" si="10"/>
        <v>0</v>
      </c>
      <c r="R167" s="118">
        <f t="shared" si="10"/>
        <v>0</v>
      </c>
      <c r="S167" s="118">
        <f t="shared" si="10"/>
        <v>0</v>
      </c>
      <c r="T167" s="118">
        <f t="shared" si="10"/>
        <v>0</v>
      </c>
      <c r="U167" s="118">
        <f t="shared" si="10"/>
        <v>0</v>
      </c>
      <c r="V167" s="118">
        <f t="shared" si="10"/>
        <v>0</v>
      </c>
      <c r="W167" s="118">
        <f t="shared" si="10"/>
        <v>0</v>
      </c>
      <c r="X167" s="118">
        <f t="shared" si="10"/>
        <v>0</v>
      </c>
      <c r="Y167" s="118">
        <f t="shared" si="10"/>
        <v>0</v>
      </c>
      <c r="Z167" s="119">
        <f>IFERROR(X167/(X167+Y167),0)</f>
        <v>0</v>
      </c>
      <c r="AA167" s="86"/>
      <c r="AB167" s="120"/>
      <c r="AC167" s="120"/>
      <c r="AD167" s="120"/>
      <c r="AE167" s="120"/>
      <c r="AF167" s="120"/>
    </row>
    <row r="168" spans="1:32" ht="21.25" customHeight="1" x14ac:dyDescent="0.15">
      <c r="A168" s="34"/>
      <c r="B168" s="121"/>
      <c r="C168" s="122"/>
      <c r="D168" s="12"/>
      <c r="E168" s="12"/>
      <c r="F168" s="123"/>
      <c r="G168" s="124"/>
      <c r="H168" s="125"/>
      <c r="I168" s="12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91"/>
      <c r="AC168" s="91"/>
      <c r="AD168" s="91"/>
      <c r="AE168" s="91"/>
      <c r="AF168" s="91"/>
    </row>
    <row r="169" spans="1:32" ht="21.25" customHeight="1" x14ac:dyDescent="0.15">
      <c r="A169" s="37" t="s">
        <v>89</v>
      </c>
      <c r="B169" s="205" t="s">
        <v>91</v>
      </c>
      <c r="C169" s="195"/>
      <c r="D169" s="40" t="s">
        <v>92</v>
      </c>
      <c r="E169" s="40" t="s">
        <v>93</v>
      </c>
      <c r="F169" s="127" t="s">
        <v>95</v>
      </c>
      <c r="G169" s="127" t="s">
        <v>97</v>
      </c>
      <c r="H169" s="128"/>
      <c r="I169" s="129" t="s">
        <v>102</v>
      </c>
      <c r="J169" s="129" t="s">
        <v>118</v>
      </c>
      <c r="K169" s="129" t="s">
        <v>119</v>
      </c>
      <c r="L169" s="129" t="s">
        <v>120</v>
      </c>
      <c r="M169" s="129" t="s">
        <v>121</v>
      </c>
      <c r="N169" s="129" t="s">
        <v>122</v>
      </c>
      <c r="O169" s="129" t="s">
        <v>123</v>
      </c>
      <c r="P169" s="129" t="s">
        <v>124</v>
      </c>
      <c r="Q169" s="129" t="s">
        <v>125</v>
      </c>
      <c r="R169" s="86"/>
      <c r="S169" s="86"/>
      <c r="T169" s="86"/>
      <c r="U169" s="205" t="s">
        <v>809</v>
      </c>
      <c r="V169" s="206"/>
      <c r="W169" s="206"/>
      <c r="X169" s="205" t="s">
        <v>810</v>
      </c>
      <c r="Y169" s="206"/>
      <c r="Z169" s="206"/>
      <c r="AA169" s="86"/>
      <c r="AB169" s="86"/>
      <c r="AC169" s="86"/>
      <c r="AD169" s="86"/>
      <c r="AE169" s="86"/>
      <c r="AF169" s="86"/>
    </row>
    <row r="170" spans="1:32" ht="21.25" customHeight="1" x14ac:dyDescent="0.15">
      <c r="A170" s="147"/>
      <c r="B170" s="131" t="str">
        <f>IFERROR(VLOOKUP($A170,'The List'!$B1:$AS665,3,FALSE)," ")</f>
        <v xml:space="preserve"> </v>
      </c>
      <c r="C170" s="148" t="str">
        <f>IFERROR(VLOOKUP($A170,'The List'!$B1:$AS665,4,FALSE)," ")</f>
        <v xml:space="preserve"> </v>
      </c>
      <c r="D170" s="49" t="str">
        <f>IFERROR(VLOOKUP($A170,'The List'!$B1:$AS665,5,FALSE)," ")</f>
        <v xml:space="preserve"> </v>
      </c>
      <c r="E170" s="49" t="str">
        <f>IFERROR(VLOOKUP($A170,'The List'!$B1:$AS665,6,FALSE)," ")</f>
        <v xml:space="preserve"> </v>
      </c>
      <c r="F170" s="149" t="str">
        <f>IFERROR(VLOOKUP($A170,'The List'!$B1:$AS665,8,FALSE)," ")</f>
        <v xml:space="preserve"> </v>
      </c>
      <c r="G170" s="149" t="str">
        <f>IFERROR(VLOOKUP($A170,'The List'!$B1:$AS665,10,FALSE)," ")</f>
        <v xml:space="preserve"> </v>
      </c>
      <c r="H170" s="135"/>
      <c r="I170" s="150" t="str">
        <f>IFERROR(VLOOKUP($A170,'The List'!$B1:$AS665,35,FALSE)," ")</f>
        <v xml:space="preserve"> </v>
      </c>
      <c r="J170" s="150" t="str">
        <f>IFERROR(VLOOKUP($A170,'The List'!$B1:$AS665,36,FALSE)," ")</f>
        <v xml:space="preserve"> </v>
      </c>
      <c r="K170" s="150" t="str">
        <f>IFERROR(VLOOKUP($A170,'The List'!$B1:$AS665,37,FALSE)," ")</f>
        <v xml:space="preserve"> </v>
      </c>
      <c r="L170" s="150" t="str">
        <f>IFERROR(VLOOKUP($A170,'The List'!$B1:$AS665,38,FALSE)," ")</f>
        <v xml:space="preserve"> </v>
      </c>
      <c r="M170" s="150" t="str">
        <f>IFERROR(VLOOKUP($A170,'The List'!$B1:$AS665,39,FALSE)," ")</f>
        <v xml:space="preserve"> </v>
      </c>
      <c r="N170" s="150" t="str">
        <f>IFERROR(VLOOKUP($A170,'The List'!$B1:$AS665,40,FALSE)," ")</f>
        <v xml:space="preserve"> </v>
      </c>
      <c r="O170" s="150" t="str">
        <f>IFERROR(VLOOKUP($A170,'The List'!$B1:$AS665,41,FALSE)," ")</f>
        <v xml:space="preserve"> </v>
      </c>
      <c r="P170" s="150" t="str">
        <f>IFERROR(VLOOKUP($A170,'The List'!$B1:$AS665,42,FALSE)," ")</f>
        <v xml:space="preserve"> </v>
      </c>
      <c r="Q170" s="150" t="str">
        <f>IFERROR(VLOOKUP($A170,'The List'!$B1:$AS665,43,FALSE)," ")</f>
        <v xml:space="preserve"> </v>
      </c>
      <c r="R170" s="86"/>
      <c r="S170" s="86"/>
      <c r="T170" s="139" t="str">
        <f>A146</f>
        <v>TEAM 6</v>
      </c>
      <c r="U170" s="207">
        <f>F167+F173</f>
        <v>0</v>
      </c>
      <c r="V170" s="195"/>
      <c r="W170" s="195"/>
      <c r="X170" s="207">
        <f>G173+G167</f>
        <v>0</v>
      </c>
      <c r="Y170" s="195"/>
      <c r="Z170" s="195"/>
      <c r="AA170" s="86"/>
      <c r="AB170" s="86"/>
      <c r="AC170" s="86"/>
      <c r="AD170" s="86"/>
      <c r="AE170" s="86"/>
      <c r="AF170" s="86"/>
    </row>
    <row r="171" spans="1:32" ht="21.25" customHeight="1" x14ac:dyDescent="0.15">
      <c r="A171" s="23"/>
      <c r="B171" s="140" t="str">
        <f>IFERROR(VLOOKUP($A171,'The List'!$B1:$AS665,3,FALSE)," ")</f>
        <v xml:space="preserve"> </v>
      </c>
      <c r="C171" s="141" t="str">
        <f>IFERROR(VLOOKUP($A171,'The List'!$B1:$AS665,4,FALSE)," ")</f>
        <v xml:space="preserve"> </v>
      </c>
      <c r="D171" s="65" t="str">
        <f>IFERROR(VLOOKUP($A171,'The List'!$B1:$AS665,5,FALSE)," ")</f>
        <v xml:space="preserve"> </v>
      </c>
      <c r="E171" s="65" t="str">
        <f>IFERROR(VLOOKUP($A171,'The List'!$B1:$AS665,6,FALSE)," ")</f>
        <v xml:space="preserve"> </v>
      </c>
      <c r="F171" s="93" t="str">
        <f>IFERROR(VLOOKUP($A171,'The List'!$B1:$AS665,8,FALSE)," ")</f>
        <v xml:space="preserve"> </v>
      </c>
      <c r="G171" s="93" t="str">
        <f>IFERROR(VLOOKUP($A171,'The List'!$B1:$AS665,10,FALSE)," ")</f>
        <v xml:space="preserve"> </v>
      </c>
      <c r="H171" s="54"/>
      <c r="I171" s="83" t="str">
        <f>IFERROR(VLOOKUP($A171,'The List'!$B1:$AS665,35,FALSE)," ")</f>
        <v xml:space="preserve"> </v>
      </c>
      <c r="J171" s="83" t="str">
        <f>IFERROR(VLOOKUP($A171,'The List'!$B1:$AS665,36,FALSE)," ")</f>
        <v xml:space="preserve"> </v>
      </c>
      <c r="K171" s="83" t="str">
        <f>IFERROR(VLOOKUP($A171,'The List'!$B1:$AS665,37,FALSE)," ")</f>
        <v xml:space="preserve"> </v>
      </c>
      <c r="L171" s="83" t="str">
        <f>IFERROR(VLOOKUP($A171,'The List'!$B1:$AS665,38,FALSE)," ")</f>
        <v xml:space="preserve"> </v>
      </c>
      <c r="M171" s="83" t="str">
        <f>IFERROR(VLOOKUP($A171,'The List'!$B1:$AS665,39,FALSE)," ")</f>
        <v xml:space="preserve"> </v>
      </c>
      <c r="N171" s="83" t="str">
        <f>IFERROR(VLOOKUP($A171,'The List'!$B1:$AS665,40,FALSE)," ")</f>
        <v xml:space="preserve"> </v>
      </c>
      <c r="O171" s="83" t="str">
        <f>IFERROR(VLOOKUP($A171,'The List'!$B1:$AS665,41,FALSE)," ")</f>
        <v xml:space="preserve"> </v>
      </c>
      <c r="P171" s="83" t="str">
        <f>IFERROR(VLOOKUP($A171,'The List'!$B1:$AS665,42,FALSE)," ")</f>
        <v xml:space="preserve"> </v>
      </c>
      <c r="Q171" s="83" t="str">
        <f>IFERROR(VLOOKUP($A171,'The List'!$B1:$AS665,43,FALSE)," ")</f>
        <v xml:space="preserve"> </v>
      </c>
      <c r="R171" s="86"/>
      <c r="S171" s="86"/>
      <c r="T171" s="86"/>
      <c r="U171" s="195"/>
      <c r="V171" s="195"/>
      <c r="W171" s="195"/>
      <c r="X171" s="195"/>
      <c r="Y171" s="195"/>
      <c r="Z171" s="195"/>
      <c r="AA171" s="86"/>
      <c r="AB171" s="86"/>
      <c r="AC171" s="86"/>
      <c r="AD171" s="86"/>
      <c r="AE171" s="86"/>
      <c r="AF171" s="86"/>
    </row>
    <row r="172" spans="1:32" ht="21.25" customHeight="1" x14ac:dyDescent="0.15">
      <c r="A172" s="104"/>
      <c r="B172" s="142" t="str">
        <f>IFERROR(VLOOKUP($A172,'The List'!$B1:$AS665,3,FALSE)," ")</f>
        <v xml:space="preserve"> </v>
      </c>
      <c r="C172" s="143" t="str">
        <f>IFERROR(VLOOKUP($A172,'The List'!$B1:$AS665,4,FALSE)," ")</f>
        <v xml:space="preserve"> </v>
      </c>
      <c r="D172" s="107" t="str">
        <f>IFERROR(VLOOKUP($A172,'The List'!$B1:$AS665,5,FALSE)," ")</f>
        <v xml:space="preserve"> </v>
      </c>
      <c r="E172" s="107" t="str">
        <f>IFERROR(VLOOKUP($A172,'The List'!$B1:$AS665,6,FALSE)," ")</f>
        <v xml:space="preserve"> </v>
      </c>
      <c r="F172" s="108" t="str">
        <f>IFERROR(VLOOKUP($A172,'The List'!$B1:$AS665,8,FALSE)," ")</f>
        <v xml:space="preserve"> </v>
      </c>
      <c r="G172" s="108" t="str">
        <f>IFERROR(VLOOKUP($A172,'The List'!$B1:$AS665,10,FALSE)," ")</f>
        <v xml:space="preserve"> </v>
      </c>
      <c r="H172" s="109"/>
      <c r="I172" s="110" t="str">
        <f>IFERROR(VLOOKUP($A172,'The List'!$B1:$AS665,35,FALSE)," ")</f>
        <v xml:space="preserve"> </v>
      </c>
      <c r="J172" s="110" t="str">
        <f>IFERROR(VLOOKUP($A172,'The List'!$B1:$AS665,36,FALSE)," ")</f>
        <v xml:space="preserve"> </v>
      </c>
      <c r="K172" s="110" t="str">
        <f>IFERROR(VLOOKUP($A172,'The List'!$B1:$AS665,37,FALSE)," ")</f>
        <v xml:space="preserve"> </v>
      </c>
      <c r="L172" s="110" t="str">
        <f>IFERROR(VLOOKUP($A172,'The List'!$B1:$AS665,38,FALSE)," ")</f>
        <v xml:space="preserve"> </v>
      </c>
      <c r="M172" s="110" t="str">
        <f>IFERROR(VLOOKUP($A172,'The List'!$B1:$AS665,39,FALSE)," ")</f>
        <v xml:space="preserve"> </v>
      </c>
      <c r="N172" s="110" t="str">
        <f>IFERROR(VLOOKUP($A172,'The List'!$B1:$AS665,40,FALSE)," ")</f>
        <v xml:space="preserve"> </v>
      </c>
      <c r="O172" s="110" t="str">
        <f>IFERROR(VLOOKUP($A172,'The List'!$B1:$AS665,41,FALSE)," ")</f>
        <v xml:space="preserve"> </v>
      </c>
      <c r="P172" s="110" t="str">
        <f>IFERROR(VLOOKUP($A172,'The List'!$B1:$AS665,42,FALSE)," ")</f>
        <v xml:space="preserve"> </v>
      </c>
      <c r="Q172" s="110" t="str">
        <f>IFERROR(VLOOKUP($A172,'The List'!$B1:$AS665,43,FALSE)," ")</f>
        <v xml:space="preserve"> </v>
      </c>
      <c r="R172" s="86"/>
      <c r="S172" s="86"/>
      <c r="T172" s="86"/>
      <c r="U172" s="195"/>
      <c r="V172" s="195"/>
      <c r="W172" s="195"/>
      <c r="X172" s="195"/>
      <c r="Y172" s="195"/>
      <c r="Z172" s="195"/>
      <c r="AA172" s="86"/>
      <c r="AB172" s="86"/>
      <c r="AC172" s="86"/>
      <c r="AD172" s="86"/>
      <c r="AE172" s="86"/>
      <c r="AF172" s="86"/>
    </row>
    <row r="173" spans="1:32" ht="21.25" customHeight="1" x14ac:dyDescent="0.15">
      <c r="A173" s="111"/>
      <c r="B173" s="112"/>
      <c r="C173" s="113"/>
      <c r="D173" s="114"/>
      <c r="E173" s="146" t="str">
        <f>IFERROR(AVERAGE(E170:E172)," ")</f>
        <v xml:space="preserve"> </v>
      </c>
      <c r="F173" s="116">
        <f>SUM(F170:F172)</f>
        <v>0</v>
      </c>
      <c r="G173" s="116">
        <f>SUM(G170:G172)</f>
        <v>0</v>
      </c>
      <c r="H173" s="117"/>
      <c r="I173" s="118">
        <f t="shared" ref="I173:O173" si="11">SUM(I170:I172)</f>
        <v>0</v>
      </c>
      <c r="J173" s="117">
        <f t="shared" si="11"/>
        <v>0</v>
      </c>
      <c r="K173" s="118">
        <f t="shared" si="11"/>
        <v>0</v>
      </c>
      <c r="L173" s="118">
        <f t="shared" si="11"/>
        <v>0</v>
      </c>
      <c r="M173" s="118">
        <f t="shared" si="11"/>
        <v>0</v>
      </c>
      <c r="N173" s="118">
        <f t="shared" si="11"/>
        <v>0</v>
      </c>
      <c r="O173" s="118">
        <f t="shared" si="11"/>
        <v>0</v>
      </c>
      <c r="P173" s="144" t="e">
        <f>1-(O173/(N173+O173))</f>
        <v>#DIV/0!</v>
      </c>
      <c r="Q173" s="145" t="e">
        <f>O173/I173</f>
        <v>#DIV/0!</v>
      </c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</row>
    <row r="174" spans="1:32" ht="70.75" customHeight="1" x14ac:dyDescent="0.15">
      <c r="A174" s="34"/>
      <c r="B174" s="121"/>
      <c r="C174" s="122"/>
      <c r="D174" s="12"/>
      <c r="E174" s="12"/>
      <c r="F174" s="123"/>
      <c r="G174" s="124"/>
      <c r="H174" s="125"/>
      <c r="I174" s="12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91"/>
      <c r="AB174" s="91"/>
      <c r="AC174" s="91"/>
      <c r="AD174" s="91"/>
      <c r="AE174" s="91"/>
      <c r="AF174" s="91"/>
    </row>
    <row r="175" spans="1:32" ht="21.25" customHeight="1" x14ac:dyDescent="0.15">
      <c r="A175" s="38" t="s">
        <v>799</v>
      </c>
      <c r="B175" s="204" t="s">
        <v>91</v>
      </c>
      <c r="C175" s="200"/>
      <c r="D175" s="39" t="s">
        <v>92</v>
      </c>
      <c r="E175" s="39" t="s">
        <v>93</v>
      </c>
      <c r="F175" s="41" t="s">
        <v>95</v>
      </c>
      <c r="G175" s="41" t="s">
        <v>97</v>
      </c>
      <c r="H175" s="42"/>
      <c r="I175" s="44" t="s">
        <v>102</v>
      </c>
      <c r="J175" s="44" t="s">
        <v>55</v>
      </c>
      <c r="K175" s="44" t="s">
        <v>103</v>
      </c>
      <c r="L175" s="44" t="s">
        <v>104</v>
      </c>
      <c r="M175" s="44" t="s">
        <v>105</v>
      </c>
      <c r="N175" s="44" t="s">
        <v>106</v>
      </c>
      <c r="O175" s="44" t="s">
        <v>107</v>
      </c>
      <c r="P175" s="44" t="s">
        <v>63</v>
      </c>
      <c r="Q175" s="44" t="s">
        <v>108</v>
      </c>
      <c r="R175" s="44" t="s">
        <v>109</v>
      </c>
      <c r="S175" s="44" t="s">
        <v>110</v>
      </c>
      <c r="T175" s="44" t="s">
        <v>111</v>
      </c>
      <c r="U175" s="44" t="s">
        <v>112</v>
      </c>
      <c r="V175" s="44" t="s">
        <v>113</v>
      </c>
      <c r="W175" s="44" t="s">
        <v>114</v>
      </c>
      <c r="X175" s="44" t="s">
        <v>115</v>
      </c>
      <c r="Y175" s="44" t="s">
        <v>116</v>
      </c>
      <c r="Z175" s="44" t="s">
        <v>117</v>
      </c>
      <c r="AA175" s="86"/>
      <c r="AB175" s="87"/>
      <c r="AC175" s="87"/>
      <c r="AD175" s="87"/>
      <c r="AE175" s="87"/>
      <c r="AF175" s="87"/>
    </row>
    <row r="176" spans="1:32" ht="21.25" customHeight="1" x14ac:dyDescent="0.15">
      <c r="A176" s="23"/>
      <c r="B176" s="88" t="str">
        <f>IFERROR(VLOOKUP($A176,'The List'!$B1:$AS665,3,FALSE)," ")</f>
        <v xml:space="preserve"> </v>
      </c>
      <c r="C176" s="92" t="str">
        <f>IFERROR(VLOOKUP($A176,'The List'!$B1:$AS665,4,FALSE)," ")</f>
        <v xml:space="preserve"> </v>
      </c>
      <c r="D176" s="65" t="str">
        <f>IFERROR(VLOOKUP($A176,'The List'!$B1:$AS665,5,FALSE)," ")</f>
        <v xml:space="preserve"> </v>
      </c>
      <c r="E176" s="65" t="str">
        <f>IFERROR(VLOOKUP($A176,'The List'!$B1:$AS665,6,FALSE)," ")</f>
        <v xml:space="preserve"> </v>
      </c>
      <c r="F176" s="93" t="str">
        <f>IFERROR(VLOOKUP($A176,'The List'!$B1:$AS665,8,FALSE)," ")</f>
        <v xml:space="preserve"> </v>
      </c>
      <c r="G176" s="93" t="str">
        <f>IFERROR(VLOOKUP($A176,'The List'!$B1:$AS665,10,FALSE)," ")</f>
        <v xml:space="preserve"> </v>
      </c>
      <c r="H176" s="54"/>
      <c r="I176" s="83" t="str">
        <f>IFERROR(VLOOKUP($A176,'The List'!$B1:$AS665,16,FALSE)," ")</f>
        <v xml:space="preserve"> </v>
      </c>
      <c r="J176" s="83" t="str">
        <f>IFERROR(VLOOKUP($A176,'The List'!$B1:$AS665,17,FALSE)," ")</f>
        <v xml:space="preserve"> </v>
      </c>
      <c r="K176" s="83" t="str">
        <f>IFERROR(VLOOKUP($A176,'The List'!$B1:$AS665,18,FALSE)," ")</f>
        <v xml:space="preserve"> </v>
      </c>
      <c r="L176" s="83" t="str">
        <f>IFERROR(VLOOKUP($A176,'The List'!$B1:$AS665,19,FALSE)," ")</f>
        <v xml:space="preserve"> </v>
      </c>
      <c r="M176" s="83" t="str">
        <f>IFERROR(VLOOKUP($A176,'The List'!$B1:$AS665,20,FALSE)," ")</f>
        <v xml:space="preserve"> </v>
      </c>
      <c r="N176" s="83" t="str">
        <f>IFERROR(VLOOKUP($A176,'The List'!$B1:$AS665,21,FALSE)," ")</f>
        <v xml:space="preserve"> </v>
      </c>
      <c r="O176" s="83" t="str">
        <f>IFERROR(VLOOKUP($A176,'The List'!$B1:$AS665,22,FALSE)," ")</f>
        <v xml:space="preserve"> </v>
      </c>
      <c r="P176" s="83" t="str">
        <f>IFERROR(VLOOKUP($A176,'The List'!$B1:$AS665,23,FALSE)," ")</f>
        <v xml:space="preserve"> </v>
      </c>
      <c r="Q176" s="83" t="str">
        <f>IFERROR(VLOOKUP($A176,'The List'!$B1:$AS665,24,FALSE)," ")</f>
        <v xml:space="preserve"> </v>
      </c>
      <c r="R176" s="83" t="str">
        <f>IFERROR(VLOOKUP($A176,'The List'!$B1:$AS665,25,FALSE)," ")</f>
        <v xml:space="preserve"> </v>
      </c>
      <c r="S176" s="83" t="str">
        <f>IFERROR(VLOOKUP($A176,'The List'!$B1:$AS665,26,FALSE)," ")</f>
        <v xml:space="preserve"> </v>
      </c>
      <c r="T176" s="83" t="str">
        <f>IFERROR(VLOOKUP($A176,'The List'!$B1:$AS665,27,FALSE)," ")</f>
        <v xml:space="preserve"> </v>
      </c>
      <c r="U176" s="83" t="str">
        <f>IFERROR(VLOOKUP($A176,'The List'!$B1:$AS665,28,FALSE)," ")</f>
        <v xml:space="preserve"> </v>
      </c>
      <c r="V176" s="83" t="str">
        <f>IFERROR(VLOOKUP($A176,'The List'!$B1:$AS665,29,FALSE)," ")</f>
        <v xml:space="preserve"> </v>
      </c>
      <c r="W176" s="83" t="str">
        <f>IFERROR(VLOOKUP($A176,'The List'!$B1:$AS665,30,FALSE)," ")</f>
        <v xml:space="preserve"> </v>
      </c>
      <c r="X176" s="83" t="str">
        <f>IFERROR(VLOOKUP($A176,'The List'!$B1:$AS665,31,FALSE)," ")</f>
        <v xml:space="preserve"> </v>
      </c>
      <c r="Y176" s="83" t="str">
        <f>IFERROR(VLOOKUP($A176,'The List'!$B1:$AS665,32,FALSE)," ")</f>
        <v xml:space="preserve"> </v>
      </c>
      <c r="Z176" s="83" t="str">
        <f>IFERROR(VLOOKUP($A176,'The List'!$B1:$AS665,33,FALSE)," ")</f>
        <v xml:space="preserve"> </v>
      </c>
      <c r="AA176" s="86"/>
      <c r="AB176" s="91"/>
      <c r="AC176" s="91"/>
      <c r="AD176" s="91"/>
      <c r="AE176" s="91"/>
      <c r="AF176" s="91"/>
    </row>
    <row r="177" spans="1:32" ht="21.25" customHeight="1" x14ac:dyDescent="0.15">
      <c r="A177" s="23"/>
      <c r="B177" s="88" t="str">
        <f>IFERROR(VLOOKUP($A177,'The List'!$B1:$AS665,3,FALSE)," ")</f>
        <v xml:space="preserve"> </v>
      </c>
      <c r="C177" s="92" t="str">
        <f>IFERROR(VLOOKUP($A177,'The List'!$B1:$AS665,4,FALSE)," ")</f>
        <v xml:space="preserve"> </v>
      </c>
      <c r="D177" s="65" t="str">
        <f>IFERROR(VLOOKUP($A177,'The List'!$B1:$AS665,5,FALSE)," ")</f>
        <v xml:space="preserve"> </v>
      </c>
      <c r="E177" s="65" t="str">
        <f>IFERROR(VLOOKUP($A177,'The List'!$B1:$AS665,6,FALSE)," ")</f>
        <v xml:space="preserve"> </v>
      </c>
      <c r="F177" s="93" t="str">
        <f>IFERROR(VLOOKUP($A177,'The List'!$B1:$AS665,8,FALSE)," ")</f>
        <v xml:space="preserve"> </v>
      </c>
      <c r="G177" s="93" t="str">
        <f>IFERROR(VLOOKUP($A177,'The List'!$B1:$AS665,10,FALSE)," ")</f>
        <v xml:space="preserve"> </v>
      </c>
      <c r="H177" s="54"/>
      <c r="I177" s="83" t="str">
        <f>IFERROR(VLOOKUP($A177,'The List'!$B1:$AS665,16,FALSE)," ")</f>
        <v xml:space="preserve"> </v>
      </c>
      <c r="J177" s="83" t="str">
        <f>IFERROR(VLOOKUP($A177,'The List'!$B1:$AS665,17,FALSE)," ")</f>
        <v xml:space="preserve"> </v>
      </c>
      <c r="K177" s="83" t="str">
        <f>IFERROR(VLOOKUP($A177,'The List'!$B1:$AS665,18,FALSE)," ")</f>
        <v xml:space="preserve"> </v>
      </c>
      <c r="L177" s="83" t="str">
        <f>IFERROR(VLOOKUP($A177,'The List'!$B1:$AS665,19,FALSE)," ")</f>
        <v xml:space="preserve"> </v>
      </c>
      <c r="M177" s="83" t="str">
        <f>IFERROR(VLOOKUP($A177,'The List'!$B1:$AS665,20,FALSE)," ")</f>
        <v xml:space="preserve"> </v>
      </c>
      <c r="N177" s="83" t="str">
        <f>IFERROR(VLOOKUP($A177,'The List'!$B1:$AS665,21,FALSE)," ")</f>
        <v xml:space="preserve"> </v>
      </c>
      <c r="O177" s="83" t="str">
        <f>IFERROR(VLOOKUP($A177,'The List'!$B1:$AS665,22,FALSE)," ")</f>
        <v xml:space="preserve"> </v>
      </c>
      <c r="P177" s="83" t="str">
        <f>IFERROR(VLOOKUP($A177,'The List'!$B1:$AS665,23,FALSE)," ")</f>
        <v xml:space="preserve"> </v>
      </c>
      <c r="Q177" s="83" t="str">
        <f>IFERROR(VLOOKUP($A177,'The List'!$B1:$AS665,24,FALSE)," ")</f>
        <v xml:space="preserve"> </v>
      </c>
      <c r="R177" s="83" t="str">
        <f>IFERROR(VLOOKUP($A177,'The List'!$B1:$AS665,25,FALSE)," ")</f>
        <v xml:space="preserve"> </v>
      </c>
      <c r="S177" s="83" t="str">
        <f>IFERROR(VLOOKUP($A177,'The List'!$B1:$AS665,26,FALSE)," ")</f>
        <v xml:space="preserve"> </v>
      </c>
      <c r="T177" s="83" t="str">
        <f>IFERROR(VLOOKUP($A177,'The List'!$B1:$AS665,27,FALSE)," ")</f>
        <v xml:space="preserve"> </v>
      </c>
      <c r="U177" s="83" t="str">
        <f>IFERROR(VLOOKUP($A177,'The List'!$B1:$AS665,28,FALSE)," ")</f>
        <v xml:space="preserve"> </v>
      </c>
      <c r="V177" s="83" t="str">
        <f>IFERROR(VLOOKUP($A177,'The List'!$B1:$AS665,29,FALSE)," ")</f>
        <v xml:space="preserve"> </v>
      </c>
      <c r="W177" s="83" t="str">
        <f>IFERROR(VLOOKUP($A177,'The List'!$B1:$AS665,30,FALSE)," ")</f>
        <v xml:space="preserve"> </v>
      </c>
      <c r="X177" s="83" t="str">
        <f>IFERROR(VLOOKUP($A177,'The List'!$B1:$AS665,31,FALSE)," ")</f>
        <v xml:space="preserve"> </v>
      </c>
      <c r="Y177" s="83" t="str">
        <f>IFERROR(VLOOKUP($A177,'The List'!$B1:$AS665,32,FALSE)," ")</f>
        <v xml:space="preserve"> </v>
      </c>
      <c r="Z177" s="83" t="str">
        <f>IFERROR(VLOOKUP($A177,'The List'!$B1:$AS665,33,FALSE)," ")</f>
        <v xml:space="preserve"> </v>
      </c>
      <c r="AA177" s="86"/>
      <c r="AB177" s="91"/>
      <c r="AC177" s="91"/>
      <c r="AD177" s="91"/>
      <c r="AE177" s="91"/>
      <c r="AF177" s="91"/>
    </row>
    <row r="178" spans="1:32" ht="21.25" customHeight="1" x14ac:dyDescent="0.15">
      <c r="A178" s="23"/>
      <c r="B178" s="88" t="str">
        <f>IFERROR(VLOOKUP($A178,'The List'!$B1:$AS665,3,FALSE)," ")</f>
        <v xml:space="preserve"> </v>
      </c>
      <c r="C178" s="92" t="str">
        <f>IFERROR(VLOOKUP($A178,'The List'!$B1:$AS665,4,FALSE)," ")</f>
        <v xml:space="preserve"> </v>
      </c>
      <c r="D178" s="65" t="str">
        <f>IFERROR(VLOOKUP($A178,'The List'!$B1:$AS665,5,FALSE)," ")</f>
        <v xml:space="preserve"> </v>
      </c>
      <c r="E178" s="65" t="str">
        <f>IFERROR(VLOOKUP($A178,'The List'!$B1:$AS665,6,FALSE)," ")</f>
        <v xml:space="preserve"> </v>
      </c>
      <c r="F178" s="93" t="str">
        <f>IFERROR(VLOOKUP($A178,'The List'!$B1:$AS665,8,FALSE)," ")</f>
        <v xml:space="preserve"> </v>
      </c>
      <c r="G178" s="93" t="str">
        <f>IFERROR(VLOOKUP($A178,'The List'!$B1:$AS665,10,FALSE)," ")</f>
        <v xml:space="preserve"> </v>
      </c>
      <c r="H178" s="54"/>
      <c r="I178" s="83" t="str">
        <f>IFERROR(VLOOKUP($A178,'The List'!$B1:$AS665,16,FALSE)," ")</f>
        <v xml:space="preserve"> </v>
      </c>
      <c r="J178" s="83" t="str">
        <f>IFERROR(VLOOKUP($A178,'The List'!$B1:$AS665,17,FALSE)," ")</f>
        <v xml:space="preserve"> </v>
      </c>
      <c r="K178" s="83" t="str">
        <f>IFERROR(VLOOKUP($A178,'The List'!$B1:$AS665,18,FALSE)," ")</f>
        <v xml:space="preserve"> </v>
      </c>
      <c r="L178" s="83" t="str">
        <f>IFERROR(VLOOKUP($A178,'The List'!$B1:$AS665,19,FALSE)," ")</f>
        <v xml:space="preserve"> </v>
      </c>
      <c r="M178" s="83" t="str">
        <f>IFERROR(VLOOKUP($A178,'The List'!$B1:$AS665,20,FALSE)," ")</f>
        <v xml:space="preserve"> </v>
      </c>
      <c r="N178" s="83" t="str">
        <f>IFERROR(VLOOKUP($A178,'The List'!$B1:$AS665,21,FALSE)," ")</f>
        <v xml:space="preserve"> </v>
      </c>
      <c r="O178" s="83" t="str">
        <f>IFERROR(VLOOKUP($A178,'The List'!$B1:$AS665,22,FALSE)," ")</f>
        <v xml:space="preserve"> </v>
      </c>
      <c r="P178" s="83" t="str">
        <f>IFERROR(VLOOKUP($A178,'The List'!$B1:$AS665,23,FALSE)," ")</f>
        <v xml:space="preserve"> </v>
      </c>
      <c r="Q178" s="83" t="str">
        <f>IFERROR(VLOOKUP($A178,'The List'!$B1:$AS665,24,FALSE)," ")</f>
        <v xml:space="preserve"> </v>
      </c>
      <c r="R178" s="83" t="str">
        <f>IFERROR(VLOOKUP($A178,'The List'!$B1:$AS665,25,FALSE)," ")</f>
        <v xml:space="preserve"> </v>
      </c>
      <c r="S178" s="83" t="str">
        <f>IFERROR(VLOOKUP($A178,'The List'!$B1:$AS665,26,FALSE)," ")</f>
        <v xml:space="preserve"> </v>
      </c>
      <c r="T178" s="83" t="str">
        <f>IFERROR(VLOOKUP($A178,'The List'!$B1:$AS665,27,FALSE)," ")</f>
        <v xml:space="preserve"> </v>
      </c>
      <c r="U178" s="83" t="str">
        <f>IFERROR(VLOOKUP($A178,'The List'!$B1:$AS665,28,FALSE)," ")</f>
        <v xml:space="preserve"> </v>
      </c>
      <c r="V178" s="83" t="str">
        <f>IFERROR(VLOOKUP($A178,'The List'!$B1:$AS665,29,FALSE)," ")</f>
        <v xml:space="preserve"> </v>
      </c>
      <c r="W178" s="83" t="str">
        <f>IFERROR(VLOOKUP($A178,'The List'!$B1:$AS665,30,FALSE)," ")</f>
        <v xml:space="preserve"> </v>
      </c>
      <c r="X178" s="83" t="str">
        <f>IFERROR(VLOOKUP($A178,'The List'!$B1:$AS665,31,FALSE)," ")</f>
        <v xml:space="preserve"> </v>
      </c>
      <c r="Y178" s="83" t="str">
        <f>IFERROR(VLOOKUP($A178,'The List'!$B1:$AS665,32,FALSE)," ")</f>
        <v xml:space="preserve"> </v>
      </c>
      <c r="Z178" s="83" t="str">
        <f>IFERROR(VLOOKUP($A178,'The List'!$B1:$AS665,33,FALSE)," ")</f>
        <v xml:space="preserve"> </v>
      </c>
      <c r="AA178" s="86"/>
      <c r="AB178" s="91"/>
      <c r="AC178" s="91"/>
      <c r="AD178" s="91"/>
      <c r="AE178" s="91"/>
      <c r="AF178" s="91"/>
    </row>
    <row r="179" spans="1:32" ht="21.25" customHeight="1" x14ac:dyDescent="0.15">
      <c r="A179" s="23"/>
      <c r="B179" s="88" t="str">
        <f>IFERROR(VLOOKUP($A179,'The List'!$B1:$AS665,3,FALSE)," ")</f>
        <v xml:space="preserve"> </v>
      </c>
      <c r="C179" s="92" t="str">
        <f>IFERROR(VLOOKUP($A179,'The List'!$B1:$AS665,4,FALSE)," ")</f>
        <v xml:space="preserve"> </v>
      </c>
      <c r="D179" s="65" t="str">
        <f>IFERROR(VLOOKUP($A179,'The List'!$B1:$AS665,5,FALSE)," ")</f>
        <v xml:space="preserve"> </v>
      </c>
      <c r="E179" s="65" t="str">
        <f>IFERROR(VLOOKUP($A179,'The List'!$B1:$AS665,6,FALSE)," ")</f>
        <v xml:space="preserve"> </v>
      </c>
      <c r="F179" s="93" t="str">
        <f>IFERROR(VLOOKUP($A179,'The List'!$B1:$AS665,8,FALSE)," ")</f>
        <v xml:space="preserve"> </v>
      </c>
      <c r="G179" s="93" t="str">
        <f>IFERROR(VLOOKUP($A179,'The List'!$B1:$AS665,10,FALSE)," ")</f>
        <v xml:space="preserve"> </v>
      </c>
      <c r="H179" s="54"/>
      <c r="I179" s="83" t="str">
        <f>IFERROR(VLOOKUP($A179,'The List'!$B1:$AS665,16,FALSE)," ")</f>
        <v xml:space="preserve"> </v>
      </c>
      <c r="J179" s="83" t="str">
        <f>IFERROR(VLOOKUP($A179,'The List'!$B1:$AS665,17,FALSE)," ")</f>
        <v xml:space="preserve"> </v>
      </c>
      <c r="K179" s="83" t="str">
        <f>IFERROR(VLOOKUP($A179,'The List'!$B1:$AS665,18,FALSE)," ")</f>
        <v xml:space="preserve"> </v>
      </c>
      <c r="L179" s="83" t="str">
        <f>IFERROR(VLOOKUP($A179,'The List'!$B1:$AS665,19,FALSE)," ")</f>
        <v xml:space="preserve"> </v>
      </c>
      <c r="M179" s="83" t="str">
        <f>IFERROR(VLOOKUP($A179,'The List'!$B1:$AS665,20,FALSE)," ")</f>
        <v xml:space="preserve"> </v>
      </c>
      <c r="N179" s="83" t="str">
        <f>IFERROR(VLOOKUP($A179,'The List'!$B1:$AS665,21,FALSE)," ")</f>
        <v xml:space="preserve"> </v>
      </c>
      <c r="O179" s="83" t="str">
        <f>IFERROR(VLOOKUP($A179,'The List'!$B1:$AS665,22,FALSE)," ")</f>
        <v xml:space="preserve"> </v>
      </c>
      <c r="P179" s="83" t="str">
        <f>IFERROR(VLOOKUP($A179,'The List'!$B1:$AS665,23,FALSE)," ")</f>
        <v xml:space="preserve"> </v>
      </c>
      <c r="Q179" s="83" t="str">
        <f>IFERROR(VLOOKUP($A179,'The List'!$B1:$AS665,24,FALSE)," ")</f>
        <v xml:space="preserve"> </v>
      </c>
      <c r="R179" s="83" t="str">
        <f>IFERROR(VLOOKUP($A179,'The List'!$B1:$AS665,25,FALSE)," ")</f>
        <v xml:space="preserve"> </v>
      </c>
      <c r="S179" s="83" t="str">
        <f>IFERROR(VLOOKUP($A179,'The List'!$B1:$AS665,26,FALSE)," ")</f>
        <v xml:space="preserve"> </v>
      </c>
      <c r="T179" s="83" t="str">
        <f>IFERROR(VLOOKUP($A179,'The List'!$B1:$AS665,27,FALSE)," ")</f>
        <v xml:space="preserve"> </v>
      </c>
      <c r="U179" s="83" t="str">
        <f>IFERROR(VLOOKUP($A179,'The List'!$B1:$AS665,28,FALSE)," ")</f>
        <v xml:space="preserve"> </v>
      </c>
      <c r="V179" s="83" t="str">
        <f>IFERROR(VLOOKUP($A179,'The List'!$B1:$AS665,29,FALSE)," ")</f>
        <v xml:space="preserve"> </v>
      </c>
      <c r="W179" s="83" t="str">
        <f>IFERROR(VLOOKUP($A179,'The List'!$B1:$AS665,30,FALSE)," ")</f>
        <v xml:space="preserve"> </v>
      </c>
      <c r="X179" s="83" t="str">
        <f>IFERROR(VLOOKUP($A179,'The List'!$B1:$AS665,31,FALSE)," ")</f>
        <v xml:space="preserve"> </v>
      </c>
      <c r="Y179" s="83" t="str">
        <f>IFERROR(VLOOKUP($A179,'The List'!$B1:$AS665,32,FALSE)," ")</f>
        <v xml:space="preserve"> </v>
      </c>
      <c r="Z179" s="83" t="str">
        <f>IFERROR(VLOOKUP($A179,'The List'!$B1:$AS665,33,FALSE)," ")</f>
        <v xml:space="preserve"> </v>
      </c>
      <c r="AA179" s="86"/>
      <c r="AB179" s="91"/>
      <c r="AC179" s="91"/>
      <c r="AD179" s="91"/>
      <c r="AE179" s="91"/>
      <c r="AF179" s="91"/>
    </row>
    <row r="180" spans="1:32" ht="21.25" customHeight="1" x14ac:dyDescent="0.15">
      <c r="A180" s="23"/>
      <c r="B180" s="94" t="str">
        <f>IFERROR(VLOOKUP($A180,'The List'!$B1:$AS665,3,FALSE)," ")</f>
        <v xml:space="preserve"> </v>
      </c>
      <c r="C180" s="96" t="str">
        <f>IFERROR(VLOOKUP($A180,'The List'!$B1:$AS665,4,FALSE)," ")</f>
        <v xml:space="preserve"> </v>
      </c>
      <c r="D180" s="65" t="str">
        <f>IFERROR(VLOOKUP($A180,'The List'!$B1:$AS665,5,FALSE)," ")</f>
        <v xml:space="preserve"> </v>
      </c>
      <c r="E180" s="65" t="str">
        <f>IFERROR(VLOOKUP($A180,'The List'!$B1:$AS665,6,FALSE)," ")</f>
        <v xml:space="preserve"> </v>
      </c>
      <c r="F180" s="93" t="str">
        <f>IFERROR(VLOOKUP($A180,'The List'!$B1:$AS665,8,FALSE)," ")</f>
        <v xml:space="preserve"> </v>
      </c>
      <c r="G180" s="93" t="str">
        <f>IFERROR(VLOOKUP($A180,'The List'!$B1:$AS665,10,FALSE)," ")</f>
        <v xml:space="preserve"> </v>
      </c>
      <c r="H180" s="54"/>
      <c r="I180" s="83" t="str">
        <f>IFERROR(VLOOKUP($A180,'The List'!$B1:$AS665,16,FALSE)," ")</f>
        <v xml:space="preserve"> </v>
      </c>
      <c r="J180" s="83" t="str">
        <f>IFERROR(VLOOKUP($A180,'The List'!$B1:$AS665,17,FALSE)," ")</f>
        <v xml:space="preserve"> </v>
      </c>
      <c r="K180" s="83" t="str">
        <f>IFERROR(VLOOKUP($A180,'The List'!$B1:$AS665,18,FALSE)," ")</f>
        <v xml:space="preserve"> </v>
      </c>
      <c r="L180" s="83" t="str">
        <f>IFERROR(VLOOKUP($A180,'The List'!$B1:$AS665,19,FALSE)," ")</f>
        <v xml:space="preserve"> </v>
      </c>
      <c r="M180" s="83" t="str">
        <f>IFERROR(VLOOKUP($A180,'The List'!$B1:$AS665,20,FALSE)," ")</f>
        <v xml:space="preserve"> </v>
      </c>
      <c r="N180" s="83" t="str">
        <f>IFERROR(VLOOKUP($A180,'The List'!$B1:$AS665,21,FALSE)," ")</f>
        <v xml:space="preserve"> </v>
      </c>
      <c r="O180" s="83" t="str">
        <f>IFERROR(VLOOKUP($A180,'The List'!$B1:$AS665,22,FALSE)," ")</f>
        <v xml:space="preserve"> </v>
      </c>
      <c r="P180" s="83" t="str">
        <f>IFERROR(VLOOKUP($A180,'The List'!$B1:$AS665,23,FALSE)," ")</f>
        <v xml:space="preserve"> </v>
      </c>
      <c r="Q180" s="83" t="str">
        <f>IFERROR(VLOOKUP($A180,'The List'!$B1:$AS665,24,FALSE)," ")</f>
        <v xml:space="preserve"> </v>
      </c>
      <c r="R180" s="83" t="str">
        <f>IFERROR(VLOOKUP($A180,'The List'!$B1:$AS665,25,FALSE)," ")</f>
        <v xml:space="preserve"> </v>
      </c>
      <c r="S180" s="83" t="str">
        <f>IFERROR(VLOOKUP($A180,'The List'!$B1:$AS665,26,FALSE)," ")</f>
        <v xml:space="preserve"> </v>
      </c>
      <c r="T180" s="83" t="str">
        <f>IFERROR(VLOOKUP($A180,'The List'!$B1:$AS665,27,FALSE)," ")</f>
        <v xml:space="preserve"> </v>
      </c>
      <c r="U180" s="83" t="str">
        <f>IFERROR(VLOOKUP($A180,'The List'!$B1:$AS665,28,FALSE)," ")</f>
        <v xml:space="preserve"> </v>
      </c>
      <c r="V180" s="83" t="str">
        <f>IFERROR(VLOOKUP($A180,'The List'!$B1:$AS665,29,FALSE)," ")</f>
        <v xml:space="preserve"> </v>
      </c>
      <c r="W180" s="83" t="str">
        <f>IFERROR(VLOOKUP($A180,'The List'!$B1:$AS665,30,FALSE)," ")</f>
        <v xml:space="preserve"> </v>
      </c>
      <c r="X180" s="83" t="str">
        <f>IFERROR(VLOOKUP($A180,'The List'!$B1:$AS665,31,FALSE)," ")</f>
        <v xml:space="preserve"> </v>
      </c>
      <c r="Y180" s="83" t="str">
        <f>IFERROR(VLOOKUP($A180,'The List'!$B1:$AS665,32,FALSE)," ")</f>
        <v xml:space="preserve"> </v>
      </c>
      <c r="Z180" s="83" t="str">
        <f>IFERROR(VLOOKUP($A180,'The List'!$B1:$AS665,33,FALSE)," ")</f>
        <v xml:space="preserve"> </v>
      </c>
      <c r="AA180" s="86"/>
      <c r="AB180" s="91"/>
      <c r="AC180" s="91"/>
      <c r="AD180" s="91"/>
      <c r="AE180" s="91"/>
      <c r="AF180" s="91"/>
    </row>
    <row r="181" spans="1:32" ht="21.25" customHeight="1" x14ac:dyDescent="0.15">
      <c r="A181" s="23"/>
      <c r="B181" s="94" t="str">
        <f>IFERROR(VLOOKUP($A181,'The List'!$B1:$AS665,3,FALSE)," ")</f>
        <v xml:space="preserve"> </v>
      </c>
      <c r="C181" s="96" t="str">
        <f>IFERROR(VLOOKUP($A181,'The List'!$B1:$AS665,4,FALSE)," ")</f>
        <v xml:space="preserve"> </v>
      </c>
      <c r="D181" s="65" t="str">
        <f>IFERROR(VLOOKUP($A181,'The List'!$B1:$AS665,5,FALSE)," ")</f>
        <v xml:space="preserve"> </v>
      </c>
      <c r="E181" s="65" t="str">
        <f>IFERROR(VLOOKUP($A181,'The List'!$B1:$AS665,6,FALSE)," ")</f>
        <v xml:space="preserve"> </v>
      </c>
      <c r="F181" s="93" t="str">
        <f>IFERROR(VLOOKUP($A181,'The List'!$B1:$AS665,8,FALSE)," ")</f>
        <v xml:space="preserve"> </v>
      </c>
      <c r="G181" s="93" t="str">
        <f>IFERROR(VLOOKUP($A181,'The List'!$B1:$AS665,10,FALSE)," ")</f>
        <v xml:space="preserve"> </v>
      </c>
      <c r="H181" s="54"/>
      <c r="I181" s="83" t="str">
        <f>IFERROR(VLOOKUP($A181,'The List'!$B1:$AS665,16,FALSE)," ")</f>
        <v xml:space="preserve"> </v>
      </c>
      <c r="J181" s="83" t="str">
        <f>IFERROR(VLOOKUP($A181,'The List'!$B1:$AS665,17,FALSE)," ")</f>
        <v xml:space="preserve"> </v>
      </c>
      <c r="K181" s="83" t="str">
        <f>IFERROR(VLOOKUP($A181,'The List'!$B1:$AS665,18,FALSE)," ")</f>
        <v xml:space="preserve"> </v>
      </c>
      <c r="L181" s="83" t="str">
        <f>IFERROR(VLOOKUP($A181,'The List'!$B1:$AS665,19,FALSE)," ")</f>
        <v xml:space="preserve"> </v>
      </c>
      <c r="M181" s="83" t="str">
        <f>IFERROR(VLOOKUP($A181,'The List'!$B1:$AS665,20,FALSE)," ")</f>
        <v xml:space="preserve"> </v>
      </c>
      <c r="N181" s="83" t="str">
        <f>IFERROR(VLOOKUP($A181,'The List'!$B1:$AS665,21,FALSE)," ")</f>
        <v xml:space="preserve"> </v>
      </c>
      <c r="O181" s="83" t="str">
        <f>IFERROR(VLOOKUP($A181,'The List'!$B1:$AS665,22,FALSE)," ")</f>
        <v xml:space="preserve"> </v>
      </c>
      <c r="P181" s="83" t="str">
        <f>IFERROR(VLOOKUP($A181,'The List'!$B1:$AS665,23,FALSE)," ")</f>
        <v xml:space="preserve"> </v>
      </c>
      <c r="Q181" s="83" t="str">
        <f>IFERROR(VLOOKUP($A181,'The List'!$B1:$AS665,24,FALSE)," ")</f>
        <v xml:space="preserve"> </v>
      </c>
      <c r="R181" s="83" t="str">
        <f>IFERROR(VLOOKUP($A181,'The List'!$B1:$AS665,25,FALSE)," ")</f>
        <v xml:space="preserve"> </v>
      </c>
      <c r="S181" s="83" t="str">
        <f>IFERROR(VLOOKUP($A181,'The List'!$B1:$AS665,26,FALSE)," ")</f>
        <v xml:space="preserve"> </v>
      </c>
      <c r="T181" s="83" t="str">
        <f>IFERROR(VLOOKUP($A181,'The List'!$B1:$AS665,27,FALSE)," ")</f>
        <v xml:space="preserve"> </v>
      </c>
      <c r="U181" s="83" t="str">
        <f>IFERROR(VLOOKUP($A181,'The List'!$B1:$AS665,28,FALSE)," ")</f>
        <v xml:space="preserve"> </v>
      </c>
      <c r="V181" s="83" t="str">
        <f>IFERROR(VLOOKUP($A181,'The List'!$B1:$AS665,29,FALSE)," ")</f>
        <v xml:space="preserve"> </v>
      </c>
      <c r="W181" s="83" t="str">
        <f>IFERROR(VLOOKUP($A181,'The List'!$B1:$AS665,30,FALSE)," ")</f>
        <v xml:space="preserve"> </v>
      </c>
      <c r="X181" s="83" t="str">
        <f>IFERROR(VLOOKUP($A181,'The List'!$B1:$AS665,31,FALSE)," ")</f>
        <v xml:space="preserve"> </v>
      </c>
      <c r="Y181" s="83" t="str">
        <f>IFERROR(VLOOKUP($A181,'The List'!$B1:$AS665,32,FALSE)," ")</f>
        <v xml:space="preserve"> </v>
      </c>
      <c r="Z181" s="83" t="str">
        <f>IFERROR(VLOOKUP($A181,'The List'!$B1:$AS665,33,FALSE)," ")</f>
        <v xml:space="preserve"> </v>
      </c>
      <c r="AA181" s="86"/>
      <c r="AB181" s="91"/>
      <c r="AC181" s="91"/>
      <c r="AD181" s="91"/>
      <c r="AE181" s="91"/>
      <c r="AF181" s="91"/>
    </row>
    <row r="182" spans="1:32" ht="21.25" customHeight="1" x14ac:dyDescent="0.15">
      <c r="A182" s="23"/>
      <c r="B182" s="94" t="str">
        <f>IFERROR(VLOOKUP($A182,'The List'!$B1:$AS665,3,FALSE)," ")</f>
        <v xml:space="preserve"> </v>
      </c>
      <c r="C182" s="96" t="str">
        <f>IFERROR(VLOOKUP($A182,'The List'!$B1:$AS665,4,FALSE)," ")</f>
        <v xml:space="preserve"> </v>
      </c>
      <c r="D182" s="65" t="str">
        <f>IFERROR(VLOOKUP($A182,'The List'!$B1:$AS665,5,FALSE)," ")</f>
        <v xml:space="preserve"> </v>
      </c>
      <c r="E182" s="65" t="str">
        <f>IFERROR(VLOOKUP($A182,'The List'!$B1:$AS665,6,FALSE)," ")</f>
        <v xml:space="preserve"> </v>
      </c>
      <c r="F182" s="93" t="str">
        <f>IFERROR(VLOOKUP($A182,'The List'!$B1:$AS665,8,FALSE)," ")</f>
        <v xml:space="preserve"> </v>
      </c>
      <c r="G182" s="93" t="str">
        <f>IFERROR(VLOOKUP($A182,'The List'!$B1:$AS665,10,FALSE)," ")</f>
        <v xml:space="preserve"> </v>
      </c>
      <c r="H182" s="54"/>
      <c r="I182" s="83" t="str">
        <f>IFERROR(VLOOKUP($A182,'The List'!$B1:$AS665,16,FALSE)," ")</f>
        <v xml:space="preserve"> </v>
      </c>
      <c r="J182" s="83" t="str">
        <f>IFERROR(VLOOKUP($A182,'The List'!$B1:$AS665,17,FALSE)," ")</f>
        <v xml:space="preserve"> </v>
      </c>
      <c r="K182" s="83" t="str">
        <f>IFERROR(VLOOKUP($A182,'The List'!$B1:$AS665,18,FALSE)," ")</f>
        <v xml:space="preserve"> </v>
      </c>
      <c r="L182" s="83" t="str">
        <f>IFERROR(VLOOKUP($A182,'The List'!$B1:$AS665,19,FALSE)," ")</f>
        <v xml:space="preserve"> </v>
      </c>
      <c r="M182" s="83" t="str">
        <f>IFERROR(VLOOKUP($A182,'The List'!$B1:$AS665,20,FALSE)," ")</f>
        <v xml:space="preserve"> </v>
      </c>
      <c r="N182" s="83" t="str">
        <f>IFERROR(VLOOKUP($A182,'The List'!$B1:$AS665,21,FALSE)," ")</f>
        <v xml:space="preserve"> </v>
      </c>
      <c r="O182" s="83" t="str">
        <f>IFERROR(VLOOKUP($A182,'The List'!$B1:$AS665,22,FALSE)," ")</f>
        <v xml:space="preserve"> </v>
      </c>
      <c r="P182" s="83" t="str">
        <f>IFERROR(VLOOKUP($A182,'The List'!$B1:$AS665,23,FALSE)," ")</f>
        <v xml:space="preserve"> </v>
      </c>
      <c r="Q182" s="83" t="str">
        <f>IFERROR(VLOOKUP($A182,'The List'!$B1:$AS665,24,FALSE)," ")</f>
        <v xml:space="preserve"> </v>
      </c>
      <c r="R182" s="83" t="str">
        <f>IFERROR(VLOOKUP($A182,'The List'!$B1:$AS665,25,FALSE)," ")</f>
        <v xml:space="preserve"> </v>
      </c>
      <c r="S182" s="83" t="str">
        <f>IFERROR(VLOOKUP($A182,'The List'!$B1:$AS665,26,FALSE)," ")</f>
        <v xml:space="preserve"> </v>
      </c>
      <c r="T182" s="83" t="str">
        <f>IFERROR(VLOOKUP($A182,'The List'!$B1:$AS665,27,FALSE)," ")</f>
        <v xml:space="preserve"> </v>
      </c>
      <c r="U182" s="83" t="str">
        <f>IFERROR(VLOOKUP($A182,'The List'!$B1:$AS665,28,FALSE)," ")</f>
        <v xml:space="preserve"> </v>
      </c>
      <c r="V182" s="83" t="str">
        <f>IFERROR(VLOOKUP($A182,'The List'!$B1:$AS665,29,FALSE)," ")</f>
        <v xml:space="preserve"> </v>
      </c>
      <c r="W182" s="83" t="str">
        <f>IFERROR(VLOOKUP($A182,'The List'!$B1:$AS665,30,FALSE)," ")</f>
        <v xml:space="preserve"> </v>
      </c>
      <c r="X182" s="83" t="str">
        <f>IFERROR(VLOOKUP($A182,'The List'!$B1:$AS665,31,FALSE)," ")</f>
        <v xml:space="preserve"> </v>
      </c>
      <c r="Y182" s="83" t="str">
        <f>IFERROR(VLOOKUP($A182,'The List'!$B1:$AS665,32,FALSE)," ")</f>
        <v xml:space="preserve"> </v>
      </c>
      <c r="Z182" s="83" t="str">
        <f>IFERROR(VLOOKUP($A182,'The List'!$B1:$AS665,33,FALSE)," ")</f>
        <v xml:space="preserve"> </v>
      </c>
      <c r="AA182" s="86"/>
      <c r="AB182" s="91"/>
      <c r="AC182" s="91"/>
      <c r="AD182" s="91"/>
      <c r="AE182" s="91"/>
      <c r="AF182" s="91"/>
    </row>
    <row r="183" spans="1:32" ht="21.25" customHeight="1" x14ac:dyDescent="0.15">
      <c r="A183" s="23"/>
      <c r="B183" s="94" t="str">
        <f>IFERROR(VLOOKUP($A183,'The List'!$B1:$AS665,3,FALSE)," ")</f>
        <v xml:space="preserve"> </v>
      </c>
      <c r="C183" s="96" t="str">
        <f>IFERROR(VLOOKUP($A183,'The List'!$B1:$AS665,4,FALSE)," ")</f>
        <v xml:space="preserve"> </v>
      </c>
      <c r="D183" s="65" t="str">
        <f>IFERROR(VLOOKUP($A183,'The List'!$B1:$AS665,5,FALSE)," ")</f>
        <v xml:space="preserve"> </v>
      </c>
      <c r="E183" s="65" t="str">
        <f>IFERROR(VLOOKUP($A183,'The List'!$B1:$AS665,6,FALSE)," ")</f>
        <v xml:space="preserve"> </v>
      </c>
      <c r="F183" s="93" t="str">
        <f>IFERROR(VLOOKUP($A183,'The List'!$B1:$AS665,8,FALSE)," ")</f>
        <v xml:space="preserve"> </v>
      </c>
      <c r="G183" s="93" t="str">
        <f>IFERROR(VLOOKUP($A183,'The List'!$B1:$AS665,10,FALSE)," ")</f>
        <v xml:space="preserve"> </v>
      </c>
      <c r="H183" s="54"/>
      <c r="I183" s="83" t="str">
        <f>IFERROR(VLOOKUP($A183,'The List'!$B1:$AS665,16,FALSE)," ")</f>
        <v xml:space="preserve"> </v>
      </c>
      <c r="J183" s="83" t="str">
        <f>IFERROR(VLOOKUP($A183,'The List'!$B1:$AS665,17,FALSE)," ")</f>
        <v xml:space="preserve"> </v>
      </c>
      <c r="K183" s="83" t="str">
        <f>IFERROR(VLOOKUP($A183,'The List'!$B1:$AS665,18,FALSE)," ")</f>
        <v xml:space="preserve"> </v>
      </c>
      <c r="L183" s="83" t="str">
        <f>IFERROR(VLOOKUP($A183,'The List'!$B1:$AS665,19,FALSE)," ")</f>
        <v xml:space="preserve"> </v>
      </c>
      <c r="M183" s="83" t="str">
        <f>IFERROR(VLOOKUP($A183,'The List'!$B1:$AS665,20,FALSE)," ")</f>
        <v xml:space="preserve"> </v>
      </c>
      <c r="N183" s="83" t="str">
        <f>IFERROR(VLOOKUP($A183,'The List'!$B1:$AS665,21,FALSE)," ")</f>
        <v xml:space="preserve"> </v>
      </c>
      <c r="O183" s="83" t="str">
        <f>IFERROR(VLOOKUP($A183,'The List'!$B1:$AS665,22,FALSE)," ")</f>
        <v xml:space="preserve"> </v>
      </c>
      <c r="P183" s="83" t="str">
        <f>IFERROR(VLOOKUP($A183,'The List'!$B1:$AS665,23,FALSE)," ")</f>
        <v xml:space="preserve"> </v>
      </c>
      <c r="Q183" s="83" t="str">
        <f>IFERROR(VLOOKUP($A183,'The List'!$B1:$AS665,24,FALSE)," ")</f>
        <v xml:space="preserve"> </v>
      </c>
      <c r="R183" s="83" t="str">
        <f>IFERROR(VLOOKUP($A183,'The List'!$B1:$AS665,25,FALSE)," ")</f>
        <v xml:space="preserve"> </v>
      </c>
      <c r="S183" s="83" t="str">
        <f>IFERROR(VLOOKUP($A183,'The List'!$B1:$AS665,26,FALSE)," ")</f>
        <v xml:space="preserve"> </v>
      </c>
      <c r="T183" s="83" t="str">
        <f>IFERROR(VLOOKUP($A183,'The List'!$B1:$AS665,27,FALSE)," ")</f>
        <v xml:space="preserve"> </v>
      </c>
      <c r="U183" s="83" t="str">
        <f>IFERROR(VLOOKUP($A183,'The List'!$B1:$AS665,28,FALSE)," ")</f>
        <v xml:space="preserve"> </v>
      </c>
      <c r="V183" s="83" t="str">
        <f>IFERROR(VLOOKUP($A183,'The List'!$B1:$AS665,29,FALSE)," ")</f>
        <v xml:space="preserve"> </v>
      </c>
      <c r="W183" s="83" t="str">
        <f>IFERROR(VLOOKUP($A183,'The List'!$B1:$AS665,30,FALSE)," ")</f>
        <v xml:space="preserve"> </v>
      </c>
      <c r="X183" s="83" t="str">
        <f>IFERROR(VLOOKUP($A183,'The List'!$B1:$AS665,31,FALSE)," ")</f>
        <v xml:space="preserve"> </v>
      </c>
      <c r="Y183" s="83" t="str">
        <f>IFERROR(VLOOKUP($A183,'The List'!$B1:$AS665,32,FALSE)," ")</f>
        <v xml:space="preserve"> </v>
      </c>
      <c r="Z183" s="83" t="str">
        <f>IFERROR(VLOOKUP($A183,'The List'!$B1:$AS665,33,FALSE)," ")</f>
        <v xml:space="preserve"> </v>
      </c>
      <c r="AA183" s="86"/>
      <c r="AB183" s="91"/>
      <c r="AC183" s="91"/>
      <c r="AD183" s="91"/>
      <c r="AE183" s="91"/>
      <c r="AF183" s="91"/>
    </row>
    <row r="184" spans="1:32" ht="21.25" customHeight="1" x14ac:dyDescent="0.15">
      <c r="A184" s="23"/>
      <c r="B184" s="97" t="str">
        <f>IFERROR(VLOOKUP($A184,'The List'!$B1:$AS665,3,FALSE)," ")</f>
        <v xml:space="preserve"> </v>
      </c>
      <c r="C184" s="99" t="str">
        <f>IFERROR(VLOOKUP($A184,'The List'!$B1:$AS665,4,FALSE)," ")</f>
        <v xml:space="preserve"> </v>
      </c>
      <c r="D184" s="65" t="str">
        <f>IFERROR(VLOOKUP($A184,'The List'!$B1:$AS665,5,FALSE)," ")</f>
        <v xml:space="preserve"> </v>
      </c>
      <c r="E184" s="65" t="str">
        <f>IFERROR(VLOOKUP($A184,'The List'!$B1:$AS665,6,FALSE)," ")</f>
        <v xml:space="preserve"> </v>
      </c>
      <c r="F184" s="93" t="str">
        <f>IFERROR(VLOOKUP($A184,'The List'!$B1:$AS665,8,FALSE)," ")</f>
        <v xml:space="preserve"> </v>
      </c>
      <c r="G184" s="93" t="str">
        <f>IFERROR(VLOOKUP($A184,'The List'!$B1:$AS665,10,FALSE)," ")</f>
        <v xml:space="preserve"> </v>
      </c>
      <c r="H184" s="54"/>
      <c r="I184" s="83" t="str">
        <f>IFERROR(VLOOKUP($A184,'The List'!$B1:$AS665,16,FALSE)," ")</f>
        <v xml:space="preserve"> </v>
      </c>
      <c r="J184" s="83" t="str">
        <f>IFERROR(VLOOKUP($A184,'The List'!$B1:$AS665,17,FALSE)," ")</f>
        <v xml:space="preserve"> </v>
      </c>
      <c r="K184" s="83" t="str">
        <f>IFERROR(VLOOKUP($A184,'The List'!$B1:$AS665,18,FALSE)," ")</f>
        <v xml:space="preserve"> </v>
      </c>
      <c r="L184" s="83" t="str">
        <f>IFERROR(VLOOKUP($A184,'The List'!$B1:$AS665,19,FALSE)," ")</f>
        <v xml:space="preserve"> </v>
      </c>
      <c r="M184" s="83" t="str">
        <f>IFERROR(VLOOKUP($A184,'The List'!$B1:$AS665,20,FALSE)," ")</f>
        <v xml:space="preserve"> </v>
      </c>
      <c r="N184" s="83" t="str">
        <f>IFERROR(VLOOKUP($A184,'The List'!$B1:$AS665,21,FALSE)," ")</f>
        <v xml:space="preserve"> </v>
      </c>
      <c r="O184" s="83" t="str">
        <f>IFERROR(VLOOKUP($A184,'The List'!$B1:$AS665,22,FALSE)," ")</f>
        <v xml:space="preserve"> </v>
      </c>
      <c r="P184" s="83" t="str">
        <f>IFERROR(VLOOKUP($A184,'The List'!$B1:$AS665,23,FALSE)," ")</f>
        <v xml:space="preserve"> </v>
      </c>
      <c r="Q184" s="83" t="str">
        <f>IFERROR(VLOOKUP($A184,'The List'!$B1:$AS665,24,FALSE)," ")</f>
        <v xml:space="preserve"> </v>
      </c>
      <c r="R184" s="83" t="str">
        <f>IFERROR(VLOOKUP($A184,'The List'!$B1:$AS665,25,FALSE)," ")</f>
        <v xml:space="preserve"> </v>
      </c>
      <c r="S184" s="83" t="str">
        <f>IFERROR(VLOOKUP($A184,'The List'!$B1:$AS665,26,FALSE)," ")</f>
        <v xml:space="preserve"> </v>
      </c>
      <c r="T184" s="83" t="str">
        <f>IFERROR(VLOOKUP($A184,'The List'!$B1:$AS665,27,FALSE)," ")</f>
        <v xml:space="preserve"> </v>
      </c>
      <c r="U184" s="83" t="str">
        <f>IFERROR(VLOOKUP($A184,'The List'!$B1:$AS665,28,FALSE)," ")</f>
        <v xml:space="preserve"> </v>
      </c>
      <c r="V184" s="83" t="str">
        <f>IFERROR(VLOOKUP($A184,'The List'!$B1:$AS665,29,FALSE)," ")</f>
        <v xml:space="preserve"> </v>
      </c>
      <c r="W184" s="83" t="str">
        <f>IFERROR(VLOOKUP($A184,'The List'!$B1:$AS665,30,FALSE)," ")</f>
        <v xml:space="preserve"> </v>
      </c>
      <c r="X184" s="83" t="str">
        <f>IFERROR(VLOOKUP($A184,'The List'!$B1:$AS665,31,FALSE)," ")</f>
        <v xml:space="preserve"> </v>
      </c>
      <c r="Y184" s="83" t="str">
        <f>IFERROR(VLOOKUP($A184,'The List'!$B1:$AS665,32,FALSE)," ")</f>
        <v xml:space="preserve"> </v>
      </c>
      <c r="Z184" s="83" t="str">
        <f>IFERROR(VLOOKUP($A184,'The List'!$B1:$AS665,33,FALSE)," ")</f>
        <v xml:space="preserve"> </v>
      </c>
      <c r="AA184" s="86"/>
      <c r="AB184" s="91"/>
      <c r="AC184" s="91"/>
      <c r="AD184" s="91"/>
      <c r="AE184" s="91"/>
      <c r="AF184" s="91"/>
    </row>
    <row r="185" spans="1:32" ht="21.25" customHeight="1" x14ac:dyDescent="0.15">
      <c r="A185" s="23"/>
      <c r="B185" s="97" t="str">
        <f>IFERROR(VLOOKUP($A185,'The List'!$B1:$AS665,3,FALSE)," ")</f>
        <v xml:space="preserve"> </v>
      </c>
      <c r="C185" s="99" t="str">
        <f>IFERROR(VLOOKUP($A185,'The List'!$B1:$AS665,4,FALSE)," ")</f>
        <v xml:space="preserve"> </v>
      </c>
      <c r="D185" s="65" t="str">
        <f>IFERROR(VLOOKUP($A185,'The List'!$B1:$AS665,5,FALSE)," ")</f>
        <v xml:space="preserve"> </v>
      </c>
      <c r="E185" s="65" t="str">
        <f>IFERROR(VLOOKUP($A185,'The List'!$B1:$AS665,6,FALSE)," ")</f>
        <v xml:space="preserve"> </v>
      </c>
      <c r="F185" s="93" t="str">
        <f>IFERROR(VLOOKUP($A185,'The List'!$B1:$AS665,8,FALSE)," ")</f>
        <v xml:space="preserve"> </v>
      </c>
      <c r="G185" s="93" t="str">
        <f>IFERROR(VLOOKUP($A185,'The List'!$B1:$AS665,10,FALSE)," ")</f>
        <v xml:space="preserve"> </v>
      </c>
      <c r="H185" s="54"/>
      <c r="I185" s="83" t="str">
        <f>IFERROR(VLOOKUP($A185,'The List'!$B1:$AS665,16,FALSE)," ")</f>
        <v xml:space="preserve"> </v>
      </c>
      <c r="J185" s="83" t="str">
        <f>IFERROR(VLOOKUP($A185,'The List'!$B1:$AS665,17,FALSE)," ")</f>
        <v xml:space="preserve"> </v>
      </c>
      <c r="K185" s="83" t="str">
        <f>IFERROR(VLOOKUP($A185,'The List'!$B1:$AS665,18,FALSE)," ")</f>
        <v xml:space="preserve"> </v>
      </c>
      <c r="L185" s="83" t="str">
        <f>IFERROR(VLOOKUP($A185,'The List'!$B1:$AS665,19,FALSE)," ")</f>
        <v xml:space="preserve"> </v>
      </c>
      <c r="M185" s="83" t="str">
        <f>IFERROR(VLOOKUP($A185,'The List'!$B1:$AS665,20,FALSE)," ")</f>
        <v xml:space="preserve"> </v>
      </c>
      <c r="N185" s="83" t="str">
        <f>IFERROR(VLOOKUP($A185,'The List'!$B1:$AS665,21,FALSE)," ")</f>
        <v xml:space="preserve"> </v>
      </c>
      <c r="O185" s="83" t="str">
        <f>IFERROR(VLOOKUP($A185,'The List'!$B1:$AS665,22,FALSE)," ")</f>
        <v xml:space="preserve"> </v>
      </c>
      <c r="P185" s="83" t="str">
        <f>IFERROR(VLOOKUP($A185,'The List'!$B1:$AS665,23,FALSE)," ")</f>
        <v xml:space="preserve"> </v>
      </c>
      <c r="Q185" s="83" t="str">
        <f>IFERROR(VLOOKUP($A185,'The List'!$B1:$AS665,24,FALSE)," ")</f>
        <v xml:space="preserve"> </v>
      </c>
      <c r="R185" s="83" t="str">
        <f>IFERROR(VLOOKUP($A185,'The List'!$B1:$AS665,25,FALSE)," ")</f>
        <v xml:space="preserve"> </v>
      </c>
      <c r="S185" s="83" t="str">
        <f>IFERROR(VLOOKUP($A185,'The List'!$B1:$AS665,26,FALSE)," ")</f>
        <v xml:space="preserve"> </v>
      </c>
      <c r="T185" s="83" t="str">
        <f>IFERROR(VLOOKUP($A185,'The List'!$B1:$AS665,27,FALSE)," ")</f>
        <v xml:space="preserve"> </v>
      </c>
      <c r="U185" s="83" t="str">
        <f>IFERROR(VLOOKUP($A185,'The List'!$B1:$AS665,28,FALSE)," ")</f>
        <v xml:space="preserve"> </v>
      </c>
      <c r="V185" s="83" t="str">
        <f>IFERROR(VLOOKUP($A185,'The List'!$B1:$AS665,29,FALSE)," ")</f>
        <v xml:space="preserve"> </v>
      </c>
      <c r="W185" s="83" t="str">
        <f>IFERROR(VLOOKUP($A185,'The List'!$B1:$AS665,30,FALSE)," ")</f>
        <v xml:space="preserve"> </v>
      </c>
      <c r="X185" s="83" t="str">
        <f>IFERROR(VLOOKUP($A185,'The List'!$B1:$AS665,31,FALSE)," ")</f>
        <v xml:space="preserve"> </v>
      </c>
      <c r="Y185" s="83" t="str">
        <f>IFERROR(VLOOKUP($A185,'The List'!$B1:$AS665,32,FALSE)," ")</f>
        <v xml:space="preserve"> </v>
      </c>
      <c r="Z185" s="83" t="str">
        <f>IFERROR(VLOOKUP($A185,'The List'!$B1:$AS665,33,FALSE)," ")</f>
        <v xml:space="preserve"> </v>
      </c>
      <c r="AA185" s="86"/>
      <c r="AB185" s="91"/>
      <c r="AC185" s="91"/>
      <c r="AD185" s="91"/>
      <c r="AE185" s="91"/>
      <c r="AF185" s="91"/>
    </row>
    <row r="186" spans="1:32" ht="21.25" customHeight="1" x14ac:dyDescent="0.15">
      <c r="A186" s="23"/>
      <c r="B186" s="97" t="str">
        <f>IFERROR(VLOOKUP($A186,'The List'!$B1:$AS665,3,FALSE)," ")</f>
        <v xml:space="preserve"> </v>
      </c>
      <c r="C186" s="99" t="str">
        <f>IFERROR(VLOOKUP($A186,'The List'!$B1:$AS665,4,FALSE)," ")</f>
        <v xml:space="preserve"> </v>
      </c>
      <c r="D186" s="65" t="str">
        <f>IFERROR(VLOOKUP($A186,'The List'!$B1:$AS665,5,FALSE)," ")</f>
        <v xml:space="preserve"> </v>
      </c>
      <c r="E186" s="65" t="str">
        <f>IFERROR(VLOOKUP($A186,'The List'!$B1:$AS665,6,FALSE)," ")</f>
        <v xml:space="preserve"> </v>
      </c>
      <c r="F186" s="93" t="str">
        <f>IFERROR(VLOOKUP($A186,'The List'!$B1:$AS665,8,FALSE)," ")</f>
        <v xml:space="preserve"> </v>
      </c>
      <c r="G186" s="93" t="str">
        <f>IFERROR(VLOOKUP($A186,'The List'!$B1:$AS665,10,FALSE)," ")</f>
        <v xml:space="preserve"> </v>
      </c>
      <c r="H186" s="54"/>
      <c r="I186" s="83" t="str">
        <f>IFERROR(VLOOKUP($A186,'The List'!$B1:$AS665,16,FALSE)," ")</f>
        <v xml:space="preserve"> </v>
      </c>
      <c r="J186" s="83" t="str">
        <f>IFERROR(VLOOKUP($A186,'The List'!$B1:$AS665,17,FALSE)," ")</f>
        <v xml:space="preserve"> </v>
      </c>
      <c r="K186" s="83" t="str">
        <f>IFERROR(VLOOKUP($A186,'The List'!$B1:$AS665,18,FALSE)," ")</f>
        <v xml:space="preserve"> </v>
      </c>
      <c r="L186" s="83" t="str">
        <f>IFERROR(VLOOKUP($A186,'The List'!$B1:$AS665,19,FALSE)," ")</f>
        <v xml:space="preserve"> </v>
      </c>
      <c r="M186" s="83" t="str">
        <f>IFERROR(VLOOKUP($A186,'The List'!$B1:$AS665,20,FALSE)," ")</f>
        <v xml:space="preserve"> </v>
      </c>
      <c r="N186" s="83" t="str">
        <f>IFERROR(VLOOKUP($A186,'The List'!$B1:$AS665,21,FALSE)," ")</f>
        <v xml:space="preserve"> </v>
      </c>
      <c r="O186" s="83" t="str">
        <f>IFERROR(VLOOKUP($A186,'The List'!$B1:$AS665,22,FALSE)," ")</f>
        <v xml:space="preserve"> </v>
      </c>
      <c r="P186" s="83" t="str">
        <f>IFERROR(VLOOKUP($A186,'The List'!$B1:$AS665,23,FALSE)," ")</f>
        <v xml:space="preserve"> </v>
      </c>
      <c r="Q186" s="83" t="str">
        <f>IFERROR(VLOOKUP($A186,'The List'!$B1:$AS665,24,FALSE)," ")</f>
        <v xml:space="preserve"> </v>
      </c>
      <c r="R186" s="83" t="str">
        <f>IFERROR(VLOOKUP($A186,'The List'!$B1:$AS665,25,FALSE)," ")</f>
        <v xml:space="preserve"> </v>
      </c>
      <c r="S186" s="83" t="str">
        <f>IFERROR(VLOOKUP($A186,'The List'!$B1:$AS665,26,FALSE)," ")</f>
        <v xml:space="preserve"> </v>
      </c>
      <c r="T186" s="83" t="str">
        <f>IFERROR(VLOOKUP($A186,'The List'!$B1:$AS665,27,FALSE)," ")</f>
        <v xml:space="preserve"> </v>
      </c>
      <c r="U186" s="83" t="str">
        <f>IFERROR(VLOOKUP($A186,'The List'!$B1:$AS665,28,FALSE)," ")</f>
        <v xml:space="preserve"> </v>
      </c>
      <c r="V186" s="83" t="str">
        <f>IFERROR(VLOOKUP($A186,'The List'!$B1:$AS665,29,FALSE)," ")</f>
        <v xml:space="preserve"> </v>
      </c>
      <c r="W186" s="83" t="str">
        <f>IFERROR(VLOOKUP($A186,'The List'!$B1:$AS665,30,FALSE)," ")</f>
        <v xml:space="preserve"> </v>
      </c>
      <c r="X186" s="83" t="str">
        <f>IFERROR(VLOOKUP($A186,'The List'!$B1:$AS665,31,FALSE)," ")</f>
        <v xml:space="preserve"> </v>
      </c>
      <c r="Y186" s="83" t="str">
        <f>IFERROR(VLOOKUP($A186,'The List'!$B1:$AS665,32,FALSE)," ")</f>
        <v xml:space="preserve"> </v>
      </c>
      <c r="Z186" s="83" t="str">
        <f>IFERROR(VLOOKUP($A186,'The List'!$B1:$AS665,33,FALSE)," ")</f>
        <v xml:space="preserve"> </v>
      </c>
      <c r="AA186" s="86"/>
      <c r="AB186" s="91"/>
      <c r="AC186" s="91"/>
      <c r="AD186" s="91"/>
      <c r="AE186" s="91"/>
      <c r="AF186" s="91"/>
    </row>
    <row r="187" spans="1:32" ht="21.25" customHeight="1" x14ac:dyDescent="0.15">
      <c r="A187" s="23"/>
      <c r="B187" s="97" t="str">
        <f>IFERROR(VLOOKUP($A187,'The List'!$B1:$AS665,3,FALSE)," ")</f>
        <v xml:space="preserve"> </v>
      </c>
      <c r="C187" s="99" t="str">
        <f>IFERROR(VLOOKUP($A187,'The List'!$B1:$AS665,4,FALSE)," ")</f>
        <v xml:space="preserve"> </v>
      </c>
      <c r="D187" s="65" t="str">
        <f>IFERROR(VLOOKUP($A187,'The List'!$B1:$AS665,5,FALSE)," ")</f>
        <v xml:space="preserve"> </v>
      </c>
      <c r="E187" s="65" t="str">
        <f>IFERROR(VLOOKUP($A187,'The List'!$B1:$AS665,6,FALSE)," ")</f>
        <v xml:space="preserve"> </v>
      </c>
      <c r="F187" s="93" t="str">
        <f>IFERROR(VLOOKUP($A187,'The List'!$B1:$AS665,8,FALSE)," ")</f>
        <v xml:space="preserve"> </v>
      </c>
      <c r="G187" s="93" t="str">
        <f>IFERROR(VLOOKUP($A187,'The List'!$B1:$AS665,10,FALSE)," ")</f>
        <v xml:space="preserve"> </v>
      </c>
      <c r="H187" s="54"/>
      <c r="I187" s="83" t="str">
        <f>IFERROR(VLOOKUP($A187,'The List'!$B1:$AS665,16,FALSE)," ")</f>
        <v xml:space="preserve"> </v>
      </c>
      <c r="J187" s="83" t="str">
        <f>IFERROR(VLOOKUP($A187,'The List'!$B1:$AS665,17,FALSE)," ")</f>
        <v xml:space="preserve"> </v>
      </c>
      <c r="K187" s="83" t="str">
        <f>IFERROR(VLOOKUP($A187,'The List'!$B1:$AS665,18,FALSE)," ")</f>
        <v xml:space="preserve"> </v>
      </c>
      <c r="L187" s="83" t="str">
        <f>IFERROR(VLOOKUP($A187,'The List'!$B1:$AS665,19,FALSE)," ")</f>
        <v xml:space="preserve"> </v>
      </c>
      <c r="M187" s="83" t="str">
        <f>IFERROR(VLOOKUP($A187,'The List'!$B1:$AS665,20,FALSE)," ")</f>
        <v xml:space="preserve"> </v>
      </c>
      <c r="N187" s="83" t="str">
        <f>IFERROR(VLOOKUP($A187,'The List'!$B1:$AS665,21,FALSE)," ")</f>
        <v xml:space="preserve"> </v>
      </c>
      <c r="O187" s="83" t="str">
        <f>IFERROR(VLOOKUP($A187,'The List'!$B1:$AS665,22,FALSE)," ")</f>
        <v xml:space="preserve"> </v>
      </c>
      <c r="P187" s="83" t="str">
        <f>IFERROR(VLOOKUP($A187,'The List'!$B1:$AS665,23,FALSE)," ")</f>
        <v xml:space="preserve"> </v>
      </c>
      <c r="Q187" s="83" t="str">
        <f>IFERROR(VLOOKUP($A187,'The List'!$B1:$AS665,24,FALSE)," ")</f>
        <v xml:space="preserve"> </v>
      </c>
      <c r="R187" s="83" t="str">
        <f>IFERROR(VLOOKUP($A187,'The List'!$B1:$AS665,25,FALSE)," ")</f>
        <v xml:space="preserve"> </v>
      </c>
      <c r="S187" s="83" t="str">
        <f>IFERROR(VLOOKUP($A187,'The List'!$B1:$AS665,26,FALSE)," ")</f>
        <v xml:space="preserve"> </v>
      </c>
      <c r="T187" s="83" t="str">
        <f>IFERROR(VLOOKUP($A187,'The List'!$B1:$AS665,27,FALSE)," ")</f>
        <v xml:space="preserve"> </v>
      </c>
      <c r="U187" s="83" t="str">
        <f>IFERROR(VLOOKUP($A187,'The List'!$B1:$AS665,28,FALSE)," ")</f>
        <v xml:space="preserve"> </v>
      </c>
      <c r="V187" s="83" t="str">
        <f>IFERROR(VLOOKUP($A187,'The List'!$B1:$AS665,29,FALSE)," ")</f>
        <v xml:space="preserve"> </v>
      </c>
      <c r="W187" s="83" t="str">
        <f>IFERROR(VLOOKUP($A187,'The List'!$B1:$AS665,30,FALSE)," ")</f>
        <v xml:space="preserve"> </v>
      </c>
      <c r="X187" s="83" t="str">
        <f>IFERROR(VLOOKUP($A187,'The List'!$B1:$AS665,31,FALSE)," ")</f>
        <v xml:space="preserve"> </v>
      </c>
      <c r="Y187" s="83" t="str">
        <f>IFERROR(VLOOKUP($A187,'The List'!$B1:$AS665,32,FALSE)," ")</f>
        <v xml:space="preserve"> </v>
      </c>
      <c r="Z187" s="83" t="str">
        <f>IFERROR(VLOOKUP($A187,'The List'!$B1:$AS665,33,FALSE)," ")</f>
        <v xml:space="preserve"> </v>
      </c>
      <c r="AA187" s="86"/>
      <c r="AB187" s="91"/>
      <c r="AC187" s="91"/>
      <c r="AD187" s="91"/>
      <c r="AE187" s="91"/>
      <c r="AF187" s="91"/>
    </row>
    <row r="188" spans="1:32" ht="21.25" customHeight="1" x14ac:dyDescent="0.15">
      <c r="A188" s="23"/>
      <c r="B188" s="100" t="str">
        <f>IFERROR(VLOOKUP($A188,'The List'!$B1:$AS665,3,FALSE)," ")</f>
        <v xml:space="preserve"> </v>
      </c>
      <c r="C188" s="102" t="str">
        <f>IFERROR(VLOOKUP($A188,'The List'!$B1:$AS665,4,FALSE)," ")</f>
        <v xml:space="preserve"> </v>
      </c>
      <c r="D188" s="65" t="str">
        <f>IFERROR(VLOOKUP($A188,'The List'!$B1:$AS665,5,FALSE)," ")</f>
        <v xml:space="preserve"> </v>
      </c>
      <c r="E188" s="65" t="str">
        <f>IFERROR(VLOOKUP($A188,'The List'!$B1:$AS665,6,FALSE)," ")</f>
        <v xml:space="preserve"> </v>
      </c>
      <c r="F188" s="93" t="str">
        <f>IFERROR(VLOOKUP($A188,'The List'!$B1:$AS665,8,FALSE)," ")</f>
        <v xml:space="preserve"> </v>
      </c>
      <c r="G188" s="93" t="str">
        <f>IFERROR(VLOOKUP($A188,'The List'!$B1:$AS665,10,FALSE)," ")</f>
        <v xml:space="preserve"> </v>
      </c>
      <c r="H188" s="54"/>
      <c r="I188" s="83" t="str">
        <f>IFERROR(VLOOKUP($A188,'The List'!$B1:$AS665,16,FALSE)," ")</f>
        <v xml:space="preserve"> </v>
      </c>
      <c r="J188" s="83" t="str">
        <f>IFERROR(VLOOKUP($A188,'The List'!$B1:$AS665,17,FALSE)," ")</f>
        <v xml:space="preserve"> </v>
      </c>
      <c r="K188" s="83" t="str">
        <f>IFERROR(VLOOKUP($A188,'The List'!$B1:$AS665,18,FALSE)," ")</f>
        <v xml:space="preserve"> </v>
      </c>
      <c r="L188" s="83" t="str">
        <f>IFERROR(VLOOKUP($A188,'The List'!$B1:$AS665,19,FALSE)," ")</f>
        <v xml:space="preserve"> </v>
      </c>
      <c r="M188" s="83" t="str">
        <f>IFERROR(VLOOKUP($A188,'The List'!$B1:$AS665,20,FALSE)," ")</f>
        <v xml:space="preserve"> </v>
      </c>
      <c r="N188" s="83" t="str">
        <f>IFERROR(VLOOKUP($A188,'The List'!$B1:$AS665,21,FALSE)," ")</f>
        <v xml:space="preserve"> </v>
      </c>
      <c r="O188" s="83" t="str">
        <f>IFERROR(VLOOKUP($A188,'The List'!$B1:$AS665,22,FALSE)," ")</f>
        <v xml:space="preserve"> </v>
      </c>
      <c r="P188" s="83" t="str">
        <f>IFERROR(VLOOKUP($A188,'The List'!$B1:$AS665,23,FALSE)," ")</f>
        <v xml:space="preserve"> </v>
      </c>
      <c r="Q188" s="83" t="str">
        <f>IFERROR(VLOOKUP($A188,'The List'!$B1:$AS665,24,FALSE)," ")</f>
        <v xml:space="preserve"> </v>
      </c>
      <c r="R188" s="83" t="str">
        <f>IFERROR(VLOOKUP($A188,'The List'!$B1:$AS665,25,FALSE)," ")</f>
        <v xml:space="preserve"> </v>
      </c>
      <c r="S188" s="83" t="str">
        <f>IFERROR(VLOOKUP($A188,'The List'!$B1:$AS665,26,FALSE)," ")</f>
        <v xml:space="preserve"> </v>
      </c>
      <c r="T188" s="83" t="str">
        <f>IFERROR(VLOOKUP($A188,'The List'!$B1:$AS665,27,FALSE)," ")</f>
        <v xml:space="preserve"> </v>
      </c>
      <c r="U188" s="83" t="str">
        <f>IFERROR(VLOOKUP($A188,'The List'!$B1:$AS665,28,FALSE)," ")</f>
        <v xml:space="preserve"> </v>
      </c>
      <c r="V188" s="83" t="str">
        <f>IFERROR(VLOOKUP($A188,'The List'!$B1:$AS665,29,FALSE)," ")</f>
        <v xml:space="preserve"> </v>
      </c>
      <c r="W188" s="83" t="str">
        <f>IFERROR(VLOOKUP($A188,'The List'!$B1:$AS665,30,FALSE)," ")</f>
        <v xml:space="preserve"> </v>
      </c>
      <c r="X188" s="83" t="str">
        <f>IFERROR(VLOOKUP($A188,'The List'!$B1:$AS665,31,FALSE)," ")</f>
        <v xml:space="preserve"> </v>
      </c>
      <c r="Y188" s="83" t="str">
        <f>IFERROR(VLOOKUP($A188,'The List'!$B1:$AS665,32,FALSE)," ")</f>
        <v xml:space="preserve"> </v>
      </c>
      <c r="Z188" s="83" t="str">
        <f>IFERROR(VLOOKUP($A188,'The List'!$B1:$AS665,33,FALSE)," ")</f>
        <v xml:space="preserve"> </v>
      </c>
      <c r="AA188" s="86"/>
      <c r="AB188" s="91"/>
      <c r="AC188" s="91"/>
      <c r="AD188" s="91"/>
      <c r="AE188" s="91"/>
      <c r="AF188" s="91"/>
    </row>
    <row r="189" spans="1:32" ht="21.25" customHeight="1" x14ac:dyDescent="0.15">
      <c r="A189" s="23"/>
      <c r="B189" s="100" t="str">
        <f>IFERROR(VLOOKUP($A189,'The List'!$B1:$AS665,3,FALSE)," ")</f>
        <v xml:space="preserve"> </v>
      </c>
      <c r="C189" s="102" t="str">
        <f>IFERROR(VLOOKUP($A189,'The List'!$B1:$AS665,4,FALSE)," ")</f>
        <v xml:space="preserve"> </v>
      </c>
      <c r="D189" s="65" t="str">
        <f>IFERROR(VLOOKUP($A189,'The List'!$B1:$AS665,5,FALSE)," ")</f>
        <v xml:space="preserve"> </v>
      </c>
      <c r="E189" s="65" t="str">
        <f>IFERROR(VLOOKUP($A189,'The List'!$B1:$AS665,6,FALSE)," ")</f>
        <v xml:space="preserve"> </v>
      </c>
      <c r="F189" s="93" t="str">
        <f>IFERROR(VLOOKUP($A189,'The List'!$B1:$AS665,8,FALSE)," ")</f>
        <v xml:space="preserve"> </v>
      </c>
      <c r="G189" s="93" t="str">
        <f>IFERROR(VLOOKUP($A189,'The List'!$B1:$AS665,10,FALSE)," ")</f>
        <v xml:space="preserve"> </v>
      </c>
      <c r="H189" s="54"/>
      <c r="I189" s="83" t="str">
        <f>IFERROR(VLOOKUP($A189,'The List'!$B1:$AS665,16,FALSE)," ")</f>
        <v xml:space="preserve"> </v>
      </c>
      <c r="J189" s="83" t="str">
        <f>IFERROR(VLOOKUP($A189,'The List'!$B1:$AS665,17,FALSE)," ")</f>
        <v xml:space="preserve"> </v>
      </c>
      <c r="K189" s="83" t="str">
        <f>IFERROR(VLOOKUP($A189,'The List'!$B1:$AS665,18,FALSE)," ")</f>
        <v xml:space="preserve"> </v>
      </c>
      <c r="L189" s="83" t="str">
        <f>IFERROR(VLOOKUP($A189,'The List'!$B1:$AS665,19,FALSE)," ")</f>
        <v xml:space="preserve"> </v>
      </c>
      <c r="M189" s="83" t="str">
        <f>IFERROR(VLOOKUP($A189,'The List'!$B1:$AS665,20,FALSE)," ")</f>
        <v xml:space="preserve"> </v>
      </c>
      <c r="N189" s="83" t="str">
        <f>IFERROR(VLOOKUP($A189,'The List'!$B1:$AS665,21,FALSE)," ")</f>
        <v xml:space="preserve"> </v>
      </c>
      <c r="O189" s="83" t="str">
        <f>IFERROR(VLOOKUP($A189,'The List'!$B1:$AS665,22,FALSE)," ")</f>
        <v xml:space="preserve"> </v>
      </c>
      <c r="P189" s="83" t="str">
        <f>IFERROR(VLOOKUP($A189,'The List'!$B1:$AS665,23,FALSE)," ")</f>
        <v xml:space="preserve"> </v>
      </c>
      <c r="Q189" s="83" t="str">
        <f>IFERROR(VLOOKUP($A189,'The List'!$B1:$AS665,24,FALSE)," ")</f>
        <v xml:space="preserve"> </v>
      </c>
      <c r="R189" s="83" t="str">
        <f>IFERROR(VLOOKUP($A189,'The List'!$B1:$AS665,25,FALSE)," ")</f>
        <v xml:space="preserve"> </v>
      </c>
      <c r="S189" s="83" t="str">
        <f>IFERROR(VLOOKUP($A189,'The List'!$B1:$AS665,26,FALSE)," ")</f>
        <v xml:space="preserve"> </v>
      </c>
      <c r="T189" s="83" t="str">
        <f>IFERROR(VLOOKUP($A189,'The List'!$B1:$AS665,27,FALSE)," ")</f>
        <v xml:space="preserve"> </v>
      </c>
      <c r="U189" s="83" t="str">
        <f>IFERROR(VLOOKUP($A189,'The List'!$B1:$AS665,28,FALSE)," ")</f>
        <v xml:space="preserve"> </v>
      </c>
      <c r="V189" s="83" t="str">
        <f>IFERROR(VLOOKUP($A189,'The List'!$B1:$AS665,29,FALSE)," ")</f>
        <v xml:space="preserve"> </v>
      </c>
      <c r="W189" s="83" t="str">
        <f>IFERROR(VLOOKUP($A189,'The List'!$B1:$AS665,30,FALSE)," ")</f>
        <v xml:space="preserve"> </v>
      </c>
      <c r="X189" s="83" t="str">
        <f>IFERROR(VLOOKUP($A189,'The List'!$B1:$AS665,31,FALSE)," ")</f>
        <v xml:space="preserve"> </v>
      </c>
      <c r="Y189" s="83" t="str">
        <f>IFERROR(VLOOKUP($A189,'The List'!$B1:$AS665,32,FALSE)," ")</f>
        <v xml:space="preserve"> </v>
      </c>
      <c r="Z189" s="83" t="str">
        <f>IFERROR(VLOOKUP($A189,'The List'!$B1:$AS665,33,FALSE)," ")</f>
        <v xml:space="preserve"> </v>
      </c>
      <c r="AA189" s="86"/>
      <c r="AB189" s="91"/>
      <c r="AC189" s="91"/>
      <c r="AD189" s="91"/>
      <c r="AE189" s="91"/>
      <c r="AF189" s="91"/>
    </row>
    <row r="190" spans="1:32" ht="21.25" customHeight="1" x14ac:dyDescent="0.15">
      <c r="A190" s="23"/>
      <c r="B190" s="100" t="str">
        <f>IFERROR(VLOOKUP($A190,'The List'!$B1:$AS665,3,FALSE)," ")</f>
        <v xml:space="preserve"> </v>
      </c>
      <c r="C190" s="102" t="str">
        <f>IFERROR(VLOOKUP($A190,'The List'!$B1:$AS665,4,FALSE)," ")</f>
        <v xml:space="preserve"> </v>
      </c>
      <c r="D190" s="65" t="str">
        <f>IFERROR(VLOOKUP($A190,'The List'!$B1:$AS665,5,FALSE)," ")</f>
        <v xml:space="preserve"> </v>
      </c>
      <c r="E190" s="65" t="str">
        <f>IFERROR(VLOOKUP($A190,'The List'!$B1:$AS665,6,FALSE)," ")</f>
        <v xml:space="preserve"> </v>
      </c>
      <c r="F190" s="93" t="str">
        <f>IFERROR(VLOOKUP($A190,'The List'!$B1:$AS665,8,FALSE)," ")</f>
        <v xml:space="preserve"> </v>
      </c>
      <c r="G190" s="93" t="str">
        <f>IFERROR(VLOOKUP($A190,'The List'!$B1:$AS665,10,FALSE)," ")</f>
        <v xml:space="preserve"> </v>
      </c>
      <c r="H190" s="54"/>
      <c r="I190" s="83" t="str">
        <f>IFERROR(VLOOKUP($A190,'The List'!$B1:$AS665,16,FALSE)," ")</f>
        <v xml:space="preserve"> </v>
      </c>
      <c r="J190" s="83" t="str">
        <f>IFERROR(VLOOKUP($A190,'The List'!$B1:$AS665,17,FALSE)," ")</f>
        <v xml:space="preserve"> </v>
      </c>
      <c r="K190" s="83" t="str">
        <f>IFERROR(VLOOKUP($A190,'The List'!$B1:$AS665,18,FALSE)," ")</f>
        <v xml:space="preserve"> </v>
      </c>
      <c r="L190" s="83" t="str">
        <f>IFERROR(VLOOKUP($A190,'The List'!$B1:$AS665,19,FALSE)," ")</f>
        <v xml:space="preserve"> </v>
      </c>
      <c r="M190" s="83" t="str">
        <f>IFERROR(VLOOKUP($A190,'The List'!$B1:$AS665,20,FALSE)," ")</f>
        <v xml:space="preserve"> </v>
      </c>
      <c r="N190" s="83" t="str">
        <f>IFERROR(VLOOKUP($A190,'The List'!$B1:$AS665,21,FALSE)," ")</f>
        <v xml:space="preserve"> </v>
      </c>
      <c r="O190" s="83" t="str">
        <f>IFERROR(VLOOKUP($A190,'The List'!$B1:$AS665,22,FALSE)," ")</f>
        <v xml:space="preserve"> </v>
      </c>
      <c r="P190" s="83" t="str">
        <f>IFERROR(VLOOKUP($A190,'The List'!$B1:$AS665,23,FALSE)," ")</f>
        <v xml:space="preserve"> </v>
      </c>
      <c r="Q190" s="83" t="str">
        <f>IFERROR(VLOOKUP($A190,'The List'!$B1:$AS665,24,FALSE)," ")</f>
        <v xml:space="preserve"> </v>
      </c>
      <c r="R190" s="83" t="str">
        <f>IFERROR(VLOOKUP($A190,'The List'!$B1:$AS665,25,FALSE)," ")</f>
        <v xml:space="preserve"> </v>
      </c>
      <c r="S190" s="83" t="str">
        <f>IFERROR(VLOOKUP($A190,'The List'!$B1:$AS665,26,FALSE)," ")</f>
        <v xml:space="preserve"> </v>
      </c>
      <c r="T190" s="83" t="str">
        <f>IFERROR(VLOOKUP($A190,'The List'!$B1:$AS665,27,FALSE)," ")</f>
        <v xml:space="preserve"> </v>
      </c>
      <c r="U190" s="83" t="str">
        <f>IFERROR(VLOOKUP($A190,'The List'!$B1:$AS665,28,FALSE)," ")</f>
        <v xml:space="preserve"> </v>
      </c>
      <c r="V190" s="83" t="str">
        <f>IFERROR(VLOOKUP($A190,'The List'!$B1:$AS665,29,FALSE)," ")</f>
        <v xml:space="preserve"> </v>
      </c>
      <c r="W190" s="83" t="str">
        <f>IFERROR(VLOOKUP($A190,'The List'!$B1:$AS665,30,FALSE)," ")</f>
        <v xml:space="preserve"> </v>
      </c>
      <c r="X190" s="83" t="str">
        <f>IFERROR(VLOOKUP($A190,'The List'!$B1:$AS665,31,FALSE)," ")</f>
        <v xml:space="preserve"> </v>
      </c>
      <c r="Y190" s="83" t="str">
        <f>IFERROR(VLOOKUP($A190,'The List'!$B1:$AS665,32,FALSE)," ")</f>
        <v xml:space="preserve"> </v>
      </c>
      <c r="Z190" s="83" t="str">
        <f>IFERROR(VLOOKUP($A190,'The List'!$B1:$AS665,33,FALSE)," ")</f>
        <v xml:space="preserve"> </v>
      </c>
      <c r="AA190" s="86"/>
      <c r="AB190" s="91"/>
      <c r="AC190" s="91"/>
      <c r="AD190" s="91"/>
      <c r="AE190" s="91"/>
      <c r="AF190" s="91"/>
    </row>
    <row r="191" spans="1:32" ht="21.25" customHeight="1" x14ac:dyDescent="0.15">
      <c r="A191" s="23"/>
      <c r="B191" s="100" t="str">
        <f>IFERROR(VLOOKUP($A191,'The List'!$B1:$AS665,3,FALSE)," ")</f>
        <v xml:space="preserve"> </v>
      </c>
      <c r="C191" s="102" t="str">
        <f>IFERROR(VLOOKUP($A191,'The List'!$B1:$AS665,4,FALSE)," ")</f>
        <v xml:space="preserve"> </v>
      </c>
      <c r="D191" s="65" t="str">
        <f>IFERROR(VLOOKUP($A191,'The List'!$B1:$AS665,5,FALSE)," ")</f>
        <v xml:space="preserve"> </v>
      </c>
      <c r="E191" s="65" t="str">
        <f>IFERROR(VLOOKUP($A191,'The List'!$B1:$AS665,6,FALSE)," ")</f>
        <v xml:space="preserve"> </v>
      </c>
      <c r="F191" s="93" t="str">
        <f>IFERROR(VLOOKUP($A191,'The List'!$B1:$AS665,8,FALSE)," ")</f>
        <v xml:space="preserve"> </v>
      </c>
      <c r="G191" s="93" t="str">
        <f>IFERROR(VLOOKUP($A191,'The List'!$B1:$AS665,10,FALSE)," ")</f>
        <v xml:space="preserve"> </v>
      </c>
      <c r="H191" s="54"/>
      <c r="I191" s="83" t="str">
        <f>IFERROR(VLOOKUP($A191,'The List'!$B1:$AS665,16,FALSE)," ")</f>
        <v xml:space="preserve"> </v>
      </c>
      <c r="J191" s="83" t="str">
        <f>IFERROR(VLOOKUP($A191,'The List'!$B1:$AS665,17,FALSE)," ")</f>
        <v xml:space="preserve"> </v>
      </c>
      <c r="K191" s="83" t="str">
        <f>IFERROR(VLOOKUP($A191,'The List'!$B1:$AS665,18,FALSE)," ")</f>
        <v xml:space="preserve"> </v>
      </c>
      <c r="L191" s="83" t="str">
        <f>IFERROR(VLOOKUP($A191,'The List'!$B1:$AS665,19,FALSE)," ")</f>
        <v xml:space="preserve"> </v>
      </c>
      <c r="M191" s="83" t="str">
        <f>IFERROR(VLOOKUP($A191,'The List'!$B1:$AS665,20,FALSE)," ")</f>
        <v xml:space="preserve"> </v>
      </c>
      <c r="N191" s="83" t="str">
        <f>IFERROR(VLOOKUP($A191,'The List'!$B1:$AS665,21,FALSE)," ")</f>
        <v xml:space="preserve"> </v>
      </c>
      <c r="O191" s="83" t="str">
        <f>IFERROR(VLOOKUP($A191,'The List'!$B1:$AS665,22,FALSE)," ")</f>
        <v xml:space="preserve"> </v>
      </c>
      <c r="P191" s="83" t="str">
        <f>IFERROR(VLOOKUP($A191,'The List'!$B1:$AS665,23,FALSE)," ")</f>
        <v xml:space="preserve"> </v>
      </c>
      <c r="Q191" s="83" t="str">
        <f>IFERROR(VLOOKUP($A191,'The List'!$B1:$AS665,24,FALSE)," ")</f>
        <v xml:space="preserve"> </v>
      </c>
      <c r="R191" s="83" t="str">
        <f>IFERROR(VLOOKUP($A191,'The List'!$B1:$AS665,25,FALSE)," ")</f>
        <v xml:space="preserve"> </v>
      </c>
      <c r="S191" s="83" t="str">
        <f>IFERROR(VLOOKUP($A191,'The List'!$B1:$AS665,26,FALSE)," ")</f>
        <v xml:space="preserve"> </v>
      </c>
      <c r="T191" s="83" t="str">
        <f>IFERROR(VLOOKUP($A191,'The List'!$B1:$AS665,27,FALSE)," ")</f>
        <v xml:space="preserve"> </v>
      </c>
      <c r="U191" s="83" t="str">
        <f>IFERROR(VLOOKUP($A191,'The List'!$B1:$AS665,28,FALSE)," ")</f>
        <v xml:space="preserve"> </v>
      </c>
      <c r="V191" s="83" t="str">
        <f>IFERROR(VLOOKUP($A191,'The List'!$B1:$AS665,29,FALSE)," ")</f>
        <v xml:space="preserve"> </v>
      </c>
      <c r="W191" s="83" t="str">
        <f>IFERROR(VLOOKUP($A191,'The List'!$B1:$AS665,30,FALSE)," ")</f>
        <v xml:space="preserve"> </v>
      </c>
      <c r="X191" s="83" t="str">
        <f>IFERROR(VLOOKUP($A191,'The List'!$B1:$AS665,31,FALSE)," ")</f>
        <v xml:space="preserve"> </v>
      </c>
      <c r="Y191" s="83" t="str">
        <f>IFERROR(VLOOKUP($A191,'The List'!$B1:$AS665,32,FALSE)," ")</f>
        <v xml:space="preserve"> </v>
      </c>
      <c r="Z191" s="83" t="str">
        <f>IFERROR(VLOOKUP($A191,'The List'!$B1:$AS665,33,FALSE)," ")</f>
        <v xml:space="preserve"> </v>
      </c>
      <c r="AA191" s="86"/>
      <c r="AB191" s="91"/>
      <c r="AC191" s="91"/>
      <c r="AD191" s="91"/>
      <c r="AE191" s="91"/>
      <c r="AF191" s="91"/>
    </row>
    <row r="192" spans="1:32" ht="21.25" customHeight="1" x14ac:dyDescent="0.15">
      <c r="A192" s="23"/>
      <c r="B192" s="100" t="str">
        <f>IFERROR(VLOOKUP($A192,'The List'!$B1:$AS665,3,FALSE)," ")</f>
        <v xml:space="preserve"> </v>
      </c>
      <c r="C192" s="102" t="str">
        <f>IFERROR(VLOOKUP($A192,'The List'!$B1:$AS665,4,FALSE)," ")</f>
        <v xml:space="preserve"> </v>
      </c>
      <c r="D192" s="65" t="str">
        <f>IFERROR(VLOOKUP($A192,'The List'!$B1:$AS665,5,FALSE)," ")</f>
        <v xml:space="preserve"> </v>
      </c>
      <c r="E192" s="65" t="str">
        <f>IFERROR(VLOOKUP($A192,'The List'!$B1:$AS665,6,FALSE)," ")</f>
        <v xml:space="preserve"> </v>
      </c>
      <c r="F192" s="93" t="str">
        <f>IFERROR(VLOOKUP($A192,'The List'!$B1:$AS665,8,FALSE)," ")</f>
        <v xml:space="preserve"> </v>
      </c>
      <c r="G192" s="93" t="str">
        <f>IFERROR(VLOOKUP($A192,'The List'!$B1:$AS665,10,FALSE)," ")</f>
        <v xml:space="preserve"> </v>
      </c>
      <c r="H192" s="54"/>
      <c r="I192" s="83" t="str">
        <f>IFERROR(VLOOKUP($A192,'The List'!$B1:$AS665,16,FALSE)," ")</f>
        <v xml:space="preserve"> </v>
      </c>
      <c r="J192" s="83" t="str">
        <f>IFERROR(VLOOKUP($A192,'The List'!$B1:$AS665,17,FALSE)," ")</f>
        <v xml:space="preserve"> </v>
      </c>
      <c r="K192" s="83" t="str">
        <f>IFERROR(VLOOKUP($A192,'The List'!$B1:$AS665,18,FALSE)," ")</f>
        <v xml:space="preserve"> </v>
      </c>
      <c r="L192" s="83" t="str">
        <f>IFERROR(VLOOKUP($A192,'The List'!$B1:$AS665,19,FALSE)," ")</f>
        <v xml:space="preserve"> </v>
      </c>
      <c r="M192" s="83" t="str">
        <f>IFERROR(VLOOKUP($A192,'The List'!$B1:$AS665,20,FALSE)," ")</f>
        <v xml:space="preserve"> </v>
      </c>
      <c r="N192" s="83" t="str">
        <f>IFERROR(VLOOKUP($A192,'The List'!$B1:$AS665,21,FALSE)," ")</f>
        <v xml:space="preserve"> </v>
      </c>
      <c r="O192" s="83" t="str">
        <f>IFERROR(VLOOKUP($A192,'The List'!$B1:$AS665,22,FALSE)," ")</f>
        <v xml:space="preserve"> </v>
      </c>
      <c r="P192" s="83" t="str">
        <f>IFERROR(VLOOKUP($A192,'The List'!$B1:$AS665,23,FALSE)," ")</f>
        <v xml:space="preserve"> </v>
      </c>
      <c r="Q192" s="83" t="str">
        <f>IFERROR(VLOOKUP($A192,'The List'!$B1:$AS665,24,FALSE)," ")</f>
        <v xml:space="preserve"> </v>
      </c>
      <c r="R192" s="83" t="str">
        <f>IFERROR(VLOOKUP($A192,'The List'!$B1:$AS665,25,FALSE)," ")</f>
        <v xml:space="preserve"> </v>
      </c>
      <c r="S192" s="83" t="str">
        <f>IFERROR(VLOOKUP($A192,'The List'!$B1:$AS665,26,FALSE)," ")</f>
        <v xml:space="preserve"> </v>
      </c>
      <c r="T192" s="83" t="str">
        <f>IFERROR(VLOOKUP($A192,'The List'!$B1:$AS665,27,FALSE)," ")</f>
        <v xml:space="preserve"> </v>
      </c>
      <c r="U192" s="83" t="str">
        <f>IFERROR(VLOOKUP($A192,'The List'!$B1:$AS665,28,FALSE)," ")</f>
        <v xml:space="preserve"> </v>
      </c>
      <c r="V192" s="83" t="str">
        <f>IFERROR(VLOOKUP($A192,'The List'!$B1:$AS665,29,FALSE)," ")</f>
        <v xml:space="preserve"> </v>
      </c>
      <c r="W192" s="83" t="str">
        <f>IFERROR(VLOOKUP($A192,'The List'!$B1:$AS665,30,FALSE)," ")</f>
        <v xml:space="preserve"> </v>
      </c>
      <c r="X192" s="83" t="str">
        <f>IFERROR(VLOOKUP($A192,'The List'!$B1:$AS665,31,FALSE)," ")</f>
        <v xml:space="preserve"> </v>
      </c>
      <c r="Y192" s="83" t="str">
        <f>IFERROR(VLOOKUP($A192,'The List'!$B1:$AS665,32,FALSE)," ")</f>
        <v xml:space="preserve"> </v>
      </c>
      <c r="Z192" s="83" t="str">
        <f>IFERROR(VLOOKUP($A192,'The List'!$B1:$AS665,33,FALSE)," ")</f>
        <v xml:space="preserve"> </v>
      </c>
      <c r="AA192" s="86"/>
      <c r="AB192" s="91"/>
      <c r="AC192" s="91"/>
      <c r="AD192" s="91"/>
      <c r="AE192" s="91"/>
      <c r="AF192" s="91"/>
    </row>
    <row r="193" spans="1:32" ht="21.25" customHeight="1" x14ac:dyDescent="0.15">
      <c r="A193" s="23"/>
      <c r="B193" s="100" t="str">
        <f>IFERROR(VLOOKUP($A193,'The List'!$B1:$AS665,3,FALSE)," ")</f>
        <v xml:space="preserve"> </v>
      </c>
      <c r="C193" s="102" t="str">
        <f>IFERROR(VLOOKUP($A193,'The List'!$B1:$AS665,4,FALSE)," ")</f>
        <v xml:space="preserve"> </v>
      </c>
      <c r="D193" s="65" t="str">
        <f>IFERROR(VLOOKUP($A193,'The List'!$B1:$AS665,5,FALSE)," ")</f>
        <v xml:space="preserve"> </v>
      </c>
      <c r="E193" s="65" t="str">
        <f>IFERROR(VLOOKUP($A193,'The List'!$B1:$AS665,6,FALSE)," ")</f>
        <v xml:space="preserve"> </v>
      </c>
      <c r="F193" s="93" t="str">
        <f>IFERROR(VLOOKUP($A193,'The List'!$B1:$AS665,8,FALSE)," ")</f>
        <v xml:space="preserve"> </v>
      </c>
      <c r="G193" s="93" t="str">
        <f>IFERROR(VLOOKUP($A193,'The List'!$B1:$AS665,10,FALSE)," ")</f>
        <v xml:space="preserve"> </v>
      </c>
      <c r="H193" s="54"/>
      <c r="I193" s="83" t="str">
        <f>IFERROR(VLOOKUP($A193,'The List'!$B1:$AS665,16,FALSE)," ")</f>
        <v xml:space="preserve"> </v>
      </c>
      <c r="J193" s="83" t="str">
        <f>IFERROR(VLOOKUP($A193,'The List'!$B1:$AS665,17,FALSE)," ")</f>
        <v xml:space="preserve"> </v>
      </c>
      <c r="K193" s="83" t="str">
        <f>IFERROR(VLOOKUP($A193,'The List'!$B1:$AS665,18,FALSE)," ")</f>
        <v xml:space="preserve"> </v>
      </c>
      <c r="L193" s="83" t="str">
        <f>IFERROR(VLOOKUP($A193,'The List'!$B1:$AS665,19,FALSE)," ")</f>
        <v xml:space="preserve"> </v>
      </c>
      <c r="M193" s="83" t="str">
        <f>IFERROR(VLOOKUP($A193,'The List'!$B1:$AS665,20,FALSE)," ")</f>
        <v xml:space="preserve"> </v>
      </c>
      <c r="N193" s="83" t="str">
        <f>IFERROR(VLOOKUP($A193,'The List'!$B1:$AS665,21,FALSE)," ")</f>
        <v xml:space="preserve"> </v>
      </c>
      <c r="O193" s="83" t="str">
        <f>IFERROR(VLOOKUP($A193,'The List'!$B1:$AS665,22,FALSE)," ")</f>
        <v xml:space="preserve"> </v>
      </c>
      <c r="P193" s="83" t="str">
        <f>IFERROR(VLOOKUP($A193,'The List'!$B1:$AS665,23,FALSE)," ")</f>
        <v xml:space="preserve"> </v>
      </c>
      <c r="Q193" s="83" t="str">
        <f>IFERROR(VLOOKUP($A193,'The List'!$B1:$AS665,24,FALSE)," ")</f>
        <v xml:space="preserve"> </v>
      </c>
      <c r="R193" s="83" t="str">
        <f>IFERROR(VLOOKUP($A193,'The List'!$B1:$AS665,25,FALSE)," ")</f>
        <v xml:space="preserve"> </v>
      </c>
      <c r="S193" s="83" t="str">
        <f>IFERROR(VLOOKUP($A193,'The List'!$B1:$AS665,26,FALSE)," ")</f>
        <v xml:space="preserve"> </v>
      </c>
      <c r="T193" s="83" t="str">
        <f>IFERROR(VLOOKUP($A193,'The List'!$B1:$AS665,27,FALSE)," ")</f>
        <v xml:space="preserve"> </v>
      </c>
      <c r="U193" s="83" t="str">
        <f>IFERROR(VLOOKUP($A193,'The List'!$B1:$AS665,28,FALSE)," ")</f>
        <v xml:space="preserve"> </v>
      </c>
      <c r="V193" s="83" t="str">
        <f>IFERROR(VLOOKUP($A193,'The List'!$B1:$AS665,29,FALSE)," ")</f>
        <v xml:space="preserve"> </v>
      </c>
      <c r="W193" s="83" t="str">
        <f>IFERROR(VLOOKUP($A193,'The List'!$B1:$AS665,30,FALSE)," ")</f>
        <v xml:space="preserve"> </v>
      </c>
      <c r="X193" s="83" t="str">
        <f>IFERROR(VLOOKUP($A193,'The List'!$B1:$AS665,31,FALSE)," ")</f>
        <v xml:space="preserve"> </v>
      </c>
      <c r="Y193" s="83" t="str">
        <f>IFERROR(VLOOKUP($A193,'The List'!$B1:$AS665,32,FALSE)," ")</f>
        <v xml:space="preserve"> </v>
      </c>
      <c r="Z193" s="83" t="str">
        <f>IFERROR(VLOOKUP($A193,'The List'!$B1:$AS665,33,FALSE)," ")</f>
        <v xml:space="preserve"> </v>
      </c>
      <c r="AA193" s="86"/>
      <c r="AB193" s="91"/>
      <c r="AC193" s="91"/>
      <c r="AD193" s="91"/>
      <c r="AE193" s="91"/>
      <c r="AF193" s="91"/>
    </row>
    <row r="194" spans="1:32" ht="21.25" customHeight="1" x14ac:dyDescent="0.15">
      <c r="A194" s="23"/>
      <c r="B194" s="100" t="str">
        <f>IFERROR(VLOOKUP($A194,'The List'!$B1:$AS665,3,FALSE)," ")</f>
        <v xml:space="preserve"> </v>
      </c>
      <c r="C194" s="102" t="str">
        <f>IFERROR(VLOOKUP($A194,'The List'!$B1:$AS665,4,FALSE)," ")</f>
        <v xml:space="preserve"> </v>
      </c>
      <c r="D194" s="65" t="str">
        <f>IFERROR(VLOOKUP($A194,'The List'!$B1:$AS665,5,FALSE)," ")</f>
        <v xml:space="preserve"> </v>
      </c>
      <c r="E194" s="65" t="str">
        <f>IFERROR(VLOOKUP($A194,'The List'!$B1:$AS665,6,FALSE)," ")</f>
        <v xml:space="preserve"> </v>
      </c>
      <c r="F194" s="93" t="str">
        <f>IFERROR(VLOOKUP($A194,'The List'!$B1:$AS665,8,FALSE)," ")</f>
        <v xml:space="preserve"> </v>
      </c>
      <c r="G194" s="93" t="str">
        <f>IFERROR(VLOOKUP($A194,'The List'!$B1:$AS665,10,FALSE)," ")</f>
        <v xml:space="preserve"> </v>
      </c>
      <c r="H194" s="54"/>
      <c r="I194" s="83" t="str">
        <f>IFERROR(VLOOKUP($A194,'The List'!$B1:$AS665,16,FALSE)," ")</f>
        <v xml:space="preserve"> </v>
      </c>
      <c r="J194" s="83" t="str">
        <f>IFERROR(VLOOKUP($A194,'The List'!$B1:$AS665,17,FALSE)," ")</f>
        <v xml:space="preserve"> </v>
      </c>
      <c r="K194" s="83" t="str">
        <f>IFERROR(VLOOKUP($A194,'The List'!$B1:$AS665,18,FALSE)," ")</f>
        <v xml:space="preserve"> </v>
      </c>
      <c r="L194" s="83" t="str">
        <f>IFERROR(VLOOKUP($A194,'The List'!$B1:$AS665,19,FALSE)," ")</f>
        <v xml:space="preserve"> </v>
      </c>
      <c r="M194" s="83" t="str">
        <f>IFERROR(VLOOKUP($A194,'The List'!$B1:$AS665,20,FALSE)," ")</f>
        <v xml:space="preserve"> </v>
      </c>
      <c r="N194" s="83" t="str">
        <f>IFERROR(VLOOKUP($A194,'The List'!$B1:$AS665,21,FALSE)," ")</f>
        <v xml:space="preserve"> </v>
      </c>
      <c r="O194" s="83" t="str">
        <f>IFERROR(VLOOKUP($A194,'The List'!$B1:$AS665,22,FALSE)," ")</f>
        <v xml:space="preserve"> </v>
      </c>
      <c r="P194" s="83" t="str">
        <f>IFERROR(VLOOKUP($A194,'The List'!$B1:$AS665,23,FALSE)," ")</f>
        <v xml:space="preserve"> </v>
      </c>
      <c r="Q194" s="83" t="str">
        <f>IFERROR(VLOOKUP($A194,'The List'!$B1:$AS665,24,FALSE)," ")</f>
        <v xml:space="preserve"> </v>
      </c>
      <c r="R194" s="83" t="str">
        <f>IFERROR(VLOOKUP($A194,'The List'!$B1:$AS665,25,FALSE)," ")</f>
        <v xml:space="preserve"> </v>
      </c>
      <c r="S194" s="83" t="str">
        <f>IFERROR(VLOOKUP($A194,'The List'!$B1:$AS665,26,FALSE)," ")</f>
        <v xml:space="preserve"> </v>
      </c>
      <c r="T194" s="83" t="str">
        <f>IFERROR(VLOOKUP($A194,'The List'!$B1:$AS665,27,FALSE)," ")</f>
        <v xml:space="preserve"> </v>
      </c>
      <c r="U194" s="83" t="str">
        <f>IFERROR(VLOOKUP($A194,'The List'!$B1:$AS665,28,FALSE)," ")</f>
        <v xml:space="preserve"> </v>
      </c>
      <c r="V194" s="83" t="str">
        <f>IFERROR(VLOOKUP($A194,'The List'!$B1:$AS665,29,FALSE)," ")</f>
        <v xml:space="preserve"> </v>
      </c>
      <c r="W194" s="83" t="str">
        <f>IFERROR(VLOOKUP($A194,'The List'!$B1:$AS665,30,FALSE)," ")</f>
        <v xml:space="preserve"> </v>
      </c>
      <c r="X194" s="83" t="str">
        <f>IFERROR(VLOOKUP($A194,'The List'!$B1:$AS665,31,FALSE)," ")</f>
        <v xml:space="preserve"> </v>
      </c>
      <c r="Y194" s="83" t="str">
        <f>IFERROR(VLOOKUP($A194,'The List'!$B1:$AS665,32,FALSE)," ")</f>
        <v xml:space="preserve"> </v>
      </c>
      <c r="Z194" s="83" t="str">
        <f>IFERROR(VLOOKUP($A194,'The List'!$B1:$AS665,33,FALSE)," ")</f>
        <v xml:space="preserve"> </v>
      </c>
      <c r="AA194" s="86"/>
      <c r="AB194" s="91"/>
      <c r="AC194" s="91"/>
      <c r="AD194" s="91"/>
      <c r="AE194" s="91"/>
      <c r="AF194" s="91"/>
    </row>
    <row r="195" spans="1:32" ht="21.25" customHeight="1" x14ac:dyDescent="0.15">
      <c r="A195" s="104"/>
      <c r="B195" s="105" t="str">
        <f>IFERROR(VLOOKUP($A195,'The List'!$B1:$AS665,3,FALSE)," ")</f>
        <v xml:space="preserve"> </v>
      </c>
      <c r="C195" s="106" t="str">
        <f>IFERROR(VLOOKUP($A195,'The List'!$B1:$AS665,4,FALSE)," ")</f>
        <v xml:space="preserve"> </v>
      </c>
      <c r="D195" s="107" t="str">
        <f>IFERROR(VLOOKUP($A195,'The List'!$B1:$AS665,5,FALSE)," ")</f>
        <v xml:space="preserve"> </v>
      </c>
      <c r="E195" s="107" t="str">
        <f>IFERROR(VLOOKUP($A195,'The List'!$B1:$AS665,6,FALSE)," ")</f>
        <v xml:space="preserve"> </v>
      </c>
      <c r="F195" s="108" t="str">
        <f>IFERROR(VLOOKUP($A195,'The List'!$B1:$AS665,8,FALSE)," ")</f>
        <v xml:space="preserve"> </v>
      </c>
      <c r="G195" s="108" t="str">
        <f>IFERROR(VLOOKUP($A195,'The List'!$B1:$AS665,10,FALSE)," ")</f>
        <v xml:space="preserve"> </v>
      </c>
      <c r="H195" s="109"/>
      <c r="I195" s="110" t="str">
        <f>IFERROR(VLOOKUP($A195,'The List'!$B1:$AS665,16,FALSE)," ")</f>
        <v xml:space="preserve"> </v>
      </c>
      <c r="J195" s="110" t="str">
        <f>IFERROR(VLOOKUP($A195,'The List'!$B1:$AS665,17,FALSE)," ")</f>
        <v xml:space="preserve"> </v>
      </c>
      <c r="K195" s="110" t="str">
        <f>IFERROR(VLOOKUP($A195,'The List'!$B1:$AS665,18,FALSE)," ")</f>
        <v xml:space="preserve"> </v>
      </c>
      <c r="L195" s="110" t="str">
        <f>IFERROR(VLOOKUP($A195,'The List'!$B1:$AS665,19,FALSE)," ")</f>
        <v xml:space="preserve"> </v>
      </c>
      <c r="M195" s="110" t="str">
        <f>IFERROR(VLOOKUP($A195,'The List'!$B1:$AS665,20,FALSE)," ")</f>
        <v xml:space="preserve"> </v>
      </c>
      <c r="N195" s="110" t="str">
        <f>IFERROR(VLOOKUP($A195,'The List'!$B1:$AS665,21,FALSE)," ")</f>
        <v xml:space="preserve"> </v>
      </c>
      <c r="O195" s="110" t="str">
        <f>IFERROR(VLOOKUP($A195,'The List'!$B1:$AS665,22,FALSE)," ")</f>
        <v xml:space="preserve"> </v>
      </c>
      <c r="P195" s="110" t="str">
        <f>IFERROR(VLOOKUP($A195,'The List'!$B1:$AS665,23,FALSE)," ")</f>
        <v xml:space="preserve"> </v>
      </c>
      <c r="Q195" s="110" t="str">
        <f>IFERROR(VLOOKUP($A195,'The List'!$B1:$AS665,24,FALSE)," ")</f>
        <v xml:space="preserve"> </v>
      </c>
      <c r="R195" s="110" t="str">
        <f>IFERROR(VLOOKUP($A195,'The List'!$B1:$AS665,25,FALSE)," ")</f>
        <v xml:space="preserve"> </v>
      </c>
      <c r="S195" s="110" t="str">
        <f>IFERROR(VLOOKUP($A195,'The List'!$B1:$AS665,26,FALSE)," ")</f>
        <v xml:space="preserve"> </v>
      </c>
      <c r="T195" s="110" t="str">
        <f>IFERROR(VLOOKUP($A195,'The List'!$B1:$AS665,27,FALSE)," ")</f>
        <v xml:space="preserve"> </v>
      </c>
      <c r="U195" s="110" t="str">
        <f>IFERROR(VLOOKUP($A195,'The List'!$B1:$AS665,28,FALSE)," ")</f>
        <v xml:space="preserve"> </v>
      </c>
      <c r="V195" s="110" t="str">
        <f>IFERROR(VLOOKUP($A195,'The List'!$B1:$AS665,29,FALSE)," ")</f>
        <v xml:space="preserve"> </v>
      </c>
      <c r="W195" s="110" t="str">
        <f>IFERROR(VLOOKUP($A195,'The List'!$B1:$AS665,30,FALSE)," ")</f>
        <v xml:space="preserve"> </v>
      </c>
      <c r="X195" s="110" t="str">
        <f>IFERROR(VLOOKUP($A195,'The List'!$B1:$AS665,31,FALSE)," ")</f>
        <v xml:space="preserve"> </v>
      </c>
      <c r="Y195" s="110" t="str">
        <f>IFERROR(VLOOKUP($A195,'The List'!$B1:$AS665,32,FALSE)," ")</f>
        <v xml:space="preserve"> </v>
      </c>
      <c r="Z195" s="110" t="str">
        <f>IFERROR(VLOOKUP($A195,'The List'!$B1:$AS665,33,FALSE)," ")</f>
        <v xml:space="preserve"> </v>
      </c>
      <c r="AA195" s="86"/>
      <c r="AB195" s="91"/>
      <c r="AC195" s="91"/>
      <c r="AD195" s="91"/>
      <c r="AE195" s="91"/>
      <c r="AF195" s="91"/>
    </row>
    <row r="196" spans="1:32" ht="21.25" customHeight="1" x14ac:dyDescent="0.15">
      <c r="A196" s="111"/>
      <c r="B196" s="112"/>
      <c r="C196" s="113"/>
      <c r="D196" s="114"/>
      <c r="E196" s="146" t="str">
        <f>IFERROR(AVERAGE(E176:E195)," ")</f>
        <v xml:space="preserve"> </v>
      </c>
      <c r="F196" s="116">
        <f>SUM(F176:F195)</f>
        <v>0</v>
      </c>
      <c r="G196" s="116">
        <f>SUM(G176:G195)</f>
        <v>0</v>
      </c>
      <c r="H196" s="117"/>
      <c r="I196" s="118">
        <f>SUM(I176:I195)</f>
        <v>0</v>
      </c>
      <c r="J196" s="117" t="e">
        <f>AVERAGE(J176:J195)</f>
        <v>#DIV/0!</v>
      </c>
      <c r="K196" s="118">
        <f t="shared" ref="K196:Y196" si="12">SUM(K176:K195)</f>
        <v>0</v>
      </c>
      <c r="L196" s="118">
        <f t="shared" si="12"/>
        <v>0</v>
      </c>
      <c r="M196" s="118">
        <f t="shared" si="12"/>
        <v>0</v>
      </c>
      <c r="N196" s="118">
        <f t="shared" si="12"/>
        <v>0</v>
      </c>
      <c r="O196" s="118">
        <f t="shared" si="12"/>
        <v>0</v>
      </c>
      <c r="P196" s="118">
        <f t="shared" si="12"/>
        <v>0</v>
      </c>
      <c r="Q196" s="118">
        <f t="shared" si="12"/>
        <v>0</v>
      </c>
      <c r="R196" s="118">
        <f t="shared" si="12"/>
        <v>0</v>
      </c>
      <c r="S196" s="118">
        <f t="shared" si="12"/>
        <v>0</v>
      </c>
      <c r="T196" s="118">
        <f t="shared" si="12"/>
        <v>0</v>
      </c>
      <c r="U196" s="118">
        <f t="shared" si="12"/>
        <v>0</v>
      </c>
      <c r="V196" s="118">
        <f t="shared" si="12"/>
        <v>0</v>
      </c>
      <c r="W196" s="118">
        <f t="shared" si="12"/>
        <v>0</v>
      </c>
      <c r="X196" s="118">
        <f t="shared" si="12"/>
        <v>0</v>
      </c>
      <c r="Y196" s="118">
        <f t="shared" si="12"/>
        <v>0</v>
      </c>
      <c r="Z196" s="119">
        <f>IFERROR(X196/(X196+Y196),0)</f>
        <v>0</v>
      </c>
      <c r="AA196" s="86"/>
      <c r="AB196" s="120"/>
      <c r="AC196" s="120"/>
      <c r="AD196" s="120"/>
      <c r="AE196" s="120"/>
      <c r="AF196" s="120"/>
    </row>
    <row r="197" spans="1:32" ht="21.25" customHeight="1" x14ac:dyDescent="0.15">
      <c r="A197" s="34"/>
      <c r="B197" s="121"/>
      <c r="C197" s="122"/>
      <c r="D197" s="12"/>
      <c r="E197" s="12"/>
      <c r="F197" s="123"/>
      <c r="G197" s="124"/>
      <c r="H197" s="125"/>
      <c r="I197" s="12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91"/>
      <c r="AC197" s="91"/>
      <c r="AD197" s="91"/>
      <c r="AE197" s="91"/>
      <c r="AF197" s="91"/>
    </row>
    <row r="198" spans="1:32" ht="21.25" customHeight="1" x14ac:dyDescent="0.15">
      <c r="A198" s="37" t="s">
        <v>89</v>
      </c>
      <c r="B198" s="205" t="s">
        <v>91</v>
      </c>
      <c r="C198" s="195"/>
      <c r="D198" s="40" t="s">
        <v>92</v>
      </c>
      <c r="E198" s="40" t="s">
        <v>93</v>
      </c>
      <c r="F198" s="127" t="s">
        <v>95</v>
      </c>
      <c r="G198" s="127" t="s">
        <v>97</v>
      </c>
      <c r="H198" s="128"/>
      <c r="I198" s="129" t="s">
        <v>102</v>
      </c>
      <c r="J198" s="129" t="s">
        <v>118</v>
      </c>
      <c r="K198" s="129" t="s">
        <v>119</v>
      </c>
      <c r="L198" s="129" t="s">
        <v>120</v>
      </c>
      <c r="M198" s="129" t="s">
        <v>121</v>
      </c>
      <c r="N198" s="129" t="s">
        <v>122</v>
      </c>
      <c r="O198" s="129" t="s">
        <v>123</v>
      </c>
      <c r="P198" s="129" t="s">
        <v>124</v>
      </c>
      <c r="Q198" s="129" t="s">
        <v>125</v>
      </c>
      <c r="R198" s="86"/>
      <c r="S198" s="86"/>
      <c r="T198" s="86"/>
      <c r="U198" s="205" t="s">
        <v>809</v>
      </c>
      <c r="V198" s="206"/>
      <c r="W198" s="206"/>
      <c r="X198" s="205" t="s">
        <v>810</v>
      </c>
      <c r="Y198" s="206"/>
      <c r="Z198" s="206"/>
      <c r="AA198" s="86"/>
      <c r="AB198" s="86"/>
      <c r="AC198" s="86"/>
      <c r="AD198" s="86"/>
      <c r="AE198" s="86"/>
      <c r="AF198" s="86"/>
    </row>
    <row r="199" spans="1:32" ht="21.25" customHeight="1" x14ac:dyDescent="0.15">
      <c r="A199" s="147"/>
      <c r="B199" s="131" t="str">
        <f>IFERROR(VLOOKUP($A199,'The List'!$B1:$AS665,3,FALSE)," ")</f>
        <v xml:space="preserve"> </v>
      </c>
      <c r="C199" s="148" t="str">
        <f>IFERROR(VLOOKUP($A199,'The List'!$B1:$AS665,4,FALSE)," ")</f>
        <v xml:space="preserve"> </v>
      </c>
      <c r="D199" s="49" t="str">
        <f>IFERROR(VLOOKUP($A199,'The List'!$B1:$AS665,5,FALSE)," ")</f>
        <v xml:space="preserve"> </v>
      </c>
      <c r="E199" s="49" t="str">
        <f>IFERROR(VLOOKUP($A199,'The List'!$B1:$AS665,6,FALSE)," ")</f>
        <v xml:space="preserve"> </v>
      </c>
      <c r="F199" s="149" t="str">
        <f>IFERROR(VLOOKUP($A199,'The List'!$B1:$AS665,8,FALSE)," ")</f>
        <v xml:space="preserve"> </v>
      </c>
      <c r="G199" s="149" t="str">
        <f>IFERROR(VLOOKUP($A199,'The List'!$B1:$AS665,10,FALSE)," ")</f>
        <v xml:space="preserve"> </v>
      </c>
      <c r="H199" s="135"/>
      <c r="I199" s="150" t="str">
        <f>IFERROR(VLOOKUP($A199,'The List'!$B1:$AS665,35,FALSE)," ")</f>
        <v xml:space="preserve"> </v>
      </c>
      <c r="J199" s="150" t="str">
        <f>IFERROR(VLOOKUP($A199,'The List'!$B1:$AS665,36,FALSE)," ")</f>
        <v xml:space="preserve"> </v>
      </c>
      <c r="K199" s="150" t="str">
        <f>IFERROR(VLOOKUP($A199,'The List'!$B1:$AS665,37,FALSE)," ")</f>
        <v xml:space="preserve"> </v>
      </c>
      <c r="L199" s="150" t="str">
        <f>IFERROR(VLOOKUP($A199,'The List'!$B1:$AS665,38,FALSE)," ")</f>
        <v xml:space="preserve"> </v>
      </c>
      <c r="M199" s="150" t="str">
        <f>IFERROR(VLOOKUP($A199,'The List'!$B1:$AS665,39,FALSE)," ")</f>
        <v xml:space="preserve"> </v>
      </c>
      <c r="N199" s="150" t="str">
        <f>IFERROR(VLOOKUP($A199,'The List'!$B1:$AS665,40,FALSE)," ")</f>
        <v xml:space="preserve"> </v>
      </c>
      <c r="O199" s="150" t="str">
        <f>IFERROR(VLOOKUP($A199,'The List'!$B1:$AS665,41,FALSE)," ")</f>
        <v xml:space="preserve"> </v>
      </c>
      <c r="P199" s="150" t="str">
        <f>IFERROR(VLOOKUP($A199,'The List'!$B1:$AS665,42,FALSE)," ")</f>
        <v xml:space="preserve"> </v>
      </c>
      <c r="Q199" s="150" t="str">
        <f>IFERROR(VLOOKUP($A199,'The List'!$B1:$AS665,43,FALSE)," ")</f>
        <v xml:space="preserve"> </v>
      </c>
      <c r="R199" s="86"/>
      <c r="S199" s="86"/>
      <c r="T199" s="139" t="str">
        <f>A175</f>
        <v>TEAM 7</v>
      </c>
      <c r="U199" s="207">
        <f>F196+F202</f>
        <v>0</v>
      </c>
      <c r="V199" s="195"/>
      <c r="W199" s="195"/>
      <c r="X199" s="207">
        <f>G202+G196</f>
        <v>0</v>
      </c>
      <c r="Y199" s="195"/>
      <c r="Z199" s="195"/>
      <c r="AA199" s="86"/>
      <c r="AB199" s="86"/>
      <c r="AC199" s="86"/>
      <c r="AD199" s="86"/>
      <c r="AE199" s="86"/>
      <c r="AF199" s="86"/>
    </row>
    <row r="200" spans="1:32" ht="21.25" customHeight="1" x14ac:dyDescent="0.15">
      <c r="A200" s="23"/>
      <c r="B200" s="140" t="str">
        <f>IFERROR(VLOOKUP($A200,'The List'!$B1:$AS665,3,FALSE)," ")</f>
        <v xml:space="preserve"> </v>
      </c>
      <c r="C200" s="141" t="str">
        <f>IFERROR(VLOOKUP($A200,'The List'!$B1:$AS665,4,FALSE)," ")</f>
        <v xml:space="preserve"> </v>
      </c>
      <c r="D200" s="65" t="str">
        <f>IFERROR(VLOOKUP($A200,'The List'!$B1:$AS665,5,FALSE)," ")</f>
        <v xml:space="preserve"> </v>
      </c>
      <c r="E200" s="65" t="str">
        <f>IFERROR(VLOOKUP($A200,'The List'!$B1:$AS665,6,FALSE)," ")</f>
        <v xml:space="preserve"> </v>
      </c>
      <c r="F200" s="93" t="str">
        <f>IFERROR(VLOOKUP($A200,'The List'!$B1:$AS665,8,FALSE)," ")</f>
        <v xml:space="preserve"> </v>
      </c>
      <c r="G200" s="93" t="str">
        <f>IFERROR(VLOOKUP($A200,'The List'!$B1:$AS665,10,FALSE)," ")</f>
        <v xml:space="preserve"> </v>
      </c>
      <c r="H200" s="54"/>
      <c r="I200" s="83" t="str">
        <f>IFERROR(VLOOKUP($A200,'The List'!$B1:$AS665,35,FALSE)," ")</f>
        <v xml:space="preserve"> </v>
      </c>
      <c r="J200" s="83" t="str">
        <f>IFERROR(VLOOKUP($A200,'The List'!$B1:$AS665,36,FALSE)," ")</f>
        <v xml:space="preserve"> </v>
      </c>
      <c r="K200" s="83" t="str">
        <f>IFERROR(VLOOKUP($A200,'The List'!$B1:$AS665,37,FALSE)," ")</f>
        <v xml:space="preserve"> </v>
      </c>
      <c r="L200" s="83" t="str">
        <f>IFERROR(VLOOKUP($A200,'The List'!$B1:$AS665,38,FALSE)," ")</f>
        <v xml:space="preserve"> </v>
      </c>
      <c r="M200" s="83" t="str">
        <f>IFERROR(VLOOKUP($A200,'The List'!$B1:$AS665,39,FALSE)," ")</f>
        <v xml:space="preserve"> </v>
      </c>
      <c r="N200" s="83" t="str">
        <f>IFERROR(VLOOKUP($A200,'The List'!$B1:$AS665,40,FALSE)," ")</f>
        <v xml:space="preserve"> </v>
      </c>
      <c r="O200" s="83" t="str">
        <f>IFERROR(VLOOKUP($A200,'The List'!$B1:$AS665,41,FALSE)," ")</f>
        <v xml:space="preserve"> </v>
      </c>
      <c r="P200" s="83" t="str">
        <f>IFERROR(VLOOKUP($A200,'The List'!$B1:$AS665,42,FALSE)," ")</f>
        <v xml:space="preserve"> </v>
      </c>
      <c r="Q200" s="83" t="str">
        <f>IFERROR(VLOOKUP($A200,'The List'!$B1:$AS665,43,FALSE)," ")</f>
        <v xml:space="preserve"> </v>
      </c>
      <c r="R200" s="86"/>
      <c r="S200" s="86"/>
      <c r="T200" s="86"/>
      <c r="U200" s="195"/>
      <c r="V200" s="195"/>
      <c r="W200" s="195"/>
      <c r="X200" s="195"/>
      <c r="Y200" s="195"/>
      <c r="Z200" s="195"/>
      <c r="AA200" s="86"/>
      <c r="AB200" s="86"/>
      <c r="AC200" s="86"/>
      <c r="AD200" s="86"/>
      <c r="AE200" s="86"/>
      <c r="AF200" s="86"/>
    </row>
    <row r="201" spans="1:32" ht="21.25" customHeight="1" x14ac:dyDescent="0.15">
      <c r="A201" s="104"/>
      <c r="B201" s="142" t="str">
        <f>IFERROR(VLOOKUP($A201,'The List'!$B1:$AS665,3,FALSE)," ")</f>
        <v xml:space="preserve"> </v>
      </c>
      <c r="C201" s="143" t="str">
        <f>IFERROR(VLOOKUP($A201,'The List'!$B1:$AS665,4,FALSE)," ")</f>
        <v xml:space="preserve"> </v>
      </c>
      <c r="D201" s="107" t="str">
        <f>IFERROR(VLOOKUP($A201,'The List'!$B1:$AS665,5,FALSE)," ")</f>
        <v xml:space="preserve"> </v>
      </c>
      <c r="E201" s="107" t="str">
        <f>IFERROR(VLOOKUP($A201,'The List'!$B1:$AS665,6,FALSE)," ")</f>
        <v xml:space="preserve"> </v>
      </c>
      <c r="F201" s="108" t="str">
        <f>IFERROR(VLOOKUP($A201,'The List'!$B1:$AS665,8,FALSE)," ")</f>
        <v xml:space="preserve"> </v>
      </c>
      <c r="G201" s="108" t="str">
        <f>IFERROR(VLOOKUP($A201,'The List'!$B1:$AS665,10,FALSE)," ")</f>
        <v xml:space="preserve"> </v>
      </c>
      <c r="H201" s="109"/>
      <c r="I201" s="110" t="str">
        <f>IFERROR(VLOOKUP($A201,'The List'!$B1:$AS665,35,FALSE)," ")</f>
        <v xml:space="preserve"> </v>
      </c>
      <c r="J201" s="110" t="str">
        <f>IFERROR(VLOOKUP($A201,'The List'!$B1:$AS665,36,FALSE)," ")</f>
        <v xml:space="preserve"> </v>
      </c>
      <c r="K201" s="110" t="str">
        <f>IFERROR(VLOOKUP($A201,'The List'!$B1:$AS665,37,FALSE)," ")</f>
        <v xml:space="preserve"> </v>
      </c>
      <c r="L201" s="110" t="str">
        <f>IFERROR(VLOOKUP($A201,'The List'!$B1:$AS665,38,FALSE)," ")</f>
        <v xml:space="preserve"> </v>
      </c>
      <c r="M201" s="110" t="str">
        <f>IFERROR(VLOOKUP($A201,'The List'!$B1:$AS665,39,FALSE)," ")</f>
        <v xml:space="preserve"> </v>
      </c>
      <c r="N201" s="110" t="str">
        <f>IFERROR(VLOOKUP($A201,'The List'!$B1:$AS665,40,FALSE)," ")</f>
        <v xml:space="preserve"> </v>
      </c>
      <c r="O201" s="110" t="str">
        <f>IFERROR(VLOOKUP($A201,'The List'!$B1:$AS665,41,FALSE)," ")</f>
        <v xml:space="preserve"> </v>
      </c>
      <c r="P201" s="110" t="str">
        <f>IFERROR(VLOOKUP($A201,'The List'!$B1:$AS665,42,FALSE)," ")</f>
        <v xml:space="preserve"> </v>
      </c>
      <c r="Q201" s="110" t="str">
        <f>IFERROR(VLOOKUP($A201,'The List'!$B1:$AS665,43,FALSE)," ")</f>
        <v xml:space="preserve"> </v>
      </c>
      <c r="R201" s="86"/>
      <c r="S201" s="86"/>
      <c r="T201" s="86"/>
      <c r="U201" s="195"/>
      <c r="V201" s="195"/>
      <c r="W201" s="195"/>
      <c r="X201" s="195"/>
      <c r="Y201" s="195"/>
      <c r="Z201" s="195"/>
      <c r="AA201" s="86"/>
      <c r="AB201" s="86"/>
      <c r="AC201" s="86"/>
      <c r="AD201" s="86"/>
      <c r="AE201" s="86"/>
      <c r="AF201" s="86"/>
    </row>
    <row r="202" spans="1:32" ht="21.25" customHeight="1" x14ac:dyDescent="0.15">
      <c r="A202" s="111"/>
      <c r="B202" s="112"/>
      <c r="C202" s="113"/>
      <c r="D202" s="114"/>
      <c r="E202" s="146" t="str">
        <f>IFERROR(AVERAGE(E199:E201)," ")</f>
        <v xml:space="preserve"> </v>
      </c>
      <c r="F202" s="116">
        <f>SUM(F199:F201)</f>
        <v>0</v>
      </c>
      <c r="G202" s="116">
        <f>SUM(G199:G201)</f>
        <v>0</v>
      </c>
      <c r="H202" s="117"/>
      <c r="I202" s="118">
        <f t="shared" ref="I202:O202" si="13">SUM(I199:I201)</f>
        <v>0</v>
      </c>
      <c r="J202" s="117">
        <f t="shared" si="13"/>
        <v>0</v>
      </c>
      <c r="K202" s="118">
        <f t="shared" si="13"/>
        <v>0</v>
      </c>
      <c r="L202" s="118">
        <f t="shared" si="13"/>
        <v>0</v>
      </c>
      <c r="M202" s="118">
        <f t="shared" si="13"/>
        <v>0</v>
      </c>
      <c r="N202" s="118">
        <f t="shared" si="13"/>
        <v>0</v>
      </c>
      <c r="O202" s="118">
        <f t="shared" si="13"/>
        <v>0</v>
      </c>
      <c r="P202" s="144" t="e">
        <f>1-(O202/(N202+O202))</f>
        <v>#DIV/0!</v>
      </c>
      <c r="Q202" s="145" t="e">
        <f>O202/I202</f>
        <v>#DIV/0!</v>
      </c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</row>
    <row r="203" spans="1:32" ht="70.75" customHeight="1" x14ac:dyDescent="0.15">
      <c r="A203" s="34"/>
      <c r="B203" s="121"/>
      <c r="C203" s="122"/>
      <c r="D203" s="12"/>
      <c r="E203" s="12"/>
      <c r="F203" s="123"/>
      <c r="G203" s="124"/>
      <c r="H203" s="125"/>
      <c r="I203" s="12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91"/>
      <c r="AB203" s="91"/>
      <c r="AC203" s="91"/>
      <c r="AD203" s="91"/>
      <c r="AE203" s="91"/>
      <c r="AF203" s="91"/>
    </row>
    <row r="204" spans="1:32" ht="21.25" customHeight="1" x14ac:dyDescent="0.15">
      <c r="A204" s="38" t="s">
        <v>800</v>
      </c>
      <c r="B204" s="204" t="s">
        <v>91</v>
      </c>
      <c r="C204" s="200"/>
      <c r="D204" s="39" t="s">
        <v>92</v>
      </c>
      <c r="E204" s="39" t="s">
        <v>93</v>
      </c>
      <c r="F204" s="41" t="s">
        <v>95</v>
      </c>
      <c r="G204" s="41" t="s">
        <v>97</v>
      </c>
      <c r="H204" s="42"/>
      <c r="I204" s="44" t="s">
        <v>102</v>
      </c>
      <c r="J204" s="44" t="s">
        <v>55</v>
      </c>
      <c r="K204" s="44" t="s">
        <v>103</v>
      </c>
      <c r="L204" s="44" t="s">
        <v>104</v>
      </c>
      <c r="M204" s="44" t="s">
        <v>105</v>
      </c>
      <c r="N204" s="44" t="s">
        <v>106</v>
      </c>
      <c r="O204" s="44" t="s">
        <v>107</v>
      </c>
      <c r="P204" s="44" t="s">
        <v>63</v>
      </c>
      <c r="Q204" s="44" t="s">
        <v>108</v>
      </c>
      <c r="R204" s="44" t="s">
        <v>109</v>
      </c>
      <c r="S204" s="44" t="s">
        <v>110</v>
      </c>
      <c r="T204" s="44" t="s">
        <v>111</v>
      </c>
      <c r="U204" s="44" t="s">
        <v>112</v>
      </c>
      <c r="V204" s="44" t="s">
        <v>113</v>
      </c>
      <c r="W204" s="44" t="s">
        <v>114</v>
      </c>
      <c r="X204" s="44" t="s">
        <v>115</v>
      </c>
      <c r="Y204" s="44" t="s">
        <v>116</v>
      </c>
      <c r="Z204" s="44" t="s">
        <v>117</v>
      </c>
      <c r="AA204" s="86"/>
      <c r="AB204" s="87"/>
      <c r="AC204" s="87"/>
      <c r="AD204" s="87"/>
      <c r="AE204" s="87"/>
      <c r="AF204" s="87"/>
    </row>
    <row r="205" spans="1:32" ht="21.25" customHeight="1" x14ac:dyDescent="0.15">
      <c r="A205" s="23"/>
      <c r="B205" s="88" t="str">
        <f>IFERROR(VLOOKUP($A205,'The List'!$B1:$AS665,3,FALSE)," ")</f>
        <v xml:space="preserve"> </v>
      </c>
      <c r="C205" s="92" t="str">
        <f>IFERROR(VLOOKUP($A205,'The List'!$B1:$AS665,4,FALSE)," ")</f>
        <v xml:space="preserve"> </v>
      </c>
      <c r="D205" s="65" t="str">
        <f>IFERROR(VLOOKUP($A205,'The List'!$B1:$AS665,5,FALSE)," ")</f>
        <v xml:space="preserve"> </v>
      </c>
      <c r="E205" s="65" t="str">
        <f>IFERROR(VLOOKUP($A205,'The List'!$B1:$AS665,6,FALSE)," ")</f>
        <v xml:space="preserve"> </v>
      </c>
      <c r="F205" s="93" t="str">
        <f>IFERROR(VLOOKUP($A205,'The List'!$B1:$AS665,8,FALSE)," ")</f>
        <v xml:space="preserve"> </v>
      </c>
      <c r="G205" s="93" t="str">
        <f>IFERROR(VLOOKUP($A205,'The List'!$B1:$AS665,10,FALSE)," ")</f>
        <v xml:space="preserve"> </v>
      </c>
      <c r="H205" s="54"/>
      <c r="I205" s="83" t="str">
        <f>IFERROR(VLOOKUP($A205,'The List'!$B1:$AS665,16,FALSE)," ")</f>
        <v xml:space="preserve"> </v>
      </c>
      <c r="J205" s="83" t="str">
        <f>IFERROR(VLOOKUP($A205,'The List'!$B1:$AS665,17,FALSE)," ")</f>
        <v xml:space="preserve"> </v>
      </c>
      <c r="K205" s="83" t="str">
        <f>IFERROR(VLOOKUP($A205,'The List'!$B1:$AS665,18,FALSE)," ")</f>
        <v xml:space="preserve"> </v>
      </c>
      <c r="L205" s="83" t="str">
        <f>IFERROR(VLOOKUP($A205,'The List'!$B1:$AS665,19,FALSE)," ")</f>
        <v xml:space="preserve"> </v>
      </c>
      <c r="M205" s="83" t="str">
        <f>IFERROR(VLOOKUP($A205,'The List'!$B1:$AS665,20,FALSE)," ")</f>
        <v xml:space="preserve"> </v>
      </c>
      <c r="N205" s="83" t="str">
        <f>IFERROR(VLOOKUP($A205,'The List'!$B1:$AS665,21,FALSE)," ")</f>
        <v xml:space="preserve"> </v>
      </c>
      <c r="O205" s="83" t="str">
        <f>IFERROR(VLOOKUP($A205,'The List'!$B1:$AS665,22,FALSE)," ")</f>
        <v xml:space="preserve"> </v>
      </c>
      <c r="P205" s="83" t="str">
        <f>IFERROR(VLOOKUP($A205,'The List'!$B1:$AS665,23,FALSE)," ")</f>
        <v xml:space="preserve"> </v>
      </c>
      <c r="Q205" s="83" t="str">
        <f>IFERROR(VLOOKUP($A205,'The List'!$B1:$AS665,24,FALSE)," ")</f>
        <v xml:space="preserve"> </v>
      </c>
      <c r="R205" s="83" t="str">
        <f>IFERROR(VLOOKUP($A205,'The List'!$B1:$AS665,25,FALSE)," ")</f>
        <v xml:space="preserve"> </v>
      </c>
      <c r="S205" s="83" t="str">
        <f>IFERROR(VLOOKUP($A205,'The List'!$B1:$AS665,26,FALSE)," ")</f>
        <v xml:space="preserve"> </v>
      </c>
      <c r="T205" s="83" t="str">
        <f>IFERROR(VLOOKUP($A205,'The List'!$B1:$AS665,27,FALSE)," ")</f>
        <v xml:space="preserve"> </v>
      </c>
      <c r="U205" s="83" t="str">
        <f>IFERROR(VLOOKUP($A205,'The List'!$B1:$AS665,28,FALSE)," ")</f>
        <v xml:space="preserve"> </v>
      </c>
      <c r="V205" s="83" t="str">
        <f>IFERROR(VLOOKUP($A205,'The List'!$B1:$AS665,29,FALSE)," ")</f>
        <v xml:space="preserve"> </v>
      </c>
      <c r="W205" s="83" t="str">
        <f>IFERROR(VLOOKUP($A205,'The List'!$B1:$AS665,30,FALSE)," ")</f>
        <v xml:space="preserve"> </v>
      </c>
      <c r="X205" s="83" t="str">
        <f>IFERROR(VLOOKUP($A205,'The List'!$B1:$AS665,31,FALSE)," ")</f>
        <v xml:space="preserve"> </v>
      </c>
      <c r="Y205" s="83" t="str">
        <f>IFERROR(VLOOKUP($A205,'The List'!$B1:$AS665,32,FALSE)," ")</f>
        <v xml:space="preserve"> </v>
      </c>
      <c r="Z205" s="83" t="str">
        <f>IFERROR(VLOOKUP($A205,'The List'!$B1:$AS665,33,FALSE)," ")</f>
        <v xml:space="preserve"> </v>
      </c>
      <c r="AA205" s="86"/>
      <c r="AB205" s="91"/>
      <c r="AC205" s="91"/>
      <c r="AD205" s="91"/>
      <c r="AE205" s="91"/>
      <c r="AF205" s="91"/>
    </row>
    <row r="206" spans="1:32" ht="21.25" customHeight="1" x14ac:dyDescent="0.15">
      <c r="A206" s="23"/>
      <c r="B206" s="88" t="str">
        <f>IFERROR(VLOOKUP($A206,'The List'!$B1:$AS665,3,FALSE)," ")</f>
        <v xml:space="preserve"> </v>
      </c>
      <c r="C206" s="92" t="str">
        <f>IFERROR(VLOOKUP($A206,'The List'!$B1:$AS665,4,FALSE)," ")</f>
        <v xml:space="preserve"> </v>
      </c>
      <c r="D206" s="65" t="str">
        <f>IFERROR(VLOOKUP($A206,'The List'!$B1:$AS665,5,FALSE)," ")</f>
        <v xml:space="preserve"> </v>
      </c>
      <c r="E206" s="65" t="str">
        <f>IFERROR(VLOOKUP($A206,'The List'!$B1:$AS665,6,FALSE)," ")</f>
        <v xml:space="preserve"> </v>
      </c>
      <c r="F206" s="93" t="str">
        <f>IFERROR(VLOOKUP($A206,'The List'!$B1:$AS665,8,FALSE)," ")</f>
        <v xml:space="preserve"> </v>
      </c>
      <c r="G206" s="93" t="str">
        <f>IFERROR(VLOOKUP($A206,'The List'!$B1:$AS665,10,FALSE)," ")</f>
        <v xml:space="preserve"> </v>
      </c>
      <c r="H206" s="54"/>
      <c r="I206" s="83" t="str">
        <f>IFERROR(VLOOKUP($A206,'The List'!$B1:$AS665,16,FALSE)," ")</f>
        <v xml:space="preserve"> </v>
      </c>
      <c r="J206" s="83" t="str">
        <f>IFERROR(VLOOKUP($A206,'The List'!$B1:$AS665,17,FALSE)," ")</f>
        <v xml:space="preserve"> </v>
      </c>
      <c r="K206" s="83" t="str">
        <f>IFERROR(VLOOKUP($A206,'The List'!$B1:$AS665,18,FALSE)," ")</f>
        <v xml:space="preserve"> </v>
      </c>
      <c r="L206" s="83" t="str">
        <f>IFERROR(VLOOKUP($A206,'The List'!$B1:$AS665,19,FALSE)," ")</f>
        <v xml:space="preserve"> </v>
      </c>
      <c r="M206" s="83" t="str">
        <f>IFERROR(VLOOKUP($A206,'The List'!$B1:$AS665,20,FALSE)," ")</f>
        <v xml:space="preserve"> </v>
      </c>
      <c r="N206" s="83" t="str">
        <f>IFERROR(VLOOKUP($A206,'The List'!$B1:$AS665,21,FALSE)," ")</f>
        <v xml:space="preserve"> </v>
      </c>
      <c r="O206" s="83" t="str">
        <f>IFERROR(VLOOKUP($A206,'The List'!$B1:$AS665,22,FALSE)," ")</f>
        <v xml:space="preserve"> </v>
      </c>
      <c r="P206" s="83" t="str">
        <f>IFERROR(VLOOKUP($A206,'The List'!$B1:$AS665,23,FALSE)," ")</f>
        <v xml:space="preserve"> </v>
      </c>
      <c r="Q206" s="83" t="str">
        <f>IFERROR(VLOOKUP($A206,'The List'!$B1:$AS665,24,FALSE)," ")</f>
        <v xml:space="preserve"> </v>
      </c>
      <c r="R206" s="83" t="str">
        <f>IFERROR(VLOOKUP($A206,'The List'!$B1:$AS665,25,FALSE)," ")</f>
        <v xml:space="preserve"> </v>
      </c>
      <c r="S206" s="83" t="str">
        <f>IFERROR(VLOOKUP($A206,'The List'!$B1:$AS665,26,FALSE)," ")</f>
        <v xml:space="preserve"> </v>
      </c>
      <c r="T206" s="83" t="str">
        <f>IFERROR(VLOOKUP($A206,'The List'!$B1:$AS665,27,FALSE)," ")</f>
        <v xml:space="preserve"> </v>
      </c>
      <c r="U206" s="83" t="str">
        <f>IFERROR(VLOOKUP($A206,'The List'!$B1:$AS665,28,FALSE)," ")</f>
        <v xml:space="preserve"> </v>
      </c>
      <c r="V206" s="83" t="str">
        <f>IFERROR(VLOOKUP($A206,'The List'!$B1:$AS665,29,FALSE)," ")</f>
        <v xml:space="preserve"> </v>
      </c>
      <c r="W206" s="83" t="str">
        <f>IFERROR(VLOOKUP($A206,'The List'!$B1:$AS665,30,FALSE)," ")</f>
        <v xml:space="preserve"> </v>
      </c>
      <c r="X206" s="83" t="str">
        <f>IFERROR(VLOOKUP($A206,'The List'!$B1:$AS665,31,FALSE)," ")</f>
        <v xml:space="preserve"> </v>
      </c>
      <c r="Y206" s="83" t="str">
        <f>IFERROR(VLOOKUP($A206,'The List'!$B1:$AS665,32,FALSE)," ")</f>
        <v xml:space="preserve"> </v>
      </c>
      <c r="Z206" s="83" t="str">
        <f>IFERROR(VLOOKUP($A206,'The List'!$B1:$AS665,33,FALSE)," ")</f>
        <v xml:space="preserve"> </v>
      </c>
      <c r="AA206" s="86"/>
      <c r="AB206" s="91"/>
      <c r="AC206" s="91"/>
      <c r="AD206" s="91"/>
      <c r="AE206" s="91"/>
      <c r="AF206" s="91"/>
    </row>
    <row r="207" spans="1:32" ht="21.25" customHeight="1" x14ac:dyDescent="0.15">
      <c r="A207" s="23"/>
      <c r="B207" s="88" t="str">
        <f>IFERROR(VLOOKUP($A207,'The List'!$B1:$AS665,3,FALSE)," ")</f>
        <v xml:space="preserve"> </v>
      </c>
      <c r="C207" s="92" t="str">
        <f>IFERROR(VLOOKUP($A207,'The List'!$B1:$AS665,4,FALSE)," ")</f>
        <v xml:space="preserve"> </v>
      </c>
      <c r="D207" s="65" t="str">
        <f>IFERROR(VLOOKUP($A207,'The List'!$B1:$AS665,5,FALSE)," ")</f>
        <v xml:space="preserve"> </v>
      </c>
      <c r="E207" s="65" t="str">
        <f>IFERROR(VLOOKUP($A207,'The List'!$B1:$AS665,6,FALSE)," ")</f>
        <v xml:space="preserve"> </v>
      </c>
      <c r="F207" s="93" t="str">
        <f>IFERROR(VLOOKUP($A207,'The List'!$B1:$AS665,8,FALSE)," ")</f>
        <v xml:space="preserve"> </v>
      </c>
      <c r="G207" s="93" t="str">
        <f>IFERROR(VLOOKUP($A207,'The List'!$B1:$AS665,10,FALSE)," ")</f>
        <v xml:space="preserve"> </v>
      </c>
      <c r="H207" s="54"/>
      <c r="I207" s="83" t="str">
        <f>IFERROR(VLOOKUP($A207,'The List'!$B1:$AS665,16,FALSE)," ")</f>
        <v xml:space="preserve"> </v>
      </c>
      <c r="J207" s="83" t="str">
        <f>IFERROR(VLOOKUP($A207,'The List'!$B1:$AS665,17,FALSE)," ")</f>
        <v xml:space="preserve"> </v>
      </c>
      <c r="K207" s="83" t="str">
        <f>IFERROR(VLOOKUP($A207,'The List'!$B1:$AS665,18,FALSE)," ")</f>
        <v xml:space="preserve"> </v>
      </c>
      <c r="L207" s="83" t="str">
        <f>IFERROR(VLOOKUP($A207,'The List'!$B1:$AS665,19,FALSE)," ")</f>
        <v xml:space="preserve"> </v>
      </c>
      <c r="M207" s="83" t="str">
        <f>IFERROR(VLOOKUP($A207,'The List'!$B1:$AS665,20,FALSE)," ")</f>
        <v xml:space="preserve"> </v>
      </c>
      <c r="N207" s="83" t="str">
        <f>IFERROR(VLOOKUP($A207,'The List'!$B1:$AS665,21,FALSE)," ")</f>
        <v xml:space="preserve"> </v>
      </c>
      <c r="O207" s="83" t="str">
        <f>IFERROR(VLOOKUP($A207,'The List'!$B1:$AS665,22,FALSE)," ")</f>
        <v xml:space="preserve"> </v>
      </c>
      <c r="P207" s="83" t="str">
        <f>IFERROR(VLOOKUP($A207,'The List'!$B1:$AS665,23,FALSE)," ")</f>
        <v xml:space="preserve"> </v>
      </c>
      <c r="Q207" s="83" t="str">
        <f>IFERROR(VLOOKUP($A207,'The List'!$B1:$AS665,24,FALSE)," ")</f>
        <v xml:space="preserve"> </v>
      </c>
      <c r="R207" s="83" t="str">
        <f>IFERROR(VLOOKUP($A207,'The List'!$B1:$AS665,25,FALSE)," ")</f>
        <v xml:space="preserve"> </v>
      </c>
      <c r="S207" s="83" t="str">
        <f>IFERROR(VLOOKUP($A207,'The List'!$B1:$AS665,26,FALSE)," ")</f>
        <v xml:space="preserve"> </v>
      </c>
      <c r="T207" s="83" t="str">
        <f>IFERROR(VLOOKUP($A207,'The List'!$B1:$AS665,27,FALSE)," ")</f>
        <v xml:space="preserve"> </v>
      </c>
      <c r="U207" s="83" t="str">
        <f>IFERROR(VLOOKUP($A207,'The List'!$B1:$AS665,28,FALSE)," ")</f>
        <v xml:space="preserve"> </v>
      </c>
      <c r="V207" s="83" t="str">
        <f>IFERROR(VLOOKUP($A207,'The List'!$B1:$AS665,29,FALSE)," ")</f>
        <v xml:space="preserve"> </v>
      </c>
      <c r="W207" s="83" t="str">
        <f>IFERROR(VLOOKUP($A207,'The List'!$B1:$AS665,30,FALSE)," ")</f>
        <v xml:space="preserve"> </v>
      </c>
      <c r="X207" s="83" t="str">
        <f>IFERROR(VLOOKUP($A207,'The List'!$B1:$AS665,31,FALSE)," ")</f>
        <v xml:space="preserve"> </v>
      </c>
      <c r="Y207" s="83" t="str">
        <f>IFERROR(VLOOKUP($A207,'The List'!$B1:$AS665,32,FALSE)," ")</f>
        <v xml:space="preserve"> </v>
      </c>
      <c r="Z207" s="83" t="str">
        <f>IFERROR(VLOOKUP($A207,'The List'!$B1:$AS665,33,FALSE)," ")</f>
        <v xml:space="preserve"> </v>
      </c>
      <c r="AA207" s="86"/>
      <c r="AB207" s="91"/>
      <c r="AC207" s="91"/>
      <c r="AD207" s="91"/>
      <c r="AE207" s="91"/>
      <c r="AF207" s="91"/>
    </row>
    <row r="208" spans="1:32" ht="21.25" customHeight="1" x14ac:dyDescent="0.15">
      <c r="A208" s="23"/>
      <c r="B208" s="88" t="str">
        <f>IFERROR(VLOOKUP($A208,'The List'!$B1:$AS665,3,FALSE)," ")</f>
        <v xml:space="preserve"> </v>
      </c>
      <c r="C208" s="92" t="str">
        <f>IFERROR(VLOOKUP($A208,'The List'!$B1:$AS665,4,FALSE)," ")</f>
        <v xml:space="preserve"> </v>
      </c>
      <c r="D208" s="65" t="str">
        <f>IFERROR(VLOOKUP($A208,'The List'!$B1:$AS665,5,FALSE)," ")</f>
        <v xml:space="preserve"> </v>
      </c>
      <c r="E208" s="65" t="str">
        <f>IFERROR(VLOOKUP($A208,'The List'!$B1:$AS665,6,FALSE)," ")</f>
        <v xml:space="preserve"> </v>
      </c>
      <c r="F208" s="93" t="str">
        <f>IFERROR(VLOOKUP($A208,'The List'!$B1:$AS665,8,FALSE)," ")</f>
        <v xml:space="preserve"> </v>
      </c>
      <c r="G208" s="93" t="str">
        <f>IFERROR(VLOOKUP($A208,'The List'!$B1:$AS665,10,FALSE)," ")</f>
        <v xml:space="preserve"> </v>
      </c>
      <c r="H208" s="54"/>
      <c r="I208" s="83" t="str">
        <f>IFERROR(VLOOKUP($A208,'The List'!$B1:$AS665,16,FALSE)," ")</f>
        <v xml:space="preserve"> </v>
      </c>
      <c r="J208" s="83" t="str">
        <f>IFERROR(VLOOKUP($A208,'The List'!$B1:$AS665,17,FALSE)," ")</f>
        <v xml:space="preserve"> </v>
      </c>
      <c r="K208" s="83" t="str">
        <f>IFERROR(VLOOKUP($A208,'The List'!$B1:$AS665,18,FALSE)," ")</f>
        <v xml:space="preserve"> </v>
      </c>
      <c r="L208" s="83" t="str">
        <f>IFERROR(VLOOKUP($A208,'The List'!$B1:$AS665,19,FALSE)," ")</f>
        <v xml:space="preserve"> </v>
      </c>
      <c r="M208" s="83" t="str">
        <f>IFERROR(VLOOKUP($A208,'The List'!$B1:$AS665,20,FALSE)," ")</f>
        <v xml:space="preserve"> </v>
      </c>
      <c r="N208" s="83" t="str">
        <f>IFERROR(VLOOKUP($A208,'The List'!$B1:$AS665,21,FALSE)," ")</f>
        <v xml:space="preserve"> </v>
      </c>
      <c r="O208" s="83" t="str">
        <f>IFERROR(VLOOKUP($A208,'The List'!$B1:$AS665,22,FALSE)," ")</f>
        <v xml:space="preserve"> </v>
      </c>
      <c r="P208" s="83" t="str">
        <f>IFERROR(VLOOKUP($A208,'The List'!$B1:$AS665,23,FALSE)," ")</f>
        <v xml:space="preserve"> </v>
      </c>
      <c r="Q208" s="83" t="str">
        <f>IFERROR(VLOOKUP($A208,'The List'!$B1:$AS665,24,FALSE)," ")</f>
        <v xml:space="preserve"> </v>
      </c>
      <c r="R208" s="83" t="str">
        <f>IFERROR(VLOOKUP($A208,'The List'!$B1:$AS665,25,FALSE)," ")</f>
        <v xml:space="preserve"> </v>
      </c>
      <c r="S208" s="83" t="str">
        <f>IFERROR(VLOOKUP($A208,'The List'!$B1:$AS665,26,FALSE)," ")</f>
        <v xml:space="preserve"> </v>
      </c>
      <c r="T208" s="83" t="str">
        <f>IFERROR(VLOOKUP($A208,'The List'!$B1:$AS665,27,FALSE)," ")</f>
        <v xml:space="preserve"> </v>
      </c>
      <c r="U208" s="83" t="str">
        <f>IFERROR(VLOOKUP($A208,'The List'!$B1:$AS665,28,FALSE)," ")</f>
        <v xml:space="preserve"> </v>
      </c>
      <c r="V208" s="83" t="str">
        <f>IFERROR(VLOOKUP($A208,'The List'!$B1:$AS665,29,FALSE)," ")</f>
        <v xml:space="preserve"> </v>
      </c>
      <c r="W208" s="83" t="str">
        <f>IFERROR(VLOOKUP($A208,'The List'!$B1:$AS665,30,FALSE)," ")</f>
        <v xml:space="preserve"> </v>
      </c>
      <c r="X208" s="83" t="str">
        <f>IFERROR(VLOOKUP($A208,'The List'!$B1:$AS665,31,FALSE)," ")</f>
        <v xml:space="preserve"> </v>
      </c>
      <c r="Y208" s="83" t="str">
        <f>IFERROR(VLOOKUP($A208,'The List'!$B1:$AS665,32,FALSE)," ")</f>
        <v xml:space="preserve"> </v>
      </c>
      <c r="Z208" s="83" t="str">
        <f>IFERROR(VLOOKUP($A208,'The List'!$B1:$AS665,33,FALSE)," ")</f>
        <v xml:space="preserve"> </v>
      </c>
      <c r="AA208" s="86"/>
      <c r="AB208" s="91"/>
      <c r="AC208" s="91"/>
      <c r="AD208" s="91"/>
      <c r="AE208" s="91"/>
      <c r="AF208" s="91"/>
    </row>
    <row r="209" spans="1:32" ht="21.25" customHeight="1" x14ac:dyDescent="0.15">
      <c r="A209" s="23"/>
      <c r="B209" s="94" t="str">
        <f>IFERROR(VLOOKUP($A209,'The List'!$B1:$AS665,3,FALSE)," ")</f>
        <v xml:space="preserve"> </v>
      </c>
      <c r="C209" s="96" t="str">
        <f>IFERROR(VLOOKUP($A209,'The List'!$B1:$AS665,4,FALSE)," ")</f>
        <v xml:space="preserve"> </v>
      </c>
      <c r="D209" s="65" t="str">
        <f>IFERROR(VLOOKUP($A209,'The List'!$B1:$AS665,5,FALSE)," ")</f>
        <v xml:space="preserve"> </v>
      </c>
      <c r="E209" s="65" t="str">
        <f>IFERROR(VLOOKUP($A209,'The List'!$B1:$AS665,6,FALSE)," ")</f>
        <v xml:space="preserve"> </v>
      </c>
      <c r="F209" s="93" t="str">
        <f>IFERROR(VLOOKUP($A209,'The List'!$B1:$AS665,8,FALSE)," ")</f>
        <v xml:space="preserve"> </v>
      </c>
      <c r="G209" s="93" t="str">
        <f>IFERROR(VLOOKUP($A209,'The List'!$B1:$AS665,10,FALSE)," ")</f>
        <v xml:space="preserve"> </v>
      </c>
      <c r="H209" s="54"/>
      <c r="I209" s="83" t="str">
        <f>IFERROR(VLOOKUP($A209,'The List'!$B1:$AS665,16,FALSE)," ")</f>
        <v xml:space="preserve"> </v>
      </c>
      <c r="J209" s="83" t="str">
        <f>IFERROR(VLOOKUP($A209,'The List'!$B1:$AS665,17,FALSE)," ")</f>
        <v xml:space="preserve"> </v>
      </c>
      <c r="K209" s="83" t="str">
        <f>IFERROR(VLOOKUP($A209,'The List'!$B1:$AS665,18,FALSE)," ")</f>
        <v xml:space="preserve"> </v>
      </c>
      <c r="L209" s="83" t="str">
        <f>IFERROR(VLOOKUP($A209,'The List'!$B1:$AS665,19,FALSE)," ")</f>
        <v xml:space="preserve"> </v>
      </c>
      <c r="M209" s="83" t="str">
        <f>IFERROR(VLOOKUP($A209,'The List'!$B1:$AS665,20,FALSE)," ")</f>
        <v xml:space="preserve"> </v>
      </c>
      <c r="N209" s="83" t="str">
        <f>IFERROR(VLOOKUP($A209,'The List'!$B1:$AS665,21,FALSE)," ")</f>
        <v xml:space="preserve"> </v>
      </c>
      <c r="O209" s="83" t="str">
        <f>IFERROR(VLOOKUP($A209,'The List'!$B1:$AS665,22,FALSE)," ")</f>
        <v xml:space="preserve"> </v>
      </c>
      <c r="P209" s="83" t="str">
        <f>IFERROR(VLOOKUP($A209,'The List'!$B1:$AS665,23,FALSE)," ")</f>
        <v xml:space="preserve"> </v>
      </c>
      <c r="Q209" s="83" t="str">
        <f>IFERROR(VLOOKUP($A209,'The List'!$B1:$AS665,24,FALSE)," ")</f>
        <v xml:space="preserve"> </v>
      </c>
      <c r="R209" s="83" t="str">
        <f>IFERROR(VLOOKUP($A209,'The List'!$B1:$AS665,25,FALSE)," ")</f>
        <v xml:space="preserve"> </v>
      </c>
      <c r="S209" s="83" t="str">
        <f>IFERROR(VLOOKUP($A209,'The List'!$B1:$AS665,26,FALSE)," ")</f>
        <v xml:space="preserve"> </v>
      </c>
      <c r="T209" s="83" t="str">
        <f>IFERROR(VLOOKUP($A209,'The List'!$B1:$AS665,27,FALSE)," ")</f>
        <v xml:space="preserve"> </v>
      </c>
      <c r="U209" s="83" t="str">
        <f>IFERROR(VLOOKUP($A209,'The List'!$B1:$AS665,28,FALSE)," ")</f>
        <v xml:space="preserve"> </v>
      </c>
      <c r="V209" s="83" t="str">
        <f>IFERROR(VLOOKUP($A209,'The List'!$B1:$AS665,29,FALSE)," ")</f>
        <v xml:space="preserve"> </v>
      </c>
      <c r="W209" s="83" t="str">
        <f>IFERROR(VLOOKUP($A209,'The List'!$B1:$AS665,30,FALSE)," ")</f>
        <v xml:space="preserve"> </v>
      </c>
      <c r="X209" s="83" t="str">
        <f>IFERROR(VLOOKUP($A209,'The List'!$B1:$AS665,31,FALSE)," ")</f>
        <v xml:space="preserve"> </v>
      </c>
      <c r="Y209" s="83" t="str">
        <f>IFERROR(VLOOKUP($A209,'The List'!$B1:$AS665,32,FALSE)," ")</f>
        <v xml:space="preserve"> </v>
      </c>
      <c r="Z209" s="83" t="str">
        <f>IFERROR(VLOOKUP($A209,'The List'!$B1:$AS665,33,FALSE)," ")</f>
        <v xml:space="preserve"> </v>
      </c>
      <c r="AA209" s="86"/>
      <c r="AB209" s="91"/>
      <c r="AC209" s="91"/>
      <c r="AD209" s="91"/>
      <c r="AE209" s="91"/>
      <c r="AF209" s="91"/>
    </row>
    <row r="210" spans="1:32" ht="21.25" customHeight="1" x14ac:dyDescent="0.15">
      <c r="A210" s="23"/>
      <c r="B210" s="94" t="str">
        <f>IFERROR(VLOOKUP($A210,'The List'!$B1:$AS665,3,FALSE)," ")</f>
        <v xml:space="preserve"> </v>
      </c>
      <c r="C210" s="96" t="str">
        <f>IFERROR(VLOOKUP($A210,'The List'!$B1:$AS665,4,FALSE)," ")</f>
        <v xml:space="preserve"> </v>
      </c>
      <c r="D210" s="65" t="str">
        <f>IFERROR(VLOOKUP($A210,'The List'!$B1:$AS665,5,FALSE)," ")</f>
        <v xml:space="preserve"> </v>
      </c>
      <c r="E210" s="65" t="str">
        <f>IFERROR(VLOOKUP($A210,'The List'!$B1:$AS665,6,FALSE)," ")</f>
        <v xml:space="preserve"> </v>
      </c>
      <c r="F210" s="93" t="str">
        <f>IFERROR(VLOOKUP($A210,'The List'!$B1:$AS665,8,FALSE)," ")</f>
        <v xml:space="preserve"> </v>
      </c>
      <c r="G210" s="93" t="str">
        <f>IFERROR(VLOOKUP($A210,'The List'!$B1:$AS665,10,FALSE)," ")</f>
        <v xml:space="preserve"> </v>
      </c>
      <c r="H210" s="54"/>
      <c r="I210" s="83" t="str">
        <f>IFERROR(VLOOKUP($A210,'The List'!$B1:$AS665,16,FALSE)," ")</f>
        <v xml:space="preserve"> </v>
      </c>
      <c r="J210" s="83" t="str">
        <f>IFERROR(VLOOKUP($A210,'The List'!$B1:$AS665,17,FALSE)," ")</f>
        <v xml:space="preserve"> </v>
      </c>
      <c r="K210" s="83" t="str">
        <f>IFERROR(VLOOKUP($A210,'The List'!$B1:$AS665,18,FALSE)," ")</f>
        <v xml:space="preserve"> </v>
      </c>
      <c r="L210" s="83" t="str">
        <f>IFERROR(VLOOKUP($A210,'The List'!$B1:$AS665,19,FALSE)," ")</f>
        <v xml:space="preserve"> </v>
      </c>
      <c r="M210" s="83" t="str">
        <f>IFERROR(VLOOKUP($A210,'The List'!$B1:$AS665,20,FALSE)," ")</f>
        <v xml:space="preserve"> </v>
      </c>
      <c r="N210" s="83" t="str">
        <f>IFERROR(VLOOKUP($A210,'The List'!$B1:$AS665,21,FALSE)," ")</f>
        <v xml:space="preserve"> </v>
      </c>
      <c r="O210" s="83" t="str">
        <f>IFERROR(VLOOKUP($A210,'The List'!$B1:$AS665,22,FALSE)," ")</f>
        <v xml:space="preserve"> </v>
      </c>
      <c r="P210" s="83" t="str">
        <f>IFERROR(VLOOKUP($A210,'The List'!$B1:$AS665,23,FALSE)," ")</f>
        <v xml:space="preserve"> </v>
      </c>
      <c r="Q210" s="83" t="str">
        <f>IFERROR(VLOOKUP($A210,'The List'!$B1:$AS665,24,FALSE)," ")</f>
        <v xml:space="preserve"> </v>
      </c>
      <c r="R210" s="83" t="str">
        <f>IFERROR(VLOOKUP($A210,'The List'!$B1:$AS665,25,FALSE)," ")</f>
        <v xml:space="preserve"> </v>
      </c>
      <c r="S210" s="83" t="str">
        <f>IFERROR(VLOOKUP($A210,'The List'!$B1:$AS665,26,FALSE)," ")</f>
        <v xml:space="preserve"> </v>
      </c>
      <c r="T210" s="83" t="str">
        <f>IFERROR(VLOOKUP($A210,'The List'!$B1:$AS665,27,FALSE)," ")</f>
        <v xml:space="preserve"> </v>
      </c>
      <c r="U210" s="83" t="str">
        <f>IFERROR(VLOOKUP($A210,'The List'!$B1:$AS665,28,FALSE)," ")</f>
        <v xml:space="preserve"> </v>
      </c>
      <c r="V210" s="83" t="str">
        <f>IFERROR(VLOOKUP($A210,'The List'!$B1:$AS665,29,FALSE)," ")</f>
        <v xml:space="preserve"> </v>
      </c>
      <c r="W210" s="83" t="str">
        <f>IFERROR(VLOOKUP($A210,'The List'!$B1:$AS665,30,FALSE)," ")</f>
        <v xml:space="preserve"> </v>
      </c>
      <c r="X210" s="83" t="str">
        <f>IFERROR(VLOOKUP($A210,'The List'!$B1:$AS665,31,FALSE)," ")</f>
        <v xml:space="preserve"> </v>
      </c>
      <c r="Y210" s="83" t="str">
        <f>IFERROR(VLOOKUP($A210,'The List'!$B1:$AS665,32,FALSE)," ")</f>
        <v xml:space="preserve"> </v>
      </c>
      <c r="Z210" s="83" t="str">
        <f>IFERROR(VLOOKUP($A210,'The List'!$B1:$AS665,33,FALSE)," ")</f>
        <v xml:space="preserve"> </v>
      </c>
      <c r="AA210" s="86"/>
      <c r="AB210" s="91"/>
      <c r="AC210" s="91"/>
      <c r="AD210" s="91"/>
      <c r="AE210" s="91"/>
      <c r="AF210" s="91"/>
    </row>
    <row r="211" spans="1:32" ht="21.25" customHeight="1" x14ac:dyDescent="0.15">
      <c r="A211" s="23"/>
      <c r="B211" s="94" t="str">
        <f>IFERROR(VLOOKUP($A211,'The List'!$B1:$AS665,3,FALSE)," ")</f>
        <v xml:space="preserve"> </v>
      </c>
      <c r="C211" s="96" t="str">
        <f>IFERROR(VLOOKUP($A211,'The List'!$B1:$AS665,4,FALSE)," ")</f>
        <v xml:space="preserve"> </v>
      </c>
      <c r="D211" s="65" t="str">
        <f>IFERROR(VLOOKUP($A211,'The List'!$B1:$AS665,5,FALSE)," ")</f>
        <v xml:space="preserve"> </v>
      </c>
      <c r="E211" s="65" t="str">
        <f>IFERROR(VLOOKUP($A211,'The List'!$B1:$AS665,6,FALSE)," ")</f>
        <v xml:space="preserve"> </v>
      </c>
      <c r="F211" s="93" t="str">
        <f>IFERROR(VLOOKUP($A211,'The List'!$B1:$AS665,8,FALSE)," ")</f>
        <v xml:space="preserve"> </v>
      </c>
      <c r="G211" s="93" t="str">
        <f>IFERROR(VLOOKUP($A211,'The List'!$B1:$AS665,10,FALSE)," ")</f>
        <v xml:space="preserve"> </v>
      </c>
      <c r="H211" s="54"/>
      <c r="I211" s="83" t="str">
        <f>IFERROR(VLOOKUP($A211,'The List'!$B1:$AS665,16,FALSE)," ")</f>
        <v xml:space="preserve"> </v>
      </c>
      <c r="J211" s="83" t="str">
        <f>IFERROR(VLOOKUP($A211,'The List'!$B1:$AS665,17,FALSE)," ")</f>
        <v xml:space="preserve"> </v>
      </c>
      <c r="K211" s="83" t="str">
        <f>IFERROR(VLOOKUP($A211,'The List'!$B1:$AS665,18,FALSE)," ")</f>
        <v xml:space="preserve"> </v>
      </c>
      <c r="L211" s="83" t="str">
        <f>IFERROR(VLOOKUP($A211,'The List'!$B1:$AS665,19,FALSE)," ")</f>
        <v xml:space="preserve"> </v>
      </c>
      <c r="M211" s="83" t="str">
        <f>IFERROR(VLOOKUP($A211,'The List'!$B1:$AS665,20,FALSE)," ")</f>
        <v xml:space="preserve"> </v>
      </c>
      <c r="N211" s="83" t="str">
        <f>IFERROR(VLOOKUP($A211,'The List'!$B1:$AS665,21,FALSE)," ")</f>
        <v xml:space="preserve"> </v>
      </c>
      <c r="O211" s="83" t="str">
        <f>IFERROR(VLOOKUP($A211,'The List'!$B1:$AS665,22,FALSE)," ")</f>
        <v xml:space="preserve"> </v>
      </c>
      <c r="P211" s="83" t="str">
        <f>IFERROR(VLOOKUP($A211,'The List'!$B1:$AS665,23,FALSE)," ")</f>
        <v xml:space="preserve"> </v>
      </c>
      <c r="Q211" s="83" t="str">
        <f>IFERROR(VLOOKUP($A211,'The List'!$B1:$AS665,24,FALSE)," ")</f>
        <v xml:space="preserve"> </v>
      </c>
      <c r="R211" s="83" t="str">
        <f>IFERROR(VLOOKUP($A211,'The List'!$B1:$AS665,25,FALSE)," ")</f>
        <v xml:space="preserve"> </v>
      </c>
      <c r="S211" s="83" t="str">
        <f>IFERROR(VLOOKUP($A211,'The List'!$B1:$AS665,26,FALSE)," ")</f>
        <v xml:space="preserve"> </v>
      </c>
      <c r="T211" s="83" t="str">
        <f>IFERROR(VLOOKUP($A211,'The List'!$B1:$AS665,27,FALSE)," ")</f>
        <v xml:space="preserve"> </v>
      </c>
      <c r="U211" s="83" t="str">
        <f>IFERROR(VLOOKUP($A211,'The List'!$B1:$AS665,28,FALSE)," ")</f>
        <v xml:space="preserve"> </v>
      </c>
      <c r="V211" s="83" t="str">
        <f>IFERROR(VLOOKUP($A211,'The List'!$B1:$AS665,29,FALSE)," ")</f>
        <v xml:space="preserve"> </v>
      </c>
      <c r="W211" s="83" t="str">
        <f>IFERROR(VLOOKUP($A211,'The List'!$B1:$AS665,30,FALSE)," ")</f>
        <v xml:space="preserve"> </v>
      </c>
      <c r="X211" s="83" t="str">
        <f>IFERROR(VLOOKUP($A211,'The List'!$B1:$AS665,31,FALSE)," ")</f>
        <v xml:space="preserve"> </v>
      </c>
      <c r="Y211" s="83" t="str">
        <f>IFERROR(VLOOKUP($A211,'The List'!$B1:$AS665,32,FALSE)," ")</f>
        <v xml:space="preserve"> </v>
      </c>
      <c r="Z211" s="83" t="str">
        <f>IFERROR(VLOOKUP($A211,'The List'!$B1:$AS665,33,FALSE)," ")</f>
        <v xml:space="preserve"> </v>
      </c>
      <c r="AA211" s="86"/>
      <c r="AB211" s="91"/>
      <c r="AC211" s="91"/>
      <c r="AD211" s="91"/>
      <c r="AE211" s="91"/>
      <c r="AF211" s="91"/>
    </row>
    <row r="212" spans="1:32" ht="21.25" customHeight="1" x14ac:dyDescent="0.15">
      <c r="A212" s="23"/>
      <c r="B212" s="94" t="str">
        <f>IFERROR(VLOOKUP($A212,'The List'!$B1:$AS665,3,FALSE)," ")</f>
        <v xml:space="preserve"> </v>
      </c>
      <c r="C212" s="96" t="str">
        <f>IFERROR(VLOOKUP($A212,'The List'!$B1:$AS665,4,FALSE)," ")</f>
        <v xml:space="preserve"> </v>
      </c>
      <c r="D212" s="65" t="str">
        <f>IFERROR(VLOOKUP($A212,'The List'!$B1:$AS665,5,FALSE)," ")</f>
        <v xml:space="preserve"> </v>
      </c>
      <c r="E212" s="65" t="str">
        <f>IFERROR(VLOOKUP($A212,'The List'!$B1:$AS665,6,FALSE)," ")</f>
        <v xml:space="preserve"> </v>
      </c>
      <c r="F212" s="93" t="str">
        <f>IFERROR(VLOOKUP($A212,'The List'!$B1:$AS665,8,FALSE)," ")</f>
        <v xml:space="preserve"> </v>
      </c>
      <c r="G212" s="93" t="str">
        <f>IFERROR(VLOOKUP($A212,'The List'!$B1:$AS665,10,FALSE)," ")</f>
        <v xml:space="preserve"> </v>
      </c>
      <c r="H212" s="54"/>
      <c r="I212" s="83" t="str">
        <f>IFERROR(VLOOKUP($A212,'The List'!$B1:$AS665,16,FALSE)," ")</f>
        <v xml:space="preserve"> </v>
      </c>
      <c r="J212" s="83" t="str">
        <f>IFERROR(VLOOKUP($A212,'The List'!$B1:$AS665,17,FALSE)," ")</f>
        <v xml:space="preserve"> </v>
      </c>
      <c r="K212" s="83" t="str">
        <f>IFERROR(VLOOKUP($A212,'The List'!$B1:$AS665,18,FALSE)," ")</f>
        <v xml:space="preserve"> </v>
      </c>
      <c r="L212" s="83" t="str">
        <f>IFERROR(VLOOKUP($A212,'The List'!$B1:$AS665,19,FALSE)," ")</f>
        <v xml:space="preserve"> </v>
      </c>
      <c r="M212" s="83" t="str">
        <f>IFERROR(VLOOKUP($A212,'The List'!$B1:$AS665,20,FALSE)," ")</f>
        <v xml:space="preserve"> </v>
      </c>
      <c r="N212" s="83" t="str">
        <f>IFERROR(VLOOKUP($A212,'The List'!$B1:$AS665,21,FALSE)," ")</f>
        <v xml:space="preserve"> </v>
      </c>
      <c r="O212" s="83" t="str">
        <f>IFERROR(VLOOKUP($A212,'The List'!$B1:$AS665,22,FALSE)," ")</f>
        <v xml:space="preserve"> </v>
      </c>
      <c r="P212" s="83" t="str">
        <f>IFERROR(VLOOKUP($A212,'The List'!$B1:$AS665,23,FALSE)," ")</f>
        <v xml:space="preserve"> </v>
      </c>
      <c r="Q212" s="83" t="str">
        <f>IFERROR(VLOOKUP($A212,'The List'!$B1:$AS665,24,FALSE)," ")</f>
        <v xml:space="preserve"> </v>
      </c>
      <c r="R212" s="83" t="str">
        <f>IFERROR(VLOOKUP($A212,'The List'!$B1:$AS665,25,FALSE)," ")</f>
        <v xml:space="preserve"> </v>
      </c>
      <c r="S212" s="83" t="str">
        <f>IFERROR(VLOOKUP($A212,'The List'!$B1:$AS665,26,FALSE)," ")</f>
        <v xml:space="preserve"> </v>
      </c>
      <c r="T212" s="83" t="str">
        <f>IFERROR(VLOOKUP($A212,'The List'!$B1:$AS665,27,FALSE)," ")</f>
        <v xml:space="preserve"> </v>
      </c>
      <c r="U212" s="83" t="str">
        <f>IFERROR(VLOOKUP($A212,'The List'!$B1:$AS665,28,FALSE)," ")</f>
        <v xml:space="preserve"> </v>
      </c>
      <c r="V212" s="83" t="str">
        <f>IFERROR(VLOOKUP($A212,'The List'!$B1:$AS665,29,FALSE)," ")</f>
        <v xml:space="preserve"> </v>
      </c>
      <c r="W212" s="83" t="str">
        <f>IFERROR(VLOOKUP($A212,'The List'!$B1:$AS665,30,FALSE)," ")</f>
        <v xml:space="preserve"> </v>
      </c>
      <c r="X212" s="83" t="str">
        <f>IFERROR(VLOOKUP($A212,'The List'!$B1:$AS665,31,FALSE)," ")</f>
        <v xml:space="preserve"> </v>
      </c>
      <c r="Y212" s="83" t="str">
        <f>IFERROR(VLOOKUP($A212,'The List'!$B1:$AS665,32,FALSE)," ")</f>
        <v xml:space="preserve"> </v>
      </c>
      <c r="Z212" s="83" t="str">
        <f>IFERROR(VLOOKUP($A212,'The List'!$B1:$AS665,33,FALSE)," ")</f>
        <v xml:space="preserve"> </v>
      </c>
      <c r="AA212" s="86"/>
      <c r="AB212" s="91"/>
      <c r="AC212" s="91"/>
      <c r="AD212" s="91"/>
      <c r="AE212" s="91"/>
      <c r="AF212" s="91"/>
    </row>
    <row r="213" spans="1:32" ht="21.25" customHeight="1" x14ac:dyDescent="0.15">
      <c r="A213" s="23"/>
      <c r="B213" s="97" t="str">
        <f>IFERROR(VLOOKUP($A213,'The List'!$B1:$AS665,3,FALSE)," ")</f>
        <v xml:space="preserve"> </v>
      </c>
      <c r="C213" s="99" t="str">
        <f>IFERROR(VLOOKUP($A213,'The List'!$B1:$AS665,4,FALSE)," ")</f>
        <v xml:space="preserve"> </v>
      </c>
      <c r="D213" s="65" t="str">
        <f>IFERROR(VLOOKUP($A213,'The List'!$B1:$AS665,5,FALSE)," ")</f>
        <v xml:space="preserve"> </v>
      </c>
      <c r="E213" s="65" t="str">
        <f>IFERROR(VLOOKUP($A213,'The List'!$B1:$AS665,6,FALSE)," ")</f>
        <v xml:space="preserve"> </v>
      </c>
      <c r="F213" s="93" t="str">
        <f>IFERROR(VLOOKUP($A213,'The List'!$B1:$AS665,8,FALSE)," ")</f>
        <v xml:space="preserve"> </v>
      </c>
      <c r="G213" s="93" t="str">
        <f>IFERROR(VLOOKUP($A213,'The List'!$B1:$AS665,10,FALSE)," ")</f>
        <v xml:space="preserve"> </v>
      </c>
      <c r="H213" s="54"/>
      <c r="I213" s="83" t="str">
        <f>IFERROR(VLOOKUP($A213,'The List'!$B1:$AS665,16,FALSE)," ")</f>
        <v xml:space="preserve"> </v>
      </c>
      <c r="J213" s="83" t="str">
        <f>IFERROR(VLOOKUP($A213,'The List'!$B1:$AS665,17,FALSE)," ")</f>
        <v xml:space="preserve"> </v>
      </c>
      <c r="K213" s="83" t="str">
        <f>IFERROR(VLOOKUP($A213,'The List'!$B1:$AS665,18,FALSE)," ")</f>
        <v xml:space="preserve"> </v>
      </c>
      <c r="L213" s="83" t="str">
        <f>IFERROR(VLOOKUP($A213,'The List'!$B1:$AS665,19,FALSE)," ")</f>
        <v xml:space="preserve"> </v>
      </c>
      <c r="M213" s="83" t="str">
        <f>IFERROR(VLOOKUP($A213,'The List'!$B1:$AS665,20,FALSE)," ")</f>
        <v xml:space="preserve"> </v>
      </c>
      <c r="N213" s="83" t="str">
        <f>IFERROR(VLOOKUP($A213,'The List'!$B1:$AS665,21,FALSE)," ")</f>
        <v xml:space="preserve"> </v>
      </c>
      <c r="O213" s="83" t="str">
        <f>IFERROR(VLOOKUP($A213,'The List'!$B1:$AS665,22,FALSE)," ")</f>
        <v xml:space="preserve"> </v>
      </c>
      <c r="P213" s="83" t="str">
        <f>IFERROR(VLOOKUP($A213,'The List'!$B1:$AS665,23,FALSE)," ")</f>
        <v xml:space="preserve"> </v>
      </c>
      <c r="Q213" s="83" t="str">
        <f>IFERROR(VLOOKUP($A213,'The List'!$B1:$AS665,24,FALSE)," ")</f>
        <v xml:space="preserve"> </v>
      </c>
      <c r="R213" s="83" t="str">
        <f>IFERROR(VLOOKUP($A213,'The List'!$B1:$AS665,25,FALSE)," ")</f>
        <v xml:space="preserve"> </v>
      </c>
      <c r="S213" s="83" t="str">
        <f>IFERROR(VLOOKUP($A213,'The List'!$B1:$AS665,26,FALSE)," ")</f>
        <v xml:space="preserve"> </v>
      </c>
      <c r="T213" s="83" t="str">
        <f>IFERROR(VLOOKUP($A213,'The List'!$B1:$AS665,27,FALSE)," ")</f>
        <v xml:space="preserve"> </v>
      </c>
      <c r="U213" s="83" t="str">
        <f>IFERROR(VLOOKUP($A213,'The List'!$B1:$AS665,28,FALSE)," ")</f>
        <v xml:space="preserve"> </v>
      </c>
      <c r="V213" s="83" t="str">
        <f>IFERROR(VLOOKUP($A213,'The List'!$B1:$AS665,29,FALSE)," ")</f>
        <v xml:space="preserve"> </v>
      </c>
      <c r="W213" s="83" t="str">
        <f>IFERROR(VLOOKUP($A213,'The List'!$B1:$AS665,30,FALSE)," ")</f>
        <v xml:space="preserve"> </v>
      </c>
      <c r="X213" s="83" t="str">
        <f>IFERROR(VLOOKUP($A213,'The List'!$B1:$AS665,31,FALSE)," ")</f>
        <v xml:space="preserve"> </v>
      </c>
      <c r="Y213" s="83" t="str">
        <f>IFERROR(VLOOKUP($A213,'The List'!$B1:$AS665,32,FALSE)," ")</f>
        <v xml:space="preserve"> </v>
      </c>
      <c r="Z213" s="83" t="str">
        <f>IFERROR(VLOOKUP($A213,'The List'!$B1:$AS665,33,FALSE)," ")</f>
        <v xml:space="preserve"> </v>
      </c>
      <c r="AA213" s="86"/>
      <c r="AB213" s="91"/>
      <c r="AC213" s="91"/>
      <c r="AD213" s="91"/>
      <c r="AE213" s="91"/>
      <c r="AF213" s="91"/>
    </row>
    <row r="214" spans="1:32" ht="21.25" customHeight="1" x14ac:dyDescent="0.15">
      <c r="A214" s="23"/>
      <c r="B214" s="97" t="str">
        <f>IFERROR(VLOOKUP($A214,'The List'!$B1:$AS665,3,FALSE)," ")</f>
        <v xml:space="preserve"> </v>
      </c>
      <c r="C214" s="99" t="str">
        <f>IFERROR(VLOOKUP($A214,'The List'!$B1:$AS665,4,FALSE)," ")</f>
        <v xml:space="preserve"> </v>
      </c>
      <c r="D214" s="65" t="str">
        <f>IFERROR(VLOOKUP($A214,'The List'!$B1:$AS665,5,FALSE)," ")</f>
        <v xml:space="preserve"> </v>
      </c>
      <c r="E214" s="65" t="str">
        <f>IFERROR(VLOOKUP($A214,'The List'!$B1:$AS665,6,FALSE)," ")</f>
        <v xml:space="preserve"> </v>
      </c>
      <c r="F214" s="93" t="str">
        <f>IFERROR(VLOOKUP($A214,'The List'!$B1:$AS665,8,FALSE)," ")</f>
        <v xml:space="preserve"> </v>
      </c>
      <c r="G214" s="93" t="str">
        <f>IFERROR(VLOOKUP($A214,'The List'!$B1:$AS665,10,FALSE)," ")</f>
        <v xml:space="preserve"> </v>
      </c>
      <c r="H214" s="54"/>
      <c r="I214" s="83" t="str">
        <f>IFERROR(VLOOKUP($A214,'The List'!$B1:$AS665,16,FALSE)," ")</f>
        <v xml:space="preserve"> </v>
      </c>
      <c r="J214" s="83" t="str">
        <f>IFERROR(VLOOKUP($A214,'The List'!$B1:$AS665,17,FALSE)," ")</f>
        <v xml:space="preserve"> </v>
      </c>
      <c r="K214" s="83" t="str">
        <f>IFERROR(VLOOKUP($A214,'The List'!$B1:$AS665,18,FALSE)," ")</f>
        <v xml:space="preserve"> </v>
      </c>
      <c r="L214" s="83" t="str">
        <f>IFERROR(VLOOKUP($A214,'The List'!$B1:$AS665,19,FALSE)," ")</f>
        <v xml:space="preserve"> </v>
      </c>
      <c r="M214" s="83" t="str">
        <f>IFERROR(VLOOKUP($A214,'The List'!$B1:$AS665,20,FALSE)," ")</f>
        <v xml:space="preserve"> </v>
      </c>
      <c r="N214" s="83" t="str">
        <f>IFERROR(VLOOKUP($A214,'The List'!$B1:$AS665,21,FALSE)," ")</f>
        <v xml:space="preserve"> </v>
      </c>
      <c r="O214" s="83" t="str">
        <f>IFERROR(VLOOKUP($A214,'The List'!$B1:$AS665,22,FALSE)," ")</f>
        <v xml:space="preserve"> </v>
      </c>
      <c r="P214" s="83" t="str">
        <f>IFERROR(VLOOKUP($A214,'The List'!$B1:$AS665,23,FALSE)," ")</f>
        <v xml:space="preserve"> </v>
      </c>
      <c r="Q214" s="83" t="str">
        <f>IFERROR(VLOOKUP($A214,'The List'!$B1:$AS665,24,FALSE)," ")</f>
        <v xml:space="preserve"> </v>
      </c>
      <c r="R214" s="83" t="str">
        <f>IFERROR(VLOOKUP($A214,'The List'!$B1:$AS665,25,FALSE)," ")</f>
        <v xml:space="preserve"> </v>
      </c>
      <c r="S214" s="83" t="str">
        <f>IFERROR(VLOOKUP($A214,'The List'!$B1:$AS665,26,FALSE)," ")</f>
        <v xml:space="preserve"> </v>
      </c>
      <c r="T214" s="83" t="str">
        <f>IFERROR(VLOOKUP($A214,'The List'!$B1:$AS665,27,FALSE)," ")</f>
        <v xml:space="preserve"> </v>
      </c>
      <c r="U214" s="83" t="str">
        <f>IFERROR(VLOOKUP($A214,'The List'!$B1:$AS665,28,FALSE)," ")</f>
        <v xml:space="preserve"> </v>
      </c>
      <c r="V214" s="83" t="str">
        <f>IFERROR(VLOOKUP($A214,'The List'!$B1:$AS665,29,FALSE)," ")</f>
        <v xml:space="preserve"> </v>
      </c>
      <c r="W214" s="83" t="str">
        <f>IFERROR(VLOOKUP($A214,'The List'!$B1:$AS665,30,FALSE)," ")</f>
        <v xml:space="preserve"> </v>
      </c>
      <c r="X214" s="83" t="str">
        <f>IFERROR(VLOOKUP($A214,'The List'!$B1:$AS665,31,FALSE)," ")</f>
        <v xml:space="preserve"> </v>
      </c>
      <c r="Y214" s="83" t="str">
        <f>IFERROR(VLOOKUP($A214,'The List'!$B1:$AS665,32,FALSE)," ")</f>
        <v xml:space="preserve"> </v>
      </c>
      <c r="Z214" s="83" t="str">
        <f>IFERROR(VLOOKUP($A214,'The List'!$B1:$AS665,33,FALSE)," ")</f>
        <v xml:space="preserve"> </v>
      </c>
      <c r="AA214" s="86"/>
      <c r="AB214" s="91"/>
      <c r="AC214" s="91"/>
      <c r="AD214" s="91"/>
      <c r="AE214" s="91"/>
      <c r="AF214" s="91"/>
    </row>
    <row r="215" spans="1:32" ht="21.25" customHeight="1" x14ac:dyDescent="0.15">
      <c r="A215" s="23"/>
      <c r="B215" s="97" t="str">
        <f>IFERROR(VLOOKUP($A215,'The List'!$B1:$AS665,3,FALSE)," ")</f>
        <v xml:space="preserve"> </v>
      </c>
      <c r="C215" s="99" t="str">
        <f>IFERROR(VLOOKUP($A215,'The List'!$B1:$AS665,4,FALSE)," ")</f>
        <v xml:space="preserve"> </v>
      </c>
      <c r="D215" s="65" t="str">
        <f>IFERROR(VLOOKUP($A215,'The List'!$B1:$AS665,5,FALSE)," ")</f>
        <v xml:space="preserve"> </v>
      </c>
      <c r="E215" s="65" t="str">
        <f>IFERROR(VLOOKUP($A215,'The List'!$B1:$AS665,6,FALSE)," ")</f>
        <v xml:space="preserve"> </v>
      </c>
      <c r="F215" s="93" t="str">
        <f>IFERROR(VLOOKUP($A215,'The List'!$B1:$AS665,8,FALSE)," ")</f>
        <v xml:space="preserve"> </v>
      </c>
      <c r="G215" s="93" t="str">
        <f>IFERROR(VLOOKUP($A215,'The List'!$B1:$AS665,10,FALSE)," ")</f>
        <v xml:space="preserve"> </v>
      </c>
      <c r="H215" s="54"/>
      <c r="I215" s="83" t="str">
        <f>IFERROR(VLOOKUP($A215,'The List'!$B1:$AS665,16,FALSE)," ")</f>
        <v xml:space="preserve"> </v>
      </c>
      <c r="J215" s="83" t="str">
        <f>IFERROR(VLOOKUP($A215,'The List'!$B1:$AS665,17,FALSE)," ")</f>
        <v xml:space="preserve"> </v>
      </c>
      <c r="K215" s="83" t="str">
        <f>IFERROR(VLOOKUP($A215,'The List'!$B1:$AS665,18,FALSE)," ")</f>
        <v xml:space="preserve"> </v>
      </c>
      <c r="L215" s="83" t="str">
        <f>IFERROR(VLOOKUP($A215,'The List'!$B1:$AS665,19,FALSE)," ")</f>
        <v xml:space="preserve"> </v>
      </c>
      <c r="M215" s="83" t="str">
        <f>IFERROR(VLOOKUP($A215,'The List'!$B1:$AS665,20,FALSE)," ")</f>
        <v xml:space="preserve"> </v>
      </c>
      <c r="N215" s="83" t="str">
        <f>IFERROR(VLOOKUP($A215,'The List'!$B1:$AS665,21,FALSE)," ")</f>
        <v xml:space="preserve"> </v>
      </c>
      <c r="O215" s="83" t="str">
        <f>IFERROR(VLOOKUP($A215,'The List'!$B1:$AS665,22,FALSE)," ")</f>
        <v xml:space="preserve"> </v>
      </c>
      <c r="P215" s="83" t="str">
        <f>IFERROR(VLOOKUP($A215,'The List'!$B1:$AS665,23,FALSE)," ")</f>
        <v xml:space="preserve"> </v>
      </c>
      <c r="Q215" s="83" t="str">
        <f>IFERROR(VLOOKUP($A215,'The List'!$B1:$AS665,24,FALSE)," ")</f>
        <v xml:space="preserve"> </v>
      </c>
      <c r="R215" s="83" t="str">
        <f>IFERROR(VLOOKUP($A215,'The List'!$B1:$AS665,25,FALSE)," ")</f>
        <v xml:space="preserve"> </v>
      </c>
      <c r="S215" s="83" t="str">
        <f>IFERROR(VLOOKUP($A215,'The List'!$B1:$AS665,26,FALSE)," ")</f>
        <v xml:space="preserve"> </v>
      </c>
      <c r="T215" s="83" t="str">
        <f>IFERROR(VLOOKUP($A215,'The List'!$B1:$AS665,27,FALSE)," ")</f>
        <v xml:space="preserve"> </v>
      </c>
      <c r="U215" s="83" t="str">
        <f>IFERROR(VLOOKUP($A215,'The List'!$B1:$AS665,28,FALSE)," ")</f>
        <v xml:space="preserve"> </v>
      </c>
      <c r="V215" s="83" t="str">
        <f>IFERROR(VLOOKUP($A215,'The List'!$B1:$AS665,29,FALSE)," ")</f>
        <v xml:space="preserve"> </v>
      </c>
      <c r="W215" s="83" t="str">
        <f>IFERROR(VLOOKUP($A215,'The List'!$B1:$AS665,30,FALSE)," ")</f>
        <v xml:space="preserve"> </v>
      </c>
      <c r="X215" s="83" t="str">
        <f>IFERROR(VLOOKUP($A215,'The List'!$B1:$AS665,31,FALSE)," ")</f>
        <v xml:space="preserve"> </v>
      </c>
      <c r="Y215" s="83" t="str">
        <f>IFERROR(VLOOKUP($A215,'The List'!$B1:$AS665,32,FALSE)," ")</f>
        <v xml:space="preserve"> </v>
      </c>
      <c r="Z215" s="83" t="str">
        <f>IFERROR(VLOOKUP($A215,'The List'!$B1:$AS665,33,FALSE)," ")</f>
        <v xml:space="preserve"> </v>
      </c>
      <c r="AA215" s="86"/>
      <c r="AB215" s="91"/>
      <c r="AC215" s="91"/>
      <c r="AD215" s="91"/>
      <c r="AE215" s="91"/>
      <c r="AF215" s="91"/>
    </row>
    <row r="216" spans="1:32" ht="21.25" customHeight="1" x14ac:dyDescent="0.15">
      <c r="A216" s="23"/>
      <c r="B216" s="97" t="str">
        <f>IFERROR(VLOOKUP($A216,'The List'!$B1:$AS665,3,FALSE)," ")</f>
        <v xml:space="preserve"> </v>
      </c>
      <c r="C216" s="99" t="str">
        <f>IFERROR(VLOOKUP($A216,'The List'!$B1:$AS665,4,FALSE)," ")</f>
        <v xml:space="preserve"> </v>
      </c>
      <c r="D216" s="65" t="str">
        <f>IFERROR(VLOOKUP($A216,'The List'!$B1:$AS665,5,FALSE)," ")</f>
        <v xml:space="preserve"> </v>
      </c>
      <c r="E216" s="65" t="str">
        <f>IFERROR(VLOOKUP($A216,'The List'!$B1:$AS665,6,FALSE)," ")</f>
        <v xml:space="preserve"> </v>
      </c>
      <c r="F216" s="93" t="str">
        <f>IFERROR(VLOOKUP($A216,'The List'!$B1:$AS665,8,FALSE)," ")</f>
        <v xml:space="preserve"> </v>
      </c>
      <c r="G216" s="93" t="str">
        <f>IFERROR(VLOOKUP($A216,'The List'!$B1:$AS665,10,FALSE)," ")</f>
        <v xml:space="preserve"> </v>
      </c>
      <c r="H216" s="54"/>
      <c r="I216" s="83" t="str">
        <f>IFERROR(VLOOKUP($A216,'The List'!$B1:$AS665,16,FALSE)," ")</f>
        <v xml:space="preserve"> </v>
      </c>
      <c r="J216" s="83" t="str">
        <f>IFERROR(VLOOKUP($A216,'The List'!$B1:$AS665,17,FALSE)," ")</f>
        <v xml:space="preserve"> </v>
      </c>
      <c r="K216" s="83" t="str">
        <f>IFERROR(VLOOKUP($A216,'The List'!$B1:$AS665,18,FALSE)," ")</f>
        <v xml:space="preserve"> </v>
      </c>
      <c r="L216" s="83" t="str">
        <f>IFERROR(VLOOKUP($A216,'The List'!$B1:$AS665,19,FALSE)," ")</f>
        <v xml:space="preserve"> </v>
      </c>
      <c r="M216" s="83" t="str">
        <f>IFERROR(VLOOKUP($A216,'The List'!$B1:$AS665,20,FALSE)," ")</f>
        <v xml:space="preserve"> </v>
      </c>
      <c r="N216" s="83" t="str">
        <f>IFERROR(VLOOKUP($A216,'The List'!$B1:$AS665,21,FALSE)," ")</f>
        <v xml:space="preserve"> </v>
      </c>
      <c r="O216" s="83" t="str">
        <f>IFERROR(VLOOKUP($A216,'The List'!$B1:$AS665,22,FALSE)," ")</f>
        <v xml:space="preserve"> </v>
      </c>
      <c r="P216" s="83" t="str">
        <f>IFERROR(VLOOKUP($A216,'The List'!$B1:$AS665,23,FALSE)," ")</f>
        <v xml:space="preserve"> </v>
      </c>
      <c r="Q216" s="83" t="str">
        <f>IFERROR(VLOOKUP($A216,'The List'!$B1:$AS665,24,FALSE)," ")</f>
        <v xml:space="preserve"> </v>
      </c>
      <c r="R216" s="83" t="str">
        <f>IFERROR(VLOOKUP($A216,'The List'!$B1:$AS665,25,FALSE)," ")</f>
        <v xml:space="preserve"> </v>
      </c>
      <c r="S216" s="83" t="str">
        <f>IFERROR(VLOOKUP($A216,'The List'!$B1:$AS665,26,FALSE)," ")</f>
        <v xml:space="preserve"> </v>
      </c>
      <c r="T216" s="83" t="str">
        <f>IFERROR(VLOOKUP($A216,'The List'!$B1:$AS665,27,FALSE)," ")</f>
        <v xml:space="preserve"> </v>
      </c>
      <c r="U216" s="83" t="str">
        <f>IFERROR(VLOOKUP($A216,'The List'!$B1:$AS665,28,FALSE)," ")</f>
        <v xml:space="preserve"> </v>
      </c>
      <c r="V216" s="83" t="str">
        <f>IFERROR(VLOOKUP($A216,'The List'!$B1:$AS665,29,FALSE)," ")</f>
        <v xml:space="preserve"> </v>
      </c>
      <c r="W216" s="83" t="str">
        <f>IFERROR(VLOOKUP($A216,'The List'!$B1:$AS665,30,FALSE)," ")</f>
        <v xml:space="preserve"> </v>
      </c>
      <c r="X216" s="83" t="str">
        <f>IFERROR(VLOOKUP($A216,'The List'!$B1:$AS665,31,FALSE)," ")</f>
        <v xml:space="preserve"> </v>
      </c>
      <c r="Y216" s="83" t="str">
        <f>IFERROR(VLOOKUP($A216,'The List'!$B1:$AS665,32,FALSE)," ")</f>
        <v xml:space="preserve"> </v>
      </c>
      <c r="Z216" s="83" t="str">
        <f>IFERROR(VLOOKUP($A216,'The List'!$B1:$AS665,33,FALSE)," ")</f>
        <v xml:space="preserve"> </v>
      </c>
      <c r="AA216" s="86"/>
      <c r="AB216" s="91"/>
      <c r="AC216" s="91"/>
      <c r="AD216" s="91"/>
      <c r="AE216" s="91"/>
      <c r="AF216" s="91"/>
    </row>
    <row r="217" spans="1:32" ht="21.25" customHeight="1" x14ac:dyDescent="0.15">
      <c r="A217" s="23"/>
      <c r="B217" s="100" t="str">
        <f>IFERROR(VLOOKUP($A217,'The List'!$B1:$AS665,3,FALSE)," ")</f>
        <v xml:space="preserve"> </v>
      </c>
      <c r="C217" s="102" t="str">
        <f>IFERROR(VLOOKUP($A217,'The List'!$B1:$AS665,4,FALSE)," ")</f>
        <v xml:space="preserve"> </v>
      </c>
      <c r="D217" s="65" t="str">
        <f>IFERROR(VLOOKUP($A217,'The List'!$B1:$AS665,5,FALSE)," ")</f>
        <v xml:space="preserve"> </v>
      </c>
      <c r="E217" s="65" t="str">
        <f>IFERROR(VLOOKUP($A217,'The List'!$B1:$AS665,6,FALSE)," ")</f>
        <v xml:space="preserve"> </v>
      </c>
      <c r="F217" s="93" t="str">
        <f>IFERROR(VLOOKUP($A217,'The List'!$B1:$AS665,8,FALSE)," ")</f>
        <v xml:space="preserve"> </v>
      </c>
      <c r="G217" s="93" t="str">
        <f>IFERROR(VLOOKUP($A217,'The List'!$B1:$AS665,10,FALSE)," ")</f>
        <v xml:space="preserve"> </v>
      </c>
      <c r="H217" s="54"/>
      <c r="I217" s="83" t="str">
        <f>IFERROR(VLOOKUP($A217,'The List'!$B1:$AS665,16,FALSE)," ")</f>
        <v xml:space="preserve"> </v>
      </c>
      <c r="J217" s="83" t="str">
        <f>IFERROR(VLOOKUP($A217,'The List'!$B1:$AS665,17,FALSE)," ")</f>
        <v xml:space="preserve"> </v>
      </c>
      <c r="K217" s="83" t="str">
        <f>IFERROR(VLOOKUP($A217,'The List'!$B1:$AS665,18,FALSE)," ")</f>
        <v xml:space="preserve"> </v>
      </c>
      <c r="L217" s="83" t="str">
        <f>IFERROR(VLOOKUP($A217,'The List'!$B1:$AS665,19,FALSE)," ")</f>
        <v xml:space="preserve"> </v>
      </c>
      <c r="M217" s="83" t="str">
        <f>IFERROR(VLOOKUP($A217,'The List'!$B1:$AS665,20,FALSE)," ")</f>
        <v xml:space="preserve"> </v>
      </c>
      <c r="N217" s="83" t="str">
        <f>IFERROR(VLOOKUP($A217,'The List'!$B1:$AS665,21,FALSE)," ")</f>
        <v xml:space="preserve"> </v>
      </c>
      <c r="O217" s="83" t="str">
        <f>IFERROR(VLOOKUP($A217,'The List'!$B1:$AS665,22,FALSE)," ")</f>
        <v xml:space="preserve"> </v>
      </c>
      <c r="P217" s="83" t="str">
        <f>IFERROR(VLOOKUP($A217,'The List'!$B1:$AS665,23,FALSE)," ")</f>
        <v xml:space="preserve"> </v>
      </c>
      <c r="Q217" s="83" t="str">
        <f>IFERROR(VLOOKUP($A217,'The List'!$B1:$AS665,24,FALSE)," ")</f>
        <v xml:space="preserve"> </v>
      </c>
      <c r="R217" s="83" t="str">
        <f>IFERROR(VLOOKUP($A217,'The List'!$B1:$AS665,25,FALSE)," ")</f>
        <v xml:space="preserve"> </v>
      </c>
      <c r="S217" s="83" t="str">
        <f>IFERROR(VLOOKUP($A217,'The List'!$B1:$AS665,26,FALSE)," ")</f>
        <v xml:space="preserve"> </v>
      </c>
      <c r="T217" s="83" t="str">
        <f>IFERROR(VLOOKUP($A217,'The List'!$B1:$AS665,27,FALSE)," ")</f>
        <v xml:space="preserve"> </v>
      </c>
      <c r="U217" s="83" t="str">
        <f>IFERROR(VLOOKUP($A217,'The List'!$B1:$AS665,28,FALSE)," ")</f>
        <v xml:space="preserve"> </v>
      </c>
      <c r="V217" s="83" t="str">
        <f>IFERROR(VLOOKUP($A217,'The List'!$B1:$AS665,29,FALSE)," ")</f>
        <v xml:space="preserve"> </v>
      </c>
      <c r="W217" s="83" t="str">
        <f>IFERROR(VLOOKUP($A217,'The List'!$B1:$AS665,30,FALSE)," ")</f>
        <v xml:space="preserve"> </v>
      </c>
      <c r="X217" s="83" t="str">
        <f>IFERROR(VLOOKUP($A217,'The List'!$B1:$AS665,31,FALSE)," ")</f>
        <v xml:space="preserve"> </v>
      </c>
      <c r="Y217" s="83" t="str">
        <f>IFERROR(VLOOKUP($A217,'The List'!$B1:$AS665,32,FALSE)," ")</f>
        <v xml:space="preserve"> </v>
      </c>
      <c r="Z217" s="83" t="str">
        <f>IFERROR(VLOOKUP($A217,'The List'!$B1:$AS665,33,FALSE)," ")</f>
        <v xml:space="preserve"> </v>
      </c>
      <c r="AA217" s="86"/>
      <c r="AB217" s="91"/>
      <c r="AC217" s="91"/>
      <c r="AD217" s="91"/>
      <c r="AE217" s="91"/>
      <c r="AF217" s="91"/>
    </row>
    <row r="218" spans="1:32" ht="21.25" customHeight="1" x14ac:dyDescent="0.15">
      <c r="A218" s="23"/>
      <c r="B218" s="100" t="str">
        <f>IFERROR(VLOOKUP($A218,'The List'!$B1:$AS665,3,FALSE)," ")</f>
        <v xml:space="preserve"> </v>
      </c>
      <c r="C218" s="102" t="str">
        <f>IFERROR(VLOOKUP($A218,'The List'!$B1:$AS665,4,FALSE)," ")</f>
        <v xml:space="preserve"> </v>
      </c>
      <c r="D218" s="65" t="str">
        <f>IFERROR(VLOOKUP($A218,'The List'!$B1:$AS665,5,FALSE)," ")</f>
        <v xml:space="preserve"> </v>
      </c>
      <c r="E218" s="65" t="str">
        <f>IFERROR(VLOOKUP($A218,'The List'!$B1:$AS665,6,FALSE)," ")</f>
        <v xml:space="preserve"> </v>
      </c>
      <c r="F218" s="93" t="str">
        <f>IFERROR(VLOOKUP($A218,'The List'!$B1:$AS665,8,FALSE)," ")</f>
        <v xml:space="preserve"> </v>
      </c>
      <c r="G218" s="93" t="str">
        <f>IFERROR(VLOOKUP($A218,'The List'!$B1:$AS665,10,FALSE)," ")</f>
        <v xml:space="preserve"> </v>
      </c>
      <c r="H218" s="54"/>
      <c r="I218" s="83" t="str">
        <f>IFERROR(VLOOKUP($A218,'The List'!$B1:$AS665,16,FALSE)," ")</f>
        <v xml:space="preserve"> </v>
      </c>
      <c r="J218" s="83" t="str">
        <f>IFERROR(VLOOKUP($A218,'The List'!$B1:$AS665,17,FALSE)," ")</f>
        <v xml:space="preserve"> </v>
      </c>
      <c r="K218" s="83" t="str">
        <f>IFERROR(VLOOKUP($A218,'The List'!$B1:$AS665,18,FALSE)," ")</f>
        <v xml:space="preserve"> </v>
      </c>
      <c r="L218" s="83" t="str">
        <f>IFERROR(VLOOKUP($A218,'The List'!$B1:$AS665,19,FALSE)," ")</f>
        <v xml:space="preserve"> </v>
      </c>
      <c r="M218" s="83" t="str">
        <f>IFERROR(VLOOKUP($A218,'The List'!$B1:$AS665,20,FALSE)," ")</f>
        <v xml:space="preserve"> </v>
      </c>
      <c r="N218" s="83" t="str">
        <f>IFERROR(VLOOKUP($A218,'The List'!$B1:$AS665,21,FALSE)," ")</f>
        <v xml:space="preserve"> </v>
      </c>
      <c r="O218" s="83" t="str">
        <f>IFERROR(VLOOKUP($A218,'The List'!$B1:$AS665,22,FALSE)," ")</f>
        <v xml:space="preserve"> </v>
      </c>
      <c r="P218" s="83" t="str">
        <f>IFERROR(VLOOKUP($A218,'The List'!$B1:$AS665,23,FALSE)," ")</f>
        <v xml:space="preserve"> </v>
      </c>
      <c r="Q218" s="83" t="str">
        <f>IFERROR(VLOOKUP($A218,'The List'!$B1:$AS665,24,FALSE)," ")</f>
        <v xml:space="preserve"> </v>
      </c>
      <c r="R218" s="83" t="str">
        <f>IFERROR(VLOOKUP($A218,'The List'!$B1:$AS665,25,FALSE)," ")</f>
        <v xml:space="preserve"> </v>
      </c>
      <c r="S218" s="83" t="str">
        <f>IFERROR(VLOOKUP($A218,'The List'!$B1:$AS665,26,FALSE)," ")</f>
        <v xml:space="preserve"> </v>
      </c>
      <c r="T218" s="83" t="str">
        <f>IFERROR(VLOOKUP($A218,'The List'!$B1:$AS665,27,FALSE)," ")</f>
        <v xml:space="preserve"> </v>
      </c>
      <c r="U218" s="83" t="str">
        <f>IFERROR(VLOOKUP($A218,'The List'!$B1:$AS665,28,FALSE)," ")</f>
        <v xml:space="preserve"> </v>
      </c>
      <c r="V218" s="83" t="str">
        <f>IFERROR(VLOOKUP($A218,'The List'!$B1:$AS665,29,FALSE)," ")</f>
        <v xml:space="preserve"> </v>
      </c>
      <c r="W218" s="83" t="str">
        <f>IFERROR(VLOOKUP($A218,'The List'!$B1:$AS665,30,FALSE)," ")</f>
        <v xml:space="preserve"> </v>
      </c>
      <c r="X218" s="83" t="str">
        <f>IFERROR(VLOOKUP($A218,'The List'!$B1:$AS665,31,FALSE)," ")</f>
        <v xml:space="preserve"> </v>
      </c>
      <c r="Y218" s="83" t="str">
        <f>IFERROR(VLOOKUP($A218,'The List'!$B1:$AS665,32,FALSE)," ")</f>
        <v xml:space="preserve"> </v>
      </c>
      <c r="Z218" s="83" t="str">
        <f>IFERROR(VLOOKUP($A218,'The List'!$B1:$AS665,33,FALSE)," ")</f>
        <v xml:space="preserve"> </v>
      </c>
      <c r="AA218" s="86"/>
      <c r="AB218" s="91"/>
      <c r="AC218" s="91"/>
      <c r="AD218" s="91"/>
      <c r="AE218" s="91"/>
      <c r="AF218" s="91"/>
    </row>
    <row r="219" spans="1:32" ht="21.25" customHeight="1" x14ac:dyDescent="0.15">
      <c r="A219" s="23"/>
      <c r="B219" s="100" t="str">
        <f>IFERROR(VLOOKUP($A219,'The List'!$B1:$AS665,3,FALSE)," ")</f>
        <v xml:space="preserve"> </v>
      </c>
      <c r="C219" s="102" t="str">
        <f>IFERROR(VLOOKUP($A219,'The List'!$B1:$AS665,4,FALSE)," ")</f>
        <v xml:space="preserve"> </v>
      </c>
      <c r="D219" s="65" t="str">
        <f>IFERROR(VLOOKUP($A219,'The List'!$B1:$AS665,5,FALSE)," ")</f>
        <v xml:space="preserve"> </v>
      </c>
      <c r="E219" s="65" t="str">
        <f>IFERROR(VLOOKUP($A219,'The List'!$B1:$AS665,6,FALSE)," ")</f>
        <v xml:space="preserve"> </v>
      </c>
      <c r="F219" s="93" t="str">
        <f>IFERROR(VLOOKUP($A219,'The List'!$B1:$AS665,8,FALSE)," ")</f>
        <v xml:space="preserve"> </v>
      </c>
      <c r="G219" s="93" t="str">
        <f>IFERROR(VLOOKUP($A219,'The List'!$B1:$AS665,10,FALSE)," ")</f>
        <v xml:space="preserve"> </v>
      </c>
      <c r="H219" s="54"/>
      <c r="I219" s="83" t="str">
        <f>IFERROR(VLOOKUP($A219,'The List'!$B1:$AS665,16,FALSE)," ")</f>
        <v xml:space="preserve"> </v>
      </c>
      <c r="J219" s="83" t="str">
        <f>IFERROR(VLOOKUP($A219,'The List'!$B1:$AS665,17,FALSE)," ")</f>
        <v xml:space="preserve"> </v>
      </c>
      <c r="K219" s="83" t="str">
        <f>IFERROR(VLOOKUP($A219,'The List'!$B1:$AS665,18,FALSE)," ")</f>
        <v xml:space="preserve"> </v>
      </c>
      <c r="L219" s="83" t="str">
        <f>IFERROR(VLOOKUP($A219,'The List'!$B1:$AS665,19,FALSE)," ")</f>
        <v xml:space="preserve"> </v>
      </c>
      <c r="M219" s="83" t="str">
        <f>IFERROR(VLOOKUP($A219,'The List'!$B1:$AS665,20,FALSE)," ")</f>
        <v xml:space="preserve"> </v>
      </c>
      <c r="N219" s="83" t="str">
        <f>IFERROR(VLOOKUP($A219,'The List'!$B1:$AS665,21,FALSE)," ")</f>
        <v xml:space="preserve"> </v>
      </c>
      <c r="O219" s="83" t="str">
        <f>IFERROR(VLOOKUP($A219,'The List'!$B1:$AS665,22,FALSE)," ")</f>
        <v xml:space="preserve"> </v>
      </c>
      <c r="P219" s="83" t="str">
        <f>IFERROR(VLOOKUP($A219,'The List'!$B1:$AS665,23,FALSE)," ")</f>
        <v xml:space="preserve"> </v>
      </c>
      <c r="Q219" s="83" t="str">
        <f>IFERROR(VLOOKUP($A219,'The List'!$B1:$AS665,24,FALSE)," ")</f>
        <v xml:space="preserve"> </v>
      </c>
      <c r="R219" s="83" t="str">
        <f>IFERROR(VLOOKUP($A219,'The List'!$B1:$AS665,25,FALSE)," ")</f>
        <v xml:space="preserve"> </v>
      </c>
      <c r="S219" s="83" t="str">
        <f>IFERROR(VLOOKUP($A219,'The List'!$B1:$AS665,26,FALSE)," ")</f>
        <v xml:space="preserve"> </v>
      </c>
      <c r="T219" s="83" t="str">
        <f>IFERROR(VLOOKUP($A219,'The List'!$B1:$AS665,27,FALSE)," ")</f>
        <v xml:space="preserve"> </v>
      </c>
      <c r="U219" s="83" t="str">
        <f>IFERROR(VLOOKUP($A219,'The List'!$B1:$AS665,28,FALSE)," ")</f>
        <v xml:space="preserve"> </v>
      </c>
      <c r="V219" s="83" t="str">
        <f>IFERROR(VLOOKUP($A219,'The List'!$B1:$AS665,29,FALSE)," ")</f>
        <v xml:space="preserve"> </v>
      </c>
      <c r="W219" s="83" t="str">
        <f>IFERROR(VLOOKUP($A219,'The List'!$B1:$AS665,30,FALSE)," ")</f>
        <v xml:space="preserve"> </v>
      </c>
      <c r="X219" s="83" t="str">
        <f>IFERROR(VLOOKUP($A219,'The List'!$B1:$AS665,31,FALSE)," ")</f>
        <v xml:space="preserve"> </v>
      </c>
      <c r="Y219" s="83" t="str">
        <f>IFERROR(VLOOKUP($A219,'The List'!$B1:$AS665,32,FALSE)," ")</f>
        <v xml:space="preserve"> </v>
      </c>
      <c r="Z219" s="83" t="str">
        <f>IFERROR(VLOOKUP($A219,'The List'!$B1:$AS665,33,FALSE)," ")</f>
        <v xml:space="preserve"> </v>
      </c>
      <c r="AA219" s="86"/>
      <c r="AB219" s="91"/>
      <c r="AC219" s="91"/>
      <c r="AD219" s="91"/>
      <c r="AE219" s="91"/>
      <c r="AF219" s="91"/>
    </row>
    <row r="220" spans="1:32" ht="21.25" customHeight="1" x14ac:dyDescent="0.15">
      <c r="A220" s="23"/>
      <c r="B220" s="100" t="str">
        <f>IFERROR(VLOOKUP($A220,'The List'!$B1:$AS665,3,FALSE)," ")</f>
        <v xml:space="preserve"> </v>
      </c>
      <c r="C220" s="102" t="str">
        <f>IFERROR(VLOOKUP($A220,'The List'!$B1:$AS665,4,FALSE)," ")</f>
        <v xml:space="preserve"> </v>
      </c>
      <c r="D220" s="65" t="str">
        <f>IFERROR(VLOOKUP($A220,'The List'!$B1:$AS665,5,FALSE)," ")</f>
        <v xml:space="preserve"> </v>
      </c>
      <c r="E220" s="65" t="str">
        <f>IFERROR(VLOOKUP($A220,'The List'!$B1:$AS665,6,FALSE)," ")</f>
        <v xml:space="preserve"> </v>
      </c>
      <c r="F220" s="93" t="str">
        <f>IFERROR(VLOOKUP($A220,'The List'!$B1:$AS665,8,FALSE)," ")</f>
        <v xml:space="preserve"> </v>
      </c>
      <c r="G220" s="93" t="str">
        <f>IFERROR(VLOOKUP($A220,'The List'!$B1:$AS665,10,FALSE)," ")</f>
        <v xml:space="preserve"> </v>
      </c>
      <c r="H220" s="54"/>
      <c r="I220" s="83" t="str">
        <f>IFERROR(VLOOKUP($A220,'The List'!$B1:$AS665,16,FALSE)," ")</f>
        <v xml:space="preserve"> </v>
      </c>
      <c r="J220" s="83" t="str">
        <f>IFERROR(VLOOKUP($A220,'The List'!$B1:$AS665,17,FALSE)," ")</f>
        <v xml:space="preserve"> </v>
      </c>
      <c r="K220" s="83" t="str">
        <f>IFERROR(VLOOKUP($A220,'The List'!$B1:$AS665,18,FALSE)," ")</f>
        <v xml:space="preserve"> </v>
      </c>
      <c r="L220" s="83" t="str">
        <f>IFERROR(VLOOKUP($A220,'The List'!$B1:$AS665,19,FALSE)," ")</f>
        <v xml:space="preserve"> </v>
      </c>
      <c r="M220" s="83" t="str">
        <f>IFERROR(VLOOKUP($A220,'The List'!$B1:$AS665,20,FALSE)," ")</f>
        <v xml:space="preserve"> </v>
      </c>
      <c r="N220" s="83" t="str">
        <f>IFERROR(VLOOKUP($A220,'The List'!$B1:$AS665,21,FALSE)," ")</f>
        <v xml:space="preserve"> </v>
      </c>
      <c r="O220" s="83" t="str">
        <f>IFERROR(VLOOKUP($A220,'The List'!$B1:$AS665,22,FALSE)," ")</f>
        <v xml:space="preserve"> </v>
      </c>
      <c r="P220" s="83" t="str">
        <f>IFERROR(VLOOKUP($A220,'The List'!$B1:$AS665,23,FALSE)," ")</f>
        <v xml:space="preserve"> </v>
      </c>
      <c r="Q220" s="83" t="str">
        <f>IFERROR(VLOOKUP($A220,'The List'!$B1:$AS665,24,FALSE)," ")</f>
        <v xml:space="preserve"> </v>
      </c>
      <c r="R220" s="83" t="str">
        <f>IFERROR(VLOOKUP($A220,'The List'!$B1:$AS665,25,FALSE)," ")</f>
        <v xml:space="preserve"> </v>
      </c>
      <c r="S220" s="83" t="str">
        <f>IFERROR(VLOOKUP($A220,'The List'!$B1:$AS665,26,FALSE)," ")</f>
        <v xml:space="preserve"> </v>
      </c>
      <c r="T220" s="83" t="str">
        <f>IFERROR(VLOOKUP($A220,'The List'!$B1:$AS665,27,FALSE)," ")</f>
        <v xml:space="preserve"> </v>
      </c>
      <c r="U220" s="83" t="str">
        <f>IFERROR(VLOOKUP($A220,'The List'!$B1:$AS665,28,FALSE)," ")</f>
        <v xml:space="preserve"> </v>
      </c>
      <c r="V220" s="83" t="str">
        <f>IFERROR(VLOOKUP($A220,'The List'!$B1:$AS665,29,FALSE)," ")</f>
        <v xml:space="preserve"> </v>
      </c>
      <c r="W220" s="83" t="str">
        <f>IFERROR(VLOOKUP($A220,'The List'!$B1:$AS665,30,FALSE)," ")</f>
        <v xml:space="preserve"> </v>
      </c>
      <c r="X220" s="83" t="str">
        <f>IFERROR(VLOOKUP($A220,'The List'!$B1:$AS665,31,FALSE)," ")</f>
        <v xml:space="preserve"> </v>
      </c>
      <c r="Y220" s="83" t="str">
        <f>IFERROR(VLOOKUP($A220,'The List'!$B1:$AS665,32,FALSE)," ")</f>
        <v xml:space="preserve"> </v>
      </c>
      <c r="Z220" s="83" t="str">
        <f>IFERROR(VLOOKUP($A220,'The List'!$B1:$AS665,33,FALSE)," ")</f>
        <v xml:space="preserve"> </v>
      </c>
      <c r="AA220" s="86"/>
      <c r="AB220" s="91"/>
      <c r="AC220" s="91"/>
      <c r="AD220" s="91"/>
      <c r="AE220" s="91"/>
      <c r="AF220" s="91"/>
    </row>
    <row r="221" spans="1:32" ht="21.25" customHeight="1" x14ac:dyDescent="0.15">
      <c r="A221" s="23"/>
      <c r="B221" s="100" t="str">
        <f>IFERROR(VLOOKUP($A221,'The List'!$B1:$AS665,3,FALSE)," ")</f>
        <v xml:space="preserve"> </v>
      </c>
      <c r="C221" s="102" t="str">
        <f>IFERROR(VLOOKUP($A221,'The List'!$B1:$AS665,4,FALSE)," ")</f>
        <v xml:space="preserve"> </v>
      </c>
      <c r="D221" s="65" t="str">
        <f>IFERROR(VLOOKUP($A221,'The List'!$B1:$AS665,5,FALSE)," ")</f>
        <v xml:space="preserve"> </v>
      </c>
      <c r="E221" s="65" t="str">
        <f>IFERROR(VLOOKUP($A221,'The List'!$B1:$AS665,6,FALSE)," ")</f>
        <v xml:space="preserve"> </v>
      </c>
      <c r="F221" s="93" t="str">
        <f>IFERROR(VLOOKUP($A221,'The List'!$B1:$AS665,8,FALSE)," ")</f>
        <v xml:space="preserve"> </v>
      </c>
      <c r="G221" s="93" t="str">
        <f>IFERROR(VLOOKUP($A221,'The List'!$B1:$AS665,10,FALSE)," ")</f>
        <v xml:space="preserve"> </v>
      </c>
      <c r="H221" s="54"/>
      <c r="I221" s="83" t="str">
        <f>IFERROR(VLOOKUP($A221,'The List'!$B1:$AS665,16,FALSE)," ")</f>
        <v xml:space="preserve"> </v>
      </c>
      <c r="J221" s="83" t="str">
        <f>IFERROR(VLOOKUP($A221,'The List'!$B1:$AS665,17,FALSE)," ")</f>
        <v xml:space="preserve"> </v>
      </c>
      <c r="K221" s="83" t="str">
        <f>IFERROR(VLOOKUP($A221,'The List'!$B1:$AS665,18,FALSE)," ")</f>
        <v xml:space="preserve"> </v>
      </c>
      <c r="L221" s="83" t="str">
        <f>IFERROR(VLOOKUP($A221,'The List'!$B1:$AS665,19,FALSE)," ")</f>
        <v xml:space="preserve"> </v>
      </c>
      <c r="M221" s="83" t="str">
        <f>IFERROR(VLOOKUP($A221,'The List'!$B1:$AS665,20,FALSE)," ")</f>
        <v xml:space="preserve"> </v>
      </c>
      <c r="N221" s="83" t="str">
        <f>IFERROR(VLOOKUP($A221,'The List'!$B1:$AS665,21,FALSE)," ")</f>
        <v xml:space="preserve"> </v>
      </c>
      <c r="O221" s="83" t="str">
        <f>IFERROR(VLOOKUP($A221,'The List'!$B1:$AS665,22,FALSE)," ")</f>
        <v xml:space="preserve"> </v>
      </c>
      <c r="P221" s="83" t="str">
        <f>IFERROR(VLOOKUP($A221,'The List'!$B1:$AS665,23,FALSE)," ")</f>
        <v xml:space="preserve"> </v>
      </c>
      <c r="Q221" s="83" t="str">
        <f>IFERROR(VLOOKUP($A221,'The List'!$B1:$AS665,24,FALSE)," ")</f>
        <v xml:space="preserve"> </v>
      </c>
      <c r="R221" s="83" t="str">
        <f>IFERROR(VLOOKUP($A221,'The List'!$B1:$AS665,25,FALSE)," ")</f>
        <v xml:space="preserve"> </v>
      </c>
      <c r="S221" s="83" t="str">
        <f>IFERROR(VLOOKUP($A221,'The List'!$B1:$AS665,26,FALSE)," ")</f>
        <v xml:space="preserve"> </v>
      </c>
      <c r="T221" s="83" t="str">
        <f>IFERROR(VLOOKUP($A221,'The List'!$B1:$AS665,27,FALSE)," ")</f>
        <v xml:space="preserve"> </v>
      </c>
      <c r="U221" s="83" t="str">
        <f>IFERROR(VLOOKUP($A221,'The List'!$B1:$AS665,28,FALSE)," ")</f>
        <v xml:space="preserve"> </v>
      </c>
      <c r="V221" s="83" t="str">
        <f>IFERROR(VLOOKUP($A221,'The List'!$B1:$AS665,29,FALSE)," ")</f>
        <v xml:space="preserve"> </v>
      </c>
      <c r="W221" s="83" t="str">
        <f>IFERROR(VLOOKUP($A221,'The List'!$B1:$AS665,30,FALSE)," ")</f>
        <v xml:space="preserve"> </v>
      </c>
      <c r="X221" s="83" t="str">
        <f>IFERROR(VLOOKUP($A221,'The List'!$B1:$AS665,31,FALSE)," ")</f>
        <v xml:space="preserve"> </v>
      </c>
      <c r="Y221" s="83" t="str">
        <f>IFERROR(VLOOKUP($A221,'The List'!$B1:$AS665,32,FALSE)," ")</f>
        <v xml:space="preserve"> </v>
      </c>
      <c r="Z221" s="83" t="str">
        <f>IFERROR(VLOOKUP($A221,'The List'!$B1:$AS665,33,FALSE)," ")</f>
        <v xml:space="preserve"> </v>
      </c>
      <c r="AA221" s="86"/>
      <c r="AB221" s="91"/>
      <c r="AC221" s="91"/>
      <c r="AD221" s="91"/>
      <c r="AE221" s="91"/>
      <c r="AF221" s="91"/>
    </row>
    <row r="222" spans="1:32" ht="21.25" customHeight="1" x14ac:dyDescent="0.15">
      <c r="A222" s="23"/>
      <c r="B222" s="100" t="str">
        <f>IFERROR(VLOOKUP($A222,'The List'!$B1:$AS665,3,FALSE)," ")</f>
        <v xml:space="preserve"> </v>
      </c>
      <c r="C222" s="102" t="str">
        <f>IFERROR(VLOOKUP($A222,'The List'!$B1:$AS665,4,FALSE)," ")</f>
        <v xml:space="preserve"> </v>
      </c>
      <c r="D222" s="65" t="str">
        <f>IFERROR(VLOOKUP($A222,'The List'!$B1:$AS665,5,FALSE)," ")</f>
        <v xml:space="preserve"> </v>
      </c>
      <c r="E222" s="65" t="str">
        <f>IFERROR(VLOOKUP($A222,'The List'!$B1:$AS665,6,FALSE)," ")</f>
        <v xml:space="preserve"> </v>
      </c>
      <c r="F222" s="93" t="str">
        <f>IFERROR(VLOOKUP($A222,'The List'!$B1:$AS665,8,FALSE)," ")</f>
        <v xml:space="preserve"> </v>
      </c>
      <c r="G222" s="93" t="str">
        <f>IFERROR(VLOOKUP($A222,'The List'!$B1:$AS665,10,FALSE)," ")</f>
        <v xml:space="preserve"> </v>
      </c>
      <c r="H222" s="54"/>
      <c r="I222" s="83" t="str">
        <f>IFERROR(VLOOKUP($A222,'The List'!$B1:$AS665,16,FALSE)," ")</f>
        <v xml:space="preserve"> </v>
      </c>
      <c r="J222" s="83" t="str">
        <f>IFERROR(VLOOKUP($A222,'The List'!$B1:$AS665,17,FALSE)," ")</f>
        <v xml:space="preserve"> </v>
      </c>
      <c r="K222" s="83" t="str">
        <f>IFERROR(VLOOKUP($A222,'The List'!$B1:$AS665,18,FALSE)," ")</f>
        <v xml:space="preserve"> </v>
      </c>
      <c r="L222" s="83" t="str">
        <f>IFERROR(VLOOKUP($A222,'The List'!$B1:$AS665,19,FALSE)," ")</f>
        <v xml:space="preserve"> </v>
      </c>
      <c r="M222" s="83" t="str">
        <f>IFERROR(VLOOKUP($A222,'The List'!$B1:$AS665,20,FALSE)," ")</f>
        <v xml:space="preserve"> </v>
      </c>
      <c r="N222" s="83" t="str">
        <f>IFERROR(VLOOKUP($A222,'The List'!$B1:$AS665,21,FALSE)," ")</f>
        <v xml:space="preserve"> </v>
      </c>
      <c r="O222" s="83" t="str">
        <f>IFERROR(VLOOKUP($A222,'The List'!$B1:$AS665,22,FALSE)," ")</f>
        <v xml:space="preserve"> </v>
      </c>
      <c r="P222" s="83" t="str">
        <f>IFERROR(VLOOKUP($A222,'The List'!$B1:$AS665,23,FALSE)," ")</f>
        <v xml:space="preserve"> </v>
      </c>
      <c r="Q222" s="83" t="str">
        <f>IFERROR(VLOOKUP($A222,'The List'!$B1:$AS665,24,FALSE)," ")</f>
        <v xml:space="preserve"> </v>
      </c>
      <c r="R222" s="83" t="str">
        <f>IFERROR(VLOOKUP($A222,'The List'!$B1:$AS665,25,FALSE)," ")</f>
        <v xml:space="preserve"> </v>
      </c>
      <c r="S222" s="83" t="str">
        <f>IFERROR(VLOOKUP($A222,'The List'!$B1:$AS665,26,FALSE)," ")</f>
        <v xml:space="preserve"> </v>
      </c>
      <c r="T222" s="83" t="str">
        <f>IFERROR(VLOOKUP($A222,'The List'!$B1:$AS665,27,FALSE)," ")</f>
        <v xml:space="preserve"> </v>
      </c>
      <c r="U222" s="83" t="str">
        <f>IFERROR(VLOOKUP($A222,'The List'!$B1:$AS665,28,FALSE)," ")</f>
        <v xml:space="preserve"> </v>
      </c>
      <c r="V222" s="83" t="str">
        <f>IFERROR(VLOOKUP($A222,'The List'!$B1:$AS665,29,FALSE)," ")</f>
        <v xml:space="preserve"> </v>
      </c>
      <c r="W222" s="83" t="str">
        <f>IFERROR(VLOOKUP($A222,'The List'!$B1:$AS665,30,FALSE)," ")</f>
        <v xml:space="preserve"> </v>
      </c>
      <c r="X222" s="83" t="str">
        <f>IFERROR(VLOOKUP($A222,'The List'!$B1:$AS665,31,FALSE)," ")</f>
        <v xml:space="preserve"> </v>
      </c>
      <c r="Y222" s="83" t="str">
        <f>IFERROR(VLOOKUP($A222,'The List'!$B1:$AS665,32,FALSE)," ")</f>
        <v xml:space="preserve"> </v>
      </c>
      <c r="Z222" s="83" t="str">
        <f>IFERROR(VLOOKUP($A222,'The List'!$B1:$AS665,33,FALSE)," ")</f>
        <v xml:space="preserve"> </v>
      </c>
      <c r="AA222" s="86"/>
      <c r="AB222" s="91"/>
      <c r="AC222" s="91"/>
      <c r="AD222" s="91"/>
      <c r="AE222" s="91"/>
      <c r="AF222" s="91"/>
    </row>
    <row r="223" spans="1:32" ht="21.25" customHeight="1" x14ac:dyDescent="0.15">
      <c r="A223" s="23"/>
      <c r="B223" s="100" t="str">
        <f>IFERROR(VLOOKUP($A223,'The List'!$B1:$AS665,3,FALSE)," ")</f>
        <v xml:space="preserve"> </v>
      </c>
      <c r="C223" s="102" t="str">
        <f>IFERROR(VLOOKUP($A223,'The List'!$B1:$AS665,4,FALSE)," ")</f>
        <v xml:space="preserve"> </v>
      </c>
      <c r="D223" s="65" t="str">
        <f>IFERROR(VLOOKUP($A223,'The List'!$B1:$AS665,5,FALSE)," ")</f>
        <v xml:space="preserve"> </v>
      </c>
      <c r="E223" s="65" t="str">
        <f>IFERROR(VLOOKUP($A223,'The List'!$B1:$AS665,6,FALSE)," ")</f>
        <v xml:space="preserve"> </v>
      </c>
      <c r="F223" s="93" t="str">
        <f>IFERROR(VLOOKUP($A223,'The List'!$B1:$AS665,8,FALSE)," ")</f>
        <v xml:space="preserve"> </v>
      </c>
      <c r="G223" s="93" t="str">
        <f>IFERROR(VLOOKUP($A223,'The List'!$B1:$AS665,10,FALSE)," ")</f>
        <v xml:space="preserve"> </v>
      </c>
      <c r="H223" s="54"/>
      <c r="I223" s="83" t="str">
        <f>IFERROR(VLOOKUP($A223,'The List'!$B1:$AS665,16,FALSE)," ")</f>
        <v xml:space="preserve"> </v>
      </c>
      <c r="J223" s="83" t="str">
        <f>IFERROR(VLOOKUP($A223,'The List'!$B1:$AS665,17,FALSE)," ")</f>
        <v xml:space="preserve"> </v>
      </c>
      <c r="K223" s="83" t="str">
        <f>IFERROR(VLOOKUP($A223,'The List'!$B1:$AS665,18,FALSE)," ")</f>
        <v xml:space="preserve"> </v>
      </c>
      <c r="L223" s="83" t="str">
        <f>IFERROR(VLOOKUP($A223,'The List'!$B1:$AS665,19,FALSE)," ")</f>
        <v xml:space="preserve"> </v>
      </c>
      <c r="M223" s="83" t="str">
        <f>IFERROR(VLOOKUP($A223,'The List'!$B1:$AS665,20,FALSE)," ")</f>
        <v xml:space="preserve"> </v>
      </c>
      <c r="N223" s="83" t="str">
        <f>IFERROR(VLOOKUP($A223,'The List'!$B1:$AS665,21,FALSE)," ")</f>
        <v xml:space="preserve"> </v>
      </c>
      <c r="O223" s="83" t="str">
        <f>IFERROR(VLOOKUP($A223,'The List'!$B1:$AS665,22,FALSE)," ")</f>
        <v xml:space="preserve"> </v>
      </c>
      <c r="P223" s="83" t="str">
        <f>IFERROR(VLOOKUP($A223,'The List'!$B1:$AS665,23,FALSE)," ")</f>
        <v xml:space="preserve"> </v>
      </c>
      <c r="Q223" s="83" t="str">
        <f>IFERROR(VLOOKUP($A223,'The List'!$B1:$AS665,24,FALSE)," ")</f>
        <v xml:space="preserve"> </v>
      </c>
      <c r="R223" s="83" t="str">
        <f>IFERROR(VLOOKUP($A223,'The List'!$B1:$AS665,25,FALSE)," ")</f>
        <v xml:space="preserve"> </v>
      </c>
      <c r="S223" s="83" t="str">
        <f>IFERROR(VLOOKUP($A223,'The List'!$B1:$AS665,26,FALSE)," ")</f>
        <v xml:space="preserve"> </v>
      </c>
      <c r="T223" s="83" t="str">
        <f>IFERROR(VLOOKUP($A223,'The List'!$B1:$AS665,27,FALSE)," ")</f>
        <v xml:space="preserve"> </v>
      </c>
      <c r="U223" s="83" t="str">
        <f>IFERROR(VLOOKUP($A223,'The List'!$B1:$AS665,28,FALSE)," ")</f>
        <v xml:space="preserve"> </v>
      </c>
      <c r="V223" s="83" t="str">
        <f>IFERROR(VLOOKUP($A223,'The List'!$B1:$AS665,29,FALSE)," ")</f>
        <v xml:space="preserve"> </v>
      </c>
      <c r="W223" s="83" t="str">
        <f>IFERROR(VLOOKUP($A223,'The List'!$B1:$AS665,30,FALSE)," ")</f>
        <v xml:space="preserve"> </v>
      </c>
      <c r="X223" s="83" t="str">
        <f>IFERROR(VLOOKUP($A223,'The List'!$B1:$AS665,31,FALSE)," ")</f>
        <v xml:space="preserve"> </v>
      </c>
      <c r="Y223" s="83" t="str">
        <f>IFERROR(VLOOKUP($A223,'The List'!$B1:$AS665,32,FALSE)," ")</f>
        <v xml:space="preserve"> </v>
      </c>
      <c r="Z223" s="83" t="str">
        <f>IFERROR(VLOOKUP($A223,'The List'!$B1:$AS665,33,FALSE)," ")</f>
        <v xml:space="preserve"> </v>
      </c>
      <c r="AA223" s="86"/>
      <c r="AB223" s="91"/>
      <c r="AC223" s="91"/>
      <c r="AD223" s="91"/>
      <c r="AE223" s="91"/>
      <c r="AF223" s="91"/>
    </row>
    <row r="224" spans="1:32" ht="21.25" customHeight="1" x14ac:dyDescent="0.15">
      <c r="A224" s="104"/>
      <c r="B224" s="105" t="str">
        <f>IFERROR(VLOOKUP($A224,'The List'!$B1:$AS665,3,FALSE)," ")</f>
        <v xml:space="preserve"> </v>
      </c>
      <c r="C224" s="106" t="str">
        <f>IFERROR(VLOOKUP($A224,'The List'!$B1:$AS665,4,FALSE)," ")</f>
        <v xml:space="preserve"> </v>
      </c>
      <c r="D224" s="107" t="str">
        <f>IFERROR(VLOOKUP($A224,'The List'!$B1:$AS665,5,FALSE)," ")</f>
        <v xml:space="preserve"> </v>
      </c>
      <c r="E224" s="107" t="str">
        <f>IFERROR(VLOOKUP($A224,'The List'!$B1:$AS665,6,FALSE)," ")</f>
        <v xml:space="preserve"> </v>
      </c>
      <c r="F224" s="108" t="str">
        <f>IFERROR(VLOOKUP($A224,'The List'!$B1:$AS665,8,FALSE)," ")</f>
        <v xml:space="preserve"> </v>
      </c>
      <c r="G224" s="108" t="str">
        <f>IFERROR(VLOOKUP($A224,'The List'!$B1:$AS665,10,FALSE)," ")</f>
        <v xml:space="preserve"> </v>
      </c>
      <c r="H224" s="109"/>
      <c r="I224" s="110" t="str">
        <f>IFERROR(VLOOKUP($A224,'The List'!$B1:$AS665,16,FALSE)," ")</f>
        <v xml:space="preserve"> </v>
      </c>
      <c r="J224" s="110" t="str">
        <f>IFERROR(VLOOKUP($A224,'The List'!$B1:$AS665,17,FALSE)," ")</f>
        <v xml:space="preserve"> </v>
      </c>
      <c r="K224" s="110" t="str">
        <f>IFERROR(VLOOKUP($A224,'The List'!$B1:$AS665,18,FALSE)," ")</f>
        <v xml:space="preserve"> </v>
      </c>
      <c r="L224" s="110" t="str">
        <f>IFERROR(VLOOKUP($A224,'The List'!$B1:$AS665,19,FALSE)," ")</f>
        <v xml:space="preserve"> </v>
      </c>
      <c r="M224" s="110" t="str">
        <f>IFERROR(VLOOKUP($A224,'The List'!$B1:$AS665,20,FALSE)," ")</f>
        <v xml:space="preserve"> </v>
      </c>
      <c r="N224" s="110" t="str">
        <f>IFERROR(VLOOKUP($A224,'The List'!$B1:$AS665,21,FALSE)," ")</f>
        <v xml:space="preserve"> </v>
      </c>
      <c r="O224" s="110" t="str">
        <f>IFERROR(VLOOKUP($A224,'The List'!$B1:$AS665,22,FALSE)," ")</f>
        <v xml:space="preserve"> </v>
      </c>
      <c r="P224" s="110" t="str">
        <f>IFERROR(VLOOKUP($A224,'The List'!$B1:$AS665,23,FALSE)," ")</f>
        <v xml:space="preserve"> </v>
      </c>
      <c r="Q224" s="110" t="str">
        <f>IFERROR(VLOOKUP($A224,'The List'!$B1:$AS665,24,FALSE)," ")</f>
        <v xml:space="preserve"> </v>
      </c>
      <c r="R224" s="110" t="str">
        <f>IFERROR(VLOOKUP($A224,'The List'!$B1:$AS665,25,FALSE)," ")</f>
        <v xml:space="preserve"> </v>
      </c>
      <c r="S224" s="110" t="str">
        <f>IFERROR(VLOOKUP($A224,'The List'!$B1:$AS665,26,FALSE)," ")</f>
        <v xml:space="preserve"> </v>
      </c>
      <c r="T224" s="110" t="str">
        <f>IFERROR(VLOOKUP($A224,'The List'!$B1:$AS665,27,FALSE)," ")</f>
        <v xml:space="preserve"> </v>
      </c>
      <c r="U224" s="110" t="str">
        <f>IFERROR(VLOOKUP($A224,'The List'!$B1:$AS665,28,FALSE)," ")</f>
        <v xml:space="preserve"> </v>
      </c>
      <c r="V224" s="110" t="str">
        <f>IFERROR(VLOOKUP($A224,'The List'!$B1:$AS665,29,FALSE)," ")</f>
        <v xml:space="preserve"> </v>
      </c>
      <c r="W224" s="110" t="str">
        <f>IFERROR(VLOOKUP($A224,'The List'!$B1:$AS665,30,FALSE)," ")</f>
        <v xml:space="preserve"> </v>
      </c>
      <c r="X224" s="110" t="str">
        <f>IFERROR(VLOOKUP($A224,'The List'!$B1:$AS665,31,FALSE)," ")</f>
        <v xml:space="preserve"> </v>
      </c>
      <c r="Y224" s="110" t="str">
        <f>IFERROR(VLOOKUP($A224,'The List'!$B1:$AS665,32,FALSE)," ")</f>
        <v xml:space="preserve"> </v>
      </c>
      <c r="Z224" s="110" t="str">
        <f>IFERROR(VLOOKUP($A224,'The List'!$B1:$AS665,33,FALSE)," ")</f>
        <v xml:space="preserve"> </v>
      </c>
      <c r="AA224" s="86"/>
      <c r="AB224" s="91"/>
      <c r="AC224" s="91"/>
      <c r="AD224" s="91"/>
      <c r="AE224" s="91"/>
      <c r="AF224" s="91"/>
    </row>
    <row r="225" spans="1:32" ht="21.25" customHeight="1" x14ac:dyDescent="0.15">
      <c r="A225" s="111"/>
      <c r="B225" s="112"/>
      <c r="C225" s="113"/>
      <c r="D225" s="114"/>
      <c r="E225" s="146" t="str">
        <f>IFERROR(AVERAGE(E205:E224)," ")</f>
        <v xml:space="preserve"> </v>
      </c>
      <c r="F225" s="116">
        <f>SUM(F205:F224)</f>
        <v>0</v>
      </c>
      <c r="G225" s="116">
        <f>SUM(G205:G224)</f>
        <v>0</v>
      </c>
      <c r="H225" s="117"/>
      <c r="I225" s="118">
        <f>SUM(I205:I224)</f>
        <v>0</v>
      </c>
      <c r="J225" s="117" t="e">
        <f>AVERAGE(J205:J224)</f>
        <v>#DIV/0!</v>
      </c>
      <c r="K225" s="118">
        <f t="shared" ref="K225:Y225" si="14">SUM(K205:K224)</f>
        <v>0</v>
      </c>
      <c r="L225" s="118">
        <f t="shared" si="14"/>
        <v>0</v>
      </c>
      <c r="M225" s="118">
        <f t="shared" si="14"/>
        <v>0</v>
      </c>
      <c r="N225" s="118">
        <f t="shared" si="14"/>
        <v>0</v>
      </c>
      <c r="O225" s="118">
        <f t="shared" si="14"/>
        <v>0</v>
      </c>
      <c r="P225" s="118">
        <f t="shared" si="14"/>
        <v>0</v>
      </c>
      <c r="Q225" s="118">
        <f t="shared" si="14"/>
        <v>0</v>
      </c>
      <c r="R225" s="118">
        <f t="shared" si="14"/>
        <v>0</v>
      </c>
      <c r="S225" s="118">
        <f t="shared" si="14"/>
        <v>0</v>
      </c>
      <c r="T225" s="118">
        <f t="shared" si="14"/>
        <v>0</v>
      </c>
      <c r="U225" s="118">
        <f t="shared" si="14"/>
        <v>0</v>
      </c>
      <c r="V225" s="118">
        <f t="shared" si="14"/>
        <v>0</v>
      </c>
      <c r="W225" s="118">
        <f t="shared" si="14"/>
        <v>0</v>
      </c>
      <c r="X225" s="118">
        <f t="shared" si="14"/>
        <v>0</v>
      </c>
      <c r="Y225" s="118">
        <f t="shared" si="14"/>
        <v>0</v>
      </c>
      <c r="Z225" s="119">
        <f>IFERROR(X225/(X225+Y225),0)</f>
        <v>0</v>
      </c>
      <c r="AA225" s="86"/>
      <c r="AB225" s="120"/>
      <c r="AC225" s="120"/>
      <c r="AD225" s="120"/>
      <c r="AE225" s="120"/>
      <c r="AF225" s="120"/>
    </row>
    <row r="226" spans="1:32" ht="21.25" customHeight="1" x14ac:dyDescent="0.15">
      <c r="A226" s="34"/>
      <c r="B226" s="121"/>
      <c r="C226" s="122"/>
      <c r="D226" s="12"/>
      <c r="E226" s="12"/>
      <c r="F226" s="123"/>
      <c r="G226" s="124"/>
      <c r="H226" s="125"/>
      <c r="I226" s="12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91"/>
      <c r="AC226" s="91"/>
      <c r="AD226" s="91"/>
      <c r="AE226" s="91"/>
      <c r="AF226" s="91"/>
    </row>
    <row r="227" spans="1:32" ht="21.25" customHeight="1" x14ac:dyDescent="0.15">
      <c r="A227" s="37" t="s">
        <v>89</v>
      </c>
      <c r="B227" s="205" t="s">
        <v>91</v>
      </c>
      <c r="C227" s="195"/>
      <c r="D227" s="40" t="s">
        <v>92</v>
      </c>
      <c r="E227" s="40" t="s">
        <v>93</v>
      </c>
      <c r="F227" s="127" t="s">
        <v>95</v>
      </c>
      <c r="G227" s="127" t="s">
        <v>97</v>
      </c>
      <c r="H227" s="128"/>
      <c r="I227" s="129" t="s">
        <v>102</v>
      </c>
      <c r="J227" s="129" t="s">
        <v>118</v>
      </c>
      <c r="K227" s="129" t="s">
        <v>119</v>
      </c>
      <c r="L227" s="129" t="s">
        <v>120</v>
      </c>
      <c r="M227" s="129" t="s">
        <v>121</v>
      </c>
      <c r="N227" s="129" t="s">
        <v>122</v>
      </c>
      <c r="O227" s="129" t="s">
        <v>123</v>
      </c>
      <c r="P227" s="129" t="s">
        <v>124</v>
      </c>
      <c r="Q227" s="129" t="s">
        <v>125</v>
      </c>
      <c r="R227" s="86"/>
      <c r="S227" s="86"/>
      <c r="T227" s="86"/>
      <c r="U227" s="205" t="s">
        <v>809</v>
      </c>
      <c r="V227" s="206"/>
      <c r="W227" s="206"/>
      <c r="X227" s="205" t="s">
        <v>810</v>
      </c>
      <c r="Y227" s="206"/>
      <c r="Z227" s="206"/>
      <c r="AA227" s="86"/>
      <c r="AB227" s="86"/>
      <c r="AC227" s="86"/>
      <c r="AD227" s="86"/>
      <c r="AE227" s="86"/>
      <c r="AF227" s="86"/>
    </row>
    <row r="228" spans="1:32" ht="21.25" customHeight="1" x14ac:dyDescent="0.15">
      <c r="A228" s="147"/>
      <c r="B228" s="131" t="str">
        <f>IFERROR(VLOOKUP($A228,'The List'!$B1:$AS665,3,FALSE)," ")</f>
        <v xml:space="preserve"> </v>
      </c>
      <c r="C228" s="148" t="str">
        <f>IFERROR(VLOOKUP($A228,'The List'!$B1:$AS665,4,FALSE)," ")</f>
        <v xml:space="preserve"> </v>
      </c>
      <c r="D228" s="49" t="str">
        <f>IFERROR(VLOOKUP($A228,'The List'!$B1:$AS665,5,FALSE)," ")</f>
        <v xml:space="preserve"> </v>
      </c>
      <c r="E228" s="49" t="str">
        <f>IFERROR(VLOOKUP($A228,'The List'!$B1:$AS665,6,FALSE)," ")</f>
        <v xml:space="preserve"> </v>
      </c>
      <c r="F228" s="149" t="str">
        <f>IFERROR(VLOOKUP($A228,'The List'!$B1:$AS665,8,FALSE)," ")</f>
        <v xml:space="preserve"> </v>
      </c>
      <c r="G228" s="149" t="str">
        <f>IFERROR(VLOOKUP($A228,'The List'!$B1:$AS665,10,FALSE)," ")</f>
        <v xml:space="preserve"> </v>
      </c>
      <c r="H228" s="135"/>
      <c r="I228" s="150" t="str">
        <f>IFERROR(VLOOKUP($A228,'The List'!$B1:$AS665,35,FALSE)," ")</f>
        <v xml:space="preserve"> </v>
      </c>
      <c r="J228" s="150" t="str">
        <f>IFERROR(VLOOKUP($A228,'The List'!$B1:$AS665,36,FALSE)," ")</f>
        <v xml:space="preserve"> </v>
      </c>
      <c r="K228" s="150" t="str">
        <f>IFERROR(VLOOKUP($A228,'The List'!$B1:$AS665,37,FALSE)," ")</f>
        <v xml:space="preserve"> </v>
      </c>
      <c r="L228" s="150" t="str">
        <f>IFERROR(VLOOKUP($A228,'The List'!$B1:$AS665,38,FALSE)," ")</f>
        <v xml:space="preserve"> </v>
      </c>
      <c r="M228" s="150" t="str">
        <f>IFERROR(VLOOKUP($A228,'The List'!$B1:$AS665,39,FALSE)," ")</f>
        <v xml:space="preserve"> </v>
      </c>
      <c r="N228" s="150" t="str">
        <f>IFERROR(VLOOKUP($A228,'The List'!$B1:$AS665,40,FALSE)," ")</f>
        <v xml:space="preserve"> </v>
      </c>
      <c r="O228" s="150" t="str">
        <f>IFERROR(VLOOKUP($A228,'The List'!$B1:$AS665,41,FALSE)," ")</f>
        <v xml:space="preserve"> </v>
      </c>
      <c r="P228" s="150" t="str">
        <f>IFERROR(VLOOKUP($A228,'The List'!$B1:$AS665,42,FALSE)," ")</f>
        <v xml:space="preserve"> </v>
      </c>
      <c r="Q228" s="150" t="str">
        <f>IFERROR(VLOOKUP($A228,'The List'!$B1:$AS665,43,FALSE)," ")</f>
        <v xml:space="preserve"> </v>
      </c>
      <c r="R228" s="86"/>
      <c r="S228" s="86"/>
      <c r="T228" s="139" t="str">
        <f>A204</f>
        <v>TEAM 8</v>
      </c>
      <c r="U228" s="207">
        <f>F225+F231</f>
        <v>0</v>
      </c>
      <c r="V228" s="195"/>
      <c r="W228" s="195"/>
      <c r="X228" s="207">
        <f>G231+G225</f>
        <v>0</v>
      </c>
      <c r="Y228" s="195"/>
      <c r="Z228" s="195"/>
      <c r="AA228" s="86"/>
      <c r="AB228" s="86"/>
      <c r="AC228" s="86"/>
      <c r="AD228" s="86"/>
      <c r="AE228" s="86"/>
      <c r="AF228" s="86"/>
    </row>
    <row r="229" spans="1:32" ht="21.25" customHeight="1" x14ac:dyDescent="0.15">
      <c r="A229" s="23"/>
      <c r="B229" s="140" t="str">
        <f>IFERROR(VLOOKUP($A229,'The List'!$B1:$AS665,3,FALSE)," ")</f>
        <v xml:space="preserve"> </v>
      </c>
      <c r="C229" s="141" t="str">
        <f>IFERROR(VLOOKUP($A229,'The List'!$B1:$AS665,4,FALSE)," ")</f>
        <v xml:space="preserve"> </v>
      </c>
      <c r="D229" s="65" t="str">
        <f>IFERROR(VLOOKUP($A229,'The List'!$B1:$AS665,5,FALSE)," ")</f>
        <v xml:space="preserve"> </v>
      </c>
      <c r="E229" s="65" t="str">
        <f>IFERROR(VLOOKUP($A229,'The List'!$B1:$AS665,6,FALSE)," ")</f>
        <v xml:space="preserve"> </v>
      </c>
      <c r="F229" s="93" t="str">
        <f>IFERROR(VLOOKUP($A229,'The List'!$B1:$AS665,8,FALSE)," ")</f>
        <v xml:space="preserve"> </v>
      </c>
      <c r="G229" s="93" t="str">
        <f>IFERROR(VLOOKUP($A229,'The List'!$B1:$AS665,10,FALSE)," ")</f>
        <v xml:space="preserve"> </v>
      </c>
      <c r="H229" s="54"/>
      <c r="I229" s="83" t="str">
        <f>IFERROR(VLOOKUP($A229,'The List'!$B1:$AS665,35,FALSE)," ")</f>
        <v xml:space="preserve"> </v>
      </c>
      <c r="J229" s="83" t="str">
        <f>IFERROR(VLOOKUP($A229,'The List'!$B1:$AS665,36,FALSE)," ")</f>
        <v xml:space="preserve"> </v>
      </c>
      <c r="K229" s="83" t="str">
        <f>IFERROR(VLOOKUP($A229,'The List'!$B1:$AS665,37,FALSE)," ")</f>
        <v xml:space="preserve"> </v>
      </c>
      <c r="L229" s="83" t="str">
        <f>IFERROR(VLOOKUP($A229,'The List'!$B1:$AS665,38,FALSE)," ")</f>
        <v xml:space="preserve"> </v>
      </c>
      <c r="M229" s="83" t="str">
        <f>IFERROR(VLOOKUP($A229,'The List'!$B1:$AS665,39,FALSE)," ")</f>
        <v xml:space="preserve"> </v>
      </c>
      <c r="N229" s="83" t="str">
        <f>IFERROR(VLOOKUP($A229,'The List'!$B1:$AS665,40,FALSE)," ")</f>
        <v xml:space="preserve"> </v>
      </c>
      <c r="O229" s="83" t="str">
        <f>IFERROR(VLOOKUP($A229,'The List'!$B1:$AS665,41,FALSE)," ")</f>
        <v xml:space="preserve"> </v>
      </c>
      <c r="P229" s="83" t="str">
        <f>IFERROR(VLOOKUP($A229,'The List'!$B1:$AS665,42,FALSE)," ")</f>
        <v xml:space="preserve"> </v>
      </c>
      <c r="Q229" s="83" t="str">
        <f>IFERROR(VLOOKUP($A229,'The List'!$B1:$AS665,43,FALSE)," ")</f>
        <v xml:space="preserve"> </v>
      </c>
      <c r="R229" s="86"/>
      <c r="S229" s="86"/>
      <c r="T229" s="86"/>
      <c r="U229" s="195"/>
      <c r="V229" s="195"/>
      <c r="W229" s="195"/>
      <c r="X229" s="195"/>
      <c r="Y229" s="195"/>
      <c r="Z229" s="195"/>
      <c r="AA229" s="86"/>
      <c r="AB229" s="86"/>
      <c r="AC229" s="86"/>
      <c r="AD229" s="86"/>
      <c r="AE229" s="86"/>
      <c r="AF229" s="86"/>
    </row>
    <row r="230" spans="1:32" ht="21.25" customHeight="1" x14ac:dyDescent="0.15">
      <c r="A230" s="104"/>
      <c r="B230" s="142" t="str">
        <f>IFERROR(VLOOKUP($A230,'The List'!$B1:$AS665,3,FALSE)," ")</f>
        <v xml:space="preserve"> </v>
      </c>
      <c r="C230" s="143" t="str">
        <f>IFERROR(VLOOKUP($A230,'The List'!$B1:$AS665,4,FALSE)," ")</f>
        <v xml:space="preserve"> </v>
      </c>
      <c r="D230" s="107" t="str">
        <f>IFERROR(VLOOKUP($A230,'The List'!$B1:$AS665,5,FALSE)," ")</f>
        <v xml:space="preserve"> </v>
      </c>
      <c r="E230" s="107" t="str">
        <f>IFERROR(VLOOKUP($A230,'The List'!$B1:$AS665,6,FALSE)," ")</f>
        <v xml:space="preserve"> </v>
      </c>
      <c r="F230" s="108" t="str">
        <f>IFERROR(VLOOKUP($A230,'The List'!$B1:$AS665,8,FALSE)," ")</f>
        <v xml:space="preserve"> </v>
      </c>
      <c r="G230" s="108" t="str">
        <f>IFERROR(VLOOKUP($A230,'The List'!$B1:$AS665,10,FALSE)," ")</f>
        <v xml:space="preserve"> </v>
      </c>
      <c r="H230" s="109"/>
      <c r="I230" s="110" t="str">
        <f>IFERROR(VLOOKUP($A230,'The List'!$B1:$AS665,35,FALSE)," ")</f>
        <v xml:space="preserve"> </v>
      </c>
      <c r="J230" s="110" t="str">
        <f>IFERROR(VLOOKUP($A230,'The List'!$B1:$AS665,36,FALSE)," ")</f>
        <v xml:space="preserve"> </v>
      </c>
      <c r="K230" s="110" t="str">
        <f>IFERROR(VLOOKUP($A230,'The List'!$B1:$AS665,37,FALSE)," ")</f>
        <v xml:space="preserve"> </v>
      </c>
      <c r="L230" s="110" t="str">
        <f>IFERROR(VLOOKUP($A230,'The List'!$B1:$AS665,38,FALSE)," ")</f>
        <v xml:space="preserve"> </v>
      </c>
      <c r="M230" s="110" t="str">
        <f>IFERROR(VLOOKUP($A230,'The List'!$B1:$AS665,39,FALSE)," ")</f>
        <v xml:space="preserve"> </v>
      </c>
      <c r="N230" s="110" t="str">
        <f>IFERROR(VLOOKUP($A230,'The List'!$B1:$AS665,40,FALSE)," ")</f>
        <v xml:space="preserve"> </v>
      </c>
      <c r="O230" s="110" t="str">
        <f>IFERROR(VLOOKUP($A230,'The List'!$B1:$AS665,41,FALSE)," ")</f>
        <v xml:space="preserve"> </v>
      </c>
      <c r="P230" s="110" t="str">
        <f>IFERROR(VLOOKUP($A230,'The List'!$B1:$AS665,42,FALSE)," ")</f>
        <v xml:space="preserve"> </v>
      </c>
      <c r="Q230" s="110" t="str">
        <f>IFERROR(VLOOKUP($A230,'The List'!$B1:$AS665,43,FALSE)," ")</f>
        <v xml:space="preserve"> </v>
      </c>
      <c r="R230" s="86"/>
      <c r="S230" s="86"/>
      <c r="T230" s="86"/>
      <c r="U230" s="195"/>
      <c r="V230" s="195"/>
      <c r="W230" s="195"/>
      <c r="X230" s="195"/>
      <c r="Y230" s="195"/>
      <c r="Z230" s="195"/>
      <c r="AA230" s="86"/>
      <c r="AB230" s="86"/>
      <c r="AC230" s="86"/>
      <c r="AD230" s="86"/>
      <c r="AE230" s="86"/>
      <c r="AF230" s="86"/>
    </row>
    <row r="231" spans="1:32" ht="21.25" customHeight="1" x14ac:dyDescent="0.15">
      <c r="A231" s="111"/>
      <c r="B231" s="112"/>
      <c r="C231" s="113"/>
      <c r="D231" s="114"/>
      <c r="E231" s="146" t="str">
        <f>IFERROR(AVERAGE(E228:E230)," ")</f>
        <v xml:space="preserve"> </v>
      </c>
      <c r="F231" s="116">
        <f>SUM(F228:F230)</f>
        <v>0</v>
      </c>
      <c r="G231" s="116">
        <f>SUM(G228:G230)</f>
        <v>0</v>
      </c>
      <c r="H231" s="117"/>
      <c r="I231" s="118">
        <f t="shared" ref="I231:O231" si="15">SUM(I228:I230)</f>
        <v>0</v>
      </c>
      <c r="J231" s="117">
        <f t="shared" si="15"/>
        <v>0</v>
      </c>
      <c r="K231" s="118">
        <f t="shared" si="15"/>
        <v>0</v>
      </c>
      <c r="L231" s="118">
        <f t="shared" si="15"/>
        <v>0</v>
      </c>
      <c r="M231" s="118">
        <f t="shared" si="15"/>
        <v>0</v>
      </c>
      <c r="N231" s="118">
        <f t="shared" si="15"/>
        <v>0</v>
      </c>
      <c r="O231" s="118">
        <f t="shared" si="15"/>
        <v>0</v>
      </c>
      <c r="P231" s="144" t="e">
        <f>1-(O231/(N231+O231))</f>
        <v>#DIV/0!</v>
      </c>
      <c r="Q231" s="145" t="e">
        <f>O231/I231</f>
        <v>#DIV/0!</v>
      </c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</row>
    <row r="232" spans="1:32" ht="70.75" customHeight="1" x14ac:dyDescent="0.15">
      <c r="A232" s="34"/>
      <c r="B232" s="121"/>
      <c r="C232" s="122"/>
      <c r="D232" s="12"/>
      <c r="E232" s="12"/>
      <c r="F232" s="123"/>
      <c r="G232" s="124"/>
      <c r="H232" s="125"/>
      <c r="I232" s="12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91"/>
      <c r="AB232" s="91"/>
      <c r="AC232" s="91"/>
      <c r="AD232" s="91"/>
      <c r="AE232" s="91"/>
      <c r="AF232" s="91"/>
    </row>
    <row r="233" spans="1:32" ht="21.25" customHeight="1" x14ac:dyDescent="0.15">
      <c r="A233" s="38" t="s">
        <v>801</v>
      </c>
      <c r="B233" s="204" t="s">
        <v>91</v>
      </c>
      <c r="C233" s="200"/>
      <c r="D233" s="39" t="s">
        <v>92</v>
      </c>
      <c r="E233" s="39" t="s">
        <v>93</v>
      </c>
      <c r="F233" s="41" t="s">
        <v>95</v>
      </c>
      <c r="G233" s="41" t="s">
        <v>97</v>
      </c>
      <c r="H233" s="42"/>
      <c r="I233" s="44" t="s">
        <v>102</v>
      </c>
      <c r="J233" s="44" t="s">
        <v>55</v>
      </c>
      <c r="K233" s="44" t="s">
        <v>103</v>
      </c>
      <c r="L233" s="44" t="s">
        <v>104</v>
      </c>
      <c r="M233" s="44" t="s">
        <v>105</v>
      </c>
      <c r="N233" s="44" t="s">
        <v>106</v>
      </c>
      <c r="O233" s="44" t="s">
        <v>107</v>
      </c>
      <c r="P233" s="44" t="s">
        <v>63</v>
      </c>
      <c r="Q233" s="44" t="s">
        <v>108</v>
      </c>
      <c r="R233" s="44" t="s">
        <v>109</v>
      </c>
      <c r="S233" s="44" t="s">
        <v>110</v>
      </c>
      <c r="T233" s="44" t="s">
        <v>111</v>
      </c>
      <c r="U233" s="44" t="s">
        <v>112</v>
      </c>
      <c r="V233" s="44" t="s">
        <v>113</v>
      </c>
      <c r="W233" s="44" t="s">
        <v>114</v>
      </c>
      <c r="X233" s="44" t="s">
        <v>115</v>
      </c>
      <c r="Y233" s="44" t="s">
        <v>116</v>
      </c>
      <c r="Z233" s="44" t="s">
        <v>117</v>
      </c>
      <c r="AA233" s="86"/>
      <c r="AB233" s="87"/>
      <c r="AC233" s="87"/>
      <c r="AD233" s="87"/>
      <c r="AE233" s="87"/>
      <c r="AF233" s="87"/>
    </row>
    <row r="234" spans="1:32" ht="21.25" customHeight="1" x14ac:dyDescent="0.15">
      <c r="A234" s="23"/>
      <c r="B234" s="88" t="str">
        <f>IFERROR(VLOOKUP($A234,'The List'!$B1:$AS665,3,FALSE)," ")</f>
        <v xml:space="preserve"> </v>
      </c>
      <c r="C234" s="92" t="str">
        <f>IFERROR(VLOOKUP($A234,'The List'!$B1:$AS665,4,FALSE)," ")</f>
        <v xml:space="preserve"> </v>
      </c>
      <c r="D234" s="65" t="str">
        <f>IFERROR(VLOOKUP($A234,'The List'!$B1:$AS665,5,FALSE)," ")</f>
        <v xml:space="preserve"> </v>
      </c>
      <c r="E234" s="65" t="str">
        <f>IFERROR(VLOOKUP($A234,'The List'!$B1:$AS665,6,FALSE)," ")</f>
        <v xml:space="preserve"> </v>
      </c>
      <c r="F234" s="93" t="str">
        <f>IFERROR(VLOOKUP($A234,'The List'!$B1:$AS665,8,FALSE)," ")</f>
        <v xml:space="preserve"> </v>
      </c>
      <c r="G234" s="93" t="str">
        <f>IFERROR(VLOOKUP($A234,'The List'!$B1:$AS665,10,FALSE)," ")</f>
        <v xml:space="preserve"> </v>
      </c>
      <c r="H234" s="54"/>
      <c r="I234" s="83" t="str">
        <f>IFERROR(VLOOKUP($A234,'The List'!$B1:$AS665,16,FALSE)," ")</f>
        <v xml:space="preserve"> </v>
      </c>
      <c r="J234" s="83" t="str">
        <f>IFERROR(VLOOKUP($A234,'The List'!$B1:$AS665,17,FALSE)," ")</f>
        <v xml:space="preserve"> </v>
      </c>
      <c r="K234" s="83" t="str">
        <f>IFERROR(VLOOKUP($A234,'The List'!$B1:$AS665,18,FALSE)," ")</f>
        <v xml:space="preserve"> </v>
      </c>
      <c r="L234" s="83" t="str">
        <f>IFERROR(VLOOKUP($A234,'The List'!$B1:$AS665,19,FALSE)," ")</f>
        <v xml:space="preserve"> </v>
      </c>
      <c r="M234" s="83" t="str">
        <f>IFERROR(VLOOKUP($A234,'The List'!$B1:$AS665,20,FALSE)," ")</f>
        <v xml:space="preserve"> </v>
      </c>
      <c r="N234" s="83" t="str">
        <f>IFERROR(VLOOKUP($A234,'The List'!$B1:$AS665,21,FALSE)," ")</f>
        <v xml:space="preserve"> </v>
      </c>
      <c r="O234" s="83" t="str">
        <f>IFERROR(VLOOKUP($A234,'The List'!$B1:$AS665,22,FALSE)," ")</f>
        <v xml:space="preserve"> </v>
      </c>
      <c r="P234" s="83" t="str">
        <f>IFERROR(VLOOKUP($A234,'The List'!$B1:$AS665,23,FALSE)," ")</f>
        <v xml:space="preserve"> </v>
      </c>
      <c r="Q234" s="83" t="str">
        <f>IFERROR(VLOOKUP($A234,'The List'!$B1:$AS665,24,FALSE)," ")</f>
        <v xml:space="preserve"> </v>
      </c>
      <c r="R234" s="83" t="str">
        <f>IFERROR(VLOOKUP($A234,'The List'!$B1:$AS665,25,FALSE)," ")</f>
        <v xml:space="preserve"> </v>
      </c>
      <c r="S234" s="83" t="str">
        <f>IFERROR(VLOOKUP($A234,'The List'!$B1:$AS665,26,FALSE)," ")</f>
        <v xml:space="preserve"> </v>
      </c>
      <c r="T234" s="83" t="str">
        <f>IFERROR(VLOOKUP($A234,'The List'!$B1:$AS665,27,FALSE)," ")</f>
        <v xml:space="preserve"> </v>
      </c>
      <c r="U234" s="83" t="str">
        <f>IFERROR(VLOOKUP($A234,'The List'!$B1:$AS665,28,FALSE)," ")</f>
        <v xml:space="preserve"> </v>
      </c>
      <c r="V234" s="83" t="str">
        <f>IFERROR(VLOOKUP($A234,'The List'!$B1:$AS665,29,FALSE)," ")</f>
        <v xml:space="preserve"> </v>
      </c>
      <c r="W234" s="83" t="str">
        <f>IFERROR(VLOOKUP($A234,'The List'!$B1:$AS665,30,FALSE)," ")</f>
        <v xml:space="preserve"> </v>
      </c>
      <c r="X234" s="83" t="str">
        <f>IFERROR(VLOOKUP($A234,'The List'!$B1:$AS665,31,FALSE)," ")</f>
        <v xml:space="preserve"> </v>
      </c>
      <c r="Y234" s="83" t="str">
        <f>IFERROR(VLOOKUP($A234,'The List'!$B1:$AS665,32,FALSE)," ")</f>
        <v xml:space="preserve"> </v>
      </c>
      <c r="Z234" s="83" t="str">
        <f>IFERROR(VLOOKUP($A234,'The List'!$B1:$AS665,33,FALSE)," ")</f>
        <v xml:space="preserve"> </v>
      </c>
      <c r="AA234" s="86"/>
      <c r="AB234" s="91"/>
      <c r="AC234" s="91"/>
      <c r="AD234" s="91"/>
      <c r="AE234" s="91"/>
      <c r="AF234" s="91"/>
    </row>
    <row r="235" spans="1:32" ht="21.25" customHeight="1" x14ac:dyDescent="0.15">
      <c r="A235" s="23"/>
      <c r="B235" s="88" t="str">
        <f>IFERROR(VLOOKUP($A235,'The List'!$B1:$AS665,3,FALSE)," ")</f>
        <v xml:space="preserve"> </v>
      </c>
      <c r="C235" s="92" t="str">
        <f>IFERROR(VLOOKUP($A235,'The List'!$B1:$AS665,4,FALSE)," ")</f>
        <v xml:space="preserve"> </v>
      </c>
      <c r="D235" s="65" t="str">
        <f>IFERROR(VLOOKUP($A235,'The List'!$B1:$AS665,5,FALSE)," ")</f>
        <v xml:space="preserve"> </v>
      </c>
      <c r="E235" s="65" t="str">
        <f>IFERROR(VLOOKUP($A235,'The List'!$B1:$AS665,6,FALSE)," ")</f>
        <v xml:space="preserve"> </v>
      </c>
      <c r="F235" s="93" t="str">
        <f>IFERROR(VLOOKUP($A235,'The List'!$B1:$AS665,8,FALSE)," ")</f>
        <v xml:space="preserve"> </v>
      </c>
      <c r="G235" s="93" t="str">
        <f>IFERROR(VLOOKUP($A235,'The List'!$B1:$AS665,10,FALSE)," ")</f>
        <v xml:space="preserve"> </v>
      </c>
      <c r="H235" s="54"/>
      <c r="I235" s="83" t="str">
        <f>IFERROR(VLOOKUP($A235,'The List'!$B1:$AS665,16,FALSE)," ")</f>
        <v xml:space="preserve"> </v>
      </c>
      <c r="J235" s="83" t="str">
        <f>IFERROR(VLOOKUP($A235,'The List'!$B1:$AS665,17,FALSE)," ")</f>
        <v xml:space="preserve"> </v>
      </c>
      <c r="K235" s="83" t="str">
        <f>IFERROR(VLOOKUP($A235,'The List'!$B1:$AS665,18,FALSE)," ")</f>
        <v xml:space="preserve"> </v>
      </c>
      <c r="L235" s="83" t="str">
        <f>IFERROR(VLOOKUP($A235,'The List'!$B1:$AS665,19,FALSE)," ")</f>
        <v xml:space="preserve"> </v>
      </c>
      <c r="M235" s="83" t="str">
        <f>IFERROR(VLOOKUP($A235,'The List'!$B1:$AS665,20,FALSE)," ")</f>
        <v xml:space="preserve"> </v>
      </c>
      <c r="N235" s="83" t="str">
        <f>IFERROR(VLOOKUP($A235,'The List'!$B1:$AS665,21,FALSE)," ")</f>
        <v xml:space="preserve"> </v>
      </c>
      <c r="O235" s="83" t="str">
        <f>IFERROR(VLOOKUP($A235,'The List'!$B1:$AS665,22,FALSE)," ")</f>
        <v xml:space="preserve"> </v>
      </c>
      <c r="P235" s="83" t="str">
        <f>IFERROR(VLOOKUP($A235,'The List'!$B1:$AS665,23,FALSE)," ")</f>
        <v xml:space="preserve"> </v>
      </c>
      <c r="Q235" s="83" t="str">
        <f>IFERROR(VLOOKUP($A235,'The List'!$B1:$AS665,24,FALSE)," ")</f>
        <v xml:space="preserve"> </v>
      </c>
      <c r="R235" s="83" t="str">
        <f>IFERROR(VLOOKUP($A235,'The List'!$B1:$AS665,25,FALSE)," ")</f>
        <v xml:space="preserve"> </v>
      </c>
      <c r="S235" s="83" t="str">
        <f>IFERROR(VLOOKUP($A235,'The List'!$B1:$AS665,26,FALSE)," ")</f>
        <v xml:space="preserve"> </v>
      </c>
      <c r="T235" s="83" t="str">
        <f>IFERROR(VLOOKUP($A235,'The List'!$B1:$AS665,27,FALSE)," ")</f>
        <v xml:space="preserve"> </v>
      </c>
      <c r="U235" s="83" t="str">
        <f>IFERROR(VLOOKUP($A235,'The List'!$B1:$AS665,28,FALSE)," ")</f>
        <v xml:space="preserve"> </v>
      </c>
      <c r="V235" s="83" t="str">
        <f>IFERROR(VLOOKUP($A235,'The List'!$B1:$AS665,29,FALSE)," ")</f>
        <v xml:space="preserve"> </v>
      </c>
      <c r="W235" s="83" t="str">
        <f>IFERROR(VLOOKUP($A235,'The List'!$B1:$AS665,30,FALSE)," ")</f>
        <v xml:space="preserve"> </v>
      </c>
      <c r="X235" s="83" t="str">
        <f>IFERROR(VLOOKUP($A235,'The List'!$B1:$AS665,31,FALSE)," ")</f>
        <v xml:space="preserve"> </v>
      </c>
      <c r="Y235" s="83" t="str">
        <f>IFERROR(VLOOKUP($A235,'The List'!$B1:$AS665,32,FALSE)," ")</f>
        <v xml:space="preserve"> </v>
      </c>
      <c r="Z235" s="83" t="str">
        <f>IFERROR(VLOOKUP($A235,'The List'!$B1:$AS665,33,FALSE)," ")</f>
        <v xml:space="preserve"> </v>
      </c>
      <c r="AA235" s="86"/>
      <c r="AB235" s="91"/>
      <c r="AC235" s="91"/>
      <c r="AD235" s="91"/>
      <c r="AE235" s="91"/>
      <c r="AF235" s="91"/>
    </row>
    <row r="236" spans="1:32" ht="21.25" customHeight="1" x14ac:dyDescent="0.15">
      <c r="A236" s="23"/>
      <c r="B236" s="88" t="str">
        <f>IFERROR(VLOOKUP($A236,'The List'!$B1:$AS665,3,FALSE)," ")</f>
        <v xml:space="preserve"> </v>
      </c>
      <c r="C236" s="92" t="str">
        <f>IFERROR(VLOOKUP($A236,'The List'!$B1:$AS665,4,FALSE)," ")</f>
        <v xml:space="preserve"> </v>
      </c>
      <c r="D236" s="65" t="str">
        <f>IFERROR(VLOOKUP($A236,'The List'!$B1:$AS665,5,FALSE)," ")</f>
        <v xml:space="preserve"> </v>
      </c>
      <c r="E236" s="65" t="str">
        <f>IFERROR(VLOOKUP($A236,'The List'!$B1:$AS665,6,FALSE)," ")</f>
        <v xml:space="preserve"> </v>
      </c>
      <c r="F236" s="93" t="str">
        <f>IFERROR(VLOOKUP($A236,'The List'!$B1:$AS665,8,FALSE)," ")</f>
        <v xml:space="preserve"> </v>
      </c>
      <c r="G236" s="93" t="str">
        <f>IFERROR(VLOOKUP($A236,'The List'!$B1:$AS665,10,FALSE)," ")</f>
        <v xml:space="preserve"> </v>
      </c>
      <c r="H236" s="54"/>
      <c r="I236" s="83" t="str">
        <f>IFERROR(VLOOKUP($A236,'The List'!$B1:$AS665,16,FALSE)," ")</f>
        <v xml:space="preserve"> </v>
      </c>
      <c r="J236" s="83" t="str">
        <f>IFERROR(VLOOKUP($A236,'The List'!$B1:$AS665,17,FALSE)," ")</f>
        <v xml:space="preserve"> </v>
      </c>
      <c r="K236" s="83" t="str">
        <f>IFERROR(VLOOKUP($A236,'The List'!$B1:$AS665,18,FALSE)," ")</f>
        <v xml:space="preserve"> </v>
      </c>
      <c r="L236" s="83" t="str">
        <f>IFERROR(VLOOKUP($A236,'The List'!$B1:$AS665,19,FALSE)," ")</f>
        <v xml:space="preserve"> </v>
      </c>
      <c r="M236" s="83" t="str">
        <f>IFERROR(VLOOKUP($A236,'The List'!$B1:$AS665,20,FALSE)," ")</f>
        <v xml:space="preserve"> </v>
      </c>
      <c r="N236" s="83" t="str">
        <f>IFERROR(VLOOKUP($A236,'The List'!$B1:$AS665,21,FALSE)," ")</f>
        <v xml:space="preserve"> </v>
      </c>
      <c r="O236" s="83" t="str">
        <f>IFERROR(VLOOKUP($A236,'The List'!$B1:$AS665,22,FALSE)," ")</f>
        <v xml:space="preserve"> </v>
      </c>
      <c r="P236" s="83" t="str">
        <f>IFERROR(VLOOKUP($A236,'The List'!$B1:$AS665,23,FALSE)," ")</f>
        <v xml:space="preserve"> </v>
      </c>
      <c r="Q236" s="83" t="str">
        <f>IFERROR(VLOOKUP($A236,'The List'!$B1:$AS665,24,FALSE)," ")</f>
        <v xml:space="preserve"> </v>
      </c>
      <c r="R236" s="83" t="str">
        <f>IFERROR(VLOOKUP($A236,'The List'!$B1:$AS665,25,FALSE)," ")</f>
        <v xml:space="preserve"> </v>
      </c>
      <c r="S236" s="83" t="str">
        <f>IFERROR(VLOOKUP($A236,'The List'!$B1:$AS665,26,FALSE)," ")</f>
        <v xml:space="preserve"> </v>
      </c>
      <c r="T236" s="83" t="str">
        <f>IFERROR(VLOOKUP($A236,'The List'!$B1:$AS665,27,FALSE)," ")</f>
        <v xml:space="preserve"> </v>
      </c>
      <c r="U236" s="83" t="str">
        <f>IFERROR(VLOOKUP($A236,'The List'!$B1:$AS665,28,FALSE)," ")</f>
        <v xml:space="preserve"> </v>
      </c>
      <c r="V236" s="83" t="str">
        <f>IFERROR(VLOOKUP($A236,'The List'!$B1:$AS665,29,FALSE)," ")</f>
        <v xml:space="preserve"> </v>
      </c>
      <c r="W236" s="83" t="str">
        <f>IFERROR(VLOOKUP($A236,'The List'!$B1:$AS665,30,FALSE)," ")</f>
        <v xml:space="preserve"> </v>
      </c>
      <c r="X236" s="83" t="str">
        <f>IFERROR(VLOOKUP($A236,'The List'!$B1:$AS665,31,FALSE)," ")</f>
        <v xml:space="preserve"> </v>
      </c>
      <c r="Y236" s="83" t="str">
        <f>IFERROR(VLOOKUP($A236,'The List'!$B1:$AS665,32,FALSE)," ")</f>
        <v xml:space="preserve"> </v>
      </c>
      <c r="Z236" s="83" t="str">
        <f>IFERROR(VLOOKUP($A236,'The List'!$B1:$AS665,33,FALSE)," ")</f>
        <v xml:space="preserve"> </v>
      </c>
      <c r="AA236" s="86"/>
      <c r="AB236" s="91"/>
      <c r="AC236" s="91"/>
      <c r="AD236" s="91"/>
      <c r="AE236" s="91"/>
      <c r="AF236" s="91"/>
    </row>
    <row r="237" spans="1:32" ht="21.25" customHeight="1" x14ac:dyDescent="0.15">
      <c r="A237" s="23"/>
      <c r="B237" s="88" t="str">
        <f>IFERROR(VLOOKUP($A237,'The List'!$B1:$AS665,3,FALSE)," ")</f>
        <v xml:space="preserve"> </v>
      </c>
      <c r="C237" s="92" t="str">
        <f>IFERROR(VLOOKUP($A237,'The List'!$B1:$AS665,4,FALSE)," ")</f>
        <v xml:space="preserve"> </v>
      </c>
      <c r="D237" s="65" t="str">
        <f>IFERROR(VLOOKUP($A237,'The List'!$B1:$AS665,5,FALSE)," ")</f>
        <v xml:space="preserve"> </v>
      </c>
      <c r="E237" s="65" t="str">
        <f>IFERROR(VLOOKUP($A237,'The List'!$B1:$AS665,6,FALSE)," ")</f>
        <v xml:space="preserve"> </v>
      </c>
      <c r="F237" s="93" t="str">
        <f>IFERROR(VLOOKUP($A237,'The List'!$B1:$AS665,8,FALSE)," ")</f>
        <v xml:space="preserve"> </v>
      </c>
      <c r="G237" s="93" t="str">
        <f>IFERROR(VLOOKUP($A237,'The List'!$B1:$AS665,10,FALSE)," ")</f>
        <v xml:space="preserve"> </v>
      </c>
      <c r="H237" s="54"/>
      <c r="I237" s="83" t="str">
        <f>IFERROR(VLOOKUP($A237,'The List'!$B1:$AS665,16,FALSE)," ")</f>
        <v xml:space="preserve"> </v>
      </c>
      <c r="J237" s="83" t="str">
        <f>IFERROR(VLOOKUP($A237,'The List'!$B1:$AS665,17,FALSE)," ")</f>
        <v xml:space="preserve"> </v>
      </c>
      <c r="K237" s="83" t="str">
        <f>IFERROR(VLOOKUP($A237,'The List'!$B1:$AS665,18,FALSE)," ")</f>
        <v xml:space="preserve"> </v>
      </c>
      <c r="L237" s="83" t="str">
        <f>IFERROR(VLOOKUP($A237,'The List'!$B1:$AS665,19,FALSE)," ")</f>
        <v xml:space="preserve"> </v>
      </c>
      <c r="M237" s="83" t="str">
        <f>IFERROR(VLOOKUP($A237,'The List'!$B1:$AS665,20,FALSE)," ")</f>
        <v xml:space="preserve"> </v>
      </c>
      <c r="N237" s="83" t="str">
        <f>IFERROR(VLOOKUP($A237,'The List'!$B1:$AS665,21,FALSE)," ")</f>
        <v xml:space="preserve"> </v>
      </c>
      <c r="O237" s="83" t="str">
        <f>IFERROR(VLOOKUP($A237,'The List'!$B1:$AS665,22,FALSE)," ")</f>
        <v xml:space="preserve"> </v>
      </c>
      <c r="P237" s="83" t="str">
        <f>IFERROR(VLOOKUP($A237,'The List'!$B1:$AS665,23,FALSE)," ")</f>
        <v xml:space="preserve"> </v>
      </c>
      <c r="Q237" s="83" t="str">
        <f>IFERROR(VLOOKUP($A237,'The List'!$B1:$AS665,24,FALSE)," ")</f>
        <v xml:space="preserve"> </v>
      </c>
      <c r="R237" s="83" t="str">
        <f>IFERROR(VLOOKUP($A237,'The List'!$B1:$AS665,25,FALSE)," ")</f>
        <v xml:space="preserve"> </v>
      </c>
      <c r="S237" s="83" t="str">
        <f>IFERROR(VLOOKUP($A237,'The List'!$B1:$AS665,26,FALSE)," ")</f>
        <v xml:space="preserve"> </v>
      </c>
      <c r="T237" s="83" t="str">
        <f>IFERROR(VLOOKUP($A237,'The List'!$B1:$AS665,27,FALSE)," ")</f>
        <v xml:space="preserve"> </v>
      </c>
      <c r="U237" s="83" t="str">
        <f>IFERROR(VLOOKUP($A237,'The List'!$B1:$AS665,28,FALSE)," ")</f>
        <v xml:space="preserve"> </v>
      </c>
      <c r="V237" s="83" t="str">
        <f>IFERROR(VLOOKUP($A237,'The List'!$B1:$AS665,29,FALSE)," ")</f>
        <v xml:space="preserve"> </v>
      </c>
      <c r="W237" s="83" t="str">
        <f>IFERROR(VLOOKUP($A237,'The List'!$B1:$AS665,30,FALSE)," ")</f>
        <v xml:space="preserve"> </v>
      </c>
      <c r="X237" s="83" t="str">
        <f>IFERROR(VLOOKUP($A237,'The List'!$B1:$AS665,31,FALSE)," ")</f>
        <v xml:space="preserve"> </v>
      </c>
      <c r="Y237" s="83" t="str">
        <f>IFERROR(VLOOKUP($A237,'The List'!$B1:$AS665,32,FALSE)," ")</f>
        <v xml:space="preserve"> </v>
      </c>
      <c r="Z237" s="83" t="str">
        <f>IFERROR(VLOOKUP($A237,'The List'!$B1:$AS665,33,FALSE)," ")</f>
        <v xml:space="preserve"> </v>
      </c>
      <c r="AA237" s="86"/>
      <c r="AB237" s="91"/>
      <c r="AC237" s="91"/>
      <c r="AD237" s="91"/>
      <c r="AE237" s="91"/>
      <c r="AF237" s="91"/>
    </row>
    <row r="238" spans="1:32" ht="21.25" customHeight="1" x14ac:dyDescent="0.15">
      <c r="A238" s="23"/>
      <c r="B238" s="94" t="str">
        <f>IFERROR(VLOOKUP($A238,'The List'!$B1:$AS665,3,FALSE)," ")</f>
        <v xml:space="preserve"> </v>
      </c>
      <c r="C238" s="96" t="str">
        <f>IFERROR(VLOOKUP($A238,'The List'!$B1:$AS665,4,FALSE)," ")</f>
        <v xml:space="preserve"> </v>
      </c>
      <c r="D238" s="65" t="str">
        <f>IFERROR(VLOOKUP($A238,'The List'!$B1:$AS665,5,FALSE)," ")</f>
        <v xml:space="preserve"> </v>
      </c>
      <c r="E238" s="65" t="str">
        <f>IFERROR(VLOOKUP($A238,'The List'!$B1:$AS665,6,FALSE)," ")</f>
        <v xml:space="preserve"> </v>
      </c>
      <c r="F238" s="93" t="str">
        <f>IFERROR(VLOOKUP($A238,'The List'!$B1:$AS665,8,FALSE)," ")</f>
        <v xml:space="preserve"> </v>
      </c>
      <c r="G238" s="93" t="str">
        <f>IFERROR(VLOOKUP($A238,'The List'!$B1:$AS665,10,FALSE)," ")</f>
        <v xml:space="preserve"> </v>
      </c>
      <c r="H238" s="54"/>
      <c r="I238" s="83" t="str">
        <f>IFERROR(VLOOKUP($A238,'The List'!$B1:$AS665,16,FALSE)," ")</f>
        <v xml:space="preserve"> </v>
      </c>
      <c r="J238" s="83" t="str">
        <f>IFERROR(VLOOKUP($A238,'The List'!$B1:$AS665,17,FALSE)," ")</f>
        <v xml:space="preserve"> </v>
      </c>
      <c r="K238" s="83" t="str">
        <f>IFERROR(VLOOKUP($A238,'The List'!$B1:$AS665,18,FALSE)," ")</f>
        <v xml:space="preserve"> </v>
      </c>
      <c r="L238" s="83" t="str">
        <f>IFERROR(VLOOKUP($A238,'The List'!$B1:$AS665,19,FALSE)," ")</f>
        <v xml:space="preserve"> </v>
      </c>
      <c r="M238" s="83" t="str">
        <f>IFERROR(VLOOKUP($A238,'The List'!$B1:$AS665,20,FALSE)," ")</f>
        <v xml:space="preserve"> </v>
      </c>
      <c r="N238" s="83" t="str">
        <f>IFERROR(VLOOKUP($A238,'The List'!$B1:$AS665,21,FALSE)," ")</f>
        <v xml:space="preserve"> </v>
      </c>
      <c r="O238" s="83" t="str">
        <f>IFERROR(VLOOKUP($A238,'The List'!$B1:$AS665,22,FALSE)," ")</f>
        <v xml:space="preserve"> </v>
      </c>
      <c r="P238" s="83" t="str">
        <f>IFERROR(VLOOKUP($A238,'The List'!$B1:$AS665,23,FALSE)," ")</f>
        <v xml:space="preserve"> </v>
      </c>
      <c r="Q238" s="83" t="str">
        <f>IFERROR(VLOOKUP($A238,'The List'!$B1:$AS665,24,FALSE)," ")</f>
        <v xml:space="preserve"> </v>
      </c>
      <c r="R238" s="83" t="str">
        <f>IFERROR(VLOOKUP($A238,'The List'!$B1:$AS665,25,FALSE)," ")</f>
        <v xml:space="preserve"> </v>
      </c>
      <c r="S238" s="83" t="str">
        <f>IFERROR(VLOOKUP($A238,'The List'!$B1:$AS665,26,FALSE)," ")</f>
        <v xml:space="preserve"> </v>
      </c>
      <c r="T238" s="83" t="str">
        <f>IFERROR(VLOOKUP($A238,'The List'!$B1:$AS665,27,FALSE)," ")</f>
        <v xml:space="preserve"> </v>
      </c>
      <c r="U238" s="83" t="str">
        <f>IFERROR(VLOOKUP($A238,'The List'!$B1:$AS665,28,FALSE)," ")</f>
        <v xml:space="preserve"> </v>
      </c>
      <c r="V238" s="83" t="str">
        <f>IFERROR(VLOOKUP($A238,'The List'!$B1:$AS665,29,FALSE)," ")</f>
        <v xml:space="preserve"> </v>
      </c>
      <c r="W238" s="83" t="str">
        <f>IFERROR(VLOOKUP($A238,'The List'!$B1:$AS665,30,FALSE)," ")</f>
        <v xml:space="preserve"> </v>
      </c>
      <c r="X238" s="83" t="str">
        <f>IFERROR(VLOOKUP($A238,'The List'!$B1:$AS665,31,FALSE)," ")</f>
        <v xml:space="preserve"> </v>
      </c>
      <c r="Y238" s="83" t="str">
        <f>IFERROR(VLOOKUP($A238,'The List'!$B1:$AS665,32,FALSE)," ")</f>
        <v xml:space="preserve"> </v>
      </c>
      <c r="Z238" s="83" t="str">
        <f>IFERROR(VLOOKUP($A238,'The List'!$B1:$AS665,33,FALSE)," ")</f>
        <v xml:space="preserve"> </v>
      </c>
      <c r="AA238" s="86"/>
      <c r="AB238" s="91"/>
      <c r="AC238" s="91"/>
      <c r="AD238" s="91"/>
      <c r="AE238" s="91"/>
      <c r="AF238" s="91"/>
    </row>
    <row r="239" spans="1:32" ht="21.25" customHeight="1" x14ac:dyDescent="0.15">
      <c r="A239" s="23"/>
      <c r="B239" s="94" t="str">
        <f>IFERROR(VLOOKUP($A239,'The List'!$B1:$AS665,3,FALSE)," ")</f>
        <v xml:space="preserve"> </v>
      </c>
      <c r="C239" s="96" t="str">
        <f>IFERROR(VLOOKUP($A239,'The List'!$B1:$AS665,4,FALSE)," ")</f>
        <v xml:space="preserve"> </v>
      </c>
      <c r="D239" s="65" t="str">
        <f>IFERROR(VLOOKUP($A239,'The List'!$B1:$AS665,5,FALSE)," ")</f>
        <v xml:space="preserve"> </v>
      </c>
      <c r="E239" s="65" t="str">
        <f>IFERROR(VLOOKUP($A239,'The List'!$B1:$AS665,6,FALSE)," ")</f>
        <v xml:space="preserve"> </v>
      </c>
      <c r="F239" s="93" t="str">
        <f>IFERROR(VLOOKUP($A239,'The List'!$B1:$AS665,8,FALSE)," ")</f>
        <v xml:space="preserve"> </v>
      </c>
      <c r="G239" s="93" t="str">
        <f>IFERROR(VLOOKUP($A239,'The List'!$B1:$AS665,10,FALSE)," ")</f>
        <v xml:space="preserve"> </v>
      </c>
      <c r="H239" s="54"/>
      <c r="I239" s="83" t="str">
        <f>IFERROR(VLOOKUP($A239,'The List'!$B1:$AS665,16,FALSE)," ")</f>
        <v xml:space="preserve"> </v>
      </c>
      <c r="J239" s="83" t="str">
        <f>IFERROR(VLOOKUP($A239,'The List'!$B1:$AS665,17,FALSE)," ")</f>
        <v xml:space="preserve"> </v>
      </c>
      <c r="K239" s="83" t="str">
        <f>IFERROR(VLOOKUP($A239,'The List'!$B1:$AS665,18,FALSE)," ")</f>
        <v xml:space="preserve"> </v>
      </c>
      <c r="L239" s="83" t="str">
        <f>IFERROR(VLOOKUP($A239,'The List'!$B1:$AS665,19,FALSE)," ")</f>
        <v xml:space="preserve"> </v>
      </c>
      <c r="M239" s="83" t="str">
        <f>IFERROR(VLOOKUP($A239,'The List'!$B1:$AS665,20,FALSE)," ")</f>
        <v xml:space="preserve"> </v>
      </c>
      <c r="N239" s="83" t="str">
        <f>IFERROR(VLOOKUP($A239,'The List'!$B1:$AS665,21,FALSE)," ")</f>
        <v xml:space="preserve"> </v>
      </c>
      <c r="O239" s="83" t="str">
        <f>IFERROR(VLOOKUP($A239,'The List'!$B1:$AS665,22,FALSE)," ")</f>
        <v xml:space="preserve"> </v>
      </c>
      <c r="P239" s="83" t="str">
        <f>IFERROR(VLOOKUP($A239,'The List'!$B1:$AS665,23,FALSE)," ")</f>
        <v xml:space="preserve"> </v>
      </c>
      <c r="Q239" s="83" t="str">
        <f>IFERROR(VLOOKUP($A239,'The List'!$B1:$AS665,24,FALSE)," ")</f>
        <v xml:space="preserve"> </v>
      </c>
      <c r="R239" s="83" t="str">
        <f>IFERROR(VLOOKUP($A239,'The List'!$B1:$AS665,25,FALSE)," ")</f>
        <v xml:space="preserve"> </v>
      </c>
      <c r="S239" s="83" t="str">
        <f>IFERROR(VLOOKUP($A239,'The List'!$B1:$AS665,26,FALSE)," ")</f>
        <v xml:space="preserve"> </v>
      </c>
      <c r="T239" s="83" t="str">
        <f>IFERROR(VLOOKUP($A239,'The List'!$B1:$AS665,27,FALSE)," ")</f>
        <v xml:space="preserve"> </v>
      </c>
      <c r="U239" s="83" t="str">
        <f>IFERROR(VLOOKUP($A239,'The List'!$B1:$AS665,28,FALSE)," ")</f>
        <v xml:space="preserve"> </v>
      </c>
      <c r="V239" s="83" t="str">
        <f>IFERROR(VLOOKUP($A239,'The List'!$B1:$AS665,29,FALSE)," ")</f>
        <v xml:space="preserve"> </v>
      </c>
      <c r="W239" s="83" t="str">
        <f>IFERROR(VLOOKUP($A239,'The List'!$B1:$AS665,30,FALSE)," ")</f>
        <v xml:space="preserve"> </v>
      </c>
      <c r="X239" s="83" t="str">
        <f>IFERROR(VLOOKUP($A239,'The List'!$B1:$AS665,31,FALSE)," ")</f>
        <v xml:space="preserve"> </v>
      </c>
      <c r="Y239" s="83" t="str">
        <f>IFERROR(VLOOKUP($A239,'The List'!$B1:$AS665,32,FALSE)," ")</f>
        <v xml:space="preserve"> </v>
      </c>
      <c r="Z239" s="83" t="str">
        <f>IFERROR(VLOOKUP($A239,'The List'!$B1:$AS665,33,FALSE)," ")</f>
        <v xml:space="preserve"> </v>
      </c>
      <c r="AA239" s="86"/>
      <c r="AB239" s="91"/>
      <c r="AC239" s="91"/>
      <c r="AD239" s="91"/>
      <c r="AE239" s="91"/>
      <c r="AF239" s="91"/>
    </row>
    <row r="240" spans="1:32" ht="21.25" customHeight="1" x14ac:dyDescent="0.15">
      <c r="A240" s="23"/>
      <c r="B240" s="94" t="str">
        <f>IFERROR(VLOOKUP($A240,'The List'!$B1:$AS665,3,FALSE)," ")</f>
        <v xml:space="preserve"> </v>
      </c>
      <c r="C240" s="96" t="str">
        <f>IFERROR(VLOOKUP($A240,'The List'!$B1:$AS665,4,FALSE)," ")</f>
        <v xml:space="preserve"> </v>
      </c>
      <c r="D240" s="65" t="str">
        <f>IFERROR(VLOOKUP($A240,'The List'!$B1:$AS665,5,FALSE)," ")</f>
        <v xml:space="preserve"> </v>
      </c>
      <c r="E240" s="65" t="str">
        <f>IFERROR(VLOOKUP($A240,'The List'!$B1:$AS665,6,FALSE)," ")</f>
        <v xml:space="preserve"> </v>
      </c>
      <c r="F240" s="93" t="str">
        <f>IFERROR(VLOOKUP($A240,'The List'!$B1:$AS665,8,FALSE)," ")</f>
        <v xml:space="preserve"> </v>
      </c>
      <c r="G240" s="93" t="str">
        <f>IFERROR(VLOOKUP($A240,'The List'!$B1:$AS665,10,FALSE)," ")</f>
        <v xml:space="preserve"> </v>
      </c>
      <c r="H240" s="54"/>
      <c r="I240" s="83" t="str">
        <f>IFERROR(VLOOKUP($A240,'The List'!$B1:$AS665,16,FALSE)," ")</f>
        <v xml:space="preserve"> </v>
      </c>
      <c r="J240" s="83" t="str">
        <f>IFERROR(VLOOKUP($A240,'The List'!$B1:$AS665,17,FALSE)," ")</f>
        <v xml:space="preserve"> </v>
      </c>
      <c r="K240" s="83" t="str">
        <f>IFERROR(VLOOKUP($A240,'The List'!$B1:$AS665,18,FALSE)," ")</f>
        <v xml:space="preserve"> </v>
      </c>
      <c r="L240" s="83" t="str">
        <f>IFERROR(VLOOKUP($A240,'The List'!$B1:$AS665,19,FALSE)," ")</f>
        <v xml:space="preserve"> </v>
      </c>
      <c r="M240" s="83" t="str">
        <f>IFERROR(VLOOKUP($A240,'The List'!$B1:$AS665,20,FALSE)," ")</f>
        <v xml:space="preserve"> </v>
      </c>
      <c r="N240" s="83" t="str">
        <f>IFERROR(VLOOKUP($A240,'The List'!$B1:$AS665,21,FALSE)," ")</f>
        <v xml:space="preserve"> </v>
      </c>
      <c r="O240" s="83" t="str">
        <f>IFERROR(VLOOKUP($A240,'The List'!$B1:$AS665,22,FALSE)," ")</f>
        <v xml:space="preserve"> </v>
      </c>
      <c r="P240" s="83" t="str">
        <f>IFERROR(VLOOKUP($A240,'The List'!$B1:$AS665,23,FALSE)," ")</f>
        <v xml:space="preserve"> </v>
      </c>
      <c r="Q240" s="83" t="str">
        <f>IFERROR(VLOOKUP($A240,'The List'!$B1:$AS665,24,FALSE)," ")</f>
        <v xml:space="preserve"> </v>
      </c>
      <c r="R240" s="83" t="str">
        <f>IFERROR(VLOOKUP($A240,'The List'!$B1:$AS665,25,FALSE)," ")</f>
        <v xml:space="preserve"> </v>
      </c>
      <c r="S240" s="83" t="str">
        <f>IFERROR(VLOOKUP($A240,'The List'!$B1:$AS665,26,FALSE)," ")</f>
        <v xml:space="preserve"> </v>
      </c>
      <c r="T240" s="83" t="str">
        <f>IFERROR(VLOOKUP($A240,'The List'!$B1:$AS665,27,FALSE)," ")</f>
        <v xml:space="preserve"> </v>
      </c>
      <c r="U240" s="83" t="str">
        <f>IFERROR(VLOOKUP($A240,'The List'!$B1:$AS665,28,FALSE)," ")</f>
        <v xml:space="preserve"> </v>
      </c>
      <c r="V240" s="83" t="str">
        <f>IFERROR(VLOOKUP($A240,'The List'!$B1:$AS665,29,FALSE)," ")</f>
        <v xml:space="preserve"> </v>
      </c>
      <c r="W240" s="83" t="str">
        <f>IFERROR(VLOOKUP($A240,'The List'!$B1:$AS665,30,FALSE)," ")</f>
        <v xml:space="preserve"> </v>
      </c>
      <c r="X240" s="83" t="str">
        <f>IFERROR(VLOOKUP($A240,'The List'!$B1:$AS665,31,FALSE)," ")</f>
        <v xml:space="preserve"> </v>
      </c>
      <c r="Y240" s="83" t="str">
        <f>IFERROR(VLOOKUP($A240,'The List'!$B1:$AS665,32,FALSE)," ")</f>
        <v xml:space="preserve"> </v>
      </c>
      <c r="Z240" s="83" t="str">
        <f>IFERROR(VLOOKUP($A240,'The List'!$B1:$AS665,33,FALSE)," ")</f>
        <v xml:space="preserve"> </v>
      </c>
      <c r="AA240" s="86"/>
      <c r="AB240" s="91"/>
      <c r="AC240" s="91"/>
      <c r="AD240" s="91"/>
      <c r="AE240" s="91"/>
      <c r="AF240" s="91"/>
    </row>
    <row r="241" spans="1:32" ht="21.25" customHeight="1" x14ac:dyDescent="0.15">
      <c r="A241" s="23"/>
      <c r="B241" s="94" t="str">
        <f>IFERROR(VLOOKUP($A241,'The List'!$B1:$AS665,3,FALSE)," ")</f>
        <v xml:space="preserve"> </v>
      </c>
      <c r="C241" s="96" t="str">
        <f>IFERROR(VLOOKUP($A241,'The List'!$B1:$AS665,4,FALSE)," ")</f>
        <v xml:space="preserve"> </v>
      </c>
      <c r="D241" s="65" t="str">
        <f>IFERROR(VLOOKUP($A241,'The List'!$B1:$AS665,5,FALSE)," ")</f>
        <v xml:space="preserve"> </v>
      </c>
      <c r="E241" s="65" t="str">
        <f>IFERROR(VLOOKUP($A241,'The List'!$B1:$AS665,6,FALSE)," ")</f>
        <v xml:space="preserve"> </v>
      </c>
      <c r="F241" s="93" t="str">
        <f>IFERROR(VLOOKUP($A241,'The List'!$B1:$AS665,8,FALSE)," ")</f>
        <v xml:space="preserve"> </v>
      </c>
      <c r="G241" s="93" t="str">
        <f>IFERROR(VLOOKUP($A241,'The List'!$B1:$AS665,10,FALSE)," ")</f>
        <v xml:space="preserve"> </v>
      </c>
      <c r="H241" s="54"/>
      <c r="I241" s="83" t="str">
        <f>IFERROR(VLOOKUP($A241,'The List'!$B1:$AS665,16,FALSE)," ")</f>
        <v xml:space="preserve"> </v>
      </c>
      <c r="J241" s="83" t="str">
        <f>IFERROR(VLOOKUP($A241,'The List'!$B1:$AS665,17,FALSE)," ")</f>
        <v xml:space="preserve"> </v>
      </c>
      <c r="K241" s="83" t="str">
        <f>IFERROR(VLOOKUP($A241,'The List'!$B1:$AS665,18,FALSE)," ")</f>
        <v xml:space="preserve"> </v>
      </c>
      <c r="L241" s="83" t="str">
        <f>IFERROR(VLOOKUP($A241,'The List'!$B1:$AS665,19,FALSE)," ")</f>
        <v xml:space="preserve"> </v>
      </c>
      <c r="M241" s="83" t="str">
        <f>IFERROR(VLOOKUP($A241,'The List'!$B1:$AS665,20,FALSE)," ")</f>
        <v xml:space="preserve"> </v>
      </c>
      <c r="N241" s="83" t="str">
        <f>IFERROR(VLOOKUP($A241,'The List'!$B1:$AS665,21,FALSE)," ")</f>
        <v xml:space="preserve"> </v>
      </c>
      <c r="O241" s="83" t="str">
        <f>IFERROR(VLOOKUP($A241,'The List'!$B1:$AS665,22,FALSE)," ")</f>
        <v xml:space="preserve"> </v>
      </c>
      <c r="P241" s="83" t="str">
        <f>IFERROR(VLOOKUP($A241,'The List'!$B1:$AS665,23,FALSE)," ")</f>
        <v xml:space="preserve"> </v>
      </c>
      <c r="Q241" s="83" t="str">
        <f>IFERROR(VLOOKUP($A241,'The List'!$B1:$AS665,24,FALSE)," ")</f>
        <v xml:space="preserve"> </v>
      </c>
      <c r="R241" s="83" t="str">
        <f>IFERROR(VLOOKUP($A241,'The List'!$B1:$AS665,25,FALSE)," ")</f>
        <v xml:space="preserve"> </v>
      </c>
      <c r="S241" s="83" t="str">
        <f>IFERROR(VLOOKUP($A241,'The List'!$B1:$AS665,26,FALSE)," ")</f>
        <v xml:space="preserve"> </v>
      </c>
      <c r="T241" s="83" t="str">
        <f>IFERROR(VLOOKUP($A241,'The List'!$B1:$AS665,27,FALSE)," ")</f>
        <v xml:space="preserve"> </v>
      </c>
      <c r="U241" s="83" t="str">
        <f>IFERROR(VLOOKUP($A241,'The List'!$B1:$AS665,28,FALSE)," ")</f>
        <v xml:space="preserve"> </v>
      </c>
      <c r="V241" s="83" t="str">
        <f>IFERROR(VLOOKUP($A241,'The List'!$B1:$AS665,29,FALSE)," ")</f>
        <v xml:space="preserve"> </v>
      </c>
      <c r="W241" s="83" t="str">
        <f>IFERROR(VLOOKUP($A241,'The List'!$B1:$AS665,30,FALSE)," ")</f>
        <v xml:space="preserve"> </v>
      </c>
      <c r="X241" s="83" t="str">
        <f>IFERROR(VLOOKUP($A241,'The List'!$B1:$AS665,31,FALSE)," ")</f>
        <v xml:space="preserve"> </v>
      </c>
      <c r="Y241" s="83" t="str">
        <f>IFERROR(VLOOKUP($A241,'The List'!$B1:$AS665,32,FALSE)," ")</f>
        <v xml:space="preserve"> </v>
      </c>
      <c r="Z241" s="83" t="str">
        <f>IFERROR(VLOOKUP($A241,'The List'!$B1:$AS665,33,FALSE)," ")</f>
        <v xml:space="preserve"> </v>
      </c>
      <c r="AA241" s="86"/>
      <c r="AB241" s="91"/>
      <c r="AC241" s="91"/>
      <c r="AD241" s="91"/>
      <c r="AE241" s="91"/>
      <c r="AF241" s="91"/>
    </row>
    <row r="242" spans="1:32" ht="21.25" customHeight="1" x14ac:dyDescent="0.15">
      <c r="A242" s="23"/>
      <c r="B242" s="97" t="str">
        <f>IFERROR(VLOOKUP($A242,'The List'!$B1:$AS665,3,FALSE)," ")</f>
        <v xml:space="preserve"> </v>
      </c>
      <c r="C242" s="99" t="str">
        <f>IFERROR(VLOOKUP($A242,'The List'!$B1:$AS665,4,FALSE)," ")</f>
        <v xml:space="preserve"> </v>
      </c>
      <c r="D242" s="65" t="str">
        <f>IFERROR(VLOOKUP($A242,'The List'!$B1:$AS665,5,FALSE)," ")</f>
        <v xml:space="preserve"> </v>
      </c>
      <c r="E242" s="65" t="str">
        <f>IFERROR(VLOOKUP($A242,'The List'!$B1:$AS665,6,FALSE)," ")</f>
        <v xml:space="preserve"> </v>
      </c>
      <c r="F242" s="93" t="str">
        <f>IFERROR(VLOOKUP($A242,'The List'!$B1:$AS665,8,FALSE)," ")</f>
        <v xml:space="preserve"> </v>
      </c>
      <c r="G242" s="93" t="str">
        <f>IFERROR(VLOOKUP($A242,'The List'!$B1:$AS665,10,FALSE)," ")</f>
        <v xml:space="preserve"> </v>
      </c>
      <c r="H242" s="54"/>
      <c r="I242" s="83" t="str">
        <f>IFERROR(VLOOKUP($A242,'The List'!$B1:$AS665,16,FALSE)," ")</f>
        <v xml:space="preserve"> </v>
      </c>
      <c r="J242" s="83" t="str">
        <f>IFERROR(VLOOKUP($A242,'The List'!$B1:$AS665,17,FALSE)," ")</f>
        <v xml:space="preserve"> </v>
      </c>
      <c r="K242" s="83" t="str">
        <f>IFERROR(VLOOKUP($A242,'The List'!$B1:$AS665,18,FALSE)," ")</f>
        <v xml:space="preserve"> </v>
      </c>
      <c r="L242" s="83" t="str">
        <f>IFERROR(VLOOKUP($A242,'The List'!$B1:$AS665,19,FALSE)," ")</f>
        <v xml:space="preserve"> </v>
      </c>
      <c r="M242" s="83" t="str">
        <f>IFERROR(VLOOKUP($A242,'The List'!$B1:$AS665,20,FALSE)," ")</f>
        <v xml:space="preserve"> </v>
      </c>
      <c r="N242" s="83" t="str">
        <f>IFERROR(VLOOKUP($A242,'The List'!$B1:$AS665,21,FALSE)," ")</f>
        <v xml:space="preserve"> </v>
      </c>
      <c r="O242" s="83" t="str">
        <f>IFERROR(VLOOKUP($A242,'The List'!$B1:$AS665,22,FALSE)," ")</f>
        <v xml:space="preserve"> </v>
      </c>
      <c r="P242" s="83" t="str">
        <f>IFERROR(VLOOKUP($A242,'The List'!$B1:$AS665,23,FALSE)," ")</f>
        <v xml:space="preserve"> </v>
      </c>
      <c r="Q242" s="83" t="str">
        <f>IFERROR(VLOOKUP($A242,'The List'!$B1:$AS665,24,FALSE)," ")</f>
        <v xml:space="preserve"> </v>
      </c>
      <c r="R242" s="83" t="str">
        <f>IFERROR(VLOOKUP($A242,'The List'!$B1:$AS665,25,FALSE)," ")</f>
        <v xml:space="preserve"> </v>
      </c>
      <c r="S242" s="83" t="str">
        <f>IFERROR(VLOOKUP($A242,'The List'!$B1:$AS665,26,FALSE)," ")</f>
        <v xml:space="preserve"> </v>
      </c>
      <c r="T242" s="83" t="str">
        <f>IFERROR(VLOOKUP($A242,'The List'!$B1:$AS665,27,FALSE)," ")</f>
        <v xml:space="preserve"> </v>
      </c>
      <c r="U242" s="83" t="str">
        <f>IFERROR(VLOOKUP($A242,'The List'!$B1:$AS665,28,FALSE)," ")</f>
        <v xml:space="preserve"> </v>
      </c>
      <c r="V242" s="83" t="str">
        <f>IFERROR(VLOOKUP($A242,'The List'!$B1:$AS665,29,FALSE)," ")</f>
        <v xml:space="preserve"> </v>
      </c>
      <c r="W242" s="83" t="str">
        <f>IFERROR(VLOOKUP($A242,'The List'!$B1:$AS665,30,FALSE)," ")</f>
        <v xml:space="preserve"> </v>
      </c>
      <c r="X242" s="83" t="str">
        <f>IFERROR(VLOOKUP($A242,'The List'!$B1:$AS665,31,FALSE)," ")</f>
        <v xml:space="preserve"> </v>
      </c>
      <c r="Y242" s="83" t="str">
        <f>IFERROR(VLOOKUP($A242,'The List'!$B1:$AS665,32,FALSE)," ")</f>
        <v xml:space="preserve"> </v>
      </c>
      <c r="Z242" s="83" t="str">
        <f>IFERROR(VLOOKUP($A242,'The List'!$B1:$AS665,33,FALSE)," ")</f>
        <v xml:space="preserve"> </v>
      </c>
      <c r="AA242" s="86"/>
      <c r="AB242" s="91"/>
      <c r="AC242" s="91"/>
      <c r="AD242" s="91"/>
      <c r="AE242" s="91"/>
      <c r="AF242" s="91"/>
    </row>
    <row r="243" spans="1:32" ht="21.25" customHeight="1" x14ac:dyDescent="0.15">
      <c r="A243" s="23"/>
      <c r="B243" s="97" t="str">
        <f>IFERROR(VLOOKUP($A243,'The List'!$B1:$AS665,3,FALSE)," ")</f>
        <v xml:space="preserve"> </v>
      </c>
      <c r="C243" s="99" t="str">
        <f>IFERROR(VLOOKUP($A243,'The List'!$B1:$AS665,4,FALSE)," ")</f>
        <v xml:space="preserve"> </v>
      </c>
      <c r="D243" s="65" t="str">
        <f>IFERROR(VLOOKUP($A243,'The List'!$B1:$AS665,5,FALSE)," ")</f>
        <v xml:space="preserve"> </v>
      </c>
      <c r="E243" s="65" t="str">
        <f>IFERROR(VLOOKUP($A243,'The List'!$B1:$AS665,6,FALSE)," ")</f>
        <v xml:space="preserve"> </v>
      </c>
      <c r="F243" s="93" t="str">
        <f>IFERROR(VLOOKUP($A243,'The List'!$B1:$AS665,8,FALSE)," ")</f>
        <v xml:space="preserve"> </v>
      </c>
      <c r="G243" s="93" t="str">
        <f>IFERROR(VLOOKUP($A243,'The List'!$B1:$AS665,10,FALSE)," ")</f>
        <v xml:space="preserve"> </v>
      </c>
      <c r="H243" s="54"/>
      <c r="I243" s="83" t="str">
        <f>IFERROR(VLOOKUP($A243,'The List'!$B1:$AS665,16,FALSE)," ")</f>
        <v xml:space="preserve"> </v>
      </c>
      <c r="J243" s="83" t="str">
        <f>IFERROR(VLOOKUP($A243,'The List'!$B1:$AS665,17,FALSE)," ")</f>
        <v xml:space="preserve"> </v>
      </c>
      <c r="K243" s="83" t="str">
        <f>IFERROR(VLOOKUP($A243,'The List'!$B1:$AS665,18,FALSE)," ")</f>
        <v xml:space="preserve"> </v>
      </c>
      <c r="L243" s="83" t="str">
        <f>IFERROR(VLOOKUP($A243,'The List'!$B1:$AS665,19,FALSE)," ")</f>
        <v xml:space="preserve"> </v>
      </c>
      <c r="M243" s="83" t="str">
        <f>IFERROR(VLOOKUP($A243,'The List'!$B1:$AS665,20,FALSE)," ")</f>
        <v xml:space="preserve"> </v>
      </c>
      <c r="N243" s="83" t="str">
        <f>IFERROR(VLOOKUP($A243,'The List'!$B1:$AS665,21,FALSE)," ")</f>
        <v xml:space="preserve"> </v>
      </c>
      <c r="O243" s="83" t="str">
        <f>IFERROR(VLOOKUP($A243,'The List'!$B1:$AS665,22,FALSE)," ")</f>
        <v xml:space="preserve"> </v>
      </c>
      <c r="P243" s="83" t="str">
        <f>IFERROR(VLOOKUP($A243,'The List'!$B1:$AS665,23,FALSE)," ")</f>
        <v xml:space="preserve"> </v>
      </c>
      <c r="Q243" s="83" t="str">
        <f>IFERROR(VLOOKUP($A243,'The List'!$B1:$AS665,24,FALSE)," ")</f>
        <v xml:space="preserve"> </v>
      </c>
      <c r="R243" s="83" t="str">
        <f>IFERROR(VLOOKUP($A243,'The List'!$B1:$AS665,25,FALSE)," ")</f>
        <v xml:space="preserve"> </v>
      </c>
      <c r="S243" s="83" t="str">
        <f>IFERROR(VLOOKUP($A243,'The List'!$B1:$AS665,26,FALSE)," ")</f>
        <v xml:space="preserve"> </v>
      </c>
      <c r="T243" s="83" t="str">
        <f>IFERROR(VLOOKUP($A243,'The List'!$B1:$AS665,27,FALSE)," ")</f>
        <v xml:space="preserve"> </v>
      </c>
      <c r="U243" s="83" t="str">
        <f>IFERROR(VLOOKUP($A243,'The List'!$B1:$AS665,28,FALSE)," ")</f>
        <v xml:space="preserve"> </v>
      </c>
      <c r="V243" s="83" t="str">
        <f>IFERROR(VLOOKUP($A243,'The List'!$B1:$AS665,29,FALSE)," ")</f>
        <v xml:space="preserve"> </v>
      </c>
      <c r="W243" s="83" t="str">
        <f>IFERROR(VLOOKUP($A243,'The List'!$B1:$AS665,30,FALSE)," ")</f>
        <v xml:space="preserve"> </v>
      </c>
      <c r="X243" s="83" t="str">
        <f>IFERROR(VLOOKUP($A243,'The List'!$B1:$AS665,31,FALSE)," ")</f>
        <v xml:space="preserve"> </v>
      </c>
      <c r="Y243" s="83" t="str">
        <f>IFERROR(VLOOKUP($A243,'The List'!$B1:$AS665,32,FALSE)," ")</f>
        <v xml:space="preserve"> </v>
      </c>
      <c r="Z243" s="83" t="str">
        <f>IFERROR(VLOOKUP($A243,'The List'!$B1:$AS665,33,FALSE)," ")</f>
        <v xml:space="preserve"> </v>
      </c>
      <c r="AA243" s="86"/>
      <c r="AB243" s="91"/>
      <c r="AC243" s="91"/>
      <c r="AD243" s="91"/>
      <c r="AE243" s="91"/>
      <c r="AF243" s="91"/>
    </row>
    <row r="244" spans="1:32" ht="21.25" customHeight="1" x14ac:dyDescent="0.15">
      <c r="A244" s="23"/>
      <c r="B244" s="97" t="str">
        <f>IFERROR(VLOOKUP($A244,'The List'!$B1:$AS665,3,FALSE)," ")</f>
        <v xml:space="preserve"> </v>
      </c>
      <c r="C244" s="99" t="str">
        <f>IFERROR(VLOOKUP($A244,'The List'!$B1:$AS665,4,FALSE)," ")</f>
        <v xml:space="preserve"> </v>
      </c>
      <c r="D244" s="65" t="str">
        <f>IFERROR(VLOOKUP($A244,'The List'!$B1:$AS665,5,FALSE)," ")</f>
        <v xml:space="preserve"> </v>
      </c>
      <c r="E244" s="65" t="str">
        <f>IFERROR(VLOOKUP($A244,'The List'!$B1:$AS665,6,FALSE)," ")</f>
        <v xml:space="preserve"> </v>
      </c>
      <c r="F244" s="93" t="str">
        <f>IFERROR(VLOOKUP($A244,'The List'!$B1:$AS665,8,FALSE)," ")</f>
        <v xml:space="preserve"> </v>
      </c>
      <c r="G244" s="93" t="str">
        <f>IFERROR(VLOOKUP($A244,'The List'!$B1:$AS665,10,FALSE)," ")</f>
        <v xml:space="preserve"> </v>
      </c>
      <c r="H244" s="54"/>
      <c r="I244" s="83" t="str">
        <f>IFERROR(VLOOKUP($A244,'The List'!$B1:$AS665,16,FALSE)," ")</f>
        <v xml:space="preserve"> </v>
      </c>
      <c r="J244" s="83" t="str">
        <f>IFERROR(VLOOKUP($A244,'The List'!$B1:$AS665,17,FALSE)," ")</f>
        <v xml:space="preserve"> </v>
      </c>
      <c r="K244" s="83" t="str">
        <f>IFERROR(VLOOKUP($A244,'The List'!$B1:$AS665,18,FALSE)," ")</f>
        <v xml:space="preserve"> </v>
      </c>
      <c r="L244" s="83" t="str">
        <f>IFERROR(VLOOKUP($A244,'The List'!$B1:$AS665,19,FALSE)," ")</f>
        <v xml:space="preserve"> </v>
      </c>
      <c r="M244" s="83" t="str">
        <f>IFERROR(VLOOKUP($A244,'The List'!$B1:$AS665,20,FALSE)," ")</f>
        <v xml:space="preserve"> </v>
      </c>
      <c r="N244" s="83" t="str">
        <f>IFERROR(VLOOKUP($A244,'The List'!$B1:$AS665,21,FALSE)," ")</f>
        <v xml:space="preserve"> </v>
      </c>
      <c r="O244" s="83" t="str">
        <f>IFERROR(VLOOKUP($A244,'The List'!$B1:$AS665,22,FALSE)," ")</f>
        <v xml:space="preserve"> </v>
      </c>
      <c r="P244" s="83" t="str">
        <f>IFERROR(VLOOKUP($A244,'The List'!$B1:$AS665,23,FALSE)," ")</f>
        <v xml:space="preserve"> </v>
      </c>
      <c r="Q244" s="83" t="str">
        <f>IFERROR(VLOOKUP($A244,'The List'!$B1:$AS665,24,FALSE)," ")</f>
        <v xml:space="preserve"> </v>
      </c>
      <c r="R244" s="83" t="str">
        <f>IFERROR(VLOOKUP($A244,'The List'!$B1:$AS665,25,FALSE)," ")</f>
        <v xml:space="preserve"> </v>
      </c>
      <c r="S244" s="83" t="str">
        <f>IFERROR(VLOOKUP($A244,'The List'!$B1:$AS665,26,FALSE)," ")</f>
        <v xml:space="preserve"> </v>
      </c>
      <c r="T244" s="83" t="str">
        <f>IFERROR(VLOOKUP($A244,'The List'!$B1:$AS665,27,FALSE)," ")</f>
        <v xml:space="preserve"> </v>
      </c>
      <c r="U244" s="83" t="str">
        <f>IFERROR(VLOOKUP($A244,'The List'!$B1:$AS665,28,FALSE)," ")</f>
        <v xml:space="preserve"> </v>
      </c>
      <c r="V244" s="83" t="str">
        <f>IFERROR(VLOOKUP($A244,'The List'!$B1:$AS665,29,FALSE)," ")</f>
        <v xml:space="preserve"> </v>
      </c>
      <c r="W244" s="83" t="str">
        <f>IFERROR(VLOOKUP($A244,'The List'!$B1:$AS665,30,FALSE)," ")</f>
        <v xml:space="preserve"> </v>
      </c>
      <c r="X244" s="83" t="str">
        <f>IFERROR(VLOOKUP($A244,'The List'!$B1:$AS665,31,FALSE)," ")</f>
        <v xml:space="preserve"> </v>
      </c>
      <c r="Y244" s="83" t="str">
        <f>IFERROR(VLOOKUP($A244,'The List'!$B1:$AS665,32,FALSE)," ")</f>
        <v xml:space="preserve"> </v>
      </c>
      <c r="Z244" s="83" t="str">
        <f>IFERROR(VLOOKUP($A244,'The List'!$B1:$AS665,33,FALSE)," ")</f>
        <v xml:space="preserve"> </v>
      </c>
      <c r="AA244" s="86"/>
      <c r="AB244" s="91"/>
      <c r="AC244" s="91"/>
      <c r="AD244" s="91"/>
      <c r="AE244" s="91"/>
      <c r="AF244" s="91"/>
    </row>
    <row r="245" spans="1:32" ht="21.25" customHeight="1" x14ac:dyDescent="0.15">
      <c r="A245" s="23"/>
      <c r="B245" s="97" t="str">
        <f>IFERROR(VLOOKUP($A245,'The List'!$B1:$AS665,3,FALSE)," ")</f>
        <v xml:space="preserve"> </v>
      </c>
      <c r="C245" s="99" t="str">
        <f>IFERROR(VLOOKUP($A245,'The List'!$B1:$AS665,4,FALSE)," ")</f>
        <v xml:space="preserve"> </v>
      </c>
      <c r="D245" s="65" t="str">
        <f>IFERROR(VLOOKUP($A245,'The List'!$B1:$AS665,5,FALSE)," ")</f>
        <v xml:space="preserve"> </v>
      </c>
      <c r="E245" s="65" t="str">
        <f>IFERROR(VLOOKUP($A245,'The List'!$B1:$AS665,6,FALSE)," ")</f>
        <v xml:space="preserve"> </v>
      </c>
      <c r="F245" s="93" t="str">
        <f>IFERROR(VLOOKUP($A245,'The List'!$B1:$AS665,8,FALSE)," ")</f>
        <v xml:space="preserve"> </v>
      </c>
      <c r="G245" s="93" t="str">
        <f>IFERROR(VLOOKUP($A245,'The List'!$B1:$AS665,10,FALSE)," ")</f>
        <v xml:space="preserve"> </v>
      </c>
      <c r="H245" s="54"/>
      <c r="I245" s="83" t="str">
        <f>IFERROR(VLOOKUP($A245,'The List'!$B1:$AS665,16,FALSE)," ")</f>
        <v xml:space="preserve"> </v>
      </c>
      <c r="J245" s="83" t="str">
        <f>IFERROR(VLOOKUP($A245,'The List'!$B1:$AS665,17,FALSE)," ")</f>
        <v xml:space="preserve"> </v>
      </c>
      <c r="K245" s="83" t="str">
        <f>IFERROR(VLOOKUP($A245,'The List'!$B1:$AS665,18,FALSE)," ")</f>
        <v xml:space="preserve"> </v>
      </c>
      <c r="L245" s="83" t="str">
        <f>IFERROR(VLOOKUP($A245,'The List'!$B1:$AS665,19,FALSE)," ")</f>
        <v xml:space="preserve"> </v>
      </c>
      <c r="M245" s="83" t="str">
        <f>IFERROR(VLOOKUP($A245,'The List'!$B1:$AS665,20,FALSE)," ")</f>
        <v xml:space="preserve"> </v>
      </c>
      <c r="N245" s="83" t="str">
        <f>IFERROR(VLOOKUP($A245,'The List'!$B1:$AS665,21,FALSE)," ")</f>
        <v xml:space="preserve"> </v>
      </c>
      <c r="O245" s="83" t="str">
        <f>IFERROR(VLOOKUP($A245,'The List'!$B1:$AS665,22,FALSE)," ")</f>
        <v xml:space="preserve"> </v>
      </c>
      <c r="P245" s="83" t="str">
        <f>IFERROR(VLOOKUP($A245,'The List'!$B1:$AS665,23,FALSE)," ")</f>
        <v xml:space="preserve"> </v>
      </c>
      <c r="Q245" s="83" t="str">
        <f>IFERROR(VLOOKUP($A245,'The List'!$B1:$AS665,24,FALSE)," ")</f>
        <v xml:space="preserve"> </v>
      </c>
      <c r="R245" s="83" t="str">
        <f>IFERROR(VLOOKUP($A245,'The List'!$B1:$AS665,25,FALSE)," ")</f>
        <v xml:space="preserve"> </v>
      </c>
      <c r="S245" s="83" t="str">
        <f>IFERROR(VLOOKUP($A245,'The List'!$B1:$AS665,26,FALSE)," ")</f>
        <v xml:space="preserve"> </v>
      </c>
      <c r="T245" s="83" t="str">
        <f>IFERROR(VLOOKUP($A245,'The List'!$B1:$AS665,27,FALSE)," ")</f>
        <v xml:space="preserve"> </v>
      </c>
      <c r="U245" s="83" t="str">
        <f>IFERROR(VLOOKUP($A245,'The List'!$B1:$AS665,28,FALSE)," ")</f>
        <v xml:space="preserve"> </v>
      </c>
      <c r="V245" s="83" t="str">
        <f>IFERROR(VLOOKUP($A245,'The List'!$B1:$AS665,29,FALSE)," ")</f>
        <v xml:space="preserve"> </v>
      </c>
      <c r="W245" s="83" t="str">
        <f>IFERROR(VLOOKUP($A245,'The List'!$B1:$AS665,30,FALSE)," ")</f>
        <v xml:space="preserve"> </v>
      </c>
      <c r="X245" s="83" t="str">
        <f>IFERROR(VLOOKUP($A245,'The List'!$B1:$AS665,31,FALSE)," ")</f>
        <v xml:space="preserve"> </v>
      </c>
      <c r="Y245" s="83" t="str">
        <f>IFERROR(VLOOKUP($A245,'The List'!$B1:$AS665,32,FALSE)," ")</f>
        <v xml:space="preserve"> </v>
      </c>
      <c r="Z245" s="83" t="str">
        <f>IFERROR(VLOOKUP($A245,'The List'!$B1:$AS665,33,FALSE)," ")</f>
        <v xml:space="preserve"> </v>
      </c>
      <c r="AA245" s="86"/>
      <c r="AB245" s="91"/>
      <c r="AC245" s="91"/>
      <c r="AD245" s="91"/>
      <c r="AE245" s="91"/>
      <c r="AF245" s="91"/>
    </row>
    <row r="246" spans="1:32" ht="21.25" customHeight="1" x14ac:dyDescent="0.15">
      <c r="A246" s="23"/>
      <c r="B246" s="100" t="str">
        <f>IFERROR(VLOOKUP($A246,'The List'!$B1:$AS665,3,FALSE)," ")</f>
        <v xml:space="preserve"> </v>
      </c>
      <c r="C246" s="102" t="str">
        <f>IFERROR(VLOOKUP($A246,'The List'!$B1:$AS665,4,FALSE)," ")</f>
        <v xml:space="preserve"> </v>
      </c>
      <c r="D246" s="65" t="str">
        <f>IFERROR(VLOOKUP($A246,'The List'!$B1:$AS665,5,FALSE)," ")</f>
        <v xml:space="preserve"> </v>
      </c>
      <c r="E246" s="65" t="str">
        <f>IFERROR(VLOOKUP($A246,'The List'!$B1:$AS665,6,FALSE)," ")</f>
        <v xml:space="preserve"> </v>
      </c>
      <c r="F246" s="93" t="str">
        <f>IFERROR(VLOOKUP($A246,'The List'!$B1:$AS665,8,FALSE)," ")</f>
        <v xml:space="preserve"> </v>
      </c>
      <c r="G246" s="93" t="str">
        <f>IFERROR(VLOOKUP($A246,'The List'!$B1:$AS665,10,FALSE)," ")</f>
        <v xml:space="preserve"> </v>
      </c>
      <c r="H246" s="54"/>
      <c r="I246" s="83" t="str">
        <f>IFERROR(VLOOKUP($A246,'The List'!$B1:$AS665,16,FALSE)," ")</f>
        <v xml:space="preserve"> </v>
      </c>
      <c r="J246" s="83" t="str">
        <f>IFERROR(VLOOKUP($A246,'The List'!$B1:$AS665,17,FALSE)," ")</f>
        <v xml:space="preserve"> </v>
      </c>
      <c r="K246" s="83" t="str">
        <f>IFERROR(VLOOKUP($A246,'The List'!$B1:$AS665,18,FALSE)," ")</f>
        <v xml:space="preserve"> </v>
      </c>
      <c r="L246" s="83" t="str">
        <f>IFERROR(VLOOKUP($A246,'The List'!$B1:$AS665,19,FALSE)," ")</f>
        <v xml:space="preserve"> </v>
      </c>
      <c r="M246" s="83" t="str">
        <f>IFERROR(VLOOKUP($A246,'The List'!$B1:$AS665,20,FALSE)," ")</f>
        <v xml:space="preserve"> </v>
      </c>
      <c r="N246" s="83" t="str">
        <f>IFERROR(VLOOKUP($A246,'The List'!$B1:$AS665,21,FALSE)," ")</f>
        <v xml:space="preserve"> </v>
      </c>
      <c r="O246" s="83" t="str">
        <f>IFERROR(VLOOKUP($A246,'The List'!$B1:$AS665,22,FALSE)," ")</f>
        <v xml:space="preserve"> </v>
      </c>
      <c r="P246" s="83" t="str">
        <f>IFERROR(VLOOKUP($A246,'The List'!$B1:$AS665,23,FALSE)," ")</f>
        <v xml:space="preserve"> </v>
      </c>
      <c r="Q246" s="83" t="str">
        <f>IFERROR(VLOOKUP($A246,'The List'!$B1:$AS665,24,FALSE)," ")</f>
        <v xml:space="preserve"> </v>
      </c>
      <c r="R246" s="83" t="str">
        <f>IFERROR(VLOOKUP($A246,'The List'!$B1:$AS665,25,FALSE)," ")</f>
        <v xml:space="preserve"> </v>
      </c>
      <c r="S246" s="83" t="str">
        <f>IFERROR(VLOOKUP($A246,'The List'!$B1:$AS665,26,FALSE)," ")</f>
        <v xml:space="preserve"> </v>
      </c>
      <c r="T246" s="83" t="str">
        <f>IFERROR(VLOOKUP($A246,'The List'!$B1:$AS665,27,FALSE)," ")</f>
        <v xml:space="preserve"> </v>
      </c>
      <c r="U246" s="83" t="str">
        <f>IFERROR(VLOOKUP($A246,'The List'!$B1:$AS665,28,FALSE)," ")</f>
        <v xml:space="preserve"> </v>
      </c>
      <c r="V246" s="83" t="str">
        <f>IFERROR(VLOOKUP($A246,'The List'!$B1:$AS665,29,FALSE)," ")</f>
        <v xml:space="preserve"> </v>
      </c>
      <c r="W246" s="83" t="str">
        <f>IFERROR(VLOOKUP($A246,'The List'!$B1:$AS665,30,FALSE)," ")</f>
        <v xml:space="preserve"> </v>
      </c>
      <c r="X246" s="83" t="str">
        <f>IFERROR(VLOOKUP($A246,'The List'!$B1:$AS665,31,FALSE)," ")</f>
        <v xml:space="preserve"> </v>
      </c>
      <c r="Y246" s="83" t="str">
        <f>IFERROR(VLOOKUP($A246,'The List'!$B1:$AS665,32,FALSE)," ")</f>
        <v xml:space="preserve"> </v>
      </c>
      <c r="Z246" s="83" t="str">
        <f>IFERROR(VLOOKUP($A246,'The List'!$B1:$AS665,33,FALSE)," ")</f>
        <v xml:space="preserve"> </v>
      </c>
      <c r="AA246" s="86"/>
      <c r="AB246" s="91"/>
      <c r="AC246" s="91"/>
      <c r="AD246" s="91"/>
      <c r="AE246" s="91"/>
      <c r="AF246" s="91"/>
    </row>
    <row r="247" spans="1:32" ht="21.25" customHeight="1" x14ac:dyDescent="0.15">
      <c r="A247" s="23"/>
      <c r="B247" s="100" t="str">
        <f>IFERROR(VLOOKUP($A247,'The List'!$B1:$AS665,3,FALSE)," ")</f>
        <v xml:space="preserve"> </v>
      </c>
      <c r="C247" s="102" t="str">
        <f>IFERROR(VLOOKUP($A247,'The List'!$B1:$AS665,4,FALSE)," ")</f>
        <v xml:space="preserve"> </v>
      </c>
      <c r="D247" s="65" t="str">
        <f>IFERROR(VLOOKUP($A247,'The List'!$B1:$AS665,5,FALSE)," ")</f>
        <v xml:space="preserve"> </v>
      </c>
      <c r="E247" s="65" t="str">
        <f>IFERROR(VLOOKUP($A247,'The List'!$B1:$AS665,6,FALSE)," ")</f>
        <v xml:space="preserve"> </v>
      </c>
      <c r="F247" s="93" t="str">
        <f>IFERROR(VLOOKUP($A247,'The List'!$B1:$AS665,8,FALSE)," ")</f>
        <v xml:space="preserve"> </v>
      </c>
      <c r="G247" s="93" t="str">
        <f>IFERROR(VLOOKUP($A247,'The List'!$B1:$AS665,10,FALSE)," ")</f>
        <v xml:space="preserve"> </v>
      </c>
      <c r="H247" s="54"/>
      <c r="I247" s="83" t="str">
        <f>IFERROR(VLOOKUP($A247,'The List'!$B1:$AS665,16,FALSE)," ")</f>
        <v xml:space="preserve"> </v>
      </c>
      <c r="J247" s="83" t="str">
        <f>IFERROR(VLOOKUP($A247,'The List'!$B1:$AS665,17,FALSE)," ")</f>
        <v xml:space="preserve"> </v>
      </c>
      <c r="K247" s="83" t="str">
        <f>IFERROR(VLOOKUP($A247,'The List'!$B1:$AS665,18,FALSE)," ")</f>
        <v xml:space="preserve"> </v>
      </c>
      <c r="L247" s="83" t="str">
        <f>IFERROR(VLOOKUP($A247,'The List'!$B1:$AS665,19,FALSE)," ")</f>
        <v xml:space="preserve"> </v>
      </c>
      <c r="M247" s="83" t="str">
        <f>IFERROR(VLOOKUP($A247,'The List'!$B1:$AS665,20,FALSE)," ")</f>
        <v xml:space="preserve"> </v>
      </c>
      <c r="N247" s="83" t="str">
        <f>IFERROR(VLOOKUP($A247,'The List'!$B1:$AS665,21,FALSE)," ")</f>
        <v xml:space="preserve"> </v>
      </c>
      <c r="O247" s="83" t="str">
        <f>IFERROR(VLOOKUP($A247,'The List'!$B1:$AS665,22,FALSE)," ")</f>
        <v xml:space="preserve"> </v>
      </c>
      <c r="P247" s="83" t="str">
        <f>IFERROR(VLOOKUP($A247,'The List'!$B1:$AS665,23,FALSE)," ")</f>
        <v xml:space="preserve"> </v>
      </c>
      <c r="Q247" s="83" t="str">
        <f>IFERROR(VLOOKUP($A247,'The List'!$B1:$AS665,24,FALSE)," ")</f>
        <v xml:space="preserve"> </v>
      </c>
      <c r="R247" s="83" t="str">
        <f>IFERROR(VLOOKUP($A247,'The List'!$B1:$AS665,25,FALSE)," ")</f>
        <v xml:space="preserve"> </v>
      </c>
      <c r="S247" s="83" t="str">
        <f>IFERROR(VLOOKUP($A247,'The List'!$B1:$AS665,26,FALSE)," ")</f>
        <v xml:space="preserve"> </v>
      </c>
      <c r="T247" s="83" t="str">
        <f>IFERROR(VLOOKUP($A247,'The List'!$B1:$AS665,27,FALSE)," ")</f>
        <v xml:space="preserve"> </v>
      </c>
      <c r="U247" s="83" t="str">
        <f>IFERROR(VLOOKUP($A247,'The List'!$B1:$AS665,28,FALSE)," ")</f>
        <v xml:space="preserve"> </v>
      </c>
      <c r="V247" s="83" t="str">
        <f>IFERROR(VLOOKUP($A247,'The List'!$B1:$AS665,29,FALSE)," ")</f>
        <v xml:space="preserve"> </v>
      </c>
      <c r="W247" s="83" t="str">
        <f>IFERROR(VLOOKUP($A247,'The List'!$B1:$AS665,30,FALSE)," ")</f>
        <v xml:space="preserve"> </v>
      </c>
      <c r="X247" s="83" t="str">
        <f>IFERROR(VLOOKUP($A247,'The List'!$B1:$AS665,31,FALSE)," ")</f>
        <v xml:space="preserve"> </v>
      </c>
      <c r="Y247" s="83" t="str">
        <f>IFERROR(VLOOKUP($A247,'The List'!$B1:$AS665,32,FALSE)," ")</f>
        <v xml:space="preserve"> </v>
      </c>
      <c r="Z247" s="83" t="str">
        <f>IFERROR(VLOOKUP($A247,'The List'!$B1:$AS665,33,FALSE)," ")</f>
        <v xml:space="preserve"> </v>
      </c>
      <c r="AA247" s="86"/>
      <c r="AB247" s="91"/>
      <c r="AC247" s="91"/>
      <c r="AD247" s="91"/>
      <c r="AE247" s="91"/>
      <c r="AF247" s="91"/>
    </row>
    <row r="248" spans="1:32" ht="21.25" customHeight="1" x14ac:dyDescent="0.15">
      <c r="A248" s="23"/>
      <c r="B248" s="100" t="str">
        <f>IFERROR(VLOOKUP($A248,'The List'!$B1:$AS665,3,FALSE)," ")</f>
        <v xml:space="preserve"> </v>
      </c>
      <c r="C248" s="102" t="str">
        <f>IFERROR(VLOOKUP($A248,'The List'!$B1:$AS665,4,FALSE)," ")</f>
        <v xml:space="preserve"> </v>
      </c>
      <c r="D248" s="65" t="str">
        <f>IFERROR(VLOOKUP($A248,'The List'!$B1:$AS665,5,FALSE)," ")</f>
        <v xml:space="preserve"> </v>
      </c>
      <c r="E248" s="65" t="str">
        <f>IFERROR(VLOOKUP($A248,'The List'!$B1:$AS665,6,FALSE)," ")</f>
        <v xml:space="preserve"> </v>
      </c>
      <c r="F248" s="93" t="str">
        <f>IFERROR(VLOOKUP($A248,'The List'!$B1:$AS665,8,FALSE)," ")</f>
        <v xml:space="preserve"> </v>
      </c>
      <c r="G248" s="93" t="str">
        <f>IFERROR(VLOOKUP($A248,'The List'!$B1:$AS665,10,FALSE)," ")</f>
        <v xml:space="preserve"> </v>
      </c>
      <c r="H248" s="54"/>
      <c r="I248" s="83" t="str">
        <f>IFERROR(VLOOKUP($A248,'The List'!$B1:$AS665,16,FALSE)," ")</f>
        <v xml:space="preserve"> </v>
      </c>
      <c r="J248" s="83" t="str">
        <f>IFERROR(VLOOKUP($A248,'The List'!$B1:$AS665,17,FALSE)," ")</f>
        <v xml:space="preserve"> </v>
      </c>
      <c r="K248" s="83" t="str">
        <f>IFERROR(VLOOKUP($A248,'The List'!$B1:$AS665,18,FALSE)," ")</f>
        <v xml:space="preserve"> </v>
      </c>
      <c r="L248" s="83" t="str">
        <f>IFERROR(VLOOKUP($A248,'The List'!$B1:$AS665,19,FALSE)," ")</f>
        <v xml:space="preserve"> </v>
      </c>
      <c r="M248" s="83" t="str">
        <f>IFERROR(VLOOKUP($A248,'The List'!$B1:$AS665,20,FALSE)," ")</f>
        <v xml:space="preserve"> </v>
      </c>
      <c r="N248" s="83" t="str">
        <f>IFERROR(VLOOKUP($A248,'The List'!$B1:$AS665,21,FALSE)," ")</f>
        <v xml:space="preserve"> </v>
      </c>
      <c r="O248" s="83" t="str">
        <f>IFERROR(VLOOKUP($A248,'The List'!$B1:$AS665,22,FALSE)," ")</f>
        <v xml:space="preserve"> </v>
      </c>
      <c r="P248" s="83" t="str">
        <f>IFERROR(VLOOKUP($A248,'The List'!$B1:$AS665,23,FALSE)," ")</f>
        <v xml:space="preserve"> </v>
      </c>
      <c r="Q248" s="83" t="str">
        <f>IFERROR(VLOOKUP($A248,'The List'!$B1:$AS665,24,FALSE)," ")</f>
        <v xml:space="preserve"> </v>
      </c>
      <c r="R248" s="83" t="str">
        <f>IFERROR(VLOOKUP($A248,'The List'!$B1:$AS665,25,FALSE)," ")</f>
        <v xml:space="preserve"> </v>
      </c>
      <c r="S248" s="83" t="str">
        <f>IFERROR(VLOOKUP($A248,'The List'!$B1:$AS665,26,FALSE)," ")</f>
        <v xml:space="preserve"> </v>
      </c>
      <c r="T248" s="83" t="str">
        <f>IFERROR(VLOOKUP($A248,'The List'!$B1:$AS665,27,FALSE)," ")</f>
        <v xml:space="preserve"> </v>
      </c>
      <c r="U248" s="83" t="str">
        <f>IFERROR(VLOOKUP($A248,'The List'!$B1:$AS665,28,FALSE)," ")</f>
        <v xml:space="preserve"> </v>
      </c>
      <c r="V248" s="83" t="str">
        <f>IFERROR(VLOOKUP($A248,'The List'!$B1:$AS665,29,FALSE)," ")</f>
        <v xml:space="preserve"> </v>
      </c>
      <c r="W248" s="83" t="str">
        <f>IFERROR(VLOOKUP($A248,'The List'!$B1:$AS665,30,FALSE)," ")</f>
        <v xml:space="preserve"> </v>
      </c>
      <c r="X248" s="83" t="str">
        <f>IFERROR(VLOOKUP($A248,'The List'!$B1:$AS665,31,FALSE)," ")</f>
        <v xml:space="preserve"> </v>
      </c>
      <c r="Y248" s="83" t="str">
        <f>IFERROR(VLOOKUP($A248,'The List'!$B1:$AS665,32,FALSE)," ")</f>
        <v xml:space="preserve"> </v>
      </c>
      <c r="Z248" s="83" t="str">
        <f>IFERROR(VLOOKUP($A248,'The List'!$B1:$AS665,33,FALSE)," ")</f>
        <v xml:space="preserve"> </v>
      </c>
      <c r="AA248" s="86"/>
      <c r="AB248" s="91"/>
      <c r="AC248" s="91"/>
      <c r="AD248" s="91"/>
      <c r="AE248" s="91"/>
      <c r="AF248" s="91"/>
    </row>
    <row r="249" spans="1:32" ht="21.25" customHeight="1" x14ac:dyDescent="0.15">
      <c r="A249" s="23"/>
      <c r="B249" s="100" t="str">
        <f>IFERROR(VLOOKUP($A249,'The List'!$B1:$AS665,3,FALSE)," ")</f>
        <v xml:space="preserve"> </v>
      </c>
      <c r="C249" s="102" t="str">
        <f>IFERROR(VLOOKUP($A249,'The List'!$B1:$AS665,4,FALSE)," ")</f>
        <v xml:space="preserve"> </v>
      </c>
      <c r="D249" s="65" t="str">
        <f>IFERROR(VLOOKUP($A249,'The List'!$B1:$AS665,5,FALSE)," ")</f>
        <v xml:space="preserve"> </v>
      </c>
      <c r="E249" s="65" t="str">
        <f>IFERROR(VLOOKUP($A249,'The List'!$B1:$AS665,6,FALSE)," ")</f>
        <v xml:space="preserve"> </v>
      </c>
      <c r="F249" s="93" t="str">
        <f>IFERROR(VLOOKUP($A249,'The List'!$B1:$AS665,8,FALSE)," ")</f>
        <v xml:space="preserve"> </v>
      </c>
      <c r="G249" s="93" t="str">
        <f>IFERROR(VLOOKUP($A249,'The List'!$B1:$AS665,10,FALSE)," ")</f>
        <v xml:space="preserve"> </v>
      </c>
      <c r="H249" s="54"/>
      <c r="I249" s="83" t="str">
        <f>IFERROR(VLOOKUP($A249,'The List'!$B1:$AS665,16,FALSE)," ")</f>
        <v xml:space="preserve"> </v>
      </c>
      <c r="J249" s="83" t="str">
        <f>IFERROR(VLOOKUP($A249,'The List'!$B1:$AS665,17,FALSE)," ")</f>
        <v xml:space="preserve"> </v>
      </c>
      <c r="K249" s="83" t="str">
        <f>IFERROR(VLOOKUP($A249,'The List'!$B1:$AS665,18,FALSE)," ")</f>
        <v xml:space="preserve"> </v>
      </c>
      <c r="L249" s="83" t="str">
        <f>IFERROR(VLOOKUP($A249,'The List'!$B1:$AS665,19,FALSE)," ")</f>
        <v xml:space="preserve"> </v>
      </c>
      <c r="M249" s="83" t="str">
        <f>IFERROR(VLOOKUP($A249,'The List'!$B1:$AS665,20,FALSE)," ")</f>
        <v xml:space="preserve"> </v>
      </c>
      <c r="N249" s="83" t="str">
        <f>IFERROR(VLOOKUP($A249,'The List'!$B1:$AS665,21,FALSE)," ")</f>
        <v xml:space="preserve"> </v>
      </c>
      <c r="O249" s="83" t="str">
        <f>IFERROR(VLOOKUP($A249,'The List'!$B1:$AS665,22,FALSE)," ")</f>
        <v xml:space="preserve"> </v>
      </c>
      <c r="P249" s="83" t="str">
        <f>IFERROR(VLOOKUP($A249,'The List'!$B1:$AS665,23,FALSE)," ")</f>
        <v xml:space="preserve"> </v>
      </c>
      <c r="Q249" s="83" t="str">
        <f>IFERROR(VLOOKUP($A249,'The List'!$B1:$AS665,24,FALSE)," ")</f>
        <v xml:space="preserve"> </v>
      </c>
      <c r="R249" s="83" t="str">
        <f>IFERROR(VLOOKUP($A249,'The List'!$B1:$AS665,25,FALSE)," ")</f>
        <v xml:space="preserve"> </v>
      </c>
      <c r="S249" s="83" t="str">
        <f>IFERROR(VLOOKUP($A249,'The List'!$B1:$AS665,26,FALSE)," ")</f>
        <v xml:space="preserve"> </v>
      </c>
      <c r="T249" s="83" t="str">
        <f>IFERROR(VLOOKUP($A249,'The List'!$B1:$AS665,27,FALSE)," ")</f>
        <v xml:space="preserve"> </v>
      </c>
      <c r="U249" s="83" t="str">
        <f>IFERROR(VLOOKUP($A249,'The List'!$B1:$AS665,28,FALSE)," ")</f>
        <v xml:space="preserve"> </v>
      </c>
      <c r="V249" s="83" t="str">
        <f>IFERROR(VLOOKUP($A249,'The List'!$B1:$AS665,29,FALSE)," ")</f>
        <v xml:space="preserve"> </v>
      </c>
      <c r="W249" s="83" t="str">
        <f>IFERROR(VLOOKUP($A249,'The List'!$B1:$AS665,30,FALSE)," ")</f>
        <v xml:space="preserve"> </v>
      </c>
      <c r="X249" s="83" t="str">
        <f>IFERROR(VLOOKUP($A249,'The List'!$B1:$AS665,31,FALSE)," ")</f>
        <v xml:space="preserve"> </v>
      </c>
      <c r="Y249" s="83" t="str">
        <f>IFERROR(VLOOKUP($A249,'The List'!$B1:$AS665,32,FALSE)," ")</f>
        <v xml:space="preserve"> </v>
      </c>
      <c r="Z249" s="83" t="str">
        <f>IFERROR(VLOOKUP($A249,'The List'!$B1:$AS665,33,FALSE)," ")</f>
        <v xml:space="preserve"> </v>
      </c>
      <c r="AA249" s="86"/>
      <c r="AB249" s="91"/>
      <c r="AC249" s="91"/>
      <c r="AD249" s="91"/>
      <c r="AE249" s="91"/>
      <c r="AF249" s="91"/>
    </row>
    <row r="250" spans="1:32" ht="21.25" customHeight="1" x14ac:dyDescent="0.15">
      <c r="A250" s="23"/>
      <c r="B250" s="100" t="str">
        <f>IFERROR(VLOOKUP($A250,'The List'!$B1:$AS665,3,FALSE)," ")</f>
        <v xml:space="preserve"> </v>
      </c>
      <c r="C250" s="102" t="str">
        <f>IFERROR(VLOOKUP($A250,'The List'!$B1:$AS665,4,FALSE)," ")</f>
        <v xml:space="preserve"> </v>
      </c>
      <c r="D250" s="65" t="str">
        <f>IFERROR(VLOOKUP($A250,'The List'!$B1:$AS665,5,FALSE)," ")</f>
        <v xml:space="preserve"> </v>
      </c>
      <c r="E250" s="65" t="str">
        <f>IFERROR(VLOOKUP($A250,'The List'!$B1:$AS665,6,FALSE)," ")</f>
        <v xml:space="preserve"> </v>
      </c>
      <c r="F250" s="93" t="str">
        <f>IFERROR(VLOOKUP($A250,'The List'!$B1:$AS665,8,FALSE)," ")</f>
        <v xml:space="preserve"> </v>
      </c>
      <c r="G250" s="93" t="str">
        <f>IFERROR(VLOOKUP($A250,'The List'!$B1:$AS665,10,FALSE)," ")</f>
        <v xml:space="preserve"> </v>
      </c>
      <c r="H250" s="54"/>
      <c r="I250" s="83" t="str">
        <f>IFERROR(VLOOKUP($A250,'The List'!$B1:$AS665,16,FALSE)," ")</f>
        <v xml:space="preserve"> </v>
      </c>
      <c r="J250" s="83" t="str">
        <f>IFERROR(VLOOKUP($A250,'The List'!$B1:$AS665,17,FALSE)," ")</f>
        <v xml:space="preserve"> </v>
      </c>
      <c r="K250" s="83" t="str">
        <f>IFERROR(VLOOKUP($A250,'The List'!$B1:$AS665,18,FALSE)," ")</f>
        <v xml:space="preserve"> </v>
      </c>
      <c r="L250" s="83" t="str">
        <f>IFERROR(VLOOKUP($A250,'The List'!$B1:$AS665,19,FALSE)," ")</f>
        <v xml:space="preserve"> </v>
      </c>
      <c r="M250" s="83" t="str">
        <f>IFERROR(VLOOKUP($A250,'The List'!$B1:$AS665,20,FALSE)," ")</f>
        <v xml:space="preserve"> </v>
      </c>
      <c r="N250" s="83" t="str">
        <f>IFERROR(VLOOKUP($A250,'The List'!$B1:$AS665,21,FALSE)," ")</f>
        <v xml:space="preserve"> </v>
      </c>
      <c r="O250" s="83" t="str">
        <f>IFERROR(VLOOKUP($A250,'The List'!$B1:$AS665,22,FALSE)," ")</f>
        <v xml:space="preserve"> </v>
      </c>
      <c r="P250" s="83" t="str">
        <f>IFERROR(VLOOKUP($A250,'The List'!$B1:$AS665,23,FALSE)," ")</f>
        <v xml:space="preserve"> </v>
      </c>
      <c r="Q250" s="83" t="str">
        <f>IFERROR(VLOOKUP($A250,'The List'!$B1:$AS665,24,FALSE)," ")</f>
        <v xml:space="preserve"> </v>
      </c>
      <c r="R250" s="83" t="str">
        <f>IFERROR(VLOOKUP($A250,'The List'!$B1:$AS665,25,FALSE)," ")</f>
        <v xml:space="preserve"> </v>
      </c>
      <c r="S250" s="83" t="str">
        <f>IFERROR(VLOOKUP($A250,'The List'!$B1:$AS665,26,FALSE)," ")</f>
        <v xml:space="preserve"> </v>
      </c>
      <c r="T250" s="83" t="str">
        <f>IFERROR(VLOOKUP($A250,'The List'!$B1:$AS665,27,FALSE)," ")</f>
        <v xml:space="preserve"> </v>
      </c>
      <c r="U250" s="83" t="str">
        <f>IFERROR(VLOOKUP($A250,'The List'!$B1:$AS665,28,FALSE)," ")</f>
        <v xml:space="preserve"> </v>
      </c>
      <c r="V250" s="83" t="str">
        <f>IFERROR(VLOOKUP($A250,'The List'!$B1:$AS665,29,FALSE)," ")</f>
        <v xml:space="preserve"> </v>
      </c>
      <c r="W250" s="83" t="str">
        <f>IFERROR(VLOOKUP($A250,'The List'!$B1:$AS665,30,FALSE)," ")</f>
        <v xml:space="preserve"> </v>
      </c>
      <c r="X250" s="83" t="str">
        <f>IFERROR(VLOOKUP($A250,'The List'!$B1:$AS665,31,FALSE)," ")</f>
        <v xml:space="preserve"> </v>
      </c>
      <c r="Y250" s="83" t="str">
        <f>IFERROR(VLOOKUP($A250,'The List'!$B1:$AS665,32,FALSE)," ")</f>
        <v xml:space="preserve"> </v>
      </c>
      <c r="Z250" s="83" t="str">
        <f>IFERROR(VLOOKUP($A250,'The List'!$B1:$AS665,33,FALSE)," ")</f>
        <v xml:space="preserve"> </v>
      </c>
      <c r="AA250" s="86"/>
      <c r="AB250" s="91"/>
      <c r="AC250" s="91"/>
      <c r="AD250" s="91"/>
      <c r="AE250" s="91"/>
      <c r="AF250" s="91"/>
    </row>
    <row r="251" spans="1:32" ht="21.25" customHeight="1" x14ac:dyDescent="0.15">
      <c r="A251" s="23"/>
      <c r="B251" s="100" t="str">
        <f>IFERROR(VLOOKUP($A251,'The List'!$B1:$AS665,3,FALSE)," ")</f>
        <v xml:space="preserve"> </v>
      </c>
      <c r="C251" s="102" t="str">
        <f>IFERROR(VLOOKUP($A251,'The List'!$B1:$AS665,4,FALSE)," ")</f>
        <v xml:space="preserve"> </v>
      </c>
      <c r="D251" s="65" t="str">
        <f>IFERROR(VLOOKUP($A251,'The List'!$B1:$AS665,5,FALSE)," ")</f>
        <v xml:space="preserve"> </v>
      </c>
      <c r="E251" s="65" t="str">
        <f>IFERROR(VLOOKUP($A251,'The List'!$B1:$AS665,6,FALSE)," ")</f>
        <v xml:space="preserve"> </v>
      </c>
      <c r="F251" s="93" t="str">
        <f>IFERROR(VLOOKUP($A251,'The List'!$B1:$AS665,8,FALSE)," ")</f>
        <v xml:space="preserve"> </v>
      </c>
      <c r="G251" s="93" t="str">
        <f>IFERROR(VLOOKUP($A251,'The List'!$B1:$AS665,10,FALSE)," ")</f>
        <v xml:space="preserve"> </v>
      </c>
      <c r="H251" s="54"/>
      <c r="I251" s="83" t="str">
        <f>IFERROR(VLOOKUP($A251,'The List'!$B1:$AS665,16,FALSE)," ")</f>
        <v xml:space="preserve"> </v>
      </c>
      <c r="J251" s="83" t="str">
        <f>IFERROR(VLOOKUP($A251,'The List'!$B1:$AS665,17,FALSE)," ")</f>
        <v xml:space="preserve"> </v>
      </c>
      <c r="K251" s="83" t="str">
        <f>IFERROR(VLOOKUP($A251,'The List'!$B1:$AS665,18,FALSE)," ")</f>
        <v xml:space="preserve"> </v>
      </c>
      <c r="L251" s="83" t="str">
        <f>IFERROR(VLOOKUP($A251,'The List'!$B1:$AS665,19,FALSE)," ")</f>
        <v xml:space="preserve"> </v>
      </c>
      <c r="M251" s="83" t="str">
        <f>IFERROR(VLOOKUP($A251,'The List'!$B1:$AS665,20,FALSE)," ")</f>
        <v xml:space="preserve"> </v>
      </c>
      <c r="N251" s="83" t="str">
        <f>IFERROR(VLOOKUP($A251,'The List'!$B1:$AS665,21,FALSE)," ")</f>
        <v xml:space="preserve"> </v>
      </c>
      <c r="O251" s="83" t="str">
        <f>IFERROR(VLOOKUP($A251,'The List'!$B1:$AS665,22,FALSE)," ")</f>
        <v xml:space="preserve"> </v>
      </c>
      <c r="P251" s="83" t="str">
        <f>IFERROR(VLOOKUP($A251,'The List'!$B1:$AS665,23,FALSE)," ")</f>
        <v xml:space="preserve"> </v>
      </c>
      <c r="Q251" s="83" t="str">
        <f>IFERROR(VLOOKUP($A251,'The List'!$B1:$AS665,24,FALSE)," ")</f>
        <v xml:space="preserve"> </v>
      </c>
      <c r="R251" s="83" t="str">
        <f>IFERROR(VLOOKUP($A251,'The List'!$B1:$AS665,25,FALSE)," ")</f>
        <v xml:space="preserve"> </v>
      </c>
      <c r="S251" s="83" t="str">
        <f>IFERROR(VLOOKUP($A251,'The List'!$B1:$AS665,26,FALSE)," ")</f>
        <v xml:space="preserve"> </v>
      </c>
      <c r="T251" s="83" t="str">
        <f>IFERROR(VLOOKUP($A251,'The List'!$B1:$AS665,27,FALSE)," ")</f>
        <v xml:space="preserve"> </v>
      </c>
      <c r="U251" s="83" t="str">
        <f>IFERROR(VLOOKUP($A251,'The List'!$B1:$AS665,28,FALSE)," ")</f>
        <v xml:space="preserve"> </v>
      </c>
      <c r="V251" s="83" t="str">
        <f>IFERROR(VLOOKUP($A251,'The List'!$B1:$AS665,29,FALSE)," ")</f>
        <v xml:space="preserve"> </v>
      </c>
      <c r="W251" s="83" t="str">
        <f>IFERROR(VLOOKUP($A251,'The List'!$B1:$AS665,30,FALSE)," ")</f>
        <v xml:space="preserve"> </v>
      </c>
      <c r="X251" s="83" t="str">
        <f>IFERROR(VLOOKUP($A251,'The List'!$B1:$AS665,31,FALSE)," ")</f>
        <v xml:space="preserve"> </v>
      </c>
      <c r="Y251" s="83" t="str">
        <f>IFERROR(VLOOKUP($A251,'The List'!$B1:$AS665,32,FALSE)," ")</f>
        <v xml:space="preserve"> </v>
      </c>
      <c r="Z251" s="83" t="str">
        <f>IFERROR(VLOOKUP($A251,'The List'!$B1:$AS665,33,FALSE)," ")</f>
        <v xml:space="preserve"> </v>
      </c>
      <c r="AA251" s="86"/>
      <c r="AB251" s="91"/>
      <c r="AC251" s="91"/>
      <c r="AD251" s="91"/>
      <c r="AE251" s="91"/>
      <c r="AF251" s="91"/>
    </row>
    <row r="252" spans="1:32" ht="21.25" customHeight="1" x14ac:dyDescent="0.15">
      <c r="A252" s="23"/>
      <c r="B252" s="100" t="str">
        <f>IFERROR(VLOOKUP($A252,'The List'!$B1:$AS665,3,FALSE)," ")</f>
        <v xml:space="preserve"> </v>
      </c>
      <c r="C252" s="102" t="str">
        <f>IFERROR(VLOOKUP($A252,'The List'!$B1:$AS665,4,FALSE)," ")</f>
        <v xml:space="preserve"> </v>
      </c>
      <c r="D252" s="65" t="str">
        <f>IFERROR(VLOOKUP($A252,'The List'!$B1:$AS665,5,FALSE)," ")</f>
        <v xml:space="preserve"> </v>
      </c>
      <c r="E252" s="65" t="str">
        <f>IFERROR(VLOOKUP($A252,'The List'!$B1:$AS665,6,FALSE)," ")</f>
        <v xml:space="preserve"> </v>
      </c>
      <c r="F252" s="93" t="str">
        <f>IFERROR(VLOOKUP($A252,'The List'!$B1:$AS665,8,FALSE)," ")</f>
        <v xml:space="preserve"> </v>
      </c>
      <c r="G252" s="93" t="str">
        <f>IFERROR(VLOOKUP($A252,'The List'!$B1:$AS665,10,FALSE)," ")</f>
        <v xml:space="preserve"> </v>
      </c>
      <c r="H252" s="54"/>
      <c r="I252" s="83" t="str">
        <f>IFERROR(VLOOKUP($A252,'The List'!$B1:$AS665,16,FALSE)," ")</f>
        <v xml:space="preserve"> </v>
      </c>
      <c r="J252" s="83" t="str">
        <f>IFERROR(VLOOKUP($A252,'The List'!$B1:$AS665,17,FALSE)," ")</f>
        <v xml:space="preserve"> </v>
      </c>
      <c r="K252" s="83" t="str">
        <f>IFERROR(VLOOKUP($A252,'The List'!$B1:$AS665,18,FALSE)," ")</f>
        <v xml:space="preserve"> </v>
      </c>
      <c r="L252" s="83" t="str">
        <f>IFERROR(VLOOKUP($A252,'The List'!$B1:$AS665,19,FALSE)," ")</f>
        <v xml:space="preserve"> </v>
      </c>
      <c r="M252" s="83" t="str">
        <f>IFERROR(VLOOKUP($A252,'The List'!$B1:$AS665,20,FALSE)," ")</f>
        <v xml:space="preserve"> </v>
      </c>
      <c r="N252" s="83" t="str">
        <f>IFERROR(VLOOKUP($A252,'The List'!$B1:$AS665,21,FALSE)," ")</f>
        <v xml:space="preserve"> </v>
      </c>
      <c r="O252" s="83" t="str">
        <f>IFERROR(VLOOKUP($A252,'The List'!$B1:$AS665,22,FALSE)," ")</f>
        <v xml:space="preserve"> </v>
      </c>
      <c r="P252" s="83" t="str">
        <f>IFERROR(VLOOKUP($A252,'The List'!$B1:$AS665,23,FALSE)," ")</f>
        <v xml:space="preserve"> </v>
      </c>
      <c r="Q252" s="83" t="str">
        <f>IFERROR(VLOOKUP($A252,'The List'!$B1:$AS665,24,FALSE)," ")</f>
        <v xml:space="preserve"> </v>
      </c>
      <c r="R252" s="83" t="str">
        <f>IFERROR(VLOOKUP($A252,'The List'!$B1:$AS665,25,FALSE)," ")</f>
        <v xml:space="preserve"> </v>
      </c>
      <c r="S252" s="83" t="str">
        <f>IFERROR(VLOOKUP($A252,'The List'!$B1:$AS665,26,FALSE)," ")</f>
        <v xml:space="preserve"> </v>
      </c>
      <c r="T252" s="83" t="str">
        <f>IFERROR(VLOOKUP($A252,'The List'!$B1:$AS665,27,FALSE)," ")</f>
        <v xml:space="preserve"> </v>
      </c>
      <c r="U252" s="83" t="str">
        <f>IFERROR(VLOOKUP($A252,'The List'!$B1:$AS665,28,FALSE)," ")</f>
        <v xml:space="preserve"> </v>
      </c>
      <c r="V252" s="83" t="str">
        <f>IFERROR(VLOOKUP($A252,'The List'!$B1:$AS665,29,FALSE)," ")</f>
        <v xml:space="preserve"> </v>
      </c>
      <c r="W252" s="83" t="str">
        <f>IFERROR(VLOOKUP($A252,'The List'!$B1:$AS665,30,FALSE)," ")</f>
        <v xml:space="preserve"> </v>
      </c>
      <c r="X252" s="83" t="str">
        <f>IFERROR(VLOOKUP($A252,'The List'!$B1:$AS665,31,FALSE)," ")</f>
        <v xml:space="preserve"> </v>
      </c>
      <c r="Y252" s="83" t="str">
        <f>IFERROR(VLOOKUP($A252,'The List'!$B1:$AS665,32,FALSE)," ")</f>
        <v xml:space="preserve"> </v>
      </c>
      <c r="Z252" s="83" t="str">
        <f>IFERROR(VLOOKUP($A252,'The List'!$B1:$AS665,33,FALSE)," ")</f>
        <v xml:space="preserve"> </v>
      </c>
      <c r="AA252" s="86"/>
      <c r="AB252" s="91"/>
      <c r="AC252" s="91"/>
      <c r="AD252" s="91"/>
      <c r="AE252" s="91"/>
      <c r="AF252" s="91"/>
    </row>
    <row r="253" spans="1:32" ht="21.25" customHeight="1" x14ac:dyDescent="0.15">
      <c r="A253" s="104"/>
      <c r="B253" s="105" t="str">
        <f>IFERROR(VLOOKUP($A253,'The List'!$B1:$AS665,3,FALSE)," ")</f>
        <v xml:space="preserve"> </v>
      </c>
      <c r="C253" s="106" t="str">
        <f>IFERROR(VLOOKUP($A253,'The List'!$B1:$AS665,4,FALSE)," ")</f>
        <v xml:space="preserve"> </v>
      </c>
      <c r="D253" s="107" t="str">
        <f>IFERROR(VLOOKUP($A253,'The List'!$B1:$AS665,5,FALSE)," ")</f>
        <v xml:space="preserve"> </v>
      </c>
      <c r="E253" s="107" t="str">
        <f>IFERROR(VLOOKUP($A253,'The List'!$B1:$AS665,6,FALSE)," ")</f>
        <v xml:space="preserve"> </v>
      </c>
      <c r="F253" s="108" t="str">
        <f>IFERROR(VLOOKUP($A253,'The List'!$B1:$AS665,8,FALSE)," ")</f>
        <v xml:space="preserve"> </v>
      </c>
      <c r="G253" s="108" t="str">
        <f>IFERROR(VLOOKUP($A253,'The List'!$B1:$AS665,10,FALSE)," ")</f>
        <v xml:space="preserve"> </v>
      </c>
      <c r="H253" s="109"/>
      <c r="I253" s="110" t="str">
        <f>IFERROR(VLOOKUP($A253,'The List'!$B1:$AS665,16,FALSE)," ")</f>
        <v xml:space="preserve"> </v>
      </c>
      <c r="J253" s="110" t="str">
        <f>IFERROR(VLOOKUP($A253,'The List'!$B1:$AS665,17,FALSE)," ")</f>
        <v xml:space="preserve"> </v>
      </c>
      <c r="K253" s="110" t="str">
        <f>IFERROR(VLOOKUP($A253,'The List'!$B1:$AS665,18,FALSE)," ")</f>
        <v xml:space="preserve"> </v>
      </c>
      <c r="L253" s="110" t="str">
        <f>IFERROR(VLOOKUP($A253,'The List'!$B1:$AS665,19,FALSE)," ")</f>
        <v xml:space="preserve"> </v>
      </c>
      <c r="M253" s="110" t="str">
        <f>IFERROR(VLOOKUP($A253,'The List'!$B1:$AS665,20,FALSE)," ")</f>
        <v xml:space="preserve"> </v>
      </c>
      <c r="N253" s="110" t="str">
        <f>IFERROR(VLOOKUP($A253,'The List'!$B1:$AS665,21,FALSE)," ")</f>
        <v xml:space="preserve"> </v>
      </c>
      <c r="O253" s="110" t="str">
        <f>IFERROR(VLOOKUP($A253,'The List'!$B1:$AS665,22,FALSE)," ")</f>
        <v xml:space="preserve"> </v>
      </c>
      <c r="P253" s="110" t="str">
        <f>IFERROR(VLOOKUP($A253,'The List'!$B1:$AS665,23,FALSE)," ")</f>
        <v xml:space="preserve"> </v>
      </c>
      <c r="Q253" s="110" t="str">
        <f>IFERROR(VLOOKUP($A253,'The List'!$B1:$AS665,24,FALSE)," ")</f>
        <v xml:space="preserve"> </v>
      </c>
      <c r="R253" s="110" t="str">
        <f>IFERROR(VLOOKUP($A253,'The List'!$B1:$AS665,25,FALSE)," ")</f>
        <v xml:space="preserve"> </v>
      </c>
      <c r="S253" s="110" t="str">
        <f>IFERROR(VLOOKUP($A253,'The List'!$B1:$AS665,26,FALSE)," ")</f>
        <v xml:space="preserve"> </v>
      </c>
      <c r="T253" s="110" t="str">
        <f>IFERROR(VLOOKUP($A253,'The List'!$B1:$AS665,27,FALSE)," ")</f>
        <v xml:space="preserve"> </v>
      </c>
      <c r="U253" s="110" t="str">
        <f>IFERROR(VLOOKUP($A253,'The List'!$B1:$AS665,28,FALSE)," ")</f>
        <v xml:space="preserve"> </v>
      </c>
      <c r="V253" s="110" t="str">
        <f>IFERROR(VLOOKUP($A253,'The List'!$B1:$AS665,29,FALSE)," ")</f>
        <v xml:space="preserve"> </v>
      </c>
      <c r="W253" s="110" t="str">
        <f>IFERROR(VLOOKUP($A253,'The List'!$B1:$AS665,30,FALSE)," ")</f>
        <v xml:space="preserve"> </v>
      </c>
      <c r="X253" s="110" t="str">
        <f>IFERROR(VLOOKUP($A253,'The List'!$B1:$AS665,31,FALSE)," ")</f>
        <v xml:space="preserve"> </v>
      </c>
      <c r="Y253" s="110" t="str">
        <f>IFERROR(VLOOKUP($A253,'The List'!$B1:$AS665,32,FALSE)," ")</f>
        <v xml:space="preserve"> </v>
      </c>
      <c r="Z253" s="110" t="str">
        <f>IFERROR(VLOOKUP($A253,'The List'!$B1:$AS665,33,FALSE)," ")</f>
        <v xml:space="preserve"> </v>
      </c>
      <c r="AA253" s="86"/>
      <c r="AB253" s="91"/>
      <c r="AC253" s="91"/>
      <c r="AD253" s="91"/>
      <c r="AE253" s="91"/>
      <c r="AF253" s="91"/>
    </row>
    <row r="254" spans="1:32" ht="21.25" customHeight="1" x14ac:dyDescent="0.15">
      <c r="A254" s="111"/>
      <c r="B254" s="112"/>
      <c r="C254" s="113"/>
      <c r="D254" s="114"/>
      <c r="E254" s="146" t="str">
        <f>IFERROR(AVERAGE(E234:E253)," ")</f>
        <v xml:space="preserve"> </v>
      </c>
      <c r="F254" s="116">
        <f>SUM(F234:F253)</f>
        <v>0</v>
      </c>
      <c r="G254" s="116">
        <f>SUM(G234:G253)</f>
        <v>0</v>
      </c>
      <c r="H254" s="117"/>
      <c r="I254" s="118">
        <f>SUM(I234:I253)</f>
        <v>0</v>
      </c>
      <c r="J254" s="117" t="e">
        <f>AVERAGE(J234:J253)</f>
        <v>#DIV/0!</v>
      </c>
      <c r="K254" s="118">
        <f t="shared" ref="K254:Y254" si="16">SUM(K234:K253)</f>
        <v>0</v>
      </c>
      <c r="L254" s="118">
        <f t="shared" si="16"/>
        <v>0</v>
      </c>
      <c r="M254" s="118">
        <f t="shared" si="16"/>
        <v>0</v>
      </c>
      <c r="N254" s="118">
        <f t="shared" si="16"/>
        <v>0</v>
      </c>
      <c r="O254" s="118">
        <f t="shared" si="16"/>
        <v>0</v>
      </c>
      <c r="P254" s="118">
        <f t="shared" si="16"/>
        <v>0</v>
      </c>
      <c r="Q254" s="118">
        <f t="shared" si="16"/>
        <v>0</v>
      </c>
      <c r="R254" s="118">
        <f t="shared" si="16"/>
        <v>0</v>
      </c>
      <c r="S254" s="118">
        <f t="shared" si="16"/>
        <v>0</v>
      </c>
      <c r="T254" s="118">
        <f t="shared" si="16"/>
        <v>0</v>
      </c>
      <c r="U254" s="118">
        <f t="shared" si="16"/>
        <v>0</v>
      </c>
      <c r="V254" s="118">
        <f t="shared" si="16"/>
        <v>0</v>
      </c>
      <c r="W254" s="118">
        <f t="shared" si="16"/>
        <v>0</v>
      </c>
      <c r="X254" s="118">
        <f t="shared" si="16"/>
        <v>0</v>
      </c>
      <c r="Y254" s="118">
        <f t="shared" si="16"/>
        <v>0</v>
      </c>
      <c r="Z254" s="119">
        <f>IFERROR(X254/(X254+Y254),0)</f>
        <v>0</v>
      </c>
      <c r="AA254" s="86"/>
      <c r="AB254" s="120"/>
      <c r="AC254" s="120"/>
      <c r="AD254" s="120"/>
      <c r="AE254" s="120"/>
      <c r="AF254" s="120"/>
    </row>
    <row r="255" spans="1:32" ht="21.25" customHeight="1" x14ac:dyDescent="0.15">
      <c r="A255" s="34"/>
      <c r="B255" s="121"/>
      <c r="C255" s="122"/>
      <c r="D255" s="12"/>
      <c r="E255" s="12"/>
      <c r="F255" s="123"/>
      <c r="G255" s="124"/>
      <c r="H255" s="125"/>
      <c r="I255" s="12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91"/>
      <c r="AC255" s="91"/>
      <c r="AD255" s="91"/>
      <c r="AE255" s="91"/>
      <c r="AF255" s="91"/>
    </row>
    <row r="256" spans="1:32" ht="21.25" customHeight="1" x14ac:dyDescent="0.15">
      <c r="A256" s="37" t="s">
        <v>89</v>
      </c>
      <c r="B256" s="205" t="s">
        <v>91</v>
      </c>
      <c r="C256" s="195"/>
      <c r="D256" s="40" t="s">
        <v>92</v>
      </c>
      <c r="E256" s="40" t="s">
        <v>93</v>
      </c>
      <c r="F256" s="127" t="s">
        <v>95</v>
      </c>
      <c r="G256" s="127" t="s">
        <v>97</v>
      </c>
      <c r="H256" s="128"/>
      <c r="I256" s="129" t="s">
        <v>102</v>
      </c>
      <c r="J256" s="129" t="s">
        <v>118</v>
      </c>
      <c r="K256" s="129" t="s">
        <v>119</v>
      </c>
      <c r="L256" s="129" t="s">
        <v>120</v>
      </c>
      <c r="M256" s="129" t="s">
        <v>121</v>
      </c>
      <c r="N256" s="129" t="s">
        <v>122</v>
      </c>
      <c r="O256" s="129" t="s">
        <v>123</v>
      </c>
      <c r="P256" s="129" t="s">
        <v>124</v>
      </c>
      <c r="Q256" s="129" t="s">
        <v>125</v>
      </c>
      <c r="R256" s="86"/>
      <c r="S256" s="86"/>
      <c r="T256" s="86"/>
      <c r="U256" s="205" t="s">
        <v>809</v>
      </c>
      <c r="V256" s="206"/>
      <c r="W256" s="206"/>
      <c r="X256" s="205" t="s">
        <v>810</v>
      </c>
      <c r="Y256" s="206"/>
      <c r="Z256" s="206"/>
      <c r="AA256" s="86"/>
      <c r="AB256" s="86"/>
      <c r="AC256" s="86"/>
      <c r="AD256" s="86"/>
      <c r="AE256" s="86"/>
      <c r="AF256" s="86"/>
    </row>
    <row r="257" spans="1:32" ht="21.25" customHeight="1" x14ac:dyDescent="0.15">
      <c r="A257" s="147"/>
      <c r="B257" s="131" t="str">
        <f>IFERROR(VLOOKUP($A257,'The List'!$B1:$AS665,3,FALSE)," ")</f>
        <v xml:space="preserve"> </v>
      </c>
      <c r="C257" s="148" t="str">
        <f>IFERROR(VLOOKUP($A257,'The List'!$B1:$AS665,4,FALSE)," ")</f>
        <v xml:space="preserve"> </v>
      </c>
      <c r="D257" s="49" t="str">
        <f>IFERROR(VLOOKUP($A257,'The List'!$B1:$AS665,5,FALSE)," ")</f>
        <v xml:space="preserve"> </v>
      </c>
      <c r="E257" s="49" t="str">
        <f>IFERROR(VLOOKUP($A257,'The List'!$B1:$AS665,6,FALSE)," ")</f>
        <v xml:space="preserve"> </v>
      </c>
      <c r="F257" s="149" t="str">
        <f>IFERROR(VLOOKUP($A257,'The List'!$B1:$AS665,8,FALSE)," ")</f>
        <v xml:space="preserve"> </v>
      </c>
      <c r="G257" s="149" t="str">
        <f>IFERROR(VLOOKUP($A257,'The List'!$B1:$AS665,10,FALSE)," ")</f>
        <v xml:space="preserve"> </v>
      </c>
      <c r="H257" s="135"/>
      <c r="I257" s="150" t="str">
        <f>IFERROR(VLOOKUP($A257,'The List'!$B1:$AS665,35,FALSE)," ")</f>
        <v xml:space="preserve"> </v>
      </c>
      <c r="J257" s="150" t="str">
        <f>IFERROR(VLOOKUP($A257,'The List'!$B1:$AS665,36,FALSE)," ")</f>
        <v xml:space="preserve"> </v>
      </c>
      <c r="K257" s="150" t="str">
        <f>IFERROR(VLOOKUP($A257,'The List'!$B1:$AS665,37,FALSE)," ")</f>
        <v xml:space="preserve"> </v>
      </c>
      <c r="L257" s="150" t="str">
        <f>IFERROR(VLOOKUP($A257,'The List'!$B1:$AS665,38,FALSE)," ")</f>
        <v xml:space="preserve"> </v>
      </c>
      <c r="M257" s="150" t="str">
        <f>IFERROR(VLOOKUP($A257,'The List'!$B1:$AS665,39,FALSE)," ")</f>
        <v xml:space="preserve"> </v>
      </c>
      <c r="N257" s="150" t="str">
        <f>IFERROR(VLOOKUP($A257,'The List'!$B1:$AS665,40,FALSE)," ")</f>
        <v xml:space="preserve"> </v>
      </c>
      <c r="O257" s="150" t="str">
        <f>IFERROR(VLOOKUP($A257,'The List'!$B1:$AS665,41,FALSE)," ")</f>
        <v xml:space="preserve"> </v>
      </c>
      <c r="P257" s="150" t="str">
        <f>IFERROR(VLOOKUP($A257,'The List'!$B1:$AS665,42,FALSE)," ")</f>
        <v xml:space="preserve"> </v>
      </c>
      <c r="Q257" s="150" t="str">
        <f>IFERROR(VLOOKUP($A257,'The List'!$B1:$AS665,43,FALSE)," ")</f>
        <v xml:space="preserve"> </v>
      </c>
      <c r="R257" s="86"/>
      <c r="S257" s="86"/>
      <c r="T257" s="139" t="str">
        <f>A233</f>
        <v>TEAM 9</v>
      </c>
      <c r="U257" s="207">
        <f>F254+F260</f>
        <v>0</v>
      </c>
      <c r="V257" s="195"/>
      <c r="W257" s="195"/>
      <c r="X257" s="207">
        <f>G260+G254</f>
        <v>0</v>
      </c>
      <c r="Y257" s="195"/>
      <c r="Z257" s="195"/>
      <c r="AA257" s="86"/>
      <c r="AB257" s="86"/>
      <c r="AC257" s="86"/>
      <c r="AD257" s="86"/>
      <c r="AE257" s="86"/>
      <c r="AF257" s="86"/>
    </row>
    <row r="258" spans="1:32" ht="21.25" customHeight="1" x14ac:dyDescent="0.15">
      <c r="A258" s="23"/>
      <c r="B258" s="140" t="str">
        <f>IFERROR(VLOOKUP($A258,'The List'!$B1:$AS665,3,FALSE)," ")</f>
        <v xml:space="preserve"> </v>
      </c>
      <c r="C258" s="141" t="str">
        <f>IFERROR(VLOOKUP($A258,'The List'!$B1:$AS665,4,FALSE)," ")</f>
        <v xml:space="preserve"> </v>
      </c>
      <c r="D258" s="65" t="str">
        <f>IFERROR(VLOOKUP($A258,'The List'!$B1:$AS665,5,FALSE)," ")</f>
        <v xml:space="preserve"> </v>
      </c>
      <c r="E258" s="65" t="str">
        <f>IFERROR(VLOOKUP($A258,'The List'!$B1:$AS665,6,FALSE)," ")</f>
        <v xml:space="preserve"> </v>
      </c>
      <c r="F258" s="93" t="str">
        <f>IFERROR(VLOOKUP($A258,'The List'!$B1:$AS665,8,FALSE)," ")</f>
        <v xml:space="preserve"> </v>
      </c>
      <c r="G258" s="93" t="str">
        <f>IFERROR(VLOOKUP($A258,'The List'!$B1:$AS665,10,FALSE)," ")</f>
        <v xml:space="preserve"> </v>
      </c>
      <c r="H258" s="54"/>
      <c r="I258" s="83" t="str">
        <f>IFERROR(VLOOKUP($A258,'The List'!$B1:$AS665,35,FALSE)," ")</f>
        <v xml:space="preserve"> </v>
      </c>
      <c r="J258" s="83" t="str">
        <f>IFERROR(VLOOKUP($A258,'The List'!$B1:$AS665,36,FALSE)," ")</f>
        <v xml:space="preserve"> </v>
      </c>
      <c r="K258" s="83" t="str">
        <f>IFERROR(VLOOKUP($A258,'The List'!$B1:$AS665,37,FALSE)," ")</f>
        <v xml:space="preserve"> </v>
      </c>
      <c r="L258" s="83" t="str">
        <f>IFERROR(VLOOKUP($A258,'The List'!$B1:$AS665,38,FALSE)," ")</f>
        <v xml:space="preserve"> </v>
      </c>
      <c r="M258" s="83" t="str">
        <f>IFERROR(VLOOKUP($A258,'The List'!$B1:$AS665,39,FALSE)," ")</f>
        <v xml:space="preserve"> </v>
      </c>
      <c r="N258" s="83" t="str">
        <f>IFERROR(VLOOKUP($A258,'The List'!$B1:$AS665,40,FALSE)," ")</f>
        <v xml:space="preserve"> </v>
      </c>
      <c r="O258" s="83" t="str">
        <f>IFERROR(VLOOKUP($A258,'The List'!$B1:$AS665,41,FALSE)," ")</f>
        <v xml:space="preserve"> </v>
      </c>
      <c r="P258" s="83" t="str">
        <f>IFERROR(VLOOKUP($A258,'The List'!$B1:$AS665,42,FALSE)," ")</f>
        <v xml:space="preserve"> </v>
      </c>
      <c r="Q258" s="83" t="str">
        <f>IFERROR(VLOOKUP($A258,'The List'!$B1:$AS665,43,FALSE)," ")</f>
        <v xml:space="preserve"> </v>
      </c>
      <c r="R258" s="86"/>
      <c r="S258" s="86"/>
      <c r="T258" s="86"/>
      <c r="U258" s="195"/>
      <c r="V258" s="195"/>
      <c r="W258" s="195"/>
      <c r="X258" s="195"/>
      <c r="Y258" s="195"/>
      <c r="Z258" s="195"/>
      <c r="AA258" s="86"/>
      <c r="AB258" s="86"/>
      <c r="AC258" s="86"/>
      <c r="AD258" s="86"/>
      <c r="AE258" s="86"/>
      <c r="AF258" s="86"/>
    </row>
    <row r="259" spans="1:32" ht="21.25" customHeight="1" x14ac:dyDescent="0.15">
      <c r="A259" s="104"/>
      <c r="B259" s="142" t="str">
        <f>IFERROR(VLOOKUP($A259,'The List'!$B1:$AS665,3,FALSE)," ")</f>
        <v xml:space="preserve"> </v>
      </c>
      <c r="C259" s="143" t="str">
        <f>IFERROR(VLOOKUP($A259,'The List'!$B1:$AS665,4,FALSE)," ")</f>
        <v xml:space="preserve"> </v>
      </c>
      <c r="D259" s="107" t="str">
        <f>IFERROR(VLOOKUP($A259,'The List'!$B1:$AS665,5,FALSE)," ")</f>
        <v xml:space="preserve"> </v>
      </c>
      <c r="E259" s="107" t="str">
        <f>IFERROR(VLOOKUP($A259,'The List'!$B1:$AS665,6,FALSE)," ")</f>
        <v xml:space="preserve"> </v>
      </c>
      <c r="F259" s="108" t="str">
        <f>IFERROR(VLOOKUP($A259,'The List'!$B1:$AS665,8,FALSE)," ")</f>
        <v xml:space="preserve"> </v>
      </c>
      <c r="G259" s="108" t="str">
        <f>IFERROR(VLOOKUP($A259,'The List'!$B1:$AS665,10,FALSE)," ")</f>
        <v xml:space="preserve"> </v>
      </c>
      <c r="H259" s="109"/>
      <c r="I259" s="110" t="str">
        <f>IFERROR(VLOOKUP($A259,'The List'!$B1:$AS665,35,FALSE)," ")</f>
        <v xml:space="preserve"> </v>
      </c>
      <c r="J259" s="110" t="str">
        <f>IFERROR(VLOOKUP($A259,'The List'!$B1:$AS665,36,FALSE)," ")</f>
        <v xml:space="preserve"> </v>
      </c>
      <c r="K259" s="110" t="str">
        <f>IFERROR(VLOOKUP($A259,'The List'!$B1:$AS665,37,FALSE)," ")</f>
        <v xml:space="preserve"> </v>
      </c>
      <c r="L259" s="110" t="str">
        <f>IFERROR(VLOOKUP($A259,'The List'!$B1:$AS665,38,FALSE)," ")</f>
        <v xml:space="preserve"> </v>
      </c>
      <c r="M259" s="110" t="str">
        <f>IFERROR(VLOOKUP($A259,'The List'!$B1:$AS665,39,FALSE)," ")</f>
        <v xml:space="preserve"> </v>
      </c>
      <c r="N259" s="110" t="str">
        <f>IFERROR(VLOOKUP($A259,'The List'!$B1:$AS665,40,FALSE)," ")</f>
        <v xml:space="preserve"> </v>
      </c>
      <c r="O259" s="110" t="str">
        <f>IFERROR(VLOOKUP($A259,'The List'!$B1:$AS665,41,FALSE)," ")</f>
        <v xml:space="preserve"> </v>
      </c>
      <c r="P259" s="110" t="str">
        <f>IFERROR(VLOOKUP($A259,'The List'!$B1:$AS665,42,FALSE)," ")</f>
        <v xml:space="preserve"> </v>
      </c>
      <c r="Q259" s="110" t="str">
        <f>IFERROR(VLOOKUP($A259,'The List'!$B1:$AS665,43,FALSE)," ")</f>
        <v xml:space="preserve"> </v>
      </c>
      <c r="R259" s="86"/>
      <c r="S259" s="86"/>
      <c r="T259" s="86"/>
      <c r="U259" s="195"/>
      <c r="V259" s="195"/>
      <c r="W259" s="195"/>
      <c r="X259" s="195"/>
      <c r="Y259" s="195"/>
      <c r="Z259" s="195"/>
      <c r="AA259" s="86"/>
      <c r="AB259" s="86"/>
      <c r="AC259" s="86"/>
      <c r="AD259" s="86"/>
      <c r="AE259" s="86"/>
      <c r="AF259" s="86"/>
    </row>
    <row r="260" spans="1:32" ht="21.25" customHeight="1" x14ac:dyDescent="0.15">
      <c r="A260" s="111"/>
      <c r="B260" s="112"/>
      <c r="C260" s="113"/>
      <c r="D260" s="114"/>
      <c r="E260" s="146" t="str">
        <f>IFERROR(AVERAGE(E257:E259)," ")</f>
        <v xml:space="preserve"> </v>
      </c>
      <c r="F260" s="116">
        <f>SUM(F257:F259)</f>
        <v>0</v>
      </c>
      <c r="G260" s="116">
        <f>SUM(G257:G259)</f>
        <v>0</v>
      </c>
      <c r="H260" s="117"/>
      <c r="I260" s="118">
        <f t="shared" ref="I260:O260" si="17">SUM(I257:I259)</f>
        <v>0</v>
      </c>
      <c r="J260" s="117">
        <f t="shared" si="17"/>
        <v>0</v>
      </c>
      <c r="K260" s="118">
        <f t="shared" si="17"/>
        <v>0</v>
      </c>
      <c r="L260" s="118">
        <f t="shared" si="17"/>
        <v>0</v>
      </c>
      <c r="M260" s="118">
        <f t="shared" si="17"/>
        <v>0</v>
      </c>
      <c r="N260" s="118">
        <f t="shared" si="17"/>
        <v>0</v>
      </c>
      <c r="O260" s="118">
        <f t="shared" si="17"/>
        <v>0</v>
      </c>
      <c r="P260" s="144" t="e">
        <f>1-(O260/(N260+O260))</f>
        <v>#DIV/0!</v>
      </c>
      <c r="Q260" s="145" t="e">
        <f>O260/I260</f>
        <v>#DIV/0!</v>
      </c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</row>
    <row r="261" spans="1:32" ht="70.75" customHeight="1" x14ac:dyDescent="0.15">
      <c r="A261" s="34"/>
      <c r="B261" s="121"/>
      <c r="C261" s="122"/>
      <c r="D261" s="12"/>
      <c r="E261" s="12"/>
      <c r="F261" s="123"/>
      <c r="G261" s="124"/>
      <c r="H261" s="125"/>
      <c r="I261" s="12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91"/>
      <c r="AB261" s="91"/>
      <c r="AC261" s="91"/>
      <c r="AD261" s="91"/>
      <c r="AE261" s="91"/>
      <c r="AF261" s="91"/>
    </row>
    <row r="262" spans="1:32" ht="21.25" customHeight="1" x14ac:dyDescent="0.15">
      <c r="A262" s="38" t="s">
        <v>802</v>
      </c>
      <c r="B262" s="204" t="s">
        <v>91</v>
      </c>
      <c r="C262" s="200"/>
      <c r="D262" s="39" t="s">
        <v>92</v>
      </c>
      <c r="E262" s="39" t="s">
        <v>93</v>
      </c>
      <c r="F262" s="41" t="s">
        <v>95</v>
      </c>
      <c r="G262" s="41" t="s">
        <v>97</v>
      </c>
      <c r="H262" s="42"/>
      <c r="I262" s="44" t="s">
        <v>102</v>
      </c>
      <c r="J262" s="44" t="s">
        <v>55</v>
      </c>
      <c r="K262" s="44" t="s">
        <v>103</v>
      </c>
      <c r="L262" s="44" t="s">
        <v>104</v>
      </c>
      <c r="M262" s="44" t="s">
        <v>105</v>
      </c>
      <c r="N262" s="44" t="s">
        <v>106</v>
      </c>
      <c r="O262" s="44" t="s">
        <v>107</v>
      </c>
      <c r="P262" s="44" t="s">
        <v>63</v>
      </c>
      <c r="Q262" s="44" t="s">
        <v>108</v>
      </c>
      <c r="R262" s="44" t="s">
        <v>109</v>
      </c>
      <c r="S262" s="44" t="s">
        <v>110</v>
      </c>
      <c r="T262" s="44" t="s">
        <v>111</v>
      </c>
      <c r="U262" s="44" t="s">
        <v>112</v>
      </c>
      <c r="V262" s="44" t="s">
        <v>113</v>
      </c>
      <c r="W262" s="44" t="s">
        <v>114</v>
      </c>
      <c r="X262" s="44" t="s">
        <v>115</v>
      </c>
      <c r="Y262" s="44" t="s">
        <v>116</v>
      </c>
      <c r="Z262" s="44" t="s">
        <v>117</v>
      </c>
      <c r="AA262" s="86"/>
      <c r="AB262" s="87"/>
      <c r="AC262" s="87"/>
      <c r="AD262" s="87"/>
      <c r="AE262" s="87"/>
      <c r="AF262" s="87"/>
    </row>
    <row r="263" spans="1:32" ht="21.25" customHeight="1" x14ac:dyDescent="0.15">
      <c r="A263" s="23"/>
      <c r="B263" s="88" t="str">
        <f>IFERROR(VLOOKUP($A263,'The List'!$B1:$AS665,3,FALSE)," ")</f>
        <v xml:space="preserve"> </v>
      </c>
      <c r="C263" s="92" t="str">
        <f>IFERROR(VLOOKUP($A263,'The List'!$B1:$AS665,4,FALSE)," ")</f>
        <v xml:space="preserve"> </v>
      </c>
      <c r="D263" s="65" t="str">
        <f>IFERROR(VLOOKUP($A263,'The List'!$B1:$AS665,5,FALSE)," ")</f>
        <v xml:space="preserve"> </v>
      </c>
      <c r="E263" s="65" t="str">
        <f>IFERROR(VLOOKUP($A263,'The List'!$B1:$AS665,6,FALSE)," ")</f>
        <v xml:space="preserve"> </v>
      </c>
      <c r="F263" s="93" t="str">
        <f>IFERROR(VLOOKUP($A263,'The List'!$B1:$AS665,8,FALSE)," ")</f>
        <v xml:space="preserve"> </v>
      </c>
      <c r="G263" s="93" t="str">
        <f>IFERROR(VLOOKUP($A263,'The List'!$B1:$AS665,10,FALSE)," ")</f>
        <v xml:space="preserve"> </v>
      </c>
      <c r="H263" s="54"/>
      <c r="I263" s="83" t="str">
        <f>IFERROR(VLOOKUP($A263,'The List'!$B1:$AS665,16,FALSE)," ")</f>
        <v xml:space="preserve"> </v>
      </c>
      <c r="J263" s="83" t="str">
        <f>IFERROR(VLOOKUP($A263,'The List'!$B1:$AS665,17,FALSE)," ")</f>
        <v xml:space="preserve"> </v>
      </c>
      <c r="K263" s="83" t="str">
        <f>IFERROR(VLOOKUP($A263,'The List'!$B1:$AS665,18,FALSE)," ")</f>
        <v xml:space="preserve"> </v>
      </c>
      <c r="L263" s="83" t="str">
        <f>IFERROR(VLOOKUP($A263,'The List'!$B1:$AS665,19,FALSE)," ")</f>
        <v xml:space="preserve"> </v>
      </c>
      <c r="M263" s="83" t="str">
        <f>IFERROR(VLOOKUP($A263,'The List'!$B1:$AS665,20,FALSE)," ")</f>
        <v xml:space="preserve"> </v>
      </c>
      <c r="N263" s="83" t="str">
        <f>IFERROR(VLOOKUP($A263,'The List'!$B1:$AS665,21,FALSE)," ")</f>
        <v xml:space="preserve"> </v>
      </c>
      <c r="O263" s="83" t="str">
        <f>IFERROR(VLOOKUP($A263,'The List'!$B1:$AS665,22,FALSE)," ")</f>
        <v xml:space="preserve"> </v>
      </c>
      <c r="P263" s="83" t="str">
        <f>IFERROR(VLOOKUP($A263,'The List'!$B1:$AS665,23,FALSE)," ")</f>
        <v xml:space="preserve"> </v>
      </c>
      <c r="Q263" s="83" t="str">
        <f>IFERROR(VLOOKUP($A263,'The List'!$B1:$AS665,24,FALSE)," ")</f>
        <v xml:space="preserve"> </v>
      </c>
      <c r="R263" s="83" t="str">
        <f>IFERROR(VLOOKUP($A263,'The List'!$B1:$AS665,25,FALSE)," ")</f>
        <v xml:space="preserve"> </v>
      </c>
      <c r="S263" s="83" t="str">
        <f>IFERROR(VLOOKUP($A263,'The List'!$B1:$AS665,26,FALSE)," ")</f>
        <v xml:space="preserve"> </v>
      </c>
      <c r="T263" s="83" t="str">
        <f>IFERROR(VLOOKUP($A263,'The List'!$B1:$AS665,27,FALSE)," ")</f>
        <v xml:space="preserve"> </v>
      </c>
      <c r="U263" s="83" t="str">
        <f>IFERROR(VLOOKUP($A263,'The List'!$B1:$AS665,28,FALSE)," ")</f>
        <v xml:space="preserve"> </v>
      </c>
      <c r="V263" s="83" t="str">
        <f>IFERROR(VLOOKUP($A263,'The List'!$B1:$AS665,29,FALSE)," ")</f>
        <v xml:space="preserve"> </v>
      </c>
      <c r="W263" s="83" t="str">
        <f>IFERROR(VLOOKUP($A263,'The List'!$B1:$AS665,30,FALSE)," ")</f>
        <v xml:space="preserve"> </v>
      </c>
      <c r="X263" s="83" t="str">
        <f>IFERROR(VLOOKUP($A263,'The List'!$B1:$AS665,31,FALSE)," ")</f>
        <v xml:space="preserve"> </v>
      </c>
      <c r="Y263" s="83" t="str">
        <f>IFERROR(VLOOKUP($A263,'The List'!$B1:$AS665,32,FALSE)," ")</f>
        <v xml:space="preserve"> </v>
      </c>
      <c r="Z263" s="83" t="str">
        <f>IFERROR(VLOOKUP($A263,'The List'!$B1:$AS665,33,FALSE)," ")</f>
        <v xml:space="preserve"> </v>
      </c>
      <c r="AA263" s="86"/>
      <c r="AB263" s="91"/>
      <c r="AC263" s="91"/>
      <c r="AD263" s="91"/>
      <c r="AE263" s="91"/>
      <c r="AF263" s="91"/>
    </row>
    <row r="264" spans="1:32" ht="21.25" customHeight="1" x14ac:dyDescent="0.15">
      <c r="A264" s="23"/>
      <c r="B264" s="88" t="str">
        <f>IFERROR(VLOOKUP($A264,'The List'!$B1:$AS665,3,FALSE)," ")</f>
        <v xml:space="preserve"> </v>
      </c>
      <c r="C264" s="92" t="str">
        <f>IFERROR(VLOOKUP($A264,'The List'!$B1:$AS665,4,FALSE)," ")</f>
        <v xml:space="preserve"> </v>
      </c>
      <c r="D264" s="65" t="str">
        <f>IFERROR(VLOOKUP($A264,'The List'!$B1:$AS665,5,FALSE)," ")</f>
        <v xml:space="preserve"> </v>
      </c>
      <c r="E264" s="65" t="str">
        <f>IFERROR(VLOOKUP($A264,'The List'!$B1:$AS665,6,FALSE)," ")</f>
        <v xml:space="preserve"> </v>
      </c>
      <c r="F264" s="93" t="str">
        <f>IFERROR(VLOOKUP($A264,'The List'!$B1:$AS665,8,FALSE)," ")</f>
        <v xml:space="preserve"> </v>
      </c>
      <c r="G264" s="93" t="str">
        <f>IFERROR(VLOOKUP($A264,'The List'!$B1:$AS665,10,FALSE)," ")</f>
        <v xml:space="preserve"> </v>
      </c>
      <c r="H264" s="54"/>
      <c r="I264" s="83" t="str">
        <f>IFERROR(VLOOKUP($A264,'The List'!$B1:$AS665,16,FALSE)," ")</f>
        <v xml:space="preserve"> </v>
      </c>
      <c r="J264" s="83" t="str">
        <f>IFERROR(VLOOKUP($A264,'The List'!$B1:$AS665,17,FALSE)," ")</f>
        <v xml:space="preserve"> </v>
      </c>
      <c r="K264" s="83" t="str">
        <f>IFERROR(VLOOKUP($A264,'The List'!$B1:$AS665,18,FALSE)," ")</f>
        <v xml:space="preserve"> </v>
      </c>
      <c r="L264" s="83" t="str">
        <f>IFERROR(VLOOKUP($A264,'The List'!$B1:$AS665,19,FALSE)," ")</f>
        <v xml:space="preserve"> </v>
      </c>
      <c r="M264" s="83" t="str">
        <f>IFERROR(VLOOKUP($A264,'The List'!$B1:$AS665,20,FALSE)," ")</f>
        <v xml:space="preserve"> </v>
      </c>
      <c r="N264" s="83" t="str">
        <f>IFERROR(VLOOKUP($A264,'The List'!$B1:$AS665,21,FALSE)," ")</f>
        <v xml:space="preserve"> </v>
      </c>
      <c r="O264" s="83" t="str">
        <f>IFERROR(VLOOKUP($A264,'The List'!$B1:$AS665,22,FALSE)," ")</f>
        <v xml:space="preserve"> </v>
      </c>
      <c r="P264" s="83" t="str">
        <f>IFERROR(VLOOKUP($A264,'The List'!$B1:$AS665,23,FALSE)," ")</f>
        <v xml:space="preserve"> </v>
      </c>
      <c r="Q264" s="83" t="str">
        <f>IFERROR(VLOOKUP($A264,'The List'!$B1:$AS665,24,FALSE)," ")</f>
        <v xml:space="preserve"> </v>
      </c>
      <c r="R264" s="83" t="str">
        <f>IFERROR(VLOOKUP($A264,'The List'!$B1:$AS665,25,FALSE)," ")</f>
        <v xml:space="preserve"> </v>
      </c>
      <c r="S264" s="83" t="str">
        <f>IFERROR(VLOOKUP($A264,'The List'!$B1:$AS665,26,FALSE)," ")</f>
        <v xml:space="preserve"> </v>
      </c>
      <c r="T264" s="83" t="str">
        <f>IFERROR(VLOOKUP($A264,'The List'!$B1:$AS665,27,FALSE)," ")</f>
        <v xml:space="preserve"> </v>
      </c>
      <c r="U264" s="83" t="str">
        <f>IFERROR(VLOOKUP($A264,'The List'!$B1:$AS665,28,FALSE)," ")</f>
        <v xml:space="preserve"> </v>
      </c>
      <c r="V264" s="83" t="str">
        <f>IFERROR(VLOOKUP($A264,'The List'!$B1:$AS665,29,FALSE)," ")</f>
        <v xml:space="preserve"> </v>
      </c>
      <c r="W264" s="83" t="str">
        <f>IFERROR(VLOOKUP($A264,'The List'!$B1:$AS665,30,FALSE)," ")</f>
        <v xml:space="preserve"> </v>
      </c>
      <c r="X264" s="83" t="str">
        <f>IFERROR(VLOOKUP($A264,'The List'!$B1:$AS665,31,FALSE)," ")</f>
        <v xml:space="preserve"> </v>
      </c>
      <c r="Y264" s="83" t="str">
        <f>IFERROR(VLOOKUP($A264,'The List'!$B1:$AS665,32,FALSE)," ")</f>
        <v xml:space="preserve"> </v>
      </c>
      <c r="Z264" s="83" t="str">
        <f>IFERROR(VLOOKUP($A264,'The List'!$B1:$AS665,33,FALSE)," ")</f>
        <v xml:space="preserve"> </v>
      </c>
      <c r="AA264" s="86"/>
      <c r="AB264" s="91"/>
      <c r="AC264" s="91"/>
      <c r="AD264" s="91"/>
      <c r="AE264" s="91"/>
      <c r="AF264" s="91"/>
    </row>
    <row r="265" spans="1:32" ht="21.25" customHeight="1" x14ac:dyDescent="0.15">
      <c r="A265" s="23"/>
      <c r="B265" s="88" t="str">
        <f>IFERROR(VLOOKUP($A265,'The List'!$B1:$AS665,3,FALSE)," ")</f>
        <v xml:space="preserve"> </v>
      </c>
      <c r="C265" s="92" t="str">
        <f>IFERROR(VLOOKUP($A265,'The List'!$B1:$AS665,4,FALSE)," ")</f>
        <v xml:space="preserve"> </v>
      </c>
      <c r="D265" s="65" t="str">
        <f>IFERROR(VLOOKUP($A265,'The List'!$B1:$AS665,5,FALSE)," ")</f>
        <v xml:space="preserve"> </v>
      </c>
      <c r="E265" s="65" t="str">
        <f>IFERROR(VLOOKUP($A265,'The List'!$B1:$AS665,6,FALSE)," ")</f>
        <v xml:space="preserve"> </v>
      </c>
      <c r="F265" s="93" t="str">
        <f>IFERROR(VLOOKUP($A265,'The List'!$B1:$AS665,8,FALSE)," ")</f>
        <v xml:space="preserve"> </v>
      </c>
      <c r="G265" s="93" t="str">
        <f>IFERROR(VLOOKUP($A265,'The List'!$B1:$AS665,10,FALSE)," ")</f>
        <v xml:space="preserve"> </v>
      </c>
      <c r="H265" s="54"/>
      <c r="I265" s="83" t="str">
        <f>IFERROR(VLOOKUP($A265,'The List'!$B1:$AS665,16,FALSE)," ")</f>
        <v xml:space="preserve"> </v>
      </c>
      <c r="J265" s="83" t="str">
        <f>IFERROR(VLOOKUP($A265,'The List'!$B1:$AS665,17,FALSE)," ")</f>
        <v xml:space="preserve"> </v>
      </c>
      <c r="K265" s="83" t="str">
        <f>IFERROR(VLOOKUP($A265,'The List'!$B1:$AS665,18,FALSE)," ")</f>
        <v xml:space="preserve"> </v>
      </c>
      <c r="L265" s="83" t="str">
        <f>IFERROR(VLOOKUP($A265,'The List'!$B1:$AS665,19,FALSE)," ")</f>
        <v xml:space="preserve"> </v>
      </c>
      <c r="M265" s="83" t="str">
        <f>IFERROR(VLOOKUP($A265,'The List'!$B1:$AS665,20,FALSE)," ")</f>
        <v xml:space="preserve"> </v>
      </c>
      <c r="N265" s="83" t="str">
        <f>IFERROR(VLOOKUP($A265,'The List'!$B1:$AS665,21,FALSE)," ")</f>
        <v xml:space="preserve"> </v>
      </c>
      <c r="O265" s="83" t="str">
        <f>IFERROR(VLOOKUP($A265,'The List'!$B1:$AS665,22,FALSE)," ")</f>
        <v xml:space="preserve"> </v>
      </c>
      <c r="P265" s="83" t="str">
        <f>IFERROR(VLOOKUP($A265,'The List'!$B1:$AS665,23,FALSE)," ")</f>
        <v xml:space="preserve"> </v>
      </c>
      <c r="Q265" s="83" t="str">
        <f>IFERROR(VLOOKUP($A265,'The List'!$B1:$AS665,24,FALSE)," ")</f>
        <v xml:space="preserve"> </v>
      </c>
      <c r="R265" s="83" t="str">
        <f>IFERROR(VLOOKUP($A265,'The List'!$B1:$AS665,25,FALSE)," ")</f>
        <v xml:space="preserve"> </v>
      </c>
      <c r="S265" s="83" t="str">
        <f>IFERROR(VLOOKUP($A265,'The List'!$B1:$AS665,26,FALSE)," ")</f>
        <v xml:space="preserve"> </v>
      </c>
      <c r="T265" s="83" t="str">
        <f>IFERROR(VLOOKUP($A265,'The List'!$B1:$AS665,27,FALSE)," ")</f>
        <v xml:space="preserve"> </v>
      </c>
      <c r="U265" s="83" t="str">
        <f>IFERROR(VLOOKUP($A265,'The List'!$B1:$AS665,28,FALSE)," ")</f>
        <v xml:space="preserve"> </v>
      </c>
      <c r="V265" s="83" t="str">
        <f>IFERROR(VLOOKUP($A265,'The List'!$B1:$AS665,29,FALSE)," ")</f>
        <v xml:space="preserve"> </v>
      </c>
      <c r="W265" s="83" t="str">
        <f>IFERROR(VLOOKUP($A265,'The List'!$B1:$AS665,30,FALSE)," ")</f>
        <v xml:space="preserve"> </v>
      </c>
      <c r="X265" s="83" t="str">
        <f>IFERROR(VLOOKUP($A265,'The List'!$B1:$AS665,31,FALSE)," ")</f>
        <v xml:space="preserve"> </v>
      </c>
      <c r="Y265" s="83" t="str">
        <f>IFERROR(VLOOKUP($A265,'The List'!$B1:$AS665,32,FALSE)," ")</f>
        <v xml:space="preserve"> </v>
      </c>
      <c r="Z265" s="83" t="str">
        <f>IFERROR(VLOOKUP($A265,'The List'!$B1:$AS665,33,FALSE)," ")</f>
        <v xml:space="preserve"> </v>
      </c>
      <c r="AA265" s="86"/>
      <c r="AB265" s="91"/>
      <c r="AC265" s="91"/>
      <c r="AD265" s="91"/>
      <c r="AE265" s="91"/>
      <c r="AF265" s="91"/>
    </row>
    <row r="266" spans="1:32" ht="21.25" customHeight="1" x14ac:dyDescent="0.15">
      <c r="A266" s="23"/>
      <c r="B266" s="88" t="str">
        <f>IFERROR(VLOOKUP($A266,'The List'!$B1:$AS665,3,FALSE)," ")</f>
        <v xml:space="preserve"> </v>
      </c>
      <c r="C266" s="92" t="str">
        <f>IFERROR(VLOOKUP($A266,'The List'!$B1:$AS665,4,FALSE)," ")</f>
        <v xml:space="preserve"> </v>
      </c>
      <c r="D266" s="65" t="str">
        <f>IFERROR(VLOOKUP($A266,'The List'!$B1:$AS665,5,FALSE)," ")</f>
        <v xml:space="preserve"> </v>
      </c>
      <c r="E266" s="65" t="str">
        <f>IFERROR(VLOOKUP($A266,'The List'!$B1:$AS665,6,FALSE)," ")</f>
        <v xml:space="preserve"> </v>
      </c>
      <c r="F266" s="93" t="str">
        <f>IFERROR(VLOOKUP($A266,'The List'!$B1:$AS665,8,FALSE)," ")</f>
        <v xml:space="preserve"> </v>
      </c>
      <c r="G266" s="93" t="str">
        <f>IFERROR(VLOOKUP($A266,'The List'!$B1:$AS665,10,FALSE)," ")</f>
        <v xml:space="preserve"> </v>
      </c>
      <c r="H266" s="54"/>
      <c r="I266" s="83" t="str">
        <f>IFERROR(VLOOKUP($A266,'The List'!$B1:$AS665,16,FALSE)," ")</f>
        <v xml:space="preserve"> </v>
      </c>
      <c r="J266" s="83" t="str">
        <f>IFERROR(VLOOKUP($A266,'The List'!$B1:$AS665,17,FALSE)," ")</f>
        <v xml:space="preserve"> </v>
      </c>
      <c r="K266" s="83" t="str">
        <f>IFERROR(VLOOKUP($A266,'The List'!$B1:$AS665,18,FALSE)," ")</f>
        <v xml:space="preserve"> </v>
      </c>
      <c r="L266" s="83" t="str">
        <f>IFERROR(VLOOKUP($A266,'The List'!$B1:$AS665,19,FALSE)," ")</f>
        <v xml:space="preserve"> </v>
      </c>
      <c r="M266" s="83" t="str">
        <f>IFERROR(VLOOKUP($A266,'The List'!$B1:$AS665,20,FALSE)," ")</f>
        <v xml:space="preserve"> </v>
      </c>
      <c r="N266" s="83" t="str">
        <f>IFERROR(VLOOKUP($A266,'The List'!$B1:$AS665,21,FALSE)," ")</f>
        <v xml:space="preserve"> </v>
      </c>
      <c r="O266" s="83" t="str">
        <f>IFERROR(VLOOKUP($A266,'The List'!$B1:$AS665,22,FALSE)," ")</f>
        <v xml:space="preserve"> </v>
      </c>
      <c r="P266" s="83" t="str">
        <f>IFERROR(VLOOKUP($A266,'The List'!$B1:$AS665,23,FALSE)," ")</f>
        <v xml:space="preserve"> </v>
      </c>
      <c r="Q266" s="83" t="str">
        <f>IFERROR(VLOOKUP($A266,'The List'!$B1:$AS665,24,FALSE)," ")</f>
        <v xml:space="preserve"> </v>
      </c>
      <c r="R266" s="83" t="str">
        <f>IFERROR(VLOOKUP($A266,'The List'!$B1:$AS665,25,FALSE)," ")</f>
        <v xml:space="preserve"> </v>
      </c>
      <c r="S266" s="83" t="str">
        <f>IFERROR(VLOOKUP($A266,'The List'!$B1:$AS665,26,FALSE)," ")</f>
        <v xml:space="preserve"> </v>
      </c>
      <c r="T266" s="83" t="str">
        <f>IFERROR(VLOOKUP($A266,'The List'!$B1:$AS665,27,FALSE)," ")</f>
        <v xml:space="preserve"> </v>
      </c>
      <c r="U266" s="83" t="str">
        <f>IFERROR(VLOOKUP($A266,'The List'!$B1:$AS665,28,FALSE)," ")</f>
        <v xml:space="preserve"> </v>
      </c>
      <c r="V266" s="83" t="str">
        <f>IFERROR(VLOOKUP($A266,'The List'!$B1:$AS665,29,FALSE)," ")</f>
        <v xml:space="preserve"> </v>
      </c>
      <c r="W266" s="83" t="str">
        <f>IFERROR(VLOOKUP($A266,'The List'!$B1:$AS665,30,FALSE)," ")</f>
        <v xml:space="preserve"> </v>
      </c>
      <c r="X266" s="83" t="str">
        <f>IFERROR(VLOOKUP($A266,'The List'!$B1:$AS665,31,FALSE)," ")</f>
        <v xml:space="preserve"> </v>
      </c>
      <c r="Y266" s="83" t="str">
        <f>IFERROR(VLOOKUP($A266,'The List'!$B1:$AS665,32,FALSE)," ")</f>
        <v xml:space="preserve"> </v>
      </c>
      <c r="Z266" s="83" t="str">
        <f>IFERROR(VLOOKUP($A266,'The List'!$B1:$AS665,33,FALSE)," ")</f>
        <v xml:space="preserve"> </v>
      </c>
      <c r="AA266" s="86"/>
      <c r="AB266" s="91"/>
      <c r="AC266" s="91"/>
      <c r="AD266" s="91"/>
      <c r="AE266" s="91"/>
      <c r="AF266" s="91"/>
    </row>
    <row r="267" spans="1:32" ht="21.25" customHeight="1" x14ac:dyDescent="0.15">
      <c r="A267" s="23"/>
      <c r="B267" s="94" t="str">
        <f>IFERROR(VLOOKUP($A267,'The List'!$B1:$AS665,3,FALSE)," ")</f>
        <v xml:space="preserve"> </v>
      </c>
      <c r="C267" s="96" t="str">
        <f>IFERROR(VLOOKUP($A267,'The List'!$B1:$AS665,4,FALSE)," ")</f>
        <v xml:space="preserve"> </v>
      </c>
      <c r="D267" s="65" t="str">
        <f>IFERROR(VLOOKUP($A267,'The List'!$B1:$AS665,5,FALSE)," ")</f>
        <v xml:space="preserve"> </v>
      </c>
      <c r="E267" s="65" t="str">
        <f>IFERROR(VLOOKUP($A267,'The List'!$B1:$AS665,6,FALSE)," ")</f>
        <v xml:space="preserve"> </v>
      </c>
      <c r="F267" s="93" t="str">
        <f>IFERROR(VLOOKUP($A267,'The List'!$B1:$AS665,8,FALSE)," ")</f>
        <v xml:space="preserve"> </v>
      </c>
      <c r="G267" s="93" t="str">
        <f>IFERROR(VLOOKUP($A267,'The List'!$B1:$AS665,10,FALSE)," ")</f>
        <v xml:space="preserve"> </v>
      </c>
      <c r="H267" s="54"/>
      <c r="I267" s="83" t="str">
        <f>IFERROR(VLOOKUP($A267,'The List'!$B1:$AS665,16,FALSE)," ")</f>
        <v xml:space="preserve"> </v>
      </c>
      <c r="J267" s="83" t="str">
        <f>IFERROR(VLOOKUP($A267,'The List'!$B1:$AS665,17,FALSE)," ")</f>
        <v xml:space="preserve"> </v>
      </c>
      <c r="K267" s="83" t="str">
        <f>IFERROR(VLOOKUP($A267,'The List'!$B1:$AS665,18,FALSE)," ")</f>
        <v xml:space="preserve"> </v>
      </c>
      <c r="L267" s="83" t="str">
        <f>IFERROR(VLOOKUP($A267,'The List'!$B1:$AS665,19,FALSE)," ")</f>
        <v xml:space="preserve"> </v>
      </c>
      <c r="M267" s="83" t="str">
        <f>IFERROR(VLOOKUP($A267,'The List'!$B1:$AS665,20,FALSE)," ")</f>
        <v xml:space="preserve"> </v>
      </c>
      <c r="N267" s="83" t="str">
        <f>IFERROR(VLOOKUP($A267,'The List'!$B1:$AS665,21,FALSE)," ")</f>
        <v xml:space="preserve"> </v>
      </c>
      <c r="O267" s="83" t="str">
        <f>IFERROR(VLOOKUP($A267,'The List'!$B1:$AS665,22,FALSE)," ")</f>
        <v xml:space="preserve"> </v>
      </c>
      <c r="P267" s="83" t="str">
        <f>IFERROR(VLOOKUP($A267,'The List'!$B1:$AS665,23,FALSE)," ")</f>
        <v xml:space="preserve"> </v>
      </c>
      <c r="Q267" s="83" t="str">
        <f>IFERROR(VLOOKUP($A267,'The List'!$B1:$AS665,24,FALSE)," ")</f>
        <v xml:space="preserve"> </v>
      </c>
      <c r="R267" s="83" t="str">
        <f>IFERROR(VLOOKUP($A267,'The List'!$B1:$AS665,25,FALSE)," ")</f>
        <v xml:space="preserve"> </v>
      </c>
      <c r="S267" s="83" t="str">
        <f>IFERROR(VLOOKUP($A267,'The List'!$B1:$AS665,26,FALSE)," ")</f>
        <v xml:space="preserve"> </v>
      </c>
      <c r="T267" s="83" t="str">
        <f>IFERROR(VLOOKUP($A267,'The List'!$B1:$AS665,27,FALSE)," ")</f>
        <v xml:space="preserve"> </v>
      </c>
      <c r="U267" s="83" t="str">
        <f>IFERROR(VLOOKUP($A267,'The List'!$B1:$AS665,28,FALSE)," ")</f>
        <v xml:space="preserve"> </v>
      </c>
      <c r="V267" s="83" t="str">
        <f>IFERROR(VLOOKUP($A267,'The List'!$B1:$AS665,29,FALSE)," ")</f>
        <v xml:space="preserve"> </v>
      </c>
      <c r="W267" s="83" t="str">
        <f>IFERROR(VLOOKUP($A267,'The List'!$B1:$AS665,30,FALSE)," ")</f>
        <v xml:space="preserve"> </v>
      </c>
      <c r="X267" s="83" t="str">
        <f>IFERROR(VLOOKUP($A267,'The List'!$B1:$AS665,31,FALSE)," ")</f>
        <v xml:space="preserve"> </v>
      </c>
      <c r="Y267" s="83" t="str">
        <f>IFERROR(VLOOKUP($A267,'The List'!$B1:$AS665,32,FALSE)," ")</f>
        <v xml:space="preserve"> </v>
      </c>
      <c r="Z267" s="83" t="str">
        <f>IFERROR(VLOOKUP($A267,'The List'!$B1:$AS665,33,FALSE)," ")</f>
        <v xml:space="preserve"> </v>
      </c>
      <c r="AA267" s="86"/>
      <c r="AB267" s="91"/>
      <c r="AC267" s="91"/>
      <c r="AD267" s="91"/>
      <c r="AE267" s="91"/>
      <c r="AF267" s="91"/>
    </row>
    <row r="268" spans="1:32" ht="21.25" customHeight="1" x14ac:dyDescent="0.15">
      <c r="A268" s="23"/>
      <c r="B268" s="94" t="str">
        <f>IFERROR(VLOOKUP($A268,'The List'!$B1:$AS665,3,FALSE)," ")</f>
        <v xml:space="preserve"> </v>
      </c>
      <c r="C268" s="96" t="str">
        <f>IFERROR(VLOOKUP($A268,'The List'!$B1:$AS665,4,FALSE)," ")</f>
        <v xml:space="preserve"> </v>
      </c>
      <c r="D268" s="65" t="str">
        <f>IFERROR(VLOOKUP($A268,'The List'!$B1:$AS665,5,FALSE)," ")</f>
        <v xml:space="preserve"> </v>
      </c>
      <c r="E268" s="65" t="str">
        <f>IFERROR(VLOOKUP($A268,'The List'!$B1:$AS665,6,FALSE)," ")</f>
        <v xml:space="preserve"> </v>
      </c>
      <c r="F268" s="93" t="str">
        <f>IFERROR(VLOOKUP($A268,'The List'!$B1:$AS665,8,FALSE)," ")</f>
        <v xml:space="preserve"> </v>
      </c>
      <c r="G268" s="93" t="str">
        <f>IFERROR(VLOOKUP($A268,'The List'!$B1:$AS665,10,FALSE)," ")</f>
        <v xml:space="preserve"> </v>
      </c>
      <c r="H268" s="54"/>
      <c r="I268" s="83" t="str">
        <f>IFERROR(VLOOKUP($A268,'The List'!$B1:$AS665,16,FALSE)," ")</f>
        <v xml:space="preserve"> </v>
      </c>
      <c r="J268" s="83" t="str">
        <f>IFERROR(VLOOKUP($A268,'The List'!$B1:$AS665,17,FALSE)," ")</f>
        <v xml:space="preserve"> </v>
      </c>
      <c r="K268" s="83" t="str">
        <f>IFERROR(VLOOKUP($A268,'The List'!$B1:$AS665,18,FALSE)," ")</f>
        <v xml:space="preserve"> </v>
      </c>
      <c r="L268" s="83" t="str">
        <f>IFERROR(VLOOKUP($A268,'The List'!$B1:$AS665,19,FALSE)," ")</f>
        <v xml:space="preserve"> </v>
      </c>
      <c r="M268" s="83" t="str">
        <f>IFERROR(VLOOKUP($A268,'The List'!$B1:$AS665,20,FALSE)," ")</f>
        <v xml:space="preserve"> </v>
      </c>
      <c r="N268" s="83" t="str">
        <f>IFERROR(VLOOKUP($A268,'The List'!$B1:$AS665,21,FALSE)," ")</f>
        <v xml:space="preserve"> </v>
      </c>
      <c r="O268" s="83" t="str">
        <f>IFERROR(VLOOKUP($A268,'The List'!$B1:$AS665,22,FALSE)," ")</f>
        <v xml:space="preserve"> </v>
      </c>
      <c r="P268" s="83" t="str">
        <f>IFERROR(VLOOKUP($A268,'The List'!$B1:$AS665,23,FALSE)," ")</f>
        <v xml:space="preserve"> </v>
      </c>
      <c r="Q268" s="83" t="str">
        <f>IFERROR(VLOOKUP($A268,'The List'!$B1:$AS665,24,FALSE)," ")</f>
        <v xml:space="preserve"> </v>
      </c>
      <c r="R268" s="83" t="str">
        <f>IFERROR(VLOOKUP($A268,'The List'!$B1:$AS665,25,FALSE)," ")</f>
        <v xml:space="preserve"> </v>
      </c>
      <c r="S268" s="83" t="str">
        <f>IFERROR(VLOOKUP($A268,'The List'!$B1:$AS665,26,FALSE)," ")</f>
        <v xml:space="preserve"> </v>
      </c>
      <c r="T268" s="83" t="str">
        <f>IFERROR(VLOOKUP($A268,'The List'!$B1:$AS665,27,FALSE)," ")</f>
        <v xml:space="preserve"> </v>
      </c>
      <c r="U268" s="83" t="str">
        <f>IFERROR(VLOOKUP($A268,'The List'!$B1:$AS665,28,FALSE)," ")</f>
        <v xml:space="preserve"> </v>
      </c>
      <c r="V268" s="83" t="str">
        <f>IFERROR(VLOOKUP($A268,'The List'!$B1:$AS665,29,FALSE)," ")</f>
        <v xml:space="preserve"> </v>
      </c>
      <c r="W268" s="83" t="str">
        <f>IFERROR(VLOOKUP($A268,'The List'!$B1:$AS665,30,FALSE)," ")</f>
        <v xml:space="preserve"> </v>
      </c>
      <c r="X268" s="83" t="str">
        <f>IFERROR(VLOOKUP($A268,'The List'!$B1:$AS665,31,FALSE)," ")</f>
        <v xml:space="preserve"> </v>
      </c>
      <c r="Y268" s="83" t="str">
        <f>IFERROR(VLOOKUP($A268,'The List'!$B1:$AS665,32,FALSE)," ")</f>
        <v xml:space="preserve"> </v>
      </c>
      <c r="Z268" s="83" t="str">
        <f>IFERROR(VLOOKUP($A268,'The List'!$B1:$AS665,33,FALSE)," ")</f>
        <v xml:space="preserve"> </v>
      </c>
      <c r="AA268" s="86"/>
      <c r="AB268" s="91"/>
      <c r="AC268" s="91"/>
      <c r="AD268" s="91"/>
      <c r="AE268" s="91"/>
      <c r="AF268" s="91"/>
    </row>
    <row r="269" spans="1:32" ht="21.25" customHeight="1" x14ac:dyDescent="0.15">
      <c r="A269" s="23"/>
      <c r="B269" s="94" t="str">
        <f>IFERROR(VLOOKUP($A269,'The List'!$B1:$AS665,3,FALSE)," ")</f>
        <v xml:space="preserve"> </v>
      </c>
      <c r="C269" s="96" t="str">
        <f>IFERROR(VLOOKUP($A269,'The List'!$B1:$AS665,4,FALSE)," ")</f>
        <v xml:space="preserve"> </v>
      </c>
      <c r="D269" s="65" t="str">
        <f>IFERROR(VLOOKUP($A269,'The List'!$B1:$AS665,5,FALSE)," ")</f>
        <v xml:space="preserve"> </v>
      </c>
      <c r="E269" s="65" t="str">
        <f>IFERROR(VLOOKUP($A269,'The List'!$B1:$AS665,6,FALSE)," ")</f>
        <v xml:space="preserve"> </v>
      </c>
      <c r="F269" s="93" t="str">
        <f>IFERROR(VLOOKUP($A269,'The List'!$B1:$AS665,8,FALSE)," ")</f>
        <v xml:space="preserve"> </v>
      </c>
      <c r="G269" s="93" t="str">
        <f>IFERROR(VLOOKUP($A269,'The List'!$B1:$AS665,10,FALSE)," ")</f>
        <v xml:space="preserve"> </v>
      </c>
      <c r="H269" s="54"/>
      <c r="I269" s="83" t="str">
        <f>IFERROR(VLOOKUP($A269,'The List'!$B1:$AS665,16,FALSE)," ")</f>
        <v xml:space="preserve"> </v>
      </c>
      <c r="J269" s="83" t="str">
        <f>IFERROR(VLOOKUP($A269,'The List'!$B1:$AS665,17,FALSE)," ")</f>
        <v xml:space="preserve"> </v>
      </c>
      <c r="K269" s="83" t="str">
        <f>IFERROR(VLOOKUP($A269,'The List'!$B1:$AS665,18,FALSE)," ")</f>
        <v xml:space="preserve"> </v>
      </c>
      <c r="L269" s="83" t="str">
        <f>IFERROR(VLOOKUP($A269,'The List'!$B1:$AS665,19,FALSE)," ")</f>
        <v xml:space="preserve"> </v>
      </c>
      <c r="M269" s="83" t="str">
        <f>IFERROR(VLOOKUP($A269,'The List'!$B1:$AS665,20,FALSE)," ")</f>
        <v xml:space="preserve"> </v>
      </c>
      <c r="N269" s="83" t="str">
        <f>IFERROR(VLOOKUP($A269,'The List'!$B1:$AS665,21,FALSE)," ")</f>
        <v xml:space="preserve"> </v>
      </c>
      <c r="O269" s="83" t="str">
        <f>IFERROR(VLOOKUP($A269,'The List'!$B1:$AS665,22,FALSE)," ")</f>
        <v xml:space="preserve"> </v>
      </c>
      <c r="P269" s="83" t="str">
        <f>IFERROR(VLOOKUP($A269,'The List'!$B1:$AS665,23,FALSE)," ")</f>
        <v xml:space="preserve"> </v>
      </c>
      <c r="Q269" s="83" t="str">
        <f>IFERROR(VLOOKUP($A269,'The List'!$B1:$AS665,24,FALSE)," ")</f>
        <v xml:space="preserve"> </v>
      </c>
      <c r="R269" s="83" t="str">
        <f>IFERROR(VLOOKUP($A269,'The List'!$B1:$AS665,25,FALSE)," ")</f>
        <v xml:space="preserve"> </v>
      </c>
      <c r="S269" s="83" t="str">
        <f>IFERROR(VLOOKUP($A269,'The List'!$B1:$AS665,26,FALSE)," ")</f>
        <v xml:space="preserve"> </v>
      </c>
      <c r="T269" s="83" t="str">
        <f>IFERROR(VLOOKUP($A269,'The List'!$B1:$AS665,27,FALSE)," ")</f>
        <v xml:space="preserve"> </v>
      </c>
      <c r="U269" s="83" t="str">
        <f>IFERROR(VLOOKUP($A269,'The List'!$B1:$AS665,28,FALSE)," ")</f>
        <v xml:space="preserve"> </v>
      </c>
      <c r="V269" s="83" t="str">
        <f>IFERROR(VLOOKUP($A269,'The List'!$B1:$AS665,29,FALSE)," ")</f>
        <v xml:space="preserve"> </v>
      </c>
      <c r="W269" s="83" t="str">
        <f>IFERROR(VLOOKUP($A269,'The List'!$B1:$AS665,30,FALSE)," ")</f>
        <v xml:space="preserve"> </v>
      </c>
      <c r="X269" s="83" t="str">
        <f>IFERROR(VLOOKUP($A269,'The List'!$B1:$AS665,31,FALSE)," ")</f>
        <v xml:space="preserve"> </v>
      </c>
      <c r="Y269" s="83" t="str">
        <f>IFERROR(VLOOKUP($A269,'The List'!$B1:$AS665,32,FALSE)," ")</f>
        <v xml:space="preserve"> </v>
      </c>
      <c r="Z269" s="83" t="str">
        <f>IFERROR(VLOOKUP($A269,'The List'!$B1:$AS665,33,FALSE)," ")</f>
        <v xml:space="preserve"> </v>
      </c>
      <c r="AA269" s="86"/>
      <c r="AB269" s="91"/>
      <c r="AC269" s="91"/>
      <c r="AD269" s="91"/>
      <c r="AE269" s="91"/>
      <c r="AF269" s="91"/>
    </row>
    <row r="270" spans="1:32" ht="21.25" customHeight="1" x14ac:dyDescent="0.15">
      <c r="A270" s="23"/>
      <c r="B270" s="94" t="str">
        <f>IFERROR(VLOOKUP($A270,'The List'!$B1:$AS665,3,FALSE)," ")</f>
        <v xml:space="preserve"> </v>
      </c>
      <c r="C270" s="96" t="str">
        <f>IFERROR(VLOOKUP($A270,'The List'!$B1:$AS665,4,FALSE)," ")</f>
        <v xml:space="preserve"> </v>
      </c>
      <c r="D270" s="65" t="str">
        <f>IFERROR(VLOOKUP($A270,'The List'!$B1:$AS665,5,FALSE)," ")</f>
        <v xml:space="preserve"> </v>
      </c>
      <c r="E270" s="65" t="str">
        <f>IFERROR(VLOOKUP($A270,'The List'!$B1:$AS665,6,FALSE)," ")</f>
        <v xml:space="preserve"> </v>
      </c>
      <c r="F270" s="93" t="str">
        <f>IFERROR(VLOOKUP($A270,'The List'!$B1:$AS665,8,FALSE)," ")</f>
        <v xml:space="preserve"> </v>
      </c>
      <c r="G270" s="93" t="str">
        <f>IFERROR(VLOOKUP($A270,'The List'!$B1:$AS665,10,FALSE)," ")</f>
        <v xml:space="preserve"> </v>
      </c>
      <c r="H270" s="54"/>
      <c r="I270" s="83" t="str">
        <f>IFERROR(VLOOKUP($A270,'The List'!$B1:$AS665,16,FALSE)," ")</f>
        <v xml:space="preserve"> </v>
      </c>
      <c r="J270" s="83" t="str">
        <f>IFERROR(VLOOKUP($A270,'The List'!$B1:$AS665,17,FALSE)," ")</f>
        <v xml:space="preserve"> </v>
      </c>
      <c r="K270" s="83" t="str">
        <f>IFERROR(VLOOKUP($A270,'The List'!$B1:$AS665,18,FALSE)," ")</f>
        <v xml:space="preserve"> </v>
      </c>
      <c r="L270" s="83" t="str">
        <f>IFERROR(VLOOKUP($A270,'The List'!$B1:$AS665,19,FALSE)," ")</f>
        <v xml:space="preserve"> </v>
      </c>
      <c r="M270" s="83" t="str">
        <f>IFERROR(VLOOKUP($A270,'The List'!$B1:$AS665,20,FALSE)," ")</f>
        <v xml:space="preserve"> </v>
      </c>
      <c r="N270" s="83" t="str">
        <f>IFERROR(VLOOKUP($A270,'The List'!$B1:$AS665,21,FALSE)," ")</f>
        <v xml:space="preserve"> </v>
      </c>
      <c r="O270" s="83" t="str">
        <f>IFERROR(VLOOKUP($A270,'The List'!$B1:$AS665,22,FALSE)," ")</f>
        <v xml:space="preserve"> </v>
      </c>
      <c r="P270" s="83" t="str">
        <f>IFERROR(VLOOKUP($A270,'The List'!$B1:$AS665,23,FALSE)," ")</f>
        <v xml:space="preserve"> </v>
      </c>
      <c r="Q270" s="83" t="str">
        <f>IFERROR(VLOOKUP($A270,'The List'!$B1:$AS665,24,FALSE)," ")</f>
        <v xml:space="preserve"> </v>
      </c>
      <c r="R270" s="83" t="str">
        <f>IFERROR(VLOOKUP($A270,'The List'!$B1:$AS665,25,FALSE)," ")</f>
        <v xml:space="preserve"> </v>
      </c>
      <c r="S270" s="83" t="str">
        <f>IFERROR(VLOOKUP($A270,'The List'!$B1:$AS665,26,FALSE)," ")</f>
        <v xml:space="preserve"> </v>
      </c>
      <c r="T270" s="83" t="str">
        <f>IFERROR(VLOOKUP($A270,'The List'!$B1:$AS665,27,FALSE)," ")</f>
        <v xml:space="preserve"> </v>
      </c>
      <c r="U270" s="83" t="str">
        <f>IFERROR(VLOOKUP($A270,'The List'!$B1:$AS665,28,FALSE)," ")</f>
        <v xml:space="preserve"> </v>
      </c>
      <c r="V270" s="83" t="str">
        <f>IFERROR(VLOOKUP($A270,'The List'!$B1:$AS665,29,FALSE)," ")</f>
        <v xml:space="preserve"> </v>
      </c>
      <c r="W270" s="83" t="str">
        <f>IFERROR(VLOOKUP($A270,'The List'!$B1:$AS665,30,FALSE)," ")</f>
        <v xml:space="preserve"> </v>
      </c>
      <c r="X270" s="83" t="str">
        <f>IFERROR(VLOOKUP($A270,'The List'!$B1:$AS665,31,FALSE)," ")</f>
        <v xml:space="preserve"> </v>
      </c>
      <c r="Y270" s="83" t="str">
        <f>IFERROR(VLOOKUP($A270,'The List'!$B1:$AS665,32,FALSE)," ")</f>
        <v xml:space="preserve"> </v>
      </c>
      <c r="Z270" s="83" t="str">
        <f>IFERROR(VLOOKUP($A270,'The List'!$B1:$AS665,33,FALSE)," ")</f>
        <v xml:space="preserve"> </v>
      </c>
      <c r="AA270" s="86"/>
      <c r="AB270" s="91"/>
      <c r="AC270" s="91"/>
      <c r="AD270" s="91"/>
      <c r="AE270" s="91"/>
      <c r="AF270" s="91"/>
    </row>
    <row r="271" spans="1:32" ht="21.25" customHeight="1" x14ac:dyDescent="0.15">
      <c r="A271" s="23"/>
      <c r="B271" s="97" t="str">
        <f>IFERROR(VLOOKUP($A271,'The List'!$B1:$AS665,3,FALSE)," ")</f>
        <v xml:space="preserve"> </v>
      </c>
      <c r="C271" s="99" t="str">
        <f>IFERROR(VLOOKUP($A271,'The List'!$B1:$AS665,4,FALSE)," ")</f>
        <v xml:space="preserve"> </v>
      </c>
      <c r="D271" s="65" t="str">
        <f>IFERROR(VLOOKUP($A271,'The List'!$B1:$AS665,5,FALSE)," ")</f>
        <v xml:space="preserve"> </v>
      </c>
      <c r="E271" s="65" t="str">
        <f>IFERROR(VLOOKUP($A271,'The List'!$B1:$AS665,6,FALSE)," ")</f>
        <v xml:space="preserve"> </v>
      </c>
      <c r="F271" s="93" t="str">
        <f>IFERROR(VLOOKUP($A271,'The List'!$B1:$AS665,8,FALSE)," ")</f>
        <v xml:space="preserve"> </v>
      </c>
      <c r="G271" s="93" t="str">
        <f>IFERROR(VLOOKUP($A271,'The List'!$B1:$AS665,10,FALSE)," ")</f>
        <v xml:space="preserve"> </v>
      </c>
      <c r="H271" s="54"/>
      <c r="I271" s="83" t="str">
        <f>IFERROR(VLOOKUP($A271,'The List'!$B1:$AS665,16,FALSE)," ")</f>
        <v xml:space="preserve"> </v>
      </c>
      <c r="J271" s="83" t="str">
        <f>IFERROR(VLOOKUP($A271,'The List'!$B1:$AS665,17,FALSE)," ")</f>
        <v xml:space="preserve"> </v>
      </c>
      <c r="K271" s="83" t="str">
        <f>IFERROR(VLOOKUP($A271,'The List'!$B1:$AS665,18,FALSE)," ")</f>
        <v xml:space="preserve"> </v>
      </c>
      <c r="L271" s="83" t="str">
        <f>IFERROR(VLOOKUP($A271,'The List'!$B1:$AS665,19,FALSE)," ")</f>
        <v xml:space="preserve"> </v>
      </c>
      <c r="M271" s="83" t="str">
        <f>IFERROR(VLOOKUP($A271,'The List'!$B1:$AS665,20,FALSE)," ")</f>
        <v xml:space="preserve"> </v>
      </c>
      <c r="N271" s="83" t="str">
        <f>IFERROR(VLOOKUP($A271,'The List'!$B1:$AS665,21,FALSE)," ")</f>
        <v xml:space="preserve"> </v>
      </c>
      <c r="O271" s="83" t="str">
        <f>IFERROR(VLOOKUP($A271,'The List'!$B1:$AS665,22,FALSE)," ")</f>
        <v xml:space="preserve"> </v>
      </c>
      <c r="P271" s="83" t="str">
        <f>IFERROR(VLOOKUP($A271,'The List'!$B1:$AS665,23,FALSE)," ")</f>
        <v xml:space="preserve"> </v>
      </c>
      <c r="Q271" s="83" t="str">
        <f>IFERROR(VLOOKUP($A271,'The List'!$B1:$AS665,24,FALSE)," ")</f>
        <v xml:space="preserve"> </v>
      </c>
      <c r="R271" s="83" t="str">
        <f>IFERROR(VLOOKUP($A271,'The List'!$B1:$AS665,25,FALSE)," ")</f>
        <v xml:space="preserve"> </v>
      </c>
      <c r="S271" s="83" t="str">
        <f>IFERROR(VLOOKUP($A271,'The List'!$B1:$AS665,26,FALSE)," ")</f>
        <v xml:space="preserve"> </v>
      </c>
      <c r="T271" s="83" t="str">
        <f>IFERROR(VLOOKUP($A271,'The List'!$B1:$AS665,27,FALSE)," ")</f>
        <v xml:space="preserve"> </v>
      </c>
      <c r="U271" s="83" t="str">
        <f>IFERROR(VLOOKUP($A271,'The List'!$B1:$AS665,28,FALSE)," ")</f>
        <v xml:space="preserve"> </v>
      </c>
      <c r="V271" s="83" t="str">
        <f>IFERROR(VLOOKUP($A271,'The List'!$B1:$AS665,29,FALSE)," ")</f>
        <v xml:space="preserve"> </v>
      </c>
      <c r="W271" s="83" t="str">
        <f>IFERROR(VLOOKUP($A271,'The List'!$B1:$AS665,30,FALSE)," ")</f>
        <v xml:space="preserve"> </v>
      </c>
      <c r="X271" s="83" t="str">
        <f>IFERROR(VLOOKUP($A271,'The List'!$B1:$AS665,31,FALSE)," ")</f>
        <v xml:space="preserve"> </v>
      </c>
      <c r="Y271" s="83" t="str">
        <f>IFERROR(VLOOKUP($A271,'The List'!$B1:$AS665,32,FALSE)," ")</f>
        <v xml:space="preserve"> </v>
      </c>
      <c r="Z271" s="83" t="str">
        <f>IFERROR(VLOOKUP($A271,'The List'!$B1:$AS665,33,FALSE)," ")</f>
        <v xml:space="preserve"> </v>
      </c>
      <c r="AA271" s="86"/>
      <c r="AB271" s="91"/>
      <c r="AC271" s="91"/>
      <c r="AD271" s="91"/>
      <c r="AE271" s="91"/>
      <c r="AF271" s="91"/>
    </row>
    <row r="272" spans="1:32" ht="21.25" customHeight="1" x14ac:dyDescent="0.15">
      <c r="A272" s="23"/>
      <c r="B272" s="97" t="str">
        <f>IFERROR(VLOOKUP($A272,'The List'!$B1:$AS665,3,FALSE)," ")</f>
        <v xml:space="preserve"> </v>
      </c>
      <c r="C272" s="99" t="str">
        <f>IFERROR(VLOOKUP($A272,'The List'!$B1:$AS665,4,FALSE)," ")</f>
        <v xml:space="preserve"> </v>
      </c>
      <c r="D272" s="65" t="str">
        <f>IFERROR(VLOOKUP($A272,'The List'!$B1:$AS665,5,FALSE)," ")</f>
        <v xml:space="preserve"> </v>
      </c>
      <c r="E272" s="65" t="str">
        <f>IFERROR(VLOOKUP($A272,'The List'!$B1:$AS665,6,FALSE)," ")</f>
        <v xml:space="preserve"> </v>
      </c>
      <c r="F272" s="93" t="str">
        <f>IFERROR(VLOOKUP($A272,'The List'!$B1:$AS665,8,FALSE)," ")</f>
        <v xml:space="preserve"> </v>
      </c>
      <c r="G272" s="93" t="str">
        <f>IFERROR(VLOOKUP($A272,'The List'!$B1:$AS665,10,FALSE)," ")</f>
        <v xml:space="preserve"> </v>
      </c>
      <c r="H272" s="54"/>
      <c r="I272" s="83" t="str">
        <f>IFERROR(VLOOKUP($A272,'The List'!$B1:$AS665,16,FALSE)," ")</f>
        <v xml:space="preserve"> </v>
      </c>
      <c r="J272" s="83" t="str">
        <f>IFERROR(VLOOKUP($A272,'The List'!$B1:$AS665,17,FALSE)," ")</f>
        <v xml:space="preserve"> </v>
      </c>
      <c r="K272" s="83" t="str">
        <f>IFERROR(VLOOKUP($A272,'The List'!$B1:$AS665,18,FALSE)," ")</f>
        <v xml:space="preserve"> </v>
      </c>
      <c r="L272" s="83" t="str">
        <f>IFERROR(VLOOKUP($A272,'The List'!$B1:$AS665,19,FALSE)," ")</f>
        <v xml:space="preserve"> </v>
      </c>
      <c r="M272" s="83" t="str">
        <f>IFERROR(VLOOKUP($A272,'The List'!$B1:$AS665,20,FALSE)," ")</f>
        <v xml:space="preserve"> </v>
      </c>
      <c r="N272" s="83" t="str">
        <f>IFERROR(VLOOKUP($A272,'The List'!$B1:$AS665,21,FALSE)," ")</f>
        <v xml:space="preserve"> </v>
      </c>
      <c r="O272" s="83" t="str">
        <f>IFERROR(VLOOKUP($A272,'The List'!$B1:$AS665,22,FALSE)," ")</f>
        <v xml:space="preserve"> </v>
      </c>
      <c r="P272" s="83" t="str">
        <f>IFERROR(VLOOKUP($A272,'The List'!$B1:$AS665,23,FALSE)," ")</f>
        <v xml:space="preserve"> </v>
      </c>
      <c r="Q272" s="83" t="str">
        <f>IFERROR(VLOOKUP($A272,'The List'!$B1:$AS665,24,FALSE)," ")</f>
        <v xml:space="preserve"> </v>
      </c>
      <c r="R272" s="83" t="str">
        <f>IFERROR(VLOOKUP($A272,'The List'!$B1:$AS665,25,FALSE)," ")</f>
        <v xml:space="preserve"> </v>
      </c>
      <c r="S272" s="83" t="str">
        <f>IFERROR(VLOOKUP($A272,'The List'!$B1:$AS665,26,FALSE)," ")</f>
        <v xml:space="preserve"> </v>
      </c>
      <c r="T272" s="83" t="str">
        <f>IFERROR(VLOOKUP($A272,'The List'!$B1:$AS665,27,FALSE)," ")</f>
        <v xml:space="preserve"> </v>
      </c>
      <c r="U272" s="83" t="str">
        <f>IFERROR(VLOOKUP($A272,'The List'!$B1:$AS665,28,FALSE)," ")</f>
        <v xml:space="preserve"> </v>
      </c>
      <c r="V272" s="83" t="str">
        <f>IFERROR(VLOOKUP($A272,'The List'!$B1:$AS665,29,FALSE)," ")</f>
        <v xml:space="preserve"> </v>
      </c>
      <c r="W272" s="83" t="str">
        <f>IFERROR(VLOOKUP($A272,'The List'!$B1:$AS665,30,FALSE)," ")</f>
        <v xml:space="preserve"> </v>
      </c>
      <c r="X272" s="83" t="str">
        <f>IFERROR(VLOOKUP($A272,'The List'!$B1:$AS665,31,FALSE)," ")</f>
        <v xml:space="preserve"> </v>
      </c>
      <c r="Y272" s="83" t="str">
        <f>IFERROR(VLOOKUP($A272,'The List'!$B1:$AS665,32,FALSE)," ")</f>
        <v xml:space="preserve"> </v>
      </c>
      <c r="Z272" s="83" t="str">
        <f>IFERROR(VLOOKUP($A272,'The List'!$B1:$AS665,33,FALSE)," ")</f>
        <v xml:space="preserve"> </v>
      </c>
      <c r="AA272" s="86"/>
      <c r="AB272" s="91"/>
      <c r="AC272" s="91"/>
      <c r="AD272" s="91"/>
      <c r="AE272" s="91"/>
      <c r="AF272" s="91"/>
    </row>
    <row r="273" spans="1:32" ht="21.25" customHeight="1" x14ac:dyDescent="0.15">
      <c r="A273" s="23"/>
      <c r="B273" s="97" t="str">
        <f>IFERROR(VLOOKUP($A273,'The List'!$B1:$AS665,3,FALSE)," ")</f>
        <v xml:space="preserve"> </v>
      </c>
      <c r="C273" s="99" t="str">
        <f>IFERROR(VLOOKUP($A273,'The List'!$B1:$AS665,4,FALSE)," ")</f>
        <v xml:space="preserve"> </v>
      </c>
      <c r="D273" s="65" t="str">
        <f>IFERROR(VLOOKUP($A273,'The List'!$B1:$AS665,5,FALSE)," ")</f>
        <v xml:space="preserve"> </v>
      </c>
      <c r="E273" s="65" t="str">
        <f>IFERROR(VLOOKUP($A273,'The List'!$B1:$AS665,6,FALSE)," ")</f>
        <v xml:space="preserve"> </v>
      </c>
      <c r="F273" s="93" t="str">
        <f>IFERROR(VLOOKUP($A273,'The List'!$B1:$AS665,8,FALSE)," ")</f>
        <v xml:space="preserve"> </v>
      </c>
      <c r="G273" s="93" t="str">
        <f>IFERROR(VLOOKUP($A273,'The List'!$B1:$AS665,10,FALSE)," ")</f>
        <v xml:space="preserve"> </v>
      </c>
      <c r="H273" s="54"/>
      <c r="I273" s="83" t="str">
        <f>IFERROR(VLOOKUP($A273,'The List'!$B1:$AS665,16,FALSE)," ")</f>
        <v xml:space="preserve"> </v>
      </c>
      <c r="J273" s="83" t="str">
        <f>IFERROR(VLOOKUP($A273,'The List'!$B1:$AS665,17,FALSE)," ")</f>
        <v xml:space="preserve"> </v>
      </c>
      <c r="K273" s="83" t="str">
        <f>IFERROR(VLOOKUP($A273,'The List'!$B1:$AS665,18,FALSE)," ")</f>
        <v xml:space="preserve"> </v>
      </c>
      <c r="L273" s="83" t="str">
        <f>IFERROR(VLOOKUP($A273,'The List'!$B1:$AS665,19,FALSE)," ")</f>
        <v xml:space="preserve"> </v>
      </c>
      <c r="M273" s="83" t="str">
        <f>IFERROR(VLOOKUP($A273,'The List'!$B1:$AS665,20,FALSE)," ")</f>
        <v xml:space="preserve"> </v>
      </c>
      <c r="N273" s="83" t="str">
        <f>IFERROR(VLOOKUP($A273,'The List'!$B1:$AS665,21,FALSE)," ")</f>
        <v xml:space="preserve"> </v>
      </c>
      <c r="O273" s="83" t="str">
        <f>IFERROR(VLOOKUP($A273,'The List'!$B1:$AS665,22,FALSE)," ")</f>
        <v xml:space="preserve"> </v>
      </c>
      <c r="P273" s="83" t="str">
        <f>IFERROR(VLOOKUP($A273,'The List'!$B1:$AS665,23,FALSE)," ")</f>
        <v xml:space="preserve"> </v>
      </c>
      <c r="Q273" s="83" t="str">
        <f>IFERROR(VLOOKUP($A273,'The List'!$B1:$AS665,24,FALSE)," ")</f>
        <v xml:space="preserve"> </v>
      </c>
      <c r="R273" s="83" t="str">
        <f>IFERROR(VLOOKUP($A273,'The List'!$B1:$AS665,25,FALSE)," ")</f>
        <v xml:space="preserve"> </v>
      </c>
      <c r="S273" s="83" t="str">
        <f>IFERROR(VLOOKUP($A273,'The List'!$B1:$AS665,26,FALSE)," ")</f>
        <v xml:space="preserve"> </v>
      </c>
      <c r="T273" s="83" t="str">
        <f>IFERROR(VLOOKUP($A273,'The List'!$B1:$AS665,27,FALSE)," ")</f>
        <v xml:space="preserve"> </v>
      </c>
      <c r="U273" s="83" t="str">
        <f>IFERROR(VLOOKUP($A273,'The List'!$B1:$AS665,28,FALSE)," ")</f>
        <v xml:space="preserve"> </v>
      </c>
      <c r="V273" s="83" t="str">
        <f>IFERROR(VLOOKUP($A273,'The List'!$B1:$AS665,29,FALSE)," ")</f>
        <v xml:space="preserve"> </v>
      </c>
      <c r="W273" s="83" t="str">
        <f>IFERROR(VLOOKUP($A273,'The List'!$B1:$AS665,30,FALSE)," ")</f>
        <v xml:space="preserve"> </v>
      </c>
      <c r="X273" s="83" t="str">
        <f>IFERROR(VLOOKUP($A273,'The List'!$B1:$AS665,31,FALSE)," ")</f>
        <v xml:space="preserve"> </v>
      </c>
      <c r="Y273" s="83" t="str">
        <f>IFERROR(VLOOKUP($A273,'The List'!$B1:$AS665,32,FALSE)," ")</f>
        <v xml:space="preserve"> </v>
      </c>
      <c r="Z273" s="83" t="str">
        <f>IFERROR(VLOOKUP($A273,'The List'!$B1:$AS665,33,FALSE)," ")</f>
        <v xml:space="preserve"> </v>
      </c>
      <c r="AA273" s="86"/>
      <c r="AB273" s="91"/>
      <c r="AC273" s="91"/>
      <c r="AD273" s="91"/>
      <c r="AE273" s="91"/>
      <c r="AF273" s="91"/>
    </row>
    <row r="274" spans="1:32" ht="21.25" customHeight="1" x14ac:dyDescent="0.15">
      <c r="A274" s="23"/>
      <c r="B274" s="97" t="str">
        <f>IFERROR(VLOOKUP($A274,'The List'!$B1:$AS665,3,FALSE)," ")</f>
        <v xml:space="preserve"> </v>
      </c>
      <c r="C274" s="99" t="str">
        <f>IFERROR(VLOOKUP($A274,'The List'!$B1:$AS665,4,FALSE)," ")</f>
        <v xml:space="preserve"> </v>
      </c>
      <c r="D274" s="65" t="str">
        <f>IFERROR(VLOOKUP($A274,'The List'!$B1:$AS665,5,FALSE)," ")</f>
        <v xml:space="preserve"> </v>
      </c>
      <c r="E274" s="65" t="str">
        <f>IFERROR(VLOOKUP($A274,'The List'!$B1:$AS665,6,FALSE)," ")</f>
        <v xml:space="preserve"> </v>
      </c>
      <c r="F274" s="93" t="str">
        <f>IFERROR(VLOOKUP($A274,'The List'!$B1:$AS665,8,FALSE)," ")</f>
        <v xml:space="preserve"> </v>
      </c>
      <c r="G274" s="93" t="str">
        <f>IFERROR(VLOOKUP($A274,'The List'!$B1:$AS665,10,FALSE)," ")</f>
        <v xml:space="preserve"> </v>
      </c>
      <c r="H274" s="54"/>
      <c r="I274" s="83" t="str">
        <f>IFERROR(VLOOKUP($A274,'The List'!$B1:$AS665,16,FALSE)," ")</f>
        <v xml:space="preserve"> </v>
      </c>
      <c r="J274" s="83" t="str">
        <f>IFERROR(VLOOKUP($A274,'The List'!$B1:$AS665,17,FALSE)," ")</f>
        <v xml:space="preserve"> </v>
      </c>
      <c r="K274" s="83" t="str">
        <f>IFERROR(VLOOKUP($A274,'The List'!$B1:$AS665,18,FALSE)," ")</f>
        <v xml:space="preserve"> </v>
      </c>
      <c r="L274" s="83" t="str">
        <f>IFERROR(VLOOKUP($A274,'The List'!$B1:$AS665,19,FALSE)," ")</f>
        <v xml:space="preserve"> </v>
      </c>
      <c r="M274" s="83" t="str">
        <f>IFERROR(VLOOKUP($A274,'The List'!$B1:$AS665,20,FALSE)," ")</f>
        <v xml:space="preserve"> </v>
      </c>
      <c r="N274" s="83" t="str">
        <f>IFERROR(VLOOKUP($A274,'The List'!$B1:$AS665,21,FALSE)," ")</f>
        <v xml:space="preserve"> </v>
      </c>
      <c r="O274" s="83" t="str">
        <f>IFERROR(VLOOKUP($A274,'The List'!$B1:$AS665,22,FALSE)," ")</f>
        <v xml:space="preserve"> </v>
      </c>
      <c r="P274" s="83" t="str">
        <f>IFERROR(VLOOKUP($A274,'The List'!$B1:$AS665,23,FALSE)," ")</f>
        <v xml:space="preserve"> </v>
      </c>
      <c r="Q274" s="83" t="str">
        <f>IFERROR(VLOOKUP($A274,'The List'!$B1:$AS665,24,FALSE)," ")</f>
        <v xml:space="preserve"> </v>
      </c>
      <c r="R274" s="83" t="str">
        <f>IFERROR(VLOOKUP($A274,'The List'!$B1:$AS665,25,FALSE)," ")</f>
        <v xml:space="preserve"> </v>
      </c>
      <c r="S274" s="83" t="str">
        <f>IFERROR(VLOOKUP($A274,'The List'!$B1:$AS665,26,FALSE)," ")</f>
        <v xml:space="preserve"> </v>
      </c>
      <c r="T274" s="83" t="str">
        <f>IFERROR(VLOOKUP($A274,'The List'!$B1:$AS665,27,FALSE)," ")</f>
        <v xml:space="preserve"> </v>
      </c>
      <c r="U274" s="83" t="str">
        <f>IFERROR(VLOOKUP($A274,'The List'!$B1:$AS665,28,FALSE)," ")</f>
        <v xml:space="preserve"> </v>
      </c>
      <c r="V274" s="83" t="str">
        <f>IFERROR(VLOOKUP($A274,'The List'!$B1:$AS665,29,FALSE)," ")</f>
        <v xml:space="preserve"> </v>
      </c>
      <c r="W274" s="83" t="str">
        <f>IFERROR(VLOOKUP($A274,'The List'!$B1:$AS665,30,FALSE)," ")</f>
        <v xml:space="preserve"> </v>
      </c>
      <c r="X274" s="83" t="str">
        <f>IFERROR(VLOOKUP($A274,'The List'!$B1:$AS665,31,FALSE)," ")</f>
        <v xml:space="preserve"> </v>
      </c>
      <c r="Y274" s="83" t="str">
        <f>IFERROR(VLOOKUP($A274,'The List'!$B1:$AS665,32,FALSE)," ")</f>
        <v xml:space="preserve"> </v>
      </c>
      <c r="Z274" s="83" t="str">
        <f>IFERROR(VLOOKUP($A274,'The List'!$B1:$AS665,33,FALSE)," ")</f>
        <v xml:space="preserve"> </v>
      </c>
      <c r="AA274" s="86"/>
      <c r="AB274" s="91"/>
      <c r="AC274" s="91"/>
      <c r="AD274" s="91"/>
      <c r="AE274" s="91"/>
      <c r="AF274" s="91"/>
    </row>
    <row r="275" spans="1:32" ht="21.25" customHeight="1" x14ac:dyDescent="0.15">
      <c r="A275" s="23"/>
      <c r="B275" s="100" t="str">
        <f>IFERROR(VLOOKUP($A275,'The List'!$B1:$AS665,3,FALSE)," ")</f>
        <v xml:space="preserve"> </v>
      </c>
      <c r="C275" s="102" t="str">
        <f>IFERROR(VLOOKUP($A275,'The List'!$B1:$AS665,4,FALSE)," ")</f>
        <v xml:space="preserve"> </v>
      </c>
      <c r="D275" s="65" t="str">
        <f>IFERROR(VLOOKUP($A275,'The List'!$B1:$AS665,5,FALSE)," ")</f>
        <v xml:space="preserve"> </v>
      </c>
      <c r="E275" s="65" t="str">
        <f>IFERROR(VLOOKUP($A275,'The List'!$B1:$AS665,6,FALSE)," ")</f>
        <v xml:space="preserve"> </v>
      </c>
      <c r="F275" s="93" t="str">
        <f>IFERROR(VLOOKUP($A275,'The List'!$B1:$AS665,8,FALSE)," ")</f>
        <v xml:space="preserve"> </v>
      </c>
      <c r="G275" s="93" t="str">
        <f>IFERROR(VLOOKUP($A275,'The List'!$B1:$AS665,10,FALSE)," ")</f>
        <v xml:space="preserve"> </v>
      </c>
      <c r="H275" s="54"/>
      <c r="I275" s="83" t="str">
        <f>IFERROR(VLOOKUP($A275,'The List'!$B1:$AS665,16,FALSE)," ")</f>
        <v xml:space="preserve"> </v>
      </c>
      <c r="J275" s="83" t="str">
        <f>IFERROR(VLOOKUP($A275,'The List'!$B1:$AS665,17,FALSE)," ")</f>
        <v xml:space="preserve"> </v>
      </c>
      <c r="K275" s="83" t="str">
        <f>IFERROR(VLOOKUP($A275,'The List'!$B1:$AS665,18,FALSE)," ")</f>
        <v xml:space="preserve"> </v>
      </c>
      <c r="L275" s="83" t="str">
        <f>IFERROR(VLOOKUP($A275,'The List'!$B1:$AS665,19,FALSE)," ")</f>
        <v xml:space="preserve"> </v>
      </c>
      <c r="M275" s="83" t="str">
        <f>IFERROR(VLOOKUP($A275,'The List'!$B1:$AS665,20,FALSE)," ")</f>
        <v xml:space="preserve"> </v>
      </c>
      <c r="N275" s="83" t="str">
        <f>IFERROR(VLOOKUP($A275,'The List'!$B1:$AS665,21,FALSE)," ")</f>
        <v xml:space="preserve"> </v>
      </c>
      <c r="O275" s="83" t="str">
        <f>IFERROR(VLOOKUP($A275,'The List'!$B1:$AS665,22,FALSE)," ")</f>
        <v xml:space="preserve"> </v>
      </c>
      <c r="P275" s="83" t="str">
        <f>IFERROR(VLOOKUP($A275,'The List'!$B1:$AS665,23,FALSE)," ")</f>
        <v xml:space="preserve"> </v>
      </c>
      <c r="Q275" s="83" t="str">
        <f>IFERROR(VLOOKUP($A275,'The List'!$B1:$AS665,24,FALSE)," ")</f>
        <v xml:space="preserve"> </v>
      </c>
      <c r="R275" s="83" t="str">
        <f>IFERROR(VLOOKUP($A275,'The List'!$B1:$AS665,25,FALSE)," ")</f>
        <v xml:space="preserve"> </v>
      </c>
      <c r="S275" s="83" t="str">
        <f>IFERROR(VLOOKUP($A275,'The List'!$B1:$AS665,26,FALSE)," ")</f>
        <v xml:space="preserve"> </v>
      </c>
      <c r="T275" s="83" t="str">
        <f>IFERROR(VLOOKUP($A275,'The List'!$B1:$AS665,27,FALSE)," ")</f>
        <v xml:space="preserve"> </v>
      </c>
      <c r="U275" s="83" t="str">
        <f>IFERROR(VLOOKUP($A275,'The List'!$B1:$AS665,28,FALSE)," ")</f>
        <v xml:space="preserve"> </v>
      </c>
      <c r="V275" s="83" t="str">
        <f>IFERROR(VLOOKUP($A275,'The List'!$B1:$AS665,29,FALSE)," ")</f>
        <v xml:space="preserve"> </v>
      </c>
      <c r="W275" s="83" t="str">
        <f>IFERROR(VLOOKUP($A275,'The List'!$B1:$AS665,30,FALSE)," ")</f>
        <v xml:space="preserve"> </v>
      </c>
      <c r="X275" s="83" t="str">
        <f>IFERROR(VLOOKUP($A275,'The List'!$B1:$AS665,31,FALSE)," ")</f>
        <v xml:space="preserve"> </v>
      </c>
      <c r="Y275" s="83" t="str">
        <f>IFERROR(VLOOKUP($A275,'The List'!$B1:$AS665,32,FALSE)," ")</f>
        <v xml:space="preserve"> </v>
      </c>
      <c r="Z275" s="83" t="str">
        <f>IFERROR(VLOOKUP($A275,'The List'!$B1:$AS665,33,FALSE)," ")</f>
        <v xml:space="preserve"> </v>
      </c>
      <c r="AA275" s="86"/>
      <c r="AB275" s="91"/>
      <c r="AC275" s="91"/>
      <c r="AD275" s="91"/>
      <c r="AE275" s="91"/>
      <c r="AF275" s="91"/>
    </row>
    <row r="276" spans="1:32" ht="21.25" customHeight="1" x14ac:dyDescent="0.15">
      <c r="A276" s="23"/>
      <c r="B276" s="100" t="str">
        <f>IFERROR(VLOOKUP($A276,'The List'!$B1:$AS665,3,FALSE)," ")</f>
        <v xml:space="preserve"> </v>
      </c>
      <c r="C276" s="102" t="str">
        <f>IFERROR(VLOOKUP($A276,'The List'!$B1:$AS665,4,FALSE)," ")</f>
        <v xml:space="preserve"> </v>
      </c>
      <c r="D276" s="65" t="str">
        <f>IFERROR(VLOOKUP($A276,'The List'!$B1:$AS665,5,FALSE)," ")</f>
        <v xml:space="preserve"> </v>
      </c>
      <c r="E276" s="65" t="str">
        <f>IFERROR(VLOOKUP($A276,'The List'!$B1:$AS665,6,FALSE)," ")</f>
        <v xml:space="preserve"> </v>
      </c>
      <c r="F276" s="93" t="str">
        <f>IFERROR(VLOOKUP($A276,'The List'!$B1:$AS665,8,FALSE)," ")</f>
        <v xml:space="preserve"> </v>
      </c>
      <c r="G276" s="93" t="str">
        <f>IFERROR(VLOOKUP($A276,'The List'!$B1:$AS665,10,FALSE)," ")</f>
        <v xml:space="preserve"> </v>
      </c>
      <c r="H276" s="54"/>
      <c r="I276" s="83" t="str">
        <f>IFERROR(VLOOKUP($A276,'The List'!$B1:$AS665,16,FALSE)," ")</f>
        <v xml:space="preserve"> </v>
      </c>
      <c r="J276" s="83" t="str">
        <f>IFERROR(VLOOKUP($A276,'The List'!$B1:$AS665,17,FALSE)," ")</f>
        <v xml:space="preserve"> </v>
      </c>
      <c r="K276" s="83" t="str">
        <f>IFERROR(VLOOKUP($A276,'The List'!$B1:$AS665,18,FALSE)," ")</f>
        <v xml:space="preserve"> </v>
      </c>
      <c r="L276" s="83" t="str">
        <f>IFERROR(VLOOKUP($A276,'The List'!$B1:$AS665,19,FALSE)," ")</f>
        <v xml:space="preserve"> </v>
      </c>
      <c r="M276" s="83" t="str">
        <f>IFERROR(VLOOKUP($A276,'The List'!$B1:$AS665,20,FALSE)," ")</f>
        <v xml:space="preserve"> </v>
      </c>
      <c r="N276" s="83" t="str">
        <f>IFERROR(VLOOKUP($A276,'The List'!$B1:$AS665,21,FALSE)," ")</f>
        <v xml:space="preserve"> </v>
      </c>
      <c r="O276" s="83" t="str">
        <f>IFERROR(VLOOKUP($A276,'The List'!$B1:$AS665,22,FALSE)," ")</f>
        <v xml:space="preserve"> </v>
      </c>
      <c r="P276" s="83" t="str">
        <f>IFERROR(VLOOKUP($A276,'The List'!$B1:$AS665,23,FALSE)," ")</f>
        <v xml:space="preserve"> </v>
      </c>
      <c r="Q276" s="83" t="str">
        <f>IFERROR(VLOOKUP($A276,'The List'!$B1:$AS665,24,FALSE)," ")</f>
        <v xml:space="preserve"> </v>
      </c>
      <c r="R276" s="83" t="str">
        <f>IFERROR(VLOOKUP($A276,'The List'!$B1:$AS665,25,FALSE)," ")</f>
        <v xml:space="preserve"> </v>
      </c>
      <c r="S276" s="83" t="str">
        <f>IFERROR(VLOOKUP($A276,'The List'!$B1:$AS665,26,FALSE)," ")</f>
        <v xml:space="preserve"> </v>
      </c>
      <c r="T276" s="83" t="str">
        <f>IFERROR(VLOOKUP($A276,'The List'!$B1:$AS665,27,FALSE)," ")</f>
        <v xml:space="preserve"> </v>
      </c>
      <c r="U276" s="83" t="str">
        <f>IFERROR(VLOOKUP($A276,'The List'!$B1:$AS665,28,FALSE)," ")</f>
        <v xml:space="preserve"> </v>
      </c>
      <c r="V276" s="83" t="str">
        <f>IFERROR(VLOOKUP($A276,'The List'!$B1:$AS665,29,FALSE)," ")</f>
        <v xml:space="preserve"> </v>
      </c>
      <c r="W276" s="83" t="str">
        <f>IFERROR(VLOOKUP($A276,'The List'!$B1:$AS665,30,FALSE)," ")</f>
        <v xml:space="preserve"> </v>
      </c>
      <c r="X276" s="83" t="str">
        <f>IFERROR(VLOOKUP($A276,'The List'!$B1:$AS665,31,FALSE)," ")</f>
        <v xml:space="preserve"> </v>
      </c>
      <c r="Y276" s="83" t="str">
        <f>IFERROR(VLOOKUP($A276,'The List'!$B1:$AS665,32,FALSE)," ")</f>
        <v xml:space="preserve"> </v>
      </c>
      <c r="Z276" s="83" t="str">
        <f>IFERROR(VLOOKUP($A276,'The List'!$B1:$AS665,33,FALSE)," ")</f>
        <v xml:space="preserve"> </v>
      </c>
      <c r="AA276" s="86"/>
      <c r="AB276" s="91"/>
      <c r="AC276" s="91"/>
      <c r="AD276" s="91"/>
      <c r="AE276" s="91"/>
      <c r="AF276" s="91"/>
    </row>
    <row r="277" spans="1:32" ht="21.25" customHeight="1" x14ac:dyDescent="0.15">
      <c r="A277" s="23"/>
      <c r="B277" s="100" t="str">
        <f>IFERROR(VLOOKUP($A277,'The List'!$B1:$AS665,3,FALSE)," ")</f>
        <v xml:space="preserve"> </v>
      </c>
      <c r="C277" s="102" t="str">
        <f>IFERROR(VLOOKUP($A277,'The List'!$B1:$AS665,4,FALSE)," ")</f>
        <v xml:space="preserve"> </v>
      </c>
      <c r="D277" s="65" t="str">
        <f>IFERROR(VLOOKUP($A277,'The List'!$B1:$AS665,5,FALSE)," ")</f>
        <v xml:space="preserve"> </v>
      </c>
      <c r="E277" s="65" t="str">
        <f>IFERROR(VLOOKUP($A277,'The List'!$B1:$AS665,6,FALSE)," ")</f>
        <v xml:space="preserve"> </v>
      </c>
      <c r="F277" s="93" t="str">
        <f>IFERROR(VLOOKUP($A277,'The List'!$B1:$AS665,8,FALSE)," ")</f>
        <v xml:space="preserve"> </v>
      </c>
      <c r="G277" s="93" t="str">
        <f>IFERROR(VLOOKUP($A277,'The List'!$B1:$AS665,10,FALSE)," ")</f>
        <v xml:space="preserve"> </v>
      </c>
      <c r="H277" s="54"/>
      <c r="I277" s="83" t="str">
        <f>IFERROR(VLOOKUP($A277,'The List'!$B1:$AS665,16,FALSE)," ")</f>
        <v xml:space="preserve"> </v>
      </c>
      <c r="J277" s="83" t="str">
        <f>IFERROR(VLOOKUP($A277,'The List'!$B1:$AS665,17,FALSE)," ")</f>
        <v xml:space="preserve"> </v>
      </c>
      <c r="K277" s="83" t="str">
        <f>IFERROR(VLOOKUP($A277,'The List'!$B1:$AS665,18,FALSE)," ")</f>
        <v xml:space="preserve"> </v>
      </c>
      <c r="L277" s="83" t="str">
        <f>IFERROR(VLOOKUP($A277,'The List'!$B1:$AS665,19,FALSE)," ")</f>
        <v xml:space="preserve"> </v>
      </c>
      <c r="M277" s="83" t="str">
        <f>IFERROR(VLOOKUP($A277,'The List'!$B1:$AS665,20,FALSE)," ")</f>
        <v xml:space="preserve"> </v>
      </c>
      <c r="N277" s="83" t="str">
        <f>IFERROR(VLOOKUP($A277,'The List'!$B1:$AS665,21,FALSE)," ")</f>
        <v xml:space="preserve"> </v>
      </c>
      <c r="O277" s="83" t="str">
        <f>IFERROR(VLOOKUP($A277,'The List'!$B1:$AS665,22,FALSE)," ")</f>
        <v xml:space="preserve"> </v>
      </c>
      <c r="P277" s="83" t="str">
        <f>IFERROR(VLOOKUP($A277,'The List'!$B1:$AS665,23,FALSE)," ")</f>
        <v xml:space="preserve"> </v>
      </c>
      <c r="Q277" s="83" t="str">
        <f>IFERROR(VLOOKUP($A277,'The List'!$B1:$AS665,24,FALSE)," ")</f>
        <v xml:space="preserve"> </v>
      </c>
      <c r="R277" s="83" t="str">
        <f>IFERROR(VLOOKUP($A277,'The List'!$B1:$AS665,25,FALSE)," ")</f>
        <v xml:space="preserve"> </v>
      </c>
      <c r="S277" s="83" t="str">
        <f>IFERROR(VLOOKUP($A277,'The List'!$B1:$AS665,26,FALSE)," ")</f>
        <v xml:space="preserve"> </v>
      </c>
      <c r="T277" s="83" t="str">
        <f>IFERROR(VLOOKUP($A277,'The List'!$B1:$AS665,27,FALSE)," ")</f>
        <v xml:space="preserve"> </v>
      </c>
      <c r="U277" s="83" t="str">
        <f>IFERROR(VLOOKUP($A277,'The List'!$B1:$AS665,28,FALSE)," ")</f>
        <v xml:space="preserve"> </v>
      </c>
      <c r="V277" s="83" t="str">
        <f>IFERROR(VLOOKUP($A277,'The List'!$B1:$AS665,29,FALSE)," ")</f>
        <v xml:space="preserve"> </v>
      </c>
      <c r="W277" s="83" t="str">
        <f>IFERROR(VLOOKUP($A277,'The List'!$B1:$AS665,30,FALSE)," ")</f>
        <v xml:space="preserve"> </v>
      </c>
      <c r="X277" s="83" t="str">
        <f>IFERROR(VLOOKUP($A277,'The List'!$B1:$AS665,31,FALSE)," ")</f>
        <v xml:space="preserve"> </v>
      </c>
      <c r="Y277" s="83" t="str">
        <f>IFERROR(VLOOKUP($A277,'The List'!$B1:$AS665,32,FALSE)," ")</f>
        <v xml:space="preserve"> </v>
      </c>
      <c r="Z277" s="83" t="str">
        <f>IFERROR(VLOOKUP($A277,'The List'!$B1:$AS665,33,FALSE)," ")</f>
        <v xml:space="preserve"> </v>
      </c>
      <c r="AA277" s="86"/>
      <c r="AB277" s="91"/>
      <c r="AC277" s="91"/>
      <c r="AD277" s="91"/>
      <c r="AE277" s="91"/>
      <c r="AF277" s="91"/>
    </row>
    <row r="278" spans="1:32" ht="21.25" customHeight="1" x14ac:dyDescent="0.15">
      <c r="A278" s="23"/>
      <c r="B278" s="100" t="str">
        <f>IFERROR(VLOOKUP($A278,'The List'!$B1:$AS665,3,FALSE)," ")</f>
        <v xml:space="preserve"> </v>
      </c>
      <c r="C278" s="102" t="str">
        <f>IFERROR(VLOOKUP($A278,'The List'!$B1:$AS665,4,FALSE)," ")</f>
        <v xml:space="preserve"> </v>
      </c>
      <c r="D278" s="65" t="str">
        <f>IFERROR(VLOOKUP($A278,'The List'!$B1:$AS665,5,FALSE)," ")</f>
        <v xml:space="preserve"> </v>
      </c>
      <c r="E278" s="65" t="str">
        <f>IFERROR(VLOOKUP($A278,'The List'!$B1:$AS665,6,FALSE)," ")</f>
        <v xml:space="preserve"> </v>
      </c>
      <c r="F278" s="93" t="str">
        <f>IFERROR(VLOOKUP($A278,'The List'!$B1:$AS665,8,FALSE)," ")</f>
        <v xml:space="preserve"> </v>
      </c>
      <c r="G278" s="93" t="str">
        <f>IFERROR(VLOOKUP($A278,'The List'!$B1:$AS665,10,FALSE)," ")</f>
        <v xml:space="preserve"> </v>
      </c>
      <c r="H278" s="54"/>
      <c r="I278" s="83" t="str">
        <f>IFERROR(VLOOKUP($A278,'The List'!$B1:$AS665,16,FALSE)," ")</f>
        <v xml:space="preserve"> </v>
      </c>
      <c r="J278" s="83" t="str">
        <f>IFERROR(VLOOKUP($A278,'The List'!$B1:$AS665,17,FALSE)," ")</f>
        <v xml:space="preserve"> </v>
      </c>
      <c r="K278" s="83" t="str">
        <f>IFERROR(VLOOKUP($A278,'The List'!$B1:$AS665,18,FALSE)," ")</f>
        <v xml:space="preserve"> </v>
      </c>
      <c r="L278" s="83" t="str">
        <f>IFERROR(VLOOKUP($A278,'The List'!$B1:$AS665,19,FALSE)," ")</f>
        <v xml:space="preserve"> </v>
      </c>
      <c r="M278" s="83" t="str">
        <f>IFERROR(VLOOKUP($A278,'The List'!$B1:$AS665,20,FALSE)," ")</f>
        <v xml:space="preserve"> </v>
      </c>
      <c r="N278" s="83" t="str">
        <f>IFERROR(VLOOKUP($A278,'The List'!$B1:$AS665,21,FALSE)," ")</f>
        <v xml:space="preserve"> </v>
      </c>
      <c r="O278" s="83" t="str">
        <f>IFERROR(VLOOKUP($A278,'The List'!$B1:$AS665,22,FALSE)," ")</f>
        <v xml:space="preserve"> </v>
      </c>
      <c r="P278" s="83" t="str">
        <f>IFERROR(VLOOKUP($A278,'The List'!$B1:$AS665,23,FALSE)," ")</f>
        <v xml:space="preserve"> </v>
      </c>
      <c r="Q278" s="83" t="str">
        <f>IFERROR(VLOOKUP($A278,'The List'!$B1:$AS665,24,FALSE)," ")</f>
        <v xml:space="preserve"> </v>
      </c>
      <c r="R278" s="83" t="str">
        <f>IFERROR(VLOOKUP($A278,'The List'!$B1:$AS665,25,FALSE)," ")</f>
        <v xml:space="preserve"> </v>
      </c>
      <c r="S278" s="83" t="str">
        <f>IFERROR(VLOOKUP($A278,'The List'!$B1:$AS665,26,FALSE)," ")</f>
        <v xml:space="preserve"> </v>
      </c>
      <c r="T278" s="83" t="str">
        <f>IFERROR(VLOOKUP($A278,'The List'!$B1:$AS665,27,FALSE)," ")</f>
        <v xml:space="preserve"> </v>
      </c>
      <c r="U278" s="83" t="str">
        <f>IFERROR(VLOOKUP($A278,'The List'!$B1:$AS665,28,FALSE)," ")</f>
        <v xml:space="preserve"> </v>
      </c>
      <c r="V278" s="83" t="str">
        <f>IFERROR(VLOOKUP($A278,'The List'!$B1:$AS665,29,FALSE)," ")</f>
        <v xml:space="preserve"> </v>
      </c>
      <c r="W278" s="83" t="str">
        <f>IFERROR(VLOOKUP($A278,'The List'!$B1:$AS665,30,FALSE)," ")</f>
        <v xml:space="preserve"> </v>
      </c>
      <c r="X278" s="83" t="str">
        <f>IFERROR(VLOOKUP($A278,'The List'!$B1:$AS665,31,FALSE)," ")</f>
        <v xml:space="preserve"> </v>
      </c>
      <c r="Y278" s="83" t="str">
        <f>IFERROR(VLOOKUP($A278,'The List'!$B1:$AS665,32,FALSE)," ")</f>
        <v xml:space="preserve"> </v>
      </c>
      <c r="Z278" s="83" t="str">
        <f>IFERROR(VLOOKUP($A278,'The List'!$B1:$AS665,33,FALSE)," ")</f>
        <v xml:space="preserve"> </v>
      </c>
      <c r="AA278" s="86"/>
      <c r="AB278" s="91"/>
      <c r="AC278" s="91"/>
      <c r="AD278" s="91"/>
      <c r="AE278" s="91"/>
      <c r="AF278" s="91"/>
    </row>
    <row r="279" spans="1:32" ht="21.25" customHeight="1" x14ac:dyDescent="0.15">
      <c r="A279" s="23"/>
      <c r="B279" s="100" t="str">
        <f>IFERROR(VLOOKUP($A279,'The List'!$B1:$AS665,3,FALSE)," ")</f>
        <v xml:space="preserve"> </v>
      </c>
      <c r="C279" s="102" t="str">
        <f>IFERROR(VLOOKUP($A279,'The List'!$B1:$AS665,4,FALSE)," ")</f>
        <v xml:space="preserve"> </v>
      </c>
      <c r="D279" s="65" t="str">
        <f>IFERROR(VLOOKUP($A279,'The List'!$B1:$AS665,5,FALSE)," ")</f>
        <v xml:space="preserve"> </v>
      </c>
      <c r="E279" s="65" t="str">
        <f>IFERROR(VLOOKUP($A279,'The List'!$B1:$AS665,6,FALSE)," ")</f>
        <v xml:space="preserve"> </v>
      </c>
      <c r="F279" s="93" t="str">
        <f>IFERROR(VLOOKUP($A279,'The List'!$B1:$AS665,8,FALSE)," ")</f>
        <v xml:space="preserve"> </v>
      </c>
      <c r="G279" s="93" t="str">
        <f>IFERROR(VLOOKUP($A279,'The List'!$B1:$AS665,10,FALSE)," ")</f>
        <v xml:space="preserve"> </v>
      </c>
      <c r="H279" s="54"/>
      <c r="I279" s="83" t="str">
        <f>IFERROR(VLOOKUP($A279,'The List'!$B1:$AS665,16,FALSE)," ")</f>
        <v xml:space="preserve"> </v>
      </c>
      <c r="J279" s="83" t="str">
        <f>IFERROR(VLOOKUP($A279,'The List'!$B1:$AS665,17,FALSE)," ")</f>
        <v xml:space="preserve"> </v>
      </c>
      <c r="K279" s="83" t="str">
        <f>IFERROR(VLOOKUP($A279,'The List'!$B1:$AS665,18,FALSE)," ")</f>
        <v xml:space="preserve"> </v>
      </c>
      <c r="L279" s="83" t="str">
        <f>IFERROR(VLOOKUP($A279,'The List'!$B1:$AS665,19,FALSE)," ")</f>
        <v xml:space="preserve"> </v>
      </c>
      <c r="M279" s="83" t="str">
        <f>IFERROR(VLOOKUP($A279,'The List'!$B1:$AS665,20,FALSE)," ")</f>
        <v xml:space="preserve"> </v>
      </c>
      <c r="N279" s="83" t="str">
        <f>IFERROR(VLOOKUP($A279,'The List'!$B1:$AS665,21,FALSE)," ")</f>
        <v xml:space="preserve"> </v>
      </c>
      <c r="O279" s="83" t="str">
        <f>IFERROR(VLOOKUP($A279,'The List'!$B1:$AS665,22,FALSE)," ")</f>
        <v xml:space="preserve"> </v>
      </c>
      <c r="P279" s="83" t="str">
        <f>IFERROR(VLOOKUP($A279,'The List'!$B1:$AS665,23,FALSE)," ")</f>
        <v xml:space="preserve"> </v>
      </c>
      <c r="Q279" s="83" t="str">
        <f>IFERROR(VLOOKUP($A279,'The List'!$B1:$AS665,24,FALSE)," ")</f>
        <v xml:space="preserve"> </v>
      </c>
      <c r="R279" s="83" t="str">
        <f>IFERROR(VLOOKUP($A279,'The List'!$B1:$AS665,25,FALSE)," ")</f>
        <v xml:space="preserve"> </v>
      </c>
      <c r="S279" s="83" t="str">
        <f>IFERROR(VLOOKUP($A279,'The List'!$B1:$AS665,26,FALSE)," ")</f>
        <v xml:space="preserve"> </v>
      </c>
      <c r="T279" s="83" t="str">
        <f>IFERROR(VLOOKUP($A279,'The List'!$B1:$AS665,27,FALSE)," ")</f>
        <v xml:space="preserve"> </v>
      </c>
      <c r="U279" s="83" t="str">
        <f>IFERROR(VLOOKUP($A279,'The List'!$B1:$AS665,28,FALSE)," ")</f>
        <v xml:space="preserve"> </v>
      </c>
      <c r="V279" s="83" t="str">
        <f>IFERROR(VLOOKUP($A279,'The List'!$B1:$AS665,29,FALSE)," ")</f>
        <v xml:space="preserve"> </v>
      </c>
      <c r="W279" s="83" t="str">
        <f>IFERROR(VLOOKUP($A279,'The List'!$B1:$AS665,30,FALSE)," ")</f>
        <v xml:space="preserve"> </v>
      </c>
      <c r="X279" s="83" t="str">
        <f>IFERROR(VLOOKUP($A279,'The List'!$B1:$AS665,31,FALSE)," ")</f>
        <v xml:space="preserve"> </v>
      </c>
      <c r="Y279" s="83" t="str">
        <f>IFERROR(VLOOKUP($A279,'The List'!$B1:$AS665,32,FALSE)," ")</f>
        <v xml:space="preserve"> </v>
      </c>
      <c r="Z279" s="83" t="str">
        <f>IFERROR(VLOOKUP($A279,'The List'!$B1:$AS665,33,FALSE)," ")</f>
        <v xml:space="preserve"> </v>
      </c>
      <c r="AA279" s="86"/>
      <c r="AB279" s="91"/>
      <c r="AC279" s="91"/>
      <c r="AD279" s="91"/>
      <c r="AE279" s="91"/>
      <c r="AF279" s="91"/>
    </row>
    <row r="280" spans="1:32" ht="21.25" customHeight="1" x14ac:dyDescent="0.15">
      <c r="A280" s="23"/>
      <c r="B280" s="100" t="str">
        <f>IFERROR(VLOOKUP($A280,'The List'!$B1:$AS665,3,FALSE)," ")</f>
        <v xml:space="preserve"> </v>
      </c>
      <c r="C280" s="102" t="str">
        <f>IFERROR(VLOOKUP($A280,'The List'!$B1:$AS665,4,FALSE)," ")</f>
        <v xml:space="preserve"> </v>
      </c>
      <c r="D280" s="65" t="str">
        <f>IFERROR(VLOOKUP($A280,'The List'!$B1:$AS665,5,FALSE)," ")</f>
        <v xml:space="preserve"> </v>
      </c>
      <c r="E280" s="65" t="str">
        <f>IFERROR(VLOOKUP($A280,'The List'!$B1:$AS665,6,FALSE)," ")</f>
        <v xml:space="preserve"> </v>
      </c>
      <c r="F280" s="93" t="str">
        <f>IFERROR(VLOOKUP($A280,'The List'!$B1:$AS665,8,FALSE)," ")</f>
        <v xml:space="preserve"> </v>
      </c>
      <c r="G280" s="93" t="str">
        <f>IFERROR(VLOOKUP($A280,'The List'!$B1:$AS665,10,FALSE)," ")</f>
        <v xml:space="preserve"> </v>
      </c>
      <c r="H280" s="54"/>
      <c r="I280" s="83" t="str">
        <f>IFERROR(VLOOKUP($A280,'The List'!$B1:$AS665,16,FALSE)," ")</f>
        <v xml:space="preserve"> </v>
      </c>
      <c r="J280" s="83" t="str">
        <f>IFERROR(VLOOKUP($A280,'The List'!$B1:$AS665,17,FALSE)," ")</f>
        <v xml:space="preserve"> </v>
      </c>
      <c r="K280" s="83" t="str">
        <f>IFERROR(VLOOKUP($A280,'The List'!$B1:$AS665,18,FALSE)," ")</f>
        <v xml:space="preserve"> </v>
      </c>
      <c r="L280" s="83" t="str">
        <f>IFERROR(VLOOKUP($A280,'The List'!$B1:$AS665,19,FALSE)," ")</f>
        <v xml:space="preserve"> </v>
      </c>
      <c r="M280" s="83" t="str">
        <f>IFERROR(VLOOKUP($A280,'The List'!$B1:$AS665,20,FALSE)," ")</f>
        <v xml:space="preserve"> </v>
      </c>
      <c r="N280" s="83" t="str">
        <f>IFERROR(VLOOKUP($A280,'The List'!$B1:$AS665,21,FALSE)," ")</f>
        <v xml:space="preserve"> </v>
      </c>
      <c r="O280" s="83" t="str">
        <f>IFERROR(VLOOKUP($A280,'The List'!$B1:$AS665,22,FALSE)," ")</f>
        <v xml:space="preserve"> </v>
      </c>
      <c r="P280" s="83" t="str">
        <f>IFERROR(VLOOKUP($A280,'The List'!$B1:$AS665,23,FALSE)," ")</f>
        <v xml:space="preserve"> </v>
      </c>
      <c r="Q280" s="83" t="str">
        <f>IFERROR(VLOOKUP($A280,'The List'!$B1:$AS665,24,FALSE)," ")</f>
        <v xml:space="preserve"> </v>
      </c>
      <c r="R280" s="83" t="str">
        <f>IFERROR(VLOOKUP($A280,'The List'!$B1:$AS665,25,FALSE)," ")</f>
        <v xml:space="preserve"> </v>
      </c>
      <c r="S280" s="83" t="str">
        <f>IFERROR(VLOOKUP($A280,'The List'!$B1:$AS665,26,FALSE)," ")</f>
        <v xml:space="preserve"> </v>
      </c>
      <c r="T280" s="83" t="str">
        <f>IFERROR(VLOOKUP($A280,'The List'!$B1:$AS665,27,FALSE)," ")</f>
        <v xml:space="preserve"> </v>
      </c>
      <c r="U280" s="83" t="str">
        <f>IFERROR(VLOOKUP($A280,'The List'!$B1:$AS665,28,FALSE)," ")</f>
        <v xml:space="preserve"> </v>
      </c>
      <c r="V280" s="83" t="str">
        <f>IFERROR(VLOOKUP($A280,'The List'!$B1:$AS665,29,FALSE)," ")</f>
        <v xml:space="preserve"> </v>
      </c>
      <c r="W280" s="83" t="str">
        <f>IFERROR(VLOOKUP($A280,'The List'!$B1:$AS665,30,FALSE)," ")</f>
        <v xml:space="preserve"> </v>
      </c>
      <c r="X280" s="83" t="str">
        <f>IFERROR(VLOOKUP($A280,'The List'!$B1:$AS665,31,FALSE)," ")</f>
        <v xml:space="preserve"> </v>
      </c>
      <c r="Y280" s="83" t="str">
        <f>IFERROR(VLOOKUP($A280,'The List'!$B1:$AS665,32,FALSE)," ")</f>
        <v xml:space="preserve"> </v>
      </c>
      <c r="Z280" s="83" t="str">
        <f>IFERROR(VLOOKUP($A280,'The List'!$B1:$AS665,33,FALSE)," ")</f>
        <v xml:space="preserve"> </v>
      </c>
      <c r="AA280" s="86"/>
      <c r="AB280" s="91"/>
      <c r="AC280" s="91"/>
      <c r="AD280" s="91"/>
      <c r="AE280" s="91"/>
      <c r="AF280" s="91"/>
    </row>
    <row r="281" spans="1:32" ht="21.25" customHeight="1" x14ac:dyDescent="0.15">
      <c r="A281" s="23"/>
      <c r="B281" s="100" t="str">
        <f>IFERROR(VLOOKUP($A281,'The List'!$B1:$AS665,3,FALSE)," ")</f>
        <v xml:space="preserve"> </v>
      </c>
      <c r="C281" s="102" t="str">
        <f>IFERROR(VLOOKUP($A281,'The List'!$B1:$AS665,4,FALSE)," ")</f>
        <v xml:space="preserve"> </v>
      </c>
      <c r="D281" s="65" t="str">
        <f>IFERROR(VLOOKUP($A281,'The List'!$B1:$AS665,5,FALSE)," ")</f>
        <v xml:space="preserve"> </v>
      </c>
      <c r="E281" s="65" t="str">
        <f>IFERROR(VLOOKUP($A281,'The List'!$B1:$AS665,6,FALSE)," ")</f>
        <v xml:space="preserve"> </v>
      </c>
      <c r="F281" s="93" t="str">
        <f>IFERROR(VLOOKUP($A281,'The List'!$B1:$AS665,8,FALSE)," ")</f>
        <v xml:space="preserve"> </v>
      </c>
      <c r="G281" s="93" t="str">
        <f>IFERROR(VLOOKUP($A281,'The List'!$B1:$AS665,10,FALSE)," ")</f>
        <v xml:space="preserve"> </v>
      </c>
      <c r="H281" s="54"/>
      <c r="I281" s="83" t="str">
        <f>IFERROR(VLOOKUP($A281,'The List'!$B1:$AS665,16,FALSE)," ")</f>
        <v xml:space="preserve"> </v>
      </c>
      <c r="J281" s="83" t="str">
        <f>IFERROR(VLOOKUP($A281,'The List'!$B1:$AS665,17,FALSE)," ")</f>
        <v xml:space="preserve"> </v>
      </c>
      <c r="K281" s="83" t="str">
        <f>IFERROR(VLOOKUP($A281,'The List'!$B1:$AS665,18,FALSE)," ")</f>
        <v xml:space="preserve"> </v>
      </c>
      <c r="L281" s="83" t="str">
        <f>IFERROR(VLOOKUP($A281,'The List'!$B1:$AS665,19,FALSE)," ")</f>
        <v xml:space="preserve"> </v>
      </c>
      <c r="M281" s="83" t="str">
        <f>IFERROR(VLOOKUP($A281,'The List'!$B1:$AS665,20,FALSE)," ")</f>
        <v xml:space="preserve"> </v>
      </c>
      <c r="N281" s="83" t="str">
        <f>IFERROR(VLOOKUP($A281,'The List'!$B1:$AS665,21,FALSE)," ")</f>
        <v xml:space="preserve"> </v>
      </c>
      <c r="O281" s="83" t="str">
        <f>IFERROR(VLOOKUP($A281,'The List'!$B1:$AS665,22,FALSE)," ")</f>
        <v xml:space="preserve"> </v>
      </c>
      <c r="P281" s="83" t="str">
        <f>IFERROR(VLOOKUP($A281,'The List'!$B1:$AS665,23,FALSE)," ")</f>
        <v xml:space="preserve"> </v>
      </c>
      <c r="Q281" s="83" t="str">
        <f>IFERROR(VLOOKUP($A281,'The List'!$B1:$AS665,24,FALSE)," ")</f>
        <v xml:space="preserve"> </v>
      </c>
      <c r="R281" s="83" t="str">
        <f>IFERROR(VLOOKUP($A281,'The List'!$B1:$AS665,25,FALSE)," ")</f>
        <v xml:space="preserve"> </v>
      </c>
      <c r="S281" s="83" t="str">
        <f>IFERROR(VLOOKUP($A281,'The List'!$B1:$AS665,26,FALSE)," ")</f>
        <v xml:space="preserve"> </v>
      </c>
      <c r="T281" s="83" t="str">
        <f>IFERROR(VLOOKUP($A281,'The List'!$B1:$AS665,27,FALSE)," ")</f>
        <v xml:space="preserve"> </v>
      </c>
      <c r="U281" s="83" t="str">
        <f>IFERROR(VLOOKUP($A281,'The List'!$B1:$AS665,28,FALSE)," ")</f>
        <v xml:space="preserve"> </v>
      </c>
      <c r="V281" s="83" t="str">
        <f>IFERROR(VLOOKUP($A281,'The List'!$B1:$AS665,29,FALSE)," ")</f>
        <v xml:space="preserve"> </v>
      </c>
      <c r="W281" s="83" t="str">
        <f>IFERROR(VLOOKUP($A281,'The List'!$B1:$AS665,30,FALSE)," ")</f>
        <v xml:space="preserve"> </v>
      </c>
      <c r="X281" s="83" t="str">
        <f>IFERROR(VLOOKUP($A281,'The List'!$B1:$AS665,31,FALSE)," ")</f>
        <v xml:space="preserve"> </v>
      </c>
      <c r="Y281" s="83" t="str">
        <f>IFERROR(VLOOKUP($A281,'The List'!$B1:$AS665,32,FALSE)," ")</f>
        <v xml:space="preserve"> </v>
      </c>
      <c r="Z281" s="83" t="str">
        <f>IFERROR(VLOOKUP($A281,'The List'!$B1:$AS665,33,FALSE)," ")</f>
        <v xml:space="preserve"> </v>
      </c>
      <c r="AA281" s="86"/>
      <c r="AB281" s="91"/>
      <c r="AC281" s="91"/>
      <c r="AD281" s="91"/>
      <c r="AE281" s="91"/>
      <c r="AF281" s="91"/>
    </row>
    <row r="282" spans="1:32" ht="21.25" customHeight="1" x14ac:dyDescent="0.15">
      <c r="A282" s="104"/>
      <c r="B282" s="105" t="str">
        <f>IFERROR(VLOOKUP($A282,'The List'!$B1:$AS665,3,FALSE)," ")</f>
        <v xml:space="preserve"> </v>
      </c>
      <c r="C282" s="106" t="str">
        <f>IFERROR(VLOOKUP($A282,'The List'!$B1:$AS665,4,FALSE)," ")</f>
        <v xml:space="preserve"> </v>
      </c>
      <c r="D282" s="107" t="str">
        <f>IFERROR(VLOOKUP($A282,'The List'!$B1:$AS665,5,FALSE)," ")</f>
        <v xml:space="preserve"> </v>
      </c>
      <c r="E282" s="107" t="str">
        <f>IFERROR(VLOOKUP($A282,'The List'!$B1:$AS665,6,FALSE)," ")</f>
        <v xml:space="preserve"> </v>
      </c>
      <c r="F282" s="108" t="str">
        <f>IFERROR(VLOOKUP($A282,'The List'!$B1:$AS665,8,FALSE)," ")</f>
        <v xml:space="preserve"> </v>
      </c>
      <c r="G282" s="108" t="str">
        <f>IFERROR(VLOOKUP($A282,'The List'!$B1:$AS665,10,FALSE)," ")</f>
        <v xml:space="preserve"> </v>
      </c>
      <c r="H282" s="109"/>
      <c r="I282" s="110" t="str">
        <f>IFERROR(VLOOKUP($A282,'The List'!$B1:$AS665,16,FALSE)," ")</f>
        <v xml:space="preserve"> </v>
      </c>
      <c r="J282" s="110" t="str">
        <f>IFERROR(VLOOKUP($A282,'The List'!$B1:$AS665,17,FALSE)," ")</f>
        <v xml:space="preserve"> </v>
      </c>
      <c r="K282" s="110" t="str">
        <f>IFERROR(VLOOKUP($A282,'The List'!$B1:$AS665,18,FALSE)," ")</f>
        <v xml:space="preserve"> </v>
      </c>
      <c r="L282" s="110" t="str">
        <f>IFERROR(VLOOKUP($A282,'The List'!$B1:$AS665,19,FALSE)," ")</f>
        <v xml:space="preserve"> </v>
      </c>
      <c r="M282" s="110" t="str">
        <f>IFERROR(VLOOKUP($A282,'The List'!$B1:$AS665,20,FALSE)," ")</f>
        <v xml:space="preserve"> </v>
      </c>
      <c r="N282" s="110" t="str">
        <f>IFERROR(VLOOKUP($A282,'The List'!$B1:$AS665,21,FALSE)," ")</f>
        <v xml:space="preserve"> </v>
      </c>
      <c r="O282" s="110" t="str">
        <f>IFERROR(VLOOKUP($A282,'The List'!$B1:$AS665,22,FALSE)," ")</f>
        <v xml:space="preserve"> </v>
      </c>
      <c r="P282" s="110" t="str">
        <f>IFERROR(VLOOKUP($A282,'The List'!$B1:$AS665,23,FALSE)," ")</f>
        <v xml:space="preserve"> </v>
      </c>
      <c r="Q282" s="110" t="str">
        <f>IFERROR(VLOOKUP($A282,'The List'!$B1:$AS665,24,FALSE)," ")</f>
        <v xml:space="preserve"> </v>
      </c>
      <c r="R282" s="110" t="str">
        <f>IFERROR(VLOOKUP($A282,'The List'!$B1:$AS665,25,FALSE)," ")</f>
        <v xml:space="preserve"> </v>
      </c>
      <c r="S282" s="110" t="str">
        <f>IFERROR(VLOOKUP($A282,'The List'!$B1:$AS665,26,FALSE)," ")</f>
        <v xml:space="preserve"> </v>
      </c>
      <c r="T282" s="110" t="str">
        <f>IFERROR(VLOOKUP($A282,'The List'!$B1:$AS665,27,FALSE)," ")</f>
        <v xml:space="preserve"> </v>
      </c>
      <c r="U282" s="110" t="str">
        <f>IFERROR(VLOOKUP($A282,'The List'!$B1:$AS665,28,FALSE)," ")</f>
        <v xml:space="preserve"> </v>
      </c>
      <c r="V282" s="110" t="str">
        <f>IFERROR(VLOOKUP($A282,'The List'!$B1:$AS665,29,FALSE)," ")</f>
        <v xml:space="preserve"> </v>
      </c>
      <c r="W282" s="110" t="str">
        <f>IFERROR(VLOOKUP($A282,'The List'!$B1:$AS665,30,FALSE)," ")</f>
        <v xml:space="preserve"> </v>
      </c>
      <c r="X282" s="110" t="str">
        <f>IFERROR(VLOOKUP($A282,'The List'!$B1:$AS665,31,FALSE)," ")</f>
        <v xml:space="preserve"> </v>
      </c>
      <c r="Y282" s="110" t="str">
        <f>IFERROR(VLOOKUP($A282,'The List'!$B1:$AS665,32,FALSE)," ")</f>
        <v xml:space="preserve"> </v>
      </c>
      <c r="Z282" s="110" t="str">
        <f>IFERROR(VLOOKUP($A282,'The List'!$B1:$AS665,33,FALSE)," ")</f>
        <v xml:space="preserve"> </v>
      </c>
      <c r="AA282" s="86"/>
      <c r="AB282" s="91"/>
      <c r="AC282" s="91"/>
      <c r="AD282" s="91"/>
      <c r="AE282" s="91"/>
      <c r="AF282" s="91"/>
    </row>
    <row r="283" spans="1:32" ht="21.25" customHeight="1" x14ac:dyDescent="0.15">
      <c r="A283" s="111"/>
      <c r="B283" s="112"/>
      <c r="C283" s="113"/>
      <c r="D283" s="114"/>
      <c r="E283" s="146" t="str">
        <f>IFERROR(AVERAGE(E263:E282)," ")</f>
        <v xml:space="preserve"> </v>
      </c>
      <c r="F283" s="116">
        <f>SUM(F263:F282)</f>
        <v>0</v>
      </c>
      <c r="G283" s="116">
        <f>SUM(G263:G282)</f>
        <v>0</v>
      </c>
      <c r="H283" s="117"/>
      <c r="I283" s="118">
        <f>SUM(I263:I282)</f>
        <v>0</v>
      </c>
      <c r="J283" s="117" t="e">
        <f>AVERAGE(J263:J282)</f>
        <v>#DIV/0!</v>
      </c>
      <c r="K283" s="118">
        <f t="shared" ref="K283:Y283" si="18">SUM(K263:K282)</f>
        <v>0</v>
      </c>
      <c r="L283" s="118">
        <f t="shared" si="18"/>
        <v>0</v>
      </c>
      <c r="M283" s="118">
        <f t="shared" si="18"/>
        <v>0</v>
      </c>
      <c r="N283" s="118">
        <f t="shared" si="18"/>
        <v>0</v>
      </c>
      <c r="O283" s="118">
        <f t="shared" si="18"/>
        <v>0</v>
      </c>
      <c r="P283" s="118">
        <f t="shared" si="18"/>
        <v>0</v>
      </c>
      <c r="Q283" s="118">
        <f t="shared" si="18"/>
        <v>0</v>
      </c>
      <c r="R283" s="118">
        <f t="shared" si="18"/>
        <v>0</v>
      </c>
      <c r="S283" s="118">
        <f t="shared" si="18"/>
        <v>0</v>
      </c>
      <c r="T283" s="118">
        <f t="shared" si="18"/>
        <v>0</v>
      </c>
      <c r="U283" s="118">
        <f t="shared" si="18"/>
        <v>0</v>
      </c>
      <c r="V283" s="118">
        <f t="shared" si="18"/>
        <v>0</v>
      </c>
      <c r="W283" s="118">
        <f t="shared" si="18"/>
        <v>0</v>
      </c>
      <c r="X283" s="118">
        <f t="shared" si="18"/>
        <v>0</v>
      </c>
      <c r="Y283" s="118">
        <f t="shared" si="18"/>
        <v>0</v>
      </c>
      <c r="Z283" s="119">
        <f>IFERROR(X283/(X283+Y283),0)</f>
        <v>0</v>
      </c>
      <c r="AA283" s="86"/>
      <c r="AB283" s="120"/>
      <c r="AC283" s="120"/>
      <c r="AD283" s="120"/>
      <c r="AE283" s="120"/>
      <c r="AF283" s="120"/>
    </row>
    <row r="284" spans="1:32" ht="21.25" customHeight="1" x14ac:dyDescent="0.15">
      <c r="A284" s="34"/>
      <c r="B284" s="121"/>
      <c r="C284" s="122"/>
      <c r="D284" s="12"/>
      <c r="E284" s="12"/>
      <c r="F284" s="123"/>
      <c r="G284" s="124"/>
      <c r="H284" s="125"/>
      <c r="I284" s="12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91"/>
      <c r="AC284" s="91"/>
      <c r="AD284" s="91"/>
      <c r="AE284" s="91"/>
      <c r="AF284" s="91"/>
    </row>
    <row r="285" spans="1:32" ht="21.25" customHeight="1" x14ac:dyDescent="0.15">
      <c r="A285" s="37" t="s">
        <v>89</v>
      </c>
      <c r="B285" s="205" t="s">
        <v>91</v>
      </c>
      <c r="C285" s="195"/>
      <c r="D285" s="40" t="s">
        <v>92</v>
      </c>
      <c r="E285" s="40" t="s">
        <v>93</v>
      </c>
      <c r="F285" s="127" t="s">
        <v>95</v>
      </c>
      <c r="G285" s="127" t="s">
        <v>97</v>
      </c>
      <c r="H285" s="128"/>
      <c r="I285" s="129" t="s">
        <v>102</v>
      </c>
      <c r="J285" s="129" t="s">
        <v>118</v>
      </c>
      <c r="K285" s="129" t="s">
        <v>119</v>
      </c>
      <c r="L285" s="129" t="s">
        <v>120</v>
      </c>
      <c r="M285" s="129" t="s">
        <v>121</v>
      </c>
      <c r="N285" s="129" t="s">
        <v>122</v>
      </c>
      <c r="O285" s="129" t="s">
        <v>123</v>
      </c>
      <c r="P285" s="129" t="s">
        <v>124</v>
      </c>
      <c r="Q285" s="129" t="s">
        <v>125</v>
      </c>
      <c r="R285" s="86"/>
      <c r="S285" s="86"/>
      <c r="T285" s="86"/>
      <c r="U285" s="205" t="s">
        <v>809</v>
      </c>
      <c r="V285" s="206"/>
      <c r="W285" s="206"/>
      <c r="X285" s="205" t="s">
        <v>810</v>
      </c>
      <c r="Y285" s="206"/>
      <c r="Z285" s="206"/>
      <c r="AA285" s="86"/>
      <c r="AB285" s="86"/>
      <c r="AC285" s="86"/>
      <c r="AD285" s="86"/>
      <c r="AE285" s="86"/>
      <c r="AF285" s="86"/>
    </row>
    <row r="286" spans="1:32" ht="21.25" customHeight="1" x14ac:dyDescent="0.15">
      <c r="A286" s="147"/>
      <c r="B286" s="131" t="str">
        <f>IFERROR(VLOOKUP($A286,'The List'!$B1:$AS665,3,FALSE)," ")</f>
        <v xml:space="preserve"> </v>
      </c>
      <c r="C286" s="148" t="str">
        <f>IFERROR(VLOOKUP($A286,'The List'!$B1:$AS665,4,FALSE)," ")</f>
        <v xml:space="preserve"> </v>
      </c>
      <c r="D286" s="49" t="str">
        <f>IFERROR(VLOOKUP($A286,'The List'!$B1:$AS665,5,FALSE)," ")</f>
        <v xml:space="preserve"> </v>
      </c>
      <c r="E286" s="49" t="str">
        <f>IFERROR(VLOOKUP($A286,'The List'!$B1:$AS665,6,FALSE)," ")</f>
        <v xml:space="preserve"> </v>
      </c>
      <c r="F286" s="149" t="str">
        <f>IFERROR(VLOOKUP($A286,'The List'!$B1:$AS665,8,FALSE)," ")</f>
        <v xml:space="preserve"> </v>
      </c>
      <c r="G286" s="149" t="str">
        <f>IFERROR(VLOOKUP($A286,'The List'!$B1:$AS665,10,FALSE)," ")</f>
        <v xml:space="preserve"> </v>
      </c>
      <c r="H286" s="135"/>
      <c r="I286" s="150" t="str">
        <f>IFERROR(VLOOKUP($A286,'The List'!$B1:$AS665,35,FALSE)," ")</f>
        <v xml:space="preserve"> </v>
      </c>
      <c r="J286" s="150" t="str">
        <f>IFERROR(VLOOKUP($A286,'The List'!$B1:$AS665,36,FALSE)," ")</f>
        <v xml:space="preserve"> </v>
      </c>
      <c r="K286" s="150" t="str">
        <f>IFERROR(VLOOKUP($A286,'The List'!$B1:$AS665,37,FALSE)," ")</f>
        <v xml:space="preserve"> </v>
      </c>
      <c r="L286" s="150" t="str">
        <f>IFERROR(VLOOKUP($A286,'The List'!$B1:$AS665,38,FALSE)," ")</f>
        <v xml:space="preserve"> </v>
      </c>
      <c r="M286" s="150" t="str">
        <f>IFERROR(VLOOKUP($A286,'The List'!$B1:$AS665,39,FALSE)," ")</f>
        <v xml:space="preserve"> </v>
      </c>
      <c r="N286" s="150" t="str">
        <f>IFERROR(VLOOKUP($A286,'The List'!$B1:$AS665,40,FALSE)," ")</f>
        <v xml:space="preserve"> </v>
      </c>
      <c r="O286" s="150" t="str">
        <f>IFERROR(VLOOKUP($A286,'The List'!$B1:$AS665,41,FALSE)," ")</f>
        <v xml:space="preserve"> </v>
      </c>
      <c r="P286" s="150" t="str">
        <f>IFERROR(VLOOKUP($A286,'The List'!$B1:$AS665,42,FALSE)," ")</f>
        <v xml:space="preserve"> </v>
      </c>
      <c r="Q286" s="150" t="str">
        <f>IFERROR(VLOOKUP($A286,'The List'!$B1:$AS665,43,FALSE)," ")</f>
        <v xml:space="preserve"> </v>
      </c>
      <c r="R286" s="86"/>
      <c r="S286" s="86"/>
      <c r="T286" s="139" t="str">
        <f>A262</f>
        <v>TEAM 10</v>
      </c>
      <c r="U286" s="207">
        <f>F283+F289</f>
        <v>0</v>
      </c>
      <c r="V286" s="195"/>
      <c r="W286" s="195"/>
      <c r="X286" s="207">
        <f>G289+G283</f>
        <v>0</v>
      </c>
      <c r="Y286" s="195"/>
      <c r="Z286" s="195"/>
      <c r="AA286" s="86"/>
      <c r="AB286" s="86"/>
      <c r="AC286" s="86"/>
      <c r="AD286" s="86"/>
      <c r="AE286" s="86"/>
      <c r="AF286" s="86"/>
    </row>
    <row r="287" spans="1:32" ht="21.25" customHeight="1" x14ac:dyDescent="0.15">
      <c r="A287" s="23"/>
      <c r="B287" s="140" t="str">
        <f>IFERROR(VLOOKUP($A287,'The List'!$B1:$AS665,3,FALSE)," ")</f>
        <v xml:space="preserve"> </v>
      </c>
      <c r="C287" s="141" t="str">
        <f>IFERROR(VLOOKUP($A287,'The List'!$B1:$AS665,4,FALSE)," ")</f>
        <v xml:space="preserve"> </v>
      </c>
      <c r="D287" s="65" t="str">
        <f>IFERROR(VLOOKUP($A287,'The List'!$B1:$AS665,5,FALSE)," ")</f>
        <v xml:space="preserve"> </v>
      </c>
      <c r="E287" s="65" t="str">
        <f>IFERROR(VLOOKUP($A287,'The List'!$B1:$AS665,6,FALSE)," ")</f>
        <v xml:space="preserve"> </v>
      </c>
      <c r="F287" s="93" t="str">
        <f>IFERROR(VLOOKUP($A287,'The List'!$B1:$AS665,8,FALSE)," ")</f>
        <v xml:space="preserve"> </v>
      </c>
      <c r="G287" s="93" t="str">
        <f>IFERROR(VLOOKUP($A287,'The List'!$B1:$AS665,10,FALSE)," ")</f>
        <v xml:space="preserve"> </v>
      </c>
      <c r="H287" s="54"/>
      <c r="I287" s="83" t="str">
        <f>IFERROR(VLOOKUP($A287,'The List'!$B1:$AS665,35,FALSE)," ")</f>
        <v xml:space="preserve"> </v>
      </c>
      <c r="J287" s="83" t="str">
        <f>IFERROR(VLOOKUP($A287,'The List'!$B1:$AS665,36,FALSE)," ")</f>
        <v xml:space="preserve"> </v>
      </c>
      <c r="K287" s="83" t="str">
        <f>IFERROR(VLOOKUP($A287,'The List'!$B1:$AS665,37,FALSE)," ")</f>
        <v xml:space="preserve"> </v>
      </c>
      <c r="L287" s="83" t="str">
        <f>IFERROR(VLOOKUP($A287,'The List'!$B1:$AS665,38,FALSE)," ")</f>
        <v xml:space="preserve"> </v>
      </c>
      <c r="M287" s="83" t="str">
        <f>IFERROR(VLOOKUP($A287,'The List'!$B1:$AS665,39,FALSE)," ")</f>
        <v xml:space="preserve"> </v>
      </c>
      <c r="N287" s="83" t="str">
        <f>IFERROR(VLOOKUP($A287,'The List'!$B1:$AS665,40,FALSE)," ")</f>
        <v xml:space="preserve"> </v>
      </c>
      <c r="O287" s="83" t="str">
        <f>IFERROR(VLOOKUP($A287,'The List'!$B1:$AS665,41,FALSE)," ")</f>
        <v xml:space="preserve"> </v>
      </c>
      <c r="P287" s="83" t="str">
        <f>IFERROR(VLOOKUP($A287,'The List'!$B1:$AS665,42,FALSE)," ")</f>
        <v xml:space="preserve"> </v>
      </c>
      <c r="Q287" s="83" t="str">
        <f>IFERROR(VLOOKUP($A287,'The List'!$B1:$AS665,43,FALSE)," ")</f>
        <v xml:space="preserve"> </v>
      </c>
      <c r="R287" s="86"/>
      <c r="S287" s="86"/>
      <c r="T287" s="86"/>
      <c r="U287" s="195"/>
      <c r="V287" s="195"/>
      <c r="W287" s="195"/>
      <c r="X287" s="195"/>
      <c r="Y287" s="195"/>
      <c r="Z287" s="195"/>
      <c r="AA287" s="86"/>
      <c r="AB287" s="86"/>
      <c r="AC287" s="86"/>
      <c r="AD287" s="86"/>
      <c r="AE287" s="86"/>
      <c r="AF287" s="86"/>
    </row>
    <row r="288" spans="1:32" ht="21.25" customHeight="1" x14ac:dyDescent="0.15">
      <c r="A288" s="104"/>
      <c r="B288" s="142" t="str">
        <f>IFERROR(VLOOKUP($A288,'The List'!$B1:$AS665,3,FALSE)," ")</f>
        <v xml:space="preserve"> </v>
      </c>
      <c r="C288" s="143" t="str">
        <f>IFERROR(VLOOKUP($A288,'The List'!$B1:$AS665,4,FALSE)," ")</f>
        <v xml:space="preserve"> </v>
      </c>
      <c r="D288" s="107" t="str">
        <f>IFERROR(VLOOKUP($A288,'The List'!$B1:$AS665,5,FALSE)," ")</f>
        <v xml:space="preserve"> </v>
      </c>
      <c r="E288" s="107" t="str">
        <f>IFERROR(VLOOKUP($A288,'The List'!$B1:$AS665,6,FALSE)," ")</f>
        <v xml:space="preserve"> </v>
      </c>
      <c r="F288" s="108" t="str">
        <f>IFERROR(VLOOKUP($A288,'The List'!$B1:$AS665,8,FALSE)," ")</f>
        <v xml:space="preserve"> </v>
      </c>
      <c r="G288" s="108" t="str">
        <f>IFERROR(VLOOKUP($A288,'The List'!$B1:$AS665,10,FALSE)," ")</f>
        <v xml:space="preserve"> </v>
      </c>
      <c r="H288" s="109"/>
      <c r="I288" s="110" t="str">
        <f>IFERROR(VLOOKUP($A288,'The List'!$B1:$AS665,35,FALSE)," ")</f>
        <v xml:space="preserve"> </v>
      </c>
      <c r="J288" s="110" t="str">
        <f>IFERROR(VLOOKUP($A288,'The List'!$B1:$AS665,36,FALSE)," ")</f>
        <v xml:space="preserve"> </v>
      </c>
      <c r="K288" s="110" t="str">
        <f>IFERROR(VLOOKUP($A288,'The List'!$B1:$AS665,37,FALSE)," ")</f>
        <v xml:space="preserve"> </v>
      </c>
      <c r="L288" s="110" t="str">
        <f>IFERROR(VLOOKUP($A288,'The List'!$B1:$AS665,38,FALSE)," ")</f>
        <v xml:space="preserve"> </v>
      </c>
      <c r="M288" s="110" t="str">
        <f>IFERROR(VLOOKUP($A288,'The List'!$B1:$AS665,39,FALSE)," ")</f>
        <v xml:space="preserve"> </v>
      </c>
      <c r="N288" s="110" t="str">
        <f>IFERROR(VLOOKUP($A288,'The List'!$B1:$AS665,40,FALSE)," ")</f>
        <v xml:space="preserve"> </v>
      </c>
      <c r="O288" s="110" t="str">
        <f>IFERROR(VLOOKUP($A288,'The List'!$B1:$AS665,41,FALSE)," ")</f>
        <v xml:space="preserve"> </v>
      </c>
      <c r="P288" s="110" t="str">
        <f>IFERROR(VLOOKUP($A288,'The List'!$B1:$AS665,42,FALSE)," ")</f>
        <v xml:space="preserve"> </v>
      </c>
      <c r="Q288" s="110" t="str">
        <f>IFERROR(VLOOKUP($A288,'The List'!$B1:$AS665,43,FALSE)," ")</f>
        <v xml:space="preserve"> </v>
      </c>
      <c r="R288" s="86"/>
      <c r="S288" s="86"/>
      <c r="T288" s="86"/>
      <c r="U288" s="195"/>
      <c r="V288" s="195"/>
      <c r="W288" s="195"/>
      <c r="X288" s="195"/>
      <c r="Y288" s="195"/>
      <c r="Z288" s="195"/>
      <c r="AA288" s="86"/>
      <c r="AB288" s="86"/>
      <c r="AC288" s="86"/>
      <c r="AD288" s="86"/>
      <c r="AE288" s="86"/>
      <c r="AF288" s="86"/>
    </row>
    <row r="289" spans="1:32" ht="21.25" customHeight="1" x14ac:dyDescent="0.15">
      <c r="A289" s="111"/>
      <c r="B289" s="112"/>
      <c r="C289" s="113"/>
      <c r="D289" s="114"/>
      <c r="E289" s="146" t="str">
        <f>IFERROR(AVERAGE(E286:E288)," ")</f>
        <v xml:space="preserve"> </v>
      </c>
      <c r="F289" s="116">
        <f>SUM(F286:F288)</f>
        <v>0</v>
      </c>
      <c r="G289" s="116">
        <f>SUM(G286:G288)</f>
        <v>0</v>
      </c>
      <c r="H289" s="117"/>
      <c r="I289" s="118">
        <f t="shared" ref="I289:O289" si="19">SUM(I286:I288)</f>
        <v>0</v>
      </c>
      <c r="J289" s="117">
        <f t="shared" si="19"/>
        <v>0</v>
      </c>
      <c r="K289" s="118">
        <f t="shared" si="19"/>
        <v>0</v>
      </c>
      <c r="L289" s="118">
        <f t="shared" si="19"/>
        <v>0</v>
      </c>
      <c r="M289" s="118">
        <f t="shared" si="19"/>
        <v>0</v>
      </c>
      <c r="N289" s="118">
        <f t="shared" si="19"/>
        <v>0</v>
      </c>
      <c r="O289" s="118">
        <f t="shared" si="19"/>
        <v>0</v>
      </c>
      <c r="P289" s="144" t="e">
        <f>1-(O289/(N289+O289))</f>
        <v>#DIV/0!</v>
      </c>
      <c r="Q289" s="145" t="e">
        <f>O289/I289</f>
        <v>#DIV/0!</v>
      </c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</row>
    <row r="290" spans="1:32" ht="70.75" customHeight="1" x14ac:dyDescent="0.15">
      <c r="A290" s="34"/>
      <c r="B290" s="121"/>
      <c r="C290" s="122"/>
      <c r="D290" s="12"/>
      <c r="E290" s="12"/>
      <c r="F290" s="123"/>
      <c r="G290" s="124"/>
      <c r="H290" s="125"/>
      <c r="I290" s="12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91"/>
      <c r="AB290" s="91"/>
      <c r="AC290" s="91"/>
      <c r="AD290" s="91"/>
      <c r="AE290" s="91"/>
      <c r="AF290" s="91"/>
    </row>
    <row r="291" spans="1:32" ht="21.25" customHeight="1" x14ac:dyDescent="0.15">
      <c r="A291" s="38" t="s">
        <v>803</v>
      </c>
      <c r="B291" s="204" t="s">
        <v>91</v>
      </c>
      <c r="C291" s="200"/>
      <c r="D291" s="39" t="s">
        <v>92</v>
      </c>
      <c r="E291" s="39" t="s">
        <v>93</v>
      </c>
      <c r="F291" s="41" t="s">
        <v>95</v>
      </c>
      <c r="G291" s="41" t="s">
        <v>97</v>
      </c>
      <c r="H291" s="42"/>
      <c r="I291" s="44" t="s">
        <v>102</v>
      </c>
      <c r="J291" s="44" t="s">
        <v>55</v>
      </c>
      <c r="K291" s="44" t="s">
        <v>103</v>
      </c>
      <c r="L291" s="44" t="s">
        <v>104</v>
      </c>
      <c r="M291" s="44" t="s">
        <v>105</v>
      </c>
      <c r="N291" s="44" t="s">
        <v>106</v>
      </c>
      <c r="O291" s="44" t="s">
        <v>107</v>
      </c>
      <c r="P291" s="44" t="s">
        <v>63</v>
      </c>
      <c r="Q291" s="44" t="s">
        <v>108</v>
      </c>
      <c r="R291" s="44" t="s">
        <v>109</v>
      </c>
      <c r="S291" s="44" t="s">
        <v>110</v>
      </c>
      <c r="T291" s="44" t="s">
        <v>111</v>
      </c>
      <c r="U291" s="44" t="s">
        <v>112</v>
      </c>
      <c r="V291" s="44" t="s">
        <v>113</v>
      </c>
      <c r="W291" s="44" t="s">
        <v>114</v>
      </c>
      <c r="X291" s="44" t="s">
        <v>115</v>
      </c>
      <c r="Y291" s="44" t="s">
        <v>116</v>
      </c>
      <c r="Z291" s="44" t="s">
        <v>117</v>
      </c>
      <c r="AA291" s="86"/>
      <c r="AB291" s="87"/>
      <c r="AC291" s="87"/>
      <c r="AD291" s="87"/>
      <c r="AE291" s="87"/>
      <c r="AF291" s="87"/>
    </row>
    <row r="292" spans="1:32" ht="21.25" customHeight="1" x14ac:dyDescent="0.15">
      <c r="A292" s="23"/>
      <c r="B292" s="88" t="str">
        <f>IFERROR(VLOOKUP($A292,'The List'!$B1:$AS665,3,FALSE)," ")</f>
        <v xml:space="preserve"> </v>
      </c>
      <c r="C292" s="92" t="str">
        <f>IFERROR(VLOOKUP($A292,'The List'!$B1:$AS665,4,FALSE)," ")</f>
        <v xml:space="preserve"> </v>
      </c>
      <c r="D292" s="65" t="str">
        <f>IFERROR(VLOOKUP($A292,'The List'!$B1:$AS665,5,FALSE)," ")</f>
        <v xml:space="preserve"> </v>
      </c>
      <c r="E292" s="65" t="str">
        <f>IFERROR(VLOOKUP($A292,'The List'!$B1:$AS665,6,FALSE)," ")</f>
        <v xml:space="preserve"> </v>
      </c>
      <c r="F292" s="93" t="str">
        <f>IFERROR(VLOOKUP($A292,'The List'!$B1:$AS665,8,FALSE)," ")</f>
        <v xml:space="preserve"> </v>
      </c>
      <c r="G292" s="93" t="str">
        <f>IFERROR(VLOOKUP($A292,'The List'!$B1:$AS665,10,FALSE)," ")</f>
        <v xml:space="preserve"> </v>
      </c>
      <c r="H292" s="54"/>
      <c r="I292" s="83" t="str">
        <f>IFERROR(VLOOKUP($A292,'The List'!$B1:$AS665,16,FALSE)," ")</f>
        <v xml:space="preserve"> </v>
      </c>
      <c r="J292" s="83" t="str">
        <f>IFERROR(VLOOKUP($A292,'The List'!$B1:$AS665,17,FALSE)," ")</f>
        <v xml:space="preserve"> </v>
      </c>
      <c r="K292" s="83" t="str">
        <f>IFERROR(VLOOKUP($A292,'The List'!$B1:$AS665,18,FALSE)," ")</f>
        <v xml:space="preserve"> </v>
      </c>
      <c r="L292" s="83" t="str">
        <f>IFERROR(VLOOKUP($A292,'The List'!$B1:$AS665,19,FALSE)," ")</f>
        <v xml:space="preserve"> </v>
      </c>
      <c r="M292" s="83" t="str">
        <f>IFERROR(VLOOKUP($A292,'The List'!$B1:$AS665,20,FALSE)," ")</f>
        <v xml:space="preserve"> </v>
      </c>
      <c r="N292" s="83" t="str">
        <f>IFERROR(VLOOKUP($A292,'The List'!$B1:$AS665,21,FALSE)," ")</f>
        <v xml:space="preserve"> </v>
      </c>
      <c r="O292" s="83" t="str">
        <f>IFERROR(VLOOKUP($A292,'The List'!$B1:$AS665,22,FALSE)," ")</f>
        <v xml:space="preserve"> </v>
      </c>
      <c r="P292" s="83" t="str">
        <f>IFERROR(VLOOKUP($A292,'The List'!$B1:$AS665,23,FALSE)," ")</f>
        <v xml:space="preserve"> </v>
      </c>
      <c r="Q292" s="83" t="str">
        <f>IFERROR(VLOOKUP($A292,'The List'!$B1:$AS665,24,FALSE)," ")</f>
        <v xml:space="preserve"> </v>
      </c>
      <c r="R292" s="83" t="str">
        <f>IFERROR(VLOOKUP($A292,'The List'!$B1:$AS665,25,FALSE)," ")</f>
        <v xml:space="preserve"> </v>
      </c>
      <c r="S292" s="83" t="str">
        <f>IFERROR(VLOOKUP($A292,'The List'!$B1:$AS665,26,FALSE)," ")</f>
        <v xml:space="preserve"> </v>
      </c>
      <c r="T292" s="83" t="str">
        <f>IFERROR(VLOOKUP($A292,'The List'!$B1:$AS665,27,FALSE)," ")</f>
        <v xml:space="preserve"> </v>
      </c>
      <c r="U292" s="83" t="str">
        <f>IFERROR(VLOOKUP($A292,'The List'!$B1:$AS665,28,FALSE)," ")</f>
        <v xml:space="preserve"> </v>
      </c>
      <c r="V292" s="83" t="str">
        <f>IFERROR(VLOOKUP($A292,'The List'!$B1:$AS665,29,FALSE)," ")</f>
        <v xml:space="preserve"> </v>
      </c>
      <c r="W292" s="83" t="str">
        <f>IFERROR(VLOOKUP($A292,'The List'!$B1:$AS665,30,FALSE)," ")</f>
        <v xml:space="preserve"> </v>
      </c>
      <c r="X292" s="83" t="str">
        <f>IFERROR(VLOOKUP($A292,'The List'!$B1:$AS665,31,FALSE)," ")</f>
        <v xml:space="preserve"> </v>
      </c>
      <c r="Y292" s="83" t="str">
        <f>IFERROR(VLOOKUP($A292,'The List'!$B1:$AS665,32,FALSE)," ")</f>
        <v xml:space="preserve"> </v>
      </c>
      <c r="Z292" s="83" t="str">
        <f>IFERROR(VLOOKUP($A292,'The List'!$B1:$AS665,33,FALSE)," ")</f>
        <v xml:space="preserve"> </v>
      </c>
      <c r="AA292" s="86"/>
      <c r="AB292" s="91"/>
      <c r="AC292" s="91"/>
      <c r="AD292" s="91"/>
      <c r="AE292" s="91"/>
      <c r="AF292" s="91"/>
    </row>
    <row r="293" spans="1:32" ht="21.25" customHeight="1" x14ac:dyDescent="0.15">
      <c r="A293" s="23"/>
      <c r="B293" s="88" t="str">
        <f>IFERROR(VLOOKUP($A293,'The List'!$B1:$AS665,3,FALSE)," ")</f>
        <v xml:space="preserve"> </v>
      </c>
      <c r="C293" s="92" t="str">
        <f>IFERROR(VLOOKUP($A293,'The List'!$B1:$AS665,4,FALSE)," ")</f>
        <v xml:space="preserve"> </v>
      </c>
      <c r="D293" s="65" t="str">
        <f>IFERROR(VLOOKUP($A293,'The List'!$B1:$AS665,5,FALSE)," ")</f>
        <v xml:space="preserve"> </v>
      </c>
      <c r="E293" s="65" t="str">
        <f>IFERROR(VLOOKUP($A293,'The List'!$B1:$AS665,6,FALSE)," ")</f>
        <v xml:space="preserve"> </v>
      </c>
      <c r="F293" s="93" t="str">
        <f>IFERROR(VLOOKUP($A293,'The List'!$B1:$AS665,8,FALSE)," ")</f>
        <v xml:space="preserve"> </v>
      </c>
      <c r="G293" s="93" t="str">
        <f>IFERROR(VLOOKUP($A293,'The List'!$B1:$AS665,10,FALSE)," ")</f>
        <v xml:space="preserve"> </v>
      </c>
      <c r="H293" s="54"/>
      <c r="I293" s="83" t="str">
        <f>IFERROR(VLOOKUP($A293,'The List'!$B1:$AS665,16,FALSE)," ")</f>
        <v xml:space="preserve"> </v>
      </c>
      <c r="J293" s="83" t="str">
        <f>IFERROR(VLOOKUP($A293,'The List'!$B1:$AS665,17,FALSE)," ")</f>
        <v xml:space="preserve"> </v>
      </c>
      <c r="K293" s="83" t="str">
        <f>IFERROR(VLOOKUP($A293,'The List'!$B1:$AS665,18,FALSE)," ")</f>
        <v xml:space="preserve"> </v>
      </c>
      <c r="L293" s="83" t="str">
        <f>IFERROR(VLOOKUP($A293,'The List'!$B1:$AS665,19,FALSE)," ")</f>
        <v xml:space="preserve"> </v>
      </c>
      <c r="M293" s="83" t="str">
        <f>IFERROR(VLOOKUP($A293,'The List'!$B1:$AS665,20,FALSE)," ")</f>
        <v xml:space="preserve"> </v>
      </c>
      <c r="N293" s="83" t="str">
        <f>IFERROR(VLOOKUP($A293,'The List'!$B1:$AS665,21,FALSE)," ")</f>
        <v xml:space="preserve"> </v>
      </c>
      <c r="O293" s="83" t="str">
        <f>IFERROR(VLOOKUP($A293,'The List'!$B1:$AS665,22,FALSE)," ")</f>
        <v xml:space="preserve"> </v>
      </c>
      <c r="P293" s="83" t="str">
        <f>IFERROR(VLOOKUP($A293,'The List'!$B1:$AS665,23,FALSE)," ")</f>
        <v xml:space="preserve"> </v>
      </c>
      <c r="Q293" s="83" t="str">
        <f>IFERROR(VLOOKUP($A293,'The List'!$B1:$AS665,24,FALSE)," ")</f>
        <v xml:space="preserve"> </v>
      </c>
      <c r="R293" s="83" t="str">
        <f>IFERROR(VLOOKUP($A293,'The List'!$B1:$AS665,25,FALSE)," ")</f>
        <v xml:space="preserve"> </v>
      </c>
      <c r="S293" s="83" t="str">
        <f>IFERROR(VLOOKUP($A293,'The List'!$B1:$AS665,26,FALSE)," ")</f>
        <v xml:space="preserve"> </v>
      </c>
      <c r="T293" s="83" t="str">
        <f>IFERROR(VLOOKUP($A293,'The List'!$B1:$AS665,27,FALSE)," ")</f>
        <v xml:space="preserve"> </v>
      </c>
      <c r="U293" s="83" t="str">
        <f>IFERROR(VLOOKUP($A293,'The List'!$B1:$AS665,28,FALSE)," ")</f>
        <v xml:space="preserve"> </v>
      </c>
      <c r="V293" s="83" t="str">
        <f>IFERROR(VLOOKUP($A293,'The List'!$B1:$AS665,29,FALSE)," ")</f>
        <v xml:space="preserve"> </v>
      </c>
      <c r="W293" s="83" t="str">
        <f>IFERROR(VLOOKUP($A293,'The List'!$B1:$AS665,30,FALSE)," ")</f>
        <v xml:space="preserve"> </v>
      </c>
      <c r="X293" s="83" t="str">
        <f>IFERROR(VLOOKUP($A293,'The List'!$B1:$AS665,31,FALSE)," ")</f>
        <v xml:space="preserve"> </v>
      </c>
      <c r="Y293" s="83" t="str">
        <f>IFERROR(VLOOKUP($A293,'The List'!$B1:$AS665,32,FALSE)," ")</f>
        <v xml:space="preserve"> </v>
      </c>
      <c r="Z293" s="83" t="str">
        <f>IFERROR(VLOOKUP($A293,'The List'!$B1:$AS665,33,FALSE)," ")</f>
        <v xml:space="preserve"> </v>
      </c>
      <c r="AA293" s="86"/>
      <c r="AB293" s="91"/>
      <c r="AC293" s="91"/>
      <c r="AD293" s="91"/>
      <c r="AE293" s="91"/>
      <c r="AF293" s="91"/>
    </row>
    <row r="294" spans="1:32" ht="21.25" customHeight="1" x14ac:dyDescent="0.15">
      <c r="A294" s="23"/>
      <c r="B294" s="88" t="str">
        <f>IFERROR(VLOOKUP($A294,'The List'!$B1:$AS665,3,FALSE)," ")</f>
        <v xml:space="preserve"> </v>
      </c>
      <c r="C294" s="92" t="str">
        <f>IFERROR(VLOOKUP($A294,'The List'!$B1:$AS665,4,FALSE)," ")</f>
        <v xml:space="preserve"> </v>
      </c>
      <c r="D294" s="65" t="str">
        <f>IFERROR(VLOOKUP($A294,'The List'!$B1:$AS665,5,FALSE)," ")</f>
        <v xml:space="preserve"> </v>
      </c>
      <c r="E294" s="65" t="str">
        <f>IFERROR(VLOOKUP($A294,'The List'!$B1:$AS665,6,FALSE)," ")</f>
        <v xml:space="preserve"> </v>
      </c>
      <c r="F294" s="93" t="str">
        <f>IFERROR(VLOOKUP($A294,'The List'!$B1:$AS665,8,FALSE)," ")</f>
        <v xml:space="preserve"> </v>
      </c>
      <c r="G294" s="93" t="str">
        <f>IFERROR(VLOOKUP($A294,'The List'!$B1:$AS665,10,FALSE)," ")</f>
        <v xml:space="preserve"> </v>
      </c>
      <c r="H294" s="54"/>
      <c r="I294" s="83" t="str">
        <f>IFERROR(VLOOKUP($A294,'The List'!$B1:$AS665,16,FALSE)," ")</f>
        <v xml:space="preserve"> </v>
      </c>
      <c r="J294" s="83" t="str">
        <f>IFERROR(VLOOKUP($A294,'The List'!$B1:$AS665,17,FALSE)," ")</f>
        <v xml:space="preserve"> </v>
      </c>
      <c r="K294" s="83" t="str">
        <f>IFERROR(VLOOKUP($A294,'The List'!$B1:$AS665,18,FALSE)," ")</f>
        <v xml:space="preserve"> </v>
      </c>
      <c r="L294" s="83" t="str">
        <f>IFERROR(VLOOKUP($A294,'The List'!$B1:$AS665,19,FALSE)," ")</f>
        <v xml:space="preserve"> </v>
      </c>
      <c r="M294" s="83" t="str">
        <f>IFERROR(VLOOKUP($A294,'The List'!$B1:$AS665,20,FALSE)," ")</f>
        <v xml:space="preserve"> </v>
      </c>
      <c r="N294" s="83" t="str">
        <f>IFERROR(VLOOKUP($A294,'The List'!$B1:$AS665,21,FALSE)," ")</f>
        <v xml:space="preserve"> </v>
      </c>
      <c r="O294" s="83" t="str">
        <f>IFERROR(VLOOKUP($A294,'The List'!$B1:$AS665,22,FALSE)," ")</f>
        <v xml:space="preserve"> </v>
      </c>
      <c r="P294" s="83" t="str">
        <f>IFERROR(VLOOKUP($A294,'The List'!$B1:$AS665,23,FALSE)," ")</f>
        <v xml:space="preserve"> </v>
      </c>
      <c r="Q294" s="83" t="str">
        <f>IFERROR(VLOOKUP($A294,'The List'!$B1:$AS665,24,FALSE)," ")</f>
        <v xml:space="preserve"> </v>
      </c>
      <c r="R294" s="83" t="str">
        <f>IFERROR(VLOOKUP($A294,'The List'!$B1:$AS665,25,FALSE)," ")</f>
        <v xml:space="preserve"> </v>
      </c>
      <c r="S294" s="83" t="str">
        <f>IFERROR(VLOOKUP($A294,'The List'!$B1:$AS665,26,FALSE)," ")</f>
        <v xml:space="preserve"> </v>
      </c>
      <c r="T294" s="83" t="str">
        <f>IFERROR(VLOOKUP($A294,'The List'!$B1:$AS665,27,FALSE)," ")</f>
        <v xml:space="preserve"> </v>
      </c>
      <c r="U294" s="83" t="str">
        <f>IFERROR(VLOOKUP($A294,'The List'!$B1:$AS665,28,FALSE)," ")</f>
        <v xml:space="preserve"> </v>
      </c>
      <c r="V294" s="83" t="str">
        <f>IFERROR(VLOOKUP($A294,'The List'!$B1:$AS665,29,FALSE)," ")</f>
        <v xml:space="preserve"> </v>
      </c>
      <c r="W294" s="83" t="str">
        <f>IFERROR(VLOOKUP($A294,'The List'!$B1:$AS665,30,FALSE)," ")</f>
        <v xml:space="preserve"> </v>
      </c>
      <c r="X294" s="83" t="str">
        <f>IFERROR(VLOOKUP($A294,'The List'!$B1:$AS665,31,FALSE)," ")</f>
        <v xml:space="preserve"> </v>
      </c>
      <c r="Y294" s="83" t="str">
        <f>IFERROR(VLOOKUP($A294,'The List'!$B1:$AS665,32,FALSE)," ")</f>
        <v xml:space="preserve"> </v>
      </c>
      <c r="Z294" s="83" t="str">
        <f>IFERROR(VLOOKUP($A294,'The List'!$B1:$AS665,33,FALSE)," ")</f>
        <v xml:space="preserve"> </v>
      </c>
      <c r="AA294" s="86"/>
      <c r="AB294" s="91"/>
      <c r="AC294" s="91"/>
      <c r="AD294" s="91"/>
      <c r="AE294" s="91"/>
      <c r="AF294" s="91"/>
    </row>
    <row r="295" spans="1:32" ht="21.25" customHeight="1" x14ac:dyDescent="0.15">
      <c r="A295" s="23"/>
      <c r="B295" s="88" t="str">
        <f>IFERROR(VLOOKUP($A295,'The List'!$B1:$AS665,3,FALSE)," ")</f>
        <v xml:space="preserve"> </v>
      </c>
      <c r="C295" s="92" t="str">
        <f>IFERROR(VLOOKUP($A295,'The List'!$B1:$AS665,4,FALSE)," ")</f>
        <v xml:space="preserve"> </v>
      </c>
      <c r="D295" s="65" t="str">
        <f>IFERROR(VLOOKUP($A295,'The List'!$B1:$AS665,5,FALSE)," ")</f>
        <v xml:space="preserve"> </v>
      </c>
      <c r="E295" s="65" t="str">
        <f>IFERROR(VLOOKUP($A295,'The List'!$B1:$AS665,6,FALSE)," ")</f>
        <v xml:space="preserve"> </v>
      </c>
      <c r="F295" s="93" t="str">
        <f>IFERROR(VLOOKUP($A295,'The List'!$B1:$AS665,8,FALSE)," ")</f>
        <v xml:space="preserve"> </v>
      </c>
      <c r="G295" s="93" t="str">
        <f>IFERROR(VLOOKUP($A295,'The List'!$B1:$AS665,10,FALSE)," ")</f>
        <v xml:space="preserve"> </v>
      </c>
      <c r="H295" s="54"/>
      <c r="I295" s="83" t="str">
        <f>IFERROR(VLOOKUP($A295,'The List'!$B1:$AS665,16,FALSE)," ")</f>
        <v xml:space="preserve"> </v>
      </c>
      <c r="J295" s="83" t="str">
        <f>IFERROR(VLOOKUP($A295,'The List'!$B1:$AS665,17,FALSE)," ")</f>
        <v xml:space="preserve"> </v>
      </c>
      <c r="K295" s="83" t="str">
        <f>IFERROR(VLOOKUP($A295,'The List'!$B1:$AS665,18,FALSE)," ")</f>
        <v xml:space="preserve"> </v>
      </c>
      <c r="L295" s="83" t="str">
        <f>IFERROR(VLOOKUP($A295,'The List'!$B1:$AS665,19,FALSE)," ")</f>
        <v xml:space="preserve"> </v>
      </c>
      <c r="M295" s="83" t="str">
        <f>IFERROR(VLOOKUP($A295,'The List'!$B1:$AS665,20,FALSE)," ")</f>
        <v xml:space="preserve"> </v>
      </c>
      <c r="N295" s="83" t="str">
        <f>IFERROR(VLOOKUP($A295,'The List'!$B1:$AS665,21,FALSE)," ")</f>
        <v xml:space="preserve"> </v>
      </c>
      <c r="O295" s="83" t="str">
        <f>IFERROR(VLOOKUP($A295,'The List'!$B1:$AS665,22,FALSE)," ")</f>
        <v xml:space="preserve"> </v>
      </c>
      <c r="P295" s="83" t="str">
        <f>IFERROR(VLOOKUP($A295,'The List'!$B1:$AS665,23,FALSE)," ")</f>
        <v xml:space="preserve"> </v>
      </c>
      <c r="Q295" s="83" t="str">
        <f>IFERROR(VLOOKUP($A295,'The List'!$B1:$AS665,24,FALSE)," ")</f>
        <v xml:space="preserve"> </v>
      </c>
      <c r="R295" s="83" t="str">
        <f>IFERROR(VLOOKUP($A295,'The List'!$B1:$AS665,25,FALSE)," ")</f>
        <v xml:space="preserve"> </v>
      </c>
      <c r="S295" s="83" t="str">
        <f>IFERROR(VLOOKUP($A295,'The List'!$B1:$AS665,26,FALSE)," ")</f>
        <v xml:space="preserve"> </v>
      </c>
      <c r="T295" s="83" t="str">
        <f>IFERROR(VLOOKUP($A295,'The List'!$B1:$AS665,27,FALSE)," ")</f>
        <v xml:space="preserve"> </v>
      </c>
      <c r="U295" s="83" t="str">
        <f>IFERROR(VLOOKUP($A295,'The List'!$B1:$AS665,28,FALSE)," ")</f>
        <v xml:space="preserve"> </v>
      </c>
      <c r="V295" s="83" t="str">
        <f>IFERROR(VLOOKUP($A295,'The List'!$B1:$AS665,29,FALSE)," ")</f>
        <v xml:space="preserve"> </v>
      </c>
      <c r="W295" s="83" t="str">
        <f>IFERROR(VLOOKUP($A295,'The List'!$B1:$AS665,30,FALSE)," ")</f>
        <v xml:space="preserve"> </v>
      </c>
      <c r="X295" s="83" t="str">
        <f>IFERROR(VLOOKUP($A295,'The List'!$B1:$AS665,31,FALSE)," ")</f>
        <v xml:space="preserve"> </v>
      </c>
      <c r="Y295" s="83" t="str">
        <f>IFERROR(VLOOKUP($A295,'The List'!$B1:$AS665,32,FALSE)," ")</f>
        <v xml:space="preserve"> </v>
      </c>
      <c r="Z295" s="83" t="str">
        <f>IFERROR(VLOOKUP($A295,'The List'!$B1:$AS665,33,FALSE)," ")</f>
        <v xml:space="preserve"> </v>
      </c>
      <c r="AA295" s="86"/>
      <c r="AB295" s="91"/>
      <c r="AC295" s="91"/>
      <c r="AD295" s="91"/>
      <c r="AE295" s="91"/>
      <c r="AF295" s="91"/>
    </row>
    <row r="296" spans="1:32" ht="21.25" customHeight="1" x14ac:dyDescent="0.15">
      <c r="A296" s="23"/>
      <c r="B296" s="94" t="str">
        <f>IFERROR(VLOOKUP($A296,'The List'!$B1:$AS665,3,FALSE)," ")</f>
        <v xml:space="preserve"> </v>
      </c>
      <c r="C296" s="96" t="str">
        <f>IFERROR(VLOOKUP($A296,'The List'!$B1:$AS665,4,FALSE)," ")</f>
        <v xml:space="preserve"> </v>
      </c>
      <c r="D296" s="65" t="str">
        <f>IFERROR(VLOOKUP($A296,'The List'!$B1:$AS665,5,FALSE)," ")</f>
        <v xml:space="preserve"> </v>
      </c>
      <c r="E296" s="65" t="str">
        <f>IFERROR(VLOOKUP($A296,'The List'!$B1:$AS665,6,FALSE)," ")</f>
        <v xml:space="preserve"> </v>
      </c>
      <c r="F296" s="93" t="str">
        <f>IFERROR(VLOOKUP($A296,'The List'!$B1:$AS665,8,FALSE)," ")</f>
        <v xml:space="preserve"> </v>
      </c>
      <c r="G296" s="93" t="str">
        <f>IFERROR(VLOOKUP($A296,'The List'!$B1:$AS665,10,FALSE)," ")</f>
        <v xml:space="preserve"> </v>
      </c>
      <c r="H296" s="54"/>
      <c r="I296" s="83" t="str">
        <f>IFERROR(VLOOKUP($A296,'The List'!$B1:$AS665,16,FALSE)," ")</f>
        <v xml:space="preserve"> </v>
      </c>
      <c r="J296" s="83" t="str">
        <f>IFERROR(VLOOKUP($A296,'The List'!$B1:$AS665,17,FALSE)," ")</f>
        <v xml:space="preserve"> </v>
      </c>
      <c r="K296" s="83" t="str">
        <f>IFERROR(VLOOKUP($A296,'The List'!$B1:$AS665,18,FALSE)," ")</f>
        <v xml:space="preserve"> </v>
      </c>
      <c r="L296" s="83" t="str">
        <f>IFERROR(VLOOKUP($A296,'The List'!$B1:$AS665,19,FALSE)," ")</f>
        <v xml:space="preserve"> </v>
      </c>
      <c r="M296" s="83" t="str">
        <f>IFERROR(VLOOKUP($A296,'The List'!$B1:$AS665,20,FALSE)," ")</f>
        <v xml:space="preserve"> </v>
      </c>
      <c r="N296" s="83" t="str">
        <f>IFERROR(VLOOKUP($A296,'The List'!$B1:$AS665,21,FALSE)," ")</f>
        <v xml:space="preserve"> </v>
      </c>
      <c r="O296" s="83" t="str">
        <f>IFERROR(VLOOKUP($A296,'The List'!$B1:$AS665,22,FALSE)," ")</f>
        <v xml:space="preserve"> </v>
      </c>
      <c r="P296" s="83" t="str">
        <f>IFERROR(VLOOKUP($A296,'The List'!$B1:$AS665,23,FALSE)," ")</f>
        <v xml:space="preserve"> </v>
      </c>
      <c r="Q296" s="83" t="str">
        <f>IFERROR(VLOOKUP($A296,'The List'!$B1:$AS665,24,FALSE)," ")</f>
        <v xml:space="preserve"> </v>
      </c>
      <c r="R296" s="83" t="str">
        <f>IFERROR(VLOOKUP($A296,'The List'!$B1:$AS665,25,FALSE)," ")</f>
        <v xml:space="preserve"> </v>
      </c>
      <c r="S296" s="83" t="str">
        <f>IFERROR(VLOOKUP($A296,'The List'!$B1:$AS665,26,FALSE)," ")</f>
        <v xml:space="preserve"> </v>
      </c>
      <c r="T296" s="83" t="str">
        <f>IFERROR(VLOOKUP($A296,'The List'!$B1:$AS665,27,FALSE)," ")</f>
        <v xml:space="preserve"> </v>
      </c>
      <c r="U296" s="83" t="str">
        <f>IFERROR(VLOOKUP($A296,'The List'!$B1:$AS665,28,FALSE)," ")</f>
        <v xml:space="preserve"> </v>
      </c>
      <c r="V296" s="83" t="str">
        <f>IFERROR(VLOOKUP($A296,'The List'!$B1:$AS665,29,FALSE)," ")</f>
        <v xml:space="preserve"> </v>
      </c>
      <c r="W296" s="83" t="str">
        <f>IFERROR(VLOOKUP($A296,'The List'!$B1:$AS665,30,FALSE)," ")</f>
        <v xml:space="preserve"> </v>
      </c>
      <c r="X296" s="83" t="str">
        <f>IFERROR(VLOOKUP($A296,'The List'!$B1:$AS665,31,FALSE)," ")</f>
        <v xml:space="preserve"> </v>
      </c>
      <c r="Y296" s="83" t="str">
        <f>IFERROR(VLOOKUP($A296,'The List'!$B1:$AS665,32,FALSE)," ")</f>
        <v xml:space="preserve"> </v>
      </c>
      <c r="Z296" s="83" t="str">
        <f>IFERROR(VLOOKUP($A296,'The List'!$B1:$AS665,33,FALSE)," ")</f>
        <v xml:space="preserve"> </v>
      </c>
      <c r="AA296" s="86"/>
      <c r="AB296" s="91"/>
      <c r="AC296" s="91"/>
      <c r="AD296" s="91"/>
      <c r="AE296" s="91"/>
      <c r="AF296" s="91"/>
    </row>
    <row r="297" spans="1:32" ht="21.25" customHeight="1" x14ac:dyDescent="0.15">
      <c r="A297" s="23"/>
      <c r="B297" s="94" t="str">
        <f>IFERROR(VLOOKUP($A297,'The List'!$B1:$AS665,3,FALSE)," ")</f>
        <v xml:space="preserve"> </v>
      </c>
      <c r="C297" s="96" t="str">
        <f>IFERROR(VLOOKUP($A297,'The List'!$B1:$AS665,4,FALSE)," ")</f>
        <v xml:space="preserve"> </v>
      </c>
      <c r="D297" s="65" t="str">
        <f>IFERROR(VLOOKUP($A297,'The List'!$B1:$AS665,5,FALSE)," ")</f>
        <v xml:space="preserve"> </v>
      </c>
      <c r="E297" s="65" t="str">
        <f>IFERROR(VLOOKUP($A297,'The List'!$B1:$AS665,6,FALSE)," ")</f>
        <v xml:space="preserve"> </v>
      </c>
      <c r="F297" s="93" t="str">
        <f>IFERROR(VLOOKUP($A297,'The List'!$B1:$AS665,8,FALSE)," ")</f>
        <v xml:space="preserve"> </v>
      </c>
      <c r="G297" s="93" t="str">
        <f>IFERROR(VLOOKUP($A297,'The List'!$B1:$AS665,10,FALSE)," ")</f>
        <v xml:space="preserve"> </v>
      </c>
      <c r="H297" s="54"/>
      <c r="I297" s="83" t="str">
        <f>IFERROR(VLOOKUP($A297,'The List'!$B1:$AS665,16,FALSE)," ")</f>
        <v xml:space="preserve"> </v>
      </c>
      <c r="J297" s="83" t="str">
        <f>IFERROR(VLOOKUP($A297,'The List'!$B1:$AS665,17,FALSE)," ")</f>
        <v xml:space="preserve"> </v>
      </c>
      <c r="K297" s="83" t="str">
        <f>IFERROR(VLOOKUP($A297,'The List'!$B1:$AS665,18,FALSE)," ")</f>
        <v xml:space="preserve"> </v>
      </c>
      <c r="L297" s="83" t="str">
        <f>IFERROR(VLOOKUP($A297,'The List'!$B1:$AS665,19,FALSE)," ")</f>
        <v xml:space="preserve"> </v>
      </c>
      <c r="M297" s="83" t="str">
        <f>IFERROR(VLOOKUP($A297,'The List'!$B1:$AS665,20,FALSE)," ")</f>
        <v xml:space="preserve"> </v>
      </c>
      <c r="N297" s="83" t="str">
        <f>IFERROR(VLOOKUP($A297,'The List'!$B1:$AS665,21,FALSE)," ")</f>
        <v xml:space="preserve"> </v>
      </c>
      <c r="O297" s="83" t="str">
        <f>IFERROR(VLOOKUP($A297,'The List'!$B1:$AS665,22,FALSE)," ")</f>
        <v xml:space="preserve"> </v>
      </c>
      <c r="P297" s="83" t="str">
        <f>IFERROR(VLOOKUP($A297,'The List'!$B1:$AS665,23,FALSE)," ")</f>
        <v xml:space="preserve"> </v>
      </c>
      <c r="Q297" s="83" t="str">
        <f>IFERROR(VLOOKUP($A297,'The List'!$B1:$AS665,24,FALSE)," ")</f>
        <v xml:space="preserve"> </v>
      </c>
      <c r="R297" s="83" t="str">
        <f>IFERROR(VLOOKUP($A297,'The List'!$B1:$AS665,25,FALSE)," ")</f>
        <v xml:space="preserve"> </v>
      </c>
      <c r="S297" s="83" t="str">
        <f>IFERROR(VLOOKUP($A297,'The List'!$B1:$AS665,26,FALSE)," ")</f>
        <v xml:space="preserve"> </v>
      </c>
      <c r="T297" s="83" t="str">
        <f>IFERROR(VLOOKUP($A297,'The List'!$B1:$AS665,27,FALSE)," ")</f>
        <v xml:space="preserve"> </v>
      </c>
      <c r="U297" s="83" t="str">
        <f>IFERROR(VLOOKUP($A297,'The List'!$B1:$AS665,28,FALSE)," ")</f>
        <v xml:space="preserve"> </v>
      </c>
      <c r="V297" s="83" t="str">
        <f>IFERROR(VLOOKUP($A297,'The List'!$B1:$AS665,29,FALSE)," ")</f>
        <v xml:space="preserve"> </v>
      </c>
      <c r="W297" s="83" t="str">
        <f>IFERROR(VLOOKUP($A297,'The List'!$B1:$AS665,30,FALSE)," ")</f>
        <v xml:space="preserve"> </v>
      </c>
      <c r="X297" s="83" t="str">
        <f>IFERROR(VLOOKUP($A297,'The List'!$B1:$AS665,31,FALSE)," ")</f>
        <v xml:space="preserve"> </v>
      </c>
      <c r="Y297" s="83" t="str">
        <f>IFERROR(VLOOKUP($A297,'The List'!$B1:$AS665,32,FALSE)," ")</f>
        <v xml:space="preserve"> </v>
      </c>
      <c r="Z297" s="83" t="str">
        <f>IFERROR(VLOOKUP($A297,'The List'!$B1:$AS665,33,FALSE)," ")</f>
        <v xml:space="preserve"> </v>
      </c>
      <c r="AA297" s="86"/>
      <c r="AB297" s="91"/>
      <c r="AC297" s="91"/>
      <c r="AD297" s="91"/>
      <c r="AE297" s="91"/>
      <c r="AF297" s="91"/>
    </row>
    <row r="298" spans="1:32" ht="21.25" customHeight="1" x14ac:dyDescent="0.15">
      <c r="A298" s="23"/>
      <c r="B298" s="94" t="str">
        <f>IFERROR(VLOOKUP($A298,'The List'!$B1:$AS665,3,FALSE)," ")</f>
        <v xml:space="preserve"> </v>
      </c>
      <c r="C298" s="96" t="str">
        <f>IFERROR(VLOOKUP($A298,'The List'!$B1:$AS665,4,FALSE)," ")</f>
        <v xml:space="preserve"> </v>
      </c>
      <c r="D298" s="65" t="str">
        <f>IFERROR(VLOOKUP($A298,'The List'!$B1:$AS665,5,FALSE)," ")</f>
        <v xml:space="preserve"> </v>
      </c>
      <c r="E298" s="65" t="str">
        <f>IFERROR(VLOOKUP($A298,'The List'!$B1:$AS665,6,FALSE)," ")</f>
        <v xml:space="preserve"> </v>
      </c>
      <c r="F298" s="93" t="str">
        <f>IFERROR(VLOOKUP($A298,'The List'!$B1:$AS665,8,FALSE)," ")</f>
        <v xml:space="preserve"> </v>
      </c>
      <c r="G298" s="93" t="str">
        <f>IFERROR(VLOOKUP($A298,'The List'!$B1:$AS665,10,FALSE)," ")</f>
        <v xml:space="preserve"> </v>
      </c>
      <c r="H298" s="54"/>
      <c r="I298" s="83" t="str">
        <f>IFERROR(VLOOKUP($A298,'The List'!$B1:$AS665,16,FALSE)," ")</f>
        <v xml:space="preserve"> </v>
      </c>
      <c r="J298" s="83" t="str">
        <f>IFERROR(VLOOKUP($A298,'The List'!$B1:$AS665,17,FALSE)," ")</f>
        <v xml:space="preserve"> </v>
      </c>
      <c r="K298" s="83" t="str">
        <f>IFERROR(VLOOKUP($A298,'The List'!$B1:$AS665,18,FALSE)," ")</f>
        <v xml:space="preserve"> </v>
      </c>
      <c r="L298" s="83" t="str">
        <f>IFERROR(VLOOKUP($A298,'The List'!$B1:$AS665,19,FALSE)," ")</f>
        <v xml:space="preserve"> </v>
      </c>
      <c r="M298" s="83" t="str">
        <f>IFERROR(VLOOKUP($A298,'The List'!$B1:$AS665,20,FALSE)," ")</f>
        <v xml:space="preserve"> </v>
      </c>
      <c r="N298" s="83" t="str">
        <f>IFERROR(VLOOKUP($A298,'The List'!$B1:$AS665,21,FALSE)," ")</f>
        <v xml:space="preserve"> </v>
      </c>
      <c r="O298" s="83" t="str">
        <f>IFERROR(VLOOKUP($A298,'The List'!$B1:$AS665,22,FALSE)," ")</f>
        <v xml:space="preserve"> </v>
      </c>
      <c r="P298" s="83" t="str">
        <f>IFERROR(VLOOKUP($A298,'The List'!$B1:$AS665,23,FALSE)," ")</f>
        <v xml:space="preserve"> </v>
      </c>
      <c r="Q298" s="83" t="str">
        <f>IFERROR(VLOOKUP($A298,'The List'!$B1:$AS665,24,FALSE)," ")</f>
        <v xml:space="preserve"> </v>
      </c>
      <c r="R298" s="83" t="str">
        <f>IFERROR(VLOOKUP($A298,'The List'!$B1:$AS665,25,FALSE)," ")</f>
        <v xml:space="preserve"> </v>
      </c>
      <c r="S298" s="83" t="str">
        <f>IFERROR(VLOOKUP($A298,'The List'!$B1:$AS665,26,FALSE)," ")</f>
        <v xml:space="preserve"> </v>
      </c>
      <c r="T298" s="83" t="str">
        <f>IFERROR(VLOOKUP($A298,'The List'!$B1:$AS665,27,FALSE)," ")</f>
        <v xml:space="preserve"> </v>
      </c>
      <c r="U298" s="83" t="str">
        <f>IFERROR(VLOOKUP($A298,'The List'!$B1:$AS665,28,FALSE)," ")</f>
        <v xml:space="preserve"> </v>
      </c>
      <c r="V298" s="83" t="str">
        <f>IFERROR(VLOOKUP($A298,'The List'!$B1:$AS665,29,FALSE)," ")</f>
        <v xml:space="preserve"> </v>
      </c>
      <c r="W298" s="83" t="str">
        <f>IFERROR(VLOOKUP($A298,'The List'!$B1:$AS665,30,FALSE)," ")</f>
        <v xml:space="preserve"> </v>
      </c>
      <c r="X298" s="83" t="str">
        <f>IFERROR(VLOOKUP($A298,'The List'!$B1:$AS665,31,FALSE)," ")</f>
        <v xml:space="preserve"> </v>
      </c>
      <c r="Y298" s="83" t="str">
        <f>IFERROR(VLOOKUP($A298,'The List'!$B1:$AS665,32,FALSE)," ")</f>
        <v xml:space="preserve"> </v>
      </c>
      <c r="Z298" s="83" t="str">
        <f>IFERROR(VLOOKUP($A298,'The List'!$B1:$AS665,33,FALSE)," ")</f>
        <v xml:space="preserve"> </v>
      </c>
      <c r="AA298" s="86"/>
      <c r="AB298" s="91"/>
      <c r="AC298" s="91"/>
      <c r="AD298" s="91"/>
      <c r="AE298" s="91"/>
      <c r="AF298" s="91"/>
    </row>
    <row r="299" spans="1:32" ht="21.25" customHeight="1" x14ac:dyDescent="0.15">
      <c r="A299" s="23"/>
      <c r="B299" s="94" t="str">
        <f>IFERROR(VLOOKUP($A299,'The List'!$B1:$AS665,3,FALSE)," ")</f>
        <v xml:space="preserve"> </v>
      </c>
      <c r="C299" s="96" t="str">
        <f>IFERROR(VLOOKUP($A299,'The List'!$B1:$AS665,4,FALSE)," ")</f>
        <v xml:space="preserve"> </v>
      </c>
      <c r="D299" s="65" t="str">
        <f>IFERROR(VLOOKUP($A299,'The List'!$B1:$AS665,5,FALSE)," ")</f>
        <v xml:space="preserve"> </v>
      </c>
      <c r="E299" s="65" t="str">
        <f>IFERROR(VLOOKUP($A299,'The List'!$B1:$AS665,6,FALSE)," ")</f>
        <v xml:space="preserve"> </v>
      </c>
      <c r="F299" s="93" t="str">
        <f>IFERROR(VLOOKUP($A299,'The List'!$B1:$AS665,8,FALSE)," ")</f>
        <v xml:space="preserve"> </v>
      </c>
      <c r="G299" s="93" t="str">
        <f>IFERROR(VLOOKUP($A299,'The List'!$B1:$AS665,10,FALSE)," ")</f>
        <v xml:space="preserve"> </v>
      </c>
      <c r="H299" s="54"/>
      <c r="I299" s="83" t="str">
        <f>IFERROR(VLOOKUP($A299,'The List'!$B1:$AS665,16,FALSE)," ")</f>
        <v xml:space="preserve"> </v>
      </c>
      <c r="J299" s="83" t="str">
        <f>IFERROR(VLOOKUP($A299,'The List'!$B1:$AS665,17,FALSE)," ")</f>
        <v xml:space="preserve"> </v>
      </c>
      <c r="K299" s="83" t="str">
        <f>IFERROR(VLOOKUP($A299,'The List'!$B1:$AS665,18,FALSE)," ")</f>
        <v xml:space="preserve"> </v>
      </c>
      <c r="L299" s="83" t="str">
        <f>IFERROR(VLOOKUP($A299,'The List'!$B1:$AS665,19,FALSE)," ")</f>
        <v xml:space="preserve"> </v>
      </c>
      <c r="M299" s="83" t="str">
        <f>IFERROR(VLOOKUP($A299,'The List'!$B1:$AS665,20,FALSE)," ")</f>
        <v xml:space="preserve"> </v>
      </c>
      <c r="N299" s="83" t="str">
        <f>IFERROR(VLOOKUP($A299,'The List'!$B1:$AS665,21,FALSE)," ")</f>
        <v xml:space="preserve"> </v>
      </c>
      <c r="O299" s="83" t="str">
        <f>IFERROR(VLOOKUP($A299,'The List'!$B1:$AS665,22,FALSE)," ")</f>
        <v xml:space="preserve"> </v>
      </c>
      <c r="P299" s="83" t="str">
        <f>IFERROR(VLOOKUP($A299,'The List'!$B1:$AS665,23,FALSE)," ")</f>
        <v xml:space="preserve"> </v>
      </c>
      <c r="Q299" s="83" t="str">
        <f>IFERROR(VLOOKUP($A299,'The List'!$B1:$AS665,24,FALSE)," ")</f>
        <v xml:space="preserve"> </v>
      </c>
      <c r="R299" s="83" t="str">
        <f>IFERROR(VLOOKUP($A299,'The List'!$B1:$AS665,25,FALSE)," ")</f>
        <v xml:space="preserve"> </v>
      </c>
      <c r="S299" s="83" t="str">
        <f>IFERROR(VLOOKUP($A299,'The List'!$B1:$AS665,26,FALSE)," ")</f>
        <v xml:space="preserve"> </v>
      </c>
      <c r="T299" s="83" t="str">
        <f>IFERROR(VLOOKUP($A299,'The List'!$B1:$AS665,27,FALSE)," ")</f>
        <v xml:space="preserve"> </v>
      </c>
      <c r="U299" s="83" t="str">
        <f>IFERROR(VLOOKUP($A299,'The List'!$B1:$AS665,28,FALSE)," ")</f>
        <v xml:space="preserve"> </v>
      </c>
      <c r="V299" s="83" t="str">
        <f>IFERROR(VLOOKUP($A299,'The List'!$B1:$AS665,29,FALSE)," ")</f>
        <v xml:space="preserve"> </v>
      </c>
      <c r="W299" s="83" t="str">
        <f>IFERROR(VLOOKUP($A299,'The List'!$B1:$AS665,30,FALSE)," ")</f>
        <v xml:space="preserve"> </v>
      </c>
      <c r="X299" s="83" t="str">
        <f>IFERROR(VLOOKUP($A299,'The List'!$B1:$AS665,31,FALSE)," ")</f>
        <v xml:space="preserve"> </v>
      </c>
      <c r="Y299" s="83" t="str">
        <f>IFERROR(VLOOKUP($A299,'The List'!$B1:$AS665,32,FALSE)," ")</f>
        <v xml:space="preserve"> </v>
      </c>
      <c r="Z299" s="83" t="str">
        <f>IFERROR(VLOOKUP($A299,'The List'!$B1:$AS665,33,FALSE)," ")</f>
        <v xml:space="preserve"> </v>
      </c>
      <c r="AA299" s="86"/>
      <c r="AB299" s="91"/>
      <c r="AC299" s="91"/>
      <c r="AD299" s="91"/>
      <c r="AE299" s="91"/>
      <c r="AF299" s="91"/>
    </row>
    <row r="300" spans="1:32" ht="21.25" customHeight="1" x14ac:dyDescent="0.15">
      <c r="A300" s="23"/>
      <c r="B300" s="97" t="str">
        <f>IFERROR(VLOOKUP($A300,'The List'!$B1:$AS665,3,FALSE)," ")</f>
        <v xml:space="preserve"> </v>
      </c>
      <c r="C300" s="99" t="str">
        <f>IFERROR(VLOOKUP($A300,'The List'!$B1:$AS665,4,FALSE)," ")</f>
        <v xml:space="preserve"> </v>
      </c>
      <c r="D300" s="65" t="str">
        <f>IFERROR(VLOOKUP($A300,'The List'!$B1:$AS665,5,FALSE)," ")</f>
        <v xml:space="preserve"> </v>
      </c>
      <c r="E300" s="65" t="str">
        <f>IFERROR(VLOOKUP($A300,'The List'!$B1:$AS665,6,FALSE)," ")</f>
        <v xml:space="preserve"> </v>
      </c>
      <c r="F300" s="93" t="str">
        <f>IFERROR(VLOOKUP($A300,'The List'!$B1:$AS665,8,FALSE)," ")</f>
        <v xml:space="preserve"> </v>
      </c>
      <c r="G300" s="93" t="str">
        <f>IFERROR(VLOOKUP($A300,'The List'!$B1:$AS665,10,FALSE)," ")</f>
        <v xml:space="preserve"> </v>
      </c>
      <c r="H300" s="54"/>
      <c r="I300" s="83" t="str">
        <f>IFERROR(VLOOKUP($A300,'The List'!$B1:$AS665,16,FALSE)," ")</f>
        <v xml:space="preserve"> </v>
      </c>
      <c r="J300" s="83" t="str">
        <f>IFERROR(VLOOKUP($A300,'The List'!$B1:$AS665,17,FALSE)," ")</f>
        <v xml:space="preserve"> </v>
      </c>
      <c r="K300" s="83" t="str">
        <f>IFERROR(VLOOKUP($A300,'The List'!$B1:$AS665,18,FALSE)," ")</f>
        <v xml:space="preserve"> </v>
      </c>
      <c r="L300" s="83" t="str">
        <f>IFERROR(VLOOKUP($A300,'The List'!$B1:$AS665,19,FALSE)," ")</f>
        <v xml:space="preserve"> </v>
      </c>
      <c r="M300" s="83" t="str">
        <f>IFERROR(VLOOKUP($A300,'The List'!$B1:$AS665,20,FALSE)," ")</f>
        <v xml:space="preserve"> </v>
      </c>
      <c r="N300" s="83" t="str">
        <f>IFERROR(VLOOKUP($A300,'The List'!$B1:$AS665,21,FALSE)," ")</f>
        <v xml:space="preserve"> </v>
      </c>
      <c r="O300" s="83" t="str">
        <f>IFERROR(VLOOKUP($A300,'The List'!$B1:$AS665,22,FALSE)," ")</f>
        <v xml:space="preserve"> </v>
      </c>
      <c r="P300" s="83" t="str">
        <f>IFERROR(VLOOKUP($A300,'The List'!$B1:$AS665,23,FALSE)," ")</f>
        <v xml:space="preserve"> </v>
      </c>
      <c r="Q300" s="83" t="str">
        <f>IFERROR(VLOOKUP($A300,'The List'!$B1:$AS665,24,FALSE)," ")</f>
        <v xml:space="preserve"> </v>
      </c>
      <c r="R300" s="83" t="str">
        <f>IFERROR(VLOOKUP($A300,'The List'!$B1:$AS665,25,FALSE)," ")</f>
        <v xml:space="preserve"> </v>
      </c>
      <c r="S300" s="83" t="str">
        <f>IFERROR(VLOOKUP($A300,'The List'!$B1:$AS665,26,FALSE)," ")</f>
        <v xml:space="preserve"> </v>
      </c>
      <c r="T300" s="83" t="str">
        <f>IFERROR(VLOOKUP($A300,'The List'!$B1:$AS665,27,FALSE)," ")</f>
        <v xml:space="preserve"> </v>
      </c>
      <c r="U300" s="83" t="str">
        <f>IFERROR(VLOOKUP($A300,'The List'!$B1:$AS665,28,FALSE)," ")</f>
        <v xml:space="preserve"> </v>
      </c>
      <c r="V300" s="83" t="str">
        <f>IFERROR(VLOOKUP($A300,'The List'!$B1:$AS665,29,FALSE)," ")</f>
        <v xml:space="preserve"> </v>
      </c>
      <c r="W300" s="83" t="str">
        <f>IFERROR(VLOOKUP($A300,'The List'!$B1:$AS665,30,FALSE)," ")</f>
        <v xml:space="preserve"> </v>
      </c>
      <c r="X300" s="83" t="str">
        <f>IFERROR(VLOOKUP($A300,'The List'!$B1:$AS665,31,FALSE)," ")</f>
        <v xml:space="preserve"> </v>
      </c>
      <c r="Y300" s="83" t="str">
        <f>IFERROR(VLOOKUP($A300,'The List'!$B1:$AS665,32,FALSE)," ")</f>
        <v xml:space="preserve"> </v>
      </c>
      <c r="Z300" s="83" t="str">
        <f>IFERROR(VLOOKUP($A300,'The List'!$B1:$AS665,33,FALSE)," ")</f>
        <v xml:space="preserve"> </v>
      </c>
      <c r="AA300" s="86"/>
      <c r="AB300" s="91"/>
      <c r="AC300" s="91"/>
      <c r="AD300" s="91"/>
      <c r="AE300" s="91"/>
      <c r="AF300" s="91"/>
    </row>
    <row r="301" spans="1:32" ht="21.25" customHeight="1" x14ac:dyDescent="0.15">
      <c r="A301" s="23"/>
      <c r="B301" s="97" t="str">
        <f>IFERROR(VLOOKUP($A301,'The List'!$B1:$AS665,3,FALSE)," ")</f>
        <v xml:space="preserve"> </v>
      </c>
      <c r="C301" s="99" t="str">
        <f>IFERROR(VLOOKUP($A301,'The List'!$B1:$AS665,4,FALSE)," ")</f>
        <v xml:space="preserve"> </v>
      </c>
      <c r="D301" s="65" t="str">
        <f>IFERROR(VLOOKUP($A301,'The List'!$B1:$AS665,5,FALSE)," ")</f>
        <v xml:space="preserve"> </v>
      </c>
      <c r="E301" s="65" t="str">
        <f>IFERROR(VLOOKUP($A301,'The List'!$B1:$AS665,6,FALSE)," ")</f>
        <v xml:space="preserve"> </v>
      </c>
      <c r="F301" s="93" t="str">
        <f>IFERROR(VLOOKUP($A301,'The List'!$B1:$AS665,8,FALSE)," ")</f>
        <v xml:space="preserve"> </v>
      </c>
      <c r="G301" s="93" t="str">
        <f>IFERROR(VLOOKUP($A301,'The List'!$B1:$AS665,10,FALSE)," ")</f>
        <v xml:space="preserve"> </v>
      </c>
      <c r="H301" s="54"/>
      <c r="I301" s="83" t="str">
        <f>IFERROR(VLOOKUP($A301,'The List'!$B1:$AS665,16,FALSE)," ")</f>
        <v xml:space="preserve"> </v>
      </c>
      <c r="J301" s="83" t="str">
        <f>IFERROR(VLOOKUP($A301,'The List'!$B1:$AS665,17,FALSE)," ")</f>
        <v xml:space="preserve"> </v>
      </c>
      <c r="K301" s="83" t="str">
        <f>IFERROR(VLOOKUP($A301,'The List'!$B1:$AS665,18,FALSE)," ")</f>
        <v xml:space="preserve"> </v>
      </c>
      <c r="L301" s="83" t="str">
        <f>IFERROR(VLOOKUP($A301,'The List'!$B1:$AS665,19,FALSE)," ")</f>
        <v xml:space="preserve"> </v>
      </c>
      <c r="M301" s="83" t="str">
        <f>IFERROR(VLOOKUP($A301,'The List'!$B1:$AS665,20,FALSE)," ")</f>
        <v xml:space="preserve"> </v>
      </c>
      <c r="N301" s="83" t="str">
        <f>IFERROR(VLOOKUP($A301,'The List'!$B1:$AS665,21,FALSE)," ")</f>
        <v xml:space="preserve"> </v>
      </c>
      <c r="O301" s="83" t="str">
        <f>IFERROR(VLOOKUP($A301,'The List'!$B1:$AS665,22,FALSE)," ")</f>
        <v xml:space="preserve"> </v>
      </c>
      <c r="P301" s="83" t="str">
        <f>IFERROR(VLOOKUP($A301,'The List'!$B1:$AS665,23,FALSE)," ")</f>
        <v xml:space="preserve"> </v>
      </c>
      <c r="Q301" s="83" t="str">
        <f>IFERROR(VLOOKUP($A301,'The List'!$B1:$AS665,24,FALSE)," ")</f>
        <v xml:space="preserve"> </v>
      </c>
      <c r="R301" s="83" t="str">
        <f>IFERROR(VLOOKUP($A301,'The List'!$B1:$AS665,25,FALSE)," ")</f>
        <v xml:space="preserve"> </v>
      </c>
      <c r="S301" s="83" t="str">
        <f>IFERROR(VLOOKUP($A301,'The List'!$B1:$AS665,26,FALSE)," ")</f>
        <v xml:space="preserve"> </v>
      </c>
      <c r="T301" s="83" t="str">
        <f>IFERROR(VLOOKUP($A301,'The List'!$B1:$AS665,27,FALSE)," ")</f>
        <v xml:space="preserve"> </v>
      </c>
      <c r="U301" s="83" t="str">
        <f>IFERROR(VLOOKUP($A301,'The List'!$B1:$AS665,28,FALSE)," ")</f>
        <v xml:space="preserve"> </v>
      </c>
      <c r="V301" s="83" t="str">
        <f>IFERROR(VLOOKUP($A301,'The List'!$B1:$AS665,29,FALSE)," ")</f>
        <v xml:space="preserve"> </v>
      </c>
      <c r="W301" s="83" t="str">
        <f>IFERROR(VLOOKUP($A301,'The List'!$B1:$AS665,30,FALSE)," ")</f>
        <v xml:space="preserve"> </v>
      </c>
      <c r="X301" s="83" t="str">
        <f>IFERROR(VLOOKUP($A301,'The List'!$B1:$AS665,31,FALSE)," ")</f>
        <v xml:space="preserve"> </v>
      </c>
      <c r="Y301" s="83" t="str">
        <f>IFERROR(VLOOKUP($A301,'The List'!$B1:$AS665,32,FALSE)," ")</f>
        <v xml:space="preserve"> </v>
      </c>
      <c r="Z301" s="83" t="str">
        <f>IFERROR(VLOOKUP($A301,'The List'!$B1:$AS665,33,FALSE)," ")</f>
        <v xml:space="preserve"> </v>
      </c>
      <c r="AA301" s="86"/>
      <c r="AB301" s="91"/>
      <c r="AC301" s="91"/>
      <c r="AD301" s="91"/>
      <c r="AE301" s="91"/>
      <c r="AF301" s="91"/>
    </row>
    <row r="302" spans="1:32" ht="21.25" customHeight="1" x14ac:dyDescent="0.15">
      <c r="A302" s="23"/>
      <c r="B302" s="97" t="str">
        <f>IFERROR(VLOOKUP($A302,'The List'!$B1:$AS665,3,FALSE)," ")</f>
        <v xml:space="preserve"> </v>
      </c>
      <c r="C302" s="99" t="str">
        <f>IFERROR(VLOOKUP($A302,'The List'!$B1:$AS665,4,FALSE)," ")</f>
        <v xml:space="preserve"> </v>
      </c>
      <c r="D302" s="65" t="str">
        <f>IFERROR(VLOOKUP($A302,'The List'!$B1:$AS665,5,FALSE)," ")</f>
        <v xml:space="preserve"> </v>
      </c>
      <c r="E302" s="65" t="str">
        <f>IFERROR(VLOOKUP($A302,'The List'!$B1:$AS665,6,FALSE)," ")</f>
        <v xml:space="preserve"> </v>
      </c>
      <c r="F302" s="93" t="str">
        <f>IFERROR(VLOOKUP($A302,'The List'!$B1:$AS665,8,FALSE)," ")</f>
        <v xml:space="preserve"> </v>
      </c>
      <c r="G302" s="93" t="str">
        <f>IFERROR(VLOOKUP($A302,'The List'!$B1:$AS665,10,FALSE)," ")</f>
        <v xml:space="preserve"> </v>
      </c>
      <c r="H302" s="54"/>
      <c r="I302" s="83" t="str">
        <f>IFERROR(VLOOKUP($A302,'The List'!$B1:$AS665,16,FALSE)," ")</f>
        <v xml:space="preserve"> </v>
      </c>
      <c r="J302" s="83" t="str">
        <f>IFERROR(VLOOKUP($A302,'The List'!$B1:$AS665,17,FALSE)," ")</f>
        <v xml:space="preserve"> </v>
      </c>
      <c r="K302" s="83" t="str">
        <f>IFERROR(VLOOKUP($A302,'The List'!$B1:$AS665,18,FALSE)," ")</f>
        <v xml:space="preserve"> </v>
      </c>
      <c r="L302" s="83" t="str">
        <f>IFERROR(VLOOKUP($A302,'The List'!$B1:$AS665,19,FALSE)," ")</f>
        <v xml:space="preserve"> </v>
      </c>
      <c r="M302" s="83" t="str">
        <f>IFERROR(VLOOKUP($A302,'The List'!$B1:$AS665,20,FALSE)," ")</f>
        <v xml:space="preserve"> </v>
      </c>
      <c r="N302" s="83" t="str">
        <f>IFERROR(VLOOKUP($A302,'The List'!$B1:$AS665,21,FALSE)," ")</f>
        <v xml:space="preserve"> </v>
      </c>
      <c r="O302" s="83" t="str">
        <f>IFERROR(VLOOKUP($A302,'The List'!$B1:$AS665,22,FALSE)," ")</f>
        <v xml:space="preserve"> </v>
      </c>
      <c r="P302" s="83" t="str">
        <f>IFERROR(VLOOKUP($A302,'The List'!$B1:$AS665,23,FALSE)," ")</f>
        <v xml:space="preserve"> </v>
      </c>
      <c r="Q302" s="83" t="str">
        <f>IFERROR(VLOOKUP($A302,'The List'!$B1:$AS665,24,FALSE)," ")</f>
        <v xml:space="preserve"> </v>
      </c>
      <c r="R302" s="83" t="str">
        <f>IFERROR(VLOOKUP($A302,'The List'!$B1:$AS665,25,FALSE)," ")</f>
        <v xml:space="preserve"> </v>
      </c>
      <c r="S302" s="83" t="str">
        <f>IFERROR(VLOOKUP($A302,'The List'!$B1:$AS665,26,FALSE)," ")</f>
        <v xml:space="preserve"> </v>
      </c>
      <c r="T302" s="83" t="str">
        <f>IFERROR(VLOOKUP($A302,'The List'!$B1:$AS665,27,FALSE)," ")</f>
        <v xml:space="preserve"> </v>
      </c>
      <c r="U302" s="83" t="str">
        <f>IFERROR(VLOOKUP($A302,'The List'!$B1:$AS665,28,FALSE)," ")</f>
        <v xml:space="preserve"> </v>
      </c>
      <c r="V302" s="83" t="str">
        <f>IFERROR(VLOOKUP($A302,'The List'!$B1:$AS665,29,FALSE)," ")</f>
        <v xml:space="preserve"> </v>
      </c>
      <c r="W302" s="83" t="str">
        <f>IFERROR(VLOOKUP($A302,'The List'!$B1:$AS665,30,FALSE)," ")</f>
        <v xml:space="preserve"> </v>
      </c>
      <c r="X302" s="83" t="str">
        <f>IFERROR(VLOOKUP($A302,'The List'!$B1:$AS665,31,FALSE)," ")</f>
        <v xml:space="preserve"> </v>
      </c>
      <c r="Y302" s="83" t="str">
        <f>IFERROR(VLOOKUP($A302,'The List'!$B1:$AS665,32,FALSE)," ")</f>
        <v xml:space="preserve"> </v>
      </c>
      <c r="Z302" s="83" t="str">
        <f>IFERROR(VLOOKUP($A302,'The List'!$B1:$AS665,33,FALSE)," ")</f>
        <v xml:space="preserve"> </v>
      </c>
      <c r="AA302" s="86"/>
      <c r="AB302" s="91"/>
      <c r="AC302" s="91"/>
      <c r="AD302" s="91"/>
      <c r="AE302" s="91"/>
      <c r="AF302" s="91"/>
    </row>
    <row r="303" spans="1:32" ht="21.25" customHeight="1" x14ac:dyDescent="0.15">
      <c r="A303" s="23"/>
      <c r="B303" s="97" t="str">
        <f>IFERROR(VLOOKUP($A303,'The List'!$B1:$AS665,3,FALSE)," ")</f>
        <v xml:space="preserve"> </v>
      </c>
      <c r="C303" s="99" t="str">
        <f>IFERROR(VLOOKUP($A303,'The List'!$B1:$AS665,4,FALSE)," ")</f>
        <v xml:space="preserve"> </v>
      </c>
      <c r="D303" s="65" t="str">
        <f>IFERROR(VLOOKUP($A303,'The List'!$B1:$AS665,5,FALSE)," ")</f>
        <v xml:space="preserve"> </v>
      </c>
      <c r="E303" s="65" t="str">
        <f>IFERROR(VLOOKUP($A303,'The List'!$B1:$AS665,6,FALSE)," ")</f>
        <v xml:space="preserve"> </v>
      </c>
      <c r="F303" s="93" t="str">
        <f>IFERROR(VLOOKUP($A303,'The List'!$B1:$AS665,8,FALSE)," ")</f>
        <v xml:space="preserve"> </v>
      </c>
      <c r="G303" s="93" t="str">
        <f>IFERROR(VLOOKUP($A303,'The List'!$B1:$AS665,10,FALSE)," ")</f>
        <v xml:space="preserve"> </v>
      </c>
      <c r="H303" s="54"/>
      <c r="I303" s="83" t="str">
        <f>IFERROR(VLOOKUP($A303,'The List'!$B1:$AS665,16,FALSE)," ")</f>
        <v xml:space="preserve"> </v>
      </c>
      <c r="J303" s="83" t="str">
        <f>IFERROR(VLOOKUP($A303,'The List'!$B1:$AS665,17,FALSE)," ")</f>
        <v xml:space="preserve"> </v>
      </c>
      <c r="K303" s="83" t="str">
        <f>IFERROR(VLOOKUP($A303,'The List'!$B1:$AS665,18,FALSE)," ")</f>
        <v xml:space="preserve"> </v>
      </c>
      <c r="L303" s="83" t="str">
        <f>IFERROR(VLOOKUP($A303,'The List'!$B1:$AS665,19,FALSE)," ")</f>
        <v xml:space="preserve"> </v>
      </c>
      <c r="M303" s="83" t="str">
        <f>IFERROR(VLOOKUP($A303,'The List'!$B1:$AS665,20,FALSE)," ")</f>
        <v xml:space="preserve"> </v>
      </c>
      <c r="N303" s="83" t="str">
        <f>IFERROR(VLOOKUP($A303,'The List'!$B1:$AS665,21,FALSE)," ")</f>
        <v xml:space="preserve"> </v>
      </c>
      <c r="O303" s="83" t="str">
        <f>IFERROR(VLOOKUP($A303,'The List'!$B1:$AS665,22,FALSE)," ")</f>
        <v xml:space="preserve"> </v>
      </c>
      <c r="P303" s="83" t="str">
        <f>IFERROR(VLOOKUP($A303,'The List'!$B1:$AS665,23,FALSE)," ")</f>
        <v xml:space="preserve"> </v>
      </c>
      <c r="Q303" s="83" t="str">
        <f>IFERROR(VLOOKUP($A303,'The List'!$B1:$AS665,24,FALSE)," ")</f>
        <v xml:space="preserve"> </v>
      </c>
      <c r="R303" s="83" t="str">
        <f>IFERROR(VLOOKUP($A303,'The List'!$B1:$AS665,25,FALSE)," ")</f>
        <v xml:space="preserve"> </v>
      </c>
      <c r="S303" s="83" t="str">
        <f>IFERROR(VLOOKUP($A303,'The List'!$B1:$AS665,26,FALSE)," ")</f>
        <v xml:space="preserve"> </v>
      </c>
      <c r="T303" s="83" t="str">
        <f>IFERROR(VLOOKUP($A303,'The List'!$B1:$AS665,27,FALSE)," ")</f>
        <v xml:space="preserve"> </v>
      </c>
      <c r="U303" s="83" t="str">
        <f>IFERROR(VLOOKUP($A303,'The List'!$B1:$AS665,28,FALSE)," ")</f>
        <v xml:space="preserve"> </v>
      </c>
      <c r="V303" s="83" t="str">
        <f>IFERROR(VLOOKUP($A303,'The List'!$B1:$AS665,29,FALSE)," ")</f>
        <v xml:space="preserve"> </v>
      </c>
      <c r="W303" s="83" t="str">
        <f>IFERROR(VLOOKUP($A303,'The List'!$B1:$AS665,30,FALSE)," ")</f>
        <v xml:space="preserve"> </v>
      </c>
      <c r="X303" s="83" t="str">
        <f>IFERROR(VLOOKUP($A303,'The List'!$B1:$AS665,31,FALSE)," ")</f>
        <v xml:space="preserve"> </v>
      </c>
      <c r="Y303" s="83" t="str">
        <f>IFERROR(VLOOKUP($A303,'The List'!$B1:$AS665,32,FALSE)," ")</f>
        <v xml:space="preserve"> </v>
      </c>
      <c r="Z303" s="83" t="str">
        <f>IFERROR(VLOOKUP($A303,'The List'!$B1:$AS665,33,FALSE)," ")</f>
        <v xml:space="preserve"> </v>
      </c>
      <c r="AA303" s="86"/>
      <c r="AB303" s="91"/>
      <c r="AC303" s="91"/>
      <c r="AD303" s="91"/>
      <c r="AE303" s="91"/>
      <c r="AF303" s="91"/>
    </row>
    <row r="304" spans="1:32" ht="21.25" customHeight="1" x14ac:dyDescent="0.15">
      <c r="A304" s="23"/>
      <c r="B304" s="100" t="str">
        <f>IFERROR(VLOOKUP($A304,'The List'!$B1:$AS665,3,FALSE)," ")</f>
        <v xml:space="preserve"> </v>
      </c>
      <c r="C304" s="102" t="str">
        <f>IFERROR(VLOOKUP($A304,'The List'!$B1:$AS665,4,FALSE)," ")</f>
        <v xml:space="preserve"> </v>
      </c>
      <c r="D304" s="65" t="str">
        <f>IFERROR(VLOOKUP($A304,'The List'!$B1:$AS665,5,FALSE)," ")</f>
        <v xml:space="preserve"> </v>
      </c>
      <c r="E304" s="65" t="str">
        <f>IFERROR(VLOOKUP($A304,'The List'!$B1:$AS665,6,FALSE)," ")</f>
        <v xml:space="preserve"> </v>
      </c>
      <c r="F304" s="93" t="str">
        <f>IFERROR(VLOOKUP($A304,'The List'!$B1:$AS665,8,FALSE)," ")</f>
        <v xml:space="preserve"> </v>
      </c>
      <c r="G304" s="93" t="str">
        <f>IFERROR(VLOOKUP($A304,'The List'!$B1:$AS665,10,FALSE)," ")</f>
        <v xml:space="preserve"> </v>
      </c>
      <c r="H304" s="54"/>
      <c r="I304" s="83" t="str">
        <f>IFERROR(VLOOKUP($A304,'The List'!$B1:$AS665,16,FALSE)," ")</f>
        <v xml:space="preserve"> </v>
      </c>
      <c r="J304" s="83" t="str">
        <f>IFERROR(VLOOKUP($A304,'The List'!$B1:$AS665,17,FALSE)," ")</f>
        <v xml:space="preserve"> </v>
      </c>
      <c r="K304" s="83" t="str">
        <f>IFERROR(VLOOKUP($A304,'The List'!$B1:$AS665,18,FALSE)," ")</f>
        <v xml:space="preserve"> </v>
      </c>
      <c r="L304" s="83" t="str">
        <f>IFERROR(VLOOKUP($A304,'The List'!$B1:$AS665,19,FALSE)," ")</f>
        <v xml:space="preserve"> </v>
      </c>
      <c r="M304" s="83" t="str">
        <f>IFERROR(VLOOKUP($A304,'The List'!$B1:$AS665,20,FALSE)," ")</f>
        <v xml:space="preserve"> </v>
      </c>
      <c r="N304" s="83" t="str">
        <f>IFERROR(VLOOKUP($A304,'The List'!$B1:$AS665,21,FALSE)," ")</f>
        <v xml:space="preserve"> </v>
      </c>
      <c r="O304" s="83" t="str">
        <f>IFERROR(VLOOKUP($A304,'The List'!$B1:$AS665,22,FALSE)," ")</f>
        <v xml:space="preserve"> </v>
      </c>
      <c r="P304" s="83" t="str">
        <f>IFERROR(VLOOKUP($A304,'The List'!$B1:$AS665,23,FALSE)," ")</f>
        <v xml:space="preserve"> </v>
      </c>
      <c r="Q304" s="83" t="str">
        <f>IFERROR(VLOOKUP($A304,'The List'!$B1:$AS665,24,FALSE)," ")</f>
        <v xml:space="preserve"> </v>
      </c>
      <c r="R304" s="83" t="str">
        <f>IFERROR(VLOOKUP($A304,'The List'!$B1:$AS665,25,FALSE)," ")</f>
        <v xml:space="preserve"> </v>
      </c>
      <c r="S304" s="83" t="str">
        <f>IFERROR(VLOOKUP($A304,'The List'!$B1:$AS665,26,FALSE)," ")</f>
        <v xml:space="preserve"> </v>
      </c>
      <c r="T304" s="83" t="str">
        <f>IFERROR(VLOOKUP($A304,'The List'!$B1:$AS665,27,FALSE)," ")</f>
        <v xml:space="preserve"> </v>
      </c>
      <c r="U304" s="83" t="str">
        <f>IFERROR(VLOOKUP($A304,'The List'!$B1:$AS665,28,FALSE)," ")</f>
        <v xml:space="preserve"> </v>
      </c>
      <c r="V304" s="83" t="str">
        <f>IFERROR(VLOOKUP($A304,'The List'!$B1:$AS665,29,FALSE)," ")</f>
        <v xml:space="preserve"> </v>
      </c>
      <c r="W304" s="83" t="str">
        <f>IFERROR(VLOOKUP($A304,'The List'!$B1:$AS665,30,FALSE)," ")</f>
        <v xml:space="preserve"> </v>
      </c>
      <c r="X304" s="83" t="str">
        <f>IFERROR(VLOOKUP($A304,'The List'!$B1:$AS665,31,FALSE)," ")</f>
        <v xml:space="preserve"> </v>
      </c>
      <c r="Y304" s="83" t="str">
        <f>IFERROR(VLOOKUP($A304,'The List'!$B1:$AS665,32,FALSE)," ")</f>
        <v xml:space="preserve"> </v>
      </c>
      <c r="Z304" s="83" t="str">
        <f>IFERROR(VLOOKUP($A304,'The List'!$B1:$AS665,33,FALSE)," ")</f>
        <v xml:space="preserve"> </v>
      </c>
      <c r="AA304" s="86"/>
      <c r="AB304" s="91"/>
      <c r="AC304" s="91"/>
      <c r="AD304" s="91"/>
      <c r="AE304" s="91"/>
      <c r="AF304" s="91"/>
    </row>
    <row r="305" spans="1:32" ht="21.25" customHeight="1" x14ac:dyDescent="0.15">
      <c r="A305" s="23"/>
      <c r="B305" s="100" t="str">
        <f>IFERROR(VLOOKUP($A305,'The List'!$B1:$AS665,3,FALSE)," ")</f>
        <v xml:space="preserve"> </v>
      </c>
      <c r="C305" s="102" t="str">
        <f>IFERROR(VLOOKUP($A305,'The List'!$B1:$AS665,4,FALSE)," ")</f>
        <v xml:space="preserve"> </v>
      </c>
      <c r="D305" s="65" t="str">
        <f>IFERROR(VLOOKUP($A305,'The List'!$B1:$AS665,5,FALSE)," ")</f>
        <v xml:space="preserve"> </v>
      </c>
      <c r="E305" s="65" t="str">
        <f>IFERROR(VLOOKUP($A305,'The List'!$B1:$AS665,6,FALSE)," ")</f>
        <v xml:space="preserve"> </v>
      </c>
      <c r="F305" s="93" t="str">
        <f>IFERROR(VLOOKUP($A305,'The List'!$B1:$AS665,8,FALSE)," ")</f>
        <v xml:space="preserve"> </v>
      </c>
      <c r="G305" s="93" t="str">
        <f>IFERROR(VLOOKUP($A305,'The List'!$B1:$AS665,10,FALSE)," ")</f>
        <v xml:space="preserve"> </v>
      </c>
      <c r="H305" s="54"/>
      <c r="I305" s="83" t="str">
        <f>IFERROR(VLOOKUP($A305,'The List'!$B1:$AS665,16,FALSE)," ")</f>
        <v xml:space="preserve"> </v>
      </c>
      <c r="J305" s="83" t="str">
        <f>IFERROR(VLOOKUP($A305,'The List'!$B1:$AS665,17,FALSE)," ")</f>
        <v xml:space="preserve"> </v>
      </c>
      <c r="K305" s="83" t="str">
        <f>IFERROR(VLOOKUP($A305,'The List'!$B1:$AS665,18,FALSE)," ")</f>
        <v xml:space="preserve"> </v>
      </c>
      <c r="L305" s="83" t="str">
        <f>IFERROR(VLOOKUP($A305,'The List'!$B1:$AS665,19,FALSE)," ")</f>
        <v xml:space="preserve"> </v>
      </c>
      <c r="M305" s="83" t="str">
        <f>IFERROR(VLOOKUP($A305,'The List'!$B1:$AS665,20,FALSE)," ")</f>
        <v xml:space="preserve"> </v>
      </c>
      <c r="N305" s="83" t="str">
        <f>IFERROR(VLOOKUP($A305,'The List'!$B1:$AS665,21,FALSE)," ")</f>
        <v xml:space="preserve"> </v>
      </c>
      <c r="O305" s="83" t="str">
        <f>IFERROR(VLOOKUP($A305,'The List'!$B1:$AS665,22,FALSE)," ")</f>
        <v xml:space="preserve"> </v>
      </c>
      <c r="P305" s="83" t="str">
        <f>IFERROR(VLOOKUP($A305,'The List'!$B1:$AS665,23,FALSE)," ")</f>
        <v xml:space="preserve"> </v>
      </c>
      <c r="Q305" s="83" t="str">
        <f>IFERROR(VLOOKUP($A305,'The List'!$B1:$AS665,24,FALSE)," ")</f>
        <v xml:space="preserve"> </v>
      </c>
      <c r="R305" s="83" t="str">
        <f>IFERROR(VLOOKUP($A305,'The List'!$B1:$AS665,25,FALSE)," ")</f>
        <v xml:space="preserve"> </v>
      </c>
      <c r="S305" s="83" t="str">
        <f>IFERROR(VLOOKUP($A305,'The List'!$B1:$AS665,26,FALSE)," ")</f>
        <v xml:space="preserve"> </v>
      </c>
      <c r="T305" s="83" t="str">
        <f>IFERROR(VLOOKUP($A305,'The List'!$B1:$AS665,27,FALSE)," ")</f>
        <v xml:space="preserve"> </v>
      </c>
      <c r="U305" s="83" t="str">
        <f>IFERROR(VLOOKUP($A305,'The List'!$B1:$AS665,28,FALSE)," ")</f>
        <v xml:space="preserve"> </v>
      </c>
      <c r="V305" s="83" t="str">
        <f>IFERROR(VLOOKUP($A305,'The List'!$B1:$AS665,29,FALSE)," ")</f>
        <v xml:space="preserve"> </v>
      </c>
      <c r="W305" s="83" t="str">
        <f>IFERROR(VLOOKUP($A305,'The List'!$B1:$AS665,30,FALSE)," ")</f>
        <v xml:space="preserve"> </v>
      </c>
      <c r="X305" s="83" t="str">
        <f>IFERROR(VLOOKUP($A305,'The List'!$B1:$AS665,31,FALSE)," ")</f>
        <v xml:space="preserve"> </v>
      </c>
      <c r="Y305" s="83" t="str">
        <f>IFERROR(VLOOKUP($A305,'The List'!$B1:$AS665,32,FALSE)," ")</f>
        <v xml:space="preserve"> </v>
      </c>
      <c r="Z305" s="83" t="str">
        <f>IFERROR(VLOOKUP($A305,'The List'!$B1:$AS665,33,FALSE)," ")</f>
        <v xml:space="preserve"> </v>
      </c>
      <c r="AA305" s="86"/>
      <c r="AB305" s="91"/>
      <c r="AC305" s="91"/>
      <c r="AD305" s="91"/>
      <c r="AE305" s="91"/>
      <c r="AF305" s="91"/>
    </row>
    <row r="306" spans="1:32" ht="21.25" customHeight="1" x14ac:dyDescent="0.15">
      <c r="A306" s="23"/>
      <c r="B306" s="100" t="str">
        <f>IFERROR(VLOOKUP($A306,'The List'!$B1:$AS665,3,FALSE)," ")</f>
        <v xml:space="preserve"> </v>
      </c>
      <c r="C306" s="102" t="str">
        <f>IFERROR(VLOOKUP($A306,'The List'!$B1:$AS665,4,FALSE)," ")</f>
        <v xml:space="preserve"> </v>
      </c>
      <c r="D306" s="65" t="str">
        <f>IFERROR(VLOOKUP($A306,'The List'!$B1:$AS665,5,FALSE)," ")</f>
        <v xml:space="preserve"> </v>
      </c>
      <c r="E306" s="65" t="str">
        <f>IFERROR(VLOOKUP($A306,'The List'!$B1:$AS665,6,FALSE)," ")</f>
        <v xml:space="preserve"> </v>
      </c>
      <c r="F306" s="93" t="str">
        <f>IFERROR(VLOOKUP($A306,'The List'!$B1:$AS665,8,FALSE)," ")</f>
        <v xml:space="preserve"> </v>
      </c>
      <c r="G306" s="93" t="str">
        <f>IFERROR(VLOOKUP($A306,'The List'!$B1:$AS665,10,FALSE)," ")</f>
        <v xml:space="preserve"> </v>
      </c>
      <c r="H306" s="54"/>
      <c r="I306" s="83" t="str">
        <f>IFERROR(VLOOKUP($A306,'The List'!$B1:$AS665,16,FALSE)," ")</f>
        <v xml:space="preserve"> </v>
      </c>
      <c r="J306" s="83" t="str">
        <f>IFERROR(VLOOKUP($A306,'The List'!$B1:$AS665,17,FALSE)," ")</f>
        <v xml:space="preserve"> </v>
      </c>
      <c r="K306" s="83" t="str">
        <f>IFERROR(VLOOKUP($A306,'The List'!$B1:$AS665,18,FALSE)," ")</f>
        <v xml:space="preserve"> </v>
      </c>
      <c r="L306" s="83" t="str">
        <f>IFERROR(VLOOKUP($A306,'The List'!$B1:$AS665,19,FALSE)," ")</f>
        <v xml:space="preserve"> </v>
      </c>
      <c r="M306" s="83" t="str">
        <f>IFERROR(VLOOKUP($A306,'The List'!$B1:$AS665,20,FALSE)," ")</f>
        <v xml:space="preserve"> </v>
      </c>
      <c r="N306" s="83" t="str">
        <f>IFERROR(VLOOKUP($A306,'The List'!$B1:$AS665,21,FALSE)," ")</f>
        <v xml:space="preserve"> </v>
      </c>
      <c r="O306" s="83" t="str">
        <f>IFERROR(VLOOKUP($A306,'The List'!$B1:$AS665,22,FALSE)," ")</f>
        <v xml:space="preserve"> </v>
      </c>
      <c r="P306" s="83" t="str">
        <f>IFERROR(VLOOKUP($A306,'The List'!$B1:$AS665,23,FALSE)," ")</f>
        <v xml:space="preserve"> </v>
      </c>
      <c r="Q306" s="83" t="str">
        <f>IFERROR(VLOOKUP($A306,'The List'!$B1:$AS665,24,FALSE)," ")</f>
        <v xml:space="preserve"> </v>
      </c>
      <c r="R306" s="83" t="str">
        <f>IFERROR(VLOOKUP($A306,'The List'!$B1:$AS665,25,FALSE)," ")</f>
        <v xml:space="preserve"> </v>
      </c>
      <c r="S306" s="83" t="str">
        <f>IFERROR(VLOOKUP($A306,'The List'!$B1:$AS665,26,FALSE)," ")</f>
        <v xml:space="preserve"> </v>
      </c>
      <c r="T306" s="83" t="str">
        <f>IFERROR(VLOOKUP($A306,'The List'!$B1:$AS665,27,FALSE)," ")</f>
        <v xml:space="preserve"> </v>
      </c>
      <c r="U306" s="83" t="str">
        <f>IFERROR(VLOOKUP($A306,'The List'!$B1:$AS665,28,FALSE)," ")</f>
        <v xml:space="preserve"> </v>
      </c>
      <c r="V306" s="83" t="str">
        <f>IFERROR(VLOOKUP($A306,'The List'!$B1:$AS665,29,FALSE)," ")</f>
        <v xml:space="preserve"> </v>
      </c>
      <c r="W306" s="83" t="str">
        <f>IFERROR(VLOOKUP($A306,'The List'!$B1:$AS665,30,FALSE)," ")</f>
        <v xml:space="preserve"> </v>
      </c>
      <c r="X306" s="83" t="str">
        <f>IFERROR(VLOOKUP($A306,'The List'!$B1:$AS665,31,FALSE)," ")</f>
        <v xml:space="preserve"> </v>
      </c>
      <c r="Y306" s="83" t="str">
        <f>IFERROR(VLOOKUP($A306,'The List'!$B1:$AS665,32,FALSE)," ")</f>
        <v xml:space="preserve"> </v>
      </c>
      <c r="Z306" s="83" t="str">
        <f>IFERROR(VLOOKUP($A306,'The List'!$B1:$AS665,33,FALSE)," ")</f>
        <v xml:space="preserve"> </v>
      </c>
      <c r="AA306" s="86"/>
      <c r="AB306" s="91"/>
      <c r="AC306" s="91"/>
      <c r="AD306" s="91"/>
      <c r="AE306" s="91"/>
      <c r="AF306" s="91"/>
    </row>
    <row r="307" spans="1:32" ht="21.25" customHeight="1" x14ac:dyDescent="0.15">
      <c r="A307" s="23"/>
      <c r="B307" s="100" t="str">
        <f>IFERROR(VLOOKUP($A307,'The List'!$B1:$AS665,3,FALSE)," ")</f>
        <v xml:space="preserve"> </v>
      </c>
      <c r="C307" s="102" t="str">
        <f>IFERROR(VLOOKUP($A307,'The List'!$B1:$AS665,4,FALSE)," ")</f>
        <v xml:space="preserve"> </v>
      </c>
      <c r="D307" s="65" t="str">
        <f>IFERROR(VLOOKUP($A307,'The List'!$B1:$AS665,5,FALSE)," ")</f>
        <v xml:space="preserve"> </v>
      </c>
      <c r="E307" s="65" t="str">
        <f>IFERROR(VLOOKUP($A307,'The List'!$B1:$AS665,6,FALSE)," ")</f>
        <v xml:space="preserve"> </v>
      </c>
      <c r="F307" s="93" t="str">
        <f>IFERROR(VLOOKUP($A307,'The List'!$B1:$AS665,8,FALSE)," ")</f>
        <v xml:space="preserve"> </v>
      </c>
      <c r="G307" s="93" t="str">
        <f>IFERROR(VLOOKUP($A307,'The List'!$B1:$AS665,10,FALSE)," ")</f>
        <v xml:space="preserve"> </v>
      </c>
      <c r="H307" s="54"/>
      <c r="I307" s="83" t="str">
        <f>IFERROR(VLOOKUP($A307,'The List'!$B1:$AS665,16,FALSE)," ")</f>
        <v xml:space="preserve"> </v>
      </c>
      <c r="J307" s="83" t="str">
        <f>IFERROR(VLOOKUP($A307,'The List'!$B1:$AS665,17,FALSE)," ")</f>
        <v xml:space="preserve"> </v>
      </c>
      <c r="K307" s="83" t="str">
        <f>IFERROR(VLOOKUP($A307,'The List'!$B1:$AS665,18,FALSE)," ")</f>
        <v xml:space="preserve"> </v>
      </c>
      <c r="L307" s="83" t="str">
        <f>IFERROR(VLOOKUP($A307,'The List'!$B1:$AS665,19,FALSE)," ")</f>
        <v xml:space="preserve"> </v>
      </c>
      <c r="M307" s="83" t="str">
        <f>IFERROR(VLOOKUP($A307,'The List'!$B1:$AS665,20,FALSE)," ")</f>
        <v xml:space="preserve"> </v>
      </c>
      <c r="N307" s="83" t="str">
        <f>IFERROR(VLOOKUP($A307,'The List'!$B1:$AS665,21,FALSE)," ")</f>
        <v xml:space="preserve"> </v>
      </c>
      <c r="O307" s="83" t="str">
        <f>IFERROR(VLOOKUP($A307,'The List'!$B1:$AS665,22,FALSE)," ")</f>
        <v xml:space="preserve"> </v>
      </c>
      <c r="P307" s="83" t="str">
        <f>IFERROR(VLOOKUP($A307,'The List'!$B1:$AS665,23,FALSE)," ")</f>
        <v xml:space="preserve"> </v>
      </c>
      <c r="Q307" s="83" t="str">
        <f>IFERROR(VLOOKUP($A307,'The List'!$B1:$AS665,24,FALSE)," ")</f>
        <v xml:space="preserve"> </v>
      </c>
      <c r="R307" s="83" t="str">
        <f>IFERROR(VLOOKUP($A307,'The List'!$B1:$AS665,25,FALSE)," ")</f>
        <v xml:space="preserve"> </v>
      </c>
      <c r="S307" s="83" t="str">
        <f>IFERROR(VLOOKUP($A307,'The List'!$B1:$AS665,26,FALSE)," ")</f>
        <v xml:space="preserve"> </v>
      </c>
      <c r="T307" s="83" t="str">
        <f>IFERROR(VLOOKUP($A307,'The List'!$B1:$AS665,27,FALSE)," ")</f>
        <v xml:space="preserve"> </v>
      </c>
      <c r="U307" s="83" t="str">
        <f>IFERROR(VLOOKUP($A307,'The List'!$B1:$AS665,28,FALSE)," ")</f>
        <v xml:space="preserve"> </v>
      </c>
      <c r="V307" s="83" t="str">
        <f>IFERROR(VLOOKUP($A307,'The List'!$B1:$AS665,29,FALSE)," ")</f>
        <v xml:space="preserve"> </v>
      </c>
      <c r="W307" s="83" t="str">
        <f>IFERROR(VLOOKUP($A307,'The List'!$B1:$AS665,30,FALSE)," ")</f>
        <v xml:space="preserve"> </v>
      </c>
      <c r="X307" s="83" t="str">
        <f>IFERROR(VLOOKUP($A307,'The List'!$B1:$AS665,31,FALSE)," ")</f>
        <v xml:space="preserve"> </v>
      </c>
      <c r="Y307" s="83" t="str">
        <f>IFERROR(VLOOKUP($A307,'The List'!$B1:$AS665,32,FALSE)," ")</f>
        <v xml:space="preserve"> </v>
      </c>
      <c r="Z307" s="83" t="str">
        <f>IFERROR(VLOOKUP($A307,'The List'!$B1:$AS665,33,FALSE)," ")</f>
        <v xml:space="preserve"> </v>
      </c>
      <c r="AA307" s="86"/>
      <c r="AB307" s="91"/>
      <c r="AC307" s="91"/>
      <c r="AD307" s="91"/>
      <c r="AE307" s="91"/>
      <c r="AF307" s="91"/>
    </row>
    <row r="308" spans="1:32" ht="21.25" customHeight="1" x14ac:dyDescent="0.15">
      <c r="A308" s="23"/>
      <c r="B308" s="100" t="str">
        <f>IFERROR(VLOOKUP($A308,'The List'!$B1:$AS665,3,FALSE)," ")</f>
        <v xml:space="preserve"> </v>
      </c>
      <c r="C308" s="102" t="str">
        <f>IFERROR(VLOOKUP($A308,'The List'!$B1:$AS665,4,FALSE)," ")</f>
        <v xml:space="preserve"> </v>
      </c>
      <c r="D308" s="65" t="str">
        <f>IFERROR(VLOOKUP($A308,'The List'!$B1:$AS665,5,FALSE)," ")</f>
        <v xml:space="preserve"> </v>
      </c>
      <c r="E308" s="65" t="str">
        <f>IFERROR(VLOOKUP($A308,'The List'!$B1:$AS665,6,FALSE)," ")</f>
        <v xml:space="preserve"> </v>
      </c>
      <c r="F308" s="93" t="str">
        <f>IFERROR(VLOOKUP($A308,'The List'!$B1:$AS665,8,FALSE)," ")</f>
        <v xml:space="preserve"> </v>
      </c>
      <c r="G308" s="93" t="str">
        <f>IFERROR(VLOOKUP($A308,'The List'!$B1:$AS665,10,FALSE)," ")</f>
        <v xml:space="preserve"> </v>
      </c>
      <c r="H308" s="54"/>
      <c r="I308" s="83" t="str">
        <f>IFERROR(VLOOKUP($A308,'The List'!$B1:$AS665,16,FALSE)," ")</f>
        <v xml:space="preserve"> </v>
      </c>
      <c r="J308" s="83" t="str">
        <f>IFERROR(VLOOKUP($A308,'The List'!$B1:$AS665,17,FALSE)," ")</f>
        <v xml:space="preserve"> </v>
      </c>
      <c r="K308" s="83" t="str">
        <f>IFERROR(VLOOKUP($A308,'The List'!$B1:$AS665,18,FALSE)," ")</f>
        <v xml:space="preserve"> </v>
      </c>
      <c r="L308" s="83" t="str">
        <f>IFERROR(VLOOKUP($A308,'The List'!$B1:$AS665,19,FALSE)," ")</f>
        <v xml:space="preserve"> </v>
      </c>
      <c r="M308" s="83" t="str">
        <f>IFERROR(VLOOKUP($A308,'The List'!$B1:$AS665,20,FALSE)," ")</f>
        <v xml:space="preserve"> </v>
      </c>
      <c r="N308" s="83" t="str">
        <f>IFERROR(VLOOKUP($A308,'The List'!$B1:$AS665,21,FALSE)," ")</f>
        <v xml:space="preserve"> </v>
      </c>
      <c r="O308" s="83" t="str">
        <f>IFERROR(VLOOKUP($A308,'The List'!$B1:$AS665,22,FALSE)," ")</f>
        <v xml:space="preserve"> </v>
      </c>
      <c r="P308" s="83" t="str">
        <f>IFERROR(VLOOKUP($A308,'The List'!$B1:$AS665,23,FALSE)," ")</f>
        <v xml:space="preserve"> </v>
      </c>
      <c r="Q308" s="83" t="str">
        <f>IFERROR(VLOOKUP($A308,'The List'!$B1:$AS665,24,FALSE)," ")</f>
        <v xml:space="preserve"> </v>
      </c>
      <c r="R308" s="83" t="str">
        <f>IFERROR(VLOOKUP($A308,'The List'!$B1:$AS665,25,FALSE)," ")</f>
        <v xml:space="preserve"> </v>
      </c>
      <c r="S308" s="83" t="str">
        <f>IFERROR(VLOOKUP($A308,'The List'!$B1:$AS665,26,FALSE)," ")</f>
        <v xml:space="preserve"> </v>
      </c>
      <c r="T308" s="83" t="str">
        <f>IFERROR(VLOOKUP($A308,'The List'!$B1:$AS665,27,FALSE)," ")</f>
        <v xml:space="preserve"> </v>
      </c>
      <c r="U308" s="83" t="str">
        <f>IFERROR(VLOOKUP($A308,'The List'!$B1:$AS665,28,FALSE)," ")</f>
        <v xml:space="preserve"> </v>
      </c>
      <c r="V308" s="83" t="str">
        <f>IFERROR(VLOOKUP($A308,'The List'!$B1:$AS665,29,FALSE)," ")</f>
        <v xml:space="preserve"> </v>
      </c>
      <c r="W308" s="83" t="str">
        <f>IFERROR(VLOOKUP($A308,'The List'!$B1:$AS665,30,FALSE)," ")</f>
        <v xml:space="preserve"> </v>
      </c>
      <c r="X308" s="83" t="str">
        <f>IFERROR(VLOOKUP($A308,'The List'!$B1:$AS665,31,FALSE)," ")</f>
        <v xml:space="preserve"> </v>
      </c>
      <c r="Y308" s="83" t="str">
        <f>IFERROR(VLOOKUP($A308,'The List'!$B1:$AS665,32,FALSE)," ")</f>
        <v xml:space="preserve"> </v>
      </c>
      <c r="Z308" s="83" t="str">
        <f>IFERROR(VLOOKUP($A308,'The List'!$B1:$AS665,33,FALSE)," ")</f>
        <v xml:space="preserve"> </v>
      </c>
      <c r="AA308" s="86"/>
      <c r="AB308" s="91"/>
      <c r="AC308" s="91"/>
      <c r="AD308" s="91"/>
      <c r="AE308" s="91"/>
      <c r="AF308" s="91"/>
    </row>
    <row r="309" spans="1:32" ht="21.25" customHeight="1" x14ac:dyDescent="0.15">
      <c r="A309" s="23"/>
      <c r="B309" s="100" t="str">
        <f>IFERROR(VLOOKUP($A309,'The List'!$B1:$AS665,3,FALSE)," ")</f>
        <v xml:space="preserve"> </v>
      </c>
      <c r="C309" s="102" t="str">
        <f>IFERROR(VLOOKUP($A309,'The List'!$B1:$AS665,4,FALSE)," ")</f>
        <v xml:space="preserve"> </v>
      </c>
      <c r="D309" s="65" t="str">
        <f>IFERROR(VLOOKUP($A309,'The List'!$B1:$AS665,5,FALSE)," ")</f>
        <v xml:space="preserve"> </v>
      </c>
      <c r="E309" s="65" t="str">
        <f>IFERROR(VLOOKUP($A309,'The List'!$B1:$AS665,6,FALSE)," ")</f>
        <v xml:space="preserve"> </v>
      </c>
      <c r="F309" s="93" t="str">
        <f>IFERROR(VLOOKUP($A309,'The List'!$B1:$AS665,8,FALSE)," ")</f>
        <v xml:space="preserve"> </v>
      </c>
      <c r="G309" s="93" t="str">
        <f>IFERROR(VLOOKUP($A309,'The List'!$B1:$AS665,10,FALSE)," ")</f>
        <v xml:space="preserve"> </v>
      </c>
      <c r="H309" s="54"/>
      <c r="I309" s="83" t="str">
        <f>IFERROR(VLOOKUP($A309,'The List'!$B1:$AS665,16,FALSE)," ")</f>
        <v xml:space="preserve"> </v>
      </c>
      <c r="J309" s="83" t="str">
        <f>IFERROR(VLOOKUP($A309,'The List'!$B1:$AS665,17,FALSE)," ")</f>
        <v xml:space="preserve"> </v>
      </c>
      <c r="K309" s="83" t="str">
        <f>IFERROR(VLOOKUP($A309,'The List'!$B1:$AS665,18,FALSE)," ")</f>
        <v xml:space="preserve"> </v>
      </c>
      <c r="L309" s="83" t="str">
        <f>IFERROR(VLOOKUP($A309,'The List'!$B1:$AS665,19,FALSE)," ")</f>
        <v xml:space="preserve"> </v>
      </c>
      <c r="M309" s="83" t="str">
        <f>IFERROR(VLOOKUP($A309,'The List'!$B1:$AS665,20,FALSE)," ")</f>
        <v xml:space="preserve"> </v>
      </c>
      <c r="N309" s="83" t="str">
        <f>IFERROR(VLOOKUP($A309,'The List'!$B1:$AS665,21,FALSE)," ")</f>
        <v xml:space="preserve"> </v>
      </c>
      <c r="O309" s="83" t="str">
        <f>IFERROR(VLOOKUP($A309,'The List'!$B1:$AS665,22,FALSE)," ")</f>
        <v xml:space="preserve"> </v>
      </c>
      <c r="P309" s="83" t="str">
        <f>IFERROR(VLOOKUP($A309,'The List'!$B1:$AS665,23,FALSE)," ")</f>
        <v xml:space="preserve"> </v>
      </c>
      <c r="Q309" s="83" t="str">
        <f>IFERROR(VLOOKUP($A309,'The List'!$B1:$AS665,24,FALSE)," ")</f>
        <v xml:space="preserve"> </v>
      </c>
      <c r="R309" s="83" t="str">
        <f>IFERROR(VLOOKUP($A309,'The List'!$B1:$AS665,25,FALSE)," ")</f>
        <v xml:space="preserve"> </v>
      </c>
      <c r="S309" s="83" t="str">
        <f>IFERROR(VLOOKUP($A309,'The List'!$B1:$AS665,26,FALSE)," ")</f>
        <v xml:space="preserve"> </v>
      </c>
      <c r="T309" s="83" t="str">
        <f>IFERROR(VLOOKUP($A309,'The List'!$B1:$AS665,27,FALSE)," ")</f>
        <v xml:space="preserve"> </v>
      </c>
      <c r="U309" s="83" t="str">
        <f>IFERROR(VLOOKUP($A309,'The List'!$B1:$AS665,28,FALSE)," ")</f>
        <v xml:space="preserve"> </v>
      </c>
      <c r="V309" s="83" t="str">
        <f>IFERROR(VLOOKUP($A309,'The List'!$B1:$AS665,29,FALSE)," ")</f>
        <v xml:space="preserve"> </v>
      </c>
      <c r="W309" s="83" t="str">
        <f>IFERROR(VLOOKUP($A309,'The List'!$B1:$AS665,30,FALSE)," ")</f>
        <v xml:space="preserve"> </v>
      </c>
      <c r="X309" s="83" t="str">
        <f>IFERROR(VLOOKUP($A309,'The List'!$B1:$AS665,31,FALSE)," ")</f>
        <v xml:space="preserve"> </v>
      </c>
      <c r="Y309" s="83" t="str">
        <f>IFERROR(VLOOKUP($A309,'The List'!$B1:$AS665,32,FALSE)," ")</f>
        <v xml:space="preserve"> </v>
      </c>
      <c r="Z309" s="83" t="str">
        <f>IFERROR(VLOOKUP($A309,'The List'!$B1:$AS665,33,FALSE)," ")</f>
        <v xml:space="preserve"> </v>
      </c>
      <c r="AA309" s="86"/>
      <c r="AB309" s="91"/>
      <c r="AC309" s="91"/>
      <c r="AD309" s="91"/>
      <c r="AE309" s="91"/>
      <c r="AF309" s="91"/>
    </row>
    <row r="310" spans="1:32" ht="21.25" customHeight="1" x14ac:dyDescent="0.15">
      <c r="A310" s="23"/>
      <c r="B310" s="100" t="str">
        <f>IFERROR(VLOOKUP($A310,'The List'!$B1:$AS665,3,FALSE)," ")</f>
        <v xml:space="preserve"> </v>
      </c>
      <c r="C310" s="102" t="str">
        <f>IFERROR(VLOOKUP($A310,'The List'!$B1:$AS665,4,FALSE)," ")</f>
        <v xml:space="preserve"> </v>
      </c>
      <c r="D310" s="65" t="str">
        <f>IFERROR(VLOOKUP($A310,'The List'!$B1:$AS665,5,FALSE)," ")</f>
        <v xml:space="preserve"> </v>
      </c>
      <c r="E310" s="65" t="str">
        <f>IFERROR(VLOOKUP($A310,'The List'!$B1:$AS665,6,FALSE)," ")</f>
        <v xml:space="preserve"> </v>
      </c>
      <c r="F310" s="93" t="str">
        <f>IFERROR(VLOOKUP($A310,'The List'!$B1:$AS665,8,FALSE)," ")</f>
        <v xml:space="preserve"> </v>
      </c>
      <c r="G310" s="93" t="str">
        <f>IFERROR(VLOOKUP($A310,'The List'!$B1:$AS665,10,FALSE)," ")</f>
        <v xml:space="preserve"> </v>
      </c>
      <c r="H310" s="54"/>
      <c r="I310" s="83" t="str">
        <f>IFERROR(VLOOKUP($A310,'The List'!$B1:$AS665,16,FALSE)," ")</f>
        <v xml:space="preserve"> </v>
      </c>
      <c r="J310" s="83" t="str">
        <f>IFERROR(VLOOKUP($A310,'The List'!$B1:$AS665,17,FALSE)," ")</f>
        <v xml:space="preserve"> </v>
      </c>
      <c r="K310" s="83" t="str">
        <f>IFERROR(VLOOKUP($A310,'The List'!$B1:$AS665,18,FALSE)," ")</f>
        <v xml:space="preserve"> </v>
      </c>
      <c r="L310" s="83" t="str">
        <f>IFERROR(VLOOKUP($A310,'The List'!$B1:$AS665,19,FALSE)," ")</f>
        <v xml:space="preserve"> </v>
      </c>
      <c r="M310" s="83" t="str">
        <f>IFERROR(VLOOKUP($A310,'The List'!$B1:$AS665,20,FALSE)," ")</f>
        <v xml:space="preserve"> </v>
      </c>
      <c r="N310" s="83" t="str">
        <f>IFERROR(VLOOKUP($A310,'The List'!$B1:$AS665,21,FALSE)," ")</f>
        <v xml:space="preserve"> </v>
      </c>
      <c r="O310" s="83" t="str">
        <f>IFERROR(VLOOKUP($A310,'The List'!$B1:$AS665,22,FALSE)," ")</f>
        <v xml:space="preserve"> </v>
      </c>
      <c r="P310" s="83" t="str">
        <f>IFERROR(VLOOKUP($A310,'The List'!$B1:$AS665,23,FALSE)," ")</f>
        <v xml:space="preserve"> </v>
      </c>
      <c r="Q310" s="83" t="str">
        <f>IFERROR(VLOOKUP($A310,'The List'!$B1:$AS665,24,FALSE)," ")</f>
        <v xml:space="preserve"> </v>
      </c>
      <c r="R310" s="83" t="str">
        <f>IFERROR(VLOOKUP($A310,'The List'!$B1:$AS665,25,FALSE)," ")</f>
        <v xml:space="preserve"> </v>
      </c>
      <c r="S310" s="83" t="str">
        <f>IFERROR(VLOOKUP($A310,'The List'!$B1:$AS665,26,FALSE)," ")</f>
        <v xml:space="preserve"> </v>
      </c>
      <c r="T310" s="83" t="str">
        <f>IFERROR(VLOOKUP($A310,'The List'!$B1:$AS665,27,FALSE)," ")</f>
        <v xml:space="preserve"> </v>
      </c>
      <c r="U310" s="83" t="str">
        <f>IFERROR(VLOOKUP($A310,'The List'!$B1:$AS665,28,FALSE)," ")</f>
        <v xml:space="preserve"> </v>
      </c>
      <c r="V310" s="83" t="str">
        <f>IFERROR(VLOOKUP($A310,'The List'!$B1:$AS665,29,FALSE)," ")</f>
        <v xml:space="preserve"> </v>
      </c>
      <c r="W310" s="83" t="str">
        <f>IFERROR(VLOOKUP($A310,'The List'!$B1:$AS665,30,FALSE)," ")</f>
        <v xml:space="preserve"> </v>
      </c>
      <c r="X310" s="83" t="str">
        <f>IFERROR(VLOOKUP($A310,'The List'!$B1:$AS665,31,FALSE)," ")</f>
        <v xml:space="preserve"> </v>
      </c>
      <c r="Y310" s="83" t="str">
        <f>IFERROR(VLOOKUP($A310,'The List'!$B1:$AS665,32,FALSE)," ")</f>
        <v xml:space="preserve"> </v>
      </c>
      <c r="Z310" s="83" t="str">
        <f>IFERROR(VLOOKUP($A310,'The List'!$B1:$AS665,33,FALSE)," ")</f>
        <v xml:space="preserve"> </v>
      </c>
      <c r="AA310" s="86"/>
      <c r="AB310" s="91"/>
      <c r="AC310" s="91"/>
      <c r="AD310" s="91"/>
      <c r="AE310" s="91"/>
      <c r="AF310" s="91"/>
    </row>
    <row r="311" spans="1:32" ht="21.25" customHeight="1" x14ac:dyDescent="0.15">
      <c r="A311" s="104"/>
      <c r="B311" s="105" t="str">
        <f>IFERROR(VLOOKUP($A311,'The List'!$B1:$AS665,3,FALSE)," ")</f>
        <v xml:space="preserve"> </v>
      </c>
      <c r="C311" s="106" t="str">
        <f>IFERROR(VLOOKUP($A311,'The List'!$B1:$AS665,4,FALSE)," ")</f>
        <v xml:space="preserve"> </v>
      </c>
      <c r="D311" s="107" t="str">
        <f>IFERROR(VLOOKUP($A311,'The List'!$B1:$AS665,5,FALSE)," ")</f>
        <v xml:space="preserve"> </v>
      </c>
      <c r="E311" s="107" t="str">
        <f>IFERROR(VLOOKUP($A311,'The List'!$B1:$AS665,6,FALSE)," ")</f>
        <v xml:space="preserve"> </v>
      </c>
      <c r="F311" s="108" t="str">
        <f>IFERROR(VLOOKUP($A311,'The List'!$B1:$AS665,8,FALSE)," ")</f>
        <v xml:space="preserve"> </v>
      </c>
      <c r="G311" s="108" t="str">
        <f>IFERROR(VLOOKUP($A311,'The List'!$B1:$AS665,10,FALSE)," ")</f>
        <v xml:space="preserve"> </v>
      </c>
      <c r="H311" s="109"/>
      <c r="I311" s="110" t="str">
        <f>IFERROR(VLOOKUP($A311,'The List'!$B1:$AS665,16,FALSE)," ")</f>
        <v xml:space="preserve"> </v>
      </c>
      <c r="J311" s="110" t="str">
        <f>IFERROR(VLOOKUP($A311,'The List'!$B1:$AS665,17,FALSE)," ")</f>
        <v xml:space="preserve"> </v>
      </c>
      <c r="K311" s="110" t="str">
        <f>IFERROR(VLOOKUP($A311,'The List'!$B1:$AS665,18,FALSE)," ")</f>
        <v xml:space="preserve"> </v>
      </c>
      <c r="L311" s="110" t="str">
        <f>IFERROR(VLOOKUP($A311,'The List'!$B1:$AS665,19,FALSE)," ")</f>
        <v xml:space="preserve"> </v>
      </c>
      <c r="M311" s="110" t="str">
        <f>IFERROR(VLOOKUP($A311,'The List'!$B1:$AS665,20,FALSE)," ")</f>
        <v xml:space="preserve"> </v>
      </c>
      <c r="N311" s="110" t="str">
        <f>IFERROR(VLOOKUP($A311,'The List'!$B1:$AS665,21,FALSE)," ")</f>
        <v xml:space="preserve"> </v>
      </c>
      <c r="O311" s="110" t="str">
        <f>IFERROR(VLOOKUP($A311,'The List'!$B1:$AS665,22,FALSE)," ")</f>
        <v xml:space="preserve"> </v>
      </c>
      <c r="P311" s="110" t="str">
        <f>IFERROR(VLOOKUP($A311,'The List'!$B1:$AS665,23,FALSE)," ")</f>
        <v xml:space="preserve"> </v>
      </c>
      <c r="Q311" s="110" t="str">
        <f>IFERROR(VLOOKUP($A311,'The List'!$B1:$AS665,24,FALSE)," ")</f>
        <v xml:space="preserve"> </v>
      </c>
      <c r="R311" s="110" t="str">
        <f>IFERROR(VLOOKUP($A311,'The List'!$B1:$AS665,25,FALSE)," ")</f>
        <v xml:space="preserve"> </v>
      </c>
      <c r="S311" s="110" t="str">
        <f>IFERROR(VLOOKUP($A311,'The List'!$B1:$AS665,26,FALSE)," ")</f>
        <v xml:space="preserve"> </v>
      </c>
      <c r="T311" s="110" t="str">
        <f>IFERROR(VLOOKUP($A311,'The List'!$B1:$AS665,27,FALSE)," ")</f>
        <v xml:space="preserve"> </v>
      </c>
      <c r="U311" s="110" t="str">
        <f>IFERROR(VLOOKUP($A311,'The List'!$B1:$AS665,28,FALSE)," ")</f>
        <v xml:space="preserve"> </v>
      </c>
      <c r="V311" s="110" t="str">
        <f>IFERROR(VLOOKUP($A311,'The List'!$B1:$AS665,29,FALSE)," ")</f>
        <v xml:space="preserve"> </v>
      </c>
      <c r="W311" s="110" t="str">
        <f>IFERROR(VLOOKUP($A311,'The List'!$B1:$AS665,30,FALSE)," ")</f>
        <v xml:space="preserve"> </v>
      </c>
      <c r="X311" s="110" t="str">
        <f>IFERROR(VLOOKUP($A311,'The List'!$B1:$AS665,31,FALSE)," ")</f>
        <v xml:space="preserve"> </v>
      </c>
      <c r="Y311" s="110" t="str">
        <f>IFERROR(VLOOKUP($A311,'The List'!$B1:$AS665,32,FALSE)," ")</f>
        <v xml:space="preserve"> </v>
      </c>
      <c r="Z311" s="110" t="str">
        <f>IFERROR(VLOOKUP($A311,'The List'!$B1:$AS665,33,FALSE)," ")</f>
        <v xml:space="preserve"> </v>
      </c>
      <c r="AA311" s="86"/>
      <c r="AB311" s="91"/>
      <c r="AC311" s="91"/>
      <c r="AD311" s="91"/>
      <c r="AE311" s="91"/>
      <c r="AF311" s="91"/>
    </row>
    <row r="312" spans="1:32" ht="21.25" customHeight="1" x14ac:dyDescent="0.15">
      <c r="A312" s="111"/>
      <c r="B312" s="112"/>
      <c r="C312" s="113"/>
      <c r="D312" s="114"/>
      <c r="E312" s="146" t="str">
        <f>IFERROR(AVERAGE(E292:E311)," ")</f>
        <v xml:space="preserve"> </v>
      </c>
      <c r="F312" s="116">
        <f>SUM(F292:F311)</f>
        <v>0</v>
      </c>
      <c r="G312" s="116">
        <f>SUM(G292:G311)</f>
        <v>0</v>
      </c>
      <c r="H312" s="117"/>
      <c r="I312" s="118">
        <f>SUM(I292:I311)</f>
        <v>0</v>
      </c>
      <c r="J312" s="117" t="e">
        <f>AVERAGE(J292:J311)</f>
        <v>#DIV/0!</v>
      </c>
      <c r="K312" s="118">
        <f t="shared" ref="K312:Y312" si="20">SUM(K292:K311)</f>
        <v>0</v>
      </c>
      <c r="L312" s="118">
        <f t="shared" si="20"/>
        <v>0</v>
      </c>
      <c r="M312" s="118">
        <f t="shared" si="20"/>
        <v>0</v>
      </c>
      <c r="N312" s="118">
        <f t="shared" si="20"/>
        <v>0</v>
      </c>
      <c r="O312" s="118">
        <f t="shared" si="20"/>
        <v>0</v>
      </c>
      <c r="P312" s="118">
        <f t="shared" si="20"/>
        <v>0</v>
      </c>
      <c r="Q312" s="118">
        <f t="shared" si="20"/>
        <v>0</v>
      </c>
      <c r="R312" s="118">
        <f t="shared" si="20"/>
        <v>0</v>
      </c>
      <c r="S312" s="118">
        <f t="shared" si="20"/>
        <v>0</v>
      </c>
      <c r="T312" s="118">
        <f t="shared" si="20"/>
        <v>0</v>
      </c>
      <c r="U312" s="118">
        <f t="shared" si="20"/>
        <v>0</v>
      </c>
      <c r="V312" s="118">
        <f t="shared" si="20"/>
        <v>0</v>
      </c>
      <c r="W312" s="118">
        <f t="shared" si="20"/>
        <v>0</v>
      </c>
      <c r="X312" s="118">
        <f t="shared" si="20"/>
        <v>0</v>
      </c>
      <c r="Y312" s="118">
        <f t="shared" si="20"/>
        <v>0</v>
      </c>
      <c r="Z312" s="119">
        <f>IFERROR(X312/(X312+Y312),0)</f>
        <v>0</v>
      </c>
      <c r="AA312" s="86"/>
      <c r="AB312" s="120"/>
      <c r="AC312" s="120"/>
      <c r="AD312" s="120"/>
      <c r="AE312" s="120"/>
      <c r="AF312" s="120"/>
    </row>
    <row r="313" spans="1:32" ht="21.25" customHeight="1" x14ac:dyDescent="0.15">
      <c r="A313" s="34"/>
      <c r="B313" s="121"/>
      <c r="C313" s="122"/>
      <c r="D313" s="12"/>
      <c r="E313" s="12"/>
      <c r="F313" s="123"/>
      <c r="G313" s="124"/>
      <c r="H313" s="125"/>
      <c r="I313" s="12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91"/>
      <c r="AC313" s="91"/>
      <c r="AD313" s="91"/>
      <c r="AE313" s="91"/>
      <c r="AF313" s="91"/>
    </row>
    <row r="314" spans="1:32" ht="21.25" customHeight="1" x14ac:dyDescent="0.15">
      <c r="A314" s="37" t="s">
        <v>89</v>
      </c>
      <c r="B314" s="205" t="s">
        <v>91</v>
      </c>
      <c r="C314" s="195"/>
      <c r="D314" s="40" t="s">
        <v>92</v>
      </c>
      <c r="E314" s="40" t="s">
        <v>93</v>
      </c>
      <c r="F314" s="127" t="s">
        <v>95</v>
      </c>
      <c r="G314" s="127" t="s">
        <v>97</v>
      </c>
      <c r="H314" s="128"/>
      <c r="I314" s="129" t="s">
        <v>102</v>
      </c>
      <c r="J314" s="129" t="s">
        <v>118</v>
      </c>
      <c r="K314" s="129" t="s">
        <v>119</v>
      </c>
      <c r="L314" s="129" t="s">
        <v>120</v>
      </c>
      <c r="M314" s="129" t="s">
        <v>121</v>
      </c>
      <c r="N314" s="129" t="s">
        <v>122</v>
      </c>
      <c r="O314" s="129" t="s">
        <v>123</v>
      </c>
      <c r="P314" s="129" t="s">
        <v>124</v>
      </c>
      <c r="Q314" s="129" t="s">
        <v>125</v>
      </c>
      <c r="R314" s="86"/>
      <c r="S314" s="86"/>
      <c r="T314" s="86"/>
      <c r="U314" s="205" t="s">
        <v>809</v>
      </c>
      <c r="V314" s="206"/>
      <c r="W314" s="206"/>
      <c r="X314" s="205" t="s">
        <v>810</v>
      </c>
      <c r="Y314" s="206"/>
      <c r="Z314" s="206"/>
      <c r="AA314" s="86"/>
      <c r="AB314" s="86"/>
      <c r="AC314" s="86"/>
      <c r="AD314" s="86"/>
      <c r="AE314" s="86"/>
      <c r="AF314" s="86"/>
    </row>
    <row r="315" spans="1:32" ht="21.25" customHeight="1" x14ac:dyDescent="0.15">
      <c r="A315" s="147"/>
      <c r="B315" s="131" t="str">
        <f>IFERROR(VLOOKUP($A315,'The List'!$B1:$AS665,3,FALSE)," ")</f>
        <v xml:space="preserve"> </v>
      </c>
      <c r="C315" s="148" t="str">
        <f>IFERROR(VLOOKUP($A315,'The List'!$B1:$AS665,4,FALSE)," ")</f>
        <v xml:space="preserve"> </v>
      </c>
      <c r="D315" s="49" t="str">
        <f>IFERROR(VLOOKUP($A315,'The List'!$B1:$AS665,5,FALSE)," ")</f>
        <v xml:space="preserve"> </v>
      </c>
      <c r="E315" s="49" t="str">
        <f>IFERROR(VLOOKUP($A315,'The List'!$B1:$AS665,6,FALSE)," ")</f>
        <v xml:space="preserve"> </v>
      </c>
      <c r="F315" s="149" t="str">
        <f>IFERROR(VLOOKUP($A315,'The List'!$B1:$AS665,8,FALSE)," ")</f>
        <v xml:space="preserve"> </v>
      </c>
      <c r="G315" s="149" t="str">
        <f>IFERROR(VLOOKUP($A315,'The List'!$B1:$AS665,10,FALSE)," ")</f>
        <v xml:space="preserve"> </v>
      </c>
      <c r="H315" s="135"/>
      <c r="I315" s="150" t="str">
        <f>IFERROR(VLOOKUP($A315,'The List'!$B1:$AS665,35,FALSE)," ")</f>
        <v xml:space="preserve"> </v>
      </c>
      <c r="J315" s="150" t="str">
        <f>IFERROR(VLOOKUP($A315,'The List'!$B1:$AS665,36,FALSE)," ")</f>
        <v xml:space="preserve"> </v>
      </c>
      <c r="K315" s="150" t="str">
        <f>IFERROR(VLOOKUP($A315,'The List'!$B1:$AS665,37,FALSE)," ")</f>
        <v xml:space="preserve"> </v>
      </c>
      <c r="L315" s="150" t="str">
        <f>IFERROR(VLOOKUP($A315,'The List'!$B1:$AS665,38,FALSE)," ")</f>
        <v xml:space="preserve"> </v>
      </c>
      <c r="M315" s="150" t="str">
        <f>IFERROR(VLOOKUP($A315,'The List'!$B1:$AS665,39,FALSE)," ")</f>
        <v xml:space="preserve"> </v>
      </c>
      <c r="N315" s="150" t="str">
        <f>IFERROR(VLOOKUP($A315,'The List'!$B1:$AS665,40,FALSE)," ")</f>
        <v xml:space="preserve"> </v>
      </c>
      <c r="O315" s="150" t="str">
        <f>IFERROR(VLOOKUP($A315,'The List'!$B1:$AS665,41,FALSE)," ")</f>
        <v xml:space="preserve"> </v>
      </c>
      <c r="P315" s="150" t="str">
        <f>IFERROR(VLOOKUP($A315,'The List'!$B1:$AS665,42,FALSE)," ")</f>
        <v xml:space="preserve"> </v>
      </c>
      <c r="Q315" s="150" t="str">
        <f>IFERROR(VLOOKUP($A315,'The List'!$B1:$AS665,43,FALSE)," ")</f>
        <v xml:space="preserve"> </v>
      </c>
      <c r="R315" s="86"/>
      <c r="S315" s="86"/>
      <c r="T315" s="139" t="str">
        <f>A291</f>
        <v>TEAM 11</v>
      </c>
      <c r="U315" s="207">
        <f>F312+F318</f>
        <v>0</v>
      </c>
      <c r="V315" s="195"/>
      <c r="W315" s="195"/>
      <c r="X315" s="207">
        <f>G318+G312</f>
        <v>0</v>
      </c>
      <c r="Y315" s="195"/>
      <c r="Z315" s="195"/>
      <c r="AA315" s="86"/>
      <c r="AB315" s="86"/>
      <c r="AC315" s="86"/>
      <c r="AD315" s="86"/>
      <c r="AE315" s="86"/>
      <c r="AF315" s="86"/>
    </row>
    <row r="316" spans="1:32" ht="21.25" customHeight="1" x14ac:dyDescent="0.15">
      <c r="A316" s="23"/>
      <c r="B316" s="140" t="str">
        <f>IFERROR(VLOOKUP($A316,'The List'!$B1:$AS665,3,FALSE)," ")</f>
        <v xml:space="preserve"> </v>
      </c>
      <c r="C316" s="141" t="str">
        <f>IFERROR(VLOOKUP($A316,'The List'!$B1:$AS665,4,FALSE)," ")</f>
        <v xml:space="preserve"> </v>
      </c>
      <c r="D316" s="65" t="str">
        <f>IFERROR(VLOOKUP($A316,'The List'!$B1:$AS665,5,FALSE)," ")</f>
        <v xml:space="preserve"> </v>
      </c>
      <c r="E316" s="65" t="str">
        <f>IFERROR(VLOOKUP($A316,'The List'!$B1:$AS665,6,FALSE)," ")</f>
        <v xml:space="preserve"> </v>
      </c>
      <c r="F316" s="93" t="str">
        <f>IFERROR(VLOOKUP($A316,'The List'!$B1:$AS665,8,FALSE)," ")</f>
        <v xml:space="preserve"> </v>
      </c>
      <c r="G316" s="93" t="str">
        <f>IFERROR(VLOOKUP($A316,'The List'!$B1:$AS665,10,FALSE)," ")</f>
        <v xml:space="preserve"> </v>
      </c>
      <c r="H316" s="54"/>
      <c r="I316" s="83" t="str">
        <f>IFERROR(VLOOKUP($A316,'The List'!$B1:$AS665,35,FALSE)," ")</f>
        <v xml:space="preserve"> </v>
      </c>
      <c r="J316" s="83" t="str">
        <f>IFERROR(VLOOKUP($A316,'The List'!$B1:$AS665,36,FALSE)," ")</f>
        <v xml:space="preserve"> </v>
      </c>
      <c r="K316" s="83" t="str">
        <f>IFERROR(VLOOKUP($A316,'The List'!$B1:$AS665,37,FALSE)," ")</f>
        <v xml:space="preserve"> </v>
      </c>
      <c r="L316" s="83" t="str">
        <f>IFERROR(VLOOKUP($A316,'The List'!$B1:$AS665,38,FALSE)," ")</f>
        <v xml:space="preserve"> </v>
      </c>
      <c r="M316" s="83" t="str">
        <f>IFERROR(VLOOKUP($A316,'The List'!$B1:$AS665,39,FALSE)," ")</f>
        <v xml:space="preserve"> </v>
      </c>
      <c r="N316" s="83" t="str">
        <f>IFERROR(VLOOKUP($A316,'The List'!$B1:$AS665,40,FALSE)," ")</f>
        <v xml:space="preserve"> </v>
      </c>
      <c r="O316" s="83" t="str">
        <f>IFERROR(VLOOKUP($A316,'The List'!$B1:$AS665,41,FALSE)," ")</f>
        <v xml:space="preserve"> </v>
      </c>
      <c r="P316" s="83" t="str">
        <f>IFERROR(VLOOKUP($A316,'The List'!$B1:$AS665,42,FALSE)," ")</f>
        <v xml:space="preserve"> </v>
      </c>
      <c r="Q316" s="83" t="str">
        <f>IFERROR(VLOOKUP($A316,'The List'!$B1:$AS665,43,FALSE)," ")</f>
        <v xml:space="preserve"> </v>
      </c>
      <c r="R316" s="86"/>
      <c r="S316" s="86"/>
      <c r="T316" s="86"/>
      <c r="U316" s="195"/>
      <c r="V316" s="195"/>
      <c r="W316" s="195"/>
      <c r="X316" s="195"/>
      <c r="Y316" s="195"/>
      <c r="Z316" s="195"/>
      <c r="AA316" s="86"/>
      <c r="AB316" s="86"/>
      <c r="AC316" s="86"/>
      <c r="AD316" s="86"/>
      <c r="AE316" s="86"/>
      <c r="AF316" s="86"/>
    </row>
    <row r="317" spans="1:32" ht="21.25" customHeight="1" x14ac:dyDescent="0.15">
      <c r="A317" s="104"/>
      <c r="B317" s="142" t="str">
        <f>IFERROR(VLOOKUP($A317,'The List'!$B1:$AS665,3,FALSE)," ")</f>
        <v xml:space="preserve"> </v>
      </c>
      <c r="C317" s="143" t="str">
        <f>IFERROR(VLOOKUP($A317,'The List'!$B1:$AS665,4,FALSE)," ")</f>
        <v xml:space="preserve"> </v>
      </c>
      <c r="D317" s="107" t="str">
        <f>IFERROR(VLOOKUP($A317,'The List'!$B1:$AS665,5,FALSE)," ")</f>
        <v xml:space="preserve"> </v>
      </c>
      <c r="E317" s="107" t="str">
        <f>IFERROR(VLOOKUP($A317,'The List'!$B1:$AS665,6,FALSE)," ")</f>
        <v xml:space="preserve"> </v>
      </c>
      <c r="F317" s="108" t="str">
        <f>IFERROR(VLOOKUP($A317,'The List'!$B1:$AS665,8,FALSE)," ")</f>
        <v xml:space="preserve"> </v>
      </c>
      <c r="G317" s="108" t="str">
        <f>IFERROR(VLOOKUP($A317,'The List'!$B1:$AS665,10,FALSE)," ")</f>
        <v xml:space="preserve"> </v>
      </c>
      <c r="H317" s="109"/>
      <c r="I317" s="110" t="str">
        <f>IFERROR(VLOOKUP($A317,'The List'!$B1:$AS665,35,FALSE)," ")</f>
        <v xml:space="preserve"> </v>
      </c>
      <c r="J317" s="110" t="str">
        <f>IFERROR(VLOOKUP($A317,'The List'!$B1:$AS665,36,FALSE)," ")</f>
        <v xml:space="preserve"> </v>
      </c>
      <c r="K317" s="110" t="str">
        <f>IFERROR(VLOOKUP($A317,'The List'!$B1:$AS665,37,FALSE)," ")</f>
        <v xml:space="preserve"> </v>
      </c>
      <c r="L317" s="110" t="str">
        <f>IFERROR(VLOOKUP($A317,'The List'!$B1:$AS665,38,FALSE)," ")</f>
        <v xml:space="preserve"> </v>
      </c>
      <c r="M317" s="110" t="str">
        <f>IFERROR(VLOOKUP($A317,'The List'!$B1:$AS665,39,FALSE)," ")</f>
        <v xml:space="preserve"> </v>
      </c>
      <c r="N317" s="110" t="str">
        <f>IFERROR(VLOOKUP($A317,'The List'!$B1:$AS665,40,FALSE)," ")</f>
        <v xml:space="preserve"> </v>
      </c>
      <c r="O317" s="110" t="str">
        <f>IFERROR(VLOOKUP($A317,'The List'!$B1:$AS665,41,FALSE)," ")</f>
        <v xml:space="preserve"> </v>
      </c>
      <c r="P317" s="110" t="str">
        <f>IFERROR(VLOOKUP($A317,'The List'!$B1:$AS665,42,FALSE)," ")</f>
        <v xml:space="preserve"> </v>
      </c>
      <c r="Q317" s="110" t="str">
        <f>IFERROR(VLOOKUP($A317,'The List'!$B1:$AS665,43,FALSE)," ")</f>
        <v xml:space="preserve"> </v>
      </c>
      <c r="R317" s="86"/>
      <c r="S317" s="86"/>
      <c r="T317" s="86"/>
      <c r="U317" s="195"/>
      <c r="V317" s="195"/>
      <c r="W317" s="195"/>
      <c r="X317" s="195"/>
      <c r="Y317" s="195"/>
      <c r="Z317" s="195"/>
      <c r="AA317" s="86"/>
      <c r="AB317" s="86"/>
      <c r="AC317" s="86"/>
      <c r="AD317" s="86"/>
      <c r="AE317" s="86"/>
      <c r="AF317" s="86"/>
    </row>
    <row r="318" spans="1:32" ht="21.25" customHeight="1" x14ac:dyDescent="0.15">
      <c r="A318" s="111"/>
      <c r="B318" s="112"/>
      <c r="C318" s="113"/>
      <c r="D318" s="114"/>
      <c r="E318" s="146" t="str">
        <f>IFERROR(AVERAGE(E315:E317)," ")</f>
        <v xml:space="preserve"> </v>
      </c>
      <c r="F318" s="116">
        <f>SUM(F315:F317)</f>
        <v>0</v>
      </c>
      <c r="G318" s="116">
        <f>SUM(G315:G317)</f>
        <v>0</v>
      </c>
      <c r="H318" s="117"/>
      <c r="I318" s="118">
        <f t="shared" ref="I318:O318" si="21">SUM(I315:I317)</f>
        <v>0</v>
      </c>
      <c r="J318" s="117">
        <f t="shared" si="21"/>
        <v>0</v>
      </c>
      <c r="K318" s="118">
        <f t="shared" si="21"/>
        <v>0</v>
      </c>
      <c r="L318" s="118">
        <f t="shared" si="21"/>
        <v>0</v>
      </c>
      <c r="M318" s="118">
        <f t="shared" si="21"/>
        <v>0</v>
      </c>
      <c r="N318" s="118">
        <f t="shared" si="21"/>
        <v>0</v>
      </c>
      <c r="O318" s="118">
        <f t="shared" si="21"/>
        <v>0</v>
      </c>
      <c r="P318" s="144" t="e">
        <f>1-(O318/(N318+O318))</f>
        <v>#DIV/0!</v>
      </c>
      <c r="Q318" s="145" t="e">
        <f>O318/I318</f>
        <v>#DIV/0!</v>
      </c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</row>
    <row r="319" spans="1:32" ht="70.75" customHeight="1" x14ac:dyDescent="0.15">
      <c r="A319" s="34"/>
      <c r="B319" s="121"/>
      <c r="C319" s="122"/>
      <c r="D319" s="12"/>
      <c r="E319" s="12"/>
      <c r="F319" s="123"/>
      <c r="G319" s="124"/>
      <c r="H319" s="125"/>
      <c r="I319" s="12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91"/>
      <c r="AB319" s="91"/>
      <c r="AC319" s="91"/>
      <c r="AD319" s="91"/>
      <c r="AE319" s="91"/>
      <c r="AF319" s="91"/>
    </row>
    <row r="320" spans="1:32" ht="21.25" customHeight="1" x14ac:dyDescent="0.15">
      <c r="A320" s="38" t="s">
        <v>804</v>
      </c>
      <c r="B320" s="204" t="s">
        <v>91</v>
      </c>
      <c r="C320" s="200"/>
      <c r="D320" s="39" t="s">
        <v>92</v>
      </c>
      <c r="E320" s="39" t="s">
        <v>93</v>
      </c>
      <c r="F320" s="41" t="s">
        <v>95</v>
      </c>
      <c r="G320" s="41" t="s">
        <v>97</v>
      </c>
      <c r="H320" s="42"/>
      <c r="I320" s="44" t="s">
        <v>102</v>
      </c>
      <c r="J320" s="44" t="s">
        <v>55</v>
      </c>
      <c r="K320" s="44" t="s">
        <v>103</v>
      </c>
      <c r="L320" s="44" t="s">
        <v>104</v>
      </c>
      <c r="M320" s="44" t="s">
        <v>105</v>
      </c>
      <c r="N320" s="44" t="s">
        <v>106</v>
      </c>
      <c r="O320" s="44" t="s">
        <v>107</v>
      </c>
      <c r="P320" s="44" t="s">
        <v>63</v>
      </c>
      <c r="Q320" s="44" t="s">
        <v>108</v>
      </c>
      <c r="R320" s="44" t="s">
        <v>109</v>
      </c>
      <c r="S320" s="44" t="s">
        <v>110</v>
      </c>
      <c r="T320" s="44" t="s">
        <v>111</v>
      </c>
      <c r="U320" s="44" t="s">
        <v>112</v>
      </c>
      <c r="V320" s="44" t="s">
        <v>113</v>
      </c>
      <c r="W320" s="44" t="s">
        <v>114</v>
      </c>
      <c r="X320" s="44" t="s">
        <v>115</v>
      </c>
      <c r="Y320" s="44" t="s">
        <v>116</v>
      </c>
      <c r="Z320" s="44" t="s">
        <v>117</v>
      </c>
      <c r="AA320" s="86"/>
      <c r="AB320" s="87"/>
      <c r="AC320" s="87"/>
      <c r="AD320" s="87"/>
      <c r="AE320" s="87"/>
      <c r="AF320" s="87"/>
    </row>
    <row r="321" spans="1:32" ht="21.25" customHeight="1" x14ac:dyDescent="0.15">
      <c r="A321" s="23"/>
      <c r="B321" s="88" t="str">
        <f>IFERROR(VLOOKUP($A321,'The List'!$B1:$AS665,3,FALSE)," ")</f>
        <v xml:space="preserve"> </v>
      </c>
      <c r="C321" s="92" t="str">
        <f>IFERROR(VLOOKUP($A321,'The List'!$B1:$AS665,4,FALSE)," ")</f>
        <v xml:space="preserve"> </v>
      </c>
      <c r="D321" s="65" t="str">
        <f>IFERROR(VLOOKUP($A321,'The List'!$B1:$AS665,5,FALSE)," ")</f>
        <v xml:space="preserve"> </v>
      </c>
      <c r="E321" s="65" t="str">
        <f>IFERROR(VLOOKUP($A321,'The List'!$B1:$AS665,6,FALSE)," ")</f>
        <v xml:space="preserve"> </v>
      </c>
      <c r="F321" s="93" t="str">
        <f>IFERROR(VLOOKUP($A321,'The List'!$B1:$AS665,8,FALSE)," ")</f>
        <v xml:space="preserve"> </v>
      </c>
      <c r="G321" s="93" t="str">
        <f>IFERROR(VLOOKUP($A321,'The List'!$B1:$AS665,10,FALSE)," ")</f>
        <v xml:space="preserve"> </v>
      </c>
      <c r="H321" s="54"/>
      <c r="I321" s="83" t="str">
        <f>IFERROR(VLOOKUP($A321,'The List'!$B1:$AS665,16,FALSE)," ")</f>
        <v xml:space="preserve"> </v>
      </c>
      <c r="J321" s="83" t="str">
        <f>IFERROR(VLOOKUP($A321,'The List'!$B1:$AS665,17,FALSE)," ")</f>
        <v xml:space="preserve"> </v>
      </c>
      <c r="K321" s="83" t="str">
        <f>IFERROR(VLOOKUP($A321,'The List'!$B1:$AS665,18,FALSE)," ")</f>
        <v xml:space="preserve"> </v>
      </c>
      <c r="L321" s="83" t="str">
        <f>IFERROR(VLOOKUP($A321,'The List'!$B1:$AS665,19,FALSE)," ")</f>
        <v xml:space="preserve"> </v>
      </c>
      <c r="M321" s="83" t="str">
        <f>IFERROR(VLOOKUP($A321,'The List'!$B1:$AS665,20,FALSE)," ")</f>
        <v xml:space="preserve"> </v>
      </c>
      <c r="N321" s="83" t="str">
        <f>IFERROR(VLOOKUP($A321,'The List'!$B1:$AS665,21,FALSE)," ")</f>
        <v xml:space="preserve"> </v>
      </c>
      <c r="O321" s="83" t="str">
        <f>IFERROR(VLOOKUP($A321,'The List'!$B1:$AS665,22,FALSE)," ")</f>
        <v xml:space="preserve"> </v>
      </c>
      <c r="P321" s="83" t="str">
        <f>IFERROR(VLOOKUP($A321,'The List'!$B1:$AS665,23,FALSE)," ")</f>
        <v xml:space="preserve"> </v>
      </c>
      <c r="Q321" s="83" t="str">
        <f>IFERROR(VLOOKUP($A321,'The List'!$B1:$AS665,24,FALSE)," ")</f>
        <v xml:space="preserve"> </v>
      </c>
      <c r="R321" s="83" t="str">
        <f>IFERROR(VLOOKUP($A321,'The List'!$B1:$AS665,25,FALSE)," ")</f>
        <v xml:space="preserve"> </v>
      </c>
      <c r="S321" s="83" t="str">
        <f>IFERROR(VLOOKUP($A321,'The List'!$B1:$AS665,26,FALSE)," ")</f>
        <v xml:space="preserve"> </v>
      </c>
      <c r="T321" s="83" t="str">
        <f>IFERROR(VLOOKUP($A321,'The List'!$B1:$AS665,27,FALSE)," ")</f>
        <v xml:space="preserve"> </v>
      </c>
      <c r="U321" s="83" t="str">
        <f>IFERROR(VLOOKUP($A321,'The List'!$B1:$AS665,28,FALSE)," ")</f>
        <v xml:space="preserve"> </v>
      </c>
      <c r="V321" s="83" t="str">
        <f>IFERROR(VLOOKUP($A321,'The List'!$B1:$AS665,29,FALSE)," ")</f>
        <v xml:space="preserve"> </v>
      </c>
      <c r="W321" s="83" t="str">
        <f>IFERROR(VLOOKUP($A321,'The List'!$B1:$AS665,30,FALSE)," ")</f>
        <v xml:space="preserve"> </v>
      </c>
      <c r="X321" s="83" t="str">
        <f>IFERROR(VLOOKUP($A321,'The List'!$B1:$AS665,31,FALSE)," ")</f>
        <v xml:space="preserve"> </v>
      </c>
      <c r="Y321" s="83" t="str">
        <f>IFERROR(VLOOKUP($A321,'The List'!$B1:$AS665,32,FALSE)," ")</f>
        <v xml:space="preserve"> </v>
      </c>
      <c r="Z321" s="83" t="str">
        <f>IFERROR(VLOOKUP($A321,'The List'!$B1:$AS665,33,FALSE)," ")</f>
        <v xml:space="preserve"> </v>
      </c>
      <c r="AA321" s="86"/>
      <c r="AB321" s="91"/>
      <c r="AC321" s="91"/>
      <c r="AD321" s="91"/>
      <c r="AE321" s="91"/>
      <c r="AF321" s="91"/>
    </row>
    <row r="322" spans="1:32" ht="21.25" customHeight="1" x14ac:dyDescent="0.15">
      <c r="A322" s="23"/>
      <c r="B322" s="88" t="str">
        <f>IFERROR(VLOOKUP($A322,'The List'!$B1:$AS665,3,FALSE)," ")</f>
        <v xml:space="preserve"> </v>
      </c>
      <c r="C322" s="92" t="str">
        <f>IFERROR(VLOOKUP($A322,'The List'!$B1:$AS665,4,FALSE)," ")</f>
        <v xml:space="preserve"> </v>
      </c>
      <c r="D322" s="65" t="str">
        <f>IFERROR(VLOOKUP($A322,'The List'!$B1:$AS665,5,FALSE)," ")</f>
        <v xml:space="preserve"> </v>
      </c>
      <c r="E322" s="65" t="str">
        <f>IFERROR(VLOOKUP($A322,'The List'!$B1:$AS665,6,FALSE)," ")</f>
        <v xml:space="preserve"> </v>
      </c>
      <c r="F322" s="93" t="str">
        <f>IFERROR(VLOOKUP($A322,'The List'!$B1:$AS665,8,FALSE)," ")</f>
        <v xml:space="preserve"> </v>
      </c>
      <c r="G322" s="93" t="str">
        <f>IFERROR(VLOOKUP($A322,'The List'!$B1:$AS665,10,FALSE)," ")</f>
        <v xml:space="preserve"> </v>
      </c>
      <c r="H322" s="54"/>
      <c r="I322" s="83" t="str">
        <f>IFERROR(VLOOKUP($A322,'The List'!$B1:$AS665,16,FALSE)," ")</f>
        <v xml:space="preserve"> </v>
      </c>
      <c r="J322" s="83" t="str">
        <f>IFERROR(VLOOKUP($A322,'The List'!$B1:$AS665,17,FALSE)," ")</f>
        <v xml:space="preserve"> </v>
      </c>
      <c r="K322" s="83" t="str">
        <f>IFERROR(VLOOKUP($A322,'The List'!$B1:$AS665,18,FALSE)," ")</f>
        <v xml:space="preserve"> </v>
      </c>
      <c r="L322" s="83" t="str">
        <f>IFERROR(VLOOKUP($A322,'The List'!$B1:$AS665,19,FALSE)," ")</f>
        <v xml:space="preserve"> </v>
      </c>
      <c r="M322" s="83" t="str">
        <f>IFERROR(VLOOKUP($A322,'The List'!$B1:$AS665,20,FALSE)," ")</f>
        <v xml:space="preserve"> </v>
      </c>
      <c r="N322" s="83" t="str">
        <f>IFERROR(VLOOKUP($A322,'The List'!$B1:$AS665,21,FALSE)," ")</f>
        <v xml:space="preserve"> </v>
      </c>
      <c r="O322" s="83" t="str">
        <f>IFERROR(VLOOKUP($A322,'The List'!$B1:$AS665,22,FALSE)," ")</f>
        <v xml:space="preserve"> </v>
      </c>
      <c r="P322" s="83" t="str">
        <f>IFERROR(VLOOKUP($A322,'The List'!$B1:$AS665,23,FALSE)," ")</f>
        <v xml:space="preserve"> </v>
      </c>
      <c r="Q322" s="83" t="str">
        <f>IFERROR(VLOOKUP($A322,'The List'!$B1:$AS665,24,FALSE)," ")</f>
        <v xml:space="preserve"> </v>
      </c>
      <c r="R322" s="83" t="str">
        <f>IFERROR(VLOOKUP($A322,'The List'!$B1:$AS665,25,FALSE)," ")</f>
        <v xml:space="preserve"> </v>
      </c>
      <c r="S322" s="83" t="str">
        <f>IFERROR(VLOOKUP($A322,'The List'!$B1:$AS665,26,FALSE)," ")</f>
        <v xml:space="preserve"> </v>
      </c>
      <c r="T322" s="83" t="str">
        <f>IFERROR(VLOOKUP($A322,'The List'!$B1:$AS665,27,FALSE)," ")</f>
        <v xml:space="preserve"> </v>
      </c>
      <c r="U322" s="83" t="str">
        <f>IFERROR(VLOOKUP($A322,'The List'!$B1:$AS665,28,FALSE)," ")</f>
        <v xml:space="preserve"> </v>
      </c>
      <c r="V322" s="83" t="str">
        <f>IFERROR(VLOOKUP($A322,'The List'!$B1:$AS665,29,FALSE)," ")</f>
        <v xml:space="preserve"> </v>
      </c>
      <c r="W322" s="83" t="str">
        <f>IFERROR(VLOOKUP($A322,'The List'!$B1:$AS665,30,FALSE)," ")</f>
        <v xml:space="preserve"> </v>
      </c>
      <c r="X322" s="83" t="str">
        <f>IFERROR(VLOOKUP($A322,'The List'!$B1:$AS665,31,FALSE)," ")</f>
        <v xml:space="preserve"> </v>
      </c>
      <c r="Y322" s="83" t="str">
        <f>IFERROR(VLOOKUP($A322,'The List'!$B1:$AS665,32,FALSE)," ")</f>
        <v xml:space="preserve"> </v>
      </c>
      <c r="Z322" s="83" t="str">
        <f>IFERROR(VLOOKUP($A322,'The List'!$B1:$AS665,33,FALSE)," ")</f>
        <v xml:space="preserve"> </v>
      </c>
      <c r="AA322" s="86"/>
      <c r="AB322" s="91"/>
      <c r="AC322" s="91"/>
      <c r="AD322" s="91"/>
      <c r="AE322" s="91"/>
      <c r="AF322" s="91"/>
    </row>
    <row r="323" spans="1:32" ht="21.25" customHeight="1" x14ac:dyDescent="0.15">
      <c r="A323" s="23"/>
      <c r="B323" s="88" t="str">
        <f>IFERROR(VLOOKUP($A323,'The List'!$B1:$AS665,3,FALSE)," ")</f>
        <v xml:space="preserve"> </v>
      </c>
      <c r="C323" s="92" t="str">
        <f>IFERROR(VLOOKUP($A323,'The List'!$B1:$AS665,4,FALSE)," ")</f>
        <v xml:space="preserve"> </v>
      </c>
      <c r="D323" s="65" t="str">
        <f>IFERROR(VLOOKUP($A323,'The List'!$B1:$AS665,5,FALSE)," ")</f>
        <v xml:space="preserve"> </v>
      </c>
      <c r="E323" s="65" t="str">
        <f>IFERROR(VLOOKUP($A323,'The List'!$B1:$AS665,6,FALSE)," ")</f>
        <v xml:space="preserve"> </v>
      </c>
      <c r="F323" s="93" t="str">
        <f>IFERROR(VLOOKUP($A323,'The List'!$B1:$AS665,8,FALSE)," ")</f>
        <v xml:space="preserve"> </v>
      </c>
      <c r="G323" s="93" t="str">
        <f>IFERROR(VLOOKUP($A323,'The List'!$B1:$AS665,10,FALSE)," ")</f>
        <v xml:space="preserve"> </v>
      </c>
      <c r="H323" s="54"/>
      <c r="I323" s="83" t="str">
        <f>IFERROR(VLOOKUP($A323,'The List'!$B1:$AS665,16,FALSE)," ")</f>
        <v xml:space="preserve"> </v>
      </c>
      <c r="J323" s="83" t="str">
        <f>IFERROR(VLOOKUP($A323,'The List'!$B1:$AS665,17,FALSE)," ")</f>
        <v xml:space="preserve"> </v>
      </c>
      <c r="K323" s="83" t="str">
        <f>IFERROR(VLOOKUP($A323,'The List'!$B1:$AS665,18,FALSE)," ")</f>
        <v xml:space="preserve"> </v>
      </c>
      <c r="L323" s="83" t="str">
        <f>IFERROR(VLOOKUP($A323,'The List'!$B1:$AS665,19,FALSE)," ")</f>
        <v xml:space="preserve"> </v>
      </c>
      <c r="M323" s="83" t="str">
        <f>IFERROR(VLOOKUP($A323,'The List'!$B1:$AS665,20,FALSE)," ")</f>
        <v xml:space="preserve"> </v>
      </c>
      <c r="N323" s="83" t="str">
        <f>IFERROR(VLOOKUP($A323,'The List'!$B1:$AS665,21,FALSE)," ")</f>
        <v xml:space="preserve"> </v>
      </c>
      <c r="O323" s="83" t="str">
        <f>IFERROR(VLOOKUP($A323,'The List'!$B1:$AS665,22,FALSE)," ")</f>
        <v xml:space="preserve"> </v>
      </c>
      <c r="P323" s="83" t="str">
        <f>IFERROR(VLOOKUP($A323,'The List'!$B1:$AS665,23,FALSE)," ")</f>
        <v xml:space="preserve"> </v>
      </c>
      <c r="Q323" s="83" t="str">
        <f>IFERROR(VLOOKUP($A323,'The List'!$B1:$AS665,24,FALSE)," ")</f>
        <v xml:space="preserve"> </v>
      </c>
      <c r="R323" s="83" t="str">
        <f>IFERROR(VLOOKUP($A323,'The List'!$B1:$AS665,25,FALSE)," ")</f>
        <v xml:space="preserve"> </v>
      </c>
      <c r="S323" s="83" t="str">
        <f>IFERROR(VLOOKUP($A323,'The List'!$B1:$AS665,26,FALSE)," ")</f>
        <v xml:space="preserve"> </v>
      </c>
      <c r="T323" s="83" t="str">
        <f>IFERROR(VLOOKUP($A323,'The List'!$B1:$AS665,27,FALSE)," ")</f>
        <v xml:space="preserve"> </v>
      </c>
      <c r="U323" s="83" t="str">
        <f>IFERROR(VLOOKUP($A323,'The List'!$B1:$AS665,28,FALSE)," ")</f>
        <v xml:space="preserve"> </v>
      </c>
      <c r="V323" s="83" t="str">
        <f>IFERROR(VLOOKUP($A323,'The List'!$B1:$AS665,29,FALSE)," ")</f>
        <v xml:space="preserve"> </v>
      </c>
      <c r="W323" s="83" t="str">
        <f>IFERROR(VLOOKUP($A323,'The List'!$B1:$AS665,30,FALSE)," ")</f>
        <v xml:space="preserve"> </v>
      </c>
      <c r="X323" s="83" t="str">
        <f>IFERROR(VLOOKUP($A323,'The List'!$B1:$AS665,31,FALSE)," ")</f>
        <v xml:space="preserve"> </v>
      </c>
      <c r="Y323" s="83" t="str">
        <f>IFERROR(VLOOKUP($A323,'The List'!$B1:$AS665,32,FALSE)," ")</f>
        <v xml:space="preserve"> </v>
      </c>
      <c r="Z323" s="83" t="str">
        <f>IFERROR(VLOOKUP($A323,'The List'!$B1:$AS665,33,FALSE)," ")</f>
        <v xml:space="preserve"> </v>
      </c>
      <c r="AA323" s="86"/>
      <c r="AB323" s="91"/>
      <c r="AC323" s="91"/>
      <c r="AD323" s="91"/>
      <c r="AE323" s="91"/>
      <c r="AF323" s="91"/>
    </row>
    <row r="324" spans="1:32" ht="21.25" customHeight="1" x14ac:dyDescent="0.15">
      <c r="A324" s="23"/>
      <c r="B324" s="88" t="str">
        <f>IFERROR(VLOOKUP($A324,'The List'!$B1:$AS665,3,FALSE)," ")</f>
        <v xml:space="preserve"> </v>
      </c>
      <c r="C324" s="92" t="str">
        <f>IFERROR(VLOOKUP($A324,'The List'!$B1:$AS665,4,FALSE)," ")</f>
        <v xml:space="preserve"> </v>
      </c>
      <c r="D324" s="65" t="str">
        <f>IFERROR(VLOOKUP($A324,'The List'!$B1:$AS665,5,FALSE)," ")</f>
        <v xml:space="preserve"> </v>
      </c>
      <c r="E324" s="65" t="str">
        <f>IFERROR(VLOOKUP($A324,'The List'!$B1:$AS665,6,FALSE)," ")</f>
        <v xml:space="preserve"> </v>
      </c>
      <c r="F324" s="93" t="str">
        <f>IFERROR(VLOOKUP($A324,'The List'!$B1:$AS665,8,FALSE)," ")</f>
        <v xml:space="preserve"> </v>
      </c>
      <c r="G324" s="93" t="str">
        <f>IFERROR(VLOOKUP($A324,'The List'!$B1:$AS665,10,FALSE)," ")</f>
        <v xml:space="preserve"> </v>
      </c>
      <c r="H324" s="54"/>
      <c r="I324" s="83" t="str">
        <f>IFERROR(VLOOKUP($A324,'The List'!$B1:$AS665,16,FALSE)," ")</f>
        <v xml:space="preserve"> </v>
      </c>
      <c r="J324" s="83" t="str">
        <f>IFERROR(VLOOKUP($A324,'The List'!$B1:$AS665,17,FALSE)," ")</f>
        <v xml:space="preserve"> </v>
      </c>
      <c r="K324" s="83" t="str">
        <f>IFERROR(VLOOKUP($A324,'The List'!$B1:$AS665,18,FALSE)," ")</f>
        <v xml:space="preserve"> </v>
      </c>
      <c r="L324" s="83" t="str">
        <f>IFERROR(VLOOKUP($A324,'The List'!$B1:$AS665,19,FALSE)," ")</f>
        <v xml:space="preserve"> </v>
      </c>
      <c r="M324" s="83" t="str">
        <f>IFERROR(VLOOKUP($A324,'The List'!$B1:$AS665,20,FALSE)," ")</f>
        <v xml:space="preserve"> </v>
      </c>
      <c r="N324" s="83" t="str">
        <f>IFERROR(VLOOKUP($A324,'The List'!$B1:$AS665,21,FALSE)," ")</f>
        <v xml:space="preserve"> </v>
      </c>
      <c r="O324" s="83" t="str">
        <f>IFERROR(VLOOKUP($A324,'The List'!$B1:$AS665,22,FALSE)," ")</f>
        <v xml:space="preserve"> </v>
      </c>
      <c r="P324" s="83" t="str">
        <f>IFERROR(VLOOKUP($A324,'The List'!$B1:$AS665,23,FALSE)," ")</f>
        <v xml:space="preserve"> </v>
      </c>
      <c r="Q324" s="83" t="str">
        <f>IFERROR(VLOOKUP($A324,'The List'!$B1:$AS665,24,FALSE)," ")</f>
        <v xml:space="preserve"> </v>
      </c>
      <c r="R324" s="83" t="str">
        <f>IFERROR(VLOOKUP($A324,'The List'!$B1:$AS665,25,FALSE)," ")</f>
        <v xml:space="preserve"> </v>
      </c>
      <c r="S324" s="83" t="str">
        <f>IFERROR(VLOOKUP($A324,'The List'!$B1:$AS665,26,FALSE)," ")</f>
        <v xml:space="preserve"> </v>
      </c>
      <c r="T324" s="83" t="str">
        <f>IFERROR(VLOOKUP($A324,'The List'!$B1:$AS665,27,FALSE)," ")</f>
        <v xml:space="preserve"> </v>
      </c>
      <c r="U324" s="83" t="str">
        <f>IFERROR(VLOOKUP($A324,'The List'!$B1:$AS665,28,FALSE)," ")</f>
        <v xml:space="preserve"> </v>
      </c>
      <c r="V324" s="83" t="str">
        <f>IFERROR(VLOOKUP($A324,'The List'!$B1:$AS665,29,FALSE)," ")</f>
        <v xml:space="preserve"> </v>
      </c>
      <c r="W324" s="83" t="str">
        <f>IFERROR(VLOOKUP($A324,'The List'!$B1:$AS665,30,FALSE)," ")</f>
        <v xml:space="preserve"> </v>
      </c>
      <c r="X324" s="83" t="str">
        <f>IFERROR(VLOOKUP($A324,'The List'!$B1:$AS665,31,FALSE)," ")</f>
        <v xml:space="preserve"> </v>
      </c>
      <c r="Y324" s="83" t="str">
        <f>IFERROR(VLOOKUP($A324,'The List'!$B1:$AS665,32,FALSE)," ")</f>
        <v xml:space="preserve"> </v>
      </c>
      <c r="Z324" s="83" t="str">
        <f>IFERROR(VLOOKUP($A324,'The List'!$B1:$AS665,33,FALSE)," ")</f>
        <v xml:space="preserve"> </v>
      </c>
      <c r="AA324" s="86"/>
      <c r="AB324" s="91"/>
      <c r="AC324" s="91"/>
      <c r="AD324" s="91"/>
      <c r="AE324" s="91"/>
      <c r="AF324" s="91"/>
    </row>
    <row r="325" spans="1:32" ht="21.25" customHeight="1" x14ac:dyDescent="0.15">
      <c r="A325" s="23"/>
      <c r="B325" s="94" t="str">
        <f>IFERROR(VLOOKUP($A325,'The List'!$B1:$AS665,3,FALSE)," ")</f>
        <v xml:space="preserve"> </v>
      </c>
      <c r="C325" s="96" t="str">
        <f>IFERROR(VLOOKUP($A325,'The List'!$B1:$AS665,4,FALSE)," ")</f>
        <v xml:space="preserve"> </v>
      </c>
      <c r="D325" s="65" t="str">
        <f>IFERROR(VLOOKUP($A325,'The List'!$B1:$AS665,5,FALSE)," ")</f>
        <v xml:space="preserve"> </v>
      </c>
      <c r="E325" s="65" t="str">
        <f>IFERROR(VLOOKUP($A325,'The List'!$B1:$AS665,6,FALSE)," ")</f>
        <v xml:space="preserve"> </v>
      </c>
      <c r="F325" s="93" t="str">
        <f>IFERROR(VLOOKUP($A325,'The List'!$B1:$AS665,8,FALSE)," ")</f>
        <v xml:space="preserve"> </v>
      </c>
      <c r="G325" s="93" t="str">
        <f>IFERROR(VLOOKUP($A325,'The List'!$B1:$AS665,10,FALSE)," ")</f>
        <v xml:space="preserve"> </v>
      </c>
      <c r="H325" s="54"/>
      <c r="I325" s="83" t="str">
        <f>IFERROR(VLOOKUP($A325,'The List'!$B1:$AS665,16,FALSE)," ")</f>
        <v xml:space="preserve"> </v>
      </c>
      <c r="J325" s="83" t="str">
        <f>IFERROR(VLOOKUP($A325,'The List'!$B1:$AS665,17,FALSE)," ")</f>
        <v xml:space="preserve"> </v>
      </c>
      <c r="K325" s="83" t="str">
        <f>IFERROR(VLOOKUP($A325,'The List'!$B1:$AS665,18,FALSE)," ")</f>
        <v xml:space="preserve"> </v>
      </c>
      <c r="L325" s="83" t="str">
        <f>IFERROR(VLOOKUP($A325,'The List'!$B1:$AS665,19,FALSE)," ")</f>
        <v xml:space="preserve"> </v>
      </c>
      <c r="M325" s="83" t="str">
        <f>IFERROR(VLOOKUP($A325,'The List'!$B1:$AS665,20,FALSE)," ")</f>
        <v xml:space="preserve"> </v>
      </c>
      <c r="N325" s="83" t="str">
        <f>IFERROR(VLOOKUP($A325,'The List'!$B1:$AS665,21,FALSE)," ")</f>
        <v xml:space="preserve"> </v>
      </c>
      <c r="O325" s="83" t="str">
        <f>IFERROR(VLOOKUP($A325,'The List'!$B1:$AS665,22,FALSE)," ")</f>
        <v xml:space="preserve"> </v>
      </c>
      <c r="P325" s="83" t="str">
        <f>IFERROR(VLOOKUP($A325,'The List'!$B1:$AS665,23,FALSE)," ")</f>
        <v xml:space="preserve"> </v>
      </c>
      <c r="Q325" s="83" t="str">
        <f>IFERROR(VLOOKUP($A325,'The List'!$B1:$AS665,24,FALSE)," ")</f>
        <v xml:space="preserve"> </v>
      </c>
      <c r="R325" s="83" t="str">
        <f>IFERROR(VLOOKUP($A325,'The List'!$B1:$AS665,25,FALSE)," ")</f>
        <v xml:space="preserve"> </v>
      </c>
      <c r="S325" s="83" t="str">
        <f>IFERROR(VLOOKUP($A325,'The List'!$B1:$AS665,26,FALSE)," ")</f>
        <v xml:space="preserve"> </v>
      </c>
      <c r="T325" s="83" t="str">
        <f>IFERROR(VLOOKUP($A325,'The List'!$B1:$AS665,27,FALSE)," ")</f>
        <v xml:space="preserve"> </v>
      </c>
      <c r="U325" s="83" t="str">
        <f>IFERROR(VLOOKUP($A325,'The List'!$B1:$AS665,28,FALSE)," ")</f>
        <v xml:space="preserve"> </v>
      </c>
      <c r="V325" s="83" t="str">
        <f>IFERROR(VLOOKUP($A325,'The List'!$B1:$AS665,29,FALSE)," ")</f>
        <v xml:space="preserve"> </v>
      </c>
      <c r="W325" s="83" t="str">
        <f>IFERROR(VLOOKUP($A325,'The List'!$B1:$AS665,30,FALSE)," ")</f>
        <v xml:space="preserve"> </v>
      </c>
      <c r="X325" s="83" t="str">
        <f>IFERROR(VLOOKUP($A325,'The List'!$B1:$AS665,31,FALSE)," ")</f>
        <v xml:space="preserve"> </v>
      </c>
      <c r="Y325" s="83" t="str">
        <f>IFERROR(VLOOKUP($A325,'The List'!$B1:$AS665,32,FALSE)," ")</f>
        <v xml:space="preserve"> </v>
      </c>
      <c r="Z325" s="83" t="str">
        <f>IFERROR(VLOOKUP($A325,'The List'!$B1:$AS665,33,FALSE)," ")</f>
        <v xml:space="preserve"> </v>
      </c>
      <c r="AA325" s="86"/>
      <c r="AB325" s="91"/>
      <c r="AC325" s="91"/>
      <c r="AD325" s="91"/>
      <c r="AE325" s="91"/>
      <c r="AF325" s="91"/>
    </row>
    <row r="326" spans="1:32" ht="21.25" customHeight="1" x14ac:dyDescent="0.15">
      <c r="A326" s="23"/>
      <c r="B326" s="94" t="str">
        <f>IFERROR(VLOOKUP($A326,'The List'!$B1:$AS665,3,FALSE)," ")</f>
        <v xml:space="preserve"> </v>
      </c>
      <c r="C326" s="96" t="str">
        <f>IFERROR(VLOOKUP($A326,'The List'!$B1:$AS665,4,FALSE)," ")</f>
        <v xml:space="preserve"> </v>
      </c>
      <c r="D326" s="65" t="str">
        <f>IFERROR(VLOOKUP($A326,'The List'!$B1:$AS665,5,FALSE)," ")</f>
        <v xml:space="preserve"> </v>
      </c>
      <c r="E326" s="65" t="str">
        <f>IFERROR(VLOOKUP($A326,'The List'!$B1:$AS665,6,FALSE)," ")</f>
        <v xml:space="preserve"> </v>
      </c>
      <c r="F326" s="93" t="str">
        <f>IFERROR(VLOOKUP($A326,'The List'!$B1:$AS665,8,FALSE)," ")</f>
        <v xml:space="preserve"> </v>
      </c>
      <c r="G326" s="93" t="str">
        <f>IFERROR(VLOOKUP($A326,'The List'!$B1:$AS665,10,FALSE)," ")</f>
        <v xml:space="preserve"> </v>
      </c>
      <c r="H326" s="54"/>
      <c r="I326" s="83" t="str">
        <f>IFERROR(VLOOKUP($A326,'The List'!$B1:$AS665,16,FALSE)," ")</f>
        <v xml:space="preserve"> </v>
      </c>
      <c r="J326" s="83" t="str">
        <f>IFERROR(VLOOKUP($A326,'The List'!$B1:$AS665,17,FALSE)," ")</f>
        <v xml:space="preserve"> </v>
      </c>
      <c r="K326" s="83" t="str">
        <f>IFERROR(VLOOKUP($A326,'The List'!$B1:$AS665,18,FALSE)," ")</f>
        <v xml:space="preserve"> </v>
      </c>
      <c r="L326" s="83" t="str">
        <f>IFERROR(VLOOKUP($A326,'The List'!$B1:$AS665,19,FALSE)," ")</f>
        <v xml:space="preserve"> </v>
      </c>
      <c r="M326" s="83" t="str">
        <f>IFERROR(VLOOKUP($A326,'The List'!$B1:$AS665,20,FALSE)," ")</f>
        <v xml:space="preserve"> </v>
      </c>
      <c r="N326" s="83" t="str">
        <f>IFERROR(VLOOKUP($A326,'The List'!$B1:$AS665,21,FALSE)," ")</f>
        <v xml:space="preserve"> </v>
      </c>
      <c r="O326" s="83" t="str">
        <f>IFERROR(VLOOKUP($A326,'The List'!$B1:$AS665,22,FALSE)," ")</f>
        <v xml:space="preserve"> </v>
      </c>
      <c r="P326" s="83" t="str">
        <f>IFERROR(VLOOKUP($A326,'The List'!$B1:$AS665,23,FALSE)," ")</f>
        <v xml:space="preserve"> </v>
      </c>
      <c r="Q326" s="83" t="str">
        <f>IFERROR(VLOOKUP($A326,'The List'!$B1:$AS665,24,FALSE)," ")</f>
        <v xml:space="preserve"> </v>
      </c>
      <c r="R326" s="83" t="str">
        <f>IFERROR(VLOOKUP($A326,'The List'!$B1:$AS665,25,FALSE)," ")</f>
        <v xml:space="preserve"> </v>
      </c>
      <c r="S326" s="83" t="str">
        <f>IFERROR(VLOOKUP($A326,'The List'!$B1:$AS665,26,FALSE)," ")</f>
        <v xml:space="preserve"> </v>
      </c>
      <c r="T326" s="83" t="str">
        <f>IFERROR(VLOOKUP($A326,'The List'!$B1:$AS665,27,FALSE)," ")</f>
        <v xml:space="preserve"> </v>
      </c>
      <c r="U326" s="83" t="str">
        <f>IFERROR(VLOOKUP($A326,'The List'!$B1:$AS665,28,FALSE)," ")</f>
        <v xml:space="preserve"> </v>
      </c>
      <c r="V326" s="83" t="str">
        <f>IFERROR(VLOOKUP($A326,'The List'!$B1:$AS665,29,FALSE)," ")</f>
        <v xml:space="preserve"> </v>
      </c>
      <c r="W326" s="83" t="str">
        <f>IFERROR(VLOOKUP($A326,'The List'!$B1:$AS665,30,FALSE)," ")</f>
        <v xml:space="preserve"> </v>
      </c>
      <c r="X326" s="83" t="str">
        <f>IFERROR(VLOOKUP($A326,'The List'!$B1:$AS665,31,FALSE)," ")</f>
        <v xml:space="preserve"> </v>
      </c>
      <c r="Y326" s="83" t="str">
        <f>IFERROR(VLOOKUP($A326,'The List'!$B1:$AS665,32,FALSE)," ")</f>
        <v xml:space="preserve"> </v>
      </c>
      <c r="Z326" s="83" t="str">
        <f>IFERROR(VLOOKUP($A326,'The List'!$B1:$AS665,33,FALSE)," ")</f>
        <v xml:space="preserve"> </v>
      </c>
      <c r="AA326" s="86"/>
      <c r="AB326" s="91"/>
      <c r="AC326" s="91"/>
      <c r="AD326" s="91"/>
      <c r="AE326" s="91"/>
      <c r="AF326" s="91"/>
    </row>
    <row r="327" spans="1:32" ht="21.25" customHeight="1" x14ac:dyDescent="0.15">
      <c r="A327" s="23"/>
      <c r="B327" s="94" t="str">
        <f>IFERROR(VLOOKUP($A327,'The List'!$B1:$AS665,3,FALSE)," ")</f>
        <v xml:space="preserve"> </v>
      </c>
      <c r="C327" s="96" t="str">
        <f>IFERROR(VLOOKUP($A327,'The List'!$B1:$AS665,4,FALSE)," ")</f>
        <v xml:space="preserve"> </v>
      </c>
      <c r="D327" s="65" t="str">
        <f>IFERROR(VLOOKUP($A327,'The List'!$B1:$AS665,5,FALSE)," ")</f>
        <v xml:space="preserve"> </v>
      </c>
      <c r="E327" s="65" t="str">
        <f>IFERROR(VLOOKUP($A327,'The List'!$B1:$AS665,6,FALSE)," ")</f>
        <v xml:space="preserve"> </v>
      </c>
      <c r="F327" s="93" t="str">
        <f>IFERROR(VLOOKUP($A327,'The List'!$B1:$AS665,8,FALSE)," ")</f>
        <v xml:space="preserve"> </v>
      </c>
      <c r="G327" s="93" t="str">
        <f>IFERROR(VLOOKUP($A327,'The List'!$B1:$AS665,10,FALSE)," ")</f>
        <v xml:space="preserve"> </v>
      </c>
      <c r="H327" s="54"/>
      <c r="I327" s="83" t="str">
        <f>IFERROR(VLOOKUP($A327,'The List'!$B1:$AS665,16,FALSE)," ")</f>
        <v xml:space="preserve"> </v>
      </c>
      <c r="J327" s="83" t="str">
        <f>IFERROR(VLOOKUP($A327,'The List'!$B1:$AS665,17,FALSE)," ")</f>
        <v xml:space="preserve"> </v>
      </c>
      <c r="K327" s="83" t="str">
        <f>IFERROR(VLOOKUP($A327,'The List'!$B1:$AS665,18,FALSE)," ")</f>
        <v xml:space="preserve"> </v>
      </c>
      <c r="L327" s="83" t="str">
        <f>IFERROR(VLOOKUP($A327,'The List'!$B1:$AS665,19,FALSE)," ")</f>
        <v xml:space="preserve"> </v>
      </c>
      <c r="M327" s="83" t="str">
        <f>IFERROR(VLOOKUP($A327,'The List'!$B1:$AS665,20,FALSE)," ")</f>
        <v xml:space="preserve"> </v>
      </c>
      <c r="N327" s="83" t="str">
        <f>IFERROR(VLOOKUP($A327,'The List'!$B1:$AS665,21,FALSE)," ")</f>
        <v xml:space="preserve"> </v>
      </c>
      <c r="O327" s="83" t="str">
        <f>IFERROR(VLOOKUP($A327,'The List'!$B1:$AS665,22,FALSE)," ")</f>
        <v xml:space="preserve"> </v>
      </c>
      <c r="P327" s="83" t="str">
        <f>IFERROR(VLOOKUP($A327,'The List'!$B1:$AS665,23,FALSE)," ")</f>
        <v xml:space="preserve"> </v>
      </c>
      <c r="Q327" s="83" t="str">
        <f>IFERROR(VLOOKUP($A327,'The List'!$B1:$AS665,24,FALSE)," ")</f>
        <v xml:space="preserve"> </v>
      </c>
      <c r="R327" s="83" t="str">
        <f>IFERROR(VLOOKUP($A327,'The List'!$B1:$AS665,25,FALSE)," ")</f>
        <v xml:space="preserve"> </v>
      </c>
      <c r="S327" s="83" t="str">
        <f>IFERROR(VLOOKUP($A327,'The List'!$B1:$AS665,26,FALSE)," ")</f>
        <v xml:space="preserve"> </v>
      </c>
      <c r="T327" s="83" t="str">
        <f>IFERROR(VLOOKUP($A327,'The List'!$B1:$AS665,27,FALSE)," ")</f>
        <v xml:space="preserve"> </v>
      </c>
      <c r="U327" s="83" t="str">
        <f>IFERROR(VLOOKUP($A327,'The List'!$B1:$AS665,28,FALSE)," ")</f>
        <v xml:space="preserve"> </v>
      </c>
      <c r="V327" s="83" t="str">
        <f>IFERROR(VLOOKUP($A327,'The List'!$B1:$AS665,29,FALSE)," ")</f>
        <v xml:space="preserve"> </v>
      </c>
      <c r="W327" s="83" t="str">
        <f>IFERROR(VLOOKUP($A327,'The List'!$B1:$AS665,30,FALSE)," ")</f>
        <v xml:space="preserve"> </v>
      </c>
      <c r="X327" s="83" t="str">
        <f>IFERROR(VLOOKUP($A327,'The List'!$B1:$AS665,31,FALSE)," ")</f>
        <v xml:space="preserve"> </v>
      </c>
      <c r="Y327" s="83" t="str">
        <f>IFERROR(VLOOKUP($A327,'The List'!$B1:$AS665,32,FALSE)," ")</f>
        <v xml:space="preserve"> </v>
      </c>
      <c r="Z327" s="83" t="str">
        <f>IFERROR(VLOOKUP($A327,'The List'!$B1:$AS665,33,FALSE)," ")</f>
        <v xml:space="preserve"> </v>
      </c>
      <c r="AA327" s="86"/>
      <c r="AB327" s="91"/>
      <c r="AC327" s="91"/>
      <c r="AD327" s="91"/>
      <c r="AE327" s="91"/>
      <c r="AF327" s="91"/>
    </row>
    <row r="328" spans="1:32" ht="21.25" customHeight="1" x14ac:dyDescent="0.15">
      <c r="A328" s="23"/>
      <c r="B328" s="94" t="str">
        <f>IFERROR(VLOOKUP($A328,'The List'!$B1:$AS665,3,FALSE)," ")</f>
        <v xml:space="preserve"> </v>
      </c>
      <c r="C328" s="96" t="str">
        <f>IFERROR(VLOOKUP($A328,'The List'!$B1:$AS665,4,FALSE)," ")</f>
        <v xml:space="preserve"> </v>
      </c>
      <c r="D328" s="65" t="str">
        <f>IFERROR(VLOOKUP($A328,'The List'!$B1:$AS665,5,FALSE)," ")</f>
        <v xml:space="preserve"> </v>
      </c>
      <c r="E328" s="65" t="str">
        <f>IFERROR(VLOOKUP($A328,'The List'!$B1:$AS665,6,FALSE)," ")</f>
        <v xml:space="preserve"> </v>
      </c>
      <c r="F328" s="93" t="str">
        <f>IFERROR(VLOOKUP($A328,'The List'!$B1:$AS665,8,FALSE)," ")</f>
        <v xml:space="preserve"> </v>
      </c>
      <c r="G328" s="93" t="str">
        <f>IFERROR(VLOOKUP($A328,'The List'!$B1:$AS665,10,FALSE)," ")</f>
        <v xml:space="preserve"> </v>
      </c>
      <c r="H328" s="54"/>
      <c r="I328" s="83" t="str">
        <f>IFERROR(VLOOKUP($A328,'The List'!$B1:$AS665,16,FALSE)," ")</f>
        <v xml:space="preserve"> </v>
      </c>
      <c r="J328" s="83" t="str">
        <f>IFERROR(VLOOKUP($A328,'The List'!$B1:$AS665,17,FALSE)," ")</f>
        <v xml:space="preserve"> </v>
      </c>
      <c r="K328" s="83" t="str">
        <f>IFERROR(VLOOKUP($A328,'The List'!$B1:$AS665,18,FALSE)," ")</f>
        <v xml:space="preserve"> </v>
      </c>
      <c r="L328" s="83" t="str">
        <f>IFERROR(VLOOKUP($A328,'The List'!$B1:$AS665,19,FALSE)," ")</f>
        <v xml:space="preserve"> </v>
      </c>
      <c r="M328" s="83" t="str">
        <f>IFERROR(VLOOKUP($A328,'The List'!$B1:$AS665,20,FALSE)," ")</f>
        <v xml:space="preserve"> </v>
      </c>
      <c r="N328" s="83" t="str">
        <f>IFERROR(VLOOKUP($A328,'The List'!$B1:$AS665,21,FALSE)," ")</f>
        <v xml:space="preserve"> </v>
      </c>
      <c r="O328" s="83" t="str">
        <f>IFERROR(VLOOKUP($A328,'The List'!$B1:$AS665,22,FALSE)," ")</f>
        <v xml:space="preserve"> </v>
      </c>
      <c r="P328" s="83" t="str">
        <f>IFERROR(VLOOKUP($A328,'The List'!$B1:$AS665,23,FALSE)," ")</f>
        <v xml:space="preserve"> </v>
      </c>
      <c r="Q328" s="83" t="str">
        <f>IFERROR(VLOOKUP($A328,'The List'!$B1:$AS665,24,FALSE)," ")</f>
        <v xml:space="preserve"> </v>
      </c>
      <c r="R328" s="83" t="str">
        <f>IFERROR(VLOOKUP($A328,'The List'!$B1:$AS665,25,FALSE)," ")</f>
        <v xml:space="preserve"> </v>
      </c>
      <c r="S328" s="83" t="str">
        <f>IFERROR(VLOOKUP($A328,'The List'!$B1:$AS665,26,FALSE)," ")</f>
        <v xml:space="preserve"> </v>
      </c>
      <c r="T328" s="83" t="str">
        <f>IFERROR(VLOOKUP($A328,'The List'!$B1:$AS665,27,FALSE)," ")</f>
        <v xml:space="preserve"> </v>
      </c>
      <c r="U328" s="83" t="str">
        <f>IFERROR(VLOOKUP($A328,'The List'!$B1:$AS665,28,FALSE)," ")</f>
        <v xml:space="preserve"> </v>
      </c>
      <c r="V328" s="83" t="str">
        <f>IFERROR(VLOOKUP($A328,'The List'!$B1:$AS665,29,FALSE)," ")</f>
        <v xml:space="preserve"> </v>
      </c>
      <c r="W328" s="83" t="str">
        <f>IFERROR(VLOOKUP($A328,'The List'!$B1:$AS665,30,FALSE)," ")</f>
        <v xml:space="preserve"> </v>
      </c>
      <c r="X328" s="83" t="str">
        <f>IFERROR(VLOOKUP($A328,'The List'!$B1:$AS665,31,FALSE)," ")</f>
        <v xml:space="preserve"> </v>
      </c>
      <c r="Y328" s="83" t="str">
        <f>IFERROR(VLOOKUP($A328,'The List'!$B1:$AS665,32,FALSE)," ")</f>
        <v xml:space="preserve"> </v>
      </c>
      <c r="Z328" s="83" t="str">
        <f>IFERROR(VLOOKUP($A328,'The List'!$B1:$AS665,33,FALSE)," ")</f>
        <v xml:space="preserve"> </v>
      </c>
      <c r="AA328" s="86"/>
      <c r="AB328" s="91"/>
      <c r="AC328" s="91"/>
      <c r="AD328" s="91"/>
      <c r="AE328" s="91"/>
      <c r="AF328" s="91"/>
    </row>
    <row r="329" spans="1:32" ht="21.25" customHeight="1" x14ac:dyDescent="0.15">
      <c r="A329" s="23"/>
      <c r="B329" s="97" t="str">
        <f>IFERROR(VLOOKUP($A329,'The List'!$B1:$AS665,3,FALSE)," ")</f>
        <v xml:space="preserve"> </v>
      </c>
      <c r="C329" s="99" t="str">
        <f>IFERROR(VLOOKUP($A329,'The List'!$B1:$AS665,4,FALSE)," ")</f>
        <v xml:space="preserve"> </v>
      </c>
      <c r="D329" s="65" t="str">
        <f>IFERROR(VLOOKUP($A329,'The List'!$B1:$AS665,5,FALSE)," ")</f>
        <v xml:space="preserve"> </v>
      </c>
      <c r="E329" s="65" t="str">
        <f>IFERROR(VLOOKUP($A329,'The List'!$B1:$AS665,6,FALSE)," ")</f>
        <v xml:space="preserve"> </v>
      </c>
      <c r="F329" s="93" t="str">
        <f>IFERROR(VLOOKUP($A329,'The List'!$B1:$AS665,8,FALSE)," ")</f>
        <v xml:space="preserve"> </v>
      </c>
      <c r="G329" s="93" t="str">
        <f>IFERROR(VLOOKUP($A329,'The List'!$B1:$AS665,10,FALSE)," ")</f>
        <v xml:space="preserve"> </v>
      </c>
      <c r="H329" s="54"/>
      <c r="I329" s="83" t="str">
        <f>IFERROR(VLOOKUP($A329,'The List'!$B1:$AS665,16,FALSE)," ")</f>
        <v xml:space="preserve"> </v>
      </c>
      <c r="J329" s="83" t="str">
        <f>IFERROR(VLOOKUP($A329,'The List'!$B1:$AS665,17,FALSE)," ")</f>
        <v xml:space="preserve"> </v>
      </c>
      <c r="K329" s="83" t="str">
        <f>IFERROR(VLOOKUP($A329,'The List'!$B1:$AS665,18,FALSE)," ")</f>
        <v xml:space="preserve"> </v>
      </c>
      <c r="L329" s="83" t="str">
        <f>IFERROR(VLOOKUP($A329,'The List'!$B1:$AS665,19,FALSE)," ")</f>
        <v xml:space="preserve"> </v>
      </c>
      <c r="M329" s="83" t="str">
        <f>IFERROR(VLOOKUP($A329,'The List'!$B1:$AS665,20,FALSE)," ")</f>
        <v xml:space="preserve"> </v>
      </c>
      <c r="N329" s="83" t="str">
        <f>IFERROR(VLOOKUP($A329,'The List'!$B1:$AS665,21,FALSE)," ")</f>
        <v xml:space="preserve"> </v>
      </c>
      <c r="O329" s="83" t="str">
        <f>IFERROR(VLOOKUP($A329,'The List'!$B1:$AS665,22,FALSE)," ")</f>
        <v xml:space="preserve"> </v>
      </c>
      <c r="P329" s="83" t="str">
        <f>IFERROR(VLOOKUP($A329,'The List'!$B1:$AS665,23,FALSE)," ")</f>
        <v xml:space="preserve"> </v>
      </c>
      <c r="Q329" s="83" t="str">
        <f>IFERROR(VLOOKUP($A329,'The List'!$B1:$AS665,24,FALSE)," ")</f>
        <v xml:space="preserve"> </v>
      </c>
      <c r="R329" s="83" t="str">
        <f>IFERROR(VLOOKUP($A329,'The List'!$B1:$AS665,25,FALSE)," ")</f>
        <v xml:space="preserve"> </v>
      </c>
      <c r="S329" s="83" t="str">
        <f>IFERROR(VLOOKUP($A329,'The List'!$B1:$AS665,26,FALSE)," ")</f>
        <v xml:space="preserve"> </v>
      </c>
      <c r="T329" s="83" t="str">
        <f>IFERROR(VLOOKUP($A329,'The List'!$B1:$AS665,27,FALSE)," ")</f>
        <v xml:space="preserve"> </v>
      </c>
      <c r="U329" s="83" t="str">
        <f>IFERROR(VLOOKUP($A329,'The List'!$B1:$AS665,28,FALSE)," ")</f>
        <v xml:space="preserve"> </v>
      </c>
      <c r="V329" s="83" t="str">
        <f>IFERROR(VLOOKUP($A329,'The List'!$B1:$AS665,29,FALSE)," ")</f>
        <v xml:space="preserve"> </v>
      </c>
      <c r="W329" s="83" t="str">
        <f>IFERROR(VLOOKUP($A329,'The List'!$B1:$AS665,30,FALSE)," ")</f>
        <v xml:space="preserve"> </v>
      </c>
      <c r="X329" s="83" t="str">
        <f>IFERROR(VLOOKUP($A329,'The List'!$B1:$AS665,31,FALSE)," ")</f>
        <v xml:space="preserve"> </v>
      </c>
      <c r="Y329" s="83" t="str">
        <f>IFERROR(VLOOKUP($A329,'The List'!$B1:$AS665,32,FALSE)," ")</f>
        <v xml:space="preserve"> </v>
      </c>
      <c r="Z329" s="83" t="str">
        <f>IFERROR(VLOOKUP($A329,'The List'!$B1:$AS665,33,FALSE)," ")</f>
        <v xml:space="preserve"> </v>
      </c>
      <c r="AA329" s="86"/>
      <c r="AB329" s="91"/>
      <c r="AC329" s="91"/>
      <c r="AD329" s="91"/>
      <c r="AE329" s="91"/>
      <c r="AF329" s="91"/>
    </row>
    <row r="330" spans="1:32" ht="21.25" customHeight="1" x14ac:dyDescent="0.15">
      <c r="A330" s="23"/>
      <c r="B330" s="97" t="str">
        <f>IFERROR(VLOOKUP($A330,'The List'!$B1:$AS665,3,FALSE)," ")</f>
        <v xml:space="preserve"> </v>
      </c>
      <c r="C330" s="99" t="str">
        <f>IFERROR(VLOOKUP($A330,'The List'!$B1:$AS665,4,FALSE)," ")</f>
        <v xml:space="preserve"> </v>
      </c>
      <c r="D330" s="65" t="str">
        <f>IFERROR(VLOOKUP($A330,'The List'!$B1:$AS665,5,FALSE)," ")</f>
        <v xml:space="preserve"> </v>
      </c>
      <c r="E330" s="65" t="str">
        <f>IFERROR(VLOOKUP($A330,'The List'!$B1:$AS665,6,FALSE)," ")</f>
        <v xml:space="preserve"> </v>
      </c>
      <c r="F330" s="93" t="str">
        <f>IFERROR(VLOOKUP($A330,'The List'!$B1:$AS665,8,FALSE)," ")</f>
        <v xml:space="preserve"> </v>
      </c>
      <c r="G330" s="93" t="str">
        <f>IFERROR(VLOOKUP($A330,'The List'!$B1:$AS665,10,FALSE)," ")</f>
        <v xml:space="preserve"> </v>
      </c>
      <c r="H330" s="54"/>
      <c r="I330" s="83" t="str">
        <f>IFERROR(VLOOKUP($A330,'The List'!$B1:$AS665,16,FALSE)," ")</f>
        <v xml:space="preserve"> </v>
      </c>
      <c r="J330" s="83" t="str">
        <f>IFERROR(VLOOKUP($A330,'The List'!$B1:$AS665,17,FALSE)," ")</f>
        <v xml:space="preserve"> </v>
      </c>
      <c r="K330" s="83" t="str">
        <f>IFERROR(VLOOKUP($A330,'The List'!$B1:$AS665,18,FALSE)," ")</f>
        <v xml:space="preserve"> </v>
      </c>
      <c r="L330" s="83" t="str">
        <f>IFERROR(VLOOKUP($A330,'The List'!$B1:$AS665,19,FALSE)," ")</f>
        <v xml:space="preserve"> </v>
      </c>
      <c r="M330" s="83" t="str">
        <f>IFERROR(VLOOKUP($A330,'The List'!$B1:$AS665,20,FALSE)," ")</f>
        <v xml:space="preserve"> </v>
      </c>
      <c r="N330" s="83" t="str">
        <f>IFERROR(VLOOKUP($A330,'The List'!$B1:$AS665,21,FALSE)," ")</f>
        <v xml:space="preserve"> </v>
      </c>
      <c r="O330" s="83" t="str">
        <f>IFERROR(VLOOKUP($A330,'The List'!$B1:$AS665,22,FALSE)," ")</f>
        <v xml:space="preserve"> </v>
      </c>
      <c r="P330" s="83" t="str">
        <f>IFERROR(VLOOKUP($A330,'The List'!$B1:$AS665,23,FALSE)," ")</f>
        <v xml:space="preserve"> </v>
      </c>
      <c r="Q330" s="83" t="str">
        <f>IFERROR(VLOOKUP($A330,'The List'!$B1:$AS665,24,FALSE)," ")</f>
        <v xml:space="preserve"> </v>
      </c>
      <c r="R330" s="83" t="str">
        <f>IFERROR(VLOOKUP($A330,'The List'!$B1:$AS665,25,FALSE)," ")</f>
        <v xml:space="preserve"> </v>
      </c>
      <c r="S330" s="83" t="str">
        <f>IFERROR(VLOOKUP($A330,'The List'!$B1:$AS665,26,FALSE)," ")</f>
        <v xml:space="preserve"> </v>
      </c>
      <c r="T330" s="83" t="str">
        <f>IFERROR(VLOOKUP($A330,'The List'!$B1:$AS665,27,FALSE)," ")</f>
        <v xml:space="preserve"> </v>
      </c>
      <c r="U330" s="83" t="str">
        <f>IFERROR(VLOOKUP($A330,'The List'!$B1:$AS665,28,FALSE)," ")</f>
        <v xml:space="preserve"> </v>
      </c>
      <c r="V330" s="83" t="str">
        <f>IFERROR(VLOOKUP($A330,'The List'!$B1:$AS665,29,FALSE)," ")</f>
        <v xml:space="preserve"> </v>
      </c>
      <c r="W330" s="83" t="str">
        <f>IFERROR(VLOOKUP($A330,'The List'!$B1:$AS665,30,FALSE)," ")</f>
        <v xml:space="preserve"> </v>
      </c>
      <c r="X330" s="83" t="str">
        <f>IFERROR(VLOOKUP($A330,'The List'!$B1:$AS665,31,FALSE)," ")</f>
        <v xml:space="preserve"> </v>
      </c>
      <c r="Y330" s="83" t="str">
        <f>IFERROR(VLOOKUP($A330,'The List'!$B1:$AS665,32,FALSE)," ")</f>
        <v xml:space="preserve"> </v>
      </c>
      <c r="Z330" s="83" t="str">
        <f>IFERROR(VLOOKUP($A330,'The List'!$B1:$AS665,33,FALSE)," ")</f>
        <v xml:space="preserve"> </v>
      </c>
      <c r="AA330" s="86"/>
      <c r="AB330" s="91"/>
      <c r="AC330" s="91"/>
      <c r="AD330" s="91"/>
      <c r="AE330" s="91"/>
      <c r="AF330" s="91"/>
    </row>
    <row r="331" spans="1:32" ht="21.25" customHeight="1" x14ac:dyDescent="0.15">
      <c r="A331" s="23"/>
      <c r="B331" s="97" t="str">
        <f>IFERROR(VLOOKUP($A331,'The List'!$B1:$AS665,3,FALSE)," ")</f>
        <v xml:space="preserve"> </v>
      </c>
      <c r="C331" s="99" t="str">
        <f>IFERROR(VLOOKUP($A331,'The List'!$B1:$AS665,4,FALSE)," ")</f>
        <v xml:space="preserve"> </v>
      </c>
      <c r="D331" s="65" t="str">
        <f>IFERROR(VLOOKUP($A331,'The List'!$B1:$AS665,5,FALSE)," ")</f>
        <v xml:space="preserve"> </v>
      </c>
      <c r="E331" s="65" t="str">
        <f>IFERROR(VLOOKUP($A331,'The List'!$B1:$AS665,6,FALSE)," ")</f>
        <v xml:space="preserve"> </v>
      </c>
      <c r="F331" s="93" t="str">
        <f>IFERROR(VLOOKUP($A331,'The List'!$B1:$AS665,8,FALSE)," ")</f>
        <v xml:space="preserve"> </v>
      </c>
      <c r="G331" s="93" t="str">
        <f>IFERROR(VLOOKUP($A331,'The List'!$B1:$AS665,10,FALSE)," ")</f>
        <v xml:space="preserve"> </v>
      </c>
      <c r="H331" s="54"/>
      <c r="I331" s="83" t="str">
        <f>IFERROR(VLOOKUP($A331,'The List'!$B1:$AS665,16,FALSE)," ")</f>
        <v xml:space="preserve"> </v>
      </c>
      <c r="J331" s="83" t="str">
        <f>IFERROR(VLOOKUP($A331,'The List'!$B1:$AS665,17,FALSE)," ")</f>
        <v xml:space="preserve"> </v>
      </c>
      <c r="K331" s="83" t="str">
        <f>IFERROR(VLOOKUP($A331,'The List'!$B1:$AS665,18,FALSE)," ")</f>
        <v xml:space="preserve"> </v>
      </c>
      <c r="L331" s="83" t="str">
        <f>IFERROR(VLOOKUP($A331,'The List'!$B1:$AS665,19,FALSE)," ")</f>
        <v xml:space="preserve"> </v>
      </c>
      <c r="M331" s="83" t="str">
        <f>IFERROR(VLOOKUP($A331,'The List'!$B1:$AS665,20,FALSE)," ")</f>
        <v xml:space="preserve"> </v>
      </c>
      <c r="N331" s="83" t="str">
        <f>IFERROR(VLOOKUP($A331,'The List'!$B1:$AS665,21,FALSE)," ")</f>
        <v xml:space="preserve"> </v>
      </c>
      <c r="O331" s="83" t="str">
        <f>IFERROR(VLOOKUP($A331,'The List'!$B1:$AS665,22,FALSE)," ")</f>
        <v xml:space="preserve"> </v>
      </c>
      <c r="P331" s="83" t="str">
        <f>IFERROR(VLOOKUP($A331,'The List'!$B1:$AS665,23,FALSE)," ")</f>
        <v xml:space="preserve"> </v>
      </c>
      <c r="Q331" s="83" t="str">
        <f>IFERROR(VLOOKUP($A331,'The List'!$B1:$AS665,24,FALSE)," ")</f>
        <v xml:space="preserve"> </v>
      </c>
      <c r="R331" s="83" t="str">
        <f>IFERROR(VLOOKUP($A331,'The List'!$B1:$AS665,25,FALSE)," ")</f>
        <v xml:space="preserve"> </v>
      </c>
      <c r="S331" s="83" t="str">
        <f>IFERROR(VLOOKUP($A331,'The List'!$B1:$AS665,26,FALSE)," ")</f>
        <v xml:space="preserve"> </v>
      </c>
      <c r="T331" s="83" t="str">
        <f>IFERROR(VLOOKUP($A331,'The List'!$B1:$AS665,27,FALSE)," ")</f>
        <v xml:space="preserve"> </v>
      </c>
      <c r="U331" s="83" t="str">
        <f>IFERROR(VLOOKUP($A331,'The List'!$B1:$AS665,28,FALSE)," ")</f>
        <v xml:space="preserve"> </v>
      </c>
      <c r="V331" s="83" t="str">
        <f>IFERROR(VLOOKUP($A331,'The List'!$B1:$AS665,29,FALSE)," ")</f>
        <v xml:space="preserve"> </v>
      </c>
      <c r="W331" s="83" t="str">
        <f>IFERROR(VLOOKUP($A331,'The List'!$B1:$AS665,30,FALSE)," ")</f>
        <v xml:space="preserve"> </v>
      </c>
      <c r="X331" s="83" t="str">
        <f>IFERROR(VLOOKUP($A331,'The List'!$B1:$AS665,31,FALSE)," ")</f>
        <v xml:space="preserve"> </v>
      </c>
      <c r="Y331" s="83" t="str">
        <f>IFERROR(VLOOKUP($A331,'The List'!$B1:$AS665,32,FALSE)," ")</f>
        <v xml:space="preserve"> </v>
      </c>
      <c r="Z331" s="83" t="str">
        <f>IFERROR(VLOOKUP($A331,'The List'!$B1:$AS665,33,FALSE)," ")</f>
        <v xml:space="preserve"> </v>
      </c>
      <c r="AA331" s="86"/>
      <c r="AB331" s="91"/>
      <c r="AC331" s="91"/>
      <c r="AD331" s="91"/>
      <c r="AE331" s="91"/>
      <c r="AF331" s="91"/>
    </row>
    <row r="332" spans="1:32" ht="21.25" customHeight="1" x14ac:dyDescent="0.15">
      <c r="A332" s="23"/>
      <c r="B332" s="97" t="str">
        <f>IFERROR(VLOOKUP($A332,'The List'!$B1:$AS665,3,FALSE)," ")</f>
        <v xml:space="preserve"> </v>
      </c>
      <c r="C332" s="99" t="str">
        <f>IFERROR(VLOOKUP($A332,'The List'!$B1:$AS665,4,FALSE)," ")</f>
        <v xml:space="preserve"> </v>
      </c>
      <c r="D332" s="65" t="str">
        <f>IFERROR(VLOOKUP($A332,'The List'!$B1:$AS665,5,FALSE)," ")</f>
        <v xml:space="preserve"> </v>
      </c>
      <c r="E332" s="65" t="str">
        <f>IFERROR(VLOOKUP($A332,'The List'!$B1:$AS665,6,FALSE)," ")</f>
        <v xml:space="preserve"> </v>
      </c>
      <c r="F332" s="93" t="str">
        <f>IFERROR(VLOOKUP($A332,'The List'!$B1:$AS665,8,FALSE)," ")</f>
        <v xml:space="preserve"> </v>
      </c>
      <c r="G332" s="93" t="str">
        <f>IFERROR(VLOOKUP($A332,'The List'!$B1:$AS665,10,FALSE)," ")</f>
        <v xml:space="preserve"> </v>
      </c>
      <c r="H332" s="54"/>
      <c r="I332" s="83" t="str">
        <f>IFERROR(VLOOKUP($A332,'The List'!$B1:$AS665,16,FALSE)," ")</f>
        <v xml:space="preserve"> </v>
      </c>
      <c r="J332" s="83" t="str">
        <f>IFERROR(VLOOKUP($A332,'The List'!$B1:$AS665,17,FALSE)," ")</f>
        <v xml:space="preserve"> </v>
      </c>
      <c r="K332" s="83" t="str">
        <f>IFERROR(VLOOKUP($A332,'The List'!$B1:$AS665,18,FALSE)," ")</f>
        <v xml:space="preserve"> </v>
      </c>
      <c r="L332" s="83" t="str">
        <f>IFERROR(VLOOKUP($A332,'The List'!$B1:$AS665,19,FALSE)," ")</f>
        <v xml:space="preserve"> </v>
      </c>
      <c r="M332" s="83" t="str">
        <f>IFERROR(VLOOKUP($A332,'The List'!$B1:$AS665,20,FALSE)," ")</f>
        <v xml:space="preserve"> </v>
      </c>
      <c r="N332" s="83" t="str">
        <f>IFERROR(VLOOKUP($A332,'The List'!$B1:$AS665,21,FALSE)," ")</f>
        <v xml:space="preserve"> </v>
      </c>
      <c r="O332" s="83" t="str">
        <f>IFERROR(VLOOKUP($A332,'The List'!$B1:$AS665,22,FALSE)," ")</f>
        <v xml:space="preserve"> </v>
      </c>
      <c r="P332" s="83" t="str">
        <f>IFERROR(VLOOKUP($A332,'The List'!$B1:$AS665,23,FALSE)," ")</f>
        <v xml:space="preserve"> </v>
      </c>
      <c r="Q332" s="83" t="str">
        <f>IFERROR(VLOOKUP($A332,'The List'!$B1:$AS665,24,FALSE)," ")</f>
        <v xml:space="preserve"> </v>
      </c>
      <c r="R332" s="83" t="str">
        <f>IFERROR(VLOOKUP($A332,'The List'!$B1:$AS665,25,FALSE)," ")</f>
        <v xml:space="preserve"> </v>
      </c>
      <c r="S332" s="83" t="str">
        <f>IFERROR(VLOOKUP($A332,'The List'!$B1:$AS665,26,FALSE)," ")</f>
        <v xml:space="preserve"> </v>
      </c>
      <c r="T332" s="83" t="str">
        <f>IFERROR(VLOOKUP($A332,'The List'!$B1:$AS665,27,FALSE)," ")</f>
        <v xml:space="preserve"> </v>
      </c>
      <c r="U332" s="83" t="str">
        <f>IFERROR(VLOOKUP($A332,'The List'!$B1:$AS665,28,FALSE)," ")</f>
        <v xml:space="preserve"> </v>
      </c>
      <c r="V332" s="83" t="str">
        <f>IFERROR(VLOOKUP($A332,'The List'!$B1:$AS665,29,FALSE)," ")</f>
        <v xml:space="preserve"> </v>
      </c>
      <c r="W332" s="83" t="str">
        <f>IFERROR(VLOOKUP($A332,'The List'!$B1:$AS665,30,FALSE)," ")</f>
        <v xml:space="preserve"> </v>
      </c>
      <c r="X332" s="83" t="str">
        <f>IFERROR(VLOOKUP($A332,'The List'!$B1:$AS665,31,FALSE)," ")</f>
        <v xml:space="preserve"> </v>
      </c>
      <c r="Y332" s="83" t="str">
        <f>IFERROR(VLOOKUP($A332,'The List'!$B1:$AS665,32,FALSE)," ")</f>
        <v xml:space="preserve"> </v>
      </c>
      <c r="Z332" s="83" t="str">
        <f>IFERROR(VLOOKUP($A332,'The List'!$B1:$AS665,33,FALSE)," ")</f>
        <v xml:space="preserve"> </v>
      </c>
      <c r="AA332" s="86"/>
      <c r="AB332" s="91"/>
      <c r="AC332" s="91"/>
      <c r="AD332" s="91"/>
      <c r="AE332" s="91"/>
      <c r="AF332" s="91"/>
    </row>
    <row r="333" spans="1:32" ht="21.25" customHeight="1" x14ac:dyDescent="0.15">
      <c r="A333" s="23"/>
      <c r="B333" s="100" t="str">
        <f>IFERROR(VLOOKUP($A333,'The List'!$B1:$AS665,3,FALSE)," ")</f>
        <v xml:space="preserve"> </v>
      </c>
      <c r="C333" s="102" t="str">
        <f>IFERROR(VLOOKUP($A333,'The List'!$B1:$AS665,4,FALSE)," ")</f>
        <v xml:space="preserve"> </v>
      </c>
      <c r="D333" s="65" t="str">
        <f>IFERROR(VLOOKUP($A333,'The List'!$B1:$AS665,5,FALSE)," ")</f>
        <v xml:space="preserve"> </v>
      </c>
      <c r="E333" s="65" t="str">
        <f>IFERROR(VLOOKUP($A333,'The List'!$B1:$AS665,6,FALSE)," ")</f>
        <v xml:space="preserve"> </v>
      </c>
      <c r="F333" s="93" t="str">
        <f>IFERROR(VLOOKUP($A333,'The List'!$B1:$AS665,8,FALSE)," ")</f>
        <v xml:space="preserve"> </v>
      </c>
      <c r="G333" s="93" t="str">
        <f>IFERROR(VLOOKUP($A333,'The List'!$B1:$AS665,10,FALSE)," ")</f>
        <v xml:space="preserve"> </v>
      </c>
      <c r="H333" s="54"/>
      <c r="I333" s="83" t="str">
        <f>IFERROR(VLOOKUP($A333,'The List'!$B1:$AS665,16,FALSE)," ")</f>
        <v xml:space="preserve"> </v>
      </c>
      <c r="J333" s="83" t="str">
        <f>IFERROR(VLOOKUP($A333,'The List'!$B1:$AS665,17,FALSE)," ")</f>
        <v xml:space="preserve"> </v>
      </c>
      <c r="K333" s="83" t="str">
        <f>IFERROR(VLOOKUP($A333,'The List'!$B1:$AS665,18,FALSE)," ")</f>
        <v xml:space="preserve"> </v>
      </c>
      <c r="L333" s="83" t="str">
        <f>IFERROR(VLOOKUP($A333,'The List'!$B1:$AS665,19,FALSE)," ")</f>
        <v xml:space="preserve"> </v>
      </c>
      <c r="M333" s="83" t="str">
        <f>IFERROR(VLOOKUP($A333,'The List'!$B1:$AS665,20,FALSE)," ")</f>
        <v xml:space="preserve"> </v>
      </c>
      <c r="N333" s="83" t="str">
        <f>IFERROR(VLOOKUP($A333,'The List'!$B1:$AS665,21,FALSE)," ")</f>
        <v xml:space="preserve"> </v>
      </c>
      <c r="O333" s="83" t="str">
        <f>IFERROR(VLOOKUP($A333,'The List'!$B1:$AS665,22,FALSE)," ")</f>
        <v xml:space="preserve"> </v>
      </c>
      <c r="P333" s="83" t="str">
        <f>IFERROR(VLOOKUP($A333,'The List'!$B1:$AS665,23,FALSE)," ")</f>
        <v xml:space="preserve"> </v>
      </c>
      <c r="Q333" s="83" t="str">
        <f>IFERROR(VLOOKUP($A333,'The List'!$B1:$AS665,24,FALSE)," ")</f>
        <v xml:space="preserve"> </v>
      </c>
      <c r="R333" s="83" t="str">
        <f>IFERROR(VLOOKUP($A333,'The List'!$B1:$AS665,25,FALSE)," ")</f>
        <v xml:space="preserve"> </v>
      </c>
      <c r="S333" s="83" t="str">
        <f>IFERROR(VLOOKUP($A333,'The List'!$B1:$AS665,26,FALSE)," ")</f>
        <v xml:space="preserve"> </v>
      </c>
      <c r="T333" s="83" t="str">
        <f>IFERROR(VLOOKUP($A333,'The List'!$B1:$AS665,27,FALSE)," ")</f>
        <v xml:space="preserve"> </v>
      </c>
      <c r="U333" s="83" t="str">
        <f>IFERROR(VLOOKUP($A333,'The List'!$B1:$AS665,28,FALSE)," ")</f>
        <v xml:space="preserve"> </v>
      </c>
      <c r="V333" s="83" t="str">
        <f>IFERROR(VLOOKUP($A333,'The List'!$B1:$AS665,29,FALSE)," ")</f>
        <v xml:space="preserve"> </v>
      </c>
      <c r="W333" s="83" t="str">
        <f>IFERROR(VLOOKUP($A333,'The List'!$B1:$AS665,30,FALSE)," ")</f>
        <v xml:space="preserve"> </v>
      </c>
      <c r="X333" s="83" t="str">
        <f>IFERROR(VLOOKUP($A333,'The List'!$B1:$AS665,31,FALSE)," ")</f>
        <v xml:space="preserve"> </v>
      </c>
      <c r="Y333" s="83" t="str">
        <f>IFERROR(VLOOKUP($A333,'The List'!$B1:$AS665,32,FALSE)," ")</f>
        <v xml:space="preserve"> </v>
      </c>
      <c r="Z333" s="83" t="str">
        <f>IFERROR(VLOOKUP($A333,'The List'!$B1:$AS665,33,FALSE)," ")</f>
        <v xml:space="preserve"> </v>
      </c>
      <c r="AA333" s="86"/>
      <c r="AB333" s="91"/>
      <c r="AC333" s="91"/>
      <c r="AD333" s="91"/>
      <c r="AE333" s="91"/>
      <c r="AF333" s="91"/>
    </row>
    <row r="334" spans="1:32" ht="21.25" customHeight="1" x14ac:dyDescent="0.15">
      <c r="A334" s="23"/>
      <c r="B334" s="100" t="str">
        <f>IFERROR(VLOOKUP($A334,'The List'!$B1:$AS665,3,FALSE)," ")</f>
        <v xml:space="preserve"> </v>
      </c>
      <c r="C334" s="102" t="str">
        <f>IFERROR(VLOOKUP($A334,'The List'!$B1:$AS665,4,FALSE)," ")</f>
        <v xml:space="preserve"> </v>
      </c>
      <c r="D334" s="65" t="str">
        <f>IFERROR(VLOOKUP($A334,'The List'!$B1:$AS665,5,FALSE)," ")</f>
        <v xml:space="preserve"> </v>
      </c>
      <c r="E334" s="65" t="str">
        <f>IFERROR(VLOOKUP($A334,'The List'!$B1:$AS665,6,FALSE)," ")</f>
        <v xml:space="preserve"> </v>
      </c>
      <c r="F334" s="93" t="str">
        <f>IFERROR(VLOOKUP($A334,'The List'!$B1:$AS665,8,FALSE)," ")</f>
        <v xml:space="preserve"> </v>
      </c>
      <c r="G334" s="93" t="str">
        <f>IFERROR(VLOOKUP($A334,'The List'!$B1:$AS665,10,FALSE)," ")</f>
        <v xml:space="preserve"> </v>
      </c>
      <c r="H334" s="54"/>
      <c r="I334" s="83" t="str">
        <f>IFERROR(VLOOKUP($A334,'The List'!$B1:$AS665,16,FALSE)," ")</f>
        <v xml:space="preserve"> </v>
      </c>
      <c r="J334" s="83" t="str">
        <f>IFERROR(VLOOKUP($A334,'The List'!$B1:$AS665,17,FALSE)," ")</f>
        <v xml:space="preserve"> </v>
      </c>
      <c r="K334" s="83" t="str">
        <f>IFERROR(VLOOKUP($A334,'The List'!$B1:$AS665,18,FALSE)," ")</f>
        <v xml:space="preserve"> </v>
      </c>
      <c r="L334" s="83" t="str">
        <f>IFERROR(VLOOKUP($A334,'The List'!$B1:$AS665,19,FALSE)," ")</f>
        <v xml:space="preserve"> </v>
      </c>
      <c r="M334" s="83" t="str">
        <f>IFERROR(VLOOKUP($A334,'The List'!$B1:$AS665,20,FALSE)," ")</f>
        <v xml:space="preserve"> </v>
      </c>
      <c r="N334" s="83" t="str">
        <f>IFERROR(VLOOKUP($A334,'The List'!$B1:$AS665,21,FALSE)," ")</f>
        <v xml:space="preserve"> </v>
      </c>
      <c r="O334" s="83" t="str">
        <f>IFERROR(VLOOKUP($A334,'The List'!$B1:$AS665,22,FALSE)," ")</f>
        <v xml:space="preserve"> </v>
      </c>
      <c r="P334" s="83" t="str">
        <f>IFERROR(VLOOKUP($A334,'The List'!$B1:$AS665,23,FALSE)," ")</f>
        <v xml:space="preserve"> </v>
      </c>
      <c r="Q334" s="83" t="str">
        <f>IFERROR(VLOOKUP($A334,'The List'!$B1:$AS665,24,FALSE)," ")</f>
        <v xml:space="preserve"> </v>
      </c>
      <c r="R334" s="83" t="str">
        <f>IFERROR(VLOOKUP($A334,'The List'!$B1:$AS665,25,FALSE)," ")</f>
        <v xml:space="preserve"> </v>
      </c>
      <c r="S334" s="83" t="str">
        <f>IFERROR(VLOOKUP($A334,'The List'!$B1:$AS665,26,FALSE)," ")</f>
        <v xml:space="preserve"> </v>
      </c>
      <c r="T334" s="83" t="str">
        <f>IFERROR(VLOOKUP($A334,'The List'!$B1:$AS665,27,FALSE)," ")</f>
        <v xml:space="preserve"> </v>
      </c>
      <c r="U334" s="83" t="str">
        <f>IFERROR(VLOOKUP($A334,'The List'!$B1:$AS665,28,FALSE)," ")</f>
        <v xml:space="preserve"> </v>
      </c>
      <c r="V334" s="83" t="str">
        <f>IFERROR(VLOOKUP($A334,'The List'!$B1:$AS665,29,FALSE)," ")</f>
        <v xml:space="preserve"> </v>
      </c>
      <c r="W334" s="83" t="str">
        <f>IFERROR(VLOOKUP($A334,'The List'!$B1:$AS665,30,FALSE)," ")</f>
        <v xml:space="preserve"> </v>
      </c>
      <c r="X334" s="83" t="str">
        <f>IFERROR(VLOOKUP($A334,'The List'!$B1:$AS665,31,FALSE)," ")</f>
        <v xml:space="preserve"> </v>
      </c>
      <c r="Y334" s="83" t="str">
        <f>IFERROR(VLOOKUP($A334,'The List'!$B1:$AS665,32,FALSE)," ")</f>
        <v xml:space="preserve"> </v>
      </c>
      <c r="Z334" s="83" t="str">
        <f>IFERROR(VLOOKUP($A334,'The List'!$B1:$AS665,33,FALSE)," ")</f>
        <v xml:space="preserve"> </v>
      </c>
      <c r="AA334" s="86"/>
      <c r="AB334" s="91"/>
      <c r="AC334" s="91"/>
      <c r="AD334" s="91"/>
      <c r="AE334" s="91"/>
      <c r="AF334" s="91"/>
    </row>
    <row r="335" spans="1:32" ht="21.25" customHeight="1" x14ac:dyDescent="0.15">
      <c r="A335" s="23"/>
      <c r="B335" s="100" t="str">
        <f>IFERROR(VLOOKUP($A335,'The List'!$B1:$AS665,3,FALSE)," ")</f>
        <v xml:space="preserve"> </v>
      </c>
      <c r="C335" s="102" t="str">
        <f>IFERROR(VLOOKUP($A335,'The List'!$B1:$AS665,4,FALSE)," ")</f>
        <v xml:space="preserve"> </v>
      </c>
      <c r="D335" s="65" t="str">
        <f>IFERROR(VLOOKUP($A335,'The List'!$B1:$AS665,5,FALSE)," ")</f>
        <v xml:space="preserve"> </v>
      </c>
      <c r="E335" s="65" t="str">
        <f>IFERROR(VLOOKUP($A335,'The List'!$B1:$AS665,6,FALSE)," ")</f>
        <v xml:space="preserve"> </v>
      </c>
      <c r="F335" s="93" t="str">
        <f>IFERROR(VLOOKUP($A335,'The List'!$B1:$AS665,8,FALSE)," ")</f>
        <v xml:space="preserve"> </v>
      </c>
      <c r="G335" s="93" t="str">
        <f>IFERROR(VLOOKUP($A335,'The List'!$B1:$AS665,10,FALSE)," ")</f>
        <v xml:space="preserve"> </v>
      </c>
      <c r="H335" s="54"/>
      <c r="I335" s="83" t="str">
        <f>IFERROR(VLOOKUP($A335,'The List'!$B1:$AS665,16,FALSE)," ")</f>
        <v xml:space="preserve"> </v>
      </c>
      <c r="J335" s="83" t="str">
        <f>IFERROR(VLOOKUP($A335,'The List'!$B1:$AS665,17,FALSE)," ")</f>
        <v xml:space="preserve"> </v>
      </c>
      <c r="K335" s="83" t="str">
        <f>IFERROR(VLOOKUP($A335,'The List'!$B1:$AS665,18,FALSE)," ")</f>
        <v xml:space="preserve"> </v>
      </c>
      <c r="L335" s="83" t="str">
        <f>IFERROR(VLOOKUP($A335,'The List'!$B1:$AS665,19,FALSE)," ")</f>
        <v xml:space="preserve"> </v>
      </c>
      <c r="M335" s="83" t="str">
        <f>IFERROR(VLOOKUP($A335,'The List'!$B1:$AS665,20,FALSE)," ")</f>
        <v xml:space="preserve"> </v>
      </c>
      <c r="N335" s="83" t="str">
        <f>IFERROR(VLOOKUP($A335,'The List'!$B1:$AS665,21,FALSE)," ")</f>
        <v xml:space="preserve"> </v>
      </c>
      <c r="O335" s="83" t="str">
        <f>IFERROR(VLOOKUP($A335,'The List'!$B1:$AS665,22,FALSE)," ")</f>
        <v xml:space="preserve"> </v>
      </c>
      <c r="P335" s="83" t="str">
        <f>IFERROR(VLOOKUP($A335,'The List'!$B1:$AS665,23,FALSE)," ")</f>
        <v xml:space="preserve"> </v>
      </c>
      <c r="Q335" s="83" t="str">
        <f>IFERROR(VLOOKUP($A335,'The List'!$B1:$AS665,24,FALSE)," ")</f>
        <v xml:space="preserve"> </v>
      </c>
      <c r="R335" s="83" t="str">
        <f>IFERROR(VLOOKUP($A335,'The List'!$B1:$AS665,25,FALSE)," ")</f>
        <v xml:space="preserve"> </v>
      </c>
      <c r="S335" s="83" t="str">
        <f>IFERROR(VLOOKUP($A335,'The List'!$B1:$AS665,26,FALSE)," ")</f>
        <v xml:space="preserve"> </v>
      </c>
      <c r="T335" s="83" t="str">
        <f>IFERROR(VLOOKUP($A335,'The List'!$B1:$AS665,27,FALSE)," ")</f>
        <v xml:space="preserve"> </v>
      </c>
      <c r="U335" s="83" t="str">
        <f>IFERROR(VLOOKUP($A335,'The List'!$B1:$AS665,28,FALSE)," ")</f>
        <v xml:space="preserve"> </v>
      </c>
      <c r="V335" s="83" t="str">
        <f>IFERROR(VLOOKUP($A335,'The List'!$B1:$AS665,29,FALSE)," ")</f>
        <v xml:space="preserve"> </v>
      </c>
      <c r="W335" s="83" t="str">
        <f>IFERROR(VLOOKUP($A335,'The List'!$B1:$AS665,30,FALSE)," ")</f>
        <v xml:space="preserve"> </v>
      </c>
      <c r="X335" s="83" t="str">
        <f>IFERROR(VLOOKUP($A335,'The List'!$B1:$AS665,31,FALSE)," ")</f>
        <v xml:space="preserve"> </v>
      </c>
      <c r="Y335" s="83" t="str">
        <f>IFERROR(VLOOKUP($A335,'The List'!$B1:$AS665,32,FALSE)," ")</f>
        <v xml:space="preserve"> </v>
      </c>
      <c r="Z335" s="83" t="str">
        <f>IFERROR(VLOOKUP($A335,'The List'!$B1:$AS665,33,FALSE)," ")</f>
        <v xml:space="preserve"> </v>
      </c>
      <c r="AA335" s="86"/>
      <c r="AB335" s="91"/>
      <c r="AC335" s="91"/>
      <c r="AD335" s="91"/>
      <c r="AE335" s="91"/>
      <c r="AF335" s="91"/>
    </row>
    <row r="336" spans="1:32" ht="21.25" customHeight="1" x14ac:dyDescent="0.15">
      <c r="A336" s="23"/>
      <c r="B336" s="100" t="str">
        <f>IFERROR(VLOOKUP($A336,'The List'!$B1:$AS665,3,FALSE)," ")</f>
        <v xml:space="preserve"> </v>
      </c>
      <c r="C336" s="102" t="str">
        <f>IFERROR(VLOOKUP($A336,'The List'!$B1:$AS665,4,FALSE)," ")</f>
        <v xml:space="preserve"> </v>
      </c>
      <c r="D336" s="65" t="str">
        <f>IFERROR(VLOOKUP($A336,'The List'!$B1:$AS665,5,FALSE)," ")</f>
        <v xml:space="preserve"> </v>
      </c>
      <c r="E336" s="65" t="str">
        <f>IFERROR(VLOOKUP($A336,'The List'!$B1:$AS665,6,FALSE)," ")</f>
        <v xml:space="preserve"> </v>
      </c>
      <c r="F336" s="93" t="str">
        <f>IFERROR(VLOOKUP($A336,'The List'!$B1:$AS665,8,FALSE)," ")</f>
        <v xml:space="preserve"> </v>
      </c>
      <c r="G336" s="93" t="str">
        <f>IFERROR(VLOOKUP($A336,'The List'!$B1:$AS665,10,FALSE)," ")</f>
        <v xml:space="preserve"> </v>
      </c>
      <c r="H336" s="54"/>
      <c r="I336" s="83" t="str">
        <f>IFERROR(VLOOKUP($A336,'The List'!$B1:$AS665,16,FALSE)," ")</f>
        <v xml:space="preserve"> </v>
      </c>
      <c r="J336" s="83" t="str">
        <f>IFERROR(VLOOKUP($A336,'The List'!$B1:$AS665,17,FALSE)," ")</f>
        <v xml:space="preserve"> </v>
      </c>
      <c r="K336" s="83" t="str">
        <f>IFERROR(VLOOKUP($A336,'The List'!$B1:$AS665,18,FALSE)," ")</f>
        <v xml:space="preserve"> </v>
      </c>
      <c r="L336" s="83" t="str">
        <f>IFERROR(VLOOKUP($A336,'The List'!$B1:$AS665,19,FALSE)," ")</f>
        <v xml:space="preserve"> </v>
      </c>
      <c r="M336" s="83" t="str">
        <f>IFERROR(VLOOKUP($A336,'The List'!$B1:$AS665,20,FALSE)," ")</f>
        <v xml:space="preserve"> </v>
      </c>
      <c r="N336" s="83" t="str">
        <f>IFERROR(VLOOKUP($A336,'The List'!$B1:$AS665,21,FALSE)," ")</f>
        <v xml:space="preserve"> </v>
      </c>
      <c r="O336" s="83" t="str">
        <f>IFERROR(VLOOKUP($A336,'The List'!$B1:$AS665,22,FALSE)," ")</f>
        <v xml:space="preserve"> </v>
      </c>
      <c r="P336" s="83" t="str">
        <f>IFERROR(VLOOKUP($A336,'The List'!$B1:$AS665,23,FALSE)," ")</f>
        <v xml:space="preserve"> </v>
      </c>
      <c r="Q336" s="83" t="str">
        <f>IFERROR(VLOOKUP($A336,'The List'!$B1:$AS665,24,FALSE)," ")</f>
        <v xml:space="preserve"> </v>
      </c>
      <c r="R336" s="83" t="str">
        <f>IFERROR(VLOOKUP($A336,'The List'!$B1:$AS665,25,FALSE)," ")</f>
        <v xml:space="preserve"> </v>
      </c>
      <c r="S336" s="83" t="str">
        <f>IFERROR(VLOOKUP($A336,'The List'!$B1:$AS665,26,FALSE)," ")</f>
        <v xml:space="preserve"> </v>
      </c>
      <c r="T336" s="83" t="str">
        <f>IFERROR(VLOOKUP($A336,'The List'!$B1:$AS665,27,FALSE)," ")</f>
        <v xml:space="preserve"> </v>
      </c>
      <c r="U336" s="83" t="str">
        <f>IFERROR(VLOOKUP($A336,'The List'!$B1:$AS665,28,FALSE)," ")</f>
        <v xml:space="preserve"> </v>
      </c>
      <c r="V336" s="83" t="str">
        <f>IFERROR(VLOOKUP($A336,'The List'!$B1:$AS665,29,FALSE)," ")</f>
        <v xml:space="preserve"> </v>
      </c>
      <c r="W336" s="83" t="str">
        <f>IFERROR(VLOOKUP($A336,'The List'!$B1:$AS665,30,FALSE)," ")</f>
        <v xml:space="preserve"> </v>
      </c>
      <c r="X336" s="83" t="str">
        <f>IFERROR(VLOOKUP($A336,'The List'!$B1:$AS665,31,FALSE)," ")</f>
        <v xml:space="preserve"> </v>
      </c>
      <c r="Y336" s="83" t="str">
        <f>IFERROR(VLOOKUP($A336,'The List'!$B1:$AS665,32,FALSE)," ")</f>
        <v xml:space="preserve"> </v>
      </c>
      <c r="Z336" s="83" t="str">
        <f>IFERROR(VLOOKUP($A336,'The List'!$B1:$AS665,33,FALSE)," ")</f>
        <v xml:space="preserve"> </v>
      </c>
      <c r="AA336" s="86"/>
      <c r="AB336" s="91"/>
      <c r="AC336" s="91"/>
      <c r="AD336" s="91"/>
      <c r="AE336" s="91"/>
      <c r="AF336" s="91"/>
    </row>
    <row r="337" spans="1:32" ht="21.25" customHeight="1" x14ac:dyDescent="0.15">
      <c r="A337" s="23"/>
      <c r="B337" s="100" t="str">
        <f>IFERROR(VLOOKUP($A337,'The List'!$B1:$AS665,3,FALSE)," ")</f>
        <v xml:space="preserve"> </v>
      </c>
      <c r="C337" s="102" t="str">
        <f>IFERROR(VLOOKUP($A337,'The List'!$B1:$AS665,4,FALSE)," ")</f>
        <v xml:space="preserve"> </v>
      </c>
      <c r="D337" s="65" t="str">
        <f>IFERROR(VLOOKUP($A337,'The List'!$B1:$AS665,5,FALSE)," ")</f>
        <v xml:space="preserve"> </v>
      </c>
      <c r="E337" s="65" t="str">
        <f>IFERROR(VLOOKUP($A337,'The List'!$B1:$AS665,6,FALSE)," ")</f>
        <v xml:space="preserve"> </v>
      </c>
      <c r="F337" s="93" t="str">
        <f>IFERROR(VLOOKUP($A337,'The List'!$B1:$AS665,8,FALSE)," ")</f>
        <v xml:space="preserve"> </v>
      </c>
      <c r="G337" s="93" t="str">
        <f>IFERROR(VLOOKUP($A337,'The List'!$B1:$AS665,10,FALSE)," ")</f>
        <v xml:space="preserve"> </v>
      </c>
      <c r="H337" s="54"/>
      <c r="I337" s="83" t="str">
        <f>IFERROR(VLOOKUP($A337,'The List'!$B1:$AS665,16,FALSE)," ")</f>
        <v xml:space="preserve"> </v>
      </c>
      <c r="J337" s="83" t="str">
        <f>IFERROR(VLOOKUP($A337,'The List'!$B1:$AS665,17,FALSE)," ")</f>
        <v xml:space="preserve"> </v>
      </c>
      <c r="K337" s="83" t="str">
        <f>IFERROR(VLOOKUP($A337,'The List'!$B1:$AS665,18,FALSE)," ")</f>
        <v xml:space="preserve"> </v>
      </c>
      <c r="L337" s="83" t="str">
        <f>IFERROR(VLOOKUP($A337,'The List'!$B1:$AS665,19,FALSE)," ")</f>
        <v xml:space="preserve"> </v>
      </c>
      <c r="M337" s="83" t="str">
        <f>IFERROR(VLOOKUP($A337,'The List'!$B1:$AS665,20,FALSE)," ")</f>
        <v xml:space="preserve"> </v>
      </c>
      <c r="N337" s="83" t="str">
        <f>IFERROR(VLOOKUP($A337,'The List'!$B1:$AS665,21,FALSE)," ")</f>
        <v xml:space="preserve"> </v>
      </c>
      <c r="O337" s="83" t="str">
        <f>IFERROR(VLOOKUP($A337,'The List'!$B1:$AS665,22,FALSE)," ")</f>
        <v xml:space="preserve"> </v>
      </c>
      <c r="P337" s="83" t="str">
        <f>IFERROR(VLOOKUP($A337,'The List'!$B1:$AS665,23,FALSE)," ")</f>
        <v xml:space="preserve"> </v>
      </c>
      <c r="Q337" s="83" t="str">
        <f>IFERROR(VLOOKUP($A337,'The List'!$B1:$AS665,24,FALSE)," ")</f>
        <v xml:space="preserve"> </v>
      </c>
      <c r="R337" s="83" t="str">
        <f>IFERROR(VLOOKUP($A337,'The List'!$B1:$AS665,25,FALSE)," ")</f>
        <v xml:space="preserve"> </v>
      </c>
      <c r="S337" s="83" t="str">
        <f>IFERROR(VLOOKUP($A337,'The List'!$B1:$AS665,26,FALSE)," ")</f>
        <v xml:space="preserve"> </v>
      </c>
      <c r="T337" s="83" t="str">
        <f>IFERROR(VLOOKUP($A337,'The List'!$B1:$AS665,27,FALSE)," ")</f>
        <v xml:space="preserve"> </v>
      </c>
      <c r="U337" s="83" t="str">
        <f>IFERROR(VLOOKUP($A337,'The List'!$B1:$AS665,28,FALSE)," ")</f>
        <v xml:space="preserve"> </v>
      </c>
      <c r="V337" s="83" t="str">
        <f>IFERROR(VLOOKUP($A337,'The List'!$B1:$AS665,29,FALSE)," ")</f>
        <v xml:space="preserve"> </v>
      </c>
      <c r="W337" s="83" t="str">
        <f>IFERROR(VLOOKUP($A337,'The List'!$B1:$AS665,30,FALSE)," ")</f>
        <v xml:space="preserve"> </v>
      </c>
      <c r="X337" s="83" t="str">
        <f>IFERROR(VLOOKUP($A337,'The List'!$B1:$AS665,31,FALSE)," ")</f>
        <v xml:space="preserve"> </v>
      </c>
      <c r="Y337" s="83" t="str">
        <f>IFERROR(VLOOKUP($A337,'The List'!$B1:$AS665,32,FALSE)," ")</f>
        <v xml:space="preserve"> </v>
      </c>
      <c r="Z337" s="83" t="str">
        <f>IFERROR(VLOOKUP($A337,'The List'!$B1:$AS665,33,FALSE)," ")</f>
        <v xml:space="preserve"> </v>
      </c>
      <c r="AA337" s="86"/>
      <c r="AB337" s="91"/>
      <c r="AC337" s="91"/>
      <c r="AD337" s="91"/>
      <c r="AE337" s="91"/>
      <c r="AF337" s="91"/>
    </row>
    <row r="338" spans="1:32" ht="21.25" customHeight="1" x14ac:dyDescent="0.15">
      <c r="A338" s="23"/>
      <c r="B338" s="100" t="str">
        <f>IFERROR(VLOOKUP($A338,'The List'!$B1:$AS665,3,FALSE)," ")</f>
        <v xml:space="preserve"> </v>
      </c>
      <c r="C338" s="102" t="str">
        <f>IFERROR(VLOOKUP($A338,'The List'!$B1:$AS665,4,FALSE)," ")</f>
        <v xml:space="preserve"> </v>
      </c>
      <c r="D338" s="65" t="str">
        <f>IFERROR(VLOOKUP($A338,'The List'!$B1:$AS665,5,FALSE)," ")</f>
        <v xml:space="preserve"> </v>
      </c>
      <c r="E338" s="65" t="str">
        <f>IFERROR(VLOOKUP($A338,'The List'!$B1:$AS665,6,FALSE)," ")</f>
        <v xml:space="preserve"> </v>
      </c>
      <c r="F338" s="93" t="str">
        <f>IFERROR(VLOOKUP($A338,'The List'!$B1:$AS665,8,FALSE)," ")</f>
        <v xml:space="preserve"> </v>
      </c>
      <c r="G338" s="93" t="str">
        <f>IFERROR(VLOOKUP($A338,'The List'!$B1:$AS665,10,FALSE)," ")</f>
        <v xml:space="preserve"> </v>
      </c>
      <c r="H338" s="54"/>
      <c r="I338" s="83" t="str">
        <f>IFERROR(VLOOKUP($A338,'The List'!$B1:$AS665,16,FALSE)," ")</f>
        <v xml:space="preserve"> </v>
      </c>
      <c r="J338" s="83" t="str">
        <f>IFERROR(VLOOKUP($A338,'The List'!$B1:$AS665,17,FALSE)," ")</f>
        <v xml:space="preserve"> </v>
      </c>
      <c r="K338" s="83" t="str">
        <f>IFERROR(VLOOKUP($A338,'The List'!$B1:$AS665,18,FALSE)," ")</f>
        <v xml:space="preserve"> </v>
      </c>
      <c r="L338" s="83" t="str">
        <f>IFERROR(VLOOKUP($A338,'The List'!$B1:$AS665,19,FALSE)," ")</f>
        <v xml:space="preserve"> </v>
      </c>
      <c r="M338" s="83" t="str">
        <f>IFERROR(VLOOKUP($A338,'The List'!$B1:$AS665,20,FALSE)," ")</f>
        <v xml:space="preserve"> </v>
      </c>
      <c r="N338" s="83" t="str">
        <f>IFERROR(VLOOKUP($A338,'The List'!$B1:$AS665,21,FALSE)," ")</f>
        <v xml:space="preserve"> </v>
      </c>
      <c r="O338" s="83" t="str">
        <f>IFERROR(VLOOKUP($A338,'The List'!$B1:$AS665,22,FALSE)," ")</f>
        <v xml:space="preserve"> </v>
      </c>
      <c r="P338" s="83" t="str">
        <f>IFERROR(VLOOKUP($A338,'The List'!$B1:$AS665,23,FALSE)," ")</f>
        <v xml:space="preserve"> </v>
      </c>
      <c r="Q338" s="83" t="str">
        <f>IFERROR(VLOOKUP($A338,'The List'!$B1:$AS665,24,FALSE)," ")</f>
        <v xml:space="preserve"> </v>
      </c>
      <c r="R338" s="83" t="str">
        <f>IFERROR(VLOOKUP($A338,'The List'!$B1:$AS665,25,FALSE)," ")</f>
        <v xml:space="preserve"> </v>
      </c>
      <c r="S338" s="83" t="str">
        <f>IFERROR(VLOOKUP($A338,'The List'!$B1:$AS665,26,FALSE)," ")</f>
        <v xml:space="preserve"> </v>
      </c>
      <c r="T338" s="83" t="str">
        <f>IFERROR(VLOOKUP($A338,'The List'!$B1:$AS665,27,FALSE)," ")</f>
        <v xml:space="preserve"> </v>
      </c>
      <c r="U338" s="83" t="str">
        <f>IFERROR(VLOOKUP($A338,'The List'!$B1:$AS665,28,FALSE)," ")</f>
        <v xml:space="preserve"> </v>
      </c>
      <c r="V338" s="83" t="str">
        <f>IFERROR(VLOOKUP($A338,'The List'!$B1:$AS665,29,FALSE)," ")</f>
        <v xml:space="preserve"> </v>
      </c>
      <c r="W338" s="83" t="str">
        <f>IFERROR(VLOOKUP($A338,'The List'!$B1:$AS665,30,FALSE)," ")</f>
        <v xml:space="preserve"> </v>
      </c>
      <c r="X338" s="83" t="str">
        <f>IFERROR(VLOOKUP($A338,'The List'!$B1:$AS665,31,FALSE)," ")</f>
        <v xml:space="preserve"> </v>
      </c>
      <c r="Y338" s="83" t="str">
        <f>IFERROR(VLOOKUP($A338,'The List'!$B1:$AS665,32,FALSE)," ")</f>
        <v xml:space="preserve"> </v>
      </c>
      <c r="Z338" s="83" t="str">
        <f>IFERROR(VLOOKUP($A338,'The List'!$B1:$AS665,33,FALSE)," ")</f>
        <v xml:space="preserve"> </v>
      </c>
      <c r="AA338" s="86"/>
      <c r="AB338" s="91"/>
      <c r="AC338" s="91"/>
      <c r="AD338" s="91"/>
      <c r="AE338" s="91"/>
      <c r="AF338" s="91"/>
    </row>
    <row r="339" spans="1:32" ht="21.25" customHeight="1" x14ac:dyDescent="0.15">
      <c r="A339" s="23"/>
      <c r="B339" s="100" t="str">
        <f>IFERROR(VLOOKUP($A339,'The List'!$B1:$AS665,3,FALSE)," ")</f>
        <v xml:space="preserve"> </v>
      </c>
      <c r="C339" s="102" t="str">
        <f>IFERROR(VLOOKUP($A339,'The List'!$B1:$AS665,4,FALSE)," ")</f>
        <v xml:space="preserve"> </v>
      </c>
      <c r="D339" s="65" t="str">
        <f>IFERROR(VLOOKUP($A339,'The List'!$B1:$AS665,5,FALSE)," ")</f>
        <v xml:space="preserve"> </v>
      </c>
      <c r="E339" s="65" t="str">
        <f>IFERROR(VLOOKUP($A339,'The List'!$B1:$AS665,6,FALSE)," ")</f>
        <v xml:space="preserve"> </v>
      </c>
      <c r="F339" s="93" t="str">
        <f>IFERROR(VLOOKUP($A339,'The List'!$B1:$AS665,8,FALSE)," ")</f>
        <v xml:space="preserve"> </v>
      </c>
      <c r="G339" s="93" t="str">
        <f>IFERROR(VLOOKUP($A339,'The List'!$B1:$AS665,10,FALSE)," ")</f>
        <v xml:space="preserve"> </v>
      </c>
      <c r="H339" s="54"/>
      <c r="I339" s="83" t="str">
        <f>IFERROR(VLOOKUP($A339,'The List'!$B1:$AS665,16,FALSE)," ")</f>
        <v xml:space="preserve"> </v>
      </c>
      <c r="J339" s="83" t="str">
        <f>IFERROR(VLOOKUP($A339,'The List'!$B1:$AS665,17,FALSE)," ")</f>
        <v xml:space="preserve"> </v>
      </c>
      <c r="K339" s="83" t="str">
        <f>IFERROR(VLOOKUP($A339,'The List'!$B1:$AS665,18,FALSE)," ")</f>
        <v xml:space="preserve"> </v>
      </c>
      <c r="L339" s="83" t="str">
        <f>IFERROR(VLOOKUP($A339,'The List'!$B1:$AS665,19,FALSE)," ")</f>
        <v xml:space="preserve"> </v>
      </c>
      <c r="M339" s="83" t="str">
        <f>IFERROR(VLOOKUP($A339,'The List'!$B1:$AS665,20,FALSE)," ")</f>
        <v xml:space="preserve"> </v>
      </c>
      <c r="N339" s="83" t="str">
        <f>IFERROR(VLOOKUP($A339,'The List'!$B1:$AS665,21,FALSE)," ")</f>
        <v xml:space="preserve"> </v>
      </c>
      <c r="O339" s="83" t="str">
        <f>IFERROR(VLOOKUP($A339,'The List'!$B1:$AS665,22,FALSE)," ")</f>
        <v xml:space="preserve"> </v>
      </c>
      <c r="P339" s="83" t="str">
        <f>IFERROR(VLOOKUP($A339,'The List'!$B1:$AS665,23,FALSE)," ")</f>
        <v xml:space="preserve"> </v>
      </c>
      <c r="Q339" s="83" t="str">
        <f>IFERROR(VLOOKUP($A339,'The List'!$B1:$AS665,24,FALSE)," ")</f>
        <v xml:space="preserve"> </v>
      </c>
      <c r="R339" s="83" t="str">
        <f>IFERROR(VLOOKUP($A339,'The List'!$B1:$AS665,25,FALSE)," ")</f>
        <v xml:space="preserve"> </v>
      </c>
      <c r="S339" s="83" t="str">
        <f>IFERROR(VLOOKUP($A339,'The List'!$B1:$AS665,26,FALSE)," ")</f>
        <v xml:space="preserve"> </v>
      </c>
      <c r="T339" s="83" t="str">
        <f>IFERROR(VLOOKUP($A339,'The List'!$B1:$AS665,27,FALSE)," ")</f>
        <v xml:space="preserve"> </v>
      </c>
      <c r="U339" s="83" t="str">
        <f>IFERROR(VLOOKUP($A339,'The List'!$B1:$AS665,28,FALSE)," ")</f>
        <v xml:space="preserve"> </v>
      </c>
      <c r="V339" s="83" t="str">
        <f>IFERROR(VLOOKUP($A339,'The List'!$B1:$AS665,29,FALSE)," ")</f>
        <v xml:space="preserve"> </v>
      </c>
      <c r="W339" s="83" t="str">
        <f>IFERROR(VLOOKUP($A339,'The List'!$B1:$AS665,30,FALSE)," ")</f>
        <v xml:space="preserve"> </v>
      </c>
      <c r="X339" s="83" t="str">
        <f>IFERROR(VLOOKUP($A339,'The List'!$B1:$AS665,31,FALSE)," ")</f>
        <v xml:space="preserve"> </v>
      </c>
      <c r="Y339" s="83" t="str">
        <f>IFERROR(VLOOKUP($A339,'The List'!$B1:$AS665,32,FALSE)," ")</f>
        <v xml:space="preserve"> </v>
      </c>
      <c r="Z339" s="83" t="str">
        <f>IFERROR(VLOOKUP($A339,'The List'!$B1:$AS665,33,FALSE)," ")</f>
        <v xml:space="preserve"> </v>
      </c>
      <c r="AA339" s="86"/>
      <c r="AB339" s="91"/>
      <c r="AC339" s="91"/>
      <c r="AD339" s="91"/>
      <c r="AE339" s="91"/>
      <c r="AF339" s="91"/>
    </row>
    <row r="340" spans="1:32" ht="21.25" customHeight="1" x14ac:dyDescent="0.15">
      <c r="A340" s="104"/>
      <c r="B340" s="105" t="str">
        <f>IFERROR(VLOOKUP($A340,'The List'!$B1:$AS665,3,FALSE)," ")</f>
        <v xml:space="preserve"> </v>
      </c>
      <c r="C340" s="106" t="str">
        <f>IFERROR(VLOOKUP($A340,'The List'!$B1:$AS665,4,FALSE)," ")</f>
        <v xml:space="preserve"> </v>
      </c>
      <c r="D340" s="107" t="str">
        <f>IFERROR(VLOOKUP($A340,'The List'!$B1:$AS665,5,FALSE)," ")</f>
        <v xml:space="preserve"> </v>
      </c>
      <c r="E340" s="107" t="str">
        <f>IFERROR(VLOOKUP($A340,'The List'!$B1:$AS665,6,FALSE)," ")</f>
        <v xml:space="preserve"> </v>
      </c>
      <c r="F340" s="108" t="str">
        <f>IFERROR(VLOOKUP($A340,'The List'!$B1:$AS665,8,FALSE)," ")</f>
        <v xml:space="preserve"> </v>
      </c>
      <c r="G340" s="108" t="str">
        <f>IFERROR(VLOOKUP($A340,'The List'!$B1:$AS665,10,FALSE)," ")</f>
        <v xml:space="preserve"> </v>
      </c>
      <c r="H340" s="109"/>
      <c r="I340" s="110" t="str">
        <f>IFERROR(VLOOKUP($A340,'The List'!$B1:$AS665,16,FALSE)," ")</f>
        <v xml:space="preserve"> </v>
      </c>
      <c r="J340" s="110" t="str">
        <f>IFERROR(VLOOKUP($A340,'The List'!$B1:$AS665,17,FALSE)," ")</f>
        <v xml:space="preserve"> </v>
      </c>
      <c r="K340" s="110" t="str">
        <f>IFERROR(VLOOKUP($A340,'The List'!$B1:$AS665,18,FALSE)," ")</f>
        <v xml:space="preserve"> </v>
      </c>
      <c r="L340" s="110" t="str">
        <f>IFERROR(VLOOKUP($A340,'The List'!$B1:$AS665,19,FALSE)," ")</f>
        <v xml:space="preserve"> </v>
      </c>
      <c r="M340" s="110" t="str">
        <f>IFERROR(VLOOKUP($A340,'The List'!$B1:$AS665,20,FALSE)," ")</f>
        <v xml:space="preserve"> </v>
      </c>
      <c r="N340" s="110" t="str">
        <f>IFERROR(VLOOKUP($A340,'The List'!$B1:$AS665,21,FALSE)," ")</f>
        <v xml:space="preserve"> </v>
      </c>
      <c r="O340" s="110" t="str">
        <f>IFERROR(VLOOKUP($A340,'The List'!$B1:$AS665,22,FALSE)," ")</f>
        <v xml:space="preserve"> </v>
      </c>
      <c r="P340" s="110" t="str">
        <f>IFERROR(VLOOKUP($A340,'The List'!$B1:$AS665,23,FALSE)," ")</f>
        <v xml:space="preserve"> </v>
      </c>
      <c r="Q340" s="110" t="str">
        <f>IFERROR(VLOOKUP($A340,'The List'!$B1:$AS665,24,FALSE)," ")</f>
        <v xml:space="preserve"> </v>
      </c>
      <c r="R340" s="110" t="str">
        <f>IFERROR(VLOOKUP($A340,'The List'!$B1:$AS665,25,FALSE)," ")</f>
        <v xml:space="preserve"> </v>
      </c>
      <c r="S340" s="110" t="str">
        <f>IFERROR(VLOOKUP($A340,'The List'!$B1:$AS665,26,FALSE)," ")</f>
        <v xml:space="preserve"> </v>
      </c>
      <c r="T340" s="110" t="str">
        <f>IFERROR(VLOOKUP($A340,'The List'!$B1:$AS665,27,FALSE)," ")</f>
        <v xml:space="preserve"> </v>
      </c>
      <c r="U340" s="110" t="str">
        <f>IFERROR(VLOOKUP($A340,'The List'!$B1:$AS665,28,FALSE)," ")</f>
        <v xml:space="preserve"> </v>
      </c>
      <c r="V340" s="110" t="str">
        <f>IFERROR(VLOOKUP($A340,'The List'!$B1:$AS665,29,FALSE)," ")</f>
        <v xml:space="preserve"> </v>
      </c>
      <c r="W340" s="110" t="str">
        <f>IFERROR(VLOOKUP($A340,'The List'!$B1:$AS665,30,FALSE)," ")</f>
        <v xml:space="preserve"> </v>
      </c>
      <c r="X340" s="110" t="str">
        <f>IFERROR(VLOOKUP($A340,'The List'!$B1:$AS665,31,FALSE)," ")</f>
        <v xml:space="preserve"> </v>
      </c>
      <c r="Y340" s="110" t="str">
        <f>IFERROR(VLOOKUP($A340,'The List'!$B1:$AS665,32,FALSE)," ")</f>
        <v xml:space="preserve"> </v>
      </c>
      <c r="Z340" s="110" t="str">
        <f>IFERROR(VLOOKUP($A340,'The List'!$B1:$AS665,33,FALSE)," ")</f>
        <v xml:space="preserve"> </v>
      </c>
      <c r="AA340" s="86"/>
      <c r="AB340" s="91"/>
      <c r="AC340" s="91"/>
      <c r="AD340" s="91"/>
      <c r="AE340" s="91"/>
      <c r="AF340" s="91"/>
    </row>
    <row r="341" spans="1:32" ht="21.25" customHeight="1" x14ac:dyDescent="0.15">
      <c r="A341" s="111"/>
      <c r="B341" s="112"/>
      <c r="C341" s="113"/>
      <c r="D341" s="114"/>
      <c r="E341" s="146" t="str">
        <f>IFERROR(AVERAGE(E321:E340)," ")</f>
        <v xml:space="preserve"> </v>
      </c>
      <c r="F341" s="116">
        <f>SUM(F321:F340)</f>
        <v>0</v>
      </c>
      <c r="G341" s="116">
        <f>SUM(G321:G340)</f>
        <v>0</v>
      </c>
      <c r="H341" s="117"/>
      <c r="I341" s="118">
        <f>SUM(I321:I340)</f>
        <v>0</v>
      </c>
      <c r="J341" s="117" t="e">
        <f>AVERAGE(J321:J340)</f>
        <v>#DIV/0!</v>
      </c>
      <c r="K341" s="118">
        <f t="shared" ref="K341:Y341" si="22">SUM(K321:K340)</f>
        <v>0</v>
      </c>
      <c r="L341" s="118">
        <f t="shared" si="22"/>
        <v>0</v>
      </c>
      <c r="M341" s="118">
        <f t="shared" si="22"/>
        <v>0</v>
      </c>
      <c r="N341" s="118">
        <f t="shared" si="22"/>
        <v>0</v>
      </c>
      <c r="O341" s="118">
        <f t="shared" si="22"/>
        <v>0</v>
      </c>
      <c r="P341" s="118">
        <f t="shared" si="22"/>
        <v>0</v>
      </c>
      <c r="Q341" s="118">
        <f t="shared" si="22"/>
        <v>0</v>
      </c>
      <c r="R341" s="118">
        <f t="shared" si="22"/>
        <v>0</v>
      </c>
      <c r="S341" s="118">
        <f t="shared" si="22"/>
        <v>0</v>
      </c>
      <c r="T341" s="118">
        <f t="shared" si="22"/>
        <v>0</v>
      </c>
      <c r="U341" s="118">
        <f t="shared" si="22"/>
        <v>0</v>
      </c>
      <c r="V341" s="118">
        <f t="shared" si="22"/>
        <v>0</v>
      </c>
      <c r="W341" s="118">
        <f t="shared" si="22"/>
        <v>0</v>
      </c>
      <c r="X341" s="118">
        <f t="shared" si="22"/>
        <v>0</v>
      </c>
      <c r="Y341" s="118">
        <f t="shared" si="22"/>
        <v>0</v>
      </c>
      <c r="Z341" s="119">
        <f>IFERROR(X341/(X341+Y341),0)</f>
        <v>0</v>
      </c>
      <c r="AA341" s="86"/>
      <c r="AB341" s="120"/>
      <c r="AC341" s="120"/>
      <c r="AD341" s="120"/>
      <c r="AE341" s="120"/>
      <c r="AF341" s="120"/>
    </row>
    <row r="342" spans="1:32" ht="21.25" customHeight="1" x14ac:dyDescent="0.15">
      <c r="A342" s="34"/>
      <c r="B342" s="121"/>
      <c r="C342" s="122"/>
      <c r="D342" s="12"/>
      <c r="E342" s="12"/>
      <c r="F342" s="123"/>
      <c r="G342" s="124"/>
      <c r="H342" s="125"/>
      <c r="I342" s="12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91"/>
      <c r="AC342" s="91"/>
      <c r="AD342" s="91"/>
      <c r="AE342" s="91"/>
      <c r="AF342" s="91"/>
    </row>
    <row r="343" spans="1:32" ht="21.25" customHeight="1" x14ac:dyDescent="0.15">
      <c r="A343" s="37" t="s">
        <v>89</v>
      </c>
      <c r="B343" s="205" t="s">
        <v>91</v>
      </c>
      <c r="C343" s="195"/>
      <c r="D343" s="40" t="s">
        <v>92</v>
      </c>
      <c r="E343" s="40" t="s">
        <v>93</v>
      </c>
      <c r="F343" s="127" t="s">
        <v>95</v>
      </c>
      <c r="G343" s="127" t="s">
        <v>97</v>
      </c>
      <c r="H343" s="128"/>
      <c r="I343" s="129" t="s">
        <v>102</v>
      </c>
      <c r="J343" s="129" t="s">
        <v>118</v>
      </c>
      <c r="K343" s="129" t="s">
        <v>119</v>
      </c>
      <c r="L343" s="129" t="s">
        <v>120</v>
      </c>
      <c r="M343" s="129" t="s">
        <v>121</v>
      </c>
      <c r="N343" s="129" t="s">
        <v>122</v>
      </c>
      <c r="O343" s="129" t="s">
        <v>123</v>
      </c>
      <c r="P343" s="129" t="s">
        <v>124</v>
      </c>
      <c r="Q343" s="129" t="s">
        <v>125</v>
      </c>
      <c r="R343" s="86"/>
      <c r="S343" s="86"/>
      <c r="T343" s="86"/>
      <c r="U343" s="205" t="s">
        <v>809</v>
      </c>
      <c r="V343" s="206"/>
      <c r="W343" s="206"/>
      <c r="X343" s="205" t="s">
        <v>810</v>
      </c>
      <c r="Y343" s="206"/>
      <c r="Z343" s="206"/>
      <c r="AA343" s="86"/>
      <c r="AB343" s="86"/>
      <c r="AC343" s="86"/>
      <c r="AD343" s="86"/>
      <c r="AE343" s="86"/>
      <c r="AF343" s="86"/>
    </row>
    <row r="344" spans="1:32" ht="21.25" customHeight="1" x14ac:dyDescent="0.15">
      <c r="A344" s="147"/>
      <c r="B344" s="131" t="str">
        <f>IFERROR(VLOOKUP($A344,'The List'!$B1:$AS665,3,FALSE)," ")</f>
        <v xml:space="preserve"> </v>
      </c>
      <c r="C344" s="148" t="str">
        <f>IFERROR(VLOOKUP($A344,'The List'!$B1:$AS665,4,FALSE)," ")</f>
        <v xml:space="preserve"> </v>
      </c>
      <c r="D344" s="49" t="str">
        <f>IFERROR(VLOOKUP($A344,'The List'!$B1:$AS665,5,FALSE)," ")</f>
        <v xml:space="preserve"> </v>
      </c>
      <c r="E344" s="49" t="str">
        <f>IFERROR(VLOOKUP($A344,'The List'!$B1:$AS665,6,FALSE)," ")</f>
        <v xml:space="preserve"> </v>
      </c>
      <c r="F344" s="149" t="str">
        <f>IFERROR(VLOOKUP($A344,'The List'!$B1:$AS665,8,FALSE)," ")</f>
        <v xml:space="preserve"> </v>
      </c>
      <c r="G344" s="149" t="str">
        <f>IFERROR(VLOOKUP($A344,'The List'!$B1:$AS665,10,FALSE)," ")</f>
        <v xml:space="preserve"> </v>
      </c>
      <c r="H344" s="135"/>
      <c r="I344" s="150" t="str">
        <f>IFERROR(VLOOKUP($A344,'The List'!$B1:$AS665,35,FALSE)," ")</f>
        <v xml:space="preserve"> </v>
      </c>
      <c r="J344" s="150" t="str">
        <f>IFERROR(VLOOKUP($A344,'The List'!$B1:$AS665,36,FALSE)," ")</f>
        <v xml:space="preserve"> </v>
      </c>
      <c r="K344" s="150" t="str">
        <f>IFERROR(VLOOKUP($A344,'The List'!$B1:$AS665,37,FALSE)," ")</f>
        <v xml:space="preserve"> </v>
      </c>
      <c r="L344" s="150" t="str">
        <f>IFERROR(VLOOKUP($A344,'The List'!$B1:$AS665,38,FALSE)," ")</f>
        <v xml:space="preserve"> </v>
      </c>
      <c r="M344" s="150" t="str">
        <f>IFERROR(VLOOKUP($A344,'The List'!$B1:$AS665,39,FALSE)," ")</f>
        <v xml:space="preserve"> </v>
      </c>
      <c r="N344" s="150" t="str">
        <f>IFERROR(VLOOKUP($A344,'The List'!$B1:$AS665,40,FALSE)," ")</f>
        <v xml:space="preserve"> </v>
      </c>
      <c r="O344" s="150" t="str">
        <f>IFERROR(VLOOKUP($A344,'The List'!$B1:$AS665,41,FALSE)," ")</f>
        <v xml:space="preserve"> </v>
      </c>
      <c r="P344" s="150" t="str">
        <f>IFERROR(VLOOKUP($A344,'The List'!$B1:$AS665,42,FALSE)," ")</f>
        <v xml:space="preserve"> </v>
      </c>
      <c r="Q344" s="150" t="str">
        <f>IFERROR(VLOOKUP($A344,'The List'!$B1:$AS665,43,FALSE)," ")</f>
        <v xml:space="preserve"> </v>
      </c>
      <c r="R344" s="86"/>
      <c r="S344" s="86"/>
      <c r="T344" s="139" t="str">
        <f>A320</f>
        <v>TEAM 12</v>
      </c>
      <c r="U344" s="207">
        <f>F341+F347</f>
        <v>0</v>
      </c>
      <c r="V344" s="195"/>
      <c r="W344" s="195"/>
      <c r="X344" s="207">
        <f>G347+G341</f>
        <v>0</v>
      </c>
      <c r="Y344" s="195"/>
      <c r="Z344" s="195"/>
      <c r="AA344" s="86"/>
      <c r="AB344" s="86"/>
      <c r="AC344" s="86"/>
      <c r="AD344" s="86"/>
      <c r="AE344" s="86"/>
      <c r="AF344" s="86"/>
    </row>
    <row r="345" spans="1:32" ht="21.25" customHeight="1" x14ac:dyDescent="0.15">
      <c r="A345" s="23"/>
      <c r="B345" s="140" t="str">
        <f>IFERROR(VLOOKUP($A345,'The List'!$B1:$AS665,3,FALSE)," ")</f>
        <v xml:space="preserve"> </v>
      </c>
      <c r="C345" s="141" t="str">
        <f>IFERROR(VLOOKUP($A345,'The List'!$B1:$AS665,4,FALSE)," ")</f>
        <v xml:space="preserve"> </v>
      </c>
      <c r="D345" s="65" t="str">
        <f>IFERROR(VLOOKUP($A345,'The List'!$B1:$AS665,5,FALSE)," ")</f>
        <v xml:space="preserve"> </v>
      </c>
      <c r="E345" s="65" t="str">
        <f>IFERROR(VLOOKUP($A345,'The List'!$B1:$AS665,6,FALSE)," ")</f>
        <v xml:space="preserve"> </v>
      </c>
      <c r="F345" s="93" t="str">
        <f>IFERROR(VLOOKUP($A345,'The List'!$B1:$AS665,8,FALSE)," ")</f>
        <v xml:space="preserve"> </v>
      </c>
      <c r="G345" s="93" t="str">
        <f>IFERROR(VLOOKUP($A345,'The List'!$B1:$AS665,10,FALSE)," ")</f>
        <v xml:space="preserve"> </v>
      </c>
      <c r="H345" s="54"/>
      <c r="I345" s="83" t="str">
        <f>IFERROR(VLOOKUP($A345,'The List'!$B1:$AS665,35,FALSE)," ")</f>
        <v xml:space="preserve"> </v>
      </c>
      <c r="J345" s="83" t="str">
        <f>IFERROR(VLOOKUP($A345,'The List'!$B1:$AS665,36,FALSE)," ")</f>
        <v xml:space="preserve"> </v>
      </c>
      <c r="K345" s="83" t="str">
        <f>IFERROR(VLOOKUP($A345,'The List'!$B1:$AS665,37,FALSE)," ")</f>
        <v xml:space="preserve"> </v>
      </c>
      <c r="L345" s="83" t="str">
        <f>IFERROR(VLOOKUP($A345,'The List'!$B1:$AS665,38,FALSE)," ")</f>
        <v xml:space="preserve"> </v>
      </c>
      <c r="M345" s="83" t="str">
        <f>IFERROR(VLOOKUP($A345,'The List'!$B1:$AS665,39,FALSE)," ")</f>
        <v xml:space="preserve"> </v>
      </c>
      <c r="N345" s="83" t="str">
        <f>IFERROR(VLOOKUP($A345,'The List'!$B1:$AS665,40,FALSE)," ")</f>
        <v xml:space="preserve"> </v>
      </c>
      <c r="O345" s="83" t="str">
        <f>IFERROR(VLOOKUP($A345,'The List'!$B1:$AS665,41,FALSE)," ")</f>
        <v xml:space="preserve"> </v>
      </c>
      <c r="P345" s="83" t="str">
        <f>IFERROR(VLOOKUP($A345,'The List'!$B1:$AS665,42,FALSE)," ")</f>
        <v xml:space="preserve"> </v>
      </c>
      <c r="Q345" s="83" t="str">
        <f>IFERROR(VLOOKUP($A345,'The List'!$B1:$AS665,43,FALSE)," ")</f>
        <v xml:space="preserve"> </v>
      </c>
      <c r="R345" s="86"/>
      <c r="S345" s="86"/>
      <c r="T345" s="86"/>
      <c r="U345" s="195"/>
      <c r="V345" s="195"/>
      <c r="W345" s="195"/>
      <c r="X345" s="195"/>
      <c r="Y345" s="195"/>
      <c r="Z345" s="195"/>
      <c r="AA345" s="86"/>
      <c r="AB345" s="86"/>
      <c r="AC345" s="86"/>
      <c r="AD345" s="86"/>
      <c r="AE345" s="86"/>
      <c r="AF345" s="86"/>
    </row>
    <row r="346" spans="1:32" ht="21.25" customHeight="1" x14ac:dyDescent="0.15">
      <c r="A346" s="104"/>
      <c r="B346" s="142" t="str">
        <f>IFERROR(VLOOKUP($A346,'The List'!$B1:$AS665,3,FALSE)," ")</f>
        <v xml:space="preserve"> </v>
      </c>
      <c r="C346" s="143" t="str">
        <f>IFERROR(VLOOKUP($A346,'The List'!$B1:$AS665,4,FALSE)," ")</f>
        <v xml:space="preserve"> </v>
      </c>
      <c r="D346" s="107" t="str">
        <f>IFERROR(VLOOKUP($A346,'The List'!$B1:$AS665,5,FALSE)," ")</f>
        <v xml:space="preserve"> </v>
      </c>
      <c r="E346" s="107" t="str">
        <f>IFERROR(VLOOKUP($A346,'The List'!$B1:$AS665,6,FALSE)," ")</f>
        <v xml:space="preserve"> </v>
      </c>
      <c r="F346" s="108" t="str">
        <f>IFERROR(VLOOKUP($A346,'The List'!$B1:$AS665,8,FALSE)," ")</f>
        <v xml:space="preserve"> </v>
      </c>
      <c r="G346" s="108" t="str">
        <f>IFERROR(VLOOKUP($A346,'The List'!$B1:$AS665,10,FALSE)," ")</f>
        <v xml:space="preserve"> </v>
      </c>
      <c r="H346" s="109"/>
      <c r="I346" s="110" t="str">
        <f>IFERROR(VLOOKUP($A346,'The List'!$B1:$AS665,35,FALSE)," ")</f>
        <v xml:space="preserve"> </v>
      </c>
      <c r="J346" s="110" t="str">
        <f>IFERROR(VLOOKUP($A346,'The List'!$B1:$AS665,36,FALSE)," ")</f>
        <v xml:space="preserve"> </v>
      </c>
      <c r="K346" s="110" t="str">
        <f>IFERROR(VLOOKUP($A346,'The List'!$B1:$AS665,37,FALSE)," ")</f>
        <v xml:space="preserve"> </v>
      </c>
      <c r="L346" s="110" t="str">
        <f>IFERROR(VLOOKUP($A346,'The List'!$B1:$AS665,38,FALSE)," ")</f>
        <v xml:space="preserve"> </v>
      </c>
      <c r="M346" s="110" t="str">
        <f>IFERROR(VLOOKUP($A346,'The List'!$B1:$AS665,39,FALSE)," ")</f>
        <v xml:space="preserve"> </v>
      </c>
      <c r="N346" s="110" t="str">
        <f>IFERROR(VLOOKUP($A346,'The List'!$B1:$AS665,40,FALSE)," ")</f>
        <v xml:space="preserve"> </v>
      </c>
      <c r="O346" s="110" t="str">
        <f>IFERROR(VLOOKUP($A346,'The List'!$B1:$AS665,41,FALSE)," ")</f>
        <v xml:space="preserve"> </v>
      </c>
      <c r="P346" s="110" t="str">
        <f>IFERROR(VLOOKUP($A346,'The List'!$B1:$AS665,42,FALSE)," ")</f>
        <v xml:space="preserve"> </v>
      </c>
      <c r="Q346" s="110" t="str">
        <f>IFERROR(VLOOKUP($A346,'The List'!$B1:$AS665,43,FALSE)," ")</f>
        <v xml:space="preserve"> </v>
      </c>
      <c r="R346" s="86"/>
      <c r="S346" s="86"/>
      <c r="T346" s="86"/>
      <c r="U346" s="195"/>
      <c r="V346" s="195"/>
      <c r="W346" s="195"/>
      <c r="X346" s="195"/>
      <c r="Y346" s="195"/>
      <c r="Z346" s="195"/>
      <c r="AA346" s="86"/>
      <c r="AB346" s="86"/>
      <c r="AC346" s="86"/>
      <c r="AD346" s="86"/>
      <c r="AE346" s="86"/>
      <c r="AF346" s="86"/>
    </row>
    <row r="347" spans="1:32" ht="21.25" customHeight="1" x14ac:dyDescent="0.15">
      <c r="A347" s="111"/>
      <c r="B347" s="112"/>
      <c r="C347" s="113"/>
      <c r="D347" s="114"/>
      <c r="E347" s="146" t="str">
        <f>IFERROR(AVERAGE(E344:E346)," ")</f>
        <v xml:space="preserve"> </v>
      </c>
      <c r="F347" s="116">
        <f>SUM(F344:F346)</f>
        <v>0</v>
      </c>
      <c r="G347" s="116">
        <f>SUM(G344:G346)</f>
        <v>0</v>
      </c>
      <c r="H347" s="117"/>
      <c r="I347" s="118">
        <f t="shared" ref="I347:O347" si="23">SUM(I344:I346)</f>
        <v>0</v>
      </c>
      <c r="J347" s="117">
        <f t="shared" si="23"/>
        <v>0</v>
      </c>
      <c r="K347" s="118">
        <f t="shared" si="23"/>
        <v>0</v>
      </c>
      <c r="L347" s="118">
        <f t="shared" si="23"/>
        <v>0</v>
      </c>
      <c r="M347" s="118">
        <f t="shared" si="23"/>
        <v>0</v>
      </c>
      <c r="N347" s="118">
        <f t="shared" si="23"/>
        <v>0</v>
      </c>
      <c r="O347" s="118">
        <f t="shared" si="23"/>
        <v>0</v>
      </c>
      <c r="P347" s="144" t="e">
        <f>1-(O347/(N347+O347))</f>
        <v>#DIV/0!</v>
      </c>
      <c r="Q347" s="145" t="e">
        <f>O347/I347</f>
        <v>#DIV/0!</v>
      </c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</row>
    <row r="348" spans="1:32" ht="70.75" customHeight="1" x14ac:dyDescent="0.15">
      <c r="A348" s="34"/>
      <c r="B348" s="121"/>
      <c r="C348" s="122"/>
      <c r="D348" s="12"/>
      <c r="E348" s="12"/>
      <c r="F348" s="123"/>
      <c r="G348" s="124"/>
      <c r="H348" s="125"/>
      <c r="I348" s="12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91"/>
      <c r="AB348" s="91"/>
      <c r="AC348" s="91"/>
      <c r="AD348" s="91"/>
      <c r="AE348" s="91"/>
      <c r="AF348" s="91"/>
    </row>
    <row r="349" spans="1:32" ht="21.25" customHeight="1" x14ac:dyDescent="0.15">
      <c r="A349" s="38" t="s">
        <v>805</v>
      </c>
      <c r="B349" s="204" t="s">
        <v>91</v>
      </c>
      <c r="C349" s="200"/>
      <c r="D349" s="39" t="s">
        <v>92</v>
      </c>
      <c r="E349" s="39" t="s">
        <v>93</v>
      </c>
      <c r="F349" s="41" t="s">
        <v>95</v>
      </c>
      <c r="G349" s="41" t="s">
        <v>97</v>
      </c>
      <c r="H349" s="42"/>
      <c r="I349" s="44" t="s">
        <v>102</v>
      </c>
      <c r="J349" s="44" t="s">
        <v>55</v>
      </c>
      <c r="K349" s="44" t="s">
        <v>103</v>
      </c>
      <c r="L349" s="44" t="s">
        <v>104</v>
      </c>
      <c r="M349" s="44" t="s">
        <v>105</v>
      </c>
      <c r="N349" s="44" t="s">
        <v>106</v>
      </c>
      <c r="O349" s="44" t="s">
        <v>107</v>
      </c>
      <c r="P349" s="44" t="s">
        <v>63</v>
      </c>
      <c r="Q349" s="44" t="s">
        <v>108</v>
      </c>
      <c r="R349" s="44" t="s">
        <v>109</v>
      </c>
      <c r="S349" s="44" t="s">
        <v>110</v>
      </c>
      <c r="T349" s="44" t="s">
        <v>111</v>
      </c>
      <c r="U349" s="44" t="s">
        <v>112</v>
      </c>
      <c r="V349" s="44" t="s">
        <v>113</v>
      </c>
      <c r="W349" s="44" t="s">
        <v>114</v>
      </c>
      <c r="X349" s="44" t="s">
        <v>115</v>
      </c>
      <c r="Y349" s="44" t="s">
        <v>116</v>
      </c>
      <c r="Z349" s="44" t="s">
        <v>117</v>
      </c>
      <c r="AA349" s="86"/>
      <c r="AB349" s="87"/>
      <c r="AC349" s="87"/>
      <c r="AD349" s="87"/>
      <c r="AE349" s="87"/>
      <c r="AF349" s="87"/>
    </row>
    <row r="350" spans="1:32" ht="21.25" customHeight="1" x14ac:dyDescent="0.15">
      <c r="A350" s="23"/>
      <c r="B350" s="88" t="str">
        <f>IFERROR(VLOOKUP($A350,'The List'!$B1:$AS665,3,FALSE)," ")</f>
        <v xml:space="preserve"> </v>
      </c>
      <c r="C350" s="92" t="str">
        <f>IFERROR(VLOOKUP($A350,'The List'!$B1:$AS665,4,FALSE)," ")</f>
        <v xml:space="preserve"> </v>
      </c>
      <c r="D350" s="65" t="str">
        <f>IFERROR(VLOOKUP($A350,'The List'!$B1:$AS665,5,FALSE)," ")</f>
        <v xml:space="preserve"> </v>
      </c>
      <c r="E350" s="65" t="str">
        <f>IFERROR(VLOOKUP($A350,'The List'!$B1:$AS665,6,FALSE)," ")</f>
        <v xml:space="preserve"> </v>
      </c>
      <c r="F350" s="93" t="str">
        <f>IFERROR(VLOOKUP($A350,'The List'!$B1:$AS665,8,FALSE)," ")</f>
        <v xml:space="preserve"> </v>
      </c>
      <c r="G350" s="93" t="str">
        <f>IFERROR(VLOOKUP($A350,'The List'!$B1:$AS665,10,FALSE)," ")</f>
        <v xml:space="preserve"> </v>
      </c>
      <c r="H350" s="54"/>
      <c r="I350" s="83" t="str">
        <f>IFERROR(VLOOKUP($A350,'The List'!$B1:$AS665,16,FALSE)," ")</f>
        <v xml:space="preserve"> </v>
      </c>
      <c r="J350" s="83" t="str">
        <f>IFERROR(VLOOKUP($A350,'The List'!$B1:$AS665,17,FALSE)," ")</f>
        <v xml:space="preserve"> </v>
      </c>
      <c r="K350" s="83" t="str">
        <f>IFERROR(VLOOKUP($A350,'The List'!$B1:$AS665,18,FALSE)," ")</f>
        <v xml:space="preserve"> </v>
      </c>
      <c r="L350" s="83" t="str">
        <f>IFERROR(VLOOKUP($A350,'The List'!$B1:$AS665,19,FALSE)," ")</f>
        <v xml:space="preserve"> </v>
      </c>
      <c r="M350" s="83" t="str">
        <f>IFERROR(VLOOKUP($A350,'The List'!$B1:$AS665,20,FALSE)," ")</f>
        <v xml:space="preserve"> </v>
      </c>
      <c r="N350" s="83" t="str">
        <f>IFERROR(VLOOKUP($A350,'The List'!$B1:$AS665,21,FALSE)," ")</f>
        <v xml:space="preserve"> </v>
      </c>
      <c r="O350" s="83" t="str">
        <f>IFERROR(VLOOKUP($A350,'The List'!$B1:$AS665,22,FALSE)," ")</f>
        <v xml:space="preserve"> </v>
      </c>
      <c r="P350" s="83" t="str">
        <f>IFERROR(VLOOKUP($A350,'The List'!$B1:$AS665,23,FALSE)," ")</f>
        <v xml:space="preserve"> </v>
      </c>
      <c r="Q350" s="83" t="str">
        <f>IFERROR(VLOOKUP($A350,'The List'!$B1:$AS665,24,FALSE)," ")</f>
        <v xml:space="preserve"> </v>
      </c>
      <c r="R350" s="83" t="str">
        <f>IFERROR(VLOOKUP($A350,'The List'!$B1:$AS665,25,FALSE)," ")</f>
        <v xml:space="preserve"> </v>
      </c>
      <c r="S350" s="83" t="str">
        <f>IFERROR(VLOOKUP($A350,'The List'!$B1:$AS665,26,FALSE)," ")</f>
        <v xml:space="preserve"> </v>
      </c>
      <c r="T350" s="83" t="str">
        <f>IFERROR(VLOOKUP($A350,'The List'!$B1:$AS665,27,FALSE)," ")</f>
        <v xml:space="preserve"> </v>
      </c>
      <c r="U350" s="83" t="str">
        <f>IFERROR(VLOOKUP($A350,'The List'!$B1:$AS665,28,FALSE)," ")</f>
        <v xml:space="preserve"> </v>
      </c>
      <c r="V350" s="83" t="str">
        <f>IFERROR(VLOOKUP($A350,'The List'!$B1:$AS665,29,FALSE)," ")</f>
        <v xml:space="preserve"> </v>
      </c>
      <c r="W350" s="83" t="str">
        <f>IFERROR(VLOOKUP($A350,'The List'!$B1:$AS665,30,FALSE)," ")</f>
        <v xml:space="preserve"> </v>
      </c>
      <c r="X350" s="83" t="str">
        <f>IFERROR(VLOOKUP($A350,'The List'!$B1:$AS665,31,FALSE)," ")</f>
        <v xml:space="preserve"> </v>
      </c>
      <c r="Y350" s="83" t="str">
        <f>IFERROR(VLOOKUP($A350,'The List'!$B1:$AS665,32,FALSE)," ")</f>
        <v xml:space="preserve"> </v>
      </c>
      <c r="Z350" s="83" t="str">
        <f>IFERROR(VLOOKUP($A350,'The List'!$B1:$AS665,33,FALSE)," ")</f>
        <v xml:space="preserve"> </v>
      </c>
      <c r="AA350" s="86"/>
      <c r="AB350" s="91"/>
      <c r="AC350" s="91"/>
      <c r="AD350" s="91"/>
      <c r="AE350" s="91"/>
      <c r="AF350" s="91"/>
    </row>
    <row r="351" spans="1:32" ht="21.25" customHeight="1" x14ac:dyDescent="0.15">
      <c r="A351" s="23"/>
      <c r="B351" s="88" t="str">
        <f>IFERROR(VLOOKUP($A351,'The List'!$B1:$AS665,3,FALSE)," ")</f>
        <v xml:space="preserve"> </v>
      </c>
      <c r="C351" s="92" t="str">
        <f>IFERROR(VLOOKUP($A351,'The List'!$B1:$AS665,4,FALSE)," ")</f>
        <v xml:space="preserve"> </v>
      </c>
      <c r="D351" s="65" t="str">
        <f>IFERROR(VLOOKUP($A351,'The List'!$B1:$AS665,5,FALSE)," ")</f>
        <v xml:space="preserve"> </v>
      </c>
      <c r="E351" s="65" t="str">
        <f>IFERROR(VLOOKUP($A351,'The List'!$B1:$AS665,6,FALSE)," ")</f>
        <v xml:space="preserve"> </v>
      </c>
      <c r="F351" s="93" t="str">
        <f>IFERROR(VLOOKUP($A351,'The List'!$B1:$AS665,8,FALSE)," ")</f>
        <v xml:space="preserve"> </v>
      </c>
      <c r="G351" s="93" t="str">
        <f>IFERROR(VLOOKUP($A351,'The List'!$B1:$AS665,10,FALSE)," ")</f>
        <v xml:space="preserve"> </v>
      </c>
      <c r="H351" s="54"/>
      <c r="I351" s="83" t="str">
        <f>IFERROR(VLOOKUP($A351,'The List'!$B1:$AS665,16,FALSE)," ")</f>
        <v xml:space="preserve"> </v>
      </c>
      <c r="J351" s="83" t="str">
        <f>IFERROR(VLOOKUP($A351,'The List'!$B1:$AS665,17,FALSE)," ")</f>
        <v xml:space="preserve"> </v>
      </c>
      <c r="K351" s="83" t="str">
        <f>IFERROR(VLOOKUP($A351,'The List'!$B1:$AS665,18,FALSE)," ")</f>
        <v xml:space="preserve"> </v>
      </c>
      <c r="L351" s="83" t="str">
        <f>IFERROR(VLOOKUP($A351,'The List'!$B1:$AS665,19,FALSE)," ")</f>
        <v xml:space="preserve"> </v>
      </c>
      <c r="M351" s="83" t="str">
        <f>IFERROR(VLOOKUP($A351,'The List'!$B1:$AS665,20,FALSE)," ")</f>
        <v xml:space="preserve"> </v>
      </c>
      <c r="N351" s="83" t="str">
        <f>IFERROR(VLOOKUP($A351,'The List'!$B1:$AS665,21,FALSE)," ")</f>
        <v xml:space="preserve"> </v>
      </c>
      <c r="O351" s="83" t="str">
        <f>IFERROR(VLOOKUP($A351,'The List'!$B1:$AS665,22,FALSE)," ")</f>
        <v xml:space="preserve"> </v>
      </c>
      <c r="P351" s="83" t="str">
        <f>IFERROR(VLOOKUP($A351,'The List'!$B1:$AS665,23,FALSE)," ")</f>
        <v xml:space="preserve"> </v>
      </c>
      <c r="Q351" s="83" t="str">
        <f>IFERROR(VLOOKUP($A351,'The List'!$B1:$AS665,24,FALSE)," ")</f>
        <v xml:space="preserve"> </v>
      </c>
      <c r="R351" s="83" t="str">
        <f>IFERROR(VLOOKUP($A351,'The List'!$B1:$AS665,25,FALSE)," ")</f>
        <v xml:space="preserve"> </v>
      </c>
      <c r="S351" s="83" t="str">
        <f>IFERROR(VLOOKUP($A351,'The List'!$B1:$AS665,26,FALSE)," ")</f>
        <v xml:space="preserve"> </v>
      </c>
      <c r="T351" s="83" t="str">
        <f>IFERROR(VLOOKUP($A351,'The List'!$B1:$AS665,27,FALSE)," ")</f>
        <v xml:space="preserve"> </v>
      </c>
      <c r="U351" s="83" t="str">
        <f>IFERROR(VLOOKUP($A351,'The List'!$B1:$AS665,28,FALSE)," ")</f>
        <v xml:space="preserve"> </v>
      </c>
      <c r="V351" s="83" t="str">
        <f>IFERROR(VLOOKUP($A351,'The List'!$B1:$AS665,29,FALSE)," ")</f>
        <v xml:space="preserve"> </v>
      </c>
      <c r="W351" s="83" t="str">
        <f>IFERROR(VLOOKUP($A351,'The List'!$B1:$AS665,30,FALSE)," ")</f>
        <v xml:space="preserve"> </v>
      </c>
      <c r="X351" s="83" t="str">
        <f>IFERROR(VLOOKUP($A351,'The List'!$B1:$AS665,31,FALSE)," ")</f>
        <v xml:space="preserve"> </v>
      </c>
      <c r="Y351" s="83" t="str">
        <f>IFERROR(VLOOKUP($A351,'The List'!$B1:$AS665,32,FALSE)," ")</f>
        <v xml:space="preserve"> </v>
      </c>
      <c r="Z351" s="83" t="str">
        <f>IFERROR(VLOOKUP($A351,'The List'!$B1:$AS665,33,FALSE)," ")</f>
        <v xml:space="preserve"> </v>
      </c>
      <c r="AA351" s="86"/>
      <c r="AB351" s="91"/>
      <c r="AC351" s="91"/>
      <c r="AD351" s="91"/>
      <c r="AE351" s="91"/>
      <c r="AF351" s="91"/>
    </row>
    <row r="352" spans="1:32" ht="21.25" customHeight="1" x14ac:dyDescent="0.15">
      <c r="A352" s="23"/>
      <c r="B352" s="88" t="str">
        <f>IFERROR(VLOOKUP($A352,'The List'!$B1:$AS665,3,FALSE)," ")</f>
        <v xml:space="preserve"> </v>
      </c>
      <c r="C352" s="92" t="str">
        <f>IFERROR(VLOOKUP($A352,'The List'!$B1:$AS665,4,FALSE)," ")</f>
        <v xml:space="preserve"> </v>
      </c>
      <c r="D352" s="65" t="str">
        <f>IFERROR(VLOOKUP($A352,'The List'!$B1:$AS665,5,FALSE)," ")</f>
        <v xml:space="preserve"> </v>
      </c>
      <c r="E352" s="65" t="str">
        <f>IFERROR(VLOOKUP($A352,'The List'!$B1:$AS665,6,FALSE)," ")</f>
        <v xml:space="preserve"> </v>
      </c>
      <c r="F352" s="93" t="str">
        <f>IFERROR(VLOOKUP($A352,'The List'!$B1:$AS665,8,FALSE)," ")</f>
        <v xml:space="preserve"> </v>
      </c>
      <c r="G352" s="93" t="str">
        <f>IFERROR(VLOOKUP($A352,'The List'!$B1:$AS665,10,FALSE)," ")</f>
        <v xml:space="preserve"> </v>
      </c>
      <c r="H352" s="54"/>
      <c r="I352" s="83" t="str">
        <f>IFERROR(VLOOKUP($A352,'The List'!$B1:$AS665,16,FALSE)," ")</f>
        <v xml:space="preserve"> </v>
      </c>
      <c r="J352" s="83" t="str">
        <f>IFERROR(VLOOKUP($A352,'The List'!$B1:$AS665,17,FALSE)," ")</f>
        <v xml:space="preserve"> </v>
      </c>
      <c r="K352" s="83" t="str">
        <f>IFERROR(VLOOKUP($A352,'The List'!$B1:$AS665,18,FALSE)," ")</f>
        <v xml:space="preserve"> </v>
      </c>
      <c r="L352" s="83" t="str">
        <f>IFERROR(VLOOKUP($A352,'The List'!$B1:$AS665,19,FALSE)," ")</f>
        <v xml:space="preserve"> </v>
      </c>
      <c r="M352" s="83" t="str">
        <f>IFERROR(VLOOKUP($A352,'The List'!$B1:$AS665,20,FALSE)," ")</f>
        <v xml:space="preserve"> </v>
      </c>
      <c r="N352" s="83" t="str">
        <f>IFERROR(VLOOKUP($A352,'The List'!$B1:$AS665,21,FALSE)," ")</f>
        <v xml:space="preserve"> </v>
      </c>
      <c r="O352" s="83" t="str">
        <f>IFERROR(VLOOKUP($A352,'The List'!$B1:$AS665,22,FALSE)," ")</f>
        <v xml:space="preserve"> </v>
      </c>
      <c r="P352" s="83" t="str">
        <f>IFERROR(VLOOKUP($A352,'The List'!$B1:$AS665,23,FALSE)," ")</f>
        <v xml:space="preserve"> </v>
      </c>
      <c r="Q352" s="83" t="str">
        <f>IFERROR(VLOOKUP($A352,'The List'!$B1:$AS665,24,FALSE)," ")</f>
        <v xml:space="preserve"> </v>
      </c>
      <c r="R352" s="83" t="str">
        <f>IFERROR(VLOOKUP($A352,'The List'!$B1:$AS665,25,FALSE)," ")</f>
        <v xml:space="preserve"> </v>
      </c>
      <c r="S352" s="83" t="str">
        <f>IFERROR(VLOOKUP($A352,'The List'!$B1:$AS665,26,FALSE)," ")</f>
        <v xml:space="preserve"> </v>
      </c>
      <c r="T352" s="83" t="str">
        <f>IFERROR(VLOOKUP($A352,'The List'!$B1:$AS665,27,FALSE)," ")</f>
        <v xml:space="preserve"> </v>
      </c>
      <c r="U352" s="83" t="str">
        <f>IFERROR(VLOOKUP($A352,'The List'!$B1:$AS665,28,FALSE)," ")</f>
        <v xml:space="preserve"> </v>
      </c>
      <c r="V352" s="83" t="str">
        <f>IFERROR(VLOOKUP($A352,'The List'!$B1:$AS665,29,FALSE)," ")</f>
        <v xml:space="preserve"> </v>
      </c>
      <c r="W352" s="83" t="str">
        <f>IFERROR(VLOOKUP($A352,'The List'!$B1:$AS665,30,FALSE)," ")</f>
        <v xml:space="preserve"> </v>
      </c>
      <c r="X352" s="83" t="str">
        <f>IFERROR(VLOOKUP($A352,'The List'!$B1:$AS665,31,FALSE)," ")</f>
        <v xml:space="preserve"> </v>
      </c>
      <c r="Y352" s="83" t="str">
        <f>IFERROR(VLOOKUP($A352,'The List'!$B1:$AS665,32,FALSE)," ")</f>
        <v xml:space="preserve"> </v>
      </c>
      <c r="Z352" s="83" t="str">
        <f>IFERROR(VLOOKUP($A352,'The List'!$B1:$AS665,33,FALSE)," ")</f>
        <v xml:space="preserve"> </v>
      </c>
      <c r="AA352" s="86"/>
      <c r="AB352" s="91"/>
      <c r="AC352" s="91"/>
      <c r="AD352" s="91"/>
      <c r="AE352" s="91"/>
      <c r="AF352" s="91"/>
    </row>
    <row r="353" spans="1:32" ht="21.25" customHeight="1" x14ac:dyDescent="0.15">
      <c r="A353" s="23"/>
      <c r="B353" s="88" t="str">
        <f>IFERROR(VLOOKUP($A353,'The List'!$B1:$AS665,3,FALSE)," ")</f>
        <v xml:space="preserve"> </v>
      </c>
      <c r="C353" s="92" t="str">
        <f>IFERROR(VLOOKUP($A353,'The List'!$B1:$AS665,4,FALSE)," ")</f>
        <v xml:space="preserve"> </v>
      </c>
      <c r="D353" s="65" t="str">
        <f>IFERROR(VLOOKUP($A353,'The List'!$B1:$AS665,5,FALSE)," ")</f>
        <v xml:space="preserve"> </v>
      </c>
      <c r="E353" s="65" t="str">
        <f>IFERROR(VLOOKUP($A353,'The List'!$B1:$AS665,6,FALSE)," ")</f>
        <v xml:space="preserve"> </v>
      </c>
      <c r="F353" s="93" t="str">
        <f>IFERROR(VLOOKUP($A353,'The List'!$B1:$AS665,8,FALSE)," ")</f>
        <v xml:space="preserve"> </v>
      </c>
      <c r="G353" s="93" t="str">
        <f>IFERROR(VLOOKUP($A353,'The List'!$B1:$AS665,10,FALSE)," ")</f>
        <v xml:space="preserve"> </v>
      </c>
      <c r="H353" s="54"/>
      <c r="I353" s="83" t="str">
        <f>IFERROR(VLOOKUP($A353,'The List'!$B1:$AS665,16,FALSE)," ")</f>
        <v xml:space="preserve"> </v>
      </c>
      <c r="J353" s="83" t="str">
        <f>IFERROR(VLOOKUP($A353,'The List'!$B1:$AS665,17,FALSE)," ")</f>
        <v xml:space="preserve"> </v>
      </c>
      <c r="K353" s="83" t="str">
        <f>IFERROR(VLOOKUP($A353,'The List'!$B1:$AS665,18,FALSE)," ")</f>
        <v xml:space="preserve"> </v>
      </c>
      <c r="L353" s="83" t="str">
        <f>IFERROR(VLOOKUP($A353,'The List'!$B1:$AS665,19,FALSE)," ")</f>
        <v xml:space="preserve"> </v>
      </c>
      <c r="M353" s="83" t="str">
        <f>IFERROR(VLOOKUP($A353,'The List'!$B1:$AS665,20,FALSE)," ")</f>
        <v xml:space="preserve"> </v>
      </c>
      <c r="N353" s="83" t="str">
        <f>IFERROR(VLOOKUP($A353,'The List'!$B1:$AS665,21,FALSE)," ")</f>
        <v xml:space="preserve"> </v>
      </c>
      <c r="O353" s="83" t="str">
        <f>IFERROR(VLOOKUP($A353,'The List'!$B1:$AS665,22,FALSE)," ")</f>
        <v xml:space="preserve"> </v>
      </c>
      <c r="P353" s="83" t="str">
        <f>IFERROR(VLOOKUP($A353,'The List'!$B1:$AS665,23,FALSE)," ")</f>
        <v xml:space="preserve"> </v>
      </c>
      <c r="Q353" s="83" t="str">
        <f>IFERROR(VLOOKUP($A353,'The List'!$B1:$AS665,24,FALSE)," ")</f>
        <v xml:space="preserve"> </v>
      </c>
      <c r="R353" s="83" t="str">
        <f>IFERROR(VLOOKUP($A353,'The List'!$B1:$AS665,25,FALSE)," ")</f>
        <v xml:space="preserve"> </v>
      </c>
      <c r="S353" s="83" t="str">
        <f>IFERROR(VLOOKUP($A353,'The List'!$B1:$AS665,26,FALSE)," ")</f>
        <v xml:space="preserve"> </v>
      </c>
      <c r="T353" s="83" t="str">
        <f>IFERROR(VLOOKUP($A353,'The List'!$B1:$AS665,27,FALSE)," ")</f>
        <v xml:space="preserve"> </v>
      </c>
      <c r="U353" s="83" t="str">
        <f>IFERROR(VLOOKUP($A353,'The List'!$B1:$AS665,28,FALSE)," ")</f>
        <v xml:space="preserve"> </v>
      </c>
      <c r="V353" s="83" t="str">
        <f>IFERROR(VLOOKUP($A353,'The List'!$B1:$AS665,29,FALSE)," ")</f>
        <v xml:space="preserve"> </v>
      </c>
      <c r="W353" s="83" t="str">
        <f>IFERROR(VLOOKUP($A353,'The List'!$B1:$AS665,30,FALSE)," ")</f>
        <v xml:space="preserve"> </v>
      </c>
      <c r="X353" s="83" t="str">
        <f>IFERROR(VLOOKUP($A353,'The List'!$B1:$AS665,31,FALSE)," ")</f>
        <v xml:space="preserve"> </v>
      </c>
      <c r="Y353" s="83" t="str">
        <f>IFERROR(VLOOKUP($A353,'The List'!$B1:$AS665,32,FALSE)," ")</f>
        <v xml:space="preserve"> </v>
      </c>
      <c r="Z353" s="83" t="str">
        <f>IFERROR(VLOOKUP($A353,'The List'!$B1:$AS665,33,FALSE)," ")</f>
        <v xml:space="preserve"> </v>
      </c>
      <c r="AA353" s="86"/>
      <c r="AB353" s="91"/>
      <c r="AC353" s="91"/>
      <c r="AD353" s="91"/>
      <c r="AE353" s="91"/>
      <c r="AF353" s="91"/>
    </row>
    <row r="354" spans="1:32" ht="21.25" customHeight="1" x14ac:dyDescent="0.15">
      <c r="A354" s="23"/>
      <c r="B354" s="94" t="str">
        <f>IFERROR(VLOOKUP($A354,'The List'!$B1:$AS665,3,FALSE)," ")</f>
        <v xml:space="preserve"> </v>
      </c>
      <c r="C354" s="96" t="str">
        <f>IFERROR(VLOOKUP($A354,'The List'!$B1:$AS665,4,FALSE)," ")</f>
        <v xml:space="preserve"> </v>
      </c>
      <c r="D354" s="65" t="str">
        <f>IFERROR(VLOOKUP($A354,'The List'!$B1:$AS665,5,FALSE)," ")</f>
        <v xml:space="preserve"> </v>
      </c>
      <c r="E354" s="65" t="str">
        <f>IFERROR(VLOOKUP($A354,'The List'!$B1:$AS665,6,FALSE)," ")</f>
        <v xml:space="preserve"> </v>
      </c>
      <c r="F354" s="93" t="str">
        <f>IFERROR(VLOOKUP($A354,'The List'!$B1:$AS665,8,FALSE)," ")</f>
        <v xml:space="preserve"> </v>
      </c>
      <c r="G354" s="93" t="str">
        <f>IFERROR(VLOOKUP($A354,'The List'!$B1:$AS665,10,FALSE)," ")</f>
        <v xml:space="preserve"> </v>
      </c>
      <c r="H354" s="54"/>
      <c r="I354" s="83" t="str">
        <f>IFERROR(VLOOKUP($A354,'The List'!$B1:$AS665,16,FALSE)," ")</f>
        <v xml:space="preserve"> </v>
      </c>
      <c r="J354" s="83" t="str">
        <f>IFERROR(VLOOKUP($A354,'The List'!$B1:$AS665,17,FALSE)," ")</f>
        <v xml:space="preserve"> </v>
      </c>
      <c r="K354" s="83" t="str">
        <f>IFERROR(VLOOKUP($A354,'The List'!$B1:$AS665,18,FALSE)," ")</f>
        <v xml:space="preserve"> </v>
      </c>
      <c r="L354" s="83" t="str">
        <f>IFERROR(VLOOKUP($A354,'The List'!$B1:$AS665,19,FALSE)," ")</f>
        <v xml:space="preserve"> </v>
      </c>
      <c r="M354" s="83" t="str">
        <f>IFERROR(VLOOKUP($A354,'The List'!$B1:$AS665,20,FALSE)," ")</f>
        <v xml:space="preserve"> </v>
      </c>
      <c r="N354" s="83" t="str">
        <f>IFERROR(VLOOKUP($A354,'The List'!$B1:$AS665,21,FALSE)," ")</f>
        <v xml:space="preserve"> </v>
      </c>
      <c r="O354" s="83" t="str">
        <f>IFERROR(VLOOKUP($A354,'The List'!$B1:$AS665,22,FALSE)," ")</f>
        <v xml:space="preserve"> </v>
      </c>
      <c r="P354" s="83" t="str">
        <f>IFERROR(VLOOKUP($A354,'The List'!$B1:$AS665,23,FALSE)," ")</f>
        <v xml:space="preserve"> </v>
      </c>
      <c r="Q354" s="83" t="str">
        <f>IFERROR(VLOOKUP($A354,'The List'!$B1:$AS665,24,FALSE)," ")</f>
        <v xml:space="preserve"> </v>
      </c>
      <c r="R354" s="83" t="str">
        <f>IFERROR(VLOOKUP($A354,'The List'!$B1:$AS665,25,FALSE)," ")</f>
        <v xml:space="preserve"> </v>
      </c>
      <c r="S354" s="83" t="str">
        <f>IFERROR(VLOOKUP($A354,'The List'!$B1:$AS665,26,FALSE)," ")</f>
        <v xml:space="preserve"> </v>
      </c>
      <c r="T354" s="83" t="str">
        <f>IFERROR(VLOOKUP($A354,'The List'!$B1:$AS665,27,FALSE)," ")</f>
        <v xml:space="preserve"> </v>
      </c>
      <c r="U354" s="83" t="str">
        <f>IFERROR(VLOOKUP($A354,'The List'!$B1:$AS665,28,FALSE)," ")</f>
        <v xml:space="preserve"> </v>
      </c>
      <c r="V354" s="83" t="str">
        <f>IFERROR(VLOOKUP($A354,'The List'!$B1:$AS665,29,FALSE)," ")</f>
        <v xml:space="preserve"> </v>
      </c>
      <c r="W354" s="83" t="str">
        <f>IFERROR(VLOOKUP($A354,'The List'!$B1:$AS665,30,FALSE)," ")</f>
        <v xml:space="preserve"> </v>
      </c>
      <c r="X354" s="83" t="str">
        <f>IFERROR(VLOOKUP($A354,'The List'!$B1:$AS665,31,FALSE)," ")</f>
        <v xml:space="preserve"> </v>
      </c>
      <c r="Y354" s="83" t="str">
        <f>IFERROR(VLOOKUP($A354,'The List'!$B1:$AS665,32,FALSE)," ")</f>
        <v xml:space="preserve"> </v>
      </c>
      <c r="Z354" s="83" t="str">
        <f>IFERROR(VLOOKUP($A354,'The List'!$B1:$AS665,33,FALSE)," ")</f>
        <v xml:space="preserve"> </v>
      </c>
      <c r="AA354" s="86"/>
      <c r="AB354" s="91"/>
      <c r="AC354" s="91"/>
      <c r="AD354" s="91"/>
      <c r="AE354" s="91"/>
      <c r="AF354" s="91"/>
    </row>
    <row r="355" spans="1:32" ht="21.25" customHeight="1" x14ac:dyDescent="0.15">
      <c r="A355" s="23"/>
      <c r="B355" s="94" t="str">
        <f>IFERROR(VLOOKUP($A355,'The List'!$B1:$AS665,3,FALSE)," ")</f>
        <v xml:space="preserve"> </v>
      </c>
      <c r="C355" s="96" t="str">
        <f>IFERROR(VLOOKUP($A355,'The List'!$B1:$AS665,4,FALSE)," ")</f>
        <v xml:space="preserve"> </v>
      </c>
      <c r="D355" s="65" t="str">
        <f>IFERROR(VLOOKUP($A355,'The List'!$B1:$AS665,5,FALSE)," ")</f>
        <v xml:space="preserve"> </v>
      </c>
      <c r="E355" s="65" t="str">
        <f>IFERROR(VLOOKUP($A355,'The List'!$B1:$AS665,6,FALSE)," ")</f>
        <v xml:space="preserve"> </v>
      </c>
      <c r="F355" s="93" t="str">
        <f>IFERROR(VLOOKUP($A355,'The List'!$B1:$AS665,8,FALSE)," ")</f>
        <v xml:space="preserve"> </v>
      </c>
      <c r="G355" s="93" t="str">
        <f>IFERROR(VLOOKUP($A355,'The List'!$B1:$AS665,10,FALSE)," ")</f>
        <v xml:space="preserve"> </v>
      </c>
      <c r="H355" s="54"/>
      <c r="I355" s="83" t="str">
        <f>IFERROR(VLOOKUP($A355,'The List'!$B1:$AS665,16,FALSE)," ")</f>
        <v xml:space="preserve"> </v>
      </c>
      <c r="J355" s="83" t="str">
        <f>IFERROR(VLOOKUP($A355,'The List'!$B1:$AS665,17,FALSE)," ")</f>
        <v xml:space="preserve"> </v>
      </c>
      <c r="K355" s="83" t="str">
        <f>IFERROR(VLOOKUP($A355,'The List'!$B1:$AS665,18,FALSE)," ")</f>
        <v xml:space="preserve"> </v>
      </c>
      <c r="L355" s="83" t="str">
        <f>IFERROR(VLOOKUP($A355,'The List'!$B1:$AS665,19,FALSE)," ")</f>
        <v xml:space="preserve"> </v>
      </c>
      <c r="M355" s="83" t="str">
        <f>IFERROR(VLOOKUP($A355,'The List'!$B1:$AS665,20,FALSE)," ")</f>
        <v xml:space="preserve"> </v>
      </c>
      <c r="N355" s="83" t="str">
        <f>IFERROR(VLOOKUP($A355,'The List'!$B1:$AS665,21,FALSE)," ")</f>
        <v xml:space="preserve"> </v>
      </c>
      <c r="O355" s="83" t="str">
        <f>IFERROR(VLOOKUP($A355,'The List'!$B1:$AS665,22,FALSE)," ")</f>
        <v xml:space="preserve"> </v>
      </c>
      <c r="P355" s="83" t="str">
        <f>IFERROR(VLOOKUP($A355,'The List'!$B1:$AS665,23,FALSE)," ")</f>
        <v xml:space="preserve"> </v>
      </c>
      <c r="Q355" s="83" t="str">
        <f>IFERROR(VLOOKUP($A355,'The List'!$B1:$AS665,24,FALSE)," ")</f>
        <v xml:space="preserve"> </v>
      </c>
      <c r="R355" s="83" t="str">
        <f>IFERROR(VLOOKUP($A355,'The List'!$B1:$AS665,25,FALSE)," ")</f>
        <v xml:space="preserve"> </v>
      </c>
      <c r="S355" s="83" t="str">
        <f>IFERROR(VLOOKUP($A355,'The List'!$B1:$AS665,26,FALSE)," ")</f>
        <v xml:space="preserve"> </v>
      </c>
      <c r="T355" s="83" t="str">
        <f>IFERROR(VLOOKUP($A355,'The List'!$B1:$AS665,27,FALSE)," ")</f>
        <v xml:space="preserve"> </v>
      </c>
      <c r="U355" s="83" t="str">
        <f>IFERROR(VLOOKUP($A355,'The List'!$B1:$AS665,28,FALSE)," ")</f>
        <v xml:space="preserve"> </v>
      </c>
      <c r="V355" s="83" t="str">
        <f>IFERROR(VLOOKUP($A355,'The List'!$B1:$AS665,29,FALSE)," ")</f>
        <v xml:space="preserve"> </v>
      </c>
      <c r="W355" s="83" t="str">
        <f>IFERROR(VLOOKUP($A355,'The List'!$B1:$AS665,30,FALSE)," ")</f>
        <v xml:space="preserve"> </v>
      </c>
      <c r="X355" s="83" t="str">
        <f>IFERROR(VLOOKUP($A355,'The List'!$B1:$AS665,31,FALSE)," ")</f>
        <v xml:space="preserve"> </v>
      </c>
      <c r="Y355" s="83" t="str">
        <f>IFERROR(VLOOKUP($A355,'The List'!$B1:$AS665,32,FALSE)," ")</f>
        <v xml:space="preserve"> </v>
      </c>
      <c r="Z355" s="83" t="str">
        <f>IFERROR(VLOOKUP($A355,'The List'!$B1:$AS665,33,FALSE)," ")</f>
        <v xml:space="preserve"> </v>
      </c>
      <c r="AA355" s="86"/>
      <c r="AB355" s="91"/>
      <c r="AC355" s="91"/>
      <c r="AD355" s="91"/>
      <c r="AE355" s="91"/>
      <c r="AF355" s="91"/>
    </row>
    <row r="356" spans="1:32" ht="21.25" customHeight="1" x14ac:dyDescent="0.15">
      <c r="A356" s="23"/>
      <c r="B356" s="94" t="str">
        <f>IFERROR(VLOOKUP($A356,'The List'!$B1:$AS665,3,FALSE)," ")</f>
        <v xml:space="preserve"> </v>
      </c>
      <c r="C356" s="96" t="str">
        <f>IFERROR(VLOOKUP($A356,'The List'!$B1:$AS665,4,FALSE)," ")</f>
        <v xml:space="preserve"> </v>
      </c>
      <c r="D356" s="65" t="str">
        <f>IFERROR(VLOOKUP($A356,'The List'!$B1:$AS665,5,FALSE)," ")</f>
        <v xml:space="preserve"> </v>
      </c>
      <c r="E356" s="65" t="str">
        <f>IFERROR(VLOOKUP($A356,'The List'!$B1:$AS665,6,FALSE)," ")</f>
        <v xml:space="preserve"> </v>
      </c>
      <c r="F356" s="93" t="str">
        <f>IFERROR(VLOOKUP($A356,'The List'!$B1:$AS665,8,FALSE)," ")</f>
        <v xml:space="preserve"> </v>
      </c>
      <c r="G356" s="93" t="str">
        <f>IFERROR(VLOOKUP($A356,'The List'!$B1:$AS665,10,FALSE)," ")</f>
        <v xml:space="preserve"> </v>
      </c>
      <c r="H356" s="54"/>
      <c r="I356" s="83" t="str">
        <f>IFERROR(VLOOKUP($A356,'The List'!$B1:$AS665,16,FALSE)," ")</f>
        <v xml:space="preserve"> </v>
      </c>
      <c r="J356" s="83" t="str">
        <f>IFERROR(VLOOKUP($A356,'The List'!$B1:$AS665,17,FALSE)," ")</f>
        <v xml:space="preserve"> </v>
      </c>
      <c r="K356" s="83" t="str">
        <f>IFERROR(VLOOKUP($A356,'The List'!$B1:$AS665,18,FALSE)," ")</f>
        <v xml:space="preserve"> </v>
      </c>
      <c r="L356" s="83" t="str">
        <f>IFERROR(VLOOKUP($A356,'The List'!$B1:$AS665,19,FALSE)," ")</f>
        <v xml:space="preserve"> </v>
      </c>
      <c r="M356" s="83" t="str">
        <f>IFERROR(VLOOKUP($A356,'The List'!$B1:$AS665,20,FALSE)," ")</f>
        <v xml:space="preserve"> </v>
      </c>
      <c r="N356" s="83" t="str">
        <f>IFERROR(VLOOKUP($A356,'The List'!$B1:$AS665,21,FALSE)," ")</f>
        <v xml:space="preserve"> </v>
      </c>
      <c r="O356" s="83" t="str">
        <f>IFERROR(VLOOKUP($A356,'The List'!$B1:$AS665,22,FALSE)," ")</f>
        <v xml:space="preserve"> </v>
      </c>
      <c r="P356" s="83" t="str">
        <f>IFERROR(VLOOKUP($A356,'The List'!$B1:$AS665,23,FALSE)," ")</f>
        <v xml:space="preserve"> </v>
      </c>
      <c r="Q356" s="83" t="str">
        <f>IFERROR(VLOOKUP($A356,'The List'!$B1:$AS665,24,FALSE)," ")</f>
        <v xml:space="preserve"> </v>
      </c>
      <c r="R356" s="83" t="str">
        <f>IFERROR(VLOOKUP($A356,'The List'!$B1:$AS665,25,FALSE)," ")</f>
        <v xml:space="preserve"> </v>
      </c>
      <c r="S356" s="83" t="str">
        <f>IFERROR(VLOOKUP($A356,'The List'!$B1:$AS665,26,FALSE)," ")</f>
        <v xml:space="preserve"> </v>
      </c>
      <c r="T356" s="83" t="str">
        <f>IFERROR(VLOOKUP($A356,'The List'!$B1:$AS665,27,FALSE)," ")</f>
        <v xml:space="preserve"> </v>
      </c>
      <c r="U356" s="83" t="str">
        <f>IFERROR(VLOOKUP($A356,'The List'!$B1:$AS665,28,FALSE)," ")</f>
        <v xml:space="preserve"> </v>
      </c>
      <c r="V356" s="83" t="str">
        <f>IFERROR(VLOOKUP($A356,'The List'!$B1:$AS665,29,FALSE)," ")</f>
        <v xml:space="preserve"> </v>
      </c>
      <c r="W356" s="83" t="str">
        <f>IFERROR(VLOOKUP($A356,'The List'!$B1:$AS665,30,FALSE)," ")</f>
        <v xml:space="preserve"> </v>
      </c>
      <c r="X356" s="83" t="str">
        <f>IFERROR(VLOOKUP($A356,'The List'!$B1:$AS665,31,FALSE)," ")</f>
        <v xml:space="preserve"> </v>
      </c>
      <c r="Y356" s="83" t="str">
        <f>IFERROR(VLOOKUP($A356,'The List'!$B1:$AS665,32,FALSE)," ")</f>
        <v xml:space="preserve"> </v>
      </c>
      <c r="Z356" s="83" t="str">
        <f>IFERROR(VLOOKUP($A356,'The List'!$B1:$AS665,33,FALSE)," ")</f>
        <v xml:space="preserve"> </v>
      </c>
      <c r="AA356" s="86"/>
      <c r="AB356" s="91"/>
      <c r="AC356" s="91"/>
      <c r="AD356" s="91"/>
      <c r="AE356" s="91"/>
      <c r="AF356" s="91"/>
    </row>
    <row r="357" spans="1:32" ht="21.25" customHeight="1" x14ac:dyDescent="0.15">
      <c r="A357" s="23"/>
      <c r="B357" s="94" t="str">
        <f>IFERROR(VLOOKUP($A357,'The List'!$B1:$AS665,3,FALSE)," ")</f>
        <v xml:space="preserve"> </v>
      </c>
      <c r="C357" s="96" t="str">
        <f>IFERROR(VLOOKUP($A357,'The List'!$B1:$AS665,4,FALSE)," ")</f>
        <v xml:space="preserve"> </v>
      </c>
      <c r="D357" s="65" t="str">
        <f>IFERROR(VLOOKUP($A357,'The List'!$B1:$AS665,5,FALSE)," ")</f>
        <v xml:space="preserve"> </v>
      </c>
      <c r="E357" s="65" t="str">
        <f>IFERROR(VLOOKUP($A357,'The List'!$B1:$AS665,6,FALSE)," ")</f>
        <v xml:space="preserve"> </v>
      </c>
      <c r="F357" s="93" t="str">
        <f>IFERROR(VLOOKUP($A357,'The List'!$B1:$AS665,8,FALSE)," ")</f>
        <v xml:space="preserve"> </v>
      </c>
      <c r="G357" s="93" t="str">
        <f>IFERROR(VLOOKUP($A357,'The List'!$B1:$AS665,10,FALSE)," ")</f>
        <v xml:space="preserve"> </v>
      </c>
      <c r="H357" s="54"/>
      <c r="I357" s="83" t="str">
        <f>IFERROR(VLOOKUP($A357,'The List'!$B1:$AS665,16,FALSE)," ")</f>
        <v xml:space="preserve"> </v>
      </c>
      <c r="J357" s="83" t="str">
        <f>IFERROR(VLOOKUP($A357,'The List'!$B1:$AS665,17,FALSE)," ")</f>
        <v xml:space="preserve"> </v>
      </c>
      <c r="K357" s="83" t="str">
        <f>IFERROR(VLOOKUP($A357,'The List'!$B1:$AS665,18,FALSE)," ")</f>
        <v xml:space="preserve"> </v>
      </c>
      <c r="L357" s="83" t="str">
        <f>IFERROR(VLOOKUP($A357,'The List'!$B1:$AS665,19,FALSE)," ")</f>
        <v xml:space="preserve"> </v>
      </c>
      <c r="M357" s="83" t="str">
        <f>IFERROR(VLOOKUP($A357,'The List'!$B1:$AS665,20,FALSE)," ")</f>
        <v xml:space="preserve"> </v>
      </c>
      <c r="N357" s="83" t="str">
        <f>IFERROR(VLOOKUP($A357,'The List'!$B1:$AS665,21,FALSE)," ")</f>
        <v xml:space="preserve"> </v>
      </c>
      <c r="O357" s="83" t="str">
        <f>IFERROR(VLOOKUP($A357,'The List'!$B1:$AS665,22,FALSE)," ")</f>
        <v xml:space="preserve"> </v>
      </c>
      <c r="P357" s="83" t="str">
        <f>IFERROR(VLOOKUP($A357,'The List'!$B1:$AS665,23,FALSE)," ")</f>
        <v xml:space="preserve"> </v>
      </c>
      <c r="Q357" s="83" t="str">
        <f>IFERROR(VLOOKUP($A357,'The List'!$B1:$AS665,24,FALSE)," ")</f>
        <v xml:space="preserve"> </v>
      </c>
      <c r="R357" s="83" t="str">
        <f>IFERROR(VLOOKUP($A357,'The List'!$B1:$AS665,25,FALSE)," ")</f>
        <v xml:space="preserve"> </v>
      </c>
      <c r="S357" s="83" t="str">
        <f>IFERROR(VLOOKUP($A357,'The List'!$B1:$AS665,26,FALSE)," ")</f>
        <v xml:space="preserve"> </v>
      </c>
      <c r="T357" s="83" t="str">
        <f>IFERROR(VLOOKUP($A357,'The List'!$B1:$AS665,27,FALSE)," ")</f>
        <v xml:space="preserve"> </v>
      </c>
      <c r="U357" s="83" t="str">
        <f>IFERROR(VLOOKUP($A357,'The List'!$B1:$AS665,28,FALSE)," ")</f>
        <v xml:space="preserve"> </v>
      </c>
      <c r="V357" s="83" t="str">
        <f>IFERROR(VLOOKUP($A357,'The List'!$B1:$AS665,29,FALSE)," ")</f>
        <v xml:space="preserve"> </v>
      </c>
      <c r="W357" s="83" t="str">
        <f>IFERROR(VLOOKUP($A357,'The List'!$B1:$AS665,30,FALSE)," ")</f>
        <v xml:space="preserve"> </v>
      </c>
      <c r="X357" s="83" t="str">
        <f>IFERROR(VLOOKUP($A357,'The List'!$B1:$AS665,31,FALSE)," ")</f>
        <v xml:space="preserve"> </v>
      </c>
      <c r="Y357" s="83" t="str">
        <f>IFERROR(VLOOKUP($A357,'The List'!$B1:$AS665,32,FALSE)," ")</f>
        <v xml:space="preserve"> </v>
      </c>
      <c r="Z357" s="83" t="str">
        <f>IFERROR(VLOOKUP($A357,'The List'!$B1:$AS665,33,FALSE)," ")</f>
        <v xml:space="preserve"> </v>
      </c>
      <c r="AA357" s="86"/>
      <c r="AB357" s="91"/>
      <c r="AC357" s="91"/>
      <c r="AD357" s="91"/>
      <c r="AE357" s="91"/>
      <c r="AF357" s="91"/>
    </row>
    <row r="358" spans="1:32" ht="21.25" customHeight="1" x14ac:dyDescent="0.15">
      <c r="A358" s="23"/>
      <c r="B358" s="97" t="str">
        <f>IFERROR(VLOOKUP($A358,'The List'!$B1:$AS665,3,FALSE)," ")</f>
        <v xml:space="preserve"> </v>
      </c>
      <c r="C358" s="99" t="str">
        <f>IFERROR(VLOOKUP($A358,'The List'!$B1:$AS665,4,FALSE)," ")</f>
        <v xml:space="preserve"> </v>
      </c>
      <c r="D358" s="65" t="str">
        <f>IFERROR(VLOOKUP($A358,'The List'!$B1:$AS665,5,FALSE)," ")</f>
        <v xml:space="preserve"> </v>
      </c>
      <c r="E358" s="65" t="str">
        <f>IFERROR(VLOOKUP($A358,'The List'!$B1:$AS665,6,FALSE)," ")</f>
        <v xml:space="preserve"> </v>
      </c>
      <c r="F358" s="93" t="str">
        <f>IFERROR(VLOOKUP($A358,'The List'!$B1:$AS665,8,FALSE)," ")</f>
        <v xml:space="preserve"> </v>
      </c>
      <c r="G358" s="93" t="str">
        <f>IFERROR(VLOOKUP($A358,'The List'!$B1:$AS665,10,FALSE)," ")</f>
        <v xml:space="preserve"> </v>
      </c>
      <c r="H358" s="54"/>
      <c r="I358" s="83" t="str">
        <f>IFERROR(VLOOKUP($A358,'The List'!$B1:$AS665,16,FALSE)," ")</f>
        <v xml:space="preserve"> </v>
      </c>
      <c r="J358" s="83" t="str">
        <f>IFERROR(VLOOKUP($A358,'The List'!$B1:$AS665,17,FALSE)," ")</f>
        <v xml:space="preserve"> </v>
      </c>
      <c r="K358" s="83" t="str">
        <f>IFERROR(VLOOKUP($A358,'The List'!$B1:$AS665,18,FALSE)," ")</f>
        <v xml:space="preserve"> </v>
      </c>
      <c r="L358" s="83" t="str">
        <f>IFERROR(VLOOKUP($A358,'The List'!$B1:$AS665,19,FALSE)," ")</f>
        <v xml:space="preserve"> </v>
      </c>
      <c r="M358" s="83" t="str">
        <f>IFERROR(VLOOKUP($A358,'The List'!$B1:$AS665,20,FALSE)," ")</f>
        <v xml:space="preserve"> </v>
      </c>
      <c r="N358" s="83" t="str">
        <f>IFERROR(VLOOKUP($A358,'The List'!$B1:$AS665,21,FALSE)," ")</f>
        <v xml:space="preserve"> </v>
      </c>
      <c r="O358" s="83" t="str">
        <f>IFERROR(VLOOKUP($A358,'The List'!$B1:$AS665,22,FALSE)," ")</f>
        <v xml:space="preserve"> </v>
      </c>
      <c r="P358" s="83" t="str">
        <f>IFERROR(VLOOKUP($A358,'The List'!$B1:$AS665,23,FALSE)," ")</f>
        <v xml:space="preserve"> </v>
      </c>
      <c r="Q358" s="83" t="str">
        <f>IFERROR(VLOOKUP($A358,'The List'!$B1:$AS665,24,FALSE)," ")</f>
        <v xml:space="preserve"> </v>
      </c>
      <c r="R358" s="83" t="str">
        <f>IFERROR(VLOOKUP($A358,'The List'!$B1:$AS665,25,FALSE)," ")</f>
        <v xml:space="preserve"> </v>
      </c>
      <c r="S358" s="83" t="str">
        <f>IFERROR(VLOOKUP($A358,'The List'!$B1:$AS665,26,FALSE)," ")</f>
        <v xml:space="preserve"> </v>
      </c>
      <c r="T358" s="83" t="str">
        <f>IFERROR(VLOOKUP($A358,'The List'!$B1:$AS665,27,FALSE)," ")</f>
        <v xml:space="preserve"> </v>
      </c>
      <c r="U358" s="83" t="str">
        <f>IFERROR(VLOOKUP($A358,'The List'!$B1:$AS665,28,FALSE)," ")</f>
        <v xml:space="preserve"> </v>
      </c>
      <c r="V358" s="83" t="str">
        <f>IFERROR(VLOOKUP($A358,'The List'!$B1:$AS665,29,FALSE)," ")</f>
        <v xml:space="preserve"> </v>
      </c>
      <c r="W358" s="83" t="str">
        <f>IFERROR(VLOOKUP($A358,'The List'!$B1:$AS665,30,FALSE)," ")</f>
        <v xml:space="preserve"> </v>
      </c>
      <c r="X358" s="83" t="str">
        <f>IFERROR(VLOOKUP($A358,'The List'!$B1:$AS665,31,FALSE)," ")</f>
        <v xml:space="preserve"> </v>
      </c>
      <c r="Y358" s="83" t="str">
        <f>IFERROR(VLOOKUP($A358,'The List'!$B1:$AS665,32,FALSE)," ")</f>
        <v xml:space="preserve"> </v>
      </c>
      <c r="Z358" s="83" t="str">
        <f>IFERROR(VLOOKUP($A358,'The List'!$B1:$AS665,33,FALSE)," ")</f>
        <v xml:space="preserve"> </v>
      </c>
      <c r="AA358" s="86"/>
      <c r="AB358" s="91"/>
      <c r="AC358" s="91"/>
      <c r="AD358" s="91"/>
      <c r="AE358" s="91"/>
      <c r="AF358" s="91"/>
    </row>
    <row r="359" spans="1:32" ht="21.25" customHeight="1" x14ac:dyDescent="0.15">
      <c r="A359" s="23"/>
      <c r="B359" s="97" t="str">
        <f>IFERROR(VLOOKUP($A359,'The List'!$B1:$AS665,3,FALSE)," ")</f>
        <v xml:space="preserve"> </v>
      </c>
      <c r="C359" s="99" t="str">
        <f>IFERROR(VLOOKUP($A359,'The List'!$B1:$AS665,4,FALSE)," ")</f>
        <v xml:space="preserve"> </v>
      </c>
      <c r="D359" s="65" t="str">
        <f>IFERROR(VLOOKUP($A359,'The List'!$B1:$AS665,5,FALSE)," ")</f>
        <v xml:space="preserve"> </v>
      </c>
      <c r="E359" s="65" t="str">
        <f>IFERROR(VLOOKUP($A359,'The List'!$B1:$AS665,6,FALSE)," ")</f>
        <v xml:space="preserve"> </v>
      </c>
      <c r="F359" s="93" t="str">
        <f>IFERROR(VLOOKUP($A359,'The List'!$B1:$AS665,8,FALSE)," ")</f>
        <v xml:space="preserve"> </v>
      </c>
      <c r="G359" s="93" t="str">
        <f>IFERROR(VLOOKUP($A359,'The List'!$B1:$AS665,10,FALSE)," ")</f>
        <v xml:space="preserve"> </v>
      </c>
      <c r="H359" s="54"/>
      <c r="I359" s="83" t="str">
        <f>IFERROR(VLOOKUP($A359,'The List'!$B1:$AS665,16,FALSE)," ")</f>
        <v xml:space="preserve"> </v>
      </c>
      <c r="J359" s="83" t="str">
        <f>IFERROR(VLOOKUP($A359,'The List'!$B1:$AS665,17,FALSE)," ")</f>
        <v xml:space="preserve"> </v>
      </c>
      <c r="K359" s="83" t="str">
        <f>IFERROR(VLOOKUP($A359,'The List'!$B1:$AS665,18,FALSE)," ")</f>
        <v xml:space="preserve"> </v>
      </c>
      <c r="L359" s="83" t="str">
        <f>IFERROR(VLOOKUP($A359,'The List'!$B1:$AS665,19,FALSE)," ")</f>
        <v xml:space="preserve"> </v>
      </c>
      <c r="M359" s="83" t="str">
        <f>IFERROR(VLOOKUP($A359,'The List'!$B1:$AS665,20,FALSE)," ")</f>
        <v xml:space="preserve"> </v>
      </c>
      <c r="N359" s="83" t="str">
        <f>IFERROR(VLOOKUP($A359,'The List'!$B1:$AS665,21,FALSE)," ")</f>
        <v xml:space="preserve"> </v>
      </c>
      <c r="O359" s="83" t="str">
        <f>IFERROR(VLOOKUP($A359,'The List'!$B1:$AS665,22,FALSE)," ")</f>
        <v xml:space="preserve"> </v>
      </c>
      <c r="P359" s="83" t="str">
        <f>IFERROR(VLOOKUP($A359,'The List'!$B1:$AS665,23,FALSE)," ")</f>
        <v xml:space="preserve"> </v>
      </c>
      <c r="Q359" s="83" t="str">
        <f>IFERROR(VLOOKUP($A359,'The List'!$B1:$AS665,24,FALSE)," ")</f>
        <v xml:space="preserve"> </v>
      </c>
      <c r="R359" s="83" t="str">
        <f>IFERROR(VLOOKUP($A359,'The List'!$B1:$AS665,25,FALSE)," ")</f>
        <v xml:space="preserve"> </v>
      </c>
      <c r="S359" s="83" t="str">
        <f>IFERROR(VLOOKUP($A359,'The List'!$B1:$AS665,26,FALSE)," ")</f>
        <v xml:space="preserve"> </v>
      </c>
      <c r="T359" s="83" t="str">
        <f>IFERROR(VLOOKUP($A359,'The List'!$B1:$AS665,27,FALSE)," ")</f>
        <v xml:space="preserve"> </v>
      </c>
      <c r="U359" s="83" t="str">
        <f>IFERROR(VLOOKUP($A359,'The List'!$B1:$AS665,28,FALSE)," ")</f>
        <v xml:space="preserve"> </v>
      </c>
      <c r="V359" s="83" t="str">
        <f>IFERROR(VLOOKUP($A359,'The List'!$B1:$AS665,29,FALSE)," ")</f>
        <v xml:space="preserve"> </v>
      </c>
      <c r="W359" s="83" t="str">
        <f>IFERROR(VLOOKUP($A359,'The List'!$B1:$AS665,30,FALSE)," ")</f>
        <v xml:space="preserve"> </v>
      </c>
      <c r="X359" s="83" t="str">
        <f>IFERROR(VLOOKUP($A359,'The List'!$B1:$AS665,31,FALSE)," ")</f>
        <v xml:space="preserve"> </v>
      </c>
      <c r="Y359" s="83" t="str">
        <f>IFERROR(VLOOKUP($A359,'The List'!$B1:$AS665,32,FALSE)," ")</f>
        <v xml:space="preserve"> </v>
      </c>
      <c r="Z359" s="83" t="str">
        <f>IFERROR(VLOOKUP($A359,'The List'!$B1:$AS665,33,FALSE)," ")</f>
        <v xml:space="preserve"> </v>
      </c>
      <c r="AA359" s="86"/>
      <c r="AB359" s="91"/>
      <c r="AC359" s="91"/>
      <c r="AD359" s="91"/>
      <c r="AE359" s="91"/>
      <c r="AF359" s="91"/>
    </row>
    <row r="360" spans="1:32" ht="21.25" customHeight="1" x14ac:dyDescent="0.15">
      <c r="A360" s="23"/>
      <c r="B360" s="97" t="str">
        <f>IFERROR(VLOOKUP($A360,'The List'!$B1:$AS665,3,FALSE)," ")</f>
        <v xml:space="preserve"> </v>
      </c>
      <c r="C360" s="99" t="str">
        <f>IFERROR(VLOOKUP($A360,'The List'!$B1:$AS665,4,FALSE)," ")</f>
        <v xml:space="preserve"> </v>
      </c>
      <c r="D360" s="65" t="str">
        <f>IFERROR(VLOOKUP($A360,'The List'!$B1:$AS665,5,FALSE)," ")</f>
        <v xml:space="preserve"> </v>
      </c>
      <c r="E360" s="65" t="str">
        <f>IFERROR(VLOOKUP($A360,'The List'!$B1:$AS665,6,FALSE)," ")</f>
        <v xml:space="preserve"> </v>
      </c>
      <c r="F360" s="93" t="str">
        <f>IFERROR(VLOOKUP($A360,'The List'!$B1:$AS665,8,FALSE)," ")</f>
        <v xml:space="preserve"> </v>
      </c>
      <c r="G360" s="93" t="str">
        <f>IFERROR(VLOOKUP($A360,'The List'!$B1:$AS665,10,FALSE)," ")</f>
        <v xml:space="preserve"> </v>
      </c>
      <c r="H360" s="54"/>
      <c r="I360" s="83" t="str">
        <f>IFERROR(VLOOKUP($A360,'The List'!$B1:$AS665,16,FALSE)," ")</f>
        <v xml:space="preserve"> </v>
      </c>
      <c r="J360" s="83" t="str">
        <f>IFERROR(VLOOKUP($A360,'The List'!$B1:$AS665,17,FALSE)," ")</f>
        <v xml:space="preserve"> </v>
      </c>
      <c r="K360" s="83" t="str">
        <f>IFERROR(VLOOKUP($A360,'The List'!$B1:$AS665,18,FALSE)," ")</f>
        <v xml:space="preserve"> </v>
      </c>
      <c r="L360" s="83" t="str">
        <f>IFERROR(VLOOKUP($A360,'The List'!$B1:$AS665,19,FALSE)," ")</f>
        <v xml:space="preserve"> </v>
      </c>
      <c r="M360" s="83" t="str">
        <f>IFERROR(VLOOKUP($A360,'The List'!$B1:$AS665,20,FALSE)," ")</f>
        <v xml:space="preserve"> </v>
      </c>
      <c r="N360" s="83" t="str">
        <f>IFERROR(VLOOKUP($A360,'The List'!$B1:$AS665,21,FALSE)," ")</f>
        <v xml:space="preserve"> </v>
      </c>
      <c r="O360" s="83" t="str">
        <f>IFERROR(VLOOKUP($A360,'The List'!$B1:$AS665,22,FALSE)," ")</f>
        <v xml:space="preserve"> </v>
      </c>
      <c r="P360" s="83" t="str">
        <f>IFERROR(VLOOKUP($A360,'The List'!$B1:$AS665,23,FALSE)," ")</f>
        <v xml:space="preserve"> </v>
      </c>
      <c r="Q360" s="83" t="str">
        <f>IFERROR(VLOOKUP($A360,'The List'!$B1:$AS665,24,FALSE)," ")</f>
        <v xml:space="preserve"> </v>
      </c>
      <c r="R360" s="83" t="str">
        <f>IFERROR(VLOOKUP($A360,'The List'!$B1:$AS665,25,FALSE)," ")</f>
        <v xml:space="preserve"> </v>
      </c>
      <c r="S360" s="83" t="str">
        <f>IFERROR(VLOOKUP($A360,'The List'!$B1:$AS665,26,FALSE)," ")</f>
        <v xml:space="preserve"> </v>
      </c>
      <c r="T360" s="83" t="str">
        <f>IFERROR(VLOOKUP($A360,'The List'!$B1:$AS665,27,FALSE)," ")</f>
        <v xml:space="preserve"> </v>
      </c>
      <c r="U360" s="83" t="str">
        <f>IFERROR(VLOOKUP($A360,'The List'!$B1:$AS665,28,FALSE)," ")</f>
        <v xml:space="preserve"> </v>
      </c>
      <c r="V360" s="83" t="str">
        <f>IFERROR(VLOOKUP($A360,'The List'!$B1:$AS665,29,FALSE)," ")</f>
        <v xml:space="preserve"> </v>
      </c>
      <c r="W360" s="83" t="str">
        <f>IFERROR(VLOOKUP($A360,'The List'!$B1:$AS665,30,FALSE)," ")</f>
        <v xml:space="preserve"> </v>
      </c>
      <c r="X360" s="83" t="str">
        <f>IFERROR(VLOOKUP($A360,'The List'!$B1:$AS665,31,FALSE)," ")</f>
        <v xml:space="preserve"> </v>
      </c>
      <c r="Y360" s="83" t="str">
        <f>IFERROR(VLOOKUP($A360,'The List'!$B1:$AS665,32,FALSE)," ")</f>
        <v xml:space="preserve"> </v>
      </c>
      <c r="Z360" s="83" t="str">
        <f>IFERROR(VLOOKUP($A360,'The List'!$B1:$AS665,33,FALSE)," ")</f>
        <v xml:space="preserve"> </v>
      </c>
      <c r="AA360" s="86"/>
      <c r="AB360" s="91"/>
      <c r="AC360" s="91"/>
      <c r="AD360" s="91"/>
      <c r="AE360" s="91"/>
      <c r="AF360" s="91"/>
    </row>
    <row r="361" spans="1:32" ht="21.25" customHeight="1" x14ac:dyDescent="0.15">
      <c r="A361" s="23"/>
      <c r="B361" s="97" t="str">
        <f>IFERROR(VLOOKUP($A361,'The List'!$B1:$AS665,3,FALSE)," ")</f>
        <v xml:space="preserve"> </v>
      </c>
      <c r="C361" s="99" t="str">
        <f>IFERROR(VLOOKUP($A361,'The List'!$B1:$AS665,4,FALSE)," ")</f>
        <v xml:space="preserve"> </v>
      </c>
      <c r="D361" s="65" t="str">
        <f>IFERROR(VLOOKUP($A361,'The List'!$B1:$AS665,5,FALSE)," ")</f>
        <v xml:space="preserve"> </v>
      </c>
      <c r="E361" s="65" t="str">
        <f>IFERROR(VLOOKUP($A361,'The List'!$B1:$AS665,6,FALSE)," ")</f>
        <v xml:space="preserve"> </v>
      </c>
      <c r="F361" s="93" t="str">
        <f>IFERROR(VLOOKUP($A361,'The List'!$B1:$AS665,8,FALSE)," ")</f>
        <v xml:space="preserve"> </v>
      </c>
      <c r="G361" s="93" t="str">
        <f>IFERROR(VLOOKUP($A361,'The List'!$B1:$AS665,10,FALSE)," ")</f>
        <v xml:space="preserve"> </v>
      </c>
      <c r="H361" s="54"/>
      <c r="I361" s="83" t="str">
        <f>IFERROR(VLOOKUP($A361,'The List'!$B1:$AS665,16,FALSE)," ")</f>
        <v xml:space="preserve"> </v>
      </c>
      <c r="J361" s="83" t="str">
        <f>IFERROR(VLOOKUP($A361,'The List'!$B1:$AS665,17,FALSE)," ")</f>
        <v xml:space="preserve"> </v>
      </c>
      <c r="K361" s="83" t="str">
        <f>IFERROR(VLOOKUP($A361,'The List'!$B1:$AS665,18,FALSE)," ")</f>
        <v xml:space="preserve"> </v>
      </c>
      <c r="L361" s="83" t="str">
        <f>IFERROR(VLOOKUP($A361,'The List'!$B1:$AS665,19,FALSE)," ")</f>
        <v xml:space="preserve"> </v>
      </c>
      <c r="M361" s="83" t="str">
        <f>IFERROR(VLOOKUP($A361,'The List'!$B1:$AS665,20,FALSE)," ")</f>
        <v xml:space="preserve"> </v>
      </c>
      <c r="N361" s="83" t="str">
        <f>IFERROR(VLOOKUP($A361,'The List'!$B1:$AS665,21,FALSE)," ")</f>
        <v xml:space="preserve"> </v>
      </c>
      <c r="O361" s="83" t="str">
        <f>IFERROR(VLOOKUP($A361,'The List'!$B1:$AS665,22,FALSE)," ")</f>
        <v xml:space="preserve"> </v>
      </c>
      <c r="P361" s="83" t="str">
        <f>IFERROR(VLOOKUP($A361,'The List'!$B1:$AS665,23,FALSE)," ")</f>
        <v xml:space="preserve"> </v>
      </c>
      <c r="Q361" s="83" t="str">
        <f>IFERROR(VLOOKUP($A361,'The List'!$B1:$AS665,24,FALSE)," ")</f>
        <v xml:space="preserve"> </v>
      </c>
      <c r="R361" s="83" t="str">
        <f>IFERROR(VLOOKUP($A361,'The List'!$B1:$AS665,25,FALSE)," ")</f>
        <v xml:space="preserve"> </v>
      </c>
      <c r="S361" s="83" t="str">
        <f>IFERROR(VLOOKUP($A361,'The List'!$B1:$AS665,26,FALSE)," ")</f>
        <v xml:space="preserve"> </v>
      </c>
      <c r="T361" s="83" t="str">
        <f>IFERROR(VLOOKUP($A361,'The List'!$B1:$AS665,27,FALSE)," ")</f>
        <v xml:space="preserve"> </v>
      </c>
      <c r="U361" s="83" t="str">
        <f>IFERROR(VLOOKUP($A361,'The List'!$B1:$AS665,28,FALSE)," ")</f>
        <v xml:space="preserve"> </v>
      </c>
      <c r="V361" s="83" t="str">
        <f>IFERROR(VLOOKUP($A361,'The List'!$B1:$AS665,29,FALSE)," ")</f>
        <v xml:space="preserve"> </v>
      </c>
      <c r="W361" s="83" t="str">
        <f>IFERROR(VLOOKUP($A361,'The List'!$B1:$AS665,30,FALSE)," ")</f>
        <v xml:space="preserve"> </v>
      </c>
      <c r="X361" s="83" t="str">
        <f>IFERROR(VLOOKUP($A361,'The List'!$B1:$AS665,31,FALSE)," ")</f>
        <v xml:space="preserve"> </v>
      </c>
      <c r="Y361" s="83" t="str">
        <f>IFERROR(VLOOKUP($A361,'The List'!$B1:$AS665,32,FALSE)," ")</f>
        <v xml:space="preserve"> </v>
      </c>
      <c r="Z361" s="83" t="str">
        <f>IFERROR(VLOOKUP($A361,'The List'!$B1:$AS665,33,FALSE)," ")</f>
        <v xml:space="preserve"> </v>
      </c>
      <c r="AA361" s="86"/>
      <c r="AB361" s="91"/>
      <c r="AC361" s="91"/>
      <c r="AD361" s="91"/>
      <c r="AE361" s="91"/>
      <c r="AF361" s="91"/>
    </row>
    <row r="362" spans="1:32" ht="21.25" customHeight="1" x14ac:dyDescent="0.15">
      <c r="A362" s="23"/>
      <c r="B362" s="100" t="str">
        <f>IFERROR(VLOOKUP($A362,'The List'!$B1:$AS665,3,FALSE)," ")</f>
        <v xml:space="preserve"> </v>
      </c>
      <c r="C362" s="102" t="str">
        <f>IFERROR(VLOOKUP($A362,'The List'!$B1:$AS665,4,FALSE)," ")</f>
        <v xml:space="preserve"> </v>
      </c>
      <c r="D362" s="65" t="str">
        <f>IFERROR(VLOOKUP($A362,'The List'!$B1:$AS665,5,FALSE)," ")</f>
        <v xml:space="preserve"> </v>
      </c>
      <c r="E362" s="65" t="str">
        <f>IFERROR(VLOOKUP($A362,'The List'!$B1:$AS665,6,FALSE)," ")</f>
        <v xml:space="preserve"> </v>
      </c>
      <c r="F362" s="93" t="str">
        <f>IFERROR(VLOOKUP($A362,'The List'!$B1:$AS665,8,FALSE)," ")</f>
        <v xml:space="preserve"> </v>
      </c>
      <c r="G362" s="93" t="str">
        <f>IFERROR(VLOOKUP($A362,'The List'!$B1:$AS665,10,FALSE)," ")</f>
        <v xml:space="preserve"> </v>
      </c>
      <c r="H362" s="54"/>
      <c r="I362" s="83" t="str">
        <f>IFERROR(VLOOKUP($A362,'The List'!$B1:$AS665,16,FALSE)," ")</f>
        <v xml:space="preserve"> </v>
      </c>
      <c r="J362" s="83" t="str">
        <f>IFERROR(VLOOKUP($A362,'The List'!$B1:$AS665,17,FALSE)," ")</f>
        <v xml:space="preserve"> </v>
      </c>
      <c r="K362" s="83" t="str">
        <f>IFERROR(VLOOKUP($A362,'The List'!$B1:$AS665,18,FALSE)," ")</f>
        <v xml:space="preserve"> </v>
      </c>
      <c r="L362" s="83" t="str">
        <f>IFERROR(VLOOKUP($A362,'The List'!$B1:$AS665,19,FALSE)," ")</f>
        <v xml:space="preserve"> </v>
      </c>
      <c r="M362" s="83" t="str">
        <f>IFERROR(VLOOKUP($A362,'The List'!$B1:$AS665,20,FALSE)," ")</f>
        <v xml:space="preserve"> </v>
      </c>
      <c r="N362" s="83" t="str">
        <f>IFERROR(VLOOKUP($A362,'The List'!$B1:$AS665,21,FALSE)," ")</f>
        <v xml:space="preserve"> </v>
      </c>
      <c r="O362" s="83" t="str">
        <f>IFERROR(VLOOKUP($A362,'The List'!$B1:$AS665,22,FALSE)," ")</f>
        <v xml:space="preserve"> </v>
      </c>
      <c r="P362" s="83" t="str">
        <f>IFERROR(VLOOKUP($A362,'The List'!$B1:$AS665,23,FALSE)," ")</f>
        <v xml:space="preserve"> </v>
      </c>
      <c r="Q362" s="83" t="str">
        <f>IFERROR(VLOOKUP($A362,'The List'!$B1:$AS665,24,FALSE)," ")</f>
        <v xml:space="preserve"> </v>
      </c>
      <c r="R362" s="83" t="str">
        <f>IFERROR(VLOOKUP($A362,'The List'!$B1:$AS665,25,FALSE)," ")</f>
        <v xml:space="preserve"> </v>
      </c>
      <c r="S362" s="83" t="str">
        <f>IFERROR(VLOOKUP($A362,'The List'!$B1:$AS665,26,FALSE)," ")</f>
        <v xml:space="preserve"> </v>
      </c>
      <c r="T362" s="83" t="str">
        <f>IFERROR(VLOOKUP($A362,'The List'!$B1:$AS665,27,FALSE)," ")</f>
        <v xml:space="preserve"> </v>
      </c>
      <c r="U362" s="83" t="str">
        <f>IFERROR(VLOOKUP($A362,'The List'!$B1:$AS665,28,FALSE)," ")</f>
        <v xml:space="preserve"> </v>
      </c>
      <c r="V362" s="83" t="str">
        <f>IFERROR(VLOOKUP($A362,'The List'!$B1:$AS665,29,FALSE)," ")</f>
        <v xml:space="preserve"> </v>
      </c>
      <c r="W362" s="83" t="str">
        <f>IFERROR(VLOOKUP($A362,'The List'!$B1:$AS665,30,FALSE)," ")</f>
        <v xml:space="preserve"> </v>
      </c>
      <c r="X362" s="83" t="str">
        <f>IFERROR(VLOOKUP($A362,'The List'!$B1:$AS665,31,FALSE)," ")</f>
        <v xml:space="preserve"> </v>
      </c>
      <c r="Y362" s="83" t="str">
        <f>IFERROR(VLOOKUP($A362,'The List'!$B1:$AS665,32,FALSE)," ")</f>
        <v xml:space="preserve"> </v>
      </c>
      <c r="Z362" s="83" t="str">
        <f>IFERROR(VLOOKUP($A362,'The List'!$B1:$AS665,33,FALSE)," ")</f>
        <v xml:space="preserve"> </v>
      </c>
      <c r="AA362" s="86"/>
      <c r="AB362" s="91"/>
      <c r="AC362" s="91"/>
      <c r="AD362" s="91"/>
      <c r="AE362" s="91"/>
      <c r="AF362" s="91"/>
    </row>
    <row r="363" spans="1:32" ht="21.25" customHeight="1" x14ac:dyDescent="0.15">
      <c r="A363" s="23"/>
      <c r="B363" s="100" t="str">
        <f>IFERROR(VLOOKUP($A363,'The List'!$B1:$AS665,3,FALSE)," ")</f>
        <v xml:space="preserve"> </v>
      </c>
      <c r="C363" s="102" t="str">
        <f>IFERROR(VLOOKUP($A363,'The List'!$B1:$AS665,4,FALSE)," ")</f>
        <v xml:space="preserve"> </v>
      </c>
      <c r="D363" s="65" t="str">
        <f>IFERROR(VLOOKUP($A363,'The List'!$B1:$AS665,5,FALSE)," ")</f>
        <v xml:space="preserve"> </v>
      </c>
      <c r="E363" s="65" t="str">
        <f>IFERROR(VLOOKUP($A363,'The List'!$B1:$AS665,6,FALSE)," ")</f>
        <v xml:space="preserve"> </v>
      </c>
      <c r="F363" s="93" t="str">
        <f>IFERROR(VLOOKUP($A363,'The List'!$B1:$AS665,8,FALSE)," ")</f>
        <v xml:space="preserve"> </v>
      </c>
      <c r="G363" s="93" t="str">
        <f>IFERROR(VLOOKUP($A363,'The List'!$B1:$AS665,10,FALSE)," ")</f>
        <v xml:space="preserve"> </v>
      </c>
      <c r="H363" s="54"/>
      <c r="I363" s="83" t="str">
        <f>IFERROR(VLOOKUP($A363,'The List'!$B1:$AS665,16,FALSE)," ")</f>
        <v xml:space="preserve"> </v>
      </c>
      <c r="J363" s="83" t="str">
        <f>IFERROR(VLOOKUP($A363,'The List'!$B1:$AS665,17,FALSE)," ")</f>
        <v xml:space="preserve"> </v>
      </c>
      <c r="K363" s="83" t="str">
        <f>IFERROR(VLOOKUP($A363,'The List'!$B1:$AS665,18,FALSE)," ")</f>
        <v xml:space="preserve"> </v>
      </c>
      <c r="L363" s="83" t="str">
        <f>IFERROR(VLOOKUP($A363,'The List'!$B1:$AS665,19,FALSE)," ")</f>
        <v xml:space="preserve"> </v>
      </c>
      <c r="M363" s="83" t="str">
        <f>IFERROR(VLOOKUP($A363,'The List'!$B1:$AS665,20,FALSE)," ")</f>
        <v xml:space="preserve"> </v>
      </c>
      <c r="N363" s="83" t="str">
        <f>IFERROR(VLOOKUP($A363,'The List'!$B1:$AS665,21,FALSE)," ")</f>
        <v xml:space="preserve"> </v>
      </c>
      <c r="O363" s="83" t="str">
        <f>IFERROR(VLOOKUP($A363,'The List'!$B1:$AS665,22,FALSE)," ")</f>
        <v xml:space="preserve"> </v>
      </c>
      <c r="P363" s="83" t="str">
        <f>IFERROR(VLOOKUP($A363,'The List'!$B1:$AS665,23,FALSE)," ")</f>
        <v xml:space="preserve"> </v>
      </c>
      <c r="Q363" s="83" t="str">
        <f>IFERROR(VLOOKUP($A363,'The List'!$B1:$AS665,24,FALSE)," ")</f>
        <v xml:space="preserve"> </v>
      </c>
      <c r="R363" s="83" t="str">
        <f>IFERROR(VLOOKUP($A363,'The List'!$B1:$AS665,25,FALSE)," ")</f>
        <v xml:space="preserve"> </v>
      </c>
      <c r="S363" s="83" t="str">
        <f>IFERROR(VLOOKUP($A363,'The List'!$B1:$AS665,26,FALSE)," ")</f>
        <v xml:space="preserve"> </v>
      </c>
      <c r="T363" s="83" t="str">
        <f>IFERROR(VLOOKUP($A363,'The List'!$B1:$AS665,27,FALSE)," ")</f>
        <v xml:space="preserve"> </v>
      </c>
      <c r="U363" s="83" t="str">
        <f>IFERROR(VLOOKUP($A363,'The List'!$B1:$AS665,28,FALSE)," ")</f>
        <v xml:space="preserve"> </v>
      </c>
      <c r="V363" s="83" t="str">
        <f>IFERROR(VLOOKUP($A363,'The List'!$B1:$AS665,29,FALSE)," ")</f>
        <v xml:space="preserve"> </v>
      </c>
      <c r="W363" s="83" t="str">
        <f>IFERROR(VLOOKUP($A363,'The List'!$B1:$AS665,30,FALSE)," ")</f>
        <v xml:space="preserve"> </v>
      </c>
      <c r="X363" s="83" t="str">
        <f>IFERROR(VLOOKUP($A363,'The List'!$B1:$AS665,31,FALSE)," ")</f>
        <v xml:space="preserve"> </v>
      </c>
      <c r="Y363" s="83" t="str">
        <f>IFERROR(VLOOKUP($A363,'The List'!$B1:$AS665,32,FALSE)," ")</f>
        <v xml:space="preserve"> </v>
      </c>
      <c r="Z363" s="83" t="str">
        <f>IFERROR(VLOOKUP($A363,'The List'!$B1:$AS665,33,FALSE)," ")</f>
        <v xml:space="preserve"> </v>
      </c>
      <c r="AA363" s="86"/>
      <c r="AB363" s="91"/>
      <c r="AC363" s="91"/>
      <c r="AD363" s="91"/>
      <c r="AE363" s="91"/>
      <c r="AF363" s="91"/>
    </row>
    <row r="364" spans="1:32" ht="21.25" customHeight="1" x14ac:dyDescent="0.15">
      <c r="A364" s="23"/>
      <c r="B364" s="100" t="str">
        <f>IFERROR(VLOOKUP($A364,'The List'!$B1:$AS665,3,FALSE)," ")</f>
        <v xml:space="preserve"> </v>
      </c>
      <c r="C364" s="102" t="str">
        <f>IFERROR(VLOOKUP($A364,'The List'!$B1:$AS665,4,FALSE)," ")</f>
        <v xml:space="preserve"> </v>
      </c>
      <c r="D364" s="65" t="str">
        <f>IFERROR(VLOOKUP($A364,'The List'!$B1:$AS665,5,FALSE)," ")</f>
        <v xml:space="preserve"> </v>
      </c>
      <c r="E364" s="65" t="str">
        <f>IFERROR(VLOOKUP($A364,'The List'!$B1:$AS665,6,FALSE)," ")</f>
        <v xml:space="preserve"> </v>
      </c>
      <c r="F364" s="93" t="str">
        <f>IFERROR(VLOOKUP($A364,'The List'!$B1:$AS665,8,FALSE)," ")</f>
        <v xml:space="preserve"> </v>
      </c>
      <c r="G364" s="93" t="str">
        <f>IFERROR(VLOOKUP($A364,'The List'!$B1:$AS665,10,FALSE)," ")</f>
        <v xml:space="preserve"> </v>
      </c>
      <c r="H364" s="54"/>
      <c r="I364" s="83" t="str">
        <f>IFERROR(VLOOKUP($A364,'The List'!$B1:$AS665,16,FALSE)," ")</f>
        <v xml:space="preserve"> </v>
      </c>
      <c r="J364" s="83" t="str">
        <f>IFERROR(VLOOKUP($A364,'The List'!$B1:$AS665,17,FALSE)," ")</f>
        <v xml:space="preserve"> </v>
      </c>
      <c r="K364" s="83" t="str">
        <f>IFERROR(VLOOKUP($A364,'The List'!$B1:$AS665,18,FALSE)," ")</f>
        <v xml:space="preserve"> </v>
      </c>
      <c r="L364" s="83" t="str">
        <f>IFERROR(VLOOKUP($A364,'The List'!$B1:$AS665,19,FALSE)," ")</f>
        <v xml:space="preserve"> </v>
      </c>
      <c r="M364" s="83" t="str">
        <f>IFERROR(VLOOKUP($A364,'The List'!$B1:$AS665,20,FALSE)," ")</f>
        <v xml:space="preserve"> </v>
      </c>
      <c r="N364" s="83" t="str">
        <f>IFERROR(VLOOKUP($A364,'The List'!$B1:$AS665,21,FALSE)," ")</f>
        <v xml:space="preserve"> </v>
      </c>
      <c r="O364" s="83" t="str">
        <f>IFERROR(VLOOKUP($A364,'The List'!$B1:$AS665,22,FALSE)," ")</f>
        <v xml:space="preserve"> </v>
      </c>
      <c r="P364" s="83" t="str">
        <f>IFERROR(VLOOKUP($A364,'The List'!$B1:$AS665,23,FALSE)," ")</f>
        <v xml:space="preserve"> </v>
      </c>
      <c r="Q364" s="83" t="str">
        <f>IFERROR(VLOOKUP($A364,'The List'!$B1:$AS665,24,FALSE)," ")</f>
        <v xml:space="preserve"> </v>
      </c>
      <c r="R364" s="83" t="str">
        <f>IFERROR(VLOOKUP($A364,'The List'!$B1:$AS665,25,FALSE)," ")</f>
        <v xml:space="preserve"> </v>
      </c>
      <c r="S364" s="83" t="str">
        <f>IFERROR(VLOOKUP($A364,'The List'!$B1:$AS665,26,FALSE)," ")</f>
        <v xml:space="preserve"> </v>
      </c>
      <c r="T364" s="83" t="str">
        <f>IFERROR(VLOOKUP($A364,'The List'!$B1:$AS665,27,FALSE)," ")</f>
        <v xml:space="preserve"> </v>
      </c>
      <c r="U364" s="83" t="str">
        <f>IFERROR(VLOOKUP($A364,'The List'!$B1:$AS665,28,FALSE)," ")</f>
        <v xml:space="preserve"> </v>
      </c>
      <c r="V364" s="83" t="str">
        <f>IFERROR(VLOOKUP($A364,'The List'!$B1:$AS665,29,FALSE)," ")</f>
        <v xml:space="preserve"> </v>
      </c>
      <c r="W364" s="83" t="str">
        <f>IFERROR(VLOOKUP($A364,'The List'!$B1:$AS665,30,FALSE)," ")</f>
        <v xml:space="preserve"> </v>
      </c>
      <c r="X364" s="83" t="str">
        <f>IFERROR(VLOOKUP($A364,'The List'!$B1:$AS665,31,FALSE)," ")</f>
        <v xml:space="preserve"> </v>
      </c>
      <c r="Y364" s="83" t="str">
        <f>IFERROR(VLOOKUP($A364,'The List'!$B1:$AS665,32,FALSE)," ")</f>
        <v xml:space="preserve"> </v>
      </c>
      <c r="Z364" s="83" t="str">
        <f>IFERROR(VLOOKUP($A364,'The List'!$B1:$AS665,33,FALSE)," ")</f>
        <v xml:space="preserve"> </v>
      </c>
      <c r="AA364" s="86"/>
      <c r="AB364" s="91"/>
      <c r="AC364" s="91"/>
      <c r="AD364" s="91"/>
      <c r="AE364" s="91"/>
      <c r="AF364" s="91"/>
    </row>
    <row r="365" spans="1:32" ht="21.25" customHeight="1" x14ac:dyDescent="0.15">
      <c r="A365" s="23"/>
      <c r="B365" s="100" t="str">
        <f>IFERROR(VLOOKUP($A365,'The List'!$B1:$AS665,3,FALSE)," ")</f>
        <v xml:space="preserve"> </v>
      </c>
      <c r="C365" s="102" t="str">
        <f>IFERROR(VLOOKUP($A365,'The List'!$B1:$AS665,4,FALSE)," ")</f>
        <v xml:space="preserve"> </v>
      </c>
      <c r="D365" s="65" t="str">
        <f>IFERROR(VLOOKUP($A365,'The List'!$B1:$AS665,5,FALSE)," ")</f>
        <v xml:space="preserve"> </v>
      </c>
      <c r="E365" s="65" t="str">
        <f>IFERROR(VLOOKUP($A365,'The List'!$B1:$AS665,6,FALSE)," ")</f>
        <v xml:space="preserve"> </v>
      </c>
      <c r="F365" s="93" t="str">
        <f>IFERROR(VLOOKUP($A365,'The List'!$B1:$AS665,8,FALSE)," ")</f>
        <v xml:space="preserve"> </v>
      </c>
      <c r="G365" s="93" t="str">
        <f>IFERROR(VLOOKUP($A365,'The List'!$B1:$AS665,10,FALSE)," ")</f>
        <v xml:space="preserve"> </v>
      </c>
      <c r="H365" s="54"/>
      <c r="I365" s="83" t="str">
        <f>IFERROR(VLOOKUP($A365,'The List'!$B1:$AS665,16,FALSE)," ")</f>
        <v xml:space="preserve"> </v>
      </c>
      <c r="J365" s="83" t="str">
        <f>IFERROR(VLOOKUP($A365,'The List'!$B1:$AS665,17,FALSE)," ")</f>
        <v xml:space="preserve"> </v>
      </c>
      <c r="K365" s="83" t="str">
        <f>IFERROR(VLOOKUP($A365,'The List'!$B1:$AS665,18,FALSE)," ")</f>
        <v xml:space="preserve"> </v>
      </c>
      <c r="L365" s="83" t="str">
        <f>IFERROR(VLOOKUP($A365,'The List'!$B1:$AS665,19,FALSE)," ")</f>
        <v xml:space="preserve"> </v>
      </c>
      <c r="M365" s="83" t="str">
        <f>IFERROR(VLOOKUP($A365,'The List'!$B1:$AS665,20,FALSE)," ")</f>
        <v xml:space="preserve"> </v>
      </c>
      <c r="N365" s="83" t="str">
        <f>IFERROR(VLOOKUP($A365,'The List'!$B1:$AS665,21,FALSE)," ")</f>
        <v xml:space="preserve"> </v>
      </c>
      <c r="O365" s="83" t="str">
        <f>IFERROR(VLOOKUP($A365,'The List'!$B1:$AS665,22,FALSE)," ")</f>
        <v xml:space="preserve"> </v>
      </c>
      <c r="P365" s="83" t="str">
        <f>IFERROR(VLOOKUP($A365,'The List'!$B1:$AS665,23,FALSE)," ")</f>
        <v xml:space="preserve"> </v>
      </c>
      <c r="Q365" s="83" t="str">
        <f>IFERROR(VLOOKUP($A365,'The List'!$B1:$AS665,24,FALSE)," ")</f>
        <v xml:space="preserve"> </v>
      </c>
      <c r="R365" s="83" t="str">
        <f>IFERROR(VLOOKUP($A365,'The List'!$B1:$AS665,25,FALSE)," ")</f>
        <v xml:space="preserve"> </v>
      </c>
      <c r="S365" s="83" t="str">
        <f>IFERROR(VLOOKUP($A365,'The List'!$B1:$AS665,26,FALSE)," ")</f>
        <v xml:space="preserve"> </v>
      </c>
      <c r="T365" s="83" t="str">
        <f>IFERROR(VLOOKUP($A365,'The List'!$B1:$AS665,27,FALSE)," ")</f>
        <v xml:space="preserve"> </v>
      </c>
      <c r="U365" s="83" t="str">
        <f>IFERROR(VLOOKUP($A365,'The List'!$B1:$AS665,28,FALSE)," ")</f>
        <v xml:space="preserve"> </v>
      </c>
      <c r="V365" s="83" t="str">
        <f>IFERROR(VLOOKUP($A365,'The List'!$B1:$AS665,29,FALSE)," ")</f>
        <v xml:space="preserve"> </v>
      </c>
      <c r="W365" s="83" t="str">
        <f>IFERROR(VLOOKUP($A365,'The List'!$B1:$AS665,30,FALSE)," ")</f>
        <v xml:space="preserve"> </v>
      </c>
      <c r="X365" s="83" t="str">
        <f>IFERROR(VLOOKUP($A365,'The List'!$B1:$AS665,31,FALSE)," ")</f>
        <v xml:space="preserve"> </v>
      </c>
      <c r="Y365" s="83" t="str">
        <f>IFERROR(VLOOKUP($A365,'The List'!$B1:$AS665,32,FALSE)," ")</f>
        <v xml:space="preserve"> </v>
      </c>
      <c r="Z365" s="83" t="str">
        <f>IFERROR(VLOOKUP($A365,'The List'!$B1:$AS665,33,FALSE)," ")</f>
        <v xml:space="preserve"> </v>
      </c>
      <c r="AA365" s="86"/>
      <c r="AB365" s="91"/>
      <c r="AC365" s="91"/>
      <c r="AD365" s="91"/>
      <c r="AE365" s="91"/>
      <c r="AF365" s="91"/>
    </row>
    <row r="366" spans="1:32" ht="21.25" customHeight="1" x14ac:dyDescent="0.15">
      <c r="A366" s="23"/>
      <c r="B366" s="100" t="str">
        <f>IFERROR(VLOOKUP($A366,'The List'!$B1:$AS665,3,FALSE)," ")</f>
        <v xml:space="preserve"> </v>
      </c>
      <c r="C366" s="102" t="str">
        <f>IFERROR(VLOOKUP($A366,'The List'!$B1:$AS665,4,FALSE)," ")</f>
        <v xml:space="preserve"> </v>
      </c>
      <c r="D366" s="65" t="str">
        <f>IFERROR(VLOOKUP($A366,'The List'!$B1:$AS665,5,FALSE)," ")</f>
        <v xml:space="preserve"> </v>
      </c>
      <c r="E366" s="65" t="str">
        <f>IFERROR(VLOOKUP($A366,'The List'!$B1:$AS665,6,FALSE)," ")</f>
        <v xml:space="preserve"> </v>
      </c>
      <c r="F366" s="93" t="str">
        <f>IFERROR(VLOOKUP($A366,'The List'!$B1:$AS665,8,FALSE)," ")</f>
        <v xml:space="preserve"> </v>
      </c>
      <c r="G366" s="93" t="str">
        <f>IFERROR(VLOOKUP($A366,'The List'!$B1:$AS665,10,FALSE)," ")</f>
        <v xml:space="preserve"> </v>
      </c>
      <c r="H366" s="54"/>
      <c r="I366" s="83" t="str">
        <f>IFERROR(VLOOKUP($A366,'The List'!$B1:$AS665,16,FALSE)," ")</f>
        <v xml:space="preserve"> </v>
      </c>
      <c r="J366" s="83" t="str">
        <f>IFERROR(VLOOKUP($A366,'The List'!$B1:$AS665,17,FALSE)," ")</f>
        <v xml:space="preserve"> </v>
      </c>
      <c r="K366" s="83" t="str">
        <f>IFERROR(VLOOKUP($A366,'The List'!$B1:$AS665,18,FALSE)," ")</f>
        <v xml:space="preserve"> </v>
      </c>
      <c r="L366" s="83" t="str">
        <f>IFERROR(VLOOKUP($A366,'The List'!$B1:$AS665,19,FALSE)," ")</f>
        <v xml:space="preserve"> </v>
      </c>
      <c r="M366" s="83" t="str">
        <f>IFERROR(VLOOKUP($A366,'The List'!$B1:$AS665,20,FALSE)," ")</f>
        <v xml:space="preserve"> </v>
      </c>
      <c r="N366" s="83" t="str">
        <f>IFERROR(VLOOKUP($A366,'The List'!$B1:$AS665,21,FALSE)," ")</f>
        <v xml:space="preserve"> </v>
      </c>
      <c r="O366" s="83" t="str">
        <f>IFERROR(VLOOKUP($A366,'The List'!$B1:$AS665,22,FALSE)," ")</f>
        <v xml:space="preserve"> </v>
      </c>
      <c r="P366" s="83" t="str">
        <f>IFERROR(VLOOKUP($A366,'The List'!$B1:$AS665,23,FALSE)," ")</f>
        <v xml:space="preserve"> </v>
      </c>
      <c r="Q366" s="83" t="str">
        <f>IFERROR(VLOOKUP($A366,'The List'!$B1:$AS665,24,FALSE)," ")</f>
        <v xml:space="preserve"> </v>
      </c>
      <c r="R366" s="83" t="str">
        <f>IFERROR(VLOOKUP($A366,'The List'!$B1:$AS665,25,FALSE)," ")</f>
        <v xml:space="preserve"> </v>
      </c>
      <c r="S366" s="83" t="str">
        <f>IFERROR(VLOOKUP($A366,'The List'!$B1:$AS665,26,FALSE)," ")</f>
        <v xml:space="preserve"> </v>
      </c>
      <c r="T366" s="83" t="str">
        <f>IFERROR(VLOOKUP($A366,'The List'!$B1:$AS665,27,FALSE)," ")</f>
        <v xml:space="preserve"> </v>
      </c>
      <c r="U366" s="83" t="str">
        <f>IFERROR(VLOOKUP($A366,'The List'!$B1:$AS665,28,FALSE)," ")</f>
        <v xml:space="preserve"> </v>
      </c>
      <c r="V366" s="83" t="str">
        <f>IFERROR(VLOOKUP($A366,'The List'!$B1:$AS665,29,FALSE)," ")</f>
        <v xml:space="preserve"> </v>
      </c>
      <c r="W366" s="83" t="str">
        <f>IFERROR(VLOOKUP($A366,'The List'!$B1:$AS665,30,FALSE)," ")</f>
        <v xml:space="preserve"> </v>
      </c>
      <c r="X366" s="83" t="str">
        <f>IFERROR(VLOOKUP($A366,'The List'!$B1:$AS665,31,FALSE)," ")</f>
        <v xml:space="preserve"> </v>
      </c>
      <c r="Y366" s="83" t="str">
        <f>IFERROR(VLOOKUP($A366,'The List'!$B1:$AS665,32,FALSE)," ")</f>
        <v xml:space="preserve"> </v>
      </c>
      <c r="Z366" s="83" t="str">
        <f>IFERROR(VLOOKUP($A366,'The List'!$B1:$AS665,33,FALSE)," ")</f>
        <v xml:space="preserve"> </v>
      </c>
      <c r="AA366" s="86"/>
      <c r="AB366" s="91"/>
      <c r="AC366" s="91"/>
      <c r="AD366" s="91"/>
      <c r="AE366" s="91"/>
      <c r="AF366" s="91"/>
    </row>
    <row r="367" spans="1:32" ht="21.25" customHeight="1" x14ac:dyDescent="0.15">
      <c r="A367" s="23"/>
      <c r="B367" s="100" t="str">
        <f>IFERROR(VLOOKUP($A367,'The List'!$B1:$AS665,3,FALSE)," ")</f>
        <v xml:space="preserve"> </v>
      </c>
      <c r="C367" s="102" t="str">
        <f>IFERROR(VLOOKUP($A367,'The List'!$B1:$AS665,4,FALSE)," ")</f>
        <v xml:space="preserve"> </v>
      </c>
      <c r="D367" s="65" t="str">
        <f>IFERROR(VLOOKUP($A367,'The List'!$B1:$AS665,5,FALSE)," ")</f>
        <v xml:space="preserve"> </v>
      </c>
      <c r="E367" s="65" t="str">
        <f>IFERROR(VLOOKUP($A367,'The List'!$B1:$AS665,6,FALSE)," ")</f>
        <v xml:space="preserve"> </v>
      </c>
      <c r="F367" s="93" t="str">
        <f>IFERROR(VLOOKUP($A367,'The List'!$B1:$AS665,8,FALSE)," ")</f>
        <v xml:space="preserve"> </v>
      </c>
      <c r="G367" s="93" t="str">
        <f>IFERROR(VLOOKUP($A367,'The List'!$B1:$AS665,10,FALSE)," ")</f>
        <v xml:space="preserve"> </v>
      </c>
      <c r="H367" s="54"/>
      <c r="I367" s="83" t="str">
        <f>IFERROR(VLOOKUP($A367,'The List'!$B1:$AS665,16,FALSE)," ")</f>
        <v xml:space="preserve"> </v>
      </c>
      <c r="J367" s="83" t="str">
        <f>IFERROR(VLOOKUP($A367,'The List'!$B1:$AS665,17,FALSE)," ")</f>
        <v xml:space="preserve"> </v>
      </c>
      <c r="K367" s="83" t="str">
        <f>IFERROR(VLOOKUP($A367,'The List'!$B1:$AS665,18,FALSE)," ")</f>
        <v xml:space="preserve"> </v>
      </c>
      <c r="L367" s="83" t="str">
        <f>IFERROR(VLOOKUP($A367,'The List'!$B1:$AS665,19,FALSE)," ")</f>
        <v xml:space="preserve"> </v>
      </c>
      <c r="M367" s="83" t="str">
        <f>IFERROR(VLOOKUP($A367,'The List'!$B1:$AS665,20,FALSE)," ")</f>
        <v xml:space="preserve"> </v>
      </c>
      <c r="N367" s="83" t="str">
        <f>IFERROR(VLOOKUP($A367,'The List'!$B1:$AS665,21,FALSE)," ")</f>
        <v xml:space="preserve"> </v>
      </c>
      <c r="O367" s="83" t="str">
        <f>IFERROR(VLOOKUP($A367,'The List'!$B1:$AS665,22,FALSE)," ")</f>
        <v xml:space="preserve"> </v>
      </c>
      <c r="P367" s="83" t="str">
        <f>IFERROR(VLOOKUP($A367,'The List'!$B1:$AS665,23,FALSE)," ")</f>
        <v xml:space="preserve"> </v>
      </c>
      <c r="Q367" s="83" t="str">
        <f>IFERROR(VLOOKUP($A367,'The List'!$B1:$AS665,24,FALSE)," ")</f>
        <v xml:space="preserve"> </v>
      </c>
      <c r="R367" s="83" t="str">
        <f>IFERROR(VLOOKUP($A367,'The List'!$B1:$AS665,25,FALSE)," ")</f>
        <v xml:space="preserve"> </v>
      </c>
      <c r="S367" s="83" t="str">
        <f>IFERROR(VLOOKUP($A367,'The List'!$B1:$AS665,26,FALSE)," ")</f>
        <v xml:space="preserve"> </v>
      </c>
      <c r="T367" s="83" t="str">
        <f>IFERROR(VLOOKUP($A367,'The List'!$B1:$AS665,27,FALSE)," ")</f>
        <v xml:space="preserve"> </v>
      </c>
      <c r="U367" s="83" t="str">
        <f>IFERROR(VLOOKUP($A367,'The List'!$B1:$AS665,28,FALSE)," ")</f>
        <v xml:space="preserve"> </v>
      </c>
      <c r="V367" s="83" t="str">
        <f>IFERROR(VLOOKUP($A367,'The List'!$B1:$AS665,29,FALSE)," ")</f>
        <v xml:space="preserve"> </v>
      </c>
      <c r="W367" s="83" t="str">
        <f>IFERROR(VLOOKUP($A367,'The List'!$B1:$AS665,30,FALSE)," ")</f>
        <v xml:space="preserve"> </v>
      </c>
      <c r="X367" s="83" t="str">
        <f>IFERROR(VLOOKUP($A367,'The List'!$B1:$AS665,31,FALSE)," ")</f>
        <v xml:space="preserve"> </v>
      </c>
      <c r="Y367" s="83" t="str">
        <f>IFERROR(VLOOKUP($A367,'The List'!$B1:$AS665,32,FALSE)," ")</f>
        <v xml:space="preserve"> </v>
      </c>
      <c r="Z367" s="83" t="str">
        <f>IFERROR(VLOOKUP($A367,'The List'!$B1:$AS665,33,FALSE)," ")</f>
        <v xml:space="preserve"> </v>
      </c>
      <c r="AA367" s="86"/>
      <c r="AB367" s="91"/>
      <c r="AC367" s="91"/>
      <c r="AD367" s="91"/>
      <c r="AE367" s="91"/>
      <c r="AF367" s="91"/>
    </row>
    <row r="368" spans="1:32" ht="21.25" customHeight="1" x14ac:dyDescent="0.15">
      <c r="A368" s="23"/>
      <c r="B368" s="100" t="str">
        <f>IFERROR(VLOOKUP($A368,'The List'!$B1:$AS665,3,FALSE)," ")</f>
        <v xml:space="preserve"> </v>
      </c>
      <c r="C368" s="102" t="str">
        <f>IFERROR(VLOOKUP($A368,'The List'!$B1:$AS665,4,FALSE)," ")</f>
        <v xml:space="preserve"> </v>
      </c>
      <c r="D368" s="65" t="str">
        <f>IFERROR(VLOOKUP($A368,'The List'!$B1:$AS665,5,FALSE)," ")</f>
        <v xml:space="preserve"> </v>
      </c>
      <c r="E368" s="65" t="str">
        <f>IFERROR(VLOOKUP($A368,'The List'!$B1:$AS665,6,FALSE)," ")</f>
        <v xml:space="preserve"> </v>
      </c>
      <c r="F368" s="93" t="str">
        <f>IFERROR(VLOOKUP($A368,'The List'!$B1:$AS665,8,FALSE)," ")</f>
        <v xml:space="preserve"> </v>
      </c>
      <c r="G368" s="93" t="str">
        <f>IFERROR(VLOOKUP($A368,'The List'!$B1:$AS665,10,FALSE)," ")</f>
        <v xml:space="preserve"> </v>
      </c>
      <c r="H368" s="54"/>
      <c r="I368" s="83" t="str">
        <f>IFERROR(VLOOKUP($A368,'The List'!$B1:$AS665,16,FALSE)," ")</f>
        <v xml:space="preserve"> </v>
      </c>
      <c r="J368" s="83" t="str">
        <f>IFERROR(VLOOKUP($A368,'The List'!$B1:$AS665,17,FALSE)," ")</f>
        <v xml:space="preserve"> </v>
      </c>
      <c r="K368" s="83" t="str">
        <f>IFERROR(VLOOKUP($A368,'The List'!$B1:$AS665,18,FALSE)," ")</f>
        <v xml:space="preserve"> </v>
      </c>
      <c r="L368" s="83" t="str">
        <f>IFERROR(VLOOKUP($A368,'The List'!$B1:$AS665,19,FALSE)," ")</f>
        <v xml:space="preserve"> </v>
      </c>
      <c r="M368" s="83" t="str">
        <f>IFERROR(VLOOKUP($A368,'The List'!$B1:$AS665,20,FALSE)," ")</f>
        <v xml:space="preserve"> </v>
      </c>
      <c r="N368" s="83" t="str">
        <f>IFERROR(VLOOKUP($A368,'The List'!$B1:$AS665,21,FALSE)," ")</f>
        <v xml:space="preserve"> </v>
      </c>
      <c r="O368" s="83" t="str">
        <f>IFERROR(VLOOKUP($A368,'The List'!$B1:$AS665,22,FALSE)," ")</f>
        <v xml:space="preserve"> </v>
      </c>
      <c r="P368" s="83" t="str">
        <f>IFERROR(VLOOKUP($A368,'The List'!$B1:$AS665,23,FALSE)," ")</f>
        <v xml:space="preserve"> </v>
      </c>
      <c r="Q368" s="83" t="str">
        <f>IFERROR(VLOOKUP($A368,'The List'!$B1:$AS665,24,FALSE)," ")</f>
        <v xml:space="preserve"> </v>
      </c>
      <c r="R368" s="83" t="str">
        <f>IFERROR(VLOOKUP($A368,'The List'!$B1:$AS665,25,FALSE)," ")</f>
        <v xml:space="preserve"> </v>
      </c>
      <c r="S368" s="83" t="str">
        <f>IFERROR(VLOOKUP($A368,'The List'!$B1:$AS665,26,FALSE)," ")</f>
        <v xml:space="preserve"> </v>
      </c>
      <c r="T368" s="83" t="str">
        <f>IFERROR(VLOOKUP($A368,'The List'!$B1:$AS665,27,FALSE)," ")</f>
        <v xml:space="preserve"> </v>
      </c>
      <c r="U368" s="83" t="str">
        <f>IFERROR(VLOOKUP($A368,'The List'!$B1:$AS665,28,FALSE)," ")</f>
        <v xml:space="preserve"> </v>
      </c>
      <c r="V368" s="83" t="str">
        <f>IFERROR(VLOOKUP($A368,'The List'!$B1:$AS665,29,FALSE)," ")</f>
        <v xml:space="preserve"> </v>
      </c>
      <c r="W368" s="83" t="str">
        <f>IFERROR(VLOOKUP($A368,'The List'!$B1:$AS665,30,FALSE)," ")</f>
        <v xml:space="preserve"> </v>
      </c>
      <c r="X368" s="83" t="str">
        <f>IFERROR(VLOOKUP($A368,'The List'!$B1:$AS665,31,FALSE)," ")</f>
        <v xml:space="preserve"> </v>
      </c>
      <c r="Y368" s="83" t="str">
        <f>IFERROR(VLOOKUP($A368,'The List'!$B1:$AS665,32,FALSE)," ")</f>
        <v xml:space="preserve"> </v>
      </c>
      <c r="Z368" s="83" t="str">
        <f>IFERROR(VLOOKUP($A368,'The List'!$B1:$AS665,33,FALSE)," ")</f>
        <v xml:space="preserve"> </v>
      </c>
      <c r="AA368" s="86"/>
      <c r="AB368" s="91"/>
      <c r="AC368" s="91"/>
      <c r="AD368" s="91"/>
      <c r="AE368" s="91"/>
      <c r="AF368" s="91"/>
    </row>
    <row r="369" spans="1:32" ht="21.25" customHeight="1" x14ac:dyDescent="0.15">
      <c r="A369" s="104"/>
      <c r="B369" s="105" t="str">
        <f>IFERROR(VLOOKUP($A369,'The List'!$B1:$AS665,3,FALSE)," ")</f>
        <v xml:space="preserve"> </v>
      </c>
      <c r="C369" s="106" t="str">
        <f>IFERROR(VLOOKUP($A369,'The List'!$B1:$AS665,4,FALSE)," ")</f>
        <v xml:space="preserve"> </v>
      </c>
      <c r="D369" s="107" t="str">
        <f>IFERROR(VLOOKUP($A369,'The List'!$B1:$AS665,5,FALSE)," ")</f>
        <v xml:space="preserve"> </v>
      </c>
      <c r="E369" s="107" t="str">
        <f>IFERROR(VLOOKUP($A369,'The List'!$B1:$AS665,6,FALSE)," ")</f>
        <v xml:space="preserve"> </v>
      </c>
      <c r="F369" s="108" t="str">
        <f>IFERROR(VLOOKUP($A369,'The List'!$B1:$AS665,8,FALSE)," ")</f>
        <v xml:space="preserve"> </v>
      </c>
      <c r="G369" s="108" t="str">
        <f>IFERROR(VLOOKUP($A369,'The List'!$B1:$AS665,10,FALSE)," ")</f>
        <v xml:space="preserve"> </v>
      </c>
      <c r="H369" s="109"/>
      <c r="I369" s="110" t="str">
        <f>IFERROR(VLOOKUP($A369,'The List'!$B1:$AS665,16,FALSE)," ")</f>
        <v xml:space="preserve"> </v>
      </c>
      <c r="J369" s="110" t="str">
        <f>IFERROR(VLOOKUP($A369,'The List'!$B1:$AS665,17,FALSE)," ")</f>
        <v xml:space="preserve"> </v>
      </c>
      <c r="K369" s="110" t="str">
        <f>IFERROR(VLOOKUP($A369,'The List'!$B1:$AS665,18,FALSE)," ")</f>
        <v xml:space="preserve"> </v>
      </c>
      <c r="L369" s="110" t="str">
        <f>IFERROR(VLOOKUP($A369,'The List'!$B1:$AS665,19,FALSE)," ")</f>
        <v xml:space="preserve"> </v>
      </c>
      <c r="M369" s="110" t="str">
        <f>IFERROR(VLOOKUP($A369,'The List'!$B1:$AS665,20,FALSE)," ")</f>
        <v xml:space="preserve"> </v>
      </c>
      <c r="N369" s="110" t="str">
        <f>IFERROR(VLOOKUP($A369,'The List'!$B1:$AS665,21,FALSE)," ")</f>
        <v xml:space="preserve"> </v>
      </c>
      <c r="O369" s="110" t="str">
        <f>IFERROR(VLOOKUP($A369,'The List'!$B1:$AS665,22,FALSE)," ")</f>
        <v xml:space="preserve"> </v>
      </c>
      <c r="P369" s="110" t="str">
        <f>IFERROR(VLOOKUP($A369,'The List'!$B1:$AS665,23,FALSE)," ")</f>
        <v xml:space="preserve"> </v>
      </c>
      <c r="Q369" s="110" t="str">
        <f>IFERROR(VLOOKUP($A369,'The List'!$B1:$AS665,24,FALSE)," ")</f>
        <v xml:space="preserve"> </v>
      </c>
      <c r="R369" s="110" t="str">
        <f>IFERROR(VLOOKUP($A369,'The List'!$B1:$AS665,25,FALSE)," ")</f>
        <v xml:space="preserve"> </v>
      </c>
      <c r="S369" s="110" t="str">
        <f>IFERROR(VLOOKUP($A369,'The List'!$B1:$AS665,26,FALSE)," ")</f>
        <v xml:space="preserve"> </v>
      </c>
      <c r="T369" s="110" t="str">
        <f>IFERROR(VLOOKUP($A369,'The List'!$B1:$AS665,27,FALSE)," ")</f>
        <v xml:space="preserve"> </v>
      </c>
      <c r="U369" s="110" t="str">
        <f>IFERROR(VLOOKUP($A369,'The List'!$B1:$AS665,28,FALSE)," ")</f>
        <v xml:space="preserve"> </v>
      </c>
      <c r="V369" s="110" t="str">
        <f>IFERROR(VLOOKUP($A369,'The List'!$B1:$AS665,29,FALSE)," ")</f>
        <v xml:space="preserve"> </v>
      </c>
      <c r="W369" s="110" t="str">
        <f>IFERROR(VLOOKUP($A369,'The List'!$B1:$AS665,30,FALSE)," ")</f>
        <v xml:space="preserve"> </v>
      </c>
      <c r="X369" s="110" t="str">
        <f>IFERROR(VLOOKUP($A369,'The List'!$B1:$AS665,31,FALSE)," ")</f>
        <v xml:space="preserve"> </v>
      </c>
      <c r="Y369" s="110" t="str">
        <f>IFERROR(VLOOKUP($A369,'The List'!$B1:$AS665,32,FALSE)," ")</f>
        <v xml:space="preserve"> </v>
      </c>
      <c r="Z369" s="110" t="str">
        <f>IFERROR(VLOOKUP($A369,'The List'!$B1:$AS665,33,FALSE)," ")</f>
        <v xml:space="preserve"> </v>
      </c>
      <c r="AA369" s="86"/>
      <c r="AB369" s="91"/>
      <c r="AC369" s="91"/>
      <c r="AD369" s="91"/>
      <c r="AE369" s="91"/>
      <c r="AF369" s="91"/>
    </row>
    <row r="370" spans="1:32" ht="21.25" customHeight="1" x14ac:dyDescent="0.15">
      <c r="A370" s="111"/>
      <c r="B370" s="112"/>
      <c r="C370" s="113"/>
      <c r="D370" s="114"/>
      <c r="E370" s="146" t="str">
        <f>IFERROR(AVERAGE(E350:E369)," ")</f>
        <v xml:space="preserve"> </v>
      </c>
      <c r="F370" s="116">
        <f>SUM(F350:F369)</f>
        <v>0</v>
      </c>
      <c r="G370" s="116">
        <f>SUM(G350:G369)</f>
        <v>0</v>
      </c>
      <c r="H370" s="117"/>
      <c r="I370" s="118">
        <f>SUM(I350:I369)</f>
        <v>0</v>
      </c>
      <c r="J370" s="117" t="e">
        <f>AVERAGE(J350:J369)</f>
        <v>#DIV/0!</v>
      </c>
      <c r="K370" s="118">
        <f t="shared" ref="K370:Y370" si="24">SUM(K350:K369)</f>
        <v>0</v>
      </c>
      <c r="L370" s="118">
        <f t="shared" si="24"/>
        <v>0</v>
      </c>
      <c r="M370" s="118">
        <f t="shared" si="24"/>
        <v>0</v>
      </c>
      <c r="N370" s="118">
        <f t="shared" si="24"/>
        <v>0</v>
      </c>
      <c r="O370" s="118">
        <f t="shared" si="24"/>
        <v>0</v>
      </c>
      <c r="P370" s="118">
        <f t="shared" si="24"/>
        <v>0</v>
      </c>
      <c r="Q370" s="118">
        <f t="shared" si="24"/>
        <v>0</v>
      </c>
      <c r="R370" s="118">
        <f t="shared" si="24"/>
        <v>0</v>
      </c>
      <c r="S370" s="118">
        <f t="shared" si="24"/>
        <v>0</v>
      </c>
      <c r="T370" s="118">
        <f t="shared" si="24"/>
        <v>0</v>
      </c>
      <c r="U370" s="118">
        <f t="shared" si="24"/>
        <v>0</v>
      </c>
      <c r="V370" s="118">
        <f t="shared" si="24"/>
        <v>0</v>
      </c>
      <c r="W370" s="118">
        <f t="shared" si="24"/>
        <v>0</v>
      </c>
      <c r="X370" s="118">
        <f t="shared" si="24"/>
        <v>0</v>
      </c>
      <c r="Y370" s="118">
        <f t="shared" si="24"/>
        <v>0</v>
      </c>
      <c r="Z370" s="119">
        <f>IFERROR(X370/(X370+Y370),0)</f>
        <v>0</v>
      </c>
      <c r="AA370" s="86"/>
      <c r="AB370" s="120"/>
      <c r="AC370" s="120"/>
      <c r="AD370" s="120"/>
      <c r="AE370" s="120"/>
      <c r="AF370" s="120"/>
    </row>
    <row r="371" spans="1:32" ht="21.25" customHeight="1" x14ac:dyDescent="0.15">
      <c r="A371" s="34"/>
      <c r="B371" s="121"/>
      <c r="C371" s="122"/>
      <c r="D371" s="12"/>
      <c r="E371" s="12"/>
      <c r="F371" s="123"/>
      <c r="G371" s="124"/>
      <c r="H371" s="125"/>
      <c r="I371" s="12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91"/>
      <c r="AC371" s="91"/>
      <c r="AD371" s="91"/>
      <c r="AE371" s="91"/>
      <c r="AF371" s="91"/>
    </row>
    <row r="372" spans="1:32" ht="21.25" customHeight="1" x14ac:dyDescent="0.15">
      <c r="A372" s="37" t="s">
        <v>89</v>
      </c>
      <c r="B372" s="205" t="s">
        <v>91</v>
      </c>
      <c r="C372" s="195"/>
      <c r="D372" s="40" t="s">
        <v>92</v>
      </c>
      <c r="E372" s="40" t="s">
        <v>93</v>
      </c>
      <c r="F372" s="127" t="s">
        <v>95</v>
      </c>
      <c r="G372" s="127" t="s">
        <v>97</v>
      </c>
      <c r="H372" s="128"/>
      <c r="I372" s="129" t="s">
        <v>102</v>
      </c>
      <c r="J372" s="129" t="s">
        <v>118</v>
      </c>
      <c r="K372" s="129" t="s">
        <v>119</v>
      </c>
      <c r="L372" s="129" t="s">
        <v>120</v>
      </c>
      <c r="M372" s="129" t="s">
        <v>121</v>
      </c>
      <c r="N372" s="129" t="s">
        <v>122</v>
      </c>
      <c r="O372" s="129" t="s">
        <v>123</v>
      </c>
      <c r="P372" s="129" t="s">
        <v>124</v>
      </c>
      <c r="Q372" s="129" t="s">
        <v>125</v>
      </c>
      <c r="R372" s="86"/>
      <c r="S372" s="86"/>
      <c r="T372" s="86"/>
      <c r="U372" s="205" t="s">
        <v>809</v>
      </c>
      <c r="V372" s="206"/>
      <c r="W372" s="206"/>
      <c r="X372" s="205" t="s">
        <v>810</v>
      </c>
      <c r="Y372" s="206"/>
      <c r="Z372" s="206"/>
      <c r="AA372" s="86"/>
      <c r="AB372" s="86"/>
      <c r="AC372" s="86"/>
      <c r="AD372" s="86"/>
      <c r="AE372" s="86"/>
      <c r="AF372" s="86"/>
    </row>
    <row r="373" spans="1:32" ht="21.25" customHeight="1" x14ac:dyDescent="0.15">
      <c r="A373" s="147"/>
      <c r="B373" s="131" t="str">
        <f>IFERROR(VLOOKUP($A373,'The List'!$B1:$AS665,3,FALSE)," ")</f>
        <v xml:space="preserve"> </v>
      </c>
      <c r="C373" s="148" t="str">
        <f>IFERROR(VLOOKUP($A373,'The List'!$B1:$AS665,4,FALSE)," ")</f>
        <v xml:space="preserve"> </v>
      </c>
      <c r="D373" s="49" t="str">
        <f>IFERROR(VLOOKUP($A373,'The List'!$B1:$AS665,5,FALSE)," ")</f>
        <v xml:space="preserve"> </v>
      </c>
      <c r="E373" s="49" t="str">
        <f>IFERROR(VLOOKUP($A373,'The List'!$B1:$AS665,6,FALSE)," ")</f>
        <v xml:space="preserve"> </v>
      </c>
      <c r="F373" s="149" t="str">
        <f>IFERROR(VLOOKUP($A373,'The List'!$B1:$AS665,8,FALSE)," ")</f>
        <v xml:space="preserve"> </v>
      </c>
      <c r="G373" s="149" t="str">
        <f>IFERROR(VLOOKUP($A373,'The List'!$B1:$AS665,10,FALSE)," ")</f>
        <v xml:space="preserve"> </v>
      </c>
      <c r="H373" s="135"/>
      <c r="I373" s="150" t="str">
        <f>IFERROR(VLOOKUP($A373,'The List'!$B1:$AS665,35,FALSE)," ")</f>
        <v xml:space="preserve"> </v>
      </c>
      <c r="J373" s="150" t="str">
        <f>IFERROR(VLOOKUP($A373,'The List'!$B1:$AS665,36,FALSE)," ")</f>
        <v xml:space="preserve"> </v>
      </c>
      <c r="K373" s="150" t="str">
        <f>IFERROR(VLOOKUP($A373,'The List'!$B1:$AS665,37,FALSE)," ")</f>
        <v xml:space="preserve"> </v>
      </c>
      <c r="L373" s="150" t="str">
        <f>IFERROR(VLOOKUP($A373,'The List'!$B1:$AS665,38,FALSE)," ")</f>
        <v xml:space="preserve"> </v>
      </c>
      <c r="M373" s="150" t="str">
        <f>IFERROR(VLOOKUP($A373,'The List'!$B1:$AS665,39,FALSE)," ")</f>
        <v xml:space="preserve"> </v>
      </c>
      <c r="N373" s="150" t="str">
        <f>IFERROR(VLOOKUP($A373,'The List'!$B1:$AS665,40,FALSE)," ")</f>
        <v xml:space="preserve"> </v>
      </c>
      <c r="O373" s="150" t="str">
        <f>IFERROR(VLOOKUP($A373,'The List'!$B1:$AS665,41,FALSE)," ")</f>
        <v xml:space="preserve"> </v>
      </c>
      <c r="P373" s="150" t="str">
        <f>IFERROR(VLOOKUP($A373,'The List'!$B1:$AS665,42,FALSE)," ")</f>
        <v xml:space="preserve"> </v>
      </c>
      <c r="Q373" s="150" t="str">
        <f>IFERROR(VLOOKUP($A373,'The List'!$B1:$AS665,43,FALSE)," ")</f>
        <v xml:space="preserve"> </v>
      </c>
      <c r="R373" s="86"/>
      <c r="S373" s="86"/>
      <c r="T373" s="139" t="str">
        <f>A349</f>
        <v>TEAM 13</v>
      </c>
      <c r="U373" s="207">
        <f>F370+F376</f>
        <v>0</v>
      </c>
      <c r="V373" s="195"/>
      <c r="W373" s="195"/>
      <c r="X373" s="207">
        <f>G376+G370</f>
        <v>0</v>
      </c>
      <c r="Y373" s="195"/>
      <c r="Z373" s="195"/>
      <c r="AA373" s="86"/>
      <c r="AB373" s="86"/>
      <c r="AC373" s="86"/>
      <c r="AD373" s="86"/>
      <c r="AE373" s="86"/>
      <c r="AF373" s="86"/>
    </row>
    <row r="374" spans="1:32" ht="21.25" customHeight="1" x14ac:dyDescent="0.15">
      <c r="A374" s="23"/>
      <c r="B374" s="140" t="str">
        <f>IFERROR(VLOOKUP($A374,'The List'!$B1:$AS665,3,FALSE)," ")</f>
        <v xml:space="preserve"> </v>
      </c>
      <c r="C374" s="141" t="str">
        <f>IFERROR(VLOOKUP($A374,'The List'!$B1:$AS665,4,FALSE)," ")</f>
        <v xml:space="preserve"> </v>
      </c>
      <c r="D374" s="65" t="str">
        <f>IFERROR(VLOOKUP($A374,'The List'!$B1:$AS665,5,FALSE)," ")</f>
        <v xml:space="preserve"> </v>
      </c>
      <c r="E374" s="65" t="str">
        <f>IFERROR(VLOOKUP($A374,'The List'!$B1:$AS665,6,FALSE)," ")</f>
        <v xml:space="preserve"> </v>
      </c>
      <c r="F374" s="93" t="str">
        <f>IFERROR(VLOOKUP($A374,'The List'!$B1:$AS665,8,FALSE)," ")</f>
        <v xml:space="preserve"> </v>
      </c>
      <c r="G374" s="93" t="str">
        <f>IFERROR(VLOOKUP($A374,'The List'!$B1:$AS665,10,FALSE)," ")</f>
        <v xml:space="preserve"> </v>
      </c>
      <c r="H374" s="54"/>
      <c r="I374" s="83" t="str">
        <f>IFERROR(VLOOKUP($A374,'The List'!$B1:$AS665,35,FALSE)," ")</f>
        <v xml:space="preserve"> </v>
      </c>
      <c r="J374" s="83" t="str">
        <f>IFERROR(VLOOKUP($A374,'The List'!$B1:$AS665,36,FALSE)," ")</f>
        <v xml:space="preserve"> </v>
      </c>
      <c r="K374" s="83" t="str">
        <f>IFERROR(VLOOKUP($A374,'The List'!$B1:$AS665,37,FALSE)," ")</f>
        <v xml:space="preserve"> </v>
      </c>
      <c r="L374" s="83" t="str">
        <f>IFERROR(VLOOKUP($A374,'The List'!$B1:$AS665,38,FALSE)," ")</f>
        <v xml:space="preserve"> </v>
      </c>
      <c r="M374" s="83" t="str">
        <f>IFERROR(VLOOKUP($A374,'The List'!$B1:$AS665,39,FALSE)," ")</f>
        <v xml:space="preserve"> </v>
      </c>
      <c r="N374" s="83" t="str">
        <f>IFERROR(VLOOKUP($A374,'The List'!$B1:$AS665,40,FALSE)," ")</f>
        <v xml:space="preserve"> </v>
      </c>
      <c r="O374" s="83" t="str">
        <f>IFERROR(VLOOKUP($A374,'The List'!$B1:$AS665,41,FALSE)," ")</f>
        <v xml:space="preserve"> </v>
      </c>
      <c r="P374" s="83" t="str">
        <f>IFERROR(VLOOKUP($A374,'The List'!$B1:$AS665,42,FALSE)," ")</f>
        <v xml:space="preserve"> </v>
      </c>
      <c r="Q374" s="83" t="str">
        <f>IFERROR(VLOOKUP($A374,'The List'!$B1:$AS665,43,FALSE)," ")</f>
        <v xml:space="preserve"> </v>
      </c>
      <c r="R374" s="86"/>
      <c r="S374" s="86"/>
      <c r="T374" s="86"/>
      <c r="U374" s="195"/>
      <c r="V374" s="195"/>
      <c r="W374" s="195"/>
      <c r="X374" s="195"/>
      <c r="Y374" s="195"/>
      <c r="Z374" s="195"/>
      <c r="AA374" s="86"/>
      <c r="AB374" s="86"/>
      <c r="AC374" s="86"/>
      <c r="AD374" s="86"/>
      <c r="AE374" s="86"/>
      <c r="AF374" s="86"/>
    </row>
    <row r="375" spans="1:32" ht="21.25" customHeight="1" x14ac:dyDescent="0.15">
      <c r="A375" s="104"/>
      <c r="B375" s="142" t="str">
        <f>IFERROR(VLOOKUP($A375,'The List'!$B1:$AS665,3,FALSE)," ")</f>
        <v xml:space="preserve"> </v>
      </c>
      <c r="C375" s="143" t="str">
        <f>IFERROR(VLOOKUP($A375,'The List'!$B1:$AS665,4,FALSE)," ")</f>
        <v xml:space="preserve"> </v>
      </c>
      <c r="D375" s="107" t="str">
        <f>IFERROR(VLOOKUP($A375,'The List'!$B1:$AS665,5,FALSE)," ")</f>
        <v xml:space="preserve"> </v>
      </c>
      <c r="E375" s="107" t="str">
        <f>IFERROR(VLOOKUP($A375,'The List'!$B1:$AS665,6,FALSE)," ")</f>
        <v xml:space="preserve"> </v>
      </c>
      <c r="F375" s="108" t="str">
        <f>IFERROR(VLOOKUP($A375,'The List'!$B1:$AS665,8,FALSE)," ")</f>
        <v xml:space="preserve"> </v>
      </c>
      <c r="G375" s="108" t="str">
        <f>IFERROR(VLOOKUP($A375,'The List'!$B1:$AS665,10,FALSE)," ")</f>
        <v xml:space="preserve"> </v>
      </c>
      <c r="H375" s="109"/>
      <c r="I375" s="110" t="str">
        <f>IFERROR(VLOOKUP($A375,'The List'!$B1:$AS665,35,FALSE)," ")</f>
        <v xml:space="preserve"> </v>
      </c>
      <c r="J375" s="110" t="str">
        <f>IFERROR(VLOOKUP($A375,'The List'!$B1:$AS665,36,FALSE)," ")</f>
        <v xml:space="preserve"> </v>
      </c>
      <c r="K375" s="110" t="str">
        <f>IFERROR(VLOOKUP($A375,'The List'!$B1:$AS665,37,FALSE)," ")</f>
        <v xml:space="preserve"> </v>
      </c>
      <c r="L375" s="110" t="str">
        <f>IFERROR(VLOOKUP($A375,'The List'!$B1:$AS665,38,FALSE)," ")</f>
        <v xml:space="preserve"> </v>
      </c>
      <c r="M375" s="110" t="str">
        <f>IFERROR(VLOOKUP($A375,'The List'!$B1:$AS665,39,FALSE)," ")</f>
        <v xml:space="preserve"> </v>
      </c>
      <c r="N375" s="110" t="str">
        <f>IFERROR(VLOOKUP($A375,'The List'!$B1:$AS665,40,FALSE)," ")</f>
        <v xml:space="preserve"> </v>
      </c>
      <c r="O375" s="110" t="str">
        <f>IFERROR(VLOOKUP($A375,'The List'!$B1:$AS665,41,FALSE)," ")</f>
        <v xml:space="preserve"> </v>
      </c>
      <c r="P375" s="110" t="str">
        <f>IFERROR(VLOOKUP($A375,'The List'!$B1:$AS665,42,FALSE)," ")</f>
        <v xml:space="preserve"> </v>
      </c>
      <c r="Q375" s="110" t="str">
        <f>IFERROR(VLOOKUP($A375,'The List'!$B1:$AS665,43,FALSE)," ")</f>
        <v xml:space="preserve"> </v>
      </c>
      <c r="R375" s="86"/>
      <c r="S375" s="86"/>
      <c r="T375" s="86"/>
      <c r="U375" s="195"/>
      <c r="V375" s="195"/>
      <c r="W375" s="195"/>
      <c r="X375" s="195"/>
      <c r="Y375" s="195"/>
      <c r="Z375" s="195"/>
      <c r="AA375" s="86"/>
      <c r="AB375" s="86"/>
      <c r="AC375" s="86"/>
      <c r="AD375" s="86"/>
      <c r="AE375" s="86"/>
      <c r="AF375" s="86"/>
    </row>
    <row r="376" spans="1:32" ht="21.25" customHeight="1" x14ac:dyDescent="0.15">
      <c r="A376" s="111"/>
      <c r="B376" s="112"/>
      <c r="C376" s="113"/>
      <c r="D376" s="114"/>
      <c r="E376" s="146" t="str">
        <f>IFERROR(AVERAGE(E373:E375)," ")</f>
        <v xml:space="preserve"> </v>
      </c>
      <c r="F376" s="116">
        <f>SUM(F373:F375)</f>
        <v>0</v>
      </c>
      <c r="G376" s="116">
        <f>SUM(G373:G375)</f>
        <v>0</v>
      </c>
      <c r="H376" s="117"/>
      <c r="I376" s="118">
        <f t="shared" ref="I376:O376" si="25">SUM(I373:I375)</f>
        <v>0</v>
      </c>
      <c r="J376" s="117">
        <f t="shared" si="25"/>
        <v>0</v>
      </c>
      <c r="K376" s="118">
        <f t="shared" si="25"/>
        <v>0</v>
      </c>
      <c r="L376" s="118">
        <f t="shared" si="25"/>
        <v>0</v>
      </c>
      <c r="M376" s="118">
        <f t="shared" si="25"/>
        <v>0</v>
      </c>
      <c r="N376" s="118">
        <f t="shared" si="25"/>
        <v>0</v>
      </c>
      <c r="O376" s="118">
        <f t="shared" si="25"/>
        <v>0</v>
      </c>
      <c r="P376" s="144" t="e">
        <f>1-(O376/(N376+O376))</f>
        <v>#DIV/0!</v>
      </c>
      <c r="Q376" s="145" t="e">
        <f>O376/I376</f>
        <v>#DIV/0!</v>
      </c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</row>
    <row r="377" spans="1:32" ht="70.75" customHeight="1" x14ac:dyDescent="0.15">
      <c r="A377" s="34"/>
      <c r="B377" s="121"/>
      <c r="C377" s="122"/>
      <c r="D377" s="12"/>
      <c r="E377" s="12"/>
      <c r="F377" s="123"/>
      <c r="G377" s="124"/>
      <c r="H377" s="125"/>
      <c r="I377" s="12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91"/>
      <c r="AB377" s="91"/>
      <c r="AC377" s="91"/>
      <c r="AD377" s="91"/>
      <c r="AE377" s="91"/>
      <c r="AF377" s="91"/>
    </row>
    <row r="378" spans="1:32" ht="21.25" customHeight="1" x14ac:dyDescent="0.15">
      <c r="A378" s="38" t="s">
        <v>806</v>
      </c>
      <c r="B378" s="204" t="s">
        <v>91</v>
      </c>
      <c r="C378" s="200"/>
      <c r="D378" s="39" t="s">
        <v>92</v>
      </c>
      <c r="E378" s="39" t="s">
        <v>93</v>
      </c>
      <c r="F378" s="41" t="s">
        <v>95</v>
      </c>
      <c r="G378" s="41" t="s">
        <v>97</v>
      </c>
      <c r="H378" s="42"/>
      <c r="I378" s="44" t="s">
        <v>102</v>
      </c>
      <c r="J378" s="44" t="s">
        <v>55</v>
      </c>
      <c r="K378" s="44" t="s">
        <v>103</v>
      </c>
      <c r="L378" s="44" t="s">
        <v>104</v>
      </c>
      <c r="M378" s="44" t="s">
        <v>105</v>
      </c>
      <c r="N378" s="44" t="s">
        <v>106</v>
      </c>
      <c r="O378" s="44" t="s">
        <v>107</v>
      </c>
      <c r="P378" s="44" t="s">
        <v>63</v>
      </c>
      <c r="Q378" s="44" t="s">
        <v>108</v>
      </c>
      <c r="R378" s="44" t="s">
        <v>109</v>
      </c>
      <c r="S378" s="44" t="s">
        <v>110</v>
      </c>
      <c r="T378" s="44" t="s">
        <v>111</v>
      </c>
      <c r="U378" s="44" t="s">
        <v>112</v>
      </c>
      <c r="V378" s="44" t="s">
        <v>113</v>
      </c>
      <c r="W378" s="44" t="s">
        <v>114</v>
      </c>
      <c r="X378" s="44" t="s">
        <v>115</v>
      </c>
      <c r="Y378" s="44" t="s">
        <v>116</v>
      </c>
      <c r="Z378" s="44" t="s">
        <v>117</v>
      </c>
      <c r="AA378" s="86"/>
      <c r="AB378" s="87"/>
      <c r="AC378" s="87"/>
      <c r="AD378" s="87"/>
      <c r="AE378" s="87"/>
      <c r="AF378" s="87"/>
    </row>
    <row r="379" spans="1:32" ht="21.25" customHeight="1" x14ac:dyDescent="0.15">
      <c r="A379" s="23"/>
      <c r="B379" s="88" t="str">
        <f>IFERROR(VLOOKUP($A379,'The List'!$B1:$AS665,3,FALSE)," ")</f>
        <v xml:space="preserve"> </v>
      </c>
      <c r="C379" s="92" t="str">
        <f>IFERROR(VLOOKUP($A379,'The List'!$B1:$AS665,4,FALSE)," ")</f>
        <v xml:space="preserve"> </v>
      </c>
      <c r="D379" s="65" t="str">
        <f>IFERROR(VLOOKUP($A379,'The List'!$B1:$AS665,5,FALSE)," ")</f>
        <v xml:space="preserve"> </v>
      </c>
      <c r="E379" s="65" t="str">
        <f>IFERROR(VLOOKUP($A379,'The List'!$B1:$AS665,6,FALSE)," ")</f>
        <v xml:space="preserve"> </v>
      </c>
      <c r="F379" s="93" t="str">
        <f>IFERROR(VLOOKUP($A379,'The List'!$B1:$AS665,8,FALSE)," ")</f>
        <v xml:space="preserve"> </v>
      </c>
      <c r="G379" s="93" t="str">
        <f>IFERROR(VLOOKUP($A379,'The List'!$B1:$AS665,10,FALSE)," ")</f>
        <v xml:space="preserve"> </v>
      </c>
      <c r="H379" s="54"/>
      <c r="I379" s="83" t="str">
        <f>IFERROR(VLOOKUP($A379,'The List'!$B1:$AS665,16,FALSE)," ")</f>
        <v xml:space="preserve"> </v>
      </c>
      <c r="J379" s="83" t="str">
        <f>IFERROR(VLOOKUP($A379,'The List'!$B1:$AS665,17,FALSE)," ")</f>
        <v xml:space="preserve"> </v>
      </c>
      <c r="K379" s="83" t="str">
        <f>IFERROR(VLOOKUP($A379,'The List'!$B1:$AS665,18,FALSE)," ")</f>
        <v xml:space="preserve"> </v>
      </c>
      <c r="L379" s="83" t="str">
        <f>IFERROR(VLOOKUP($A379,'The List'!$B1:$AS665,19,FALSE)," ")</f>
        <v xml:space="preserve"> </v>
      </c>
      <c r="M379" s="83" t="str">
        <f>IFERROR(VLOOKUP($A379,'The List'!$B1:$AS665,20,FALSE)," ")</f>
        <v xml:space="preserve"> </v>
      </c>
      <c r="N379" s="83" t="str">
        <f>IFERROR(VLOOKUP($A379,'The List'!$B1:$AS665,21,FALSE)," ")</f>
        <v xml:space="preserve"> </v>
      </c>
      <c r="O379" s="83" t="str">
        <f>IFERROR(VLOOKUP($A379,'The List'!$B1:$AS665,22,FALSE)," ")</f>
        <v xml:space="preserve"> </v>
      </c>
      <c r="P379" s="83" t="str">
        <f>IFERROR(VLOOKUP($A379,'The List'!$B1:$AS665,23,FALSE)," ")</f>
        <v xml:space="preserve"> </v>
      </c>
      <c r="Q379" s="83" t="str">
        <f>IFERROR(VLOOKUP($A379,'The List'!$B1:$AS665,24,FALSE)," ")</f>
        <v xml:space="preserve"> </v>
      </c>
      <c r="R379" s="83" t="str">
        <f>IFERROR(VLOOKUP($A379,'The List'!$B1:$AS665,25,FALSE)," ")</f>
        <v xml:space="preserve"> </v>
      </c>
      <c r="S379" s="83" t="str">
        <f>IFERROR(VLOOKUP($A379,'The List'!$B1:$AS665,26,FALSE)," ")</f>
        <v xml:space="preserve"> </v>
      </c>
      <c r="T379" s="83" t="str">
        <f>IFERROR(VLOOKUP($A379,'The List'!$B1:$AS665,27,FALSE)," ")</f>
        <v xml:space="preserve"> </v>
      </c>
      <c r="U379" s="83" t="str">
        <f>IFERROR(VLOOKUP($A379,'The List'!$B1:$AS665,28,FALSE)," ")</f>
        <v xml:space="preserve"> </v>
      </c>
      <c r="V379" s="83" t="str">
        <f>IFERROR(VLOOKUP($A379,'The List'!$B1:$AS665,29,FALSE)," ")</f>
        <v xml:space="preserve"> </v>
      </c>
      <c r="W379" s="83" t="str">
        <f>IFERROR(VLOOKUP($A379,'The List'!$B1:$AS665,30,FALSE)," ")</f>
        <v xml:space="preserve"> </v>
      </c>
      <c r="X379" s="83" t="str">
        <f>IFERROR(VLOOKUP($A379,'The List'!$B1:$AS665,31,FALSE)," ")</f>
        <v xml:space="preserve"> </v>
      </c>
      <c r="Y379" s="83" t="str">
        <f>IFERROR(VLOOKUP($A379,'The List'!$B1:$AS665,32,FALSE)," ")</f>
        <v xml:space="preserve"> </v>
      </c>
      <c r="Z379" s="83" t="str">
        <f>IFERROR(VLOOKUP($A379,'The List'!$B1:$AS665,33,FALSE)," ")</f>
        <v xml:space="preserve"> </v>
      </c>
      <c r="AA379" s="86"/>
      <c r="AB379" s="91"/>
      <c r="AC379" s="91"/>
      <c r="AD379" s="91"/>
      <c r="AE379" s="91"/>
      <c r="AF379" s="91"/>
    </row>
    <row r="380" spans="1:32" ht="21.25" customHeight="1" x14ac:dyDescent="0.15">
      <c r="A380" s="23"/>
      <c r="B380" s="88" t="str">
        <f>IFERROR(VLOOKUP($A380,'The List'!$B1:$AS665,3,FALSE)," ")</f>
        <v xml:space="preserve"> </v>
      </c>
      <c r="C380" s="92" t="str">
        <f>IFERROR(VLOOKUP($A380,'The List'!$B1:$AS665,4,FALSE)," ")</f>
        <v xml:space="preserve"> </v>
      </c>
      <c r="D380" s="65" t="str">
        <f>IFERROR(VLOOKUP($A380,'The List'!$B1:$AS665,5,FALSE)," ")</f>
        <v xml:space="preserve"> </v>
      </c>
      <c r="E380" s="65" t="str">
        <f>IFERROR(VLOOKUP($A380,'The List'!$B1:$AS665,6,FALSE)," ")</f>
        <v xml:space="preserve"> </v>
      </c>
      <c r="F380" s="93" t="str">
        <f>IFERROR(VLOOKUP($A380,'The List'!$B1:$AS665,8,FALSE)," ")</f>
        <v xml:space="preserve"> </v>
      </c>
      <c r="G380" s="93" t="str">
        <f>IFERROR(VLOOKUP($A380,'The List'!$B1:$AS665,10,FALSE)," ")</f>
        <v xml:space="preserve"> </v>
      </c>
      <c r="H380" s="54"/>
      <c r="I380" s="83" t="str">
        <f>IFERROR(VLOOKUP($A380,'The List'!$B1:$AS665,16,FALSE)," ")</f>
        <v xml:space="preserve"> </v>
      </c>
      <c r="J380" s="83" t="str">
        <f>IFERROR(VLOOKUP($A380,'The List'!$B1:$AS665,17,FALSE)," ")</f>
        <v xml:space="preserve"> </v>
      </c>
      <c r="K380" s="83" t="str">
        <f>IFERROR(VLOOKUP($A380,'The List'!$B1:$AS665,18,FALSE)," ")</f>
        <v xml:space="preserve"> </v>
      </c>
      <c r="L380" s="83" t="str">
        <f>IFERROR(VLOOKUP($A380,'The List'!$B1:$AS665,19,FALSE)," ")</f>
        <v xml:space="preserve"> </v>
      </c>
      <c r="M380" s="83" t="str">
        <f>IFERROR(VLOOKUP($A380,'The List'!$B1:$AS665,20,FALSE)," ")</f>
        <v xml:space="preserve"> </v>
      </c>
      <c r="N380" s="83" t="str">
        <f>IFERROR(VLOOKUP($A380,'The List'!$B1:$AS665,21,FALSE)," ")</f>
        <v xml:space="preserve"> </v>
      </c>
      <c r="O380" s="83" t="str">
        <f>IFERROR(VLOOKUP($A380,'The List'!$B1:$AS665,22,FALSE)," ")</f>
        <v xml:space="preserve"> </v>
      </c>
      <c r="P380" s="83" t="str">
        <f>IFERROR(VLOOKUP($A380,'The List'!$B1:$AS665,23,FALSE)," ")</f>
        <v xml:space="preserve"> </v>
      </c>
      <c r="Q380" s="83" t="str">
        <f>IFERROR(VLOOKUP($A380,'The List'!$B1:$AS665,24,FALSE)," ")</f>
        <v xml:space="preserve"> </v>
      </c>
      <c r="R380" s="83" t="str">
        <f>IFERROR(VLOOKUP($A380,'The List'!$B1:$AS665,25,FALSE)," ")</f>
        <v xml:space="preserve"> </v>
      </c>
      <c r="S380" s="83" t="str">
        <f>IFERROR(VLOOKUP($A380,'The List'!$B1:$AS665,26,FALSE)," ")</f>
        <v xml:space="preserve"> </v>
      </c>
      <c r="T380" s="83" t="str">
        <f>IFERROR(VLOOKUP($A380,'The List'!$B1:$AS665,27,FALSE)," ")</f>
        <v xml:space="preserve"> </v>
      </c>
      <c r="U380" s="83" t="str">
        <f>IFERROR(VLOOKUP($A380,'The List'!$B1:$AS665,28,FALSE)," ")</f>
        <v xml:space="preserve"> </v>
      </c>
      <c r="V380" s="83" t="str">
        <f>IFERROR(VLOOKUP($A380,'The List'!$B1:$AS665,29,FALSE)," ")</f>
        <v xml:space="preserve"> </v>
      </c>
      <c r="W380" s="83" t="str">
        <f>IFERROR(VLOOKUP($A380,'The List'!$B1:$AS665,30,FALSE)," ")</f>
        <v xml:space="preserve"> </v>
      </c>
      <c r="X380" s="83" t="str">
        <f>IFERROR(VLOOKUP($A380,'The List'!$B1:$AS665,31,FALSE)," ")</f>
        <v xml:space="preserve"> </v>
      </c>
      <c r="Y380" s="83" t="str">
        <f>IFERROR(VLOOKUP($A380,'The List'!$B1:$AS665,32,FALSE)," ")</f>
        <v xml:space="preserve"> </v>
      </c>
      <c r="Z380" s="83" t="str">
        <f>IFERROR(VLOOKUP($A380,'The List'!$B1:$AS665,33,FALSE)," ")</f>
        <v xml:space="preserve"> </v>
      </c>
      <c r="AA380" s="86"/>
      <c r="AB380" s="91"/>
      <c r="AC380" s="91"/>
      <c r="AD380" s="91"/>
      <c r="AE380" s="91"/>
      <c r="AF380" s="91"/>
    </row>
    <row r="381" spans="1:32" ht="21.25" customHeight="1" x14ac:dyDescent="0.15">
      <c r="A381" s="23"/>
      <c r="B381" s="88" t="str">
        <f>IFERROR(VLOOKUP($A381,'The List'!$B1:$AS665,3,FALSE)," ")</f>
        <v xml:space="preserve"> </v>
      </c>
      <c r="C381" s="92" t="str">
        <f>IFERROR(VLOOKUP($A381,'The List'!$B1:$AS665,4,FALSE)," ")</f>
        <v xml:space="preserve"> </v>
      </c>
      <c r="D381" s="65" t="str">
        <f>IFERROR(VLOOKUP($A381,'The List'!$B1:$AS665,5,FALSE)," ")</f>
        <v xml:space="preserve"> </v>
      </c>
      <c r="E381" s="65" t="str">
        <f>IFERROR(VLOOKUP($A381,'The List'!$B1:$AS665,6,FALSE)," ")</f>
        <v xml:space="preserve"> </v>
      </c>
      <c r="F381" s="93" t="str">
        <f>IFERROR(VLOOKUP($A381,'The List'!$B1:$AS665,8,FALSE)," ")</f>
        <v xml:space="preserve"> </v>
      </c>
      <c r="G381" s="93" t="str">
        <f>IFERROR(VLOOKUP($A381,'The List'!$B1:$AS665,10,FALSE)," ")</f>
        <v xml:space="preserve"> </v>
      </c>
      <c r="H381" s="54"/>
      <c r="I381" s="83" t="str">
        <f>IFERROR(VLOOKUP($A381,'The List'!$B1:$AS665,16,FALSE)," ")</f>
        <v xml:space="preserve"> </v>
      </c>
      <c r="J381" s="83" t="str">
        <f>IFERROR(VLOOKUP($A381,'The List'!$B1:$AS665,17,FALSE)," ")</f>
        <v xml:space="preserve"> </v>
      </c>
      <c r="K381" s="83" t="str">
        <f>IFERROR(VLOOKUP($A381,'The List'!$B1:$AS665,18,FALSE)," ")</f>
        <v xml:space="preserve"> </v>
      </c>
      <c r="L381" s="83" t="str">
        <f>IFERROR(VLOOKUP($A381,'The List'!$B1:$AS665,19,FALSE)," ")</f>
        <v xml:space="preserve"> </v>
      </c>
      <c r="M381" s="83" t="str">
        <f>IFERROR(VLOOKUP($A381,'The List'!$B1:$AS665,20,FALSE)," ")</f>
        <v xml:space="preserve"> </v>
      </c>
      <c r="N381" s="83" t="str">
        <f>IFERROR(VLOOKUP($A381,'The List'!$B1:$AS665,21,FALSE)," ")</f>
        <v xml:space="preserve"> </v>
      </c>
      <c r="O381" s="83" t="str">
        <f>IFERROR(VLOOKUP($A381,'The List'!$B1:$AS665,22,FALSE)," ")</f>
        <v xml:space="preserve"> </v>
      </c>
      <c r="P381" s="83" t="str">
        <f>IFERROR(VLOOKUP($A381,'The List'!$B1:$AS665,23,FALSE)," ")</f>
        <v xml:space="preserve"> </v>
      </c>
      <c r="Q381" s="83" t="str">
        <f>IFERROR(VLOOKUP($A381,'The List'!$B1:$AS665,24,FALSE)," ")</f>
        <v xml:space="preserve"> </v>
      </c>
      <c r="R381" s="83" t="str">
        <f>IFERROR(VLOOKUP($A381,'The List'!$B1:$AS665,25,FALSE)," ")</f>
        <v xml:space="preserve"> </v>
      </c>
      <c r="S381" s="83" t="str">
        <f>IFERROR(VLOOKUP($A381,'The List'!$B1:$AS665,26,FALSE)," ")</f>
        <v xml:space="preserve"> </v>
      </c>
      <c r="T381" s="83" t="str">
        <f>IFERROR(VLOOKUP($A381,'The List'!$B1:$AS665,27,FALSE)," ")</f>
        <v xml:space="preserve"> </v>
      </c>
      <c r="U381" s="83" t="str">
        <f>IFERROR(VLOOKUP($A381,'The List'!$B1:$AS665,28,FALSE)," ")</f>
        <v xml:space="preserve"> </v>
      </c>
      <c r="V381" s="83" t="str">
        <f>IFERROR(VLOOKUP($A381,'The List'!$B1:$AS665,29,FALSE)," ")</f>
        <v xml:space="preserve"> </v>
      </c>
      <c r="W381" s="83" t="str">
        <f>IFERROR(VLOOKUP($A381,'The List'!$B1:$AS665,30,FALSE)," ")</f>
        <v xml:space="preserve"> </v>
      </c>
      <c r="X381" s="83" t="str">
        <f>IFERROR(VLOOKUP($A381,'The List'!$B1:$AS665,31,FALSE)," ")</f>
        <v xml:space="preserve"> </v>
      </c>
      <c r="Y381" s="83" t="str">
        <f>IFERROR(VLOOKUP($A381,'The List'!$B1:$AS665,32,FALSE)," ")</f>
        <v xml:space="preserve"> </v>
      </c>
      <c r="Z381" s="83" t="str">
        <f>IFERROR(VLOOKUP($A381,'The List'!$B1:$AS665,33,FALSE)," ")</f>
        <v xml:space="preserve"> </v>
      </c>
      <c r="AA381" s="86"/>
      <c r="AB381" s="91"/>
      <c r="AC381" s="91"/>
      <c r="AD381" s="91"/>
      <c r="AE381" s="91"/>
      <c r="AF381" s="91"/>
    </row>
    <row r="382" spans="1:32" ht="21.25" customHeight="1" x14ac:dyDescent="0.15">
      <c r="A382" s="23"/>
      <c r="B382" s="88" t="str">
        <f>IFERROR(VLOOKUP($A382,'The List'!$B1:$AS665,3,FALSE)," ")</f>
        <v xml:space="preserve"> </v>
      </c>
      <c r="C382" s="92" t="str">
        <f>IFERROR(VLOOKUP($A382,'The List'!$B1:$AS665,4,FALSE)," ")</f>
        <v xml:space="preserve"> </v>
      </c>
      <c r="D382" s="65" t="str">
        <f>IFERROR(VLOOKUP($A382,'The List'!$B1:$AS665,5,FALSE)," ")</f>
        <v xml:space="preserve"> </v>
      </c>
      <c r="E382" s="65" t="str">
        <f>IFERROR(VLOOKUP($A382,'The List'!$B1:$AS665,6,FALSE)," ")</f>
        <v xml:space="preserve"> </v>
      </c>
      <c r="F382" s="93" t="str">
        <f>IFERROR(VLOOKUP($A382,'The List'!$B1:$AS665,8,FALSE)," ")</f>
        <v xml:space="preserve"> </v>
      </c>
      <c r="G382" s="93" t="str">
        <f>IFERROR(VLOOKUP($A382,'The List'!$B1:$AS665,10,FALSE)," ")</f>
        <v xml:space="preserve"> </v>
      </c>
      <c r="H382" s="54"/>
      <c r="I382" s="83" t="str">
        <f>IFERROR(VLOOKUP($A382,'The List'!$B1:$AS665,16,FALSE)," ")</f>
        <v xml:space="preserve"> </v>
      </c>
      <c r="J382" s="83" t="str">
        <f>IFERROR(VLOOKUP($A382,'The List'!$B1:$AS665,17,FALSE)," ")</f>
        <v xml:space="preserve"> </v>
      </c>
      <c r="K382" s="83" t="str">
        <f>IFERROR(VLOOKUP($A382,'The List'!$B1:$AS665,18,FALSE)," ")</f>
        <v xml:space="preserve"> </v>
      </c>
      <c r="L382" s="83" t="str">
        <f>IFERROR(VLOOKUP($A382,'The List'!$B1:$AS665,19,FALSE)," ")</f>
        <v xml:space="preserve"> </v>
      </c>
      <c r="M382" s="83" t="str">
        <f>IFERROR(VLOOKUP($A382,'The List'!$B1:$AS665,20,FALSE)," ")</f>
        <v xml:space="preserve"> </v>
      </c>
      <c r="N382" s="83" t="str">
        <f>IFERROR(VLOOKUP($A382,'The List'!$B1:$AS665,21,FALSE)," ")</f>
        <v xml:space="preserve"> </v>
      </c>
      <c r="O382" s="83" t="str">
        <f>IFERROR(VLOOKUP($A382,'The List'!$B1:$AS665,22,FALSE)," ")</f>
        <v xml:space="preserve"> </v>
      </c>
      <c r="P382" s="83" t="str">
        <f>IFERROR(VLOOKUP($A382,'The List'!$B1:$AS665,23,FALSE)," ")</f>
        <v xml:space="preserve"> </v>
      </c>
      <c r="Q382" s="83" t="str">
        <f>IFERROR(VLOOKUP($A382,'The List'!$B1:$AS665,24,FALSE)," ")</f>
        <v xml:space="preserve"> </v>
      </c>
      <c r="R382" s="83" t="str">
        <f>IFERROR(VLOOKUP($A382,'The List'!$B1:$AS665,25,FALSE)," ")</f>
        <v xml:space="preserve"> </v>
      </c>
      <c r="S382" s="83" t="str">
        <f>IFERROR(VLOOKUP($A382,'The List'!$B1:$AS665,26,FALSE)," ")</f>
        <v xml:space="preserve"> </v>
      </c>
      <c r="T382" s="83" t="str">
        <f>IFERROR(VLOOKUP($A382,'The List'!$B1:$AS665,27,FALSE)," ")</f>
        <v xml:space="preserve"> </v>
      </c>
      <c r="U382" s="83" t="str">
        <f>IFERROR(VLOOKUP($A382,'The List'!$B1:$AS665,28,FALSE)," ")</f>
        <v xml:space="preserve"> </v>
      </c>
      <c r="V382" s="83" t="str">
        <f>IFERROR(VLOOKUP($A382,'The List'!$B1:$AS665,29,FALSE)," ")</f>
        <v xml:space="preserve"> </v>
      </c>
      <c r="W382" s="83" t="str">
        <f>IFERROR(VLOOKUP($A382,'The List'!$B1:$AS665,30,FALSE)," ")</f>
        <v xml:space="preserve"> </v>
      </c>
      <c r="X382" s="83" t="str">
        <f>IFERROR(VLOOKUP($A382,'The List'!$B1:$AS665,31,FALSE)," ")</f>
        <v xml:space="preserve"> </v>
      </c>
      <c r="Y382" s="83" t="str">
        <f>IFERROR(VLOOKUP($A382,'The List'!$B1:$AS665,32,FALSE)," ")</f>
        <v xml:space="preserve"> </v>
      </c>
      <c r="Z382" s="83" t="str">
        <f>IFERROR(VLOOKUP($A382,'The List'!$B1:$AS665,33,FALSE)," ")</f>
        <v xml:space="preserve"> </v>
      </c>
      <c r="AA382" s="86"/>
      <c r="AB382" s="91"/>
      <c r="AC382" s="91"/>
      <c r="AD382" s="91"/>
      <c r="AE382" s="91"/>
      <c r="AF382" s="91"/>
    </row>
    <row r="383" spans="1:32" ht="21.25" customHeight="1" x14ac:dyDescent="0.15">
      <c r="A383" s="23"/>
      <c r="B383" s="94" t="str">
        <f>IFERROR(VLOOKUP($A383,'The List'!$B1:$AS665,3,FALSE)," ")</f>
        <v xml:space="preserve"> </v>
      </c>
      <c r="C383" s="96" t="str">
        <f>IFERROR(VLOOKUP($A383,'The List'!$B1:$AS665,4,FALSE)," ")</f>
        <v xml:space="preserve"> </v>
      </c>
      <c r="D383" s="65" t="str">
        <f>IFERROR(VLOOKUP($A383,'The List'!$B1:$AS665,5,FALSE)," ")</f>
        <v xml:space="preserve"> </v>
      </c>
      <c r="E383" s="65" t="str">
        <f>IFERROR(VLOOKUP($A383,'The List'!$B1:$AS665,6,FALSE)," ")</f>
        <v xml:space="preserve"> </v>
      </c>
      <c r="F383" s="93" t="str">
        <f>IFERROR(VLOOKUP($A383,'The List'!$B1:$AS665,8,FALSE)," ")</f>
        <v xml:space="preserve"> </v>
      </c>
      <c r="G383" s="93" t="str">
        <f>IFERROR(VLOOKUP($A383,'The List'!$B1:$AS665,10,FALSE)," ")</f>
        <v xml:space="preserve"> </v>
      </c>
      <c r="H383" s="54"/>
      <c r="I383" s="83" t="str">
        <f>IFERROR(VLOOKUP($A383,'The List'!$B1:$AS665,16,FALSE)," ")</f>
        <v xml:space="preserve"> </v>
      </c>
      <c r="J383" s="83" t="str">
        <f>IFERROR(VLOOKUP($A383,'The List'!$B1:$AS665,17,FALSE)," ")</f>
        <v xml:space="preserve"> </v>
      </c>
      <c r="K383" s="83" t="str">
        <f>IFERROR(VLOOKUP($A383,'The List'!$B1:$AS665,18,FALSE)," ")</f>
        <v xml:space="preserve"> </v>
      </c>
      <c r="L383" s="83" t="str">
        <f>IFERROR(VLOOKUP($A383,'The List'!$B1:$AS665,19,FALSE)," ")</f>
        <v xml:space="preserve"> </v>
      </c>
      <c r="M383" s="83" t="str">
        <f>IFERROR(VLOOKUP($A383,'The List'!$B1:$AS665,20,FALSE)," ")</f>
        <v xml:space="preserve"> </v>
      </c>
      <c r="N383" s="83" t="str">
        <f>IFERROR(VLOOKUP($A383,'The List'!$B1:$AS665,21,FALSE)," ")</f>
        <v xml:space="preserve"> </v>
      </c>
      <c r="O383" s="83" t="str">
        <f>IFERROR(VLOOKUP($A383,'The List'!$B1:$AS665,22,FALSE)," ")</f>
        <v xml:space="preserve"> </v>
      </c>
      <c r="P383" s="83" t="str">
        <f>IFERROR(VLOOKUP($A383,'The List'!$B1:$AS665,23,FALSE)," ")</f>
        <v xml:space="preserve"> </v>
      </c>
      <c r="Q383" s="83" t="str">
        <f>IFERROR(VLOOKUP($A383,'The List'!$B1:$AS665,24,FALSE)," ")</f>
        <v xml:space="preserve"> </v>
      </c>
      <c r="R383" s="83" t="str">
        <f>IFERROR(VLOOKUP($A383,'The List'!$B1:$AS665,25,FALSE)," ")</f>
        <v xml:space="preserve"> </v>
      </c>
      <c r="S383" s="83" t="str">
        <f>IFERROR(VLOOKUP($A383,'The List'!$B1:$AS665,26,FALSE)," ")</f>
        <v xml:space="preserve"> </v>
      </c>
      <c r="T383" s="83" t="str">
        <f>IFERROR(VLOOKUP($A383,'The List'!$B1:$AS665,27,FALSE)," ")</f>
        <v xml:space="preserve"> </v>
      </c>
      <c r="U383" s="83" t="str">
        <f>IFERROR(VLOOKUP($A383,'The List'!$B1:$AS665,28,FALSE)," ")</f>
        <v xml:space="preserve"> </v>
      </c>
      <c r="V383" s="83" t="str">
        <f>IFERROR(VLOOKUP($A383,'The List'!$B1:$AS665,29,FALSE)," ")</f>
        <v xml:space="preserve"> </v>
      </c>
      <c r="W383" s="83" t="str">
        <f>IFERROR(VLOOKUP($A383,'The List'!$B1:$AS665,30,FALSE)," ")</f>
        <v xml:space="preserve"> </v>
      </c>
      <c r="X383" s="83" t="str">
        <f>IFERROR(VLOOKUP($A383,'The List'!$B1:$AS665,31,FALSE)," ")</f>
        <v xml:space="preserve"> </v>
      </c>
      <c r="Y383" s="83" t="str">
        <f>IFERROR(VLOOKUP($A383,'The List'!$B1:$AS665,32,FALSE)," ")</f>
        <v xml:space="preserve"> </v>
      </c>
      <c r="Z383" s="83" t="str">
        <f>IFERROR(VLOOKUP($A383,'The List'!$B1:$AS665,33,FALSE)," ")</f>
        <v xml:space="preserve"> </v>
      </c>
      <c r="AA383" s="86"/>
      <c r="AB383" s="91"/>
      <c r="AC383" s="91"/>
      <c r="AD383" s="91"/>
      <c r="AE383" s="91"/>
      <c r="AF383" s="91"/>
    </row>
    <row r="384" spans="1:32" ht="21.25" customHeight="1" x14ac:dyDescent="0.15">
      <c r="A384" s="23"/>
      <c r="B384" s="94" t="str">
        <f>IFERROR(VLOOKUP($A384,'The List'!$B1:$AS665,3,FALSE)," ")</f>
        <v xml:space="preserve"> </v>
      </c>
      <c r="C384" s="96" t="str">
        <f>IFERROR(VLOOKUP($A384,'The List'!$B1:$AS665,4,FALSE)," ")</f>
        <v xml:space="preserve"> </v>
      </c>
      <c r="D384" s="65" t="str">
        <f>IFERROR(VLOOKUP($A384,'The List'!$B1:$AS665,5,FALSE)," ")</f>
        <v xml:space="preserve"> </v>
      </c>
      <c r="E384" s="65" t="str">
        <f>IFERROR(VLOOKUP($A384,'The List'!$B1:$AS665,6,FALSE)," ")</f>
        <v xml:space="preserve"> </v>
      </c>
      <c r="F384" s="93" t="str">
        <f>IFERROR(VLOOKUP($A384,'The List'!$B1:$AS665,8,FALSE)," ")</f>
        <v xml:space="preserve"> </v>
      </c>
      <c r="G384" s="93" t="str">
        <f>IFERROR(VLOOKUP($A384,'The List'!$B1:$AS665,10,FALSE)," ")</f>
        <v xml:space="preserve"> </v>
      </c>
      <c r="H384" s="54"/>
      <c r="I384" s="83" t="str">
        <f>IFERROR(VLOOKUP($A384,'The List'!$B1:$AS665,16,FALSE)," ")</f>
        <v xml:space="preserve"> </v>
      </c>
      <c r="J384" s="83" t="str">
        <f>IFERROR(VLOOKUP($A384,'The List'!$B1:$AS665,17,FALSE)," ")</f>
        <v xml:space="preserve"> </v>
      </c>
      <c r="K384" s="83" t="str">
        <f>IFERROR(VLOOKUP($A384,'The List'!$B1:$AS665,18,FALSE)," ")</f>
        <v xml:space="preserve"> </v>
      </c>
      <c r="L384" s="83" t="str">
        <f>IFERROR(VLOOKUP($A384,'The List'!$B1:$AS665,19,FALSE)," ")</f>
        <v xml:space="preserve"> </v>
      </c>
      <c r="M384" s="83" t="str">
        <f>IFERROR(VLOOKUP($A384,'The List'!$B1:$AS665,20,FALSE)," ")</f>
        <v xml:space="preserve"> </v>
      </c>
      <c r="N384" s="83" t="str">
        <f>IFERROR(VLOOKUP($A384,'The List'!$B1:$AS665,21,FALSE)," ")</f>
        <v xml:space="preserve"> </v>
      </c>
      <c r="O384" s="83" t="str">
        <f>IFERROR(VLOOKUP($A384,'The List'!$B1:$AS665,22,FALSE)," ")</f>
        <v xml:space="preserve"> </v>
      </c>
      <c r="P384" s="83" t="str">
        <f>IFERROR(VLOOKUP($A384,'The List'!$B1:$AS665,23,FALSE)," ")</f>
        <v xml:space="preserve"> </v>
      </c>
      <c r="Q384" s="83" t="str">
        <f>IFERROR(VLOOKUP($A384,'The List'!$B1:$AS665,24,FALSE)," ")</f>
        <v xml:space="preserve"> </v>
      </c>
      <c r="R384" s="83" t="str">
        <f>IFERROR(VLOOKUP($A384,'The List'!$B1:$AS665,25,FALSE)," ")</f>
        <v xml:space="preserve"> </v>
      </c>
      <c r="S384" s="83" t="str">
        <f>IFERROR(VLOOKUP($A384,'The List'!$B1:$AS665,26,FALSE)," ")</f>
        <v xml:space="preserve"> </v>
      </c>
      <c r="T384" s="83" t="str">
        <f>IFERROR(VLOOKUP($A384,'The List'!$B1:$AS665,27,FALSE)," ")</f>
        <v xml:space="preserve"> </v>
      </c>
      <c r="U384" s="83" t="str">
        <f>IFERROR(VLOOKUP($A384,'The List'!$B1:$AS665,28,FALSE)," ")</f>
        <v xml:space="preserve"> </v>
      </c>
      <c r="V384" s="83" t="str">
        <f>IFERROR(VLOOKUP($A384,'The List'!$B1:$AS665,29,FALSE)," ")</f>
        <v xml:space="preserve"> </v>
      </c>
      <c r="W384" s="83" t="str">
        <f>IFERROR(VLOOKUP($A384,'The List'!$B1:$AS665,30,FALSE)," ")</f>
        <v xml:space="preserve"> </v>
      </c>
      <c r="X384" s="83" t="str">
        <f>IFERROR(VLOOKUP($A384,'The List'!$B1:$AS665,31,FALSE)," ")</f>
        <v xml:space="preserve"> </v>
      </c>
      <c r="Y384" s="83" t="str">
        <f>IFERROR(VLOOKUP($A384,'The List'!$B1:$AS665,32,FALSE)," ")</f>
        <v xml:space="preserve"> </v>
      </c>
      <c r="Z384" s="83" t="str">
        <f>IFERROR(VLOOKUP($A384,'The List'!$B1:$AS665,33,FALSE)," ")</f>
        <v xml:space="preserve"> </v>
      </c>
      <c r="AA384" s="86"/>
      <c r="AB384" s="91"/>
      <c r="AC384" s="91"/>
      <c r="AD384" s="91"/>
      <c r="AE384" s="91"/>
      <c r="AF384" s="91"/>
    </row>
    <row r="385" spans="1:32" ht="21.25" customHeight="1" x14ac:dyDescent="0.15">
      <c r="A385" s="23"/>
      <c r="B385" s="94" t="str">
        <f>IFERROR(VLOOKUP($A385,'The List'!$B1:$AS665,3,FALSE)," ")</f>
        <v xml:space="preserve"> </v>
      </c>
      <c r="C385" s="96" t="str">
        <f>IFERROR(VLOOKUP($A385,'The List'!$B1:$AS665,4,FALSE)," ")</f>
        <v xml:space="preserve"> </v>
      </c>
      <c r="D385" s="65" t="str">
        <f>IFERROR(VLOOKUP($A385,'The List'!$B1:$AS665,5,FALSE)," ")</f>
        <v xml:space="preserve"> </v>
      </c>
      <c r="E385" s="65" t="str">
        <f>IFERROR(VLOOKUP($A385,'The List'!$B1:$AS665,6,FALSE)," ")</f>
        <v xml:space="preserve"> </v>
      </c>
      <c r="F385" s="93" t="str">
        <f>IFERROR(VLOOKUP($A385,'The List'!$B1:$AS665,8,FALSE)," ")</f>
        <v xml:space="preserve"> </v>
      </c>
      <c r="G385" s="93" t="str">
        <f>IFERROR(VLOOKUP($A385,'The List'!$B1:$AS665,10,FALSE)," ")</f>
        <v xml:space="preserve"> </v>
      </c>
      <c r="H385" s="54"/>
      <c r="I385" s="83" t="str">
        <f>IFERROR(VLOOKUP($A385,'The List'!$B1:$AS665,16,FALSE)," ")</f>
        <v xml:space="preserve"> </v>
      </c>
      <c r="J385" s="83" t="str">
        <f>IFERROR(VLOOKUP($A385,'The List'!$B1:$AS665,17,FALSE)," ")</f>
        <v xml:space="preserve"> </v>
      </c>
      <c r="K385" s="83" t="str">
        <f>IFERROR(VLOOKUP($A385,'The List'!$B1:$AS665,18,FALSE)," ")</f>
        <v xml:space="preserve"> </v>
      </c>
      <c r="L385" s="83" t="str">
        <f>IFERROR(VLOOKUP($A385,'The List'!$B1:$AS665,19,FALSE)," ")</f>
        <v xml:space="preserve"> </v>
      </c>
      <c r="M385" s="83" t="str">
        <f>IFERROR(VLOOKUP($A385,'The List'!$B1:$AS665,20,FALSE)," ")</f>
        <v xml:space="preserve"> </v>
      </c>
      <c r="N385" s="83" t="str">
        <f>IFERROR(VLOOKUP($A385,'The List'!$B1:$AS665,21,FALSE)," ")</f>
        <v xml:space="preserve"> </v>
      </c>
      <c r="O385" s="83" t="str">
        <f>IFERROR(VLOOKUP($A385,'The List'!$B1:$AS665,22,FALSE)," ")</f>
        <v xml:space="preserve"> </v>
      </c>
      <c r="P385" s="83" t="str">
        <f>IFERROR(VLOOKUP($A385,'The List'!$B1:$AS665,23,FALSE)," ")</f>
        <v xml:space="preserve"> </v>
      </c>
      <c r="Q385" s="83" t="str">
        <f>IFERROR(VLOOKUP($A385,'The List'!$B1:$AS665,24,FALSE)," ")</f>
        <v xml:space="preserve"> </v>
      </c>
      <c r="R385" s="83" t="str">
        <f>IFERROR(VLOOKUP($A385,'The List'!$B1:$AS665,25,FALSE)," ")</f>
        <v xml:space="preserve"> </v>
      </c>
      <c r="S385" s="83" t="str">
        <f>IFERROR(VLOOKUP($A385,'The List'!$B1:$AS665,26,FALSE)," ")</f>
        <v xml:space="preserve"> </v>
      </c>
      <c r="T385" s="83" t="str">
        <f>IFERROR(VLOOKUP($A385,'The List'!$B1:$AS665,27,FALSE)," ")</f>
        <v xml:space="preserve"> </v>
      </c>
      <c r="U385" s="83" t="str">
        <f>IFERROR(VLOOKUP($A385,'The List'!$B1:$AS665,28,FALSE)," ")</f>
        <v xml:space="preserve"> </v>
      </c>
      <c r="V385" s="83" t="str">
        <f>IFERROR(VLOOKUP($A385,'The List'!$B1:$AS665,29,FALSE)," ")</f>
        <v xml:space="preserve"> </v>
      </c>
      <c r="W385" s="83" t="str">
        <f>IFERROR(VLOOKUP($A385,'The List'!$B1:$AS665,30,FALSE)," ")</f>
        <v xml:space="preserve"> </v>
      </c>
      <c r="X385" s="83" t="str">
        <f>IFERROR(VLOOKUP($A385,'The List'!$B1:$AS665,31,FALSE)," ")</f>
        <v xml:space="preserve"> </v>
      </c>
      <c r="Y385" s="83" t="str">
        <f>IFERROR(VLOOKUP($A385,'The List'!$B1:$AS665,32,FALSE)," ")</f>
        <v xml:space="preserve"> </v>
      </c>
      <c r="Z385" s="83" t="str">
        <f>IFERROR(VLOOKUP($A385,'The List'!$B1:$AS665,33,FALSE)," ")</f>
        <v xml:space="preserve"> </v>
      </c>
      <c r="AA385" s="86"/>
      <c r="AB385" s="91"/>
      <c r="AC385" s="91"/>
      <c r="AD385" s="91"/>
      <c r="AE385" s="91"/>
      <c r="AF385" s="91"/>
    </row>
    <row r="386" spans="1:32" ht="21.25" customHeight="1" x14ac:dyDescent="0.15">
      <c r="A386" s="23"/>
      <c r="B386" s="94" t="str">
        <f>IFERROR(VLOOKUP($A386,'The List'!$B1:$AS665,3,FALSE)," ")</f>
        <v xml:space="preserve"> </v>
      </c>
      <c r="C386" s="96" t="str">
        <f>IFERROR(VLOOKUP($A386,'The List'!$B1:$AS665,4,FALSE)," ")</f>
        <v xml:space="preserve"> </v>
      </c>
      <c r="D386" s="65" t="str">
        <f>IFERROR(VLOOKUP($A386,'The List'!$B1:$AS665,5,FALSE)," ")</f>
        <v xml:space="preserve"> </v>
      </c>
      <c r="E386" s="65" t="str">
        <f>IFERROR(VLOOKUP($A386,'The List'!$B1:$AS665,6,FALSE)," ")</f>
        <v xml:space="preserve"> </v>
      </c>
      <c r="F386" s="93" t="str">
        <f>IFERROR(VLOOKUP($A386,'The List'!$B1:$AS665,8,FALSE)," ")</f>
        <v xml:space="preserve"> </v>
      </c>
      <c r="G386" s="93" t="str">
        <f>IFERROR(VLOOKUP($A386,'The List'!$B1:$AS665,10,FALSE)," ")</f>
        <v xml:space="preserve"> </v>
      </c>
      <c r="H386" s="54"/>
      <c r="I386" s="83" t="str">
        <f>IFERROR(VLOOKUP($A386,'The List'!$B1:$AS665,16,FALSE)," ")</f>
        <v xml:space="preserve"> </v>
      </c>
      <c r="J386" s="83" t="str">
        <f>IFERROR(VLOOKUP($A386,'The List'!$B1:$AS665,17,FALSE)," ")</f>
        <v xml:space="preserve"> </v>
      </c>
      <c r="K386" s="83" t="str">
        <f>IFERROR(VLOOKUP($A386,'The List'!$B1:$AS665,18,FALSE)," ")</f>
        <v xml:space="preserve"> </v>
      </c>
      <c r="L386" s="83" t="str">
        <f>IFERROR(VLOOKUP($A386,'The List'!$B1:$AS665,19,FALSE)," ")</f>
        <v xml:space="preserve"> </v>
      </c>
      <c r="M386" s="83" t="str">
        <f>IFERROR(VLOOKUP($A386,'The List'!$B1:$AS665,20,FALSE)," ")</f>
        <v xml:space="preserve"> </v>
      </c>
      <c r="N386" s="83" t="str">
        <f>IFERROR(VLOOKUP($A386,'The List'!$B1:$AS665,21,FALSE)," ")</f>
        <v xml:space="preserve"> </v>
      </c>
      <c r="O386" s="83" t="str">
        <f>IFERROR(VLOOKUP($A386,'The List'!$B1:$AS665,22,FALSE)," ")</f>
        <v xml:space="preserve"> </v>
      </c>
      <c r="P386" s="83" t="str">
        <f>IFERROR(VLOOKUP($A386,'The List'!$B1:$AS665,23,FALSE)," ")</f>
        <v xml:space="preserve"> </v>
      </c>
      <c r="Q386" s="83" t="str">
        <f>IFERROR(VLOOKUP($A386,'The List'!$B1:$AS665,24,FALSE)," ")</f>
        <v xml:space="preserve"> </v>
      </c>
      <c r="R386" s="83" t="str">
        <f>IFERROR(VLOOKUP($A386,'The List'!$B1:$AS665,25,FALSE)," ")</f>
        <v xml:space="preserve"> </v>
      </c>
      <c r="S386" s="83" t="str">
        <f>IFERROR(VLOOKUP($A386,'The List'!$B1:$AS665,26,FALSE)," ")</f>
        <v xml:space="preserve"> </v>
      </c>
      <c r="T386" s="83" t="str">
        <f>IFERROR(VLOOKUP($A386,'The List'!$B1:$AS665,27,FALSE)," ")</f>
        <v xml:space="preserve"> </v>
      </c>
      <c r="U386" s="83" t="str">
        <f>IFERROR(VLOOKUP($A386,'The List'!$B1:$AS665,28,FALSE)," ")</f>
        <v xml:space="preserve"> </v>
      </c>
      <c r="V386" s="83" t="str">
        <f>IFERROR(VLOOKUP($A386,'The List'!$B1:$AS665,29,FALSE)," ")</f>
        <v xml:space="preserve"> </v>
      </c>
      <c r="W386" s="83" t="str">
        <f>IFERROR(VLOOKUP($A386,'The List'!$B1:$AS665,30,FALSE)," ")</f>
        <v xml:space="preserve"> </v>
      </c>
      <c r="X386" s="83" t="str">
        <f>IFERROR(VLOOKUP($A386,'The List'!$B1:$AS665,31,FALSE)," ")</f>
        <v xml:space="preserve"> </v>
      </c>
      <c r="Y386" s="83" t="str">
        <f>IFERROR(VLOOKUP($A386,'The List'!$B1:$AS665,32,FALSE)," ")</f>
        <v xml:space="preserve"> </v>
      </c>
      <c r="Z386" s="83" t="str">
        <f>IFERROR(VLOOKUP($A386,'The List'!$B1:$AS665,33,FALSE)," ")</f>
        <v xml:space="preserve"> </v>
      </c>
      <c r="AA386" s="86"/>
      <c r="AB386" s="91"/>
      <c r="AC386" s="91"/>
      <c r="AD386" s="91"/>
      <c r="AE386" s="91"/>
      <c r="AF386" s="91"/>
    </row>
    <row r="387" spans="1:32" ht="21.25" customHeight="1" x14ac:dyDescent="0.15">
      <c r="A387" s="23"/>
      <c r="B387" s="97" t="str">
        <f>IFERROR(VLOOKUP($A387,'The List'!$B1:$AS665,3,FALSE)," ")</f>
        <v xml:space="preserve"> </v>
      </c>
      <c r="C387" s="99" t="str">
        <f>IFERROR(VLOOKUP($A387,'The List'!$B1:$AS665,4,FALSE)," ")</f>
        <v xml:space="preserve"> </v>
      </c>
      <c r="D387" s="65" t="str">
        <f>IFERROR(VLOOKUP($A387,'The List'!$B1:$AS665,5,FALSE)," ")</f>
        <v xml:space="preserve"> </v>
      </c>
      <c r="E387" s="65" t="str">
        <f>IFERROR(VLOOKUP($A387,'The List'!$B1:$AS665,6,FALSE)," ")</f>
        <v xml:space="preserve"> </v>
      </c>
      <c r="F387" s="93" t="str">
        <f>IFERROR(VLOOKUP($A387,'The List'!$B1:$AS665,8,FALSE)," ")</f>
        <v xml:space="preserve"> </v>
      </c>
      <c r="G387" s="93" t="str">
        <f>IFERROR(VLOOKUP($A387,'The List'!$B1:$AS665,10,FALSE)," ")</f>
        <v xml:space="preserve"> </v>
      </c>
      <c r="H387" s="54"/>
      <c r="I387" s="83" t="str">
        <f>IFERROR(VLOOKUP($A387,'The List'!$B1:$AS665,16,FALSE)," ")</f>
        <v xml:space="preserve"> </v>
      </c>
      <c r="J387" s="83" t="str">
        <f>IFERROR(VLOOKUP($A387,'The List'!$B1:$AS665,17,FALSE)," ")</f>
        <v xml:space="preserve"> </v>
      </c>
      <c r="K387" s="83" t="str">
        <f>IFERROR(VLOOKUP($A387,'The List'!$B1:$AS665,18,FALSE)," ")</f>
        <v xml:space="preserve"> </v>
      </c>
      <c r="L387" s="83" t="str">
        <f>IFERROR(VLOOKUP($A387,'The List'!$B1:$AS665,19,FALSE)," ")</f>
        <v xml:space="preserve"> </v>
      </c>
      <c r="M387" s="83" t="str">
        <f>IFERROR(VLOOKUP($A387,'The List'!$B1:$AS665,20,FALSE)," ")</f>
        <v xml:space="preserve"> </v>
      </c>
      <c r="N387" s="83" t="str">
        <f>IFERROR(VLOOKUP($A387,'The List'!$B1:$AS665,21,FALSE)," ")</f>
        <v xml:space="preserve"> </v>
      </c>
      <c r="O387" s="83" t="str">
        <f>IFERROR(VLOOKUP($A387,'The List'!$B1:$AS665,22,FALSE)," ")</f>
        <v xml:space="preserve"> </v>
      </c>
      <c r="P387" s="83" t="str">
        <f>IFERROR(VLOOKUP($A387,'The List'!$B1:$AS665,23,FALSE)," ")</f>
        <v xml:space="preserve"> </v>
      </c>
      <c r="Q387" s="83" t="str">
        <f>IFERROR(VLOOKUP($A387,'The List'!$B1:$AS665,24,FALSE)," ")</f>
        <v xml:space="preserve"> </v>
      </c>
      <c r="R387" s="83" t="str">
        <f>IFERROR(VLOOKUP($A387,'The List'!$B1:$AS665,25,FALSE)," ")</f>
        <v xml:space="preserve"> </v>
      </c>
      <c r="S387" s="83" t="str">
        <f>IFERROR(VLOOKUP($A387,'The List'!$B1:$AS665,26,FALSE)," ")</f>
        <v xml:space="preserve"> </v>
      </c>
      <c r="T387" s="83" t="str">
        <f>IFERROR(VLOOKUP($A387,'The List'!$B1:$AS665,27,FALSE)," ")</f>
        <v xml:space="preserve"> </v>
      </c>
      <c r="U387" s="83" t="str">
        <f>IFERROR(VLOOKUP($A387,'The List'!$B1:$AS665,28,FALSE)," ")</f>
        <v xml:space="preserve"> </v>
      </c>
      <c r="V387" s="83" t="str">
        <f>IFERROR(VLOOKUP($A387,'The List'!$B1:$AS665,29,FALSE)," ")</f>
        <v xml:space="preserve"> </v>
      </c>
      <c r="W387" s="83" t="str">
        <f>IFERROR(VLOOKUP($A387,'The List'!$B1:$AS665,30,FALSE)," ")</f>
        <v xml:space="preserve"> </v>
      </c>
      <c r="X387" s="83" t="str">
        <f>IFERROR(VLOOKUP($A387,'The List'!$B1:$AS665,31,FALSE)," ")</f>
        <v xml:space="preserve"> </v>
      </c>
      <c r="Y387" s="83" t="str">
        <f>IFERROR(VLOOKUP($A387,'The List'!$B1:$AS665,32,FALSE)," ")</f>
        <v xml:space="preserve"> </v>
      </c>
      <c r="Z387" s="83" t="str">
        <f>IFERROR(VLOOKUP($A387,'The List'!$B1:$AS665,33,FALSE)," ")</f>
        <v xml:space="preserve"> </v>
      </c>
      <c r="AA387" s="86"/>
      <c r="AB387" s="91"/>
      <c r="AC387" s="91"/>
      <c r="AD387" s="91"/>
      <c r="AE387" s="91"/>
      <c r="AF387" s="91"/>
    </row>
    <row r="388" spans="1:32" ht="21.25" customHeight="1" x14ac:dyDescent="0.15">
      <c r="A388" s="23"/>
      <c r="B388" s="97" t="str">
        <f>IFERROR(VLOOKUP($A388,'The List'!$B1:$AS665,3,FALSE)," ")</f>
        <v xml:space="preserve"> </v>
      </c>
      <c r="C388" s="99" t="str">
        <f>IFERROR(VLOOKUP($A388,'The List'!$B1:$AS665,4,FALSE)," ")</f>
        <v xml:space="preserve"> </v>
      </c>
      <c r="D388" s="65" t="str">
        <f>IFERROR(VLOOKUP($A388,'The List'!$B1:$AS665,5,FALSE)," ")</f>
        <v xml:space="preserve"> </v>
      </c>
      <c r="E388" s="65" t="str">
        <f>IFERROR(VLOOKUP($A388,'The List'!$B1:$AS665,6,FALSE)," ")</f>
        <v xml:space="preserve"> </v>
      </c>
      <c r="F388" s="93" t="str">
        <f>IFERROR(VLOOKUP($A388,'The List'!$B1:$AS665,8,FALSE)," ")</f>
        <v xml:space="preserve"> </v>
      </c>
      <c r="G388" s="93" t="str">
        <f>IFERROR(VLOOKUP($A388,'The List'!$B1:$AS665,10,FALSE)," ")</f>
        <v xml:space="preserve"> </v>
      </c>
      <c r="H388" s="54"/>
      <c r="I388" s="83" t="str">
        <f>IFERROR(VLOOKUP($A388,'The List'!$B1:$AS665,16,FALSE)," ")</f>
        <v xml:space="preserve"> </v>
      </c>
      <c r="J388" s="83" t="str">
        <f>IFERROR(VLOOKUP($A388,'The List'!$B1:$AS665,17,FALSE)," ")</f>
        <v xml:space="preserve"> </v>
      </c>
      <c r="K388" s="83" t="str">
        <f>IFERROR(VLOOKUP($A388,'The List'!$B1:$AS665,18,FALSE)," ")</f>
        <v xml:space="preserve"> </v>
      </c>
      <c r="L388" s="83" t="str">
        <f>IFERROR(VLOOKUP($A388,'The List'!$B1:$AS665,19,FALSE)," ")</f>
        <v xml:space="preserve"> </v>
      </c>
      <c r="M388" s="83" t="str">
        <f>IFERROR(VLOOKUP($A388,'The List'!$B1:$AS665,20,FALSE)," ")</f>
        <v xml:space="preserve"> </v>
      </c>
      <c r="N388" s="83" t="str">
        <f>IFERROR(VLOOKUP($A388,'The List'!$B1:$AS665,21,FALSE)," ")</f>
        <v xml:space="preserve"> </v>
      </c>
      <c r="O388" s="83" t="str">
        <f>IFERROR(VLOOKUP($A388,'The List'!$B1:$AS665,22,FALSE)," ")</f>
        <v xml:space="preserve"> </v>
      </c>
      <c r="P388" s="83" t="str">
        <f>IFERROR(VLOOKUP($A388,'The List'!$B1:$AS665,23,FALSE)," ")</f>
        <v xml:space="preserve"> </v>
      </c>
      <c r="Q388" s="83" t="str">
        <f>IFERROR(VLOOKUP($A388,'The List'!$B1:$AS665,24,FALSE)," ")</f>
        <v xml:space="preserve"> </v>
      </c>
      <c r="R388" s="83" t="str">
        <f>IFERROR(VLOOKUP($A388,'The List'!$B1:$AS665,25,FALSE)," ")</f>
        <v xml:space="preserve"> </v>
      </c>
      <c r="S388" s="83" t="str">
        <f>IFERROR(VLOOKUP($A388,'The List'!$B1:$AS665,26,FALSE)," ")</f>
        <v xml:space="preserve"> </v>
      </c>
      <c r="T388" s="83" t="str">
        <f>IFERROR(VLOOKUP($A388,'The List'!$B1:$AS665,27,FALSE)," ")</f>
        <v xml:space="preserve"> </v>
      </c>
      <c r="U388" s="83" t="str">
        <f>IFERROR(VLOOKUP($A388,'The List'!$B1:$AS665,28,FALSE)," ")</f>
        <v xml:space="preserve"> </v>
      </c>
      <c r="V388" s="83" t="str">
        <f>IFERROR(VLOOKUP($A388,'The List'!$B1:$AS665,29,FALSE)," ")</f>
        <v xml:space="preserve"> </v>
      </c>
      <c r="W388" s="83" t="str">
        <f>IFERROR(VLOOKUP($A388,'The List'!$B1:$AS665,30,FALSE)," ")</f>
        <v xml:space="preserve"> </v>
      </c>
      <c r="X388" s="83" t="str">
        <f>IFERROR(VLOOKUP($A388,'The List'!$B1:$AS665,31,FALSE)," ")</f>
        <v xml:space="preserve"> </v>
      </c>
      <c r="Y388" s="83" t="str">
        <f>IFERROR(VLOOKUP($A388,'The List'!$B1:$AS665,32,FALSE)," ")</f>
        <v xml:space="preserve"> </v>
      </c>
      <c r="Z388" s="83" t="str">
        <f>IFERROR(VLOOKUP($A388,'The List'!$B1:$AS665,33,FALSE)," ")</f>
        <v xml:space="preserve"> </v>
      </c>
      <c r="AA388" s="86"/>
      <c r="AB388" s="91"/>
      <c r="AC388" s="91"/>
      <c r="AD388" s="91"/>
      <c r="AE388" s="91"/>
      <c r="AF388" s="91"/>
    </row>
    <row r="389" spans="1:32" ht="21.25" customHeight="1" x14ac:dyDescent="0.15">
      <c r="A389" s="23"/>
      <c r="B389" s="97" t="str">
        <f>IFERROR(VLOOKUP($A389,'The List'!$B1:$AS665,3,FALSE)," ")</f>
        <v xml:space="preserve"> </v>
      </c>
      <c r="C389" s="99" t="str">
        <f>IFERROR(VLOOKUP($A389,'The List'!$B1:$AS665,4,FALSE)," ")</f>
        <v xml:space="preserve"> </v>
      </c>
      <c r="D389" s="65" t="str">
        <f>IFERROR(VLOOKUP($A389,'The List'!$B1:$AS665,5,FALSE)," ")</f>
        <v xml:space="preserve"> </v>
      </c>
      <c r="E389" s="65" t="str">
        <f>IFERROR(VLOOKUP($A389,'The List'!$B1:$AS665,6,FALSE)," ")</f>
        <v xml:space="preserve"> </v>
      </c>
      <c r="F389" s="93" t="str">
        <f>IFERROR(VLOOKUP($A389,'The List'!$B1:$AS665,8,FALSE)," ")</f>
        <v xml:space="preserve"> </v>
      </c>
      <c r="G389" s="93" t="str">
        <f>IFERROR(VLOOKUP($A389,'The List'!$B1:$AS665,10,FALSE)," ")</f>
        <v xml:space="preserve"> </v>
      </c>
      <c r="H389" s="54"/>
      <c r="I389" s="83" t="str">
        <f>IFERROR(VLOOKUP($A389,'The List'!$B1:$AS665,16,FALSE)," ")</f>
        <v xml:space="preserve"> </v>
      </c>
      <c r="J389" s="83" t="str">
        <f>IFERROR(VLOOKUP($A389,'The List'!$B1:$AS665,17,FALSE)," ")</f>
        <v xml:space="preserve"> </v>
      </c>
      <c r="K389" s="83" t="str">
        <f>IFERROR(VLOOKUP($A389,'The List'!$B1:$AS665,18,FALSE)," ")</f>
        <v xml:space="preserve"> </v>
      </c>
      <c r="L389" s="83" t="str">
        <f>IFERROR(VLOOKUP($A389,'The List'!$B1:$AS665,19,FALSE)," ")</f>
        <v xml:space="preserve"> </v>
      </c>
      <c r="M389" s="83" t="str">
        <f>IFERROR(VLOOKUP($A389,'The List'!$B1:$AS665,20,FALSE)," ")</f>
        <v xml:space="preserve"> </v>
      </c>
      <c r="N389" s="83" t="str">
        <f>IFERROR(VLOOKUP($A389,'The List'!$B1:$AS665,21,FALSE)," ")</f>
        <v xml:space="preserve"> </v>
      </c>
      <c r="O389" s="83" t="str">
        <f>IFERROR(VLOOKUP($A389,'The List'!$B1:$AS665,22,FALSE)," ")</f>
        <v xml:space="preserve"> </v>
      </c>
      <c r="P389" s="83" t="str">
        <f>IFERROR(VLOOKUP($A389,'The List'!$B1:$AS665,23,FALSE)," ")</f>
        <v xml:space="preserve"> </v>
      </c>
      <c r="Q389" s="83" t="str">
        <f>IFERROR(VLOOKUP($A389,'The List'!$B1:$AS665,24,FALSE)," ")</f>
        <v xml:space="preserve"> </v>
      </c>
      <c r="R389" s="83" t="str">
        <f>IFERROR(VLOOKUP($A389,'The List'!$B1:$AS665,25,FALSE)," ")</f>
        <v xml:space="preserve"> </v>
      </c>
      <c r="S389" s="83" t="str">
        <f>IFERROR(VLOOKUP($A389,'The List'!$B1:$AS665,26,FALSE)," ")</f>
        <v xml:space="preserve"> </v>
      </c>
      <c r="T389" s="83" t="str">
        <f>IFERROR(VLOOKUP($A389,'The List'!$B1:$AS665,27,FALSE)," ")</f>
        <v xml:space="preserve"> </v>
      </c>
      <c r="U389" s="83" t="str">
        <f>IFERROR(VLOOKUP($A389,'The List'!$B1:$AS665,28,FALSE)," ")</f>
        <v xml:space="preserve"> </v>
      </c>
      <c r="V389" s="83" t="str">
        <f>IFERROR(VLOOKUP($A389,'The List'!$B1:$AS665,29,FALSE)," ")</f>
        <v xml:space="preserve"> </v>
      </c>
      <c r="W389" s="83" t="str">
        <f>IFERROR(VLOOKUP($A389,'The List'!$B1:$AS665,30,FALSE)," ")</f>
        <v xml:space="preserve"> </v>
      </c>
      <c r="X389" s="83" t="str">
        <f>IFERROR(VLOOKUP($A389,'The List'!$B1:$AS665,31,FALSE)," ")</f>
        <v xml:space="preserve"> </v>
      </c>
      <c r="Y389" s="83" t="str">
        <f>IFERROR(VLOOKUP($A389,'The List'!$B1:$AS665,32,FALSE)," ")</f>
        <v xml:space="preserve"> </v>
      </c>
      <c r="Z389" s="83" t="str">
        <f>IFERROR(VLOOKUP($A389,'The List'!$B1:$AS665,33,FALSE)," ")</f>
        <v xml:space="preserve"> </v>
      </c>
      <c r="AA389" s="86"/>
      <c r="AB389" s="91"/>
      <c r="AC389" s="91"/>
      <c r="AD389" s="91"/>
      <c r="AE389" s="91"/>
      <c r="AF389" s="91"/>
    </row>
    <row r="390" spans="1:32" ht="21.25" customHeight="1" x14ac:dyDescent="0.15">
      <c r="A390" s="23"/>
      <c r="B390" s="97" t="str">
        <f>IFERROR(VLOOKUP($A390,'The List'!$B1:$AS665,3,FALSE)," ")</f>
        <v xml:space="preserve"> </v>
      </c>
      <c r="C390" s="99" t="str">
        <f>IFERROR(VLOOKUP($A390,'The List'!$B1:$AS665,4,FALSE)," ")</f>
        <v xml:space="preserve"> </v>
      </c>
      <c r="D390" s="65" t="str">
        <f>IFERROR(VLOOKUP($A390,'The List'!$B1:$AS665,5,FALSE)," ")</f>
        <v xml:space="preserve"> </v>
      </c>
      <c r="E390" s="65" t="str">
        <f>IFERROR(VLOOKUP($A390,'The List'!$B1:$AS665,6,FALSE)," ")</f>
        <v xml:space="preserve"> </v>
      </c>
      <c r="F390" s="93" t="str">
        <f>IFERROR(VLOOKUP($A390,'The List'!$B1:$AS665,8,FALSE)," ")</f>
        <v xml:space="preserve"> </v>
      </c>
      <c r="G390" s="93" t="str">
        <f>IFERROR(VLOOKUP($A390,'The List'!$B1:$AS665,10,FALSE)," ")</f>
        <v xml:space="preserve"> </v>
      </c>
      <c r="H390" s="54"/>
      <c r="I390" s="83" t="str">
        <f>IFERROR(VLOOKUP($A390,'The List'!$B1:$AS665,16,FALSE)," ")</f>
        <v xml:space="preserve"> </v>
      </c>
      <c r="J390" s="83" t="str">
        <f>IFERROR(VLOOKUP($A390,'The List'!$B1:$AS665,17,FALSE)," ")</f>
        <v xml:space="preserve"> </v>
      </c>
      <c r="K390" s="83" t="str">
        <f>IFERROR(VLOOKUP($A390,'The List'!$B1:$AS665,18,FALSE)," ")</f>
        <v xml:space="preserve"> </v>
      </c>
      <c r="L390" s="83" t="str">
        <f>IFERROR(VLOOKUP($A390,'The List'!$B1:$AS665,19,FALSE)," ")</f>
        <v xml:space="preserve"> </v>
      </c>
      <c r="M390" s="83" t="str">
        <f>IFERROR(VLOOKUP($A390,'The List'!$B1:$AS665,20,FALSE)," ")</f>
        <v xml:space="preserve"> </v>
      </c>
      <c r="N390" s="83" t="str">
        <f>IFERROR(VLOOKUP($A390,'The List'!$B1:$AS665,21,FALSE)," ")</f>
        <v xml:space="preserve"> </v>
      </c>
      <c r="O390" s="83" t="str">
        <f>IFERROR(VLOOKUP($A390,'The List'!$B1:$AS665,22,FALSE)," ")</f>
        <v xml:space="preserve"> </v>
      </c>
      <c r="P390" s="83" t="str">
        <f>IFERROR(VLOOKUP($A390,'The List'!$B1:$AS665,23,FALSE)," ")</f>
        <v xml:space="preserve"> </v>
      </c>
      <c r="Q390" s="83" t="str">
        <f>IFERROR(VLOOKUP($A390,'The List'!$B1:$AS665,24,FALSE)," ")</f>
        <v xml:space="preserve"> </v>
      </c>
      <c r="R390" s="83" t="str">
        <f>IFERROR(VLOOKUP($A390,'The List'!$B1:$AS665,25,FALSE)," ")</f>
        <v xml:space="preserve"> </v>
      </c>
      <c r="S390" s="83" t="str">
        <f>IFERROR(VLOOKUP($A390,'The List'!$B1:$AS665,26,FALSE)," ")</f>
        <v xml:space="preserve"> </v>
      </c>
      <c r="T390" s="83" t="str">
        <f>IFERROR(VLOOKUP($A390,'The List'!$B1:$AS665,27,FALSE)," ")</f>
        <v xml:space="preserve"> </v>
      </c>
      <c r="U390" s="83" t="str">
        <f>IFERROR(VLOOKUP($A390,'The List'!$B1:$AS665,28,FALSE)," ")</f>
        <v xml:space="preserve"> </v>
      </c>
      <c r="V390" s="83" t="str">
        <f>IFERROR(VLOOKUP($A390,'The List'!$B1:$AS665,29,FALSE)," ")</f>
        <v xml:space="preserve"> </v>
      </c>
      <c r="W390" s="83" t="str">
        <f>IFERROR(VLOOKUP($A390,'The List'!$B1:$AS665,30,FALSE)," ")</f>
        <v xml:space="preserve"> </v>
      </c>
      <c r="X390" s="83" t="str">
        <f>IFERROR(VLOOKUP($A390,'The List'!$B1:$AS665,31,FALSE)," ")</f>
        <v xml:space="preserve"> </v>
      </c>
      <c r="Y390" s="83" t="str">
        <f>IFERROR(VLOOKUP($A390,'The List'!$B1:$AS665,32,FALSE)," ")</f>
        <v xml:space="preserve"> </v>
      </c>
      <c r="Z390" s="83" t="str">
        <f>IFERROR(VLOOKUP($A390,'The List'!$B1:$AS665,33,FALSE)," ")</f>
        <v xml:space="preserve"> </v>
      </c>
      <c r="AA390" s="86"/>
      <c r="AB390" s="91"/>
      <c r="AC390" s="91"/>
      <c r="AD390" s="91"/>
      <c r="AE390" s="91"/>
      <c r="AF390" s="91"/>
    </row>
    <row r="391" spans="1:32" ht="21.25" customHeight="1" x14ac:dyDescent="0.15">
      <c r="A391" s="23"/>
      <c r="B391" s="100" t="str">
        <f>IFERROR(VLOOKUP($A391,'The List'!$B1:$AS665,3,FALSE)," ")</f>
        <v xml:space="preserve"> </v>
      </c>
      <c r="C391" s="102" t="str">
        <f>IFERROR(VLOOKUP($A391,'The List'!$B1:$AS665,4,FALSE)," ")</f>
        <v xml:space="preserve"> </v>
      </c>
      <c r="D391" s="65" t="str">
        <f>IFERROR(VLOOKUP($A391,'The List'!$B1:$AS665,5,FALSE)," ")</f>
        <v xml:space="preserve"> </v>
      </c>
      <c r="E391" s="65" t="str">
        <f>IFERROR(VLOOKUP($A391,'The List'!$B1:$AS665,6,FALSE)," ")</f>
        <v xml:space="preserve"> </v>
      </c>
      <c r="F391" s="93" t="str">
        <f>IFERROR(VLOOKUP($A391,'The List'!$B1:$AS665,8,FALSE)," ")</f>
        <v xml:space="preserve"> </v>
      </c>
      <c r="G391" s="93" t="str">
        <f>IFERROR(VLOOKUP($A391,'The List'!$B1:$AS665,10,FALSE)," ")</f>
        <v xml:space="preserve"> </v>
      </c>
      <c r="H391" s="54"/>
      <c r="I391" s="83" t="str">
        <f>IFERROR(VLOOKUP($A391,'The List'!$B1:$AS665,16,FALSE)," ")</f>
        <v xml:space="preserve"> </v>
      </c>
      <c r="J391" s="83" t="str">
        <f>IFERROR(VLOOKUP($A391,'The List'!$B1:$AS665,17,FALSE)," ")</f>
        <v xml:space="preserve"> </v>
      </c>
      <c r="K391" s="83" t="str">
        <f>IFERROR(VLOOKUP($A391,'The List'!$B1:$AS665,18,FALSE)," ")</f>
        <v xml:space="preserve"> </v>
      </c>
      <c r="L391" s="83" t="str">
        <f>IFERROR(VLOOKUP($A391,'The List'!$B1:$AS665,19,FALSE)," ")</f>
        <v xml:space="preserve"> </v>
      </c>
      <c r="M391" s="83" t="str">
        <f>IFERROR(VLOOKUP($A391,'The List'!$B1:$AS665,20,FALSE)," ")</f>
        <v xml:space="preserve"> </v>
      </c>
      <c r="N391" s="83" t="str">
        <f>IFERROR(VLOOKUP($A391,'The List'!$B1:$AS665,21,FALSE)," ")</f>
        <v xml:space="preserve"> </v>
      </c>
      <c r="O391" s="83" t="str">
        <f>IFERROR(VLOOKUP($A391,'The List'!$B1:$AS665,22,FALSE)," ")</f>
        <v xml:space="preserve"> </v>
      </c>
      <c r="P391" s="83" t="str">
        <f>IFERROR(VLOOKUP($A391,'The List'!$B1:$AS665,23,FALSE)," ")</f>
        <v xml:space="preserve"> </v>
      </c>
      <c r="Q391" s="83" t="str">
        <f>IFERROR(VLOOKUP($A391,'The List'!$B1:$AS665,24,FALSE)," ")</f>
        <v xml:space="preserve"> </v>
      </c>
      <c r="R391" s="83" t="str">
        <f>IFERROR(VLOOKUP($A391,'The List'!$B1:$AS665,25,FALSE)," ")</f>
        <v xml:space="preserve"> </v>
      </c>
      <c r="S391" s="83" t="str">
        <f>IFERROR(VLOOKUP($A391,'The List'!$B1:$AS665,26,FALSE)," ")</f>
        <v xml:space="preserve"> </v>
      </c>
      <c r="T391" s="83" t="str">
        <f>IFERROR(VLOOKUP($A391,'The List'!$B1:$AS665,27,FALSE)," ")</f>
        <v xml:space="preserve"> </v>
      </c>
      <c r="U391" s="83" t="str">
        <f>IFERROR(VLOOKUP($A391,'The List'!$B1:$AS665,28,FALSE)," ")</f>
        <v xml:space="preserve"> </v>
      </c>
      <c r="V391" s="83" t="str">
        <f>IFERROR(VLOOKUP($A391,'The List'!$B1:$AS665,29,FALSE)," ")</f>
        <v xml:space="preserve"> </v>
      </c>
      <c r="W391" s="83" t="str">
        <f>IFERROR(VLOOKUP($A391,'The List'!$B1:$AS665,30,FALSE)," ")</f>
        <v xml:space="preserve"> </v>
      </c>
      <c r="X391" s="83" t="str">
        <f>IFERROR(VLOOKUP($A391,'The List'!$B1:$AS665,31,FALSE)," ")</f>
        <v xml:space="preserve"> </v>
      </c>
      <c r="Y391" s="83" t="str">
        <f>IFERROR(VLOOKUP($A391,'The List'!$B1:$AS665,32,FALSE)," ")</f>
        <v xml:space="preserve"> </v>
      </c>
      <c r="Z391" s="83" t="str">
        <f>IFERROR(VLOOKUP($A391,'The List'!$B1:$AS665,33,FALSE)," ")</f>
        <v xml:space="preserve"> </v>
      </c>
      <c r="AA391" s="86"/>
      <c r="AB391" s="91"/>
      <c r="AC391" s="91"/>
      <c r="AD391" s="91"/>
      <c r="AE391" s="91"/>
      <c r="AF391" s="91"/>
    </row>
    <row r="392" spans="1:32" ht="21.25" customHeight="1" x14ac:dyDescent="0.15">
      <c r="A392" s="23"/>
      <c r="B392" s="100" t="str">
        <f>IFERROR(VLOOKUP($A392,'The List'!$B1:$AS665,3,FALSE)," ")</f>
        <v xml:space="preserve"> </v>
      </c>
      <c r="C392" s="102" t="str">
        <f>IFERROR(VLOOKUP($A392,'The List'!$B1:$AS665,4,FALSE)," ")</f>
        <v xml:space="preserve"> </v>
      </c>
      <c r="D392" s="65" t="str">
        <f>IFERROR(VLOOKUP($A392,'The List'!$B1:$AS665,5,FALSE)," ")</f>
        <v xml:space="preserve"> </v>
      </c>
      <c r="E392" s="65" t="str">
        <f>IFERROR(VLOOKUP($A392,'The List'!$B1:$AS665,6,FALSE)," ")</f>
        <v xml:space="preserve"> </v>
      </c>
      <c r="F392" s="93" t="str">
        <f>IFERROR(VLOOKUP($A392,'The List'!$B1:$AS665,8,FALSE)," ")</f>
        <v xml:space="preserve"> </v>
      </c>
      <c r="G392" s="93" t="str">
        <f>IFERROR(VLOOKUP($A392,'The List'!$B1:$AS665,10,FALSE)," ")</f>
        <v xml:space="preserve"> </v>
      </c>
      <c r="H392" s="54"/>
      <c r="I392" s="83" t="str">
        <f>IFERROR(VLOOKUP($A392,'The List'!$B1:$AS665,16,FALSE)," ")</f>
        <v xml:space="preserve"> </v>
      </c>
      <c r="J392" s="83" t="str">
        <f>IFERROR(VLOOKUP($A392,'The List'!$B1:$AS665,17,FALSE)," ")</f>
        <v xml:space="preserve"> </v>
      </c>
      <c r="K392" s="83" t="str">
        <f>IFERROR(VLOOKUP($A392,'The List'!$B1:$AS665,18,FALSE)," ")</f>
        <v xml:space="preserve"> </v>
      </c>
      <c r="L392" s="83" t="str">
        <f>IFERROR(VLOOKUP($A392,'The List'!$B1:$AS665,19,FALSE)," ")</f>
        <v xml:space="preserve"> </v>
      </c>
      <c r="M392" s="83" t="str">
        <f>IFERROR(VLOOKUP($A392,'The List'!$B1:$AS665,20,FALSE)," ")</f>
        <v xml:space="preserve"> </v>
      </c>
      <c r="N392" s="83" t="str">
        <f>IFERROR(VLOOKUP($A392,'The List'!$B1:$AS665,21,FALSE)," ")</f>
        <v xml:space="preserve"> </v>
      </c>
      <c r="O392" s="83" t="str">
        <f>IFERROR(VLOOKUP($A392,'The List'!$B1:$AS665,22,FALSE)," ")</f>
        <v xml:space="preserve"> </v>
      </c>
      <c r="P392" s="83" t="str">
        <f>IFERROR(VLOOKUP($A392,'The List'!$B1:$AS665,23,FALSE)," ")</f>
        <v xml:space="preserve"> </v>
      </c>
      <c r="Q392" s="83" t="str">
        <f>IFERROR(VLOOKUP($A392,'The List'!$B1:$AS665,24,FALSE)," ")</f>
        <v xml:space="preserve"> </v>
      </c>
      <c r="R392" s="83" t="str">
        <f>IFERROR(VLOOKUP($A392,'The List'!$B1:$AS665,25,FALSE)," ")</f>
        <v xml:space="preserve"> </v>
      </c>
      <c r="S392" s="83" t="str">
        <f>IFERROR(VLOOKUP($A392,'The List'!$B1:$AS665,26,FALSE)," ")</f>
        <v xml:space="preserve"> </v>
      </c>
      <c r="T392" s="83" t="str">
        <f>IFERROR(VLOOKUP($A392,'The List'!$B1:$AS665,27,FALSE)," ")</f>
        <v xml:space="preserve"> </v>
      </c>
      <c r="U392" s="83" t="str">
        <f>IFERROR(VLOOKUP($A392,'The List'!$B1:$AS665,28,FALSE)," ")</f>
        <v xml:space="preserve"> </v>
      </c>
      <c r="V392" s="83" t="str">
        <f>IFERROR(VLOOKUP($A392,'The List'!$B1:$AS665,29,FALSE)," ")</f>
        <v xml:space="preserve"> </v>
      </c>
      <c r="W392" s="83" t="str">
        <f>IFERROR(VLOOKUP($A392,'The List'!$B1:$AS665,30,FALSE)," ")</f>
        <v xml:space="preserve"> </v>
      </c>
      <c r="X392" s="83" t="str">
        <f>IFERROR(VLOOKUP($A392,'The List'!$B1:$AS665,31,FALSE)," ")</f>
        <v xml:space="preserve"> </v>
      </c>
      <c r="Y392" s="83" t="str">
        <f>IFERROR(VLOOKUP($A392,'The List'!$B1:$AS665,32,FALSE)," ")</f>
        <v xml:space="preserve"> </v>
      </c>
      <c r="Z392" s="83" t="str">
        <f>IFERROR(VLOOKUP($A392,'The List'!$B1:$AS665,33,FALSE)," ")</f>
        <v xml:space="preserve"> </v>
      </c>
      <c r="AA392" s="86"/>
      <c r="AB392" s="91"/>
      <c r="AC392" s="91"/>
      <c r="AD392" s="91"/>
      <c r="AE392" s="91"/>
      <c r="AF392" s="91"/>
    </row>
    <row r="393" spans="1:32" ht="21.25" customHeight="1" x14ac:dyDescent="0.15">
      <c r="A393" s="23"/>
      <c r="B393" s="100" t="str">
        <f>IFERROR(VLOOKUP($A393,'The List'!$B1:$AS665,3,FALSE)," ")</f>
        <v xml:space="preserve"> </v>
      </c>
      <c r="C393" s="102" t="str">
        <f>IFERROR(VLOOKUP($A393,'The List'!$B1:$AS665,4,FALSE)," ")</f>
        <v xml:space="preserve"> </v>
      </c>
      <c r="D393" s="65" t="str">
        <f>IFERROR(VLOOKUP($A393,'The List'!$B1:$AS665,5,FALSE)," ")</f>
        <v xml:space="preserve"> </v>
      </c>
      <c r="E393" s="65" t="str">
        <f>IFERROR(VLOOKUP($A393,'The List'!$B1:$AS665,6,FALSE)," ")</f>
        <v xml:space="preserve"> </v>
      </c>
      <c r="F393" s="93" t="str">
        <f>IFERROR(VLOOKUP($A393,'The List'!$B1:$AS665,8,FALSE)," ")</f>
        <v xml:space="preserve"> </v>
      </c>
      <c r="G393" s="93" t="str">
        <f>IFERROR(VLOOKUP($A393,'The List'!$B1:$AS665,10,FALSE)," ")</f>
        <v xml:space="preserve"> </v>
      </c>
      <c r="H393" s="54"/>
      <c r="I393" s="83" t="str">
        <f>IFERROR(VLOOKUP($A393,'The List'!$B1:$AS665,16,FALSE)," ")</f>
        <v xml:space="preserve"> </v>
      </c>
      <c r="J393" s="83" t="str">
        <f>IFERROR(VLOOKUP($A393,'The List'!$B1:$AS665,17,FALSE)," ")</f>
        <v xml:space="preserve"> </v>
      </c>
      <c r="K393" s="83" t="str">
        <f>IFERROR(VLOOKUP($A393,'The List'!$B1:$AS665,18,FALSE)," ")</f>
        <v xml:space="preserve"> </v>
      </c>
      <c r="L393" s="83" t="str">
        <f>IFERROR(VLOOKUP($A393,'The List'!$B1:$AS665,19,FALSE)," ")</f>
        <v xml:space="preserve"> </v>
      </c>
      <c r="M393" s="83" t="str">
        <f>IFERROR(VLOOKUP($A393,'The List'!$B1:$AS665,20,FALSE)," ")</f>
        <v xml:space="preserve"> </v>
      </c>
      <c r="N393" s="83" t="str">
        <f>IFERROR(VLOOKUP($A393,'The List'!$B1:$AS665,21,FALSE)," ")</f>
        <v xml:space="preserve"> </v>
      </c>
      <c r="O393" s="83" t="str">
        <f>IFERROR(VLOOKUP($A393,'The List'!$B1:$AS665,22,FALSE)," ")</f>
        <v xml:space="preserve"> </v>
      </c>
      <c r="P393" s="83" t="str">
        <f>IFERROR(VLOOKUP($A393,'The List'!$B1:$AS665,23,FALSE)," ")</f>
        <v xml:space="preserve"> </v>
      </c>
      <c r="Q393" s="83" t="str">
        <f>IFERROR(VLOOKUP($A393,'The List'!$B1:$AS665,24,FALSE)," ")</f>
        <v xml:space="preserve"> </v>
      </c>
      <c r="R393" s="83" t="str">
        <f>IFERROR(VLOOKUP($A393,'The List'!$B1:$AS665,25,FALSE)," ")</f>
        <v xml:space="preserve"> </v>
      </c>
      <c r="S393" s="83" t="str">
        <f>IFERROR(VLOOKUP($A393,'The List'!$B1:$AS665,26,FALSE)," ")</f>
        <v xml:space="preserve"> </v>
      </c>
      <c r="T393" s="83" t="str">
        <f>IFERROR(VLOOKUP($A393,'The List'!$B1:$AS665,27,FALSE)," ")</f>
        <v xml:space="preserve"> </v>
      </c>
      <c r="U393" s="83" t="str">
        <f>IFERROR(VLOOKUP($A393,'The List'!$B1:$AS665,28,FALSE)," ")</f>
        <v xml:space="preserve"> </v>
      </c>
      <c r="V393" s="83" t="str">
        <f>IFERROR(VLOOKUP($A393,'The List'!$B1:$AS665,29,FALSE)," ")</f>
        <v xml:space="preserve"> </v>
      </c>
      <c r="W393" s="83" t="str">
        <f>IFERROR(VLOOKUP($A393,'The List'!$B1:$AS665,30,FALSE)," ")</f>
        <v xml:space="preserve"> </v>
      </c>
      <c r="X393" s="83" t="str">
        <f>IFERROR(VLOOKUP($A393,'The List'!$B1:$AS665,31,FALSE)," ")</f>
        <v xml:space="preserve"> </v>
      </c>
      <c r="Y393" s="83" t="str">
        <f>IFERROR(VLOOKUP($A393,'The List'!$B1:$AS665,32,FALSE)," ")</f>
        <v xml:space="preserve"> </v>
      </c>
      <c r="Z393" s="83" t="str">
        <f>IFERROR(VLOOKUP($A393,'The List'!$B1:$AS665,33,FALSE)," ")</f>
        <v xml:space="preserve"> </v>
      </c>
      <c r="AA393" s="86"/>
      <c r="AB393" s="91"/>
      <c r="AC393" s="91"/>
      <c r="AD393" s="91"/>
      <c r="AE393" s="91"/>
      <c r="AF393" s="91"/>
    </row>
    <row r="394" spans="1:32" ht="21.25" customHeight="1" x14ac:dyDescent="0.15">
      <c r="A394" s="23"/>
      <c r="B394" s="100" t="str">
        <f>IFERROR(VLOOKUP($A394,'The List'!$B1:$AS665,3,FALSE)," ")</f>
        <v xml:space="preserve"> </v>
      </c>
      <c r="C394" s="102" t="str">
        <f>IFERROR(VLOOKUP($A394,'The List'!$B1:$AS665,4,FALSE)," ")</f>
        <v xml:space="preserve"> </v>
      </c>
      <c r="D394" s="65" t="str">
        <f>IFERROR(VLOOKUP($A394,'The List'!$B1:$AS665,5,FALSE)," ")</f>
        <v xml:space="preserve"> </v>
      </c>
      <c r="E394" s="65" t="str">
        <f>IFERROR(VLOOKUP($A394,'The List'!$B1:$AS665,6,FALSE)," ")</f>
        <v xml:space="preserve"> </v>
      </c>
      <c r="F394" s="93" t="str">
        <f>IFERROR(VLOOKUP($A394,'The List'!$B1:$AS665,8,FALSE)," ")</f>
        <v xml:space="preserve"> </v>
      </c>
      <c r="G394" s="93" t="str">
        <f>IFERROR(VLOOKUP($A394,'The List'!$B1:$AS665,10,FALSE)," ")</f>
        <v xml:space="preserve"> </v>
      </c>
      <c r="H394" s="54"/>
      <c r="I394" s="83" t="str">
        <f>IFERROR(VLOOKUP($A394,'The List'!$B1:$AS665,16,FALSE)," ")</f>
        <v xml:space="preserve"> </v>
      </c>
      <c r="J394" s="83" t="str">
        <f>IFERROR(VLOOKUP($A394,'The List'!$B1:$AS665,17,FALSE)," ")</f>
        <v xml:space="preserve"> </v>
      </c>
      <c r="K394" s="83" t="str">
        <f>IFERROR(VLOOKUP($A394,'The List'!$B1:$AS665,18,FALSE)," ")</f>
        <v xml:space="preserve"> </v>
      </c>
      <c r="L394" s="83" t="str">
        <f>IFERROR(VLOOKUP($A394,'The List'!$B1:$AS665,19,FALSE)," ")</f>
        <v xml:space="preserve"> </v>
      </c>
      <c r="M394" s="83" t="str">
        <f>IFERROR(VLOOKUP($A394,'The List'!$B1:$AS665,20,FALSE)," ")</f>
        <v xml:space="preserve"> </v>
      </c>
      <c r="N394" s="83" t="str">
        <f>IFERROR(VLOOKUP($A394,'The List'!$B1:$AS665,21,FALSE)," ")</f>
        <v xml:space="preserve"> </v>
      </c>
      <c r="O394" s="83" t="str">
        <f>IFERROR(VLOOKUP($A394,'The List'!$B1:$AS665,22,FALSE)," ")</f>
        <v xml:space="preserve"> </v>
      </c>
      <c r="P394" s="83" t="str">
        <f>IFERROR(VLOOKUP($A394,'The List'!$B1:$AS665,23,FALSE)," ")</f>
        <v xml:space="preserve"> </v>
      </c>
      <c r="Q394" s="83" t="str">
        <f>IFERROR(VLOOKUP($A394,'The List'!$B1:$AS665,24,FALSE)," ")</f>
        <v xml:space="preserve"> </v>
      </c>
      <c r="R394" s="83" t="str">
        <f>IFERROR(VLOOKUP($A394,'The List'!$B1:$AS665,25,FALSE)," ")</f>
        <v xml:space="preserve"> </v>
      </c>
      <c r="S394" s="83" t="str">
        <f>IFERROR(VLOOKUP($A394,'The List'!$B1:$AS665,26,FALSE)," ")</f>
        <v xml:space="preserve"> </v>
      </c>
      <c r="T394" s="83" t="str">
        <f>IFERROR(VLOOKUP($A394,'The List'!$B1:$AS665,27,FALSE)," ")</f>
        <v xml:space="preserve"> </v>
      </c>
      <c r="U394" s="83" t="str">
        <f>IFERROR(VLOOKUP($A394,'The List'!$B1:$AS665,28,FALSE)," ")</f>
        <v xml:space="preserve"> </v>
      </c>
      <c r="V394" s="83" t="str">
        <f>IFERROR(VLOOKUP($A394,'The List'!$B1:$AS665,29,FALSE)," ")</f>
        <v xml:space="preserve"> </v>
      </c>
      <c r="W394" s="83" t="str">
        <f>IFERROR(VLOOKUP($A394,'The List'!$B1:$AS665,30,FALSE)," ")</f>
        <v xml:space="preserve"> </v>
      </c>
      <c r="X394" s="83" t="str">
        <f>IFERROR(VLOOKUP($A394,'The List'!$B1:$AS665,31,FALSE)," ")</f>
        <v xml:space="preserve"> </v>
      </c>
      <c r="Y394" s="83" t="str">
        <f>IFERROR(VLOOKUP($A394,'The List'!$B1:$AS665,32,FALSE)," ")</f>
        <v xml:space="preserve"> </v>
      </c>
      <c r="Z394" s="83" t="str">
        <f>IFERROR(VLOOKUP($A394,'The List'!$B1:$AS665,33,FALSE)," ")</f>
        <v xml:space="preserve"> </v>
      </c>
      <c r="AA394" s="86"/>
      <c r="AB394" s="91"/>
      <c r="AC394" s="91"/>
      <c r="AD394" s="91"/>
      <c r="AE394" s="91"/>
      <c r="AF394" s="91"/>
    </row>
    <row r="395" spans="1:32" ht="21.25" customHeight="1" x14ac:dyDescent="0.15">
      <c r="A395" s="23"/>
      <c r="B395" s="100" t="str">
        <f>IFERROR(VLOOKUP($A395,'The List'!$B1:$AS665,3,FALSE)," ")</f>
        <v xml:space="preserve"> </v>
      </c>
      <c r="C395" s="102" t="str">
        <f>IFERROR(VLOOKUP($A395,'The List'!$B1:$AS665,4,FALSE)," ")</f>
        <v xml:space="preserve"> </v>
      </c>
      <c r="D395" s="65" t="str">
        <f>IFERROR(VLOOKUP($A395,'The List'!$B1:$AS665,5,FALSE)," ")</f>
        <v xml:space="preserve"> </v>
      </c>
      <c r="E395" s="65" t="str">
        <f>IFERROR(VLOOKUP($A395,'The List'!$B1:$AS665,6,FALSE)," ")</f>
        <v xml:space="preserve"> </v>
      </c>
      <c r="F395" s="93" t="str">
        <f>IFERROR(VLOOKUP($A395,'The List'!$B1:$AS665,8,FALSE)," ")</f>
        <v xml:space="preserve"> </v>
      </c>
      <c r="G395" s="93" t="str">
        <f>IFERROR(VLOOKUP($A395,'The List'!$B1:$AS665,10,FALSE)," ")</f>
        <v xml:space="preserve"> </v>
      </c>
      <c r="H395" s="54"/>
      <c r="I395" s="83" t="str">
        <f>IFERROR(VLOOKUP($A395,'The List'!$B1:$AS665,16,FALSE)," ")</f>
        <v xml:space="preserve"> </v>
      </c>
      <c r="J395" s="83" t="str">
        <f>IFERROR(VLOOKUP($A395,'The List'!$B1:$AS665,17,FALSE)," ")</f>
        <v xml:space="preserve"> </v>
      </c>
      <c r="K395" s="83" t="str">
        <f>IFERROR(VLOOKUP($A395,'The List'!$B1:$AS665,18,FALSE)," ")</f>
        <v xml:space="preserve"> </v>
      </c>
      <c r="L395" s="83" t="str">
        <f>IFERROR(VLOOKUP($A395,'The List'!$B1:$AS665,19,FALSE)," ")</f>
        <v xml:space="preserve"> </v>
      </c>
      <c r="M395" s="83" t="str">
        <f>IFERROR(VLOOKUP($A395,'The List'!$B1:$AS665,20,FALSE)," ")</f>
        <v xml:space="preserve"> </v>
      </c>
      <c r="N395" s="83" t="str">
        <f>IFERROR(VLOOKUP($A395,'The List'!$B1:$AS665,21,FALSE)," ")</f>
        <v xml:space="preserve"> </v>
      </c>
      <c r="O395" s="83" t="str">
        <f>IFERROR(VLOOKUP($A395,'The List'!$B1:$AS665,22,FALSE)," ")</f>
        <v xml:space="preserve"> </v>
      </c>
      <c r="P395" s="83" t="str">
        <f>IFERROR(VLOOKUP($A395,'The List'!$B1:$AS665,23,FALSE)," ")</f>
        <v xml:space="preserve"> </v>
      </c>
      <c r="Q395" s="83" t="str">
        <f>IFERROR(VLOOKUP($A395,'The List'!$B1:$AS665,24,FALSE)," ")</f>
        <v xml:space="preserve"> </v>
      </c>
      <c r="R395" s="83" t="str">
        <f>IFERROR(VLOOKUP($A395,'The List'!$B1:$AS665,25,FALSE)," ")</f>
        <v xml:space="preserve"> </v>
      </c>
      <c r="S395" s="83" t="str">
        <f>IFERROR(VLOOKUP($A395,'The List'!$B1:$AS665,26,FALSE)," ")</f>
        <v xml:space="preserve"> </v>
      </c>
      <c r="T395" s="83" t="str">
        <f>IFERROR(VLOOKUP($A395,'The List'!$B1:$AS665,27,FALSE)," ")</f>
        <v xml:space="preserve"> </v>
      </c>
      <c r="U395" s="83" t="str">
        <f>IFERROR(VLOOKUP($A395,'The List'!$B1:$AS665,28,FALSE)," ")</f>
        <v xml:space="preserve"> </v>
      </c>
      <c r="V395" s="83" t="str">
        <f>IFERROR(VLOOKUP($A395,'The List'!$B1:$AS665,29,FALSE)," ")</f>
        <v xml:space="preserve"> </v>
      </c>
      <c r="W395" s="83" t="str">
        <f>IFERROR(VLOOKUP($A395,'The List'!$B1:$AS665,30,FALSE)," ")</f>
        <v xml:space="preserve"> </v>
      </c>
      <c r="X395" s="83" t="str">
        <f>IFERROR(VLOOKUP($A395,'The List'!$B1:$AS665,31,FALSE)," ")</f>
        <v xml:space="preserve"> </v>
      </c>
      <c r="Y395" s="83" t="str">
        <f>IFERROR(VLOOKUP($A395,'The List'!$B1:$AS665,32,FALSE)," ")</f>
        <v xml:space="preserve"> </v>
      </c>
      <c r="Z395" s="83" t="str">
        <f>IFERROR(VLOOKUP($A395,'The List'!$B1:$AS665,33,FALSE)," ")</f>
        <v xml:space="preserve"> </v>
      </c>
      <c r="AA395" s="86"/>
      <c r="AB395" s="91"/>
      <c r="AC395" s="91"/>
      <c r="AD395" s="91"/>
      <c r="AE395" s="91"/>
      <c r="AF395" s="91"/>
    </row>
    <row r="396" spans="1:32" ht="21.25" customHeight="1" x14ac:dyDescent="0.15">
      <c r="A396" s="23"/>
      <c r="B396" s="100" t="str">
        <f>IFERROR(VLOOKUP($A396,'The List'!$B1:$AS665,3,FALSE)," ")</f>
        <v xml:space="preserve"> </v>
      </c>
      <c r="C396" s="102" t="str">
        <f>IFERROR(VLOOKUP($A396,'The List'!$B1:$AS665,4,FALSE)," ")</f>
        <v xml:space="preserve"> </v>
      </c>
      <c r="D396" s="65" t="str">
        <f>IFERROR(VLOOKUP($A396,'The List'!$B1:$AS665,5,FALSE)," ")</f>
        <v xml:space="preserve"> </v>
      </c>
      <c r="E396" s="65" t="str">
        <f>IFERROR(VLOOKUP($A396,'The List'!$B1:$AS665,6,FALSE)," ")</f>
        <v xml:space="preserve"> </v>
      </c>
      <c r="F396" s="93" t="str">
        <f>IFERROR(VLOOKUP($A396,'The List'!$B1:$AS665,8,FALSE)," ")</f>
        <v xml:space="preserve"> </v>
      </c>
      <c r="G396" s="93" t="str">
        <f>IFERROR(VLOOKUP($A396,'The List'!$B1:$AS665,10,FALSE)," ")</f>
        <v xml:space="preserve"> </v>
      </c>
      <c r="H396" s="54"/>
      <c r="I396" s="83" t="str">
        <f>IFERROR(VLOOKUP($A396,'The List'!$B1:$AS665,16,FALSE)," ")</f>
        <v xml:space="preserve"> </v>
      </c>
      <c r="J396" s="83" t="str">
        <f>IFERROR(VLOOKUP($A396,'The List'!$B1:$AS665,17,FALSE)," ")</f>
        <v xml:space="preserve"> </v>
      </c>
      <c r="K396" s="83" t="str">
        <f>IFERROR(VLOOKUP($A396,'The List'!$B1:$AS665,18,FALSE)," ")</f>
        <v xml:space="preserve"> </v>
      </c>
      <c r="L396" s="83" t="str">
        <f>IFERROR(VLOOKUP($A396,'The List'!$B1:$AS665,19,FALSE)," ")</f>
        <v xml:space="preserve"> </v>
      </c>
      <c r="M396" s="83" t="str">
        <f>IFERROR(VLOOKUP($A396,'The List'!$B1:$AS665,20,FALSE)," ")</f>
        <v xml:space="preserve"> </v>
      </c>
      <c r="N396" s="83" t="str">
        <f>IFERROR(VLOOKUP($A396,'The List'!$B1:$AS665,21,FALSE)," ")</f>
        <v xml:space="preserve"> </v>
      </c>
      <c r="O396" s="83" t="str">
        <f>IFERROR(VLOOKUP($A396,'The List'!$B1:$AS665,22,FALSE)," ")</f>
        <v xml:space="preserve"> </v>
      </c>
      <c r="P396" s="83" t="str">
        <f>IFERROR(VLOOKUP($A396,'The List'!$B1:$AS665,23,FALSE)," ")</f>
        <v xml:space="preserve"> </v>
      </c>
      <c r="Q396" s="83" t="str">
        <f>IFERROR(VLOOKUP($A396,'The List'!$B1:$AS665,24,FALSE)," ")</f>
        <v xml:space="preserve"> </v>
      </c>
      <c r="R396" s="83" t="str">
        <f>IFERROR(VLOOKUP($A396,'The List'!$B1:$AS665,25,FALSE)," ")</f>
        <v xml:space="preserve"> </v>
      </c>
      <c r="S396" s="83" t="str">
        <f>IFERROR(VLOOKUP($A396,'The List'!$B1:$AS665,26,FALSE)," ")</f>
        <v xml:space="preserve"> </v>
      </c>
      <c r="T396" s="83" t="str">
        <f>IFERROR(VLOOKUP($A396,'The List'!$B1:$AS665,27,FALSE)," ")</f>
        <v xml:space="preserve"> </v>
      </c>
      <c r="U396" s="83" t="str">
        <f>IFERROR(VLOOKUP($A396,'The List'!$B1:$AS665,28,FALSE)," ")</f>
        <v xml:space="preserve"> </v>
      </c>
      <c r="V396" s="83" t="str">
        <f>IFERROR(VLOOKUP($A396,'The List'!$B1:$AS665,29,FALSE)," ")</f>
        <v xml:space="preserve"> </v>
      </c>
      <c r="W396" s="83" t="str">
        <f>IFERROR(VLOOKUP($A396,'The List'!$B1:$AS665,30,FALSE)," ")</f>
        <v xml:space="preserve"> </v>
      </c>
      <c r="X396" s="83" t="str">
        <f>IFERROR(VLOOKUP($A396,'The List'!$B1:$AS665,31,FALSE)," ")</f>
        <v xml:space="preserve"> </v>
      </c>
      <c r="Y396" s="83" t="str">
        <f>IFERROR(VLOOKUP($A396,'The List'!$B1:$AS665,32,FALSE)," ")</f>
        <v xml:space="preserve"> </v>
      </c>
      <c r="Z396" s="83" t="str">
        <f>IFERROR(VLOOKUP($A396,'The List'!$B1:$AS665,33,FALSE)," ")</f>
        <v xml:space="preserve"> </v>
      </c>
      <c r="AA396" s="86"/>
      <c r="AB396" s="91"/>
      <c r="AC396" s="91"/>
      <c r="AD396" s="91"/>
      <c r="AE396" s="91"/>
      <c r="AF396" s="91"/>
    </row>
    <row r="397" spans="1:32" ht="21.25" customHeight="1" x14ac:dyDescent="0.15">
      <c r="A397" s="23"/>
      <c r="B397" s="100" t="str">
        <f>IFERROR(VLOOKUP($A397,'The List'!$B1:$AS665,3,FALSE)," ")</f>
        <v xml:space="preserve"> </v>
      </c>
      <c r="C397" s="102" t="str">
        <f>IFERROR(VLOOKUP($A397,'The List'!$B1:$AS665,4,FALSE)," ")</f>
        <v xml:space="preserve"> </v>
      </c>
      <c r="D397" s="65" t="str">
        <f>IFERROR(VLOOKUP($A397,'The List'!$B1:$AS665,5,FALSE)," ")</f>
        <v xml:space="preserve"> </v>
      </c>
      <c r="E397" s="65" t="str">
        <f>IFERROR(VLOOKUP($A397,'The List'!$B1:$AS665,6,FALSE)," ")</f>
        <v xml:space="preserve"> </v>
      </c>
      <c r="F397" s="93" t="str">
        <f>IFERROR(VLOOKUP($A397,'The List'!$B1:$AS665,8,FALSE)," ")</f>
        <v xml:space="preserve"> </v>
      </c>
      <c r="G397" s="93" t="str">
        <f>IFERROR(VLOOKUP($A397,'The List'!$B1:$AS665,10,FALSE)," ")</f>
        <v xml:space="preserve"> </v>
      </c>
      <c r="H397" s="54"/>
      <c r="I397" s="83" t="str">
        <f>IFERROR(VLOOKUP($A397,'The List'!$B1:$AS665,16,FALSE)," ")</f>
        <v xml:space="preserve"> </v>
      </c>
      <c r="J397" s="83" t="str">
        <f>IFERROR(VLOOKUP($A397,'The List'!$B1:$AS665,17,FALSE)," ")</f>
        <v xml:space="preserve"> </v>
      </c>
      <c r="K397" s="83" t="str">
        <f>IFERROR(VLOOKUP($A397,'The List'!$B1:$AS665,18,FALSE)," ")</f>
        <v xml:space="preserve"> </v>
      </c>
      <c r="L397" s="83" t="str">
        <f>IFERROR(VLOOKUP($A397,'The List'!$B1:$AS665,19,FALSE)," ")</f>
        <v xml:space="preserve"> </v>
      </c>
      <c r="M397" s="83" t="str">
        <f>IFERROR(VLOOKUP($A397,'The List'!$B1:$AS665,20,FALSE)," ")</f>
        <v xml:space="preserve"> </v>
      </c>
      <c r="N397" s="83" t="str">
        <f>IFERROR(VLOOKUP($A397,'The List'!$B1:$AS665,21,FALSE)," ")</f>
        <v xml:space="preserve"> </v>
      </c>
      <c r="O397" s="83" t="str">
        <f>IFERROR(VLOOKUP($A397,'The List'!$B1:$AS665,22,FALSE)," ")</f>
        <v xml:space="preserve"> </v>
      </c>
      <c r="P397" s="83" t="str">
        <f>IFERROR(VLOOKUP($A397,'The List'!$B1:$AS665,23,FALSE)," ")</f>
        <v xml:space="preserve"> </v>
      </c>
      <c r="Q397" s="83" t="str">
        <f>IFERROR(VLOOKUP($A397,'The List'!$B1:$AS665,24,FALSE)," ")</f>
        <v xml:space="preserve"> </v>
      </c>
      <c r="R397" s="83" t="str">
        <f>IFERROR(VLOOKUP($A397,'The List'!$B1:$AS665,25,FALSE)," ")</f>
        <v xml:space="preserve"> </v>
      </c>
      <c r="S397" s="83" t="str">
        <f>IFERROR(VLOOKUP($A397,'The List'!$B1:$AS665,26,FALSE)," ")</f>
        <v xml:space="preserve"> </v>
      </c>
      <c r="T397" s="83" t="str">
        <f>IFERROR(VLOOKUP($A397,'The List'!$B1:$AS665,27,FALSE)," ")</f>
        <v xml:space="preserve"> </v>
      </c>
      <c r="U397" s="83" t="str">
        <f>IFERROR(VLOOKUP($A397,'The List'!$B1:$AS665,28,FALSE)," ")</f>
        <v xml:space="preserve"> </v>
      </c>
      <c r="V397" s="83" t="str">
        <f>IFERROR(VLOOKUP($A397,'The List'!$B1:$AS665,29,FALSE)," ")</f>
        <v xml:space="preserve"> </v>
      </c>
      <c r="W397" s="83" t="str">
        <f>IFERROR(VLOOKUP($A397,'The List'!$B1:$AS665,30,FALSE)," ")</f>
        <v xml:space="preserve"> </v>
      </c>
      <c r="X397" s="83" t="str">
        <f>IFERROR(VLOOKUP($A397,'The List'!$B1:$AS665,31,FALSE)," ")</f>
        <v xml:space="preserve"> </v>
      </c>
      <c r="Y397" s="83" t="str">
        <f>IFERROR(VLOOKUP($A397,'The List'!$B1:$AS665,32,FALSE)," ")</f>
        <v xml:space="preserve"> </v>
      </c>
      <c r="Z397" s="83" t="str">
        <f>IFERROR(VLOOKUP($A397,'The List'!$B1:$AS665,33,FALSE)," ")</f>
        <v xml:space="preserve"> </v>
      </c>
      <c r="AA397" s="86"/>
      <c r="AB397" s="91"/>
      <c r="AC397" s="91"/>
      <c r="AD397" s="91"/>
      <c r="AE397" s="91"/>
      <c r="AF397" s="91"/>
    </row>
    <row r="398" spans="1:32" ht="21.25" customHeight="1" x14ac:dyDescent="0.15">
      <c r="A398" s="104"/>
      <c r="B398" s="105" t="str">
        <f>IFERROR(VLOOKUP($A398,'The List'!$B1:$AS665,3,FALSE)," ")</f>
        <v xml:space="preserve"> </v>
      </c>
      <c r="C398" s="106" t="str">
        <f>IFERROR(VLOOKUP($A398,'The List'!$B1:$AS665,4,FALSE)," ")</f>
        <v xml:space="preserve"> </v>
      </c>
      <c r="D398" s="107" t="str">
        <f>IFERROR(VLOOKUP($A398,'The List'!$B1:$AS665,5,FALSE)," ")</f>
        <v xml:space="preserve"> </v>
      </c>
      <c r="E398" s="107" t="str">
        <f>IFERROR(VLOOKUP($A398,'The List'!$B1:$AS665,6,FALSE)," ")</f>
        <v xml:space="preserve"> </v>
      </c>
      <c r="F398" s="108" t="str">
        <f>IFERROR(VLOOKUP($A398,'The List'!$B1:$AS665,8,FALSE)," ")</f>
        <v xml:space="preserve"> </v>
      </c>
      <c r="G398" s="108" t="str">
        <f>IFERROR(VLOOKUP($A398,'The List'!$B1:$AS665,10,FALSE)," ")</f>
        <v xml:space="preserve"> </v>
      </c>
      <c r="H398" s="109"/>
      <c r="I398" s="110" t="str">
        <f>IFERROR(VLOOKUP($A398,'The List'!$B1:$AS665,16,FALSE)," ")</f>
        <v xml:space="preserve"> </v>
      </c>
      <c r="J398" s="110" t="str">
        <f>IFERROR(VLOOKUP($A398,'The List'!$B1:$AS665,17,FALSE)," ")</f>
        <v xml:space="preserve"> </v>
      </c>
      <c r="K398" s="110" t="str">
        <f>IFERROR(VLOOKUP($A398,'The List'!$B1:$AS665,18,FALSE)," ")</f>
        <v xml:space="preserve"> </v>
      </c>
      <c r="L398" s="110" t="str">
        <f>IFERROR(VLOOKUP($A398,'The List'!$B1:$AS665,19,FALSE)," ")</f>
        <v xml:space="preserve"> </v>
      </c>
      <c r="M398" s="110" t="str">
        <f>IFERROR(VLOOKUP($A398,'The List'!$B1:$AS665,20,FALSE)," ")</f>
        <v xml:space="preserve"> </v>
      </c>
      <c r="N398" s="110" t="str">
        <f>IFERROR(VLOOKUP($A398,'The List'!$B1:$AS665,21,FALSE)," ")</f>
        <v xml:space="preserve"> </v>
      </c>
      <c r="O398" s="110" t="str">
        <f>IFERROR(VLOOKUP($A398,'The List'!$B1:$AS665,22,FALSE)," ")</f>
        <v xml:space="preserve"> </v>
      </c>
      <c r="P398" s="110" t="str">
        <f>IFERROR(VLOOKUP($A398,'The List'!$B1:$AS665,23,FALSE)," ")</f>
        <v xml:space="preserve"> </v>
      </c>
      <c r="Q398" s="110" t="str">
        <f>IFERROR(VLOOKUP($A398,'The List'!$B1:$AS665,24,FALSE)," ")</f>
        <v xml:space="preserve"> </v>
      </c>
      <c r="R398" s="110" t="str">
        <f>IFERROR(VLOOKUP($A398,'The List'!$B1:$AS665,25,FALSE)," ")</f>
        <v xml:space="preserve"> </v>
      </c>
      <c r="S398" s="110" t="str">
        <f>IFERROR(VLOOKUP($A398,'The List'!$B1:$AS665,26,FALSE)," ")</f>
        <v xml:space="preserve"> </v>
      </c>
      <c r="T398" s="110" t="str">
        <f>IFERROR(VLOOKUP($A398,'The List'!$B1:$AS665,27,FALSE)," ")</f>
        <v xml:space="preserve"> </v>
      </c>
      <c r="U398" s="110" t="str">
        <f>IFERROR(VLOOKUP($A398,'The List'!$B1:$AS665,28,FALSE)," ")</f>
        <v xml:space="preserve"> </v>
      </c>
      <c r="V398" s="110" t="str">
        <f>IFERROR(VLOOKUP($A398,'The List'!$B1:$AS665,29,FALSE)," ")</f>
        <v xml:space="preserve"> </v>
      </c>
      <c r="W398" s="110" t="str">
        <f>IFERROR(VLOOKUP($A398,'The List'!$B1:$AS665,30,FALSE)," ")</f>
        <v xml:space="preserve"> </v>
      </c>
      <c r="X398" s="110" t="str">
        <f>IFERROR(VLOOKUP($A398,'The List'!$B1:$AS665,31,FALSE)," ")</f>
        <v xml:space="preserve"> </v>
      </c>
      <c r="Y398" s="110" t="str">
        <f>IFERROR(VLOOKUP($A398,'The List'!$B1:$AS665,32,FALSE)," ")</f>
        <v xml:space="preserve"> </v>
      </c>
      <c r="Z398" s="110" t="str">
        <f>IFERROR(VLOOKUP($A398,'The List'!$B1:$AS665,33,FALSE)," ")</f>
        <v xml:space="preserve"> </v>
      </c>
      <c r="AA398" s="86"/>
      <c r="AB398" s="91"/>
      <c r="AC398" s="91"/>
      <c r="AD398" s="91"/>
      <c r="AE398" s="91"/>
      <c r="AF398" s="91"/>
    </row>
    <row r="399" spans="1:32" ht="21.25" customHeight="1" x14ac:dyDescent="0.15">
      <c r="A399" s="111"/>
      <c r="B399" s="112"/>
      <c r="C399" s="113"/>
      <c r="D399" s="114"/>
      <c r="E399" s="146" t="str">
        <f>IFERROR(AVERAGE(E379:E398)," ")</f>
        <v xml:space="preserve"> </v>
      </c>
      <c r="F399" s="116">
        <f>SUM(F379:F398)</f>
        <v>0</v>
      </c>
      <c r="G399" s="116">
        <f>SUM(G379:G398)</f>
        <v>0</v>
      </c>
      <c r="H399" s="117"/>
      <c r="I399" s="118">
        <f>SUM(I379:I398)</f>
        <v>0</v>
      </c>
      <c r="J399" s="117" t="e">
        <f>AVERAGE(J379:J398)</f>
        <v>#DIV/0!</v>
      </c>
      <c r="K399" s="118">
        <f t="shared" ref="K399:Y399" si="26">SUM(K379:K398)</f>
        <v>0</v>
      </c>
      <c r="L399" s="118">
        <f t="shared" si="26"/>
        <v>0</v>
      </c>
      <c r="M399" s="118">
        <f t="shared" si="26"/>
        <v>0</v>
      </c>
      <c r="N399" s="118">
        <f t="shared" si="26"/>
        <v>0</v>
      </c>
      <c r="O399" s="118">
        <f t="shared" si="26"/>
        <v>0</v>
      </c>
      <c r="P399" s="118">
        <f t="shared" si="26"/>
        <v>0</v>
      </c>
      <c r="Q399" s="118">
        <f t="shared" si="26"/>
        <v>0</v>
      </c>
      <c r="R399" s="118">
        <f t="shared" si="26"/>
        <v>0</v>
      </c>
      <c r="S399" s="118">
        <f t="shared" si="26"/>
        <v>0</v>
      </c>
      <c r="T399" s="118">
        <f t="shared" si="26"/>
        <v>0</v>
      </c>
      <c r="U399" s="118">
        <f t="shared" si="26"/>
        <v>0</v>
      </c>
      <c r="V399" s="118">
        <f t="shared" si="26"/>
        <v>0</v>
      </c>
      <c r="W399" s="118">
        <f t="shared" si="26"/>
        <v>0</v>
      </c>
      <c r="X399" s="118">
        <f t="shared" si="26"/>
        <v>0</v>
      </c>
      <c r="Y399" s="118">
        <f t="shared" si="26"/>
        <v>0</v>
      </c>
      <c r="Z399" s="119">
        <f>IFERROR(X399/(X399+Y399),0)</f>
        <v>0</v>
      </c>
      <c r="AA399" s="86"/>
      <c r="AB399" s="120"/>
      <c r="AC399" s="120"/>
      <c r="AD399" s="120"/>
      <c r="AE399" s="120"/>
      <c r="AF399" s="120"/>
    </row>
    <row r="400" spans="1:32" ht="21.25" customHeight="1" x14ac:dyDescent="0.15">
      <c r="A400" s="34"/>
      <c r="B400" s="121"/>
      <c r="C400" s="122"/>
      <c r="D400" s="12"/>
      <c r="E400" s="12"/>
      <c r="F400" s="123"/>
      <c r="G400" s="124"/>
      <c r="H400" s="125"/>
      <c r="I400" s="12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91"/>
      <c r="AC400" s="91"/>
      <c r="AD400" s="91"/>
      <c r="AE400" s="91"/>
      <c r="AF400" s="91"/>
    </row>
    <row r="401" spans="1:32" ht="21.25" customHeight="1" x14ac:dyDescent="0.15">
      <c r="A401" s="37" t="s">
        <v>89</v>
      </c>
      <c r="B401" s="205" t="s">
        <v>91</v>
      </c>
      <c r="C401" s="195"/>
      <c r="D401" s="40" t="s">
        <v>92</v>
      </c>
      <c r="E401" s="40" t="s">
        <v>93</v>
      </c>
      <c r="F401" s="127" t="s">
        <v>95</v>
      </c>
      <c r="G401" s="127" t="s">
        <v>97</v>
      </c>
      <c r="H401" s="128"/>
      <c r="I401" s="129" t="s">
        <v>102</v>
      </c>
      <c r="J401" s="129" t="s">
        <v>118</v>
      </c>
      <c r="K401" s="129" t="s">
        <v>119</v>
      </c>
      <c r="L401" s="129" t="s">
        <v>120</v>
      </c>
      <c r="M401" s="129" t="s">
        <v>121</v>
      </c>
      <c r="N401" s="129" t="s">
        <v>122</v>
      </c>
      <c r="O401" s="129" t="s">
        <v>123</v>
      </c>
      <c r="P401" s="129" t="s">
        <v>124</v>
      </c>
      <c r="Q401" s="129" t="s">
        <v>125</v>
      </c>
      <c r="R401" s="86"/>
      <c r="S401" s="86"/>
      <c r="T401" s="86"/>
      <c r="U401" s="205" t="s">
        <v>809</v>
      </c>
      <c r="V401" s="206"/>
      <c r="W401" s="206"/>
      <c r="X401" s="205" t="s">
        <v>810</v>
      </c>
      <c r="Y401" s="206"/>
      <c r="Z401" s="206"/>
      <c r="AA401" s="86"/>
      <c r="AB401" s="86"/>
      <c r="AC401" s="86"/>
      <c r="AD401" s="86"/>
      <c r="AE401" s="86"/>
      <c r="AF401" s="86"/>
    </row>
    <row r="402" spans="1:32" ht="21.25" customHeight="1" x14ac:dyDescent="0.15">
      <c r="A402" s="147"/>
      <c r="B402" s="131" t="str">
        <f>IFERROR(VLOOKUP($A402,'The List'!$B1:$AS665,3,FALSE)," ")</f>
        <v xml:space="preserve"> </v>
      </c>
      <c r="C402" s="148" t="str">
        <f>IFERROR(VLOOKUP($A402,'The List'!$B1:$AS665,4,FALSE)," ")</f>
        <v xml:space="preserve"> </v>
      </c>
      <c r="D402" s="49" t="str">
        <f>IFERROR(VLOOKUP($A402,'The List'!$B1:$AS665,5,FALSE)," ")</f>
        <v xml:space="preserve"> </v>
      </c>
      <c r="E402" s="49" t="str">
        <f>IFERROR(VLOOKUP($A402,'The List'!$B1:$AS665,6,FALSE)," ")</f>
        <v xml:space="preserve"> </v>
      </c>
      <c r="F402" s="149" t="str">
        <f>IFERROR(VLOOKUP($A402,'The List'!$B1:$AS665,8,FALSE)," ")</f>
        <v xml:space="preserve"> </v>
      </c>
      <c r="G402" s="149" t="str">
        <f>IFERROR(VLOOKUP($A402,'The List'!$B1:$AS665,10,FALSE)," ")</f>
        <v xml:space="preserve"> </v>
      </c>
      <c r="H402" s="135"/>
      <c r="I402" s="150" t="str">
        <f>IFERROR(VLOOKUP($A402,'The List'!$B1:$AS665,35,FALSE)," ")</f>
        <v xml:space="preserve"> </v>
      </c>
      <c r="J402" s="150" t="str">
        <f>IFERROR(VLOOKUP($A402,'The List'!$B1:$AS665,36,FALSE)," ")</f>
        <v xml:space="preserve"> </v>
      </c>
      <c r="K402" s="150" t="str">
        <f>IFERROR(VLOOKUP($A402,'The List'!$B1:$AS665,37,FALSE)," ")</f>
        <v xml:space="preserve"> </v>
      </c>
      <c r="L402" s="150" t="str">
        <f>IFERROR(VLOOKUP($A402,'The List'!$B1:$AS665,38,FALSE)," ")</f>
        <v xml:space="preserve"> </v>
      </c>
      <c r="M402" s="150" t="str">
        <f>IFERROR(VLOOKUP($A402,'The List'!$B1:$AS665,39,FALSE)," ")</f>
        <v xml:space="preserve"> </v>
      </c>
      <c r="N402" s="150" t="str">
        <f>IFERROR(VLOOKUP($A402,'The List'!$B1:$AS665,40,FALSE)," ")</f>
        <v xml:space="preserve"> </v>
      </c>
      <c r="O402" s="150" t="str">
        <f>IFERROR(VLOOKUP($A402,'The List'!$B1:$AS665,41,FALSE)," ")</f>
        <v xml:space="preserve"> </v>
      </c>
      <c r="P402" s="150" t="str">
        <f>IFERROR(VLOOKUP($A402,'The List'!$B1:$AS665,42,FALSE)," ")</f>
        <v xml:space="preserve"> </v>
      </c>
      <c r="Q402" s="150" t="str">
        <f>IFERROR(VLOOKUP($A402,'The List'!$B1:$AS665,43,FALSE)," ")</f>
        <v xml:space="preserve"> </v>
      </c>
      <c r="R402" s="86"/>
      <c r="S402" s="86"/>
      <c r="T402" s="139" t="str">
        <f>A378</f>
        <v>TEAM 14</v>
      </c>
      <c r="U402" s="207">
        <f>F399+F405</f>
        <v>0</v>
      </c>
      <c r="V402" s="195"/>
      <c r="W402" s="195"/>
      <c r="X402" s="207">
        <f>G405+G399</f>
        <v>0</v>
      </c>
      <c r="Y402" s="195"/>
      <c r="Z402" s="195"/>
      <c r="AA402" s="86"/>
      <c r="AB402" s="86"/>
      <c r="AC402" s="86"/>
      <c r="AD402" s="86"/>
      <c r="AE402" s="86"/>
      <c r="AF402" s="86"/>
    </row>
    <row r="403" spans="1:32" ht="21.25" customHeight="1" x14ac:dyDescent="0.15">
      <c r="A403" s="23"/>
      <c r="B403" s="140" t="str">
        <f>IFERROR(VLOOKUP($A403,'The List'!$B1:$AS665,3,FALSE)," ")</f>
        <v xml:space="preserve"> </v>
      </c>
      <c r="C403" s="141" t="str">
        <f>IFERROR(VLOOKUP($A403,'The List'!$B1:$AS665,4,FALSE)," ")</f>
        <v xml:space="preserve"> </v>
      </c>
      <c r="D403" s="65" t="str">
        <f>IFERROR(VLOOKUP($A403,'The List'!$B1:$AS665,5,FALSE)," ")</f>
        <v xml:space="preserve"> </v>
      </c>
      <c r="E403" s="65" t="str">
        <f>IFERROR(VLOOKUP($A403,'The List'!$B1:$AS665,6,FALSE)," ")</f>
        <v xml:space="preserve"> </v>
      </c>
      <c r="F403" s="93" t="str">
        <f>IFERROR(VLOOKUP($A403,'The List'!$B1:$AS665,8,FALSE)," ")</f>
        <v xml:space="preserve"> </v>
      </c>
      <c r="G403" s="93" t="str">
        <f>IFERROR(VLOOKUP($A403,'The List'!$B1:$AS665,10,FALSE)," ")</f>
        <v xml:space="preserve"> </v>
      </c>
      <c r="H403" s="54"/>
      <c r="I403" s="83" t="str">
        <f>IFERROR(VLOOKUP($A403,'The List'!$B1:$AS665,35,FALSE)," ")</f>
        <v xml:space="preserve"> </v>
      </c>
      <c r="J403" s="83" t="str">
        <f>IFERROR(VLOOKUP($A403,'The List'!$B1:$AS665,36,FALSE)," ")</f>
        <v xml:space="preserve"> </v>
      </c>
      <c r="K403" s="83" t="str">
        <f>IFERROR(VLOOKUP($A403,'The List'!$B1:$AS665,37,FALSE)," ")</f>
        <v xml:space="preserve"> </v>
      </c>
      <c r="L403" s="83" t="str">
        <f>IFERROR(VLOOKUP($A403,'The List'!$B1:$AS665,38,FALSE)," ")</f>
        <v xml:space="preserve"> </v>
      </c>
      <c r="M403" s="83" t="str">
        <f>IFERROR(VLOOKUP($A403,'The List'!$B1:$AS665,39,FALSE)," ")</f>
        <v xml:space="preserve"> </v>
      </c>
      <c r="N403" s="83" t="str">
        <f>IFERROR(VLOOKUP($A403,'The List'!$B1:$AS665,40,FALSE)," ")</f>
        <v xml:space="preserve"> </v>
      </c>
      <c r="O403" s="83" t="str">
        <f>IFERROR(VLOOKUP($A403,'The List'!$B1:$AS665,41,FALSE)," ")</f>
        <v xml:space="preserve"> </v>
      </c>
      <c r="P403" s="83" t="str">
        <f>IFERROR(VLOOKUP($A403,'The List'!$B1:$AS665,42,FALSE)," ")</f>
        <v xml:space="preserve"> </v>
      </c>
      <c r="Q403" s="83" t="str">
        <f>IFERROR(VLOOKUP($A403,'The List'!$B1:$AS665,43,FALSE)," ")</f>
        <v xml:space="preserve"> </v>
      </c>
      <c r="R403" s="86"/>
      <c r="S403" s="86"/>
      <c r="T403" s="86"/>
      <c r="U403" s="195"/>
      <c r="V403" s="195"/>
      <c r="W403" s="195"/>
      <c r="X403" s="195"/>
      <c r="Y403" s="195"/>
      <c r="Z403" s="195"/>
      <c r="AA403" s="86"/>
      <c r="AB403" s="86"/>
      <c r="AC403" s="86"/>
      <c r="AD403" s="86"/>
      <c r="AE403" s="86"/>
      <c r="AF403" s="86"/>
    </row>
    <row r="404" spans="1:32" ht="21.25" customHeight="1" x14ac:dyDescent="0.15">
      <c r="A404" s="104"/>
      <c r="B404" s="142" t="str">
        <f>IFERROR(VLOOKUP($A404,'The List'!$B1:$AS665,3,FALSE)," ")</f>
        <v xml:space="preserve"> </v>
      </c>
      <c r="C404" s="143" t="str">
        <f>IFERROR(VLOOKUP($A404,'The List'!$B1:$AS665,4,FALSE)," ")</f>
        <v xml:space="preserve"> </v>
      </c>
      <c r="D404" s="107" t="str">
        <f>IFERROR(VLOOKUP($A404,'The List'!$B1:$AS665,5,FALSE)," ")</f>
        <v xml:space="preserve"> </v>
      </c>
      <c r="E404" s="107" t="str">
        <f>IFERROR(VLOOKUP($A404,'The List'!$B1:$AS665,6,FALSE)," ")</f>
        <v xml:space="preserve"> </v>
      </c>
      <c r="F404" s="108" t="str">
        <f>IFERROR(VLOOKUP($A404,'The List'!$B1:$AS665,8,FALSE)," ")</f>
        <v xml:space="preserve"> </v>
      </c>
      <c r="G404" s="108" t="str">
        <f>IFERROR(VLOOKUP($A404,'The List'!$B1:$AS665,10,FALSE)," ")</f>
        <v xml:space="preserve"> </v>
      </c>
      <c r="H404" s="109"/>
      <c r="I404" s="110" t="str">
        <f>IFERROR(VLOOKUP($A404,'The List'!$B1:$AS665,35,FALSE)," ")</f>
        <v xml:space="preserve"> </v>
      </c>
      <c r="J404" s="110" t="str">
        <f>IFERROR(VLOOKUP($A404,'The List'!$B1:$AS665,36,FALSE)," ")</f>
        <v xml:space="preserve"> </v>
      </c>
      <c r="K404" s="110" t="str">
        <f>IFERROR(VLOOKUP($A404,'The List'!$B1:$AS665,37,FALSE)," ")</f>
        <v xml:space="preserve"> </v>
      </c>
      <c r="L404" s="110" t="str">
        <f>IFERROR(VLOOKUP($A404,'The List'!$B1:$AS665,38,FALSE)," ")</f>
        <v xml:space="preserve"> </v>
      </c>
      <c r="M404" s="110" t="str">
        <f>IFERROR(VLOOKUP($A404,'The List'!$B1:$AS665,39,FALSE)," ")</f>
        <v xml:space="preserve"> </v>
      </c>
      <c r="N404" s="110" t="str">
        <f>IFERROR(VLOOKUP($A404,'The List'!$B1:$AS665,40,FALSE)," ")</f>
        <v xml:space="preserve"> </v>
      </c>
      <c r="O404" s="110" t="str">
        <f>IFERROR(VLOOKUP($A404,'The List'!$B1:$AS665,41,FALSE)," ")</f>
        <v xml:space="preserve"> </v>
      </c>
      <c r="P404" s="110" t="str">
        <f>IFERROR(VLOOKUP($A404,'The List'!$B1:$AS665,42,FALSE)," ")</f>
        <v xml:space="preserve"> </v>
      </c>
      <c r="Q404" s="110" t="str">
        <f>IFERROR(VLOOKUP($A404,'The List'!$B1:$AS665,43,FALSE)," ")</f>
        <v xml:space="preserve"> </v>
      </c>
      <c r="R404" s="86"/>
      <c r="S404" s="86"/>
      <c r="T404" s="86"/>
      <c r="U404" s="195"/>
      <c r="V404" s="195"/>
      <c r="W404" s="195"/>
      <c r="X404" s="195"/>
      <c r="Y404" s="195"/>
      <c r="Z404" s="195"/>
      <c r="AA404" s="86"/>
      <c r="AB404" s="86"/>
      <c r="AC404" s="86"/>
      <c r="AD404" s="86"/>
      <c r="AE404" s="86"/>
      <c r="AF404" s="86"/>
    </row>
    <row r="405" spans="1:32" ht="21.25" customHeight="1" x14ac:dyDescent="0.15">
      <c r="A405" s="111"/>
      <c r="B405" s="112"/>
      <c r="C405" s="113"/>
      <c r="D405" s="114"/>
      <c r="E405" s="146" t="str">
        <f>IFERROR(AVERAGE(E402:E404)," ")</f>
        <v xml:space="preserve"> </v>
      </c>
      <c r="F405" s="116">
        <f>SUM(F402:F404)</f>
        <v>0</v>
      </c>
      <c r="G405" s="116">
        <f>SUM(G402:G404)</f>
        <v>0</v>
      </c>
      <c r="H405" s="117"/>
      <c r="I405" s="118">
        <f t="shared" ref="I405:O405" si="27">SUM(I402:I404)</f>
        <v>0</v>
      </c>
      <c r="J405" s="117">
        <f t="shared" si="27"/>
        <v>0</v>
      </c>
      <c r="K405" s="118">
        <f t="shared" si="27"/>
        <v>0</v>
      </c>
      <c r="L405" s="118">
        <f t="shared" si="27"/>
        <v>0</v>
      </c>
      <c r="M405" s="118">
        <f t="shared" si="27"/>
        <v>0</v>
      </c>
      <c r="N405" s="118">
        <f t="shared" si="27"/>
        <v>0</v>
      </c>
      <c r="O405" s="118">
        <f t="shared" si="27"/>
        <v>0</v>
      </c>
      <c r="P405" s="144" t="e">
        <f>1-(O405/(N405+O405))</f>
        <v>#DIV/0!</v>
      </c>
      <c r="Q405" s="145" t="e">
        <f>O405/I405</f>
        <v>#DIV/0!</v>
      </c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</row>
    <row r="406" spans="1:32" ht="70.75" customHeight="1" x14ac:dyDescent="0.15">
      <c r="A406" s="34"/>
      <c r="B406" s="121"/>
      <c r="C406" s="122"/>
      <c r="D406" s="12"/>
      <c r="E406" s="12"/>
      <c r="F406" s="123"/>
      <c r="G406" s="124"/>
      <c r="H406" s="125"/>
      <c r="I406" s="12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91"/>
      <c r="AB406" s="91"/>
      <c r="AC406" s="91"/>
      <c r="AD406" s="91"/>
      <c r="AE406" s="91"/>
      <c r="AF406" s="91"/>
    </row>
    <row r="407" spans="1:32" ht="21.25" customHeight="1" x14ac:dyDescent="0.15">
      <c r="A407" s="38" t="s">
        <v>807</v>
      </c>
      <c r="B407" s="204" t="s">
        <v>91</v>
      </c>
      <c r="C407" s="200"/>
      <c r="D407" s="39" t="s">
        <v>92</v>
      </c>
      <c r="E407" s="39" t="s">
        <v>93</v>
      </c>
      <c r="F407" s="41" t="s">
        <v>95</v>
      </c>
      <c r="G407" s="41" t="s">
        <v>97</v>
      </c>
      <c r="H407" s="42"/>
      <c r="I407" s="44" t="s">
        <v>102</v>
      </c>
      <c r="J407" s="44" t="s">
        <v>55</v>
      </c>
      <c r="K407" s="44" t="s">
        <v>103</v>
      </c>
      <c r="L407" s="44" t="s">
        <v>104</v>
      </c>
      <c r="M407" s="44" t="s">
        <v>105</v>
      </c>
      <c r="N407" s="44" t="s">
        <v>106</v>
      </c>
      <c r="O407" s="44" t="s">
        <v>107</v>
      </c>
      <c r="P407" s="44" t="s">
        <v>63</v>
      </c>
      <c r="Q407" s="44" t="s">
        <v>108</v>
      </c>
      <c r="R407" s="44" t="s">
        <v>109</v>
      </c>
      <c r="S407" s="44" t="s">
        <v>110</v>
      </c>
      <c r="T407" s="44" t="s">
        <v>111</v>
      </c>
      <c r="U407" s="44" t="s">
        <v>112</v>
      </c>
      <c r="V407" s="44" t="s">
        <v>113</v>
      </c>
      <c r="W407" s="44" t="s">
        <v>114</v>
      </c>
      <c r="X407" s="44" t="s">
        <v>115</v>
      </c>
      <c r="Y407" s="44" t="s">
        <v>116</v>
      </c>
      <c r="Z407" s="44" t="s">
        <v>117</v>
      </c>
      <c r="AA407" s="86"/>
      <c r="AB407" s="87"/>
      <c r="AC407" s="87"/>
      <c r="AD407" s="87"/>
      <c r="AE407" s="87"/>
      <c r="AF407" s="87"/>
    </row>
    <row r="408" spans="1:32" ht="21.25" customHeight="1" x14ac:dyDescent="0.15">
      <c r="A408" s="23"/>
      <c r="B408" s="88" t="str">
        <f>IFERROR(VLOOKUP($A408,'The List'!$B1:$AS665,3,FALSE)," ")</f>
        <v xml:space="preserve"> </v>
      </c>
      <c r="C408" s="92" t="str">
        <f>IFERROR(VLOOKUP($A408,'The List'!$B1:$AS665,4,FALSE)," ")</f>
        <v xml:space="preserve"> </v>
      </c>
      <c r="D408" s="65" t="str">
        <f>IFERROR(VLOOKUP($A408,'The List'!$B1:$AS665,5,FALSE)," ")</f>
        <v xml:space="preserve"> </v>
      </c>
      <c r="E408" s="65" t="str">
        <f>IFERROR(VLOOKUP($A408,'The List'!$B1:$AS665,6,FALSE)," ")</f>
        <v xml:space="preserve"> </v>
      </c>
      <c r="F408" s="93" t="str">
        <f>IFERROR(VLOOKUP($A408,'The List'!$B1:$AS665,8,FALSE)," ")</f>
        <v xml:space="preserve"> </v>
      </c>
      <c r="G408" s="93" t="str">
        <f>IFERROR(VLOOKUP($A408,'The List'!$B1:$AS665,10,FALSE)," ")</f>
        <v xml:space="preserve"> </v>
      </c>
      <c r="H408" s="54"/>
      <c r="I408" s="83" t="str">
        <f>IFERROR(VLOOKUP($A408,'The List'!$B1:$AS665,16,FALSE)," ")</f>
        <v xml:space="preserve"> </v>
      </c>
      <c r="J408" s="83" t="str">
        <f>IFERROR(VLOOKUP($A408,'The List'!$B1:$AS665,17,FALSE)," ")</f>
        <v xml:space="preserve"> </v>
      </c>
      <c r="K408" s="83" t="str">
        <f>IFERROR(VLOOKUP($A408,'The List'!$B1:$AS665,18,FALSE)," ")</f>
        <v xml:space="preserve"> </v>
      </c>
      <c r="L408" s="83" t="str">
        <f>IFERROR(VLOOKUP($A408,'The List'!$B1:$AS665,19,FALSE)," ")</f>
        <v xml:space="preserve"> </v>
      </c>
      <c r="M408" s="83" t="str">
        <f>IFERROR(VLOOKUP($A408,'The List'!$B1:$AS665,20,FALSE)," ")</f>
        <v xml:space="preserve"> </v>
      </c>
      <c r="N408" s="83" t="str">
        <f>IFERROR(VLOOKUP($A408,'The List'!$B1:$AS665,21,FALSE)," ")</f>
        <v xml:space="preserve"> </v>
      </c>
      <c r="O408" s="83" t="str">
        <f>IFERROR(VLOOKUP($A408,'The List'!$B1:$AS665,22,FALSE)," ")</f>
        <v xml:space="preserve"> </v>
      </c>
      <c r="P408" s="83" t="str">
        <f>IFERROR(VLOOKUP($A408,'The List'!$B1:$AS665,23,FALSE)," ")</f>
        <v xml:space="preserve"> </v>
      </c>
      <c r="Q408" s="83" t="str">
        <f>IFERROR(VLOOKUP($A408,'The List'!$B1:$AS665,24,FALSE)," ")</f>
        <v xml:space="preserve"> </v>
      </c>
      <c r="R408" s="83" t="str">
        <f>IFERROR(VLOOKUP($A408,'The List'!$B1:$AS665,25,FALSE)," ")</f>
        <v xml:space="preserve"> </v>
      </c>
      <c r="S408" s="83" t="str">
        <f>IFERROR(VLOOKUP($A408,'The List'!$B1:$AS665,26,FALSE)," ")</f>
        <v xml:space="preserve"> </v>
      </c>
      <c r="T408" s="83" t="str">
        <f>IFERROR(VLOOKUP($A408,'The List'!$B1:$AS665,27,FALSE)," ")</f>
        <v xml:space="preserve"> </v>
      </c>
      <c r="U408" s="83" t="str">
        <f>IFERROR(VLOOKUP($A408,'The List'!$B1:$AS665,28,FALSE)," ")</f>
        <v xml:space="preserve"> </v>
      </c>
      <c r="V408" s="83" t="str">
        <f>IFERROR(VLOOKUP($A408,'The List'!$B1:$AS665,29,FALSE)," ")</f>
        <v xml:space="preserve"> </v>
      </c>
      <c r="W408" s="83" t="str">
        <f>IFERROR(VLOOKUP($A408,'The List'!$B1:$AS665,30,FALSE)," ")</f>
        <v xml:space="preserve"> </v>
      </c>
      <c r="X408" s="83" t="str">
        <f>IFERROR(VLOOKUP($A408,'The List'!$B1:$AS665,31,FALSE)," ")</f>
        <v xml:space="preserve"> </v>
      </c>
      <c r="Y408" s="83" t="str">
        <f>IFERROR(VLOOKUP($A408,'The List'!$B1:$AS665,32,FALSE)," ")</f>
        <v xml:space="preserve"> </v>
      </c>
      <c r="Z408" s="83" t="str">
        <f>IFERROR(VLOOKUP($A408,'The List'!$B1:$AS665,33,FALSE)," ")</f>
        <v xml:space="preserve"> </v>
      </c>
      <c r="AA408" s="86"/>
      <c r="AB408" s="91"/>
      <c r="AC408" s="91"/>
      <c r="AD408" s="91"/>
      <c r="AE408" s="91"/>
      <c r="AF408" s="91"/>
    </row>
    <row r="409" spans="1:32" ht="21.25" customHeight="1" x14ac:dyDescent="0.15">
      <c r="A409" s="23"/>
      <c r="B409" s="88" t="str">
        <f>IFERROR(VLOOKUP($A409,'The List'!$B1:$AS665,3,FALSE)," ")</f>
        <v xml:space="preserve"> </v>
      </c>
      <c r="C409" s="92" t="str">
        <f>IFERROR(VLOOKUP($A409,'The List'!$B1:$AS665,4,FALSE)," ")</f>
        <v xml:space="preserve"> </v>
      </c>
      <c r="D409" s="65" t="str">
        <f>IFERROR(VLOOKUP($A409,'The List'!$B1:$AS665,5,FALSE)," ")</f>
        <v xml:space="preserve"> </v>
      </c>
      <c r="E409" s="65" t="str">
        <f>IFERROR(VLOOKUP($A409,'The List'!$B1:$AS665,6,FALSE)," ")</f>
        <v xml:space="preserve"> </v>
      </c>
      <c r="F409" s="93" t="str">
        <f>IFERROR(VLOOKUP($A409,'The List'!$B1:$AS665,8,FALSE)," ")</f>
        <v xml:space="preserve"> </v>
      </c>
      <c r="G409" s="93" t="str">
        <f>IFERROR(VLOOKUP($A409,'The List'!$B1:$AS665,10,FALSE)," ")</f>
        <v xml:space="preserve"> </v>
      </c>
      <c r="H409" s="54"/>
      <c r="I409" s="83" t="str">
        <f>IFERROR(VLOOKUP($A409,'The List'!$B1:$AS665,16,FALSE)," ")</f>
        <v xml:space="preserve"> </v>
      </c>
      <c r="J409" s="83" t="str">
        <f>IFERROR(VLOOKUP($A409,'The List'!$B1:$AS665,17,FALSE)," ")</f>
        <v xml:space="preserve"> </v>
      </c>
      <c r="K409" s="83" t="str">
        <f>IFERROR(VLOOKUP($A409,'The List'!$B1:$AS665,18,FALSE)," ")</f>
        <v xml:space="preserve"> </v>
      </c>
      <c r="L409" s="83" t="str">
        <f>IFERROR(VLOOKUP($A409,'The List'!$B1:$AS665,19,FALSE)," ")</f>
        <v xml:space="preserve"> </v>
      </c>
      <c r="M409" s="83" t="str">
        <f>IFERROR(VLOOKUP($A409,'The List'!$B1:$AS665,20,FALSE)," ")</f>
        <v xml:space="preserve"> </v>
      </c>
      <c r="N409" s="83" t="str">
        <f>IFERROR(VLOOKUP($A409,'The List'!$B1:$AS665,21,FALSE)," ")</f>
        <v xml:space="preserve"> </v>
      </c>
      <c r="O409" s="83" t="str">
        <f>IFERROR(VLOOKUP($A409,'The List'!$B1:$AS665,22,FALSE)," ")</f>
        <v xml:space="preserve"> </v>
      </c>
      <c r="P409" s="83" t="str">
        <f>IFERROR(VLOOKUP($A409,'The List'!$B1:$AS665,23,FALSE)," ")</f>
        <v xml:space="preserve"> </v>
      </c>
      <c r="Q409" s="83" t="str">
        <f>IFERROR(VLOOKUP($A409,'The List'!$B1:$AS665,24,FALSE)," ")</f>
        <v xml:space="preserve"> </v>
      </c>
      <c r="R409" s="83" t="str">
        <f>IFERROR(VLOOKUP($A409,'The List'!$B1:$AS665,25,FALSE)," ")</f>
        <v xml:space="preserve"> </v>
      </c>
      <c r="S409" s="83" t="str">
        <f>IFERROR(VLOOKUP($A409,'The List'!$B1:$AS665,26,FALSE)," ")</f>
        <v xml:space="preserve"> </v>
      </c>
      <c r="T409" s="83" t="str">
        <f>IFERROR(VLOOKUP($A409,'The List'!$B1:$AS665,27,FALSE)," ")</f>
        <v xml:space="preserve"> </v>
      </c>
      <c r="U409" s="83" t="str">
        <f>IFERROR(VLOOKUP($A409,'The List'!$B1:$AS665,28,FALSE)," ")</f>
        <v xml:space="preserve"> </v>
      </c>
      <c r="V409" s="83" t="str">
        <f>IFERROR(VLOOKUP($A409,'The List'!$B1:$AS665,29,FALSE)," ")</f>
        <v xml:space="preserve"> </v>
      </c>
      <c r="W409" s="83" t="str">
        <f>IFERROR(VLOOKUP($A409,'The List'!$B1:$AS665,30,FALSE)," ")</f>
        <v xml:space="preserve"> </v>
      </c>
      <c r="X409" s="83" t="str">
        <f>IFERROR(VLOOKUP($A409,'The List'!$B1:$AS665,31,FALSE)," ")</f>
        <v xml:space="preserve"> </v>
      </c>
      <c r="Y409" s="83" t="str">
        <f>IFERROR(VLOOKUP($A409,'The List'!$B1:$AS665,32,FALSE)," ")</f>
        <v xml:space="preserve"> </v>
      </c>
      <c r="Z409" s="83" t="str">
        <f>IFERROR(VLOOKUP($A409,'The List'!$B1:$AS665,33,FALSE)," ")</f>
        <v xml:space="preserve"> </v>
      </c>
      <c r="AA409" s="86"/>
      <c r="AB409" s="91"/>
      <c r="AC409" s="91"/>
      <c r="AD409" s="91"/>
      <c r="AE409" s="91"/>
      <c r="AF409" s="91"/>
    </row>
    <row r="410" spans="1:32" ht="21.25" customHeight="1" x14ac:dyDescent="0.15">
      <c r="A410" s="23"/>
      <c r="B410" s="88" t="str">
        <f>IFERROR(VLOOKUP($A410,'The List'!$B1:$AS665,3,FALSE)," ")</f>
        <v xml:space="preserve"> </v>
      </c>
      <c r="C410" s="92" t="str">
        <f>IFERROR(VLOOKUP($A410,'The List'!$B1:$AS665,4,FALSE)," ")</f>
        <v xml:space="preserve"> </v>
      </c>
      <c r="D410" s="65" t="str">
        <f>IFERROR(VLOOKUP($A410,'The List'!$B1:$AS665,5,FALSE)," ")</f>
        <v xml:space="preserve"> </v>
      </c>
      <c r="E410" s="65" t="str">
        <f>IFERROR(VLOOKUP($A410,'The List'!$B1:$AS665,6,FALSE)," ")</f>
        <v xml:space="preserve"> </v>
      </c>
      <c r="F410" s="93" t="str">
        <f>IFERROR(VLOOKUP($A410,'The List'!$B1:$AS665,8,FALSE)," ")</f>
        <v xml:space="preserve"> </v>
      </c>
      <c r="G410" s="93" t="str">
        <f>IFERROR(VLOOKUP($A410,'The List'!$B1:$AS665,10,FALSE)," ")</f>
        <v xml:space="preserve"> </v>
      </c>
      <c r="H410" s="54"/>
      <c r="I410" s="83" t="str">
        <f>IFERROR(VLOOKUP($A410,'The List'!$B1:$AS665,16,FALSE)," ")</f>
        <v xml:space="preserve"> </v>
      </c>
      <c r="J410" s="83" t="str">
        <f>IFERROR(VLOOKUP($A410,'The List'!$B1:$AS665,17,FALSE)," ")</f>
        <v xml:space="preserve"> </v>
      </c>
      <c r="K410" s="83" t="str">
        <f>IFERROR(VLOOKUP($A410,'The List'!$B1:$AS665,18,FALSE)," ")</f>
        <v xml:space="preserve"> </v>
      </c>
      <c r="L410" s="83" t="str">
        <f>IFERROR(VLOOKUP($A410,'The List'!$B1:$AS665,19,FALSE)," ")</f>
        <v xml:space="preserve"> </v>
      </c>
      <c r="M410" s="83" t="str">
        <f>IFERROR(VLOOKUP($A410,'The List'!$B1:$AS665,20,FALSE)," ")</f>
        <v xml:space="preserve"> </v>
      </c>
      <c r="N410" s="83" t="str">
        <f>IFERROR(VLOOKUP($A410,'The List'!$B1:$AS665,21,FALSE)," ")</f>
        <v xml:space="preserve"> </v>
      </c>
      <c r="O410" s="83" t="str">
        <f>IFERROR(VLOOKUP($A410,'The List'!$B1:$AS665,22,FALSE)," ")</f>
        <v xml:space="preserve"> </v>
      </c>
      <c r="P410" s="83" t="str">
        <f>IFERROR(VLOOKUP($A410,'The List'!$B1:$AS665,23,FALSE)," ")</f>
        <v xml:space="preserve"> </v>
      </c>
      <c r="Q410" s="83" t="str">
        <f>IFERROR(VLOOKUP($A410,'The List'!$B1:$AS665,24,FALSE)," ")</f>
        <v xml:space="preserve"> </v>
      </c>
      <c r="R410" s="83" t="str">
        <f>IFERROR(VLOOKUP($A410,'The List'!$B1:$AS665,25,FALSE)," ")</f>
        <v xml:space="preserve"> </v>
      </c>
      <c r="S410" s="83" t="str">
        <f>IFERROR(VLOOKUP($A410,'The List'!$B1:$AS665,26,FALSE)," ")</f>
        <v xml:space="preserve"> </v>
      </c>
      <c r="T410" s="83" t="str">
        <f>IFERROR(VLOOKUP($A410,'The List'!$B1:$AS665,27,FALSE)," ")</f>
        <v xml:space="preserve"> </v>
      </c>
      <c r="U410" s="83" t="str">
        <f>IFERROR(VLOOKUP($A410,'The List'!$B1:$AS665,28,FALSE)," ")</f>
        <v xml:space="preserve"> </v>
      </c>
      <c r="V410" s="83" t="str">
        <f>IFERROR(VLOOKUP($A410,'The List'!$B1:$AS665,29,FALSE)," ")</f>
        <v xml:space="preserve"> </v>
      </c>
      <c r="W410" s="83" t="str">
        <f>IFERROR(VLOOKUP($A410,'The List'!$B1:$AS665,30,FALSE)," ")</f>
        <v xml:space="preserve"> </v>
      </c>
      <c r="X410" s="83" t="str">
        <f>IFERROR(VLOOKUP($A410,'The List'!$B1:$AS665,31,FALSE)," ")</f>
        <v xml:space="preserve"> </v>
      </c>
      <c r="Y410" s="83" t="str">
        <f>IFERROR(VLOOKUP($A410,'The List'!$B1:$AS665,32,FALSE)," ")</f>
        <v xml:space="preserve"> </v>
      </c>
      <c r="Z410" s="83" t="str">
        <f>IFERROR(VLOOKUP($A410,'The List'!$B1:$AS665,33,FALSE)," ")</f>
        <v xml:space="preserve"> </v>
      </c>
      <c r="AA410" s="86"/>
      <c r="AB410" s="91"/>
      <c r="AC410" s="91"/>
      <c r="AD410" s="91"/>
      <c r="AE410" s="91"/>
      <c r="AF410" s="91"/>
    </row>
    <row r="411" spans="1:32" ht="21.25" customHeight="1" x14ac:dyDescent="0.15">
      <c r="A411" s="23"/>
      <c r="B411" s="88" t="str">
        <f>IFERROR(VLOOKUP($A411,'The List'!$B1:$AS665,3,FALSE)," ")</f>
        <v xml:space="preserve"> </v>
      </c>
      <c r="C411" s="92" t="str">
        <f>IFERROR(VLOOKUP($A411,'The List'!$B1:$AS665,4,FALSE)," ")</f>
        <v xml:space="preserve"> </v>
      </c>
      <c r="D411" s="65" t="str">
        <f>IFERROR(VLOOKUP($A411,'The List'!$B1:$AS665,5,FALSE)," ")</f>
        <v xml:space="preserve"> </v>
      </c>
      <c r="E411" s="65" t="str">
        <f>IFERROR(VLOOKUP($A411,'The List'!$B1:$AS665,6,FALSE)," ")</f>
        <v xml:space="preserve"> </v>
      </c>
      <c r="F411" s="93" t="str">
        <f>IFERROR(VLOOKUP($A411,'The List'!$B1:$AS665,8,FALSE)," ")</f>
        <v xml:space="preserve"> </v>
      </c>
      <c r="G411" s="93" t="str">
        <f>IFERROR(VLOOKUP($A411,'The List'!$B1:$AS665,10,FALSE)," ")</f>
        <v xml:space="preserve"> </v>
      </c>
      <c r="H411" s="54"/>
      <c r="I411" s="83" t="str">
        <f>IFERROR(VLOOKUP($A411,'The List'!$B1:$AS665,16,FALSE)," ")</f>
        <v xml:space="preserve"> </v>
      </c>
      <c r="J411" s="83" t="str">
        <f>IFERROR(VLOOKUP($A411,'The List'!$B1:$AS665,17,FALSE)," ")</f>
        <v xml:space="preserve"> </v>
      </c>
      <c r="K411" s="83" t="str">
        <f>IFERROR(VLOOKUP($A411,'The List'!$B1:$AS665,18,FALSE)," ")</f>
        <v xml:space="preserve"> </v>
      </c>
      <c r="L411" s="83" t="str">
        <f>IFERROR(VLOOKUP($A411,'The List'!$B1:$AS665,19,FALSE)," ")</f>
        <v xml:space="preserve"> </v>
      </c>
      <c r="M411" s="83" t="str">
        <f>IFERROR(VLOOKUP($A411,'The List'!$B1:$AS665,20,FALSE)," ")</f>
        <v xml:space="preserve"> </v>
      </c>
      <c r="N411" s="83" t="str">
        <f>IFERROR(VLOOKUP($A411,'The List'!$B1:$AS665,21,FALSE)," ")</f>
        <v xml:space="preserve"> </v>
      </c>
      <c r="O411" s="83" t="str">
        <f>IFERROR(VLOOKUP($A411,'The List'!$B1:$AS665,22,FALSE)," ")</f>
        <v xml:space="preserve"> </v>
      </c>
      <c r="P411" s="83" t="str">
        <f>IFERROR(VLOOKUP($A411,'The List'!$B1:$AS665,23,FALSE)," ")</f>
        <v xml:space="preserve"> </v>
      </c>
      <c r="Q411" s="83" t="str">
        <f>IFERROR(VLOOKUP($A411,'The List'!$B1:$AS665,24,FALSE)," ")</f>
        <v xml:space="preserve"> </v>
      </c>
      <c r="R411" s="83" t="str">
        <f>IFERROR(VLOOKUP($A411,'The List'!$B1:$AS665,25,FALSE)," ")</f>
        <v xml:space="preserve"> </v>
      </c>
      <c r="S411" s="83" t="str">
        <f>IFERROR(VLOOKUP($A411,'The List'!$B1:$AS665,26,FALSE)," ")</f>
        <v xml:space="preserve"> </v>
      </c>
      <c r="T411" s="83" t="str">
        <f>IFERROR(VLOOKUP($A411,'The List'!$B1:$AS665,27,FALSE)," ")</f>
        <v xml:space="preserve"> </v>
      </c>
      <c r="U411" s="83" t="str">
        <f>IFERROR(VLOOKUP($A411,'The List'!$B1:$AS665,28,FALSE)," ")</f>
        <v xml:space="preserve"> </v>
      </c>
      <c r="V411" s="83" t="str">
        <f>IFERROR(VLOOKUP($A411,'The List'!$B1:$AS665,29,FALSE)," ")</f>
        <v xml:space="preserve"> </v>
      </c>
      <c r="W411" s="83" t="str">
        <f>IFERROR(VLOOKUP($A411,'The List'!$B1:$AS665,30,FALSE)," ")</f>
        <v xml:space="preserve"> </v>
      </c>
      <c r="X411" s="83" t="str">
        <f>IFERROR(VLOOKUP($A411,'The List'!$B1:$AS665,31,FALSE)," ")</f>
        <v xml:space="preserve"> </v>
      </c>
      <c r="Y411" s="83" t="str">
        <f>IFERROR(VLOOKUP($A411,'The List'!$B1:$AS665,32,FALSE)," ")</f>
        <v xml:space="preserve"> </v>
      </c>
      <c r="Z411" s="83" t="str">
        <f>IFERROR(VLOOKUP($A411,'The List'!$B1:$AS665,33,FALSE)," ")</f>
        <v xml:space="preserve"> </v>
      </c>
      <c r="AA411" s="86"/>
      <c r="AB411" s="91"/>
      <c r="AC411" s="91"/>
      <c r="AD411" s="91"/>
      <c r="AE411" s="91"/>
      <c r="AF411" s="91"/>
    </row>
    <row r="412" spans="1:32" ht="21.25" customHeight="1" x14ac:dyDescent="0.15">
      <c r="A412" s="23"/>
      <c r="B412" s="94" t="str">
        <f>IFERROR(VLOOKUP($A412,'The List'!$B1:$AS665,3,FALSE)," ")</f>
        <v xml:space="preserve"> </v>
      </c>
      <c r="C412" s="96" t="str">
        <f>IFERROR(VLOOKUP($A412,'The List'!$B1:$AS665,4,FALSE)," ")</f>
        <v xml:space="preserve"> </v>
      </c>
      <c r="D412" s="65" t="str">
        <f>IFERROR(VLOOKUP($A412,'The List'!$B1:$AS665,5,FALSE)," ")</f>
        <v xml:space="preserve"> </v>
      </c>
      <c r="E412" s="65" t="str">
        <f>IFERROR(VLOOKUP($A412,'The List'!$B1:$AS665,6,FALSE)," ")</f>
        <v xml:space="preserve"> </v>
      </c>
      <c r="F412" s="93" t="str">
        <f>IFERROR(VLOOKUP($A412,'The List'!$B1:$AS665,8,FALSE)," ")</f>
        <v xml:space="preserve"> </v>
      </c>
      <c r="G412" s="93" t="str">
        <f>IFERROR(VLOOKUP($A412,'The List'!$B1:$AS665,10,FALSE)," ")</f>
        <v xml:space="preserve"> </v>
      </c>
      <c r="H412" s="54"/>
      <c r="I412" s="83" t="str">
        <f>IFERROR(VLOOKUP($A412,'The List'!$B1:$AS665,16,FALSE)," ")</f>
        <v xml:space="preserve"> </v>
      </c>
      <c r="J412" s="83" t="str">
        <f>IFERROR(VLOOKUP($A412,'The List'!$B1:$AS665,17,FALSE)," ")</f>
        <v xml:space="preserve"> </v>
      </c>
      <c r="K412" s="83" t="str">
        <f>IFERROR(VLOOKUP($A412,'The List'!$B1:$AS665,18,FALSE)," ")</f>
        <v xml:space="preserve"> </v>
      </c>
      <c r="L412" s="83" t="str">
        <f>IFERROR(VLOOKUP($A412,'The List'!$B1:$AS665,19,FALSE)," ")</f>
        <v xml:space="preserve"> </v>
      </c>
      <c r="M412" s="83" t="str">
        <f>IFERROR(VLOOKUP($A412,'The List'!$B1:$AS665,20,FALSE)," ")</f>
        <v xml:space="preserve"> </v>
      </c>
      <c r="N412" s="83" t="str">
        <f>IFERROR(VLOOKUP($A412,'The List'!$B1:$AS665,21,FALSE)," ")</f>
        <v xml:space="preserve"> </v>
      </c>
      <c r="O412" s="83" t="str">
        <f>IFERROR(VLOOKUP($A412,'The List'!$B1:$AS665,22,FALSE)," ")</f>
        <v xml:space="preserve"> </v>
      </c>
      <c r="P412" s="83" t="str">
        <f>IFERROR(VLOOKUP($A412,'The List'!$B1:$AS665,23,FALSE)," ")</f>
        <v xml:space="preserve"> </v>
      </c>
      <c r="Q412" s="83" t="str">
        <f>IFERROR(VLOOKUP($A412,'The List'!$B1:$AS665,24,FALSE)," ")</f>
        <v xml:space="preserve"> </v>
      </c>
      <c r="R412" s="83" t="str">
        <f>IFERROR(VLOOKUP($A412,'The List'!$B1:$AS665,25,FALSE)," ")</f>
        <v xml:space="preserve"> </v>
      </c>
      <c r="S412" s="83" t="str">
        <f>IFERROR(VLOOKUP($A412,'The List'!$B1:$AS665,26,FALSE)," ")</f>
        <v xml:space="preserve"> </v>
      </c>
      <c r="T412" s="83" t="str">
        <f>IFERROR(VLOOKUP($A412,'The List'!$B1:$AS665,27,FALSE)," ")</f>
        <v xml:space="preserve"> </v>
      </c>
      <c r="U412" s="83" t="str">
        <f>IFERROR(VLOOKUP($A412,'The List'!$B1:$AS665,28,FALSE)," ")</f>
        <v xml:space="preserve"> </v>
      </c>
      <c r="V412" s="83" t="str">
        <f>IFERROR(VLOOKUP($A412,'The List'!$B1:$AS665,29,FALSE)," ")</f>
        <v xml:space="preserve"> </v>
      </c>
      <c r="W412" s="83" t="str">
        <f>IFERROR(VLOOKUP($A412,'The List'!$B1:$AS665,30,FALSE)," ")</f>
        <v xml:space="preserve"> </v>
      </c>
      <c r="X412" s="83" t="str">
        <f>IFERROR(VLOOKUP($A412,'The List'!$B1:$AS665,31,FALSE)," ")</f>
        <v xml:space="preserve"> </v>
      </c>
      <c r="Y412" s="83" t="str">
        <f>IFERROR(VLOOKUP($A412,'The List'!$B1:$AS665,32,FALSE)," ")</f>
        <v xml:space="preserve"> </v>
      </c>
      <c r="Z412" s="83" t="str">
        <f>IFERROR(VLOOKUP($A412,'The List'!$B1:$AS665,33,FALSE)," ")</f>
        <v xml:space="preserve"> </v>
      </c>
      <c r="AA412" s="86"/>
      <c r="AB412" s="91"/>
      <c r="AC412" s="91"/>
      <c r="AD412" s="91"/>
      <c r="AE412" s="91"/>
      <c r="AF412" s="91"/>
    </row>
    <row r="413" spans="1:32" ht="21.25" customHeight="1" x14ac:dyDescent="0.15">
      <c r="A413" s="23"/>
      <c r="B413" s="94" t="str">
        <f>IFERROR(VLOOKUP($A413,'The List'!$B1:$AS665,3,FALSE)," ")</f>
        <v xml:space="preserve"> </v>
      </c>
      <c r="C413" s="96" t="str">
        <f>IFERROR(VLOOKUP($A413,'The List'!$B1:$AS665,4,FALSE)," ")</f>
        <v xml:space="preserve"> </v>
      </c>
      <c r="D413" s="65" t="str">
        <f>IFERROR(VLOOKUP($A413,'The List'!$B1:$AS665,5,FALSE)," ")</f>
        <v xml:space="preserve"> </v>
      </c>
      <c r="E413" s="65" t="str">
        <f>IFERROR(VLOOKUP($A413,'The List'!$B1:$AS665,6,FALSE)," ")</f>
        <v xml:space="preserve"> </v>
      </c>
      <c r="F413" s="93" t="str">
        <f>IFERROR(VLOOKUP($A413,'The List'!$B1:$AS665,8,FALSE)," ")</f>
        <v xml:space="preserve"> </v>
      </c>
      <c r="G413" s="93" t="str">
        <f>IFERROR(VLOOKUP($A413,'The List'!$B1:$AS665,10,FALSE)," ")</f>
        <v xml:space="preserve"> </v>
      </c>
      <c r="H413" s="54"/>
      <c r="I413" s="83" t="str">
        <f>IFERROR(VLOOKUP($A413,'The List'!$B1:$AS665,16,FALSE)," ")</f>
        <v xml:space="preserve"> </v>
      </c>
      <c r="J413" s="83" t="str">
        <f>IFERROR(VLOOKUP($A413,'The List'!$B1:$AS665,17,FALSE)," ")</f>
        <v xml:space="preserve"> </v>
      </c>
      <c r="K413" s="83" t="str">
        <f>IFERROR(VLOOKUP($A413,'The List'!$B1:$AS665,18,FALSE)," ")</f>
        <v xml:space="preserve"> </v>
      </c>
      <c r="L413" s="83" t="str">
        <f>IFERROR(VLOOKUP($A413,'The List'!$B1:$AS665,19,FALSE)," ")</f>
        <v xml:space="preserve"> </v>
      </c>
      <c r="M413" s="83" t="str">
        <f>IFERROR(VLOOKUP($A413,'The List'!$B1:$AS665,20,FALSE)," ")</f>
        <v xml:space="preserve"> </v>
      </c>
      <c r="N413" s="83" t="str">
        <f>IFERROR(VLOOKUP($A413,'The List'!$B1:$AS665,21,FALSE)," ")</f>
        <v xml:space="preserve"> </v>
      </c>
      <c r="O413" s="83" t="str">
        <f>IFERROR(VLOOKUP($A413,'The List'!$B1:$AS665,22,FALSE)," ")</f>
        <v xml:space="preserve"> </v>
      </c>
      <c r="P413" s="83" t="str">
        <f>IFERROR(VLOOKUP($A413,'The List'!$B1:$AS665,23,FALSE)," ")</f>
        <v xml:space="preserve"> </v>
      </c>
      <c r="Q413" s="83" t="str">
        <f>IFERROR(VLOOKUP($A413,'The List'!$B1:$AS665,24,FALSE)," ")</f>
        <v xml:space="preserve"> </v>
      </c>
      <c r="R413" s="83" t="str">
        <f>IFERROR(VLOOKUP($A413,'The List'!$B1:$AS665,25,FALSE)," ")</f>
        <v xml:space="preserve"> </v>
      </c>
      <c r="S413" s="83" t="str">
        <f>IFERROR(VLOOKUP($A413,'The List'!$B1:$AS665,26,FALSE)," ")</f>
        <v xml:space="preserve"> </v>
      </c>
      <c r="T413" s="83" t="str">
        <f>IFERROR(VLOOKUP($A413,'The List'!$B1:$AS665,27,FALSE)," ")</f>
        <v xml:space="preserve"> </v>
      </c>
      <c r="U413" s="83" t="str">
        <f>IFERROR(VLOOKUP($A413,'The List'!$B1:$AS665,28,FALSE)," ")</f>
        <v xml:space="preserve"> </v>
      </c>
      <c r="V413" s="83" t="str">
        <f>IFERROR(VLOOKUP($A413,'The List'!$B1:$AS665,29,FALSE)," ")</f>
        <v xml:space="preserve"> </v>
      </c>
      <c r="W413" s="83" t="str">
        <f>IFERROR(VLOOKUP($A413,'The List'!$B1:$AS665,30,FALSE)," ")</f>
        <v xml:space="preserve"> </v>
      </c>
      <c r="X413" s="83" t="str">
        <f>IFERROR(VLOOKUP($A413,'The List'!$B1:$AS665,31,FALSE)," ")</f>
        <v xml:space="preserve"> </v>
      </c>
      <c r="Y413" s="83" t="str">
        <f>IFERROR(VLOOKUP($A413,'The List'!$B1:$AS665,32,FALSE)," ")</f>
        <v xml:space="preserve"> </v>
      </c>
      <c r="Z413" s="83" t="str">
        <f>IFERROR(VLOOKUP($A413,'The List'!$B1:$AS665,33,FALSE)," ")</f>
        <v xml:space="preserve"> </v>
      </c>
      <c r="AA413" s="86"/>
      <c r="AB413" s="91"/>
      <c r="AC413" s="91"/>
      <c r="AD413" s="91"/>
      <c r="AE413" s="91"/>
      <c r="AF413" s="91"/>
    </row>
    <row r="414" spans="1:32" ht="21.25" customHeight="1" x14ac:dyDescent="0.15">
      <c r="A414" s="23"/>
      <c r="B414" s="94" t="str">
        <f>IFERROR(VLOOKUP($A414,'The List'!$B1:$AS665,3,FALSE)," ")</f>
        <v xml:space="preserve"> </v>
      </c>
      <c r="C414" s="96" t="str">
        <f>IFERROR(VLOOKUP($A414,'The List'!$B1:$AS665,4,FALSE)," ")</f>
        <v xml:space="preserve"> </v>
      </c>
      <c r="D414" s="65" t="str">
        <f>IFERROR(VLOOKUP($A414,'The List'!$B1:$AS665,5,FALSE)," ")</f>
        <v xml:space="preserve"> </v>
      </c>
      <c r="E414" s="65" t="str">
        <f>IFERROR(VLOOKUP($A414,'The List'!$B1:$AS665,6,FALSE)," ")</f>
        <v xml:space="preserve"> </v>
      </c>
      <c r="F414" s="93" t="str">
        <f>IFERROR(VLOOKUP($A414,'The List'!$B1:$AS665,8,FALSE)," ")</f>
        <v xml:space="preserve"> </v>
      </c>
      <c r="G414" s="93" t="str">
        <f>IFERROR(VLOOKUP($A414,'The List'!$B1:$AS665,10,FALSE)," ")</f>
        <v xml:space="preserve"> </v>
      </c>
      <c r="H414" s="54"/>
      <c r="I414" s="83" t="str">
        <f>IFERROR(VLOOKUP($A414,'The List'!$B1:$AS665,16,FALSE)," ")</f>
        <v xml:space="preserve"> </v>
      </c>
      <c r="J414" s="83" t="str">
        <f>IFERROR(VLOOKUP($A414,'The List'!$B1:$AS665,17,FALSE)," ")</f>
        <v xml:space="preserve"> </v>
      </c>
      <c r="K414" s="83" t="str">
        <f>IFERROR(VLOOKUP($A414,'The List'!$B1:$AS665,18,FALSE)," ")</f>
        <v xml:space="preserve"> </v>
      </c>
      <c r="L414" s="83" t="str">
        <f>IFERROR(VLOOKUP($A414,'The List'!$B1:$AS665,19,FALSE)," ")</f>
        <v xml:space="preserve"> </v>
      </c>
      <c r="M414" s="83" t="str">
        <f>IFERROR(VLOOKUP($A414,'The List'!$B1:$AS665,20,FALSE)," ")</f>
        <v xml:space="preserve"> </v>
      </c>
      <c r="N414" s="83" t="str">
        <f>IFERROR(VLOOKUP($A414,'The List'!$B1:$AS665,21,FALSE)," ")</f>
        <v xml:space="preserve"> </v>
      </c>
      <c r="O414" s="83" t="str">
        <f>IFERROR(VLOOKUP($A414,'The List'!$B1:$AS665,22,FALSE)," ")</f>
        <v xml:space="preserve"> </v>
      </c>
      <c r="P414" s="83" t="str">
        <f>IFERROR(VLOOKUP($A414,'The List'!$B1:$AS665,23,FALSE)," ")</f>
        <v xml:space="preserve"> </v>
      </c>
      <c r="Q414" s="83" t="str">
        <f>IFERROR(VLOOKUP($A414,'The List'!$B1:$AS665,24,FALSE)," ")</f>
        <v xml:space="preserve"> </v>
      </c>
      <c r="R414" s="83" t="str">
        <f>IFERROR(VLOOKUP($A414,'The List'!$B1:$AS665,25,FALSE)," ")</f>
        <v xml:space="preserve"> </v>
      </c>
      <c r="S414" s="83" t="str">
        <f>IFERROR(VLOOKUP($A414,'The List'!$B1:$AS665,26,FALSE)," ")</f>
        <v xml:space="preserve"> </v>
      </c>
      <c r="T414" s="83" t="str">
        <f>IFERROR(VLOOKUP($A414,'The List'!$B1:$AS665,27,FALSE)," ")</f>
        <v xml:space="preserve"> </v>
      </c>
      <c r="U414" s="83" t="str">
        <f>IFERROR(VLOOKUP($A414,'The List'!$B1:$AS665,28,FALSE)," ")</f>
        <v xml:space="preserve"> </v>
      </c>
      <c r="V414" s="83" t="str">
        <f>IFERROR(VLOOKUP($A414,'The List'!$B1:$AS665,29,FALSE)," ")</f>
        <v xml:space="preserve"> </v>
      </c>
      <c r="W414" s="83" t="str">
        <f>IFERROR(VLOOKUP($A414,'The List'!$B1:$AS665,30,FALSE)," ")</f>
        <v xml:space="preserve"> </v>
      </c>
      <c r="X414" s="83" t="str">
        <f>IFERROR(VLOOKUP($A414,'The List'!$B1:$AS665,31,FALSE)," ")</f>
        <v xml:space="preserve"> </v>
      </c>
      <c r="Y414" s="83" t="str">
        <f>IFERROR(VLOOKUP($A414,'The List'!$B1:$AS665,32,FALSE)," ")</f>
        <v xml:space="preserve"> </v>
      </c>
      <c r="Z414" s="83" t="str">
        <f>IFERROR(VLOOKUP($A414,'The List'!$B1:$AS665,33,FALSE)," ")</f>
        <v xml:space="preserve"> </v>
      </c>
      <c r="AA414" s="86"/>
      <c r="AB414" s="91"/>
      <c r="AC414" s="91"/>
      <c r="AD414" s="91"/>
      <c r="AE414" s="91"/>
      <c r="AF414" s="91"/>
    </row>
    <row r="415" spans="1:32" ht="21.25" customHeight="1" x14ac:dyDescent="0.15">
      <c r="A415" s="23"/>
      <c r="B415" s="94" t="str">
        <f>IFERROR(VLOOKUP($A415,'The List'!$B1:$AS665,3,FALSE)," ")</f>
        <v xml:space="preserve"> </v>
      </c>
      <c r="C415" s="96" t="str">
        <f>IFERROR(VLOOKUP($A415,'The List'!$B1:$AS665,4,FALSE)," ")</f>
        <v xml:space="preserve"> </v>
      </c>
      <c r="D415" s="65" t="str">
        <f>IFERROR(VLOOKUP($A415,'The List'!$B1:$AS665,5,FALSE)," ")</f>
        <v xml:space="preserve"> </v>
      </c>
      <c r="E415" s="65" t="str">
        <f>IFERROR(VLOOKUP($A415,'The List'!$B1:$AS665,6,FALSE)," ")</f>
        <v xml:space="preserve"> </v>
      </c>
      <c r="F415" s="93" t="str">
        <f>IFERROR(VLOOKUP($A415,'The List'!$B1:$AS665,8,FALSE)," ")</f>
        <v xml:space="preserve"> </v>
      </c>
      <c r="G415" s="93" t="str">
        <f>IFERROR(VLOOKUP($A415,'The List'!$B1:$AS665,10,FALSE)," ")</f>
        <v xml:space="preserve"> </v>
      </c>
      <c r="H415" s="54"/>
      <c r="I415" s="83" t="str">
        <f>IFERROR(VLOOKUP($A415,'The List'!$B1:$AS665,16,FALSE)," ")</f>
        <v xml:space="preserve"> </v>
      </c>
      <c r="J415" s="83" t="str">
        <f>IFERROR(VLOOKUP($A415,'The List'!$B1:$AS665,17,FALSE)," ")</f>
        <v xml:space="preserve"> </v>
      </c>
      <c r="K415" s="83" t="str">
        <f>IFERROR(VLOOKUP($A415,'The List'!$B1:$AS665,18,FALSE)," ")</f>
        <v xml:space="preserve"> </v>
      </c>
      <c r="L415" s="83" t="str">
        <f>IFERROR(VLOOKUP($A415,'The List'!$B1:$AS665,19,FALSE)," ")</f>
        <v xml:space="preserve"> </v>
      </c>
      <c r="M415" s="83" t="str">
        <f>IFERROR(VLOOKUP($A415,'The List'!$B1:$AS665,20,FALSE)," ")</f>
        <v xml:space="preserve"> </v>
      </c>
      <c r="N415" s="83" t="str">
        <f>IFERROR(VLOOKUP($A415,'The List'!$B1:$AS665,21,FALSE)," ")</f>
        <v xml:space="preserve"> </v>
      </c>
      <c r="O415" s="83" t="str">
        <f>IFERROR(VLOOKUP($A415,'The List'!$B1:$AS665,22,FALSE)," ")</f>
        <v xml:space="preserve"> </v>
      </c>
      <c r="P415" s="83" t="str">
        <f>IFERROR(VLOOKUP($A415,'The List'!$B1:$AS665,23,FALSE)," ")</f>
        <v xml:space="preserve"> </v>
      </c>
      <c r="Q415" s="83" t="str">
        <f>IFERROR(VLOOKUP($A415,'The List'!$B1:$AS665,24,FALSE)," ")</f>
        <v xml:space="preserve"> </v>
      </c>
      <c r="R415" s="83" t="str">
        <f>IFERROR(VLOOKUP($A415,'The List'!$B1:$AS665,25,FALSE)," ")</f>
        <v xml:space="preserve"> </v>
      </c>
      <c r="S415" s="83" t="str">
        <f>IFERROR(VLOOKUP($A415,'The List'!$B1:$AS665,26,FALSE)," ")</f>
        <v xml:space="preserve"> </v>
      </c>
      <c r="T415" s="83" t="str">
        <f>IFERROR(VLOOKUP($A415,'The List'!$B1:$AS665,27,FALSE)," ")</f>
        <v xml:space="preserve"> </v>
      </c>
      <c r="U415" s="83" t="str">
        <f>IFERROR(VLOOKUP($A415,'The List'!$B1:$AS665,28,FALSE)," ")</f>
        <v xml:space="preserve"> </v>
      </c>
      <c r="V415" s="83" t="str">
        <f>IFERROR(VLOOKUP($A415,'The List'!$B1:$AS665,29,FALSE)," ")</f>
        <v xml:space="preserve"> </v>
      </c>
      <c r="W415" s="83" t="str">
        <f>IFERROR(VLOOKUP($A415,'The List'!$B1:$AS665,30,FALSE)," ")</f>
        <v xml:space="preserve"> </v>
      </c>
      <c r="X415" s="83" t="str">
        <f>IFERROR(VLOOKUP($A415,'The List'!$B1:$AS665,31,FALSE)," ")</f>
        <v xml:space="preserve"> </v>
      </c>
      <c r="Y415" s="83" t="str">
        <f>IFERROR(VLOOKUP($A415,'The List'!$B1:$AS665,32,FALSE)," ")</f>
        <v xml:space="preserve"> </v>
      </c>
      <c r="Z415" s="83" t="str">
        <f>IFERROR(VLOOKUP($A415,'The List'!$B1:$AS665,33,FALSE)," ")</f>
        <v xml:space="preserve"> </v>
      </c>
      <c r="AA415" s="86"/>
      <c r="AB415" s="91"/>
      <c r="AC415" s="91"/>
      <c r="AD415" s="91"/>
      <c r="AE415" s="91"/>
      <c r="AF415" s="91"/>
    </row>
    <row r="416" spans="1:32" ht="21.25" customHeight="1" x14ac:dyDescent="0.15">
      <c r="A416" s="23"/>
      <c r="B416" s="97" t="str">
        <f>IFERROR(VLOOKUP($A416,'The List'!$B1:$AS665,3,FALSE)," ")</f>
        <v xml:space="preserve"> </v>
      </c>
      <c r="C416" s="99" t="str">
        <f>IFERROR(VLOOKUP($A416,'The List'!$B1:$AS665,4,FALSE)," ")</f>
        <v xml:space="preserve"> </v>
      </c>
      <c r="D416" s="65" t="str">
        <f>IFERROR(VLOOKUP($A416,'The List'!$B1:$AS665,5,FALSE)," ")</f>
        <v xml:space="preserve"> </v>
      </c>
      <c r="E416" s="65" t="str">
        <f>IFERROR(VLOOKUP($A416,'The List'!$B1:$AS665,6,FALSE)," ")</f>
        <v xml:space="preserve"> </v>
      </c>
      <c r="F416" s="93" t="str">
        <f>IFERROR(VLOOKUP($A416,'The List'!$B1:$AS665,8,FALSE)," ")</f>
        <v xml:space="preserve"> </v>
      </c>
      <c r="G416" s="93" t="str">
        <f>IFERROR(VLOOKUP($A416,'The List'!$B1:$AS665,10,FALSE)," ")</f>
        <v xml:space="preserve"> </v>
      </c>
      <c r="H416" s="54"/>
      <c r="I416" s="83" t="str">
        <f>IFERROR(VLOOKUP($A416,'The List'!$B1:$AS665,16,FALSE)," ")</f>
        <v xml:space="preserve"> </v>
      </c>
      <c r="J416" s="83" t="str">
        <f>IFERROR(VLOOKUP($A416,'The List'!$B1:$AS665,17,FALSE)," ")</f>
        <v xml:space="preserve"> </v>
      </c>
      <c r="K416" s="83" t="str">
        <f>IFERROR(VLOOKUP($A416,'The List'!$B1:$AS665,18,FALSE)," ")</f>
        <v xml:space="preserve"> </v>
      </c>
      <c r="L416" s="83" t="str">
        <f>IFERROR(VLOOKUP($A416,'The List'!$B1:$AS665,19,FALSE)," ")</f>
        <v xml:space="preserve"> </v>
      </c>
      <c r="M416" s="83" t="str">
        <f>IFERROR(VLOOKUP($A416,'The List'!$B1:$AS665,20,FALSE)," ")</f>
        <v xml:space="preserve"> </v>
      </c>
      <c r="N416" s="83" t="str">
        <f>IFERROR(VLOOKUP($A416,'The List'!$B1:$AS665,21,FALSE)," ")</f>
        <v xml:space="preserve"> </v>
      </c>
      <c r="O416" s="83" t="str">
        <f>IFERROR(VLOOKUP($A416,'The List'!$B1:$AS665,22,FALSE)," ")</f>
        <v xml:space="preserve"> </v>
      </c>
      <c r="P416" s="83" t="str">
        <f>IFERROR(VLOOKUP($A416,'The List'!$B1:$AS665,23,FALSE)," ")</f>
        <v xml:space="preserve"> </v>
      </c>
      <c r="Q416" s="83" t="str">
        <f>IFERROR(VLOOKUP($A416,'The List'!$B1:$AS665,24,FALSE)," ")</f>
        <v xml:space="preserve"> </v>
      </c>
      <c r="R416" s="83" t="str">
        <f>IFERROR(VLOOKUP($A416,'The List'!$B1:$AS665,25,FALSE)," ")</f>
        <v xml:space="preserve"> </v>
      </c>
      <c r="S416" s="83" t="str">
        <f>IFERROR(VLOOKUP($A416,'The List'!$B1:$AS665,26,FALSE)," ")</f>
        <v xml:space="preserve"> </v>
      </c>
      <c r="T416" s="83" t="str">
        <f>IFERROR(VLOOKUP($A416,'The List'!$B1:$AS665,27,FALSE)," ")</f>
        <v xml:space="preserve"> </v>
      </c>
      <c r="U416" s="83" t="str">
        <f>IFERROR(VLOOKUP($A416,'The List'!$B1:$AS665,28,FALSE)," ")</f>
        <v xml:space="preserve"> </v>
      </c>
      <c r="V416" s="83" t="str">
        <f>IFERROR(VLOOKUP($A416,'The List'!$B1:$AS665,29,FALSE)," ")</f>
        <v xml:space="preserve"> </v>
      </c>
      <c r="W416" s="83" t="str">
        <f>IFERROR(VLOOKUP($A416,'The List'!$B1:$AS665,30,FALSE)," ")</f>
        <v xml:space="preserve"> </v>
      </c>
      <c r="X416" s="83" t="str">
        <f>IFERROR(VLOOKUP($A416,'The List'!$B1:$AS665,31,FALSE)," ")</f>
        <v xml:space="preserve"> </v>
      </c>
      <c r="Y416" s="83" t="str">
        <f>IFERROR(VLOOKUP($A416,'The List'!$B1:$AS665,32,FALSE)," ")</f>
        <v xml:space="preserve"> </v>
      </c>
      <c r="Z416" s="83" t="str">
        <f>IFERROR(VLOOKUP($A416,'The List'!$B1:$AS665,33,FALSE)," ")</f>
        <v xml:space="preserve"> </v>
      </c>
      <c r="AA416" s="86"/>
      <c r="AB416" s="91"/>
      <c r="AC416" s="91"/>
      <c r="AD416" s="91"/>
      <c r="AE416" s="91"/>
      <c r="AF416" s="91"/>
    </row>
    <row r="417" spans="1:32" ht="21.25" customHeight="1" x14ac:dyDescent="0.15">
      <c r="A417" s="23"/>
      <c r="B417" s="97" t="str">
        <f>IFERROR(VLOOKUP($A417,'The List'!$B1:$AS665,3,FALSE)," ")</f>
        <v xml:space="preserve"> </v>
      </c>
      <c r="C417" s="99" t="str">
        <f>IFERROR(VLOOKUP($A417,'The List'!$B1:$AS665,4,FALSE)," ")</f>
        <v xml:space="preserve"> </v>
      </c>
      <c r="D417" s="65" t="str">
        <f>IFERROR(VLOOKUP($A417,'The List'!$B1:$AS665,5,FALSE)," ")</f>
        <v xml:space="preserve"> </v>
      </c>
      <c r="E417" s="65" t="str">
        <f>IFERROR(VLOOKUP($A417,'The List'!$B1:$AS665,6,FALSE)," ")</f>
        <v xml:space="preserve"> </v>
      </c>
      <c r="F417" s="93" t="str">
        <f>IFERROR(VLOOKUP($A417,'The List'!$B1:$AS665,8,FALSE)," ")</f>
        <v xml:space="preserve"> </v>
      </c>
      <c r="G417" s="93" t="str">
        <f>IFERROR(VLOOKUP($A417,'The List'!$B1:$AS665,10,FALSE)," ")</f>
        <v xml:space="preserve"> </v>
      </c>
      <c r="H417" s="54"/>
      <c r="I417" s="83" t="str">
        <f>IFERROR(VLOOKUP($A417,'The List'!$B1:$AS665,16,FALSE)," ")</f>
        <v xml:space="preserve"> </v>
      </c>
      <c r="J417" s="83" t="str">
        <f>IFERROR(VLOOKUP($A417,'The List'!$B1:$AS665,17,FALSE)," ")</f>
        <v xml:space="preserve"> </v>
      </c>
      <c r="K417" s="83" t="str">
        <f>IFERROR(VLOOKUP($A417,'The List'!$B1:$AS665,18,FALSE)," ")</f>
        <v xml:space="preserve"> </v>
      </c>
      <c r="L417" s="83" t="str">
        <f>IFERROR(VLOOKUP($A417,'The List'!$B1:$AS665,19,FALSE)," ")</f>
        <v xml:space="preserve"> </v>
      </c>
      <c r="M417" s="83" t="str">
        <f>IFERROR(VLOOKUP($A417,'The List'!$B1:$AS665,20,FALSE)," ")</f>
        <v xml:space="preserve"> </v>
      </c>
      <c r="N417" s="83" t="str">
        <f>IFERROR(VLOOKUP($A417,'The List'!$B1:$AS665,21,FALSE)," ")</f>
        <v xml:space="preserve"> </v>
      </c>
      <c r="O417" s="83" t="str">
        <f>IFERROR(VLOOKUP($A417,'The List'!$B1:$AS665,22,FALSE)," ")</f>
        <v xml:space="preserve"> </v>
      </c>
      <c r="P417" s="83" t="str">
        <f>IFERROR(VLOOKUP($A417,'The List'!$B1:$AS665,23,FALSE)," ")</f>
        <v xml:space="preserve"> </v>
      </c>
      <c r="Q417" s="83" t="str">
        <f>IFERROR(VLOOKUP($A417,'The List'!$B1:$AS665,24,FALSE)," ")</f>
        <v xml:space="preserve"> </v>
      </c>
      <c r="R417" s="83" t="str">
        <f>IFERROR(VLOOKUP($A417,'The List'!$B1:$AS665,25,FALSE)," ")</f>
        <v xml:space="preserve"> </v>
      </c>
      <c r="S417" s="83" t="str">
        <f>IFERROR(VLOOKUP($A417,'The List'!$B1:$AS665,26,FALSE)," ")</f>
        <v xml:space="preserve"> </v>
      </c>
      <c r="T417" s="83" t="str">
        <f>IFERROR(VLOOKUP($A417,'The List'!$B1:$AS665,27,FALSE)," ")</f>
        <v xml:space="preserve"> </v>
      </c>
      <c r="U417" s="83" t="str">
        <f>IFERROR(VLOOKUP($A417,'The List'!$B1:$AS665,28,FALSE)," ")</f>
        <v xml:space="preserve"> </v>
      </c>
      <c r="V417" s="83" t="str">
        <f>IFERROR(VLOOKUP($A417,'The List'!$B1:$AS665,29,FALSE)," ")</f>
        <v xml:space="preserve"> </v>
      </c>
      <c r="W417" s="83" t="str">
        <f>IFERROR(VLOOKUP($A417,'The List'!$B1:$AS665,30,FALSE)," ")</f>
        <v xml:space="preserve"> </v>
      </c>
      <c r="X417" s="83" t="str">
        <f>IFERROR(VLOOKUP($A417,'The List'!$B1:$AS665,31,FALSE)," ")</f>
        <v xml:space="preserve"> </v>
      </c>
      <c r="Y417" s="83" t="str">
        <f>IFERROR(VLOOKUP($A417,'The List'!$B1:$AS665,32,FALSE)," ")</f>
        <v xml:space="preserve"> </v>
      </c>
      <c r="Z417" s="83" t="str">
        <f>IFERROR(VLOOKUP($A417,'The List'!$B1:$AS665,33,FALSE)," ")</f>
        <v xml:space="preserve"> </v>
      </c>
      <c r="AA417" s="86"/>
      <c r="AB417" s="91"/>
      <c r="AC417" s="91"/>
      <c r="AD417" s="91"/>
      <c r="AE417" s="91"/>
      <c r="AF417" s="91"/>
    </row>
    <row r="418" spans="1:32" ht="21.25" customHeight="1" x14ac:dyDescent="0.15">
      <c r="A418" s="23"/>
      <c r="B418" s="97" t="str">
        <f>IFERROR(VLOOKUP($A418,'The List'!$B1:$AS665,3,FALSE)," ")</f>
        <v xml:space="preserve"> </v>
      </c>
      <c r="C418" s="99" t="str">
        <f>IFERROR(VLOOKUP($A418,'The List'!$B1:$AS665,4,FALSE)," ")</f>
        <v xml:space="preserve"> </v>
      </c>
      <c r="D418" s="65" t="str">
        <f>IFERROR(VLOOKUP($A418,'The List'!$B1:$AS665,5,FALSE)," ")</f>
        <v xml:space="preserve"> </v>
      </c>
      <c r="E418" s="65" t="str">
        <f>IFERROR(VLOOKUP($A418,'The List'!$B1:$AS665,6,FALSE)," ")</f>
        <v xml:space="preserve"> </v>
      </c>
      <c r="F418" s="93" t="str">
        <f>IFERROR(VLOOKUP($A418,'The List'!$B1:$AS665,8,FALSE)," ")</f>
        <v xml:space="preserve"> </v>
      </c>
      <c r="G418" s="93" t="str">
        <f>IFERROR(VLOOKUP($A418,'The List'!$B1:$AS665,10,FALSE)," ")</f>
        <v xml:space="preserve"> </v>
      </c>
      <c r="H418" s="54"/>
      <c r="I418" s="83" t="str">
        <f>IFERROR(VLOOKUP($A418,'The List'!$B1:$AS665,16,FALSE)," ")</f>
        <v xml:space="preserve"> </v>
      </c>
      <c r="J418" s="83" t="str">
        <f>IFERROR(VLOOKUP($A418,'The List'!$B1:$AS665,17,FALSE)," ")</f>
        <v xml:space="preserve"> </v>
      </c>
      <c r="K418" s="83" t="str">
        <f>IFERROR(VLOOKUP($A418,'The List'!$B1:$AS665,18,FALSE)," ")</f>
        <v xml:space="preserve"> </v>
      </c>
      <c r="L418" s="83" t="str">
        <f>IFERROR(VLOOKUP($A418,'The List'!$B1:$AS665,19,FALSE)," ")</f>
        <v xml:space="preserve"> </v>
      </c>
      <c r="M418" s="83" t="str">
        <f>IFERROR(VLOOKUP($A418,'The List'!$B1:$AS665,20,FALSE)," ")</f>
        <v xml:space="preserve"> </v>
      </c>
      <c r="N418" s="83" t="str">
        <f>IFERROR(VLOOKUP($A418,'The List'!$B1:$AS665,21,FALSE)," ")</f>
        <v xml:space="preserve"> </v>
      </c>
      <c r="O418" s="83" t="str">
        <f>IFERROR(VLOOKUP($A418,'The List'!$B1:$AS665,22,FALSE)," ")</f>
        <v xml:space="preserve"> </v>
      </c>
      <c r="P418" s="83" t="str">
        <f>IFERROR(VLOOKUP($A418,'The List'!$B1:$AS665,23,FALSE)," ")</f>
        <v xml:space="preserve"> </v>
      </c>
      <c r="Q418" s="83" t="str">
        <f>IFERROR(VLOOKUP($A418,'The List'!$B1:$AS665,24,FALSE)," ")</f>
        <v xml:space="preserve"> </v>
      </c>
      <c r="R418" s="83" t="str">
        <f>IFERROR(VLOOKUP($A418,'The List'!$B1:$AS665,25,FALSE)," ")</f>
        <v xml:space="preserve"> </v>
      </c>
      <c r="S418" s="83" t="str">
        <f>IFERROR(VLOOKUP($A418,'The List'!$B1:$AS665,26,FALSE)," ")</f>
        <v xml:space="preserve"> </v>
      </c>
      <c r="T418" s="83" t="str">
        <f>IFERROR(VLOOKUP($A418,'The List'!$B1:$AS665,27,FALSE)," ")</f>
        <v xml:space="preserve"> </v>
      </c>
      <c r="U418" s="83" t="str">
        <f>IFERROR(VLOOKUP($A418,'The List'!$B1:$AS665,28,FALSE)," ")</f>
        <v xml:space="preserve"> </v>
      </c>
      <c r="V418" s="83" t="str">
        <f>IFERROR(VLOOKUP($A418,'The List'!$B1:$AS665,29,FALSE)," ")</f>
        <v xml:space="preserve"> </v>
      </c>
      <c r="W418" s="83" t="str">
        <f>IFERROR(VLOOKUP($A418,'The List'!$B1:$AS665,30,FALSE)," ")</f>
        <v xml:space="preserve"> </v>
      </c>
      <c r="X418" s="83" t="str">
        <f>IFERROR(VLOOKUP($A418,'The List'!$B1:$AS665,31,FALSE)," ")</f>
        <v xml:space="preserve"> </v>
      </c>
      <c r="Y418" s="83" t="str">
        <f>IFERROR(VLOOKUP($A418,'The List'!$B1:$AS665,32,FALSE)," ")</f>
        <v xml:space="preserve"> </v>
      </c>
      <c r="Z418" s="83" t="str">
        <f>IFERROR(VLOOKUP($A418,'The List'!$B1:$AS665,33,FALSE)," ")</f>
        <v xml:space="preserve"> </v>
      </c>
      <c r="AA418" s="86"/>
      <c r="AB418" s="91"/>
      <c r="AC418" s="91"/>
      <c r="AD418" s="91"/>
      <c r="AE418" s="91"/>
      <c r="AF418" s="91"/>
    </row>
    <row r="419" spans="1:32" ht="21.25" customHeight="1" x14ac:dyDescent="0.15">
      <c r="A419" s="23"/>
      <c r="B419" s="97" t="str">
        <f>IFERROR(VLOOKUP($A419,'The List'!$B1:$AS665,3,FALSE)," ")</f>
        <v xml:space="preserve"> </v>
      </c>
      <c r="C419" s="99" t="str">
        <f>IFERROR(VLOOKUP($A419,'The List'!$B1:$AS665,4,FALSE)," ")</f>
        <v xml:space="preserve"> </v>
      </c>
      <c r="D419" s="65" t="str">
        <f>IFERROR(VLOOKUP($A419,'The List'!$B1:$AS665,5,FALSE)," ")</f>
        <v xml:space="preserve"> </v>
      </c>
      <c r="E419" s="65" t="str">
        <f>IFERROR(VLOOKUP($A419,'The List'!$B1:$AS665,6,FALSE)," ")</f>
        <v xml:space="preserve"> </v>
      </c>
      <c r="F419" s="93" t="str">
        <f>IFERROR(VLOOKUP($A419,'The List'!$B1:$AS665,8,FALSE)," ")</f>
        <v xml:space="preserve"> </v>
      </c>
      <c r="G419" s="93" t="str">
        <f>IFERROR(VLOOKUP($A419,'The List'!$B1:$AS665,10,FALSE)," ")</f>
        <v xml:space="preserve"> </v>
      </c>
      <c r="H419" s="54"/>
      <c r="I419" s="83" t="str">
        <f>IFERROR(VLOOKUP($A419,'The List'!$B1:$AS665,16,FALSE)," ")</f>
        <v xml:space="preserve"> </v>
      </c>
      <c r="J419" s="83" t="str">
        <f>IFERROR(VLOOKUP($A419,'The List'!$B1:$AS665,17,FALSE)," ")</f>
        <v xml:space="preserve"> </v>
      </c>
      <c r="K419" s="83" t="str">
        <f>IFERROR(VLOOKUP($A419,'The List'!$B1:$AS665,18,FALSE)," ")</f>
        <v xml:space="preserve"> </v>
      </c>
      <c r="L419" s="83" t="str">
        <f>IFERROR(VLOOKUP($A419,'The List'!$B1:$AS665,19,FALSE)," ")</f>
        <v xml:space="preserve"> </v>
      </c>
      <c r="M419" s="83" t="str">
        <f>IFERROR(VLOOKUP($A419,'The List'!$B1:$AS665,20,FALSE)," ")</f>
        <v xml:space="preserve"> </v>
      </c>
      <c r="N419" s="83" t="str">
        <f>IFERROR(VLOOKUP($A419,'The List'!$B1:$AS665,21,FALSE)," ")</f>
        <v xml:space="preserve"> </v>
      </c>
      <c r="O419" s="83" t="str">
        <f>IFERROR(VLOOKUP($A419,'The List'!$B1:$AS665,22,FALSE)," ")</f>
        <v xml:space="preserve"> </v>
      </c>
      <c r="P419" s="83" t="str">
        <f>IFERROR(VLOOKUP($A419,'The List'!$B1:$AS665,23,FALSE)," ")</f>
        <v xml:space="preserve"> </v>
      </c>
      <c r="Q419" s="83" t="str">
        <f>IFERROR(VLOOKUP($A419,'The List'!$B1:$AS665,24,FALSE)," ")</f>
        <v xml:space="preserve"> </v>
      </c>
      <c r="R419" s="83" t="str">
        <f>IFERROR(VLOOKUP($A419,'The List'!$B1:$AS665,25,FALSE)," ")</f>
        <v xml:space="preserve"> </v>
      </c>
      <c r="S419" s="83" t="str">
        <f>IFERROR(VLOOKUP($A419,'The List'!$B1:$AS665,26,FALSE)," ")</f>
        <v xml:space="preserve"> </v>
      </c>
      <c r="T419" s="83" t="str">
        <f>IFERROR(VLOOKUP($A419,'The List'!$B1:$AS665,27,FALSE)," ")</f>
        <v xml:space="preserve"> </v>
      </c>
      <c r="U419" s="83" t="str">
        <f>IFERROR(VLOOKUP($A419,'The List'!$B1:$AS665,28,FALSE)," ")</f>
        <v xml:space="preserve"> </v>
      </c>
      <c r="V419" s="83" t="str">
        <f>IFERROR(VLOOKUP($A419,'The List'!$B1:$AS665,29,FALSE)," ")</f>
        <v xml:space="preserve"> </v>
      </c>
      <c r="W419" s="83" t="str">
        <f>IFERROR(VLOOKUP($A419,'The List'!$B1:$AS665,30,FALSE)," ")</f>
        <v xml:space="preserve"> </v>
      </c>
      <c r="X419" s="83" t="str">
        <f>IFERROR(VLOOKUP($A419,'The List'!$B1:$AS665,31,FALSE)," ")</f>
        <v xml:space="preserve"> </v>
      </c>
      <c r="Y419" s="83" t="str">
        <f>IFERROR(VLOOKUP($A419,'The List'!$B1:$AS665,32,FALSE)," ")</f>
        <v xml:space="preserve"> </v>
      </c>
      <c r="Z419" s="83" t="str">
        <f>IFERROR(VLOOKUP($A419,'The List'!$B1:$AS665,33,FALSE)," ")</f>
        <v xml:space="preserve"> </v>
      </c>
      <c r="AA419" s="86"/>
      <c r="AB419" s="91"/>
      <c r="AC419" s="91"/>
      <c r="AD419" s="91"/>
      <c r="AE419" s="91"/>
      <c r="AF419" s="91"/>
    </row>
    <row r="420" spans="1:32" ht="21.25" customHeight="1" x14ac:dyDescent="0.15">
      <c r="A420" s="23"/>
      <c r="B420" s="100" t="str">
        <f>IFERROR(VLOOKUP($A420,'The List'!$B1:$AS665,3,FALSE)," ")</f>
        <v xml:space="preserve"> </v>
      </c>
      <c r="C420" s="102" t="str">
        <f>IFERROR(VLOOKUP($A420,'The List'!$B1:$AS665,4,FALSE)," ")</f>
        <v xml:space="preserve"> </v>
      </c>
      <c r="D420" s="65" t="str">
        <f>IFERROR(VLOOKUP($A420,'The List'!$B1:$AS665,5,FALSE)," ")</f>
        <v xml:space="preserve"> </v>
      </c>
      <c r="E420" s="65" t="str">
        <f>IFERROR(VLOOKUP($A420,'The List'!$B1:$AS665,6,FALSE)," ")</f>
        <v xml:space="preserve"> </v>
      </c>
      <c r="F420" s="93" t="str">
        <f>IFERROR(VLOOKUP($A420,'The List'!$B1:$AS665,8,FALSE)," ")</f>
        <v xml:space="preserve"> </v>
      </c>
      <c r="G420" s="93" t="str">
        <f>IFERROR(VLOOKUP($A420,'The List'!$B1:$AS665,10,FALSE)," ")</f>
        <v xml:space="preserve"> </v>
      </c>
      <c r="H420" s="54"/>
      <c r="I420" s="83" t="str">
        <f>IFERROR(VLOOKUP($A420,'The List'!$B1:$AS665,16,FALSE)," ")</f>
        <v xml:space="preserve"> </v>
      </c>
      <c r="J420" s="83" t="str">
        <f>IFERROR(VLOOKUP($A420,'The List'!$B1:$AS665,17,FALSE)," ")</f>
        <v xml:space="preserve"> </v>
      </c>
      <c r="K420" s="83" t="str">
        <f>IFERROR(VLOOKUP($A420,'The List'!$B1:$AS665,18,FALSE)," ")</f>
        <v xml:space="preserve"> </v>
      </c>
      <c r="L420" s="83" t="str">
        <f>IFERROR(VLOOKUP($A420,'The List'!$B1:$AS665,19,FALSE)," ")</f>
        <v xml:space="preserve"> </v>
      </c>
      <c r="M420" s="83" t="str">
        <f>IFERROR(VLOOKUP($A420,'The List'!$B1:$AS665,20,FALSE)," ")</f>
        <v xml:space="preserve"> </v>
      </c>
      <c r="N420" s="83" t="str">
        <f>IFERROR(VLOOKUP($A420,'The List'!$B1:$AS665,21,FALSE)," ")</f>
        <v xml:space="preserve"> </v>
      </c>
      <c r="O420" s="83" t="str">
        <f>IFERROR(VLOOKUP($A420,'The List'!$B1:$AS665,22,FALSE)," ")</f>
        <v xml:space="preserve"> </v>
      </c>
      <c r="P420" s="83" t="str">
        <f>IFERROR(VLOOKUP($A420,'The List'!$B1:$AS665,23,FALSE)," ")</f>
        <v xml:space="preserve"> </v>
      </c>
      <c r="Q420" s="83" t="str">
        <f>IFERROR(VLOOKUP($A420,'The List'!$B1:$AS665,24,FALSE)," ")</f>
        <v xml:space="preserve"> </v>
      </c>
      <c r="R420" s="83" t="str">
        <f>IFERROR(VLOOKUP($A420,'The List'!$B1:$AS665,25,FALSE)," ")</f>
        <v xml:space="preserve"> </v>
      </c>
      <c r="S420" s="83" t="str">
        <f>IFERROR(VLOOKUP($A420,'The List'!$B1:$AS665,26,FALSE)," ")</f>
        <v xml:space="preserve"> </v>
      </c>
      <c r="T420" s="83" t="str">
        <f>IFERROR(VLOOKUP($A420,'The List'!$B1:$AS665,27,FALSE)," ")</f>
        <v xml:space="preserve"> </v>
      </c>
      <c r="U420" s="83" t="str">
        <f>IFERROR(VLOOKUP($A420,'The List'!$B1:$AS665,28,FALSE)," ")</f>
        <v xml:space="preserve"> </v>
      </c>
      <c r="V420" s="83" t="str">
        <f>IFERROR(VLOOKUP($A420,'The List'!$B1:$AS665,29,FALSE)," ")</f>
        <v xml:space="preserve"> </v>
      </c>
      <c r="W420" s="83" t="str">
        <f>IFERROR(VLOOKUP($A420,'The List'!$B1:$AS665,30,FALSE)," ")</f>
        <v xml:space="preserve"> </v>
      </c>
      <c r="X420" s="83" t="str">
        <f>IFERROR(VLOOKUP($A420,'The List'!$B1:$AS665,31,FALSE)," ")</f>
        <v xml:space="preserve"> </v>
      </c>
      <c r="Y420" s="83" t="str">
        <f>IFERROR(VLOOKUP($A420,'The List'!$B1:$AS665,32,FALSE)," ")</f>
        <v xml:space="preserve"> </v>
      </c>
      <c r="Z420" s="83" t="str">
        <f>IFERROR(VLOOKUP($A420,'The List'!$B1:$AS665,33,FALSE)," ")</f>
        <v xml:space="preserve"> </v>
      </c>
      <c r="AA420" s="86"/>
      <c r="AB420" s="91"/>
      <c r="AC420" s="91"/>
      <c r="AD420" s="91"/>
      <c r="AE420" s="91"/>
      <c r="AF420" s="91"/>
    </row>
    <row r="421" spans="1:32" ht="21.25" customHeight="1" x14ac:dyDescent="0.15">
      <c r="A421" s="23"/>
      <c r="B421" s="100" t="str">
        <f>IFERROR(VLOOKUP($A421,'The List'!$B1:$AS665,3,FALSE)," ")</f>
        <v xml:space="preserve"> </v>
      </c>
      <c r="C421" s="102" t="str">
        <f>IFERROR(VLOOKUP($A421,'The List'!$B1:$AS665,4,FALSE)," ")</f>
        <v xml:space="preserve"> </v>
      </c>
      <c r="D421" s="65" t="str">
        <f>IFERROR(VLOOKUP($A421,'The List'!$B1:$AS665,5,FALSE)," ")</f>
        <v xml:space="preserve"> </v>
      </c>
      <c r="E421" s="65" t="str">
        <f>IFERROR(VLOOKUP($A421,'The List'!$B1:$AS665,6,FALSE)," ")</f>
        <v xml:space="preserve"> </v>
      </c>
      <c r="F421" s="93" t="str">
        <f>IFERROR(VLOOKUP($A421,'The List'!$B1:$AS665,8,FALSE)," ")</f>
        <v xml:space="preserve"> </v>
      </c>
      <c r="G421" s="93" t="str">
        <f>IFERROR(VLOOKUP($A421,'The List'!$B1:$AS665,10,FALSE)," ")</f>
        <v xml:space="preserve"> </v>
      </c>
      <c r="H421" s="54"/>
      <c r="I421" s="83" t="str">
        <f>IFERROR(VLOOKUP($A421,'The List'!$B1:$AS665,16,FALSE)," ")</f>
        <v xml:space="preserve"> </v>
      </c>
      <c r="J421" s="83" t="str">
        <f>IFERROR(VLOOKUP($A421,'The List'!$B1:$AS665,17,FALSE)," ")</f>
        <v xml:space="preserve"> </v>
      </c>
      <c r="K421" s="83" t="str">
        <f>IFERROR(VLOOKUP($A421,'The List'!$B1:$AS665,18,FALSE)," ")</f>
        <v xml:space="preserve"> </v>
      </c>
      <c r="L421" s="83" t="str">
        <f>IFERROR(VLOOKUP($A421,'The List'!$B1:$AS665,19,FALSE)," ")</f>
        <v xml:space="preserve"> </v>
      </c>
      <c r="M421" s="83" t="str">
        <f>IFERROR(VLOOKUP($A421,'The List'!$B1:$AS665,20,FALSE)," ")</f>
        <v xml:space="preserve"> </v>
      </c>
      <c r="N421" s="83" t="str">
        <f>IFERROR(VLOOKUP($A421,'The List'!$B1:$AS665,21,FALSE)," ")</f>
        <v xml:space="preserve"> </v>
      </c>
      <c r="O421" s="83" t="str">
        <f>IFERROR(VLOOKUP($A421,'The List'!$B1:$AS665,22,FALSE)," ")</f>
        <v xml:space="preserve"> </v>
      </c>
      <c r="P421" s="83" t="str">
        <f>IFERROR(VLOOKUP($A421,'The List'!$B1:$AS665,23,FALSE)," ")</f>
        <v xml:space="preserve"> </v>
      </c>
      <c r="Q421" s="83" t="str">
        <f>IFERROR(VLOOKUP($A421,'The List'!$B1:$AS665,24,FALSE)," ")</f>
        <v xml:space="preserve"> </v>
      </c>
      <c r="R421" s="83" t="str">
        <f>IFERROR(VLOOKUP($A421,'The List'!$B1:$AS665,25,FALSE)," ")</f>
        <v xml:space="preserve"> </v>
      </c>
      <c r="S421" s="83" t="str">
        <f>IFERROR(VLOOKUP($A421,'The List'!$B1:$AS665,26,FALSE)," ")</f>
        <v xml:space="preserve"> </v>
      </c>
      <c r="T421" s="83" t="str">
        <f>IFERROR(VLOOKUP($A421,'The List'!$B1:$AS665,27,FALSE)," ")</f>
        <v xml:space="preserve"> </v>
      </c>
      <c r="U421" s="83" t="str">
        <f>IFERROR(VLOOKUP($A421,'The List'!$B1:$AS665,28,FALSE)," ")</f>
        <v xml:space="preserve"> </v>
      </c>
      <c r="V421" s="83" t="str">
        <f>IFERROR(VLOOKUP($A421,'The List'!$B1:$AS665,29,FALSE)," ")</f>
        <v xml:space="preserve"> </v>
      </c>
      <c r="W421" s="83" t="str">
        <f>IFERROR(VLOOKUP($A421,'The List'!$B1:$AS665,30,FALSE)," ")</f>
        <v xml:space="preserve"> </v>
      </c>
      <c r="X421" s="83" t="str">
        <f>IFERROR(VLOOKUP($A421,'The List'!$B1:$AS665,31,FALSE)," ")</f>
        <v xml:space="preserve"> </v>
      </c>
      <c r="Y421" s="83" t="str">
        <f>IFERROR(VLOOKUP($A421,'The List'!$B1:$AS665,32,FALSE)," ")</f>
        <v xml:space="preserve"> </v>
      </c>
      <c r="Z421" s="83" t="str">
        <f>IFERROR(VLOOKUP($A421,'The List'!$B1:$AS665,33,FALSE)," ")</f>
        <v xml:space="preserve"> </v>
      </c>
      <c r="AA421" s="86"/>
      <c r="AB421" s="91"/>
      <c r="AC421" s="91"/>
      <c r="AD421" s="91"/>
      <c r="AE421" s="91"/>
      <c r="AF421" s="91"/>
    </row>
    <row r="422" spans="1:32" ht="21.25" customHeight="1" x14ac:dyDescent="0.15">
      <c r="A422" s="23"/>
      <c r="B422" s="100" t="str">
        <f>IFERROR(VLOOKUP($A422,'The List'!$B1:$AS665,3,FALSE)," ")</f>
        <v xml:space="preserve"> </v>
      </c>
      <c r="C422" s="102" t="str">
        <f>IFERROR(VLOOKUP($A422,'The List'!$B1:$AS665,4,FALSE)," ")</f>
        <v xml:space="preserve"> </v>
      </c>
      <c r="D422" s="65" t="str">
        <f>IFERROR(VLOOKUP($A422,'The List'!$B1:$AS665,5,FALSE)," ")</f>
        <v xml:space="preserve"> </v>
      </c>
      <c r="E422" s="65" t="str">
        <f>IFERROR(VLOOKUP($A422,'The List'!$B1:$AS665,6,FALSE)," ")</f>
        <v xml:space="preserve"> </v>
      </c>
      <c r="F422" s="93" t="str">
        <f>IFERROR(VLOOKUP($A422,'The List'!$B1:$AS665,8,FALSE)," ")</f>
        <v xml:space="preserve"> </v>
      </c>
      <c r="G422" s="93" t="str">
        <f>IFERROR(VLOOKUP($A422,'The List'!$B1:$AS665,10,FALSE)," ")</f>
        <v xml:space="preserve"> </v>
      </c>
      <c r="H422" s="54"/>
      <c r="I422" s="83" t="str">
        <f>IFERROR(VLOOKUP($A422,'The List'!$B1:$AS665,16,FALSE)," ")</f>
        <v xml:space="preserve"> </v>
      </c>
      <c r="J422" s="83" t="str">
        <f>IFERROR(VLOOKUP($A422,'The List'!$B1:$AS665,17,FALSE)," ")</f>
        <v xml:space="preserve"> </v>
      </c>
      <c r="K422" s="83" t="str">
        <f>IFERROR(VLOOKUP($A422,'The List'!$B1:$AS665,18,FALSE)," ")</f>
        <v xml:space="preserve"> </v>
      </c>
      <c r="L422" s="83" t="str">
        <f>IFERROR(VLOOKUP($A422,'The List'!$B1:$AS665,19,FALSE)," ")</f>
        <v xml:space="preserve"> </v>
      </c>
      <c r="M422" s="83" t="str">
        <f>IFERROR(VLOOKUP($A422,'The List'!$B1:$AS665,20,FALSE)," ")</f>
        <v xml:space="preserve"> </v>
      </c>
      <c r="N422" s="83" t="str">
        <f>IFERROR(VLOOKUP($A422,'The List'!$B1:$AS665,21,FALSE)," ")</f>
        <v xml:space="preserve"> </v>
      </c>
      <c r="O422" s="83" t="str">
        <f>IFERROR(VLOOKUP($A422,'The List'!$B1:$AS665,22,FALSE)," ")</f>
        <v xml:space="preserve"> </v>
      </c>
      <c r="P422" s="83" t="str">
        <f>IFERROR(VLOOKUP($A422,'The List'!$B1:$AS665,23,FALSE)," ")</f>
        <v xml:space="preserve"> </v>
      </c>
      <c r="Q422" s="83" t="str">
        <f>IFERROR(VLOOKUP($A422,'The List'!$B1:$AS665,24,FALSE)," ")</f>
        <v xml:space="preserve"> </v>
      </c>
      <c r="R422" s="83" t="str">
        <f>IFERROR(VLOOKUP($A422,'The List'!$B1:$AS665,25,FALSE)," ")</f>
        <v xml:space="preserve"> </v>
      </c>
      <c r="S422" s="83" t="str">
        <f>IFERROR(VLOOKUP($A422,'The List'!$B1:$AS665,26,FALSE)," ")</f>
        <v xml:space="preserve"> </v>
      </c>
      <c r="T422" s="83" t="str">
        <f>IFERROR(VLOOKUP($A422,'The List'!$B1:$AS665,27,FALSE)," ")</f>
        <v xml:space="preserve"> </v>
      </c>
      <c r="U422" s="83" t="str">
        <f>IFERROR(VLOOKUP($A422,'The List'!$B1:$AS665,28,FALSE)," ")</f>
        <v xml:space="preserve"> </v>
      </c>
      <c r="V422" s="83" t="str">
        <f>IFERROR(VLOOKUP($A422,'The List'!$B1:$AS665,29,FALSE)," ")</f>
        <v xml:space="preserve"> </v>
      </c>
      <c r="W422" s="83" t="str">
        <f>IFERROR(VLOOKUP($A422,'The List'!$B1:$AS665,30,FALSE)," ")</f>
        <v xml:space="preserve"> </v>
      </c>
      <c r="X422" s="83" t="str">
        <f>IFERROR(VLOOKUP($A422,'The List'!$B1:$AS665,31,FALSE)," ")</f>
        <v xml:space="preserve"> </v>
      </c>
      <c r="Y422" s="83" t="str">
        <f>IFERROR(VLOOKUP($A422,'The List'!$B1:$AS665,32,FALSE)," ")</f>
        <v xml:space="preserve"> </v>
      </c>
      <c r="Z422" s="83" t="str">
        <f>IFERROR(VLOOKUP($A422,'The List'!$B1:$AS665,33,FALSE)," ")</f>
        <v xml:space="preserve"> </v>
      </c>
      <c r="AA422" s="86"/>
      <c r="AB422" s="91"/>
      <c r="AC422" s="91"/>
      <c r="AD422" s="91"/>
      <c r="AE422" s="91"/>
      <c r="AF422" s="91"/>
    </row>
    <row r="423" spans="1:32" ht="21.25" customHeight="1" x14ac:dyDescent="0.15">
      <c r="A423" s="23"/>
      <c r="B423" s="100" t="str">
        <f>IFERROR(VLOOKUP($A423,'The List'!$B1:$AS665,3,FALSE)," ")</f>
        <v xml:space="preserve"> </v>
      </c>
      <c r="C423" s="102" t="str">
        <f>IFERROR(VLOOKUP($A423,'The List'!$B1:$AS665,4,FALSE)," ")</f>
        <v xml:space="preserve"> </v>
      </c>
      <c r="D423" s="65" t="str">
        <f>IFERROR(VLOOKUP($A423,'The List'!$B1:$AS665,5,FALSE)," ")</f>
        <v xml:space="preserve"> </v>
      </c>
      <c r="E423" s="65" t="str">
        <f>IFERROR(VLOOKUP($A423,'The List'!$B1:$AS665,6,FALSE)," ")</f>
        <v xml:space="preserve"> </v>
      </c>
      <c r="F423" s="93" t="str">
        <f>IFERROR(VLOOKUP($A423,'The List'!$B1:$AS665,8,FALSE)," ")</f>
        <v xml:space="preserve"> </v>
      </c>
      <c r="G423" s="93" t="str">
        <f>IFERROR(VLOOKUP($A423,'The List'!$B1:$AS665,10,FALSE)," ")</f>
        <v xml:space="preserve"> </v>
      </c>
      <c r="H423" s="54"/>
      <c r="I423" s="83" t="str">
        <f>IFERROR(VLOOKUP($A423,'The List'!$B1:$AS665,16,FALSE)," ")</f>
        <v xml:space="preserve"> </v>
      </c>
      <c r="J423" s="83" t="str">
        <f>IFERROR(VLOOKUP($A423,'The List'!$B1:$AS665,17,FALSE)," ")</f>
        <v xml:space="preserve"> </v>
      </c>
      <c r="K423" s="83" t="str">
        <f>IFERROR(VLOOKUP($A423,'The List'!$B1:$AS665,18,FALSE)," ")</f>
        <v xml:space="preserve"> </v>
      </c>
      <c r="L423" s="83" t="str">
        <f>IFERROR(VLOOKUP($A423,'The List'!$B1:$AS665,19,FALSE)," ")</f>
        <v xml:space="preserve"> </v>
      </c>
      <c r="M423" s="83" t="str">
        <f>IFERROR(VLOOKUP($A423,'The List'!$B1:$AS665,20,FALSE)," ")</f>
        <v xml:space="preserve"> </v>
      </c>
      <c r="N423" s="83" t="str">
        <f>IFERROR(VLOOKUP($A423,'The List'!$B1:$AS665,21,FALSE)," ")</f>
        <v xml:space="preserve"> </v>
      </c>
      <c r="O423" s="83" t="str">
        <f>IFERROR(VLOOKUP($A423,'The List'!$B1:$AS665,22,FALSE)," ")</f>
        <v xml:space="preserve"> </v>
      </c>
      <c r="P423" s="83" t="str">
        <f>IFERROR(VLOOKUP($A423,'The List'!$B1:$AS665,23,FALSE)," ")</f>
        <v xml:space="preserve"> </v>
      </c>
      <c r="Q423" s="83" t="str">
        <f>IFERROR(VLOOKUP($A423,'The List'!$B1:$AS665,24,FALSE)," ")</f>
        <v xml:space="preserve"> </v>
      </c>
      <c r="R423" s="83" t="str">
        <f>IFERROR(VLOOKUP($A423,'The List'!$B1:$AS665,25,FALSE)," ")</f>
        <v xml:space="preserve"> </v>
      </c>
      <c r="S423" s="83" t="str">
        <f>IFERROR(VLOOKUP($A423,'The List'!$B1:$AS665,26,FALSE)," ")</f>
        <v xml:space="preserve"> </v>
      </c>
      <c r="T423" s="83" t="str">
        <f>IFERROR(VLOOKUP($A423,'The List'!$B1:$AS665,27,FALSE)," ")</f>
        <v xml:space="preserve"> </v>
      </c>
      <c r="U423" s="83" t="str">
        <f>IFERROR(VLOOKUP($A423,'The List'!$B1:$AS665,28,FALSE)," ")</f>
        <v xml:space="preserve"> </v>
      </c>
      <c r="V423" s="83" t="str">
        <f>IFERROR(VLOOKUP($A423,'The List'!$B1:$AS665,29,FALSE)," ")</f>
        <v xml:space="preserve"> </v>
      </c>
      <c r="W423" s="83" t="str">
        <f>IFERROR(VLOOKUP($A423,'The List'!$B1:$AS665,30,FALSE)," ")</f>
        <v xml:space="preserve"> </v>
      </c>
      <c r="X423" s="83" t="str">
        <f>IFERROR(VLOOKUP($A423,'The List'!$B1:$AS665,31,FALSE)," ")</f>
        <v xml:space="preserve"> </v>
      </c>
      <c r="Y423" s="83" t="str">
        <f>IFERROR(VLOOKUP($A423,'The List'!$B1:$AS665,32,FALSE)," ")</f>
        <v xml:space="preserve"> </v>
      </c>
      <c r="Z423" s="83" t="str">
        <f>IFERROR(VLOOKUP($A423,'The List'!$B1:$AS665,33,FALSE)," ")</f>
        <v xml:space="preserve"> </v>
      </c>
      <c r="AA423" s="86"/>
      <c r="AB423" s="91"/>
      <c r="AC423" s="91"/>
      <c r="AD423" s="91"/>
      <c r="AE423" s="91"/>
      <c r="AF423" s="91"/>
    </row>
    <row r="424" spans="1:32" ht="21.25" customHeight="1" x14ac:dyDescent="0.15">
      <c r="A424" s="23"/>
      <c r="B424" s="100" t="str">
        <f>IFERROR(VLOOKUP($A424,'The List'!$B1:$AS665,3,FALSE)," ")</f>
        <v xml:space="preserve"> </v>
      </c>
      <c r="C424" s="102" t="str">
        <f>IFERROR(VLOOKUP($A424,'The List'!$B1:$AS665,4,FALSE)," ")</f>
        <v xml:space="preserve"> </v>
      </c>
      <c r="D424" s="65" t="str">
        <f>IFERROR(VLOOKUP($A424,'The List'!$B1:$AS665,5,FALSE)," ")</f>
        <v xml:space="preserve"> </v>
      </c>
      <c r="E424" s="65" t="str">
        <f>IFERROR(VLOOKUP($A424,'The List'!$B1:$AS665,6,FALSE)," ")</f>
        <v xml:space="preserve"> </v>
      </c>
      <c r="F424" s="93" t="str">
        <f>IFERROR(VLOOKUP($A424,'The List'!$B1:$AS665,8,FALSE)," ")</f>
        <v xml:space="preserve"> </v>
      </c>
      <c r="G424" s="93" t="str">
        <f>IFERROR(VLOOKUP($A424,'The List'!$B1:$AS665,10,FALSE)," ")</f>
        <v xml:space="preserve"> </v>
      </c>
      <c r="H424" s="54"/>
      <c r="I424" s="83" t="str">
        <f>IFERROR(VLOOKUP($A424,'The List'!$B1:$AS665,16,FALSE)," ")</f>
        <v xml:space="preserve"> </v>
      </c>
      <c r="J424" s="83" t="str">
        <f>IFERROR(VLOOKUP($A424,'The List'!$B1:$AS665,17,FALSE)," ")</f>
        <v xml:space="preserve"> </v>
      </c>
      <c r="K424" s="83" t="str">
        <f>IFERROR(VLOOKUP($A424,'The List'!$B1:$AS665,18,FALSE)," ")</f>
        <v xml:space="preserve"> </v>
      </c>
      <c r="L424" s="83" t="str">
        <f>IFERROR(VLOOKUP($A424,'The List'!$B1:$AS665,19,FALSE)," ")</f>
        <v xml:space="preserve"> </v>
      </c>
      <c r="M424" s="83" t="str">
        <f>IFERROR(VLOOKUP($A424,'The List'!$B1:$AS665,20,FALSE)," ")</f>
        <v xml:space="preserve"> </v>
      </c>
      <c r="N424" s="83" t="str">
        <f>IFERROR(VLOOKUP($A424,'The List'!$B1:$AS665,21,FALSE)," ")</f>
        <v xml:space="preserve"> </v>
      </c>
      <c r="O424" s="83" t="str">
        <f>IFERROR(VLOOKUP($A424,'The List'!$B1:$AS665,22,FALSE)," ")</f>
        <v xml:space="preserve"> </v>
      </c>
      <c r="P424" s="83" t="str">
        <f>IFERROR(VLOOKUP($A424,'The List'!$B1:$AS665,23,FALSE)," ")</f>
        <v xml:space="preserve"> </v>
      </c>
      <c r="Q424" s="83" t="str">
        <f>IFERROR(VLOOKUP($A424,'The List'!$B1:$AS665,24,FALSE)," ")</f>
        <v xml:space="preserve"> </v>
      </c>
      <c r="R424" s="83" t="str">
        <f>IFERROR(VLOOKUP($A424,'The List'!$B1:$AS665,25,FALSE)," ")</f>
        <v xml:space="preserve"> </v>
      </c>
      <c r="S424" s="83" t="str">
        <f>IFERROR(VLOOKUP($A424,'The List'!$B1:$AS665,26,FALSE)," ")</f>
        <v xml:space="preserve"> </v>
      </c>
      <c r="T424" s="83" t="str">
        <f>IFERROR(VLOOKUP($A424,'The List'!$B1:$AS665,27,FALSE)," ")</f>
        <v xml:space="preserve"> </v>
      </c>
      <c r="U424" s="83" t="str">
        <f>IFERROR(VLOOKUP($A424,'The List'!$B1:$AS665,28,FALSE)," ")</f>
        <v xml:space="preserve"> </v>
      </c>
      <c r="V424" s="83" t="str">
        <f>IFERROR(VLOOKUP($A424,'The List'!$B1:$AS665,29,FALSE)," ")</f>
        <v xml:space="preserve"> </v>
      </c>
      <c r="W424" s="83" t="str">
        <f>IFERROR(VLOOKUP($A424,'The List'!$B1:$AS665,30,FALSE)," ")</f>
        <v xml:space="preserve"> </v>
      </c>
      <c r="X424" s="83" t="str">
        <f>IFERROR(VLOOKUP($A424,'The List'!$B1:$AS665,31,FALSE)," ")</f>
        <v xml:space="preserve"> </v>
      </c>
      <c r="Y424" s="83" t="str">
        <f>IFERROR(VLOOKUP($A424,'The List'!$B1:$AS665,32,FALSE)," ")</f>
        <v xml:space="preserve"> </v>
      </c>
      <c r="Z424" s="83" t="str">
        <f>IFERROR(VLOOKUP($A424,'The List'!$B1:$AS665,33,FALSE)," ")</f>
        <v xml:space="preserve"> </v>
      </c>
      <c r="AA424" s="86"/>
      <c r="AB424" s="91"/>
      <c r="AC424" s="91"/>
      <c r="AD424" s="91"/>
      <c r="AE424" s="91"/>
      <c r="AF424" s="91"/>
    </row>
    <row r="425" spans="1:32" ht="21.25" customHeight="1" x14ac:dyDescent="0.15">
      <c r="A425" s="23"/>
      <c r="B425" s="100" t="str">
        <f>IFERROR(VLOOKUP($A425,'The List'!$B1:$AS665,3,FALSE)," ")</f>
        <v xml:space="preserve"> </v>
      </c>
      <c r="C425" s="102" t="str">
        <f>IFERROR(VLOOKUP($A425,'The List'!$B1:$AS665,4,FALSE)," ")</f>
        <v xml:space="preserve"> </v>
      </c>
      <c r="D425" s="65" t="str">
        <f>IFERROR(VLOOKUP($A425,'The List'!$B1:$AS665,5,FALSE)," ")</f>
        <v xml:space="preserve"> </v>
      </c>
      <c r="E425" s="65" t="str">
        <f>IFERROR(VLOOKUP($A425,'The List'!$B1:$AS665,6,FALSE)," ")</f>
        <v xml:space="preserve"> </v>
      </c>
      <c r="F425" s="93" t="str">
        <f>IFERROR(VLOOKUP($A425,'The List'!$B1:$AS665,8,FALSE)," ")</f>
        <v xml:space="preserve"> </v>
      </c>
      <c r="G425" s="93" t="str">
        <f>IFERROR(VLOOKUP($A425,'The List'!$B1:$AS665,10,FALSE)," ")</f>
        <v xml:space="preserve"> </v>
      </c>
      <c r="H425" s="54"/>
      <c r="I425" s="83" t="str">
        <f>IFERROR(VLOOKUP($A425,'The List'!$B1:$AS665,16,FALSE)," ")</f>
        <v xml:space="preserve"> </v>
      </c>
      <c r="J425" s="83" t="str">
        <f>IFERROR(VLOOKUP($A425,'The List'!$B1:$AS665,17,FALSE)," ")</f>
        <v xml:space="preserve"> </v>
      </c>
      <c r="K425" s="83" t="str">
        <f>IFERROR(VLOOKUP($A425,'The List'!$B1:$AS665,18,FALSE)," ")</f>
        <v xml:space="preserve"> </v>
      </c>
      <c r="L425" s="83" t="str">
        <f>IFERROR(VLOOKUP($A425,'The List'!$B1:$AS665,19,FALSE)," ")</f>
        <v xml:space="preserve"> </v>
      </c>
      <c r="M425" s="83" t="str">
        <f>IFERROR(VLOOKUP($A425,'The List'!$B1:$AS665,20,FALSE)," ")</f>
        <v xml:space="preserve"> </v>
      </c>
      <c r="N425" s="83" t="str">
        <f>IFERROR(VLOOKUP($A425,'The List'!$B1:$AS665,21,FALSE)," ")</f>
        <v xml:space="preserve"> </v>
      </c>
      <c r="O425" s="83" t="str">
        <f>IFERROR(VLOOKUP($A425,'The List'!$B1:$AS665,22,FALSE)," ")</f>
        <v xml:space="preserve"> </v>
      </c>
      <c r="P425" s="83" t="str">
        <f>IFERROR(VLOOKUP($A425,'The List'!$B1:$AS665,23,FALSE)," ")</f>
        <v xml:space="preserve"> </v>
      </c>
      <c r="Q425" s="83" t="str">
        <f>IFERROR(VLOOKUP($A425,'The List'!$B1:$AS665,24,FALSE)," ")</f>
        <v xml:space="preserve"> </v>
      </c>
      <c r="R425" s="83" t="str">
        <f>IFERROR(VLOOKUP($A425,'The List'!$B1:$AS665,25,FALSE)," ")</f>
        <v xml:space="preserve"> </v>
      </c>
      <c r="S425" s="83" t="str">
        <f>IFERROR(VLOOKUP($A425,'The List'!$B1:$AS665,26,FALSE)," ")</f>
        <v xml:space="preserve"> </v>
      </c>
      <c r="T425" s="83" t="str">
        <f>IFERROR(VLOOKUP($A425,'The List'!$B1:$AS665,27,FALSE)," ")</f>
        <v xml:space="preserve"> </v>
      </c>
      <c r="U425" s="83" t="str">
        <f>IFERROR(VLOOKUP($A425,'The List'!$B1:$AS665,28,FALSE)," ")</f>
        <v xml:space="preserve"> </v>
      </c>
      <c r="V425" s="83" t="str">
        <f>IFERROR(VLOOKUP($A425,'The List'!$B1:$AS665,29,FALSE)," ")</f>
        <v xml:space="preserve"> </v>
      </c>
      <c r="W425" s="83" t="str">
        <f>IFERROR(VLOOKUP($A425,'The List'!$B1:$AS665,30,FALSE)," ")</f>
        <v xml:space="preserve"> </v>
      </c>
      <c r="X425" s="83" t="str">
        <f>IFERROR(VLOOKUP($A425,'The List'!$B1:$AS665,31,FALSE)," ")</f>
        <v xml:space="preserve"> </v>
      </c>
      <c r="Y425" s="83" t="str">
        <f>IFERROR(VLOOKUP($A425,'The List'!$B1:$AS665,32,FALSE)," ")</f>
        <v xml:space="preserve"> </v>
      </c>
      <c r="Z425" s="83" t="str">
        <f>IFERROR(VLOOKUP($A425,'The List'!$B1:$AS665,33,FALSE)," ")</f>
        <v xml:space="preserve"> </v>
      </c>
      <c r="AA425" s="86"/>
      <c r="AB425" s="91"/>
      <c r="AC425" s="91"/>
      <c r="AD425" s="91"/>
      <c r="AE425" s="91"/>
      <c r="AF425" s="91"/>
    </row>
    <row r="426" spans="1:32" ht="21.25" customHeight="1" x14ac:dyDescent="0.15">
      <c r="A426" s="23"/>
      <c r="B426" s="100" t="str">
        <f>IFERROR(VLOOKUP($A426,'The List'!$B1:$AS665,3,FALSE)," ")</f>
        <v xml:space="preserve"> </v>
      </c>
      <c r="C426" s="102" t="str">
        <f>IFERROR(VLOOKUP($A426,'The List'!$B1:$AS665,4,FALSE)," ")</f>
        <v xml:space="preserve"> </v>
      </c>
      <c r="D426" s="65" t="str">
        <f>IFERROR(VLOOKUP($A426,'The List'!$B1:$AS665,5,FALSE)," ")</f>
        <v xml:space="preserve"> </v>
      </c>
      <c r="E426" s="65" t="str">
        <f>IFERROR(VLOOKUP($A426,'The List'!$B1:$AS665,6,FALSE)," ")</f>
        <v xml:space="preserve"> </v>
      </c>
      <c r="F426" s="93" t="str">
        <f>IFERROR(VLOOKUP($A426,'The List'!$B1:$AS665,8,FALSE)," ")</f>
        <v xml:space="preserve"> </v>
      </c>
      <c r="G426" s="93" t="str">
        <f>IFERROR(VLOOKUP($A426,'The List'!$B1:$AS665,10,FALSE)," ")</f>
        <v xml:space="preserve"> </v>
      </c>
      <c r="H426" s="54"/>
      <c r="I426" s="83" t="str">
        <f>IFERROR(VLOOKUP($A426,'The List'!$B1:$AS665,16,FALSE)," ")</f>
        <v xml:space="preserve"> </v>
      </c>
      <c r="J426" s="83" t="str">
        <f>IFERROR(VLOOKUP($A426,'The List'!$B1:$AS665,17,FALSE)," ")</f>
        <v xml:space="preserve"> </v>
      </c>
      <c r="K426" s="83" t="str">
        <f>IFERROR(VLOOKUP($A426,'The List'!$B1:$AS665,18,FALSE)," ")</f>
        <v xml:space="preserve"> </v>
      </c>
      <c r="L426" s="83" t="str">
        <f>IFERROR(VLOOKUP($A426,'The List'!$B1:$AS665,19,FALSE)," ")</f>
        <v xml:space="preserve"> </v>
      </c>
      <c r="M426" s="83" t="str">
        <f>IFERROR(VLOOKUP($A426,'The List'!$B1:$AS665,20,FALSE)," ")</f>
        <v xml:space="preserve"> </v>
      </c>
      <c r="N426" s="83" t="str">
        <f>IFERROR(VLOOKUP($A426,'The List'!$B1:$AS665,21,FALSE)," ")</f>
        <v xml:space="preserve"> </v>
      </c>
      <c r="O426" s="83" t="str">
        <f>IFERROR(VLOOKUP($A426,'The List'!$B1:$AS665,22,FALSE)," ")</f>
        <v xml:space="preserve"> </v>
      </c>
      <c r="P426" s="83" t="str">
        <f>IFERROR(VLOOKUP($A426,'The List'!$B1:$AS665,23,FALSE)," ")</f>
        <v xml:space="preserve"> </v>
      </c>
      <c r="Q426" s="83" t="str">
        <f>IFERROR(VLOOKUP($A426,'The List'!$B1:$AS665,24,FALSE)," ")</f>
        <v xml:space="preserve"> </v>
      </c>
      <c r="R426" s="83" t="str">
        <f>IFERROR(VLOOKUP($A426,'The List'!$B1:$AS665,25,FALSE)," ")</f>
        <v xml:space="preserve"> </v>
      </c>
      <c r="S426" s="83" t="str">
        <f>IFERROR(VLOOKUP($A426,'The List'!$B1:$AS665,26,FALSE)," ")</f>
        <v xml:space="preserve"> </v>
      </c>
      <c r="T426" s="83" t="str">
        <f>IFERROR(VLOOKUP($A426,'The List'!$B1:$AS665,27,FALSE)," ")</f>
        <v xml:space="preserve"> </v>
      </c>
      <c r="U426" s="83" t="str">
        <f>IFERROR(VLOOKUP($A426,'The List'!$B1:$AS665,28,FALSE)," ")</f>
        <v xml:space="preserve"> </v>
      </c>
      <c r="V426" s="83" t="str">
        <f>IFERROR(VLOOKUP($A426,'The List'!$B1:$AS665,29,FALSE)," ")</f>
        <v xml:space="preserve"> </v>
      </c>
      <c r="W426" s="83" t="str">
        <f>IFERROR(VLOOKUP($A426,'The List'!$B1:$AS665,30,FALSE)," ")</f>
        <v xml:space="preserve"> </v>
      </c>
      <c r="X426" s="83" t="str">
        <f>IFERROR(VLOOKUP($A426,'The List'!$B1:$AS665,31,FALSE)," ")</f>
        <v xml:space="preserve"> </v>
      </c>
      <c r="Y426" s="83" t="str">
        <f>IFERROR(VLOOKUP($A426,'The List'!$B1:$AS665,32,FALSE)," ")</f>
        <v xml:space="preserve"> </v>
      </c>
      <c r="Z426" s="83" t="str">
        <f>IFERROR(VLOOKUP($A426,'The List'!$B1:$AS665,33,FALSE)," ")</f>
        <v xml:space="preserve"> </v>
      </c>
      <c r="AA426" s="86"/>
      <c r="AB426" s="91"/>
      <c r="AC426" s="91"/>
      <c r="AD426" s="91"/>
      <c r="AE426" s="91"/>
      <c r="AF426" s="91"/>
    </row>
    <row r="427" spans="1:32" ht="21.25" customHeight="1" x14ac:dyDescent="0.15">
      <c r="A427" s="104"/>
      <c r="B427" s="105" t="str">
        <f>IFERROR(VLOOKUP($A427,'The List'!$B1:$AS665,3,FALSE)," ")</f>
        <v xml:space="preserve"> </v>
      </c>
      <c r="C427" s="106" t="str">
        <f>IFERROR(VLOOKUP($A427,'The List'!$B1:$AS665,4,FALSE)," ")</f>
        <v xml:space="preserve"> </v>
      </c>
      <c r="D427" s="107" t="str">
        <f>IFERROR(VLOOKUP($A427,'The List'!$B1:$AS665,5,FALSE)," ")</f>
        <v xml:space="preserve"> </v>
      </c>
      <c r="E427" s="107" t="str">
        <f>IFERROR(VLOOKUP($A427,'The List'!$B1:$AS665,6,FALSE)," ")</f>
        <v xml:space="preserve"> </v>
      </c>
      <c r="F427" s="108" t="str">
        <f>IFERROR(VLOOKUP($A427,'The List'!$B1:$AS665,8,FALSE)," ")</f>
        <v xml:space="preserve"> </v>
      </c>
      <c r="G427" s="108" t="str">
        <f>IFERROR(VLOOKUP($A427,'The List'!$B1:$AS665,10,FALSE)," ")</f>
        <v xml:space="preserve"> </v>
      </c>
      <c r="H427" s="109"/>
      <c r="I427" s="110" t="str">
        <f>IFERROR(VLOOKUP($A427,'The List'!$B1:$AS665,16,FALSE)," ")</f>
        <v xml:space="preserve"> </v>
      </c>
      <c r="J427" s="110" t="str">
        <f>IFERROR(VLOOKUP($A427,'The List'!$B1:$AS665,17,FALSE)," ")</f>
        <v xml:space="preserve"> </v>
      </c>
      <c r="K427" s="110" t="str">
        <f>IFERROR(VLOOKUP($A427,'The List'!$B1:$AS665,18,FALSE)," ")</f>
        <v xml:space="preserve"> </v>
      </c>
      <c r="L427" s="110" t="str">
        <f>IFERROR(VLOOKUP($A427,'The List'!$B1:$AS665,19,FALSE)," ")</f>
        <v xml:space="preserve"> </v>
      </c>
      <c r="M427" s="110" t="str">
        <f>IFERROR(VLOOKUP($A427,'The List'!$B1:$AS665,20,FALSE)," ")</f>
        <v xml:space="preserve"> </v>
      </c>
      <c r="N427" s="110" t="str">
        <f>IFERROR(VLOOKUP($A427,'The List'!$B1:$AS665,21,FALSE)," ")</f>
        <v xml:space="preserve"> </v>
      </c>
      <c r="O427" s="110" t="str">
        <f>IFERROR(VLOOKUP($A427,'The List'!$B1:$AS665,22,FALSE)," ")</f>
        <v xml:space="preserve"> </v>
      </c>
      <c r="P427" s="110" t="str">
        <f>IFERROR(VLOOKUP($A427,'The List'!$B1:$AS665,23,FALSE)," ")</f>
        <v xml:space="preserve"> </v>
      </c>
      <c r="Q427" s="110" t="str">
        <f>IFERROR(VLOOKUP($A427,'The List'!$B1:$AS665,24,FALSE)," ")</f>
        <v xml:space="preserve"> </v>
      </c>
      <c r="R427" s="110" t="str">
        <f>IFERROR(VLOOKUP($A427,'The List'!$B1:$AS665,25,FALSE)," ")</f>
        <v xml:space="preserve"> </v>
      </c>
      <c r="S427" s="110" t="str">
        <f>IFERROR(VLOOKUP($A427,'The List'!$B1:$AS665,26,FALSE)," ")</f>
        <v xml:space="preserve"> </v>
      </c>
      <c r="T427" s="110" t="str">
        <f>IFERROR(VLOOKUP($A427,'The List'!$B1:$AS665,27,FALSE)," ")</f>
        <v xml:space="preserve"> </v>
      </c>
      <c r="U427" s="110" t="str">
        <f>IFERROR(VLOOKUP($A427,'The List'!$B1:$AS665,28,FALSE)," ")</f>
        <v xml:space="preserve"> </v>
      </c>
      <c r="V427" s="110" t="str">
        <f>IFERROR(VLOOKUP($A427,'The List'!$B1:$AS665,29,FALSE)," ")</f>
        <v xml:space="preserve"> </v>
      </c>
      <c r="W427" s="110" t="str">
        <f>IFERROR(VLOOKUP($A427,'The List'!$B1:$AS665,30,FALSE)," ")</f>
        <v xml:space="preserve"> </v>
      </c>
      <c r="X427" s="110" t="str">
        <f>IFERROR(VLOOKUP($A427,'The List'!$B1:$AS665,31,FALSE)," ")</f>
        <v xml:space="preserve"> </v>
      </c>
      <c r="Y427" s="110" t="str">
        <f>IFERROR(VLOOKUP($A427,'The List'!$B1:$AS665,32,FALSE)," ")</f>
        <v xml:space="preserve"> </v>
      </c>
      <c r="Z427" s="110" t="str">
        <f>IFERROR(VLOOKUP($A427,'The List'!$B1:$AS665,33,FALSE)," ")</f>
        <v xml:space="preserve"> </v>
      </c>
      <c r="AA427" s="86"/>
      <c r="AB427" s="91"/>
      <c r="AC427" s="91"/>
      <c r="AD427" s="91"/>
      <c r="AE427" s="91"/>
      <c r="AF427" s="91"/>
    </row>
    <row r="428" spans="1:32" ht="21.25" customHeight="1" x14ac:dyDescent="0.15">
      <c r="A428" s="111"/>
      <c r="B428" s="112"/>
      <c r="C428" s="113"/>
      <c r="D428" s="114"/>
      <c r="E428" s="146" t="str">
        <f>IFERROR(AVERAGE(E408:E427)," ")</f>
        <v xml:space="preserve"> </v>
      </c>
      <c r="F428" s="116">
        <f>SUM(F408:F427)</f>
        <v>0</v>
      </c>
      <c r="G428" s="116">
        <f>SUM(G408:G427)</f>
        <v>0</v>
      </c>
      <c r="H428" s="117"/>
      <c r="I428" s="118">
        <f>SUM(I408:I427)</f>
        <v>0</v>
      </c>
      <c r="J428" s="117" t="e">
        <f>AVERAGE(J408:J427)</f>
        <v>#DIV/0!</v>
      </c>
      <c r="K428" s="118">
        <f t="shared" ref="K428:Y428" si="28">SUM(K408:K427)</f>
        <v>0</v>
      </c>
      <c r="L428" s="118">
        <f t="shared" si="28"/>
        <v>0</v>
      </c>
      <c r="M428" s="118">
        <f t="shared" si="28"/>
        <v>0</v>
      </c>
      <c r="N428" s="118">
        <f t="shared" si="28"/>
        <v>0</v>
      </c>
      <c r="O428" s="118">
        <f t="shared" si="28"/>
        <v>0</v>
      </c>
      <c r="P428" s="118">
        <f t="shared" si="28"/>
        <v>0</v>
      </c>
      <c r="Q428" s="118">
        <f t="shared" si="28"/>
        <v>0</v>
      </c>
      <c r="R428" s="118">
        <f t="shared" si="28"/>
        <v>0</v>
      </c>
      <c r="S428" s="118">
        <f t="shared" si="28"/>
        <v>0</v>
      </c>
      <c r="T428" s="118">
        <f t="shared" si="28"/>
        <v>0</v>
      </c>
      <c r="U428" s="118">
        <f t="shared" si="28"/>
        <v>0</v>
      </c>
      <c r="V428" s="118">
        <f t="shared" si="28"/>
        <v>0</v>
      </c>
      <c r="W428" s="118">
        <f t="shared" si="28"/>
        <v>0</v>
      </c>
      <c r="X428" s="118">
        <f t="shared" si="28"/>
        <v>0</v>
      </c>
      <c r="Y428" s="118">
        <f t="shared" si="28"/>
        <v>0</v>
      </c>
      <c r="Z428" s="119">
        <f>IFERROR(X428/(X428+Y428),0)</f>
        <v>0</v>
      </c>
      <c r="AA428" s="86"/>
      <c r="AB428" s="120"/>
      <c r="AC428" s="120"/>
      <c r="AD428" s="120"/>
      <c r="AE428" s="120"/>
      <c r="AF428" s="120"/>
    </row>
    <row r="429" spans="1:32" ht="21.25" customHeight="1" x14ac:dyDescent="0.15">
      <c r="A429" s="34"/>
      <c r="B429" s="121"/>
      <c r="C429" s="122"/>
      <c r="D429" s="12"/>
      <c r="E429" s="12"/>
      <c r="F429" s="123"/>
      <c r="G429" s="124"/>
      <c r="H429" s="125"/>
      <c r="I429" s="12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91"/>
      <c r="AC429" s="91"/>
      <c r="AD429" s="91"/>
      <c r="AE429" s="91"/>
      <c r="AF429" s="91"/>
    </row>
    <row r="430" spans="1:32" ht="21.25" customHeight="1" x14ac:dyDescent="0.15">
      <c r="A430" s="37" t="s">
        <v>89</v>
      </c>
      <c r="B430" s="205" t="s">
        <v>91</v>
      </c>
      <c r="C430" s="195"/>
      <c r="D430" s="40" t="s">
        <v>92</v>
      </c>
      <c r="E430" s="40" t="s">
        <v>93</v>
      </c>
      <c r="F430" s="127" t="s">
        <v>95</v>
      </c>
      <c r="G430" s="127" t="s">
        <v>97</v>
      </c>
      <c r="H430" s="128"/>
      <c r="I430" s="129" t="s">
        <v>102</v>
      </c>
      <c r="J430" s="129" t="s">
        <v>118</v>
      </c>
      <c r="K430" s="129" t="s">
        <v>119</v>
      </c>
      <c r="L430" s="129" t="s">
        <v>120</v>
      </c>
      <c r="M430" s="129" t="s">
        <v>121</v>
      </c>
      <c r="N430" s="129" t="s">
        <v>122</v>
      </c>
      <c r="O430" s="129" t="s">
        <v>123</v>
      </c>
      <c r="P430" s="129" t="s">
        <v>124</v>
      </c>
      <c r="Q430" s="129" t="s">
        <v>125</v>
      </c>
      <c r="R430" s="86"/>
      <c r="S430" s="86"/>
      <c r="T430" s="86"/>
      <c r="U430" s="205" t="s">
        <v>809</v>
      </c>
      <c r="V430" s="206"/>
      <c r="W430" s="206"/>
      <c r="X430" s="205" t="s">
        <v>810</v>
      </c>
      <c r="Y430" s="206"/>
      <c r="Z430" s="206"/>
      <c r="AA430" s="86"/>
      <c r="AB430" s="86"/>
      <c r="AC430" s="86"/>
      <c r="AD430" s="86"/>
      <c r="AE430" s="86"/>
      <c r="AF430" s="86"/>
    </row>
    <row r="431" spans="1:32" ht="21.25" customHeight="1" x14ac:dyDescent="0.15">
      <c r="A431" s="147"/>
      <c r="B431" s="131" t="str">
        <f>IFERROR(VLOOKUP($A431,'The List'!$B1:$AS665,3,FALSE)," ")</f>
        <v xml:space="preserve"> </v>
      </c>
      <c r="C431" s="148" t="str">
        <f>IFERROR(VLOOKUP($A431,'The List'!$B1:$AS665,4,FALSE)," ")</f>
        <v xml:space="preserve"> </v>
      </c>
      <c r="D431" s="49" t="str">
        <f>IFERROR(VLOOKUP($A431,'The List'!$B1:$AS665,5,FALSE)," ")</f>
        <v xml:space="preserve"> </v>
      </c>
      <c r="E431" s="49" t="str">
        <f>IFERROR(VLOOKUP($A431,'The List'!$B1:$AS665,6,FALSE)," ")</f>
        <v xml:space="preserve"> </v>
      </c>
      <c r="F431" s="149" t="str">
        <f>IFERROR(VLOOKUP($A431,'The List'!$B1:$AS665,8,FALSE)," ")</f>
        <v xml:space="preserve"> </v>
      </c>
      <c r="G431" s="149" t="str">
        <f>IFERROR(VLOOKUP($A431,'The List'!$B1:$AS665,10,FALSE)," ")</f>
        <v xml:space="preserve"> </v>
      </c>
      <c r="H431" s="135"/>
      <c r="I431" s="150" t="str">
        <f>IFERROR(VLOOKUP($A431,'The List'!$B1:$AS665,35,FALSE)," ")</f>
        <v xml:space="preserve"> </v>
      </c>
      <c r="J431" s="150" t="str">
        <f>IFERROR(VLOOKUP($A431,'The List'!$B1:$AS665,36,FALSE)," ")</f>
        <v xml:space="preserve"> </v>
      </c>
      <c r="K431" s="150" t="str">
        <f>IFERROR(VLOOKUP($A431,'The List'!$B1:$AS665,37,FALSE)," ")</f>
        <v xml:space="preserve"> </v>
      </c>
      <c r="L431" s="150" t="str">
        <f>IFERROR(VLOOKUP($A431,'The List'!$B1:$AS665,38,FALSE)," ")</f>
        <v xml:space="preserve"> </v>
      </c>
      <c r="M431" s="150" t="str">
        <f>IFERROR(VLOOKUP($A431,'The List'!$B1:$AS665,39,FALSE)," ")</f>
        <v xml:space="preserve"> </v>
      </c>
      <c r="N431" s="150" t="str">
        <f>IFERROR(VLOOKUP($A431,'The List'!$B1:$AS665,40,FALSE)," ")</f>
        <v xml:space="preserve"> </v>
      </c>
      <c r="O431" s="150" t="str">
        <f>IFERROR(VLOOKUP($A431,'The List'!$B1:$AS665,41,FALSE)," ")</f>
        <v xml:space="preserve"> </v>
      </c>
      <c r="P431" s="150" t="str">
        <f>IFERROR(VLOOKUP($A431,'The List'!$B1:$AS665,42,FALSE)," ")</f>
        <v xml:space="preserve"> </v>
      </c>
      <c r="Q431" s="150" t="str">
        <f>IFERROR(VLOOKUP($A431,'The List'!$B1:$AS665,43,FALSE)," ")</f>
        <v xml:space="preserve"> </v>
      </c>
      <c r="R431" s="86"/>
      <c r="S431" s="86"/>
      <c r="T431" s="139" t="str">
        <f>A407</f>
        <v>TEAM 15</v>
      </c>
      <c r="U431" s="207">
        <f>F428+F434</f>
        <v>0</v>
      </c>
      <c r="V431" s="195"/>
      <c r="W431" s="195"/>
      <c r="X431" s="207">
        <f>G434+G428</f>
        <v>0</v>
      </c>
      <c r="Y431" s="195"/>
      <c r="Z431" s="195"/>
      <c r="AA431" s="86"/>
      <c r="AB431" s="86"/>
      <c r="AC431" s="86"/>
      <c r="AD431" s="86"/>
      <c r="AE431" s="86"/>
      <c r="AF431" s="86"/>
    </row>
    <row r="432" spans="1:32" ht="21.25" customHeight="1" x14ac:dyDescent="0.15">
      <c r="A432" s="23"/>
      <c r="B432" s="140" t="str">
        <f>IFERROR(VLOOKUP($A432,'The List'!$B1:$AS665,3,FALSE)," ")</f>
        <v xml:space="preserve"> </v>
      </c>
      <c r="C432" s="141" t="str">
        <f>IFERROR(VLOOKUP($A432,'The List'!$B1:$AS665,4,FALSE)," ")</f>
        <v xml:space="preserve"> </v>
      </c>
      <c r="D432" s="65" t="str">
        <f>IFERROR(VLOOKUP($A432,'The List'!$B1:$AS665,5,FALSE)," ")</f>
        <v xml:space="preserve"> </v>
      </c>
      <c r="E432" s="65" t="str">
        <f>IFERROR(VLOOKUP($A432,'The List'!$B1:$AS665,6,FALSE)," ")</f>
        <v xml:space="preserve"> </v>
      </c>
      <c r="F432" s="93" t="str">
        <f>IFERROR(VLOOKUP($A432,'The List'!$B1:$AS665,8,FALSE)," ")</f>
        <v xml:space="preserve"> </v>
      </c>
      <c r="G432" s="93" t="str">
        <f>IFERROR(VLOOKUP($A432,'The List'!$B1:$AS665,10,FALSE)," ")</f>
        <v xml:space="preserve"> </v>
      </c>
      <c r="H432" s="54"/>
      <c r="I432" s="83" t="str">
        <f>IFERROR(VLOOKUP($A432,'The List'!$B1:$AS665,35,FALSE)," ")</f>
        <v xml:space="preserve"> </v>
      </c>
      <c r="J432" s="83" t="str">
        <f>IFERROR(VLOOKUP($A432,'The List'!$B1:$AS665,36,FALSE)," ")</f>
        <v xml:space="preserve"> </v>
      </c>
      <c r="K432" s="83" t="str">
        <f>IFERROR(VLOOKUP($A432,'The List'!$B1:$AS665,37,FALSE)," ")</f>
        <v xml:space="preserve"> </v>
      </c>
      <c r="L432" s="83" t="str">
        <f>IFERROR(VLOOKUP($A432,'The List'!$B1:$AS665,38,FALSE)," ")</f>
        <v xml:space="preserve"> </v>
      </c>
      <c r="M432" s="83" t="str">
        <f>IFERROR(VLOOKUP($A432,'The List'!$B1:$AS665,39,FALSE)," ")</f>
        <v xml:space="preserve"> </v>
      </c>
      <c r="N432" s="83" t="str">
        <f>IFERROR(VLOOKUP($A432,'The List'!$B1:$AS665,40,FALSE)," ")</f>
        <v xml:space="preserve"> </v>
      </c>
      <c r="O432" s="83" t="str">
        <f>IFERROR(VLOOKUP($A432,'The List'!$B1:$AS665,41,FALSE)," ")</f>
        <v xml:space="preserve"> </v>
      </c>
      <c r="P432" s="83" t="str">
        <f>IFERROR(VLOOKUP($A432,'The List'!$B1:$AS665,42,FALSE)," ")</f>
        <v xml:space="preserve"> </v>
      </c>
      <c r="Q432" s="83" t="str">
        <f>IFERROR(VLOOKUP($A432,'The List'!$B1:$AS665,43,FALSE)," ")</f>
        <v xml:space="preserve"> </v>
      </c>
      <c r="R432" s="86"/>
      <c r="S432" s="86"/>
      <c r="T432" s="86"/>
      <c r="U432" s="195"/>
      <c r="V432" s="195"/>
      <c r="W432" s="195"/>
      <c r="X432" s="195"/>
      <c r="Y432" s="195"/>
      <c r="Z432" s="195"/>
      <c r="AA432" s="86"/>
      <c r="AB432" s="86"/>
      <c r="AC432" s="86"/>
      <c r="AD432" s="86"/>
      <c r="AE432" s="86"/>
      <c r="AF432" s="86"/>
    </row>
    <row r="433" spans="1:32" ht="21.25" customHeight="1" x14ac:dyDescent="0.15">
      <c r="A433" s="104"/>
      <c r="B433" s="142" t="str">
        <f>IFERROR(VLOOKUP($A433,'The List'!$B1:$AS665,3,FALSE)," ")</f>
        <v xml:space="preserve"> </v>
      </c>
      <c r="C433" s="143" t="str">
        <f>IFERROR(VLOOKUP($A433,'The List'!$B1:$AS665,4,FALSE)," ")</f>
        <v xml:space="preserve"> </v>
      </c>
      <c r="D433" s="107" t="str">
        <f>IFERROR(VLOOKUP($A433,'The List'!$B1:$AS665,5,FALSE)," ")</f>
        <v xml:space="preserve"> </v>
      </c>
      <c r="E433" s="107" t="str">
        <f>IFERROR(VLOOKUP($A433,'The List'!$B1:$AS665,6,FALSE)," ")</f>
        <v xml:space="preserve"> </v>
      </c>
      <c r="F433" s="108" t="str">
        <f>IFERROR(VLOOKUP($A433,'The List'!$B1:$AS665,8,FALSE)," ")</f>
        <v xml:space="preserve"> </v>
      </c>
      <c r="G433" s="108" t="str">
        <f>IFERROR(VLOOKUP($A433,'The List'!$B1:$AS665,10,FALSE)," ")</f>
        <v xml:space="preserve"> </v>
      </c>
      <c r="H433" s="109"/>
      <c r="I433" s="110" t="str">
        <f>IFERROR(VLOOKUP($A433,'The List'!$B1:$AS665,35,FALSE)," ")</f>
        <v xml:space="preserve"> </v>
      </c>
      <c r="J433" s="110" t="str">
        <f>IFERROR(VLOOKUP($A433,'The List'!$B1:$AS665,36,FALSE)," ")</f>
        <v xml:space="preserve"> </v>
      </c>
      <c r="K433" s="110" t="str">
        <f>IFERROR(VLOOKUP($A433,'The List'!$B1:$AS665,37,FALSE)," ")</f>
        <v xml:space="preserve"> </v>
      </c>
      <c r="L433" s="110" t="str">
        <f>IFERROR(VLOOKUP($A433,'The List'!$B1:$AS665,38,FALSE)," ")</f>
        <v xml:space="preserve"> </v>
      </c>
      <c r="M433" s="110" t="str">
        <f>IFERROR(VLOOKUP($A433,'The List'!$B1:$AS665,39,FALSE)," ")</f>
        <v xml:space="preserve"> </v>
      </c>
      <c r="N433" s="110" t="str">
        <f>IFERROR(VLOOKUP($A433,'The List'!$B1:$AS665,40,FALSE)," ")</f>
        <v xml:space="preserve"> </v>
      </c>
      <c r="O433" s="110" t="str">
        <f>IFERROR(VLOOKUP($A433,'The List'!$B1:$AS665,41,FALSE)," ")</f>
        <v xml:space="preserve"> </v>
      </c>
      <c r="P433" s="110" t="str">
        <f>IFERROR(VLOOKUP($A433,'The List'!$B1:$AS665,42,FALSE)," ")</f>
        <v xml:space="preserve"> </v>
      </c>
      <c r="Q433" s="110" t="str">
        <f>IFERROR(VLOOKUP($A433,'The List'!$B1:$AS665,43,FALSE)," ")</f>
        <v xml:space="preserve"> </v>
      </c>
      <c r="R433" s="86"/>
      <c r="S433" s="86"/>
      <c r="T433" s="86"/>
      <c r="U433" s="195"/>
      <c r="V433" s="195"/>
      <c r="W433" s="195"/>
      <c r="X433" s="195"/>
      <c r="Y433" s="195"/>
      <c r="Z433" s="195"/>
      <c r="AA433" s="86"/>
      <c r="AB433" s="86"/>
      <c r="AC433" s="86"/>
      <c r="AD433" s="86"/>
      <c r="AE433" s="86"/>
      <c r="AF433" s="86"/>
    </row>
    <row r="434" spans="1:32" ht="21.25" customHeight="1" x14ac:dyDescent="0.15">
      <c r="A434" s="111"/>
      <c r="B434" s="112"/>
      <c r="C434" s="113"/>
      <c r="D434" s="114"/>
      <c r="E434" s="146" t="str">
        <f>IFERROR(AVERAGE(E431:E433)," ")</f>
        <v xml:space="preserve"> </v>
      </c>
      <c r="F434" s="116">
        <f>SUM(F431:F433)</f>
        <v>0</v>
      </c>
      <c r="G434" s="116">
        <f>SUM(G431:G433)</f>
        <v>0</v>
      </c>
      <c r="H434" s="117"/>
      <c r="I434" s="118">
        <f t="shared" ref="I434:O434" si="29">SUM(I431:I433)</f>
        <v>0</v>
      </c>
      <c r="J434" s="117">
        <f t="shared" si="29"/>
        <v>0</v>
      </c>
      <c r="K434" s="118">
        <f t="shared" si="29"/>
        <v>0</v>
      </c>
      <c r="L434" s="118">
        <f t="shared" si="29"/>
        <v>0</v>
      </c>
      <c r="M434" s="118">
        <f t="shared" si="29"/>
        <v>0</v>
      </c>
      <c r="N434" s="118">
        <f t="shared" si="29"/>
        <v>0</v>
      </c>
      <c r="O434" s="118">
        <f t="shared" si="29"/>
        <v>0</v>
      </c>
      <c r="P434" s="144" t="e">
        <f>1-(O434/(N434+O434))</f>
        <v>#DIV/0!</v>
      </c>
      <c r="Q434" s="145" t="e">
        <f>O434/I434</f>
        <v>#DIV/0!</v>
      </c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</row>
    <row r="435" spans="1:32" ht="70.75" customHeight="1" x14ac:dyDescent="0.15">
      <c r="A435" s="34"/>
      <c r="B435" s="121"/>
      <c r="C435" s="122"/>
      <c r="D435" s="12"/>
      <c r="E435" s="12"/>
      <c r="F435" s="123"/>
      <c r="G435" s="124"/>
      <c r="H435" s="125"/>
      <c r="I435" s="12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91"/>
      <c r="AB435" s="91"/>
      <c r="AC435" s="91"/>
      <c r="AD435" s="91"/>
      <c r="AE435" s="91"/>
      <c r="AF435" s="91"/>
    </row>
    <row r="436" spans="1:32" ht="21.25" customHeight="1" x14ac:dyDescent="0.15">
      <c r="A436" s="38" t="s">
        <v>808</v>
      </c>
      <c r="B436" s="204" t="s">
        <v>91</v>
      </c>
      <c r="C436" s="200"/>
      <c r="D436" s="39" t="s">
        <v>92</v>
      </c>
      <c r="E436" s="39" t="s">
        <v>93</v>
      </c>
      <c r="F436" s="41" t="s">
        <v>95</v>
      </c>
      <c r="G436" s="41" t="s">
        <v>97</v>
      </c>
      <c r="H436" s="42"/>
      <c r="I436" s="44" t="s">
        <v>102</v>
      </c>
      <c r="J436" s="44" t="s">
        <v>55</v>
      </c>
      <c r="K436" s="44" t="s">
        <v>103</v>
      </c>
      <c r="L436" s="44" t="s">
        <v>104</v>
      </c>
      <c r="M436" s="44" t="s">
        <v>105</v>
      </c>
      <c r="N436" s="44" t="s">
        <v>106</v>
      </c>
      <c r="O436" s="44" t="s">
        <v>107</v>
      </c>
      <c r="P436" s="44" t="s">
        <v>63</v>
      </c>
      <c r="Q436" s="44" t="s">
        <v>108</v>
      </c>
      <c r="R436" s="44" t="s">
        <v>109</v>
      </c>
      <c r="S436" s="44" t="s">
        <v>110</v>
      </c>
      <c r="T436" s="44" t="s">
        <v>111</v>
      </c>
      <c r="U436" s="44" t="s">
        <v>112</v>
      </c>
      <c r="V436" s="44" t="s">
        <v>113</v>
      </c>
      <c r="W436" s="44" t="s">
        <v>114</v>
      </c>
      <c r="X436" s="44" t="s">
        <v>115</v>
      </c>
      <c r="Y436" s="44" t="s">
        <v>116</v>
      </c>
      <c r="Z436" s="44" t="s">
        <v>117</v>
      </c>
      <c r="AA436" s="86"/>
      <c r="AB436" s="87"/>
      <c r="AC436" s="87"/>
      <c r="AD436" s="87"/>
      <c r="AE436" s="87"/>
      <c r="AF436" s="87"/>
    </row>
    <row r="437" spans="1:32" ht="21.25" customHeight="1" x14ac:dyDescent="0.15">
      <c r="A437" s="23"/>
      <c r="B437" s="88" t="str">
        <f>IFERROR(VLOOKUP($A437,'The List'!$B1:$AS665,3,FALSE)," ")</f>
        <v xml:space="preserve"> </v>
      </c>
      <c r="C437" s="92" t="str">
        <f>IFERROR(VLOOKUP($A437,'The List'!$B1:$AS665,4,FALSE)," ")</f>
        <v xml:space="preserve"> </v>
      </c>
      <c r="D437" s="65" t="str">
        <f>IFERROR(VLOOKUP($A437,'The List'!$B1:$AS665,5,FALSE)," ")</f>
        <v xml:space="preserve"> </v>
      </c>
      <c r="E437" s="65" t="str">
        <f>IFERROR(VLOOKUP($A437,'The List'!$B1:$AS665,6,FALSE)," ")</f>
        <v xml:space="preserve"> </v>
      </c>
      <c r="F437" s="93" t="str">
        <f>IFERROR(VLOOKUP($A437,'The List'!$B1:$AS665,8,FALSE)," ")</f>
        <v xml:space="preserve"> </v>
      </c>
      <c r="G437" s="93" t="str">
        <f>IFERROR(VLOOKUP($A437,'The List'!$B1:$AS665,10,FALSE)," ")</f>
        <v xml:space="preserve"> </v>
      </c>
      <c r="H437" s="54"/>
      <c r="I437" s="83" t="str">
        <f>IFERROR(VLOOKUP($A437,'The List'!$B1:$AS665,16,FALSE)," ")</f>
        <v xml:space="preserve"> </v>
      </c>
      <c r="J437" s="83" t="str">
        <f>IFERROR(VLOOKUP($A437,'The List'!$B1:$AS665,17,FALSE)," ")</f>
        <v xml:space="preserve"> </v>
      </c>
      <c r="K437" s="83" t="str">
        <f>IFERROR(VLOOKUP($A437,'The List'!$B1:$AS665,18,FALSE)," ")</f>
        <v xml:space="preserve"> </v>
      </c>
      <c r="L437" s="83" t="str">
        <f>IFERROR(VLOOKUP($A437,'The List'!$B1:$AS665,19,FALSE)," ")</f>
        <v xml:space="preserve"> </v>
      </c>
      <c r="M437" s="83" t="str">
        <f>IFERROR(VLOOKUP($A437,'The List'!$B1:$AS665,20,FALSE)," ")</f>
        <v xml:space="preserve"> </v>
      </c>
      <c r="N437" s="83" t="str">
        <f>IFERROR(VLOOKUP($A437,'The List'!$B1:$AS665,21,FALSE)," ")</f>
        <v xml:space="preserve"> </v>
      </c>
      <c r="O437" s="83" t="str">
        <f>IFERROR(VLOOKUP($A437,'The List'!$B1:$AS665,22,FALSE)," ")</f>
        <v xml:space="preserve"> </v>
      </c>
      <c r="P437" s="83" t="str">
        <f>IFERROR(VLOOKUP($A437,'The List'!$B1:$AS665,23,FALSE)," ")</f>
        <v xml:space="preserve"> </v>
      </c>
      <c r="Q437" s="83" t="str">
        <f>IFERROR(VLOOKUP($A437,'The List'!$B1:$AS665,24,FALSE)," ")</f>
        <v xml:space="preserve"> </v>
      </c>
      <c r="R437" s="83" t="str">
        <f>IFERROR(VLOOKUP($A437,'The List'!$B1:$AS665,25,FALSE)," ")</f>
        <v xml:space="preserve"> </v>
      </c>
      <c r="S437" s="83" t="str">
        <f>IFERROR(VLOOKUP($A437,'The List'!$B1:$AS665,26,FALSE)," ")</f>
        <v xml:space="preserve"> </v>
      </c>
      <c r="T437" s="83" t="str">
        <f>IFERROR(VLOOKUP($A437,'The List'!$B1:$AS665,27,FALSE)," ")</f>
        <v xml:space="preserve"> </v>
      </c>
      <c r="U437" s="83" t="str">
        <f>IFERROR(VLOOKUP($A437,'The List'!$B1:$AS665,28,FALSE)," ")</f>
        <v xml:space="preserve"> </v>
      </c>
      <c r="V437" s="83" t="str">
        <f>IFERROR(VLOOKUP($A437,'The List'!$B1:$AS665,29,FALSE)," ")</f>
        <v xml:space="preserve"> </v>
      </c>
      <c r="W437" s="83" t="str">
        <f>IFERROR(VLOOKUP($A437,'The List'!$B1:$AS665,30,FALSE)," ")</f>
        <v xml:space="preserve"> </v>
      </c>
      <c r="X437" s="83" t="str">
        <f>IFERROR(VLOOKUP($A437,'The List'!$B1:$AS665,31,FALSE)," ")</f>
        <v xml:space="preserve"> </v>
      </c>
      <c r="Y437" s="83" t="str">
        <f>IFERROR(VLOOKUP($A437,'The List'!$B1:$AS665,32,FALSE)," ")</f>
        <v xml:space="preserve"> </v>
      </c>
      <c r="Z437" s="83" t="str">
        <f>IFERROR(VLOOKUP($A437,'The List'!$B1:$AS665,33,FALSE)," ")</f>
        <v xml:space="preserve"> </v>
      </c>
      <c r="AA437" s="86"/>
      <c r="AB437" s="91"/>
      <c r="AC437" s="91"/>
      <c r="AD437" s="91"/>
      <c r="AE437" s="91"/>
      <c r="AF437" s="91"/>
    </row>
    <row r="438" spans="1:32" ht="21.25" customHeight="1" x14ac:dyDescent="0.15">
      <c r="A438" s="23"/>
      <c r="B438" s="88" t="str">
        <f>IFERROR(VLOOKUP($A438,'The List'!$B1:$AS665,3,FALSE)," ")</f>
        <v xml:space="preserve"> </v>
      </c>
      <c r="C438" s="92" t="str">
        <f>IFERROR(VLOOKUP($A438,'The List'!$B1:$AS665,4,FALSE)," ")</f>
        <v xml:space="preserve"> </v>
      </c>
      <c r="D438" s="65" t="str">
        <f>IFERROR(VLOOKUP($A438,'The List'!$B1:$AS665,5,FALSE)," ")</f>
        <v xml:space="preserve"> </v>
      </c>
      <c r="E438" s="65" t="str">
        <f>IFERROR(VLOOKUP($A438,'The List'!$B1:$AS665,6,FALSE)," ")</f>
        <v xml:space="preserve"> </v>
      </c>
      <c r="F438" s="93" t="str">
        <f>IFERROR(VLOOKUP($A438,'The List'!$B1:$AS665,8,FALSE)," ")</f>
        <v xml:space="preserve"> </v>
      </c>
      <c r="G438" s="93" t="str">
        <f>IFERROR(VLOOKUP($A438,'The List'!$B1:$AS665,10,FALSE)," ")</f>
        <v xml:space="preserve"> </v>
      </c>
      <c r="H438" s="54"/>
      <c r="I438" s="83" t="str">
        <f>IFERROR(VLOOKUP($A438,'The List'!$B1:$AS665,16,FALSE)," ")</f>
        <v xml:space="preserve"> </v>
      </c>
      <c r="J438" s="83" t="str">
        <f>IFERROR(VLOOKUP($A438,'The List'!$B1:$AS665,17,FALSE)," ")</f>
        <v xml:space="preserve"> </v>
      </c>
      <c r="K438" s="83" t="str">
        <f>IFERROR(VLOOKUP($A438,'The List'!$B1:$AS665,18,FALSE)," ")</f>
        <v xml:space="preserve"> </v>
      </c>
      <c r="L438" s="83" t="str">
        <f>IFERROR(VLOOKUP($A438,'The List'!$B1:$AS665,19,FALSE)," ")</f>
        <v xml:space="preserve"> </v>
      </c>
      <c r="M438" s="83" t="str">
        <f>IFERROR(VLOOKUP($A438,'The List'!$B1:$AS665,20,FALSE)," ")</f>
        <v xml:space="preserve"> </v>
      </c>
      <c r="N438" s="83" t="str">
        <f>IFERROR(VLOOKUP($A438,'The List'!$B1:$AS665,21,FALSE)," ")</f>
        <v xml:space="preserve"> </v>
      </c>
      <c r="O438" s="83" t="str">
        <f>IFERROR(VLOOKUP($A438,'The List'!$B1:$AS665,22,FALSE)," ")</f>
        <v xml:space="preserve"> </v>
      </c>
      <c r="P438" s="83" t="str">
        <f>IFERROR(VLOOKUP($A438,'The List'!$B1:$AS665,23,FALSE)," ")</f>
        <v xml:space="preserve"> </v>
      </c>
      <c r="Q438" s="83" t="str">
        <f>IFERROR(VLOOKUP($A438,'The List'!$B1:$AS665,24,FALSE)," ")</f>
        <v xml:space="preserve"> </v>
      </c>
      <c r="R438" s="83" t="str">
        <f>IFERROR(VLOOKUP($A438,'The List'!$B1:$AS665,25,FALSE)," ")</f>
        <v xml:space="preserve"> </v>
      </c>
      <c r="S438" s="83" t="str">
        <f>IFERROR(VLOOKUP($A438,'The List'!$B1:$AS665,26,FALSE)," ")</f>
        <v xml:space="preserve"> </v>
      </c>
      <c r="T438" s="83" t="str">
        <f>IFERROR(VLOOKUP($A438,'The List'!$B1:$AS665,27,FALSE)," ")</f>
        <v xml:space="preserve"> </v>
      </c>
      <c r="U438" s="83" t="str">
        <f>IFERROR(VLOOKUP($A438,'The List'!$B1:$AS665,28,FALSE)," ")</f>
        <v xml:space="preserve"> </v>
      </c>
      <c r="V438" s="83" t="str">
        <f>IFERROR(VLOOKUP($A438,'The List'!$B1:$AS665,29,FALSE)," ")</f>
        <v xml:space="preserve"> </v>
      </c>
      <c r="W438" s="83" t="str">
        <f>IFERROR(VLOOKUP($A438,'The List'!$B1:$AS665,30,FALSE)," ")</f>
        <v xml:space="preserve"> </v>
      </c>
      <c r="X438" s="83" t="str">
        <f>IFERROR(VLOOKUP($A438,'The List'!$B1:$AS665,31,FALSE)," ")</f>
        <v xml:space="preserve"> </v>
      </c>
      <c r="Y438" s="83" t="str">
        <f>IFERROR(VLOOKUP($A438,'The List'!$B1:$AS665,32,FALSE)," ")</f>
        <v xml:space="preserve"> </v>
      </c>
      <c r="Z438" s="83" t="str">
        <f>IFERROR(VLOOKUP($A438,'The List'!$B1:$AS665,33,FALSE)," ")</f>
        <v xml:space="preserve"> </v>
      </c>
      <c r="AA438" s="86"/>
      <c r="AB438" s="91"/>
      <c r="AC438" s="91"/>
      <c r="AD438" s="91"/>
      <c r="AE438" s="91"/>
      <c r="AF438" s="91"/>
    </row>
    <row r="439" spans="1:32" ht="21.25" customHeight="1" x14ac:dyDescent="0.15">
      <c r="A439" s="23"/>
      <c r="B439" s="88" t="str">
        <f>IFERROR(VLOOKUP($A439,'The List'!$B1:$AS665,3,FALSE)," ")</f>
        <v xml:space="preserve"> </v>
      </c>
      <c r="C439" s="92" t="str">
        <f>IFERROR(VLOOKUP($A439,'The List'!$B1:$AS665,4,FALSE)," ")</f>
        <v xml:space="preserve"> </v>
      </c>
      <c r="D439" s="65" t="str">
        <f>IFERROR(VLOOKUP($A439,'The List'!$B1:$AS665,5,FALSE)," ")</f>
        <v xml:space="preserve"> </v>
      </c>
      <c r="E439" s="65" t="str">
        <f>IFERROR(VLOOKUP($A439,'The List'!$B1:$AS665,6,FALSE)," ")</f>
        <v xml:space="preserve"> </v>
      </c>
      <c r="F439" s="93" t="str">
        <f>IFERROR(VLOOKUP($A439,'The List'!$B1:$AS665,8,FALSE)," ")</f>
        <v xml:space="preserve"> </v>
      </c>
      <c r="G439" s="93" t="str">
        <f>IFERROR(VLOOKUP($A439,'The List'!$B1:$AS665,10,FALSE)," ")</f>
        <v xml:space="preserve"> </v>
      </c>
      <c r="H439" s="54"/>
      <c r="I439" s="83" t="str">
        <f>IFERROR(VLOOKUP($A439,'The List'!$B1:$AS665,16,FALSE)," ")</f>
        <v xml:space="preserve"> </v>
      </c>
      <c r="J439" s="83" t="str">
        <f>IFERROR(VLOOKUP($A439,'The List'!$B1:$AS665,17,FALSE)," ")</f>
        <v xml:space="preserve"> </v>
      </c>
      <c r="K439" s="83" t="str">
        <f>IFERROR(VLOOKUP($A439,'The List'!$B1:$AS665,18,FALSE)," ")</f>
        <v xml:space="preserve"> </v>
      </c>
      <c r="L439" s="83" t="str">
        <f>IFERROR(VLOOKUP($A439,'The List'!$B1:$AS665,19,FALSE)," ")</f>
        <v xml:space="preserve"> </v>
      </c>
      <c r="M439" s="83" t="str">
        <f>IFERROR(VLOOKUP($A439,'The List'!$B1:$AS665,20,FALSE)," ")</f>
        <v xml:space="preserve"> </v>
      </c>
      <c r="N439" s="83" t="str">
        <f>IFERROR(VLOOKUP($A439,'The List'!$B1:$AS665,21,FALSE)," ")</f>
        <v xml:space="preserve"> </v>
      </c>
      <c r="O439" s="83" t="str">
        <f>IFERROR(VLOOKUP($A439,'The List'!$B1:$AS665,22,FALSE)," ")</f>
        <v xml:space="preserve"> </v>
      </c>
      <c r="P439" s="83" t="str">
        <f>IFERROR(VLOOKUP($A439,'The List'!$B1:$AS665,23,FALSE)," ")</f>
        <v xml:space="preserve"> </v>
      </c>
      <c r="Q439" s="83" t="str">
        <f>IFERROR(VLOOKUP($A439,'The List'!$B1:$AS665,24,FALSE)," ")</f>
        <v xml:space="preserve"> </v>
      </c>
      <c r="R439" s="83" t="str">
        <f>IFERROR(VLOOKUP($A439,'The List'!$B1:$AS665,25,FALSE)," ")</f>
        <v xml:space="preserve"> </v>
      </c>
      <c r="S439" s="83" t="str">
        <f>IFERROR(VLOOKUP($A439,'The List'!$B1:$AS665,26,FALSE)," ")</f>
        <v xml:space="preserve"> </v>
      </c>
      <c r="T439" s="83" t="str">
        <f>IFERROR(VLOOKUP($A439,'The List'!$B1:$AS665,27,FALSE)," ")</f>
        <v xml:space="preserve"> </v>
      </c>
      <c r="U439" s="83" t="str">
        <f>IFERROR(VLOOKUP($A439,'The List'!$B1:$AS665,28,FALSE)," ")</f>
        <v xml:space="preserve"> </v>
      </c>
      <c r="V439" s="83" t="str">
        <f>IFERROR(VLOOKUP($A439,'The List'!$B1:$AS665,29,FALSE)," ")</f>
        <v xml:space="preserve"> </v>
      </c>
      <c r="W439" s="83" t="str">
        <f>IFERROR(VLOOKUP($A439,'The List'!$B1:$AS665,30,FALSE)," ")</f>
        <v xml:space="preserve"> </v>
      </c>
      <c r="X439" s="83" t="str">
        <f>IFERROR(VLOOKUP($A439,'The List'!$B1:$AS665,31,FALSE)," ")</f>
        <v xml:space="preserve"> </v>
      </c>
      <c r="Y439" s="83" t="str">
        <f>IFERROR(VLOOKUP($A439,'The List'!$B1:$AS665,32,FALSE)," ")</f>
        <v xml:space="preserve"> </v>
      </c>
      <c r="Z439" s="83" t="str">
        <f>IFERROR(VLOOKUP($A439,'The List'!$B1:$AS665,33,FALSE)," ")</f>
        <v xml:space="preserve"> </v>
      </c>
      <c r="AA439" s="86"/>
      <c r="AB439" s="91"/>
      <c r="AC439" s="91"/>
      <c r="AD439" s="91"/>
      <c r="AE439" s="91"/>
      <c r="AF439" s="91"/>
    </row>
    <row r="440" spans="1:32" ht="21.25" customHeight="1" x14ac:dyDescent="0.15">
      <c r="A440" s="23"/>
      <c r="B440" s="88" t="str">
        <f>IFERROR(VLOOKUP($A440,'The List'!$B1:$AS665,3,FALSE)," ")</f>
        <v xml:space="preserve"> </v>
      </c>
      <c r="C440" s="92" t="str">
        <f>IFERROR(VLOOKUP($A440,'The List'!$B1:$AS665,4,FALSE)," ")</f>
        <v xml:space="preserve"> </v>
      </c>
      <c r="D440" s="65" t="str">
        <f>IFERROR(VLOOKUP($A440,'The List'!$B1:$AS665,5,FALSE)," ")</f>
        <v xml:space="preserve"> </v>
      </c>
      <c r="E440" s="65" t="str">
        <f>IFERROR(VLOOKUP($A440,'The List'!$B1:$AS665,6,FALSE)," ")</f>
        <v xml:space="preserve"> </v>
      </c>
      <c r="F440" s="93" t="str">
        <f>IFERROR(VLOOKUP($A440,'The List'!$B1:$AS665,8,FALSE)," ")</f>
        <v xml:space="preserve"> </v>
      </c>
      <c r="G440" s="93" t="str">
        <f>IFERROR(VLOOKUP($A440,'The List'!$B1:$AS665,10,FALSE)," ")</f>
        <v xml:space="preserve"> </v>
      </c>
      <c r="H440" s="54"/>
      <c r="I440" s="83" t="str">
        <f>IFERROR(VLOOKUP($A440,'The List'!$B1:$AS665,16,FALSE)," ")</f>
        <v xml:space="preserve"> </v>
      </c>
      <c r="J440" s="83" t="str">
        <f>IFERROR(VLOOKUP($A440,'The List'!$B1:$AS665,17,FALSE)," ")</f>
        <v xml:space="preserve"> </v>
      </c>
      <c r="K440" s="83" t="str">
        <f>IFERROR(VLOOKUP($A440,'The List'!$B1:$AS665,18,FALSE)," ")</f>
        <v xml:space="preserve"> </v>
      </c>
      <c r="L440" s="83" t="str">
        <f>IFERROR(VLOOKUP($A440,'The List'!$B1:$AS665,19,FALSE)," ")</f>
        <v xml:space="preserve"> </v>
      </c>
      <c r="M440" s="83" t="str">
        <f>IFERROR(VLOOKUP($A440,'The List'!$B1:$AS665,20,FALSE)," ")</f>
        <v xml:space="preserve"> </v>
      </c>
      <c r="N440" s="83" t="str">
        <f>IFERROR(VLOOKUP($A440,'The List'!$B1:$AS665,21,FALSE)," ")</f>
        <v xml:space="preserve"> </v>
      </c>
      <c r="O440" s="83" t="str">
        <f>IFERROR(VLOOKUP($A440,'The List'!$B1:$AS665,22,FALSE)," ")</f>
        <v xml:space="preserve"> </v>
      </c>
      <c r="P440" s="83" t="str">
        <f>IFERROR(VLOOKUP($A440,'The List'!$B1:$AS665,23,FALSE)," ")</f>
        <v xml:space="preserve"> </v>
      </c>
      <c r="Q440" s="83" t="str">
        <f>IFERROR(VLOOKUP($A440,'The List'!$B1:$AS665,24,FALSE)," ")</f>
        <v xml:space="preserve"> </v>
      </c>
      <c r="R440" s="83" t="str">
        <f>IFERROR(VLOOKUP($A440,'The List'!$B1:$AS665,25,FALSE)," ")</f>
        <v xml:space="preserve"> </v>
      </c>
      <c r="S440" s="83" t="str">
        <f>IFERROR(VLOOKUP($A440,'The List'!$B1:$AS665,26,FALSE)," ")</f>
        <v xml:space="preserve"> </v>
      </c>
      <c r="T440" s="83" t="str">
        <f>IFERROR(VLOOKUP($A440,'The List'!$B1:$AS665,27,FALSE)," ")</f>
        <v xml:space="preserve"> </v>
      </c>
      <c r="U440" s="83" t="str">
        <f>IFERROR(VLOOKUP($A440,'The List'!$B1:$AS665,28,FALSE)," ")</f>
        <v xml:space="preserve"> </v>
      </c>
      <c r="V440" s="83" t="str">
        <f>IFERROR(VLOOKUP($A440,'The List'!$B1:$AS665,29,FALSE)," ")</f>
        <v xml:space="preserve"> </v>
      </c>
      <c r="W440" s="83" t="str">
        <f>IFERROR(VLOOKUP($A440,'The List'!$B1:$AS665,30,FALSE)," ")</f>
        <v xml:space="preserve"> </v>
      </c>
      <c r="X440" s="83" t="str">
        <f>IFERROR(VLOOKUP($A440,'The List'!$B1:$AS665,31,FALSE)," ")</f>
        <v xml:space="preserve"> </v>
      </c>
      <c r="Y440" s="83" t="str">
        <f>IFERROR(VLOOKUP($A440,'The List'!$B1:$AS665,32,FALSE)," ")</f>
        <v xml:space="preserve"> </v>
      </c>
      <c r="Z440" s="83" t="str">
        <f>IFERROR(VLOOKUP($A440,'The List'!$B1:$AS665,33,FALSE)," ")</f>
        <v xml:space="preserve"> </v>
      </c>
      <c r="AA440" s="86"/>
      <c r="AB440" s="91"/>
      <c r="AC440" s="91"/>
      <c r="AD440" s="91"/>
      <c r="AE440" s="91"/>
      <c r="AF440" s="91"/>
    </row>
    <row r="441" spans="1:32" ht="21.25" customHeight="1" x14ac:dyDescent="0.15">
      <c r="A441" s="23"/>
      <c r="B441" s="94" t="str">
        <f>IFERROR(VLOOKUP($A441,'The List'!$B1:$AS665,3,FALSE)," ")</f>
        <v xml:space="preserve"> </v>
      </c>
      <c r="C441" s="96" t="str">
        <f>IFERROR(VLOOKUP($A441,'The List'!$B1:$AS665,4,FALSE)," ")</f>
        <v xml:space="preserve"> </v>
      </c>
      <c r="D441" s="65" t="str">
        <f>IFERROR(VLOOKUP($A441,'The List'!$B1:$AS665,5,FALSE)," ")</f>
        <v xml:space="preserve"> </v>
      </c>
      <c r="E441" s="65" t="str">
        <f>IFERROR(VLOOKUP($A441,'The List'!$B1:$AS665,6,FALSE)," ")</f>
        <v xml:space="preserve"> </v>
      </c>
      <c r="F441" s="93" t="str">
        <f>IFERROR(VLOOKUP($A441,'The List'!$B1:$AS665,8,FALSE)," ")</f>
        <v xml:space="preserve"> </v>
      </c>
      <c r="G441" s="93" t="str">
        <f>IFERROR(VLOOKUP($A441,'The List'!$B1:$AS665,10,FALSE)," ")</f>
        <v xml:space="preserve"> </v>
      </c>
      <c r="H441" s="54"/>
      <c r="I441" s="83" t="str">
        <f>IFERROR(VLOOKUP($A441,'The List'!$B1:$AS665,16,FALSE)," ")</f>
        <v xml:space="preserve"> </v>
      </c>
      <c r="J441" s="83" t="str">
        <f>IFERROR(VLOOKUP($A441,'The List'!$B1:$AS665,17,FALSE)," ")</f>
        <v xml:space="preserve"> </v>
      </c>
      <c r="K441" s="83" t="str">
        <f>IFERROR(VLOOKUP($A441,'The List'!$B1:$AS665,18,FALSE)," ")</f>
        <v xml:space="preserve"> </v>
      </c>
      <c r="L441" s="83" t="str">
        <f>IFERROR(VLOOKUP($A441,'The List'!$B1:$AS665,19,FALSE)," ")</f>
        <v xml:space="preserve"> </v>
      </c>
      <c r="M441" s="83" t="str">
        <f>IFERROR(VLOOKUP($A441,'The List'!$B1:$AS665,20,FALSE)," ")</f>
        <v xml:space="preserve"> </v>
      </c>
      <c r="N441" s="83" t="str">
        <f>IFERROR(VLOOKUP($A441,'The List'!$B1:$AS665,21,FALSE)," ")</f>
        <v xml:space="preserve"> </v>
      </c>
      <c r="O441" s="83" t="str">
        <f>IFERROR(VLOOKUP($A441,'The List'!$B1:$AS665,22,FALSE)," ")</f>
        <v xml:space="preserve"> </v>
      </c>
      <c r="P441" s="83" t="str">
        <f>IFERROR(VLOOKUP($A441,'The List'!$B1:$AS665,23,FALSE)," ")</f>
        <v xml:space="preserve"> </v>
      </c>
      <c r="Q441" s="83" t="str">
        <f>IFERROR(VLOOKUP($A441,'The List'!$B1:$AS665,24,FALSE)," ")</f>
        <v xml:space="preserve"> </v>
      </c>
      <c r="R441" s="83" t="str">
        <f>IFERROR(VLOOKUP($A441,'The List'!$B1:$AS665,25,FALSE)," ")</f>
        <v xml:space="preserve"> </v>
      </c>
      <c r="S441" s="83" t="str">
        <f>IFERROR(VLOOKUP($A441,'The List'!$B1:$AS665,26,FALSE)," ")</f>
        <v xml:space="preserve"> </v>
      </c>
      <c r="T441" s="83" t="str">
        <f>IFERROR(VLOOKUP($A441,'The List'!$B1:$AS665,27,FALSE)," ")</f>
        <v xml:space="preserve"> </v>
      </c>
      <c r="U441" s="83" t="str">
        <f>IFERROR(VLOOKUP($A441,'The List'!$B1:$AS665,28,FALSE)," ")</f>
        <v xml:space="preserve"> </v>
      </c>
      <c r="V441" s="83" t="str">
        <f>IFERROR(VLOOKUP($A441,'The List'!$B1:$AS665,29,FALSE)," ")</f>
        <v xml:space="preserve"> </v>
      </c>
      <c r="W441" s="83" t="str">
        <f>IFERROR(VLOOKUP($A441,'The List'!$B1:$AS665,30,FALSE)," ")</f>
        <v xml:space="preserve"> </v>
      </c>
      <c r="X441" s="83" t="str">
        <f>IFERROR(VLOOKUP($A441,'The List'!$B1:$AS665,31,FALSE)," ")</f>
        <v xml:space="preserve"> </v>
      </c>
      <c r="Y441" s="83" t="str">
        <f>IFERROR(VLOOKUP($A441,'The List'!$B1:$AS665,32,FALSE)," ")</f>
        <v xml:space="preserve"> </v>
      </c>
      <c r="Z441" s="83" t="str">
        <f>IFERROR(VLOOKUP($A441,'The List'!$B1:$AS665,33,FALSE)," ")</f>
        <v xml:space="preserve"> </v>
      </c>
      <c r="AA441" s="86"/>
      <c r="AB441" s="91"/>
      <c r="AC441" s="91"/>
      <c r="AD441" s="91"/>
      <c r="AE441" s="91"/>
      <c r="AF441" s="91"/>
    </row>
    <row r="442" spans="1:32" ht="21.25" customHeight="1" x14ac:dyDescent="0.15">
      <c r="A442" s="23"/>
      <c r="B442" s="94" t="str">
        <f>IFERROR(VLOOKUP($A442,'The List'!$B1:$AS665,3,FALSE)," ")</f>
        <v xml:space="preserve"> </v>
      </c>
      <c r="C442" s="96" t="str">
        <f>IFERROR(VLOOKUP($A442,'The List'!$B1:$AS665,4,FALSE)," ")</f>
        <v xml:space="preserve"> </v>
      </c>
      <c r="D442" s="65" t="str">
        <f>IFERROR(VLOOKUP($A442,'The List'!$B1:$AS665,5,FALSE)," ")</f>
        <v xml:space="preserve"> </v>
      </c>
      <c r="E442" s="65" t="str">
        <f>IFERROR(VLOOKUP($A442,'The List'!$B1:$AS665,6,FALSE)," ")</f>
        <v xml:space="preserve"> </v>
      </c>
      <c r="F442" s="93" t="str">
        <f>IFERROR(VLOOKUP($A442,'The List'!$B1:$AS665,8,FALSE)," ")</f>
        <v xml:space="preserve"> </v>
      </c>
      <c r="G442" s="93" t="str">
        <f>IFERROR(VLOOKUP($A442,'The List'!$B1:$AS665,10,FALSE)," ")</f>
        <v xml:space="preserve"> </v>
      </c>
      <c r="H442" s="54"/>
      <c r="I442" s="83" t="str">
        <f>IFERROR(VLOOKUP($A442,'The List'!$B1:$AS665,16,FALSE)," ")</f>
        <v xml:space="preserve"> </v>
      </c>
      <c r="J442" s="83" t="str">
        <f>IFERROR(VLOOKUP($A442,'The List'!$B1:$AS665,17,FALSE)," ")</f>
        <v xml:space="preserve"> </v>
      </c>
      <c r="K442" s="83" t="str">
        <f>IFERROR(VLOOKUP($A442,'The List'!$B1:$AS665,18,FALSE)," ")</f>
        <v xml:space="preserve"> </v>
      </c>
      <c r="L442" s="83" t="str">
        <f>IFERROR(VLOOKUP($A442,'The List'!$B1:$AS665,19,FALSE)," ")</f>
        <v xml:space="preserve"> </v>
      </c>
      <c r="M442" s="83" t="str">
        <f>IFERROR(VLOOKUP($A442,'The List'!$B1:$AS665,20,FALSE)," ")</f>
        <v xml:space="preserve"> </v>
      </c>
      <c r="N442" s="83" t="str">
        <f>IFERROR(VLOOKUP($A442,'The List'!$B1:$AS665,21,FALSE)," ")</f>
        <v xml:space="preserve"> </v>
      </c>
      <c r="O442" s="83" t="str">
        <f>IFERROR(VLOOKUP($A442,'The List'!$B1:$AS665,22,FALSE)," ")</f>
        <v xml:space="preserve"> </v>
      </c>
      <c r="P442" s="83" t="str">
        <f>IFERROR(VLOOKUP($A442,'The List'!$B1:$AS665,23,FALSE)," ")</f>
        <v xml:space="preserve"> </v>
      </c>
      <c r="Q442" s="83" t="str">
        <f>IFERROR(VLOOKUP($A442,'The List'!$B1:$AS665,24,FALSE)," ")</f>
        <v xml:space="preserve"> </v>
      </c>
      <c r="R442" s="83" t="str">
        <f>IFERROR(VLOOKUP($A442,'The List'!$B1:$AS665,25,FALSE)," ")</f>
        <v xml:space="preserve"> </v>
      </c>
      <c r="S442" s="83" t="str">
        <f>IFERROR(VLOOKUP($A442,'The List'!$B1:$AS665,26,FALSE)," ")</f>
        <v xml:space="preserve"> </v>
      </c>
      <c r="T442" s="83" t="str">
        <f>IFERROR(VLOOKUP($A442,'The List'!$B1:$AS665,27,FALSE)," ")</f>
        <v xml:space="preserve"> </v>
      </c>
      <c r="U442" s="83" t="str">
        <f>IFERROR(VLOOKUP($A442,'The List'!$B1:$AS665,28,FALSE)," ")</f>
        <v xml:space="preserve"> </v>
      </c>
      <c r="V442" s="83" t="str">
        <f>IFERROR(VLOOKUP($A442,'The List'!$B1:$AS665,29,FALSE)," ")</f>
        <v xml:space="preserve"> </v>
      </c>
      <c r="W442" s="83" t="str">
        <f>IFERROR(VLOOKUP($A442,'The List'!$B1:$AS665,30,FALSE)," ")</f>
        <v xml:space="preserve"> </v>
      </c>
      <c r="X442" s="83" t="str">
        <f>IFERROR(VLOOKUP($A442,'The List'!$B1:$AS665,31,FALSE)," ")</f>
        <v xml:space="preserve"> </v>
      </c>
      <c r="Y442" s="83" t="str">
        <f>IFERROR(VLOOKUP($A442,'The List'!$B1:$AS665,32,FALSE)," ")</f>
        <v xml:space="preserve"> </v>
      </c>
      <c r="Z442" s="83" t="str">
        <f>IFERROR(VLOOKUP($A442,'The List'!$B1:$AS665,33,FALSE)," ")</f>
        <v xml:space="preserve"> </v>
      </c>
      <c r="AA442" s="86"/>
      <c r="AB442" s="91"/>
      <c r="AC442" s="91"/>
      <c r="AD442" s="91"/>
      <c r="AE442" s="91"/>
      <c r="AF442" s="91"/>
    </row>
    <row r="443" spans="1:32" ht="21.25" customHeight="1" x14ac:dyDescent="0.15">
      <c r="A443" s="23"/>
      <c r="B443" s="94" t="str">
        <f>IFERROR(VLOOKUP($A443,'The List'!$B1:$AS665,3,FALSE)," ")</f>
        <v xml:space="preserve"> </v>
      </c>
      <c r="C443" s="96" t="str">
        <f>IFERROR(VLOOKUP($A443,'The List'!$B1:$AS665,4,FALSE)," ")</f>
        <v xml:space="preserve"> </v>
      </c>
      <c r="D443" s="65" t="str">
        <f>IFERROR(VLOOKUP($A443,'The List'!$B1:$AS665,5,FALSE)," ")</f>
        <v xml:space="preserve"> </v>
      </c>
      <c r="E443" s="65" t="str">
        <f>IFERROR(VLOOKUP($A443,'The List'!$B1:$AS665,6,FALSE)," ")</f>
        <v xml:space="preserve"> </v>
      </c>
      <c r="F443" s="93" t="str">
        <f>IFERROR(VLOOKUP($A443,'The List'!$B1:$AS665,8,FALSE)," ")</f>
        <v xml:space="preserve"> </v>
      </c>
      <c r="G443" s="93" t="str">
        <f>IFERROR(VLOOKUP($A443,'The List'!$B1:$AS665,10,FALSE)," ")</f>
        <v xml:space="preserve"> </v>
      </c>
      <c r="H443" s="54"/>
      <c r="I443" s="83" t="str">
        <f>IFERROR(VLOOKUP($A443,'The List'!$B1:$AS665,16,FALSE)," ")</f>
        <v xml:space="preserve"> </v>
      </c>
      <c r="J443" s="83" t="str">
        <f>IFERROR(VLOOKUP($A443,'The List'!$B1:$AS665,17,FALSE)," ")</f>
        <v xml:space="preserve"> </v>
      </c>
      <c r="K443" s="83" t="str">
        <f>IFERROR(VLOOKUP($A443,'The List'!$B1:$AS665,18,FALSE)," ")</f>
        <v xml:space="preserve"> </v>
      </c>
      <c r="L443" s="83" t="str">
        <f>IFERROR(VLOOKUP($A443,'The List'!$B1:$AS665,19,FALSE)," ")</f>
        <v xml:space="preserve"> </v>
      </c>
      <c r="M443" s="83" t="str">
        <f>IFERROR(VLOOKUP($A443,'The List'!$B1:$AS665,20,FALSE)," ")</f>
        <v xml:space="preserve"> </v>
      </c>
      <c r="N443" s="83" t="str">
        <f>IFERROR(VLOOKUP($A443,'The List'!$B1:$AS665,21,FALSE)," ")</f>
        <v xml:space="preserve"> </v>
      </c>
      <c r="O443" s="83" t="str">
        <f>IFERROR(VLOOKUP($A443,'The List'!$B1:$AS665,22,FALSE)," ")</f>
        <v xml:space="preserve"> </v>
      </c>
      <c r="P443" s="83" t="str">
        <f>IFERROR(VLOOKUP($A443,'The List'!$B1:$AS665,23,FALSE)," ")</f>
        <v xml:space="preserve"> </v>
      </c>
      <c r="Q443" s="83" t="str">
        <f>IFERROR(VLOOKUP($A443,'The List'!$B1:$AS665,24,FALSE)," ")</f>
        <v xml:space="preserve"> </v>
      </c>
      <c r="R443" s="83" t="str">
        <f>IFERROR(VLOOKUP($A443,'The List'!$B1:$AS665,25,FALSE)," ")</f>
        <v xml:space="preserve"> </v>
      </c>
      <c r="S443" s="83" t="str">
        <f>IFERROR(VLOOKUP($A443,'The List'!$B1:$AS665,26,FALSE)," ")</f>
        <v xml:space="preserve"> </v>
      </c>
      <c r="T443" s="83" t="str">
        <f>IFERROR(VLOOKUP($A443,'The List'!$B1:$AS665,27,FALSE)," ")</f>
        <v xml:space="preserve"> </v>
      </c>
      <c r="U443" s="83" t="str">
        <f>IFERROR(VLOOKUP($A443,'The List'!$B1:$AS665,28,FALSE)," ")</f>
        <v xml:space="preserve"> </v>
      </c>
      <c r="V443" s="83" t="str">
        <f>IFERROR(VLOOKUP($A443,'The List'!$B1:$AS665,29,FALSE)," ")</f>
        <v xml:space="preserve"> </v>
      </c>
      <c r="W443" s="83" t="str">
        <f>IFERROR(VLOOKUP($A443,'The List'!$B1:$AS665,30,FALSE)," ")</f>
        <v xml:space="preserve"> </v>
      </c>
      <c r="X443" s="83" t="str">
        <f>IFERROR(VLOOKUP($A443,'The List'!$B1:$AS665,31,FALSE)," ")</f>
        <v xml:space="preserve"> </v>
      </c>
      <c r="Y443" s="83" t="str">
        <f>IFERROR(VLOOKUP($A443,'The List'!$B1:$AS665,32,FALSE)," ")</f>
        <v xml:space="preserve"> </v>
      </c>
      <c r="Z443" s="83" t="str">
        <f>IFERROR(VLOOKUP($A443,'The List'!$B1:$AS665,33,FALSE)," ")</f>
        <v xml:space="preserve"> </v>
      </c>
      <c r="AA443" s="86"/>
      <c r="AB443" s="91"/>
      <c r="AC443" s="91"/>
      <c r="AD443" s="91"/>
      <c r="AE443" s="91"/>
      <c r="AF443" s="91"/>
    </row>
    <row r="444" spans="1:32" ht="21.25" customHeight="1" x14ac:dyDescent="0.15">
      <c r="A444" s="23"/>
      <c r="B444" s="94" t="str">
        <f>IFERROR(VLOOKUP($A444,'The List'!$B1:$AS665,3,FALSE)," ")</f>
        <v xml:space="preserve"> </v>
      </c>
      <c r="C444" s="96" t="str">
        <f>IFERROR(VLOOKUP($A444,'The List'!$B1:$AS665,4,FALSE)," ")</f>
        <v xml:space="preserve"> </v>
      </c>
      <c r="D444" s="65" t="str">
        <f>IFERROR(VLOOKUP($A444,'The List'!$B1:$AS665,5,FALSE)," ")</f>
        <v xml:space="preserve"> </v>
      </c>
      <c r="E444" s="65" t="str">
        <f>IFERROR(VLOOKUP($A444,'The List'!$B1:$AS665,6,FALSE)," ")</f>
        <v xml:space="preserve"> </v>
      </c>
      <c r="F444" s="93" t="str">
        <f>IFERROR(VLOOKUP($A444,'The List'!$B1:$AS665,8,FALSE)," ")</f>
        <v xml:space="preserve"> </v>
      </c>
      <c r="G444" s="93" t="str">
        <f>IFERROR(VLOOKUP($A444,'The List'!$B1:$AS665,10,FALSE)," ")</f>
        <v xml:space="preserve"> </v>
      </c>
      <c r="H444" s="54"/>
      <c r="I444" s="83" t="str">
        <f>IFERROR(VLOOKUP($A444,'The List'!$B1:$AS665,16,FALSE)," ")</f>
        <v xml:space="preserve"> </v>
      </c>
      <c r="J444" s="83" t="str">
        <f>IFERROR(VLOOKUP($A444,'The List'!$B1:$AS665,17,FALSE)," ")</f>
        <v xml:space="preserve"> </v>
      </c>
      <c r="K444" s="83" t="str">
        <f>IFERROR(VLOOKUP($A444,'The List'!$B1:$AS665,18,FALSE)," ")</f>
        <v xml:space="preserve"> </v>
      </c>
      <c r="L444" s="83" t="str">
        <f>IFERROR(VLOOKUP($A444,'The List'!$B1:$AS665,19,FALSE)," ")</f>
        <v xml:space="preserve"> </v>
      </c>
      <c r="M444" s="83" t="str">
        <f>IFERROR(VLOOKUP($A444,'The List'!$B1:$AS665,20,FALSE)," ")</f>
        <v xml:space="preserve"> </v>
      </c>
      <c r="N444" s="83" t="str">
        <f>IFERROR(VLOOKUP($A444,'The List'!$B1:$AS665,21,FALSE)," ")</f>
        <v xml:space="preserve"> </v>
      </c>
      <c r="O444" s="83" t="str">
        <f>IFERROR(VLOOKUP($A444,'The List'!$B1:$AS665,22,FALSE)," ")</f>
        <v xml:space="preserve"> </v>
      </c>
      <c r="P444" s="83" t="str">
        <f>IFERROR(VLOOKUP($A444,'The List'!$B1:$AS665,23,FALSE)," ")</f>
        <v xml:space="preserve"> </v>
      </c>
      <c r="Q444" s="83" t="str">
        <f>IFERROR(VLOOKUP($A444,'The List'!$B1:$AS665,24,FALSE)," ")</f>
        <v xml:space="preserve"> </v>
      </c>
      <c r="R444" s="83" t="str">
        <f>IFERROR(VLOOKUP($A444,'The List'!$B1:$AS665,25,FALSE)," ")</f>
        <v xml:space="preserve"> </v>
      </c>
      <c r="S444" s="83" t="str">
        <f>IFERROR(VLOOKUP($A444,'The List'!$B1:$AS665,26,FALSE)," ")</f>
        <v xml:space="preserve"> </v>
      </c>
      <c r="T444" s="83" t="str">
        <f>IFERROR(VLOOKUP($A444,'The List'!$B1:$AS665,27,FALSE)," ")</f>
        <v xml:space="preserve"> </v>
      </c>
      <c r="U444" s="83" t="str">
        <f>IFERROR(VLOOKUP($A444,'The List'!$B1:$AS665,28,FALSE)," ")</f>
        <v xml:space="preserve"> </v>
      </c>
      <c r="V444" s="83" t="str">
        <f>IFERROR(VLOOKUP($A444,'The List'!$B1:$AS665,29,FALSE)," ")</f>
        <v xml:space="preserve"> </v>
      </c>
      <c r="W444" s="83" t="str">
        <f>IFERROR(VLOOKUP($A444,'The List'!$B1:$AS665,30,FALSE)," ")</f>
        <v xml:space="preserve"> </v>
      </c>
      <c r="X444" s="83" t="str">
        <f>IFERROR(VLOOKUP($A444,'The List'!$B1:$AS665,31,FALSE)," ")</f>
        <v xml:space="preserve"> </v>
      </c>
      <c r="Y444" s="83" t="str">
        <f>IFERROR(VLOOKUP($A444,'The List'!$B1:$AS665,32,FALSE)," ")</f>
        <v xml:space="preserve"> </v>
      </c>
      <c r="Z444" s="83" t="str">
        <f>IFERROR(VLOOKUP($A444,'The List'!$B1:$AS665,33,FALSE)," ")</f>
        <v xml:space="preserve"> </v>
      </c>
      <c r="AA444" s="86"/>
      <c r="AB444" s="91"/>
      <c r="AC444" s="91"/>
      <c r="AD444" s="91"/>
      <c r="AE444" s="91"/>
      <c r="AF444" s="91"/>
    </row>
    <row r="445" spans="1:32" ht="21.25" customHeight="1" x14ac:dyDescent="0.15">
      <c r="A445" s="23"/>
      <c r="B445" s="97" t="str">
        <f>IFERROR(VLOOKUP($A445,'The List'!$B1:$AS665,3,FALSE)," ")</f>
        <v xml:space="preserve"> </v>
      </c>
      <c r="C445" s="99" t="str">
        <f>IFERROR(VLOOKUP($A445,'The List'!$B1:$AS665,4,FALSE)," ")</f>
        <v xml:space="preserve"> </v>
      </c>
      <c r="D445" s="65" t="str">
        <f>IFERROR(VLOOKUP($A445,'The List'!$B1:$AS665,5,FALSE)," ")</f>
        <v xml:space="preserve"> </v>
      </c>
      <c r="E445" s="65" t="str">
        <f>IFERROR(VLOOKUP($A445,'The List'!$B1:$AS665,6,FALSE)," ")</f>
        <v xml:space="preserve"> </v>
      </c>
      <c r="F445" s="93" t="str">
        <f>IFERROR(VLOOKUP($A445,'The List'!$B1:$AS665,8,FALSE)," ")</f>
        <v xml:space="preserve"> </v>
      </c>
      <c r="G445" s="93" t="str">
        <f>IFERROR(VLOOKUP($A445,'The List'!$B1:$AS665,10,FALSE)," ")</f>
        <v xml:space="preserve"> </v>
      </c>
      <c r="H445" s="54"/>
      <c r="I445" s="83" t="str">
        <f>IFERROR(VLOOKUP($A445,'The List'!$B1:$AS665,16,FALSE)," ")</f>
        <v xml:space="preserve"> </v>
      </c>
      <c r="J445" s="83" t="str">
        <f>IFERROR(VLOOKUP($A445,'The List'!$B1:$AS665,17,FALSE)," ")</f>
        <v xml:space="preserve"> </v>
      </c>
      <c r="K445" s="83" t="str">
        <f>IFERROR(VLOOKUP($A445,'The List'!$B1:$AS665,18,FALSE)," ")</f>
        <v xml:space="preserve"> </v>
      </c>
      <c r="L445" s="83" t="str">
        <f>IFERROR(VLOOKUP($A445,'The List'!$B1:$AS665,19,FALSE)," ")</f>
        <v xml:space="preserve"> </v>
      </c>
      <c r="M445" s="83" t="str">
        <f>IFERROR(VLOOKUP($A445,'The List'!$B1:$AS665,20,FALSE)," ")</f>
        <v xml:space="preserve"> </v>
      </c>
      <c r="N445" s="83" t="str">
        <f>IFERROR(VLOOKUP($A445,'The List'!$B1:$AS665,21,FALSE)," ")</f>
        <v xml:space="preserve"> </v>
      </c>
      <c r="O445" s="83" t="str">
        <f>IFERROR(VLOOKUP($A445,'The List'!$B1:$AS665,22,FALSE)," ")</f>
        <v xml:space="preserve"> </v>
      </c>
      <c r="P445" s="83" t="str">
        <f>IFERROR(VLOOKUP($A445,'The List'!$B1:$AS665,23,FALSE)," ")</f>
        <v xml:space="preserve"> </v>
      </c>
      <c r="Q445" s="83" t="str">
        <f>IFERROR(VLOOKUP($A445,'The List'!$B1:$AS665,24,FALSE)," ")</f>
        <v xml:space="preserve"> </v>
      </c>
      <c r="R445" s="83" t="str">
        <f>IFERROR(VLOOKUP($A445,'The List'!$B1:$AS665,25,FALSE)," ")</f>
        <v xml:space="preserve"> </v>
      </c>
      <c r="S445" s="83" t="str">
        <f>IFERROR(VLOOKUP($A445,'The List'!$B1:$AS665,26,FALSE)," ")</f>
        <v xml:space="preserve"> </v>
      </c>
      <c r="T445" s="83" t="str">
        <f>IFERROR(VLOOKUP($A445,'The List'!$B1:$AS665,27,FALSE)," ")</f>
        <v xml:space="preserve"> </v>
      </c>
      <c r="U445" s="83" t="str">
        <f>IFERROR(VLOOKUP($A445,'The List'!$B1:$AS665,28,FALSE)," ")</f>
        <v xml:space="preserve"> </v>
      </c>
      <c r="V445" s="83" t="str">
        <f>IFERROR(VLOOKUP($A445,'The List'!$B1:$AS665,29,FALSE)," ")</f>
        <v xml:space="preserve"> </v>
      </c>
      <c r="W445" s="83" t="str">
        <f>IFERROR(VLOOKUP($A445,'The List'!$B1:$AS665,30,FALSE)," ")</f>
        <v xml:space="preserve"> </v>
      </c>
      <c r="X445" s="83" t="str">
        <f>IFERROR(VLOOKUP($A445,'The List'!$B1:$AS665,31,FALSE)," ")</f>
        <v xml:space="preserve"> </v>
      </c>
      <c r="Y445" s="83" t="str">
        <f>IFERROR(VLOOKUP($A445,'The List'!$B1:$AS665,32,FALSE)," ")</f>
        <v xml:space="preserve"> </v>
      </c>
      <c r="Z445" s="83" t="str">
        <f>IFERROR(VLOOKUP($A445,'The List'!$B1:$AS665,33,FALSE)," ")</f>
        <v xml:space="preserve"> </v>
      </c>
      <c r="AA445" s="86"/>
      <c r="AB445" s="91"/>
      <c r="AC445" s="91"/>
      <c r="AD445" s="91"/>
      <c r="AE445" s="91"/>
      <c r="AF445" s="91"/>
    </row>
    <row r="446" spans="1:32" ht="21.25" customHeight="1" x14ac:dyDescent="0.15">
      <c r="A446" s="23"/>
      <c r="B446" s="97" t="str">
        <f>IFERROR(VLOOKUP($A446,'The List'!$B1:$AS665,3,FALSE)," ")</f>
        <v xml:space="preserve"> </v>
      </c>
      <c r="C446" s="99" t="str">
        <f>IFERROR(VLOOKUP($A446,'The List'!$B1:$AS665,4,FALSE)," ")</f>
        <v xml:space="preserve"> </v>
      </c>
      <c r="D446" s="65" t="str">
        <f>IFERROR(VLOOKUP($A446,'The List'!$B1:$AS665,5,FALSE)," ")</f>
        <v xml:space="preserve"> </v>
      </c>
      <c r="E446" s="65" t="str">
        <f>IFERROR(VLOOKUP($A446,'The List'!$B1:$AS665,6,FALSE)," ")</f>
        <v xml:space="preserve"> </v>
      </c>
      <c r="F446" s="93" t="str">
        <f>IFERROR(VLOOKUP($A446,'The List'!$B1:$AS665,8,FALSE)," ")</f>
        <v xml:space="preserve"> </v>
      </c>
      <c r="G446" s="93" t="str">
        <f>IFERROR(VLOOKUP($A446,'The List'!$B1:$AS665,10,FALSE)," ")</f>
        <v xml:space="preserve"> </v>
      </c>
      <c r="H446" s="54"/>
      <c r="I446" s="83" t="str">
        <f>IFERROR(VLOOKUP($A446,'The List'!$B1:$AS665,16,FALSE)," ")</f>
        <v xml:space="preserve"> </v>
      </c>
      <c r="J446" s="83" t="str">
        <f>IFERROR(VLOOKUP($A446,'The List'!$B1:$AS665,17,FALSE)," ")</f>
        <v xml:space="preserve"> </v>
      </c>
      <c r="K446" s="83" t="str">
        <f>IFERROR(VLOOKUP($A446,'The List'!$B1:$AS665,18,FALSE)," ")</f>
        <v xml:space="preserve"> </v>
      </c>
      <c r="L446" s="83" t="str">
        <f>IFERROR(VLOOKUP($A446,'The List'!$B1:$AS665,19,FALSE)," ")</f>
        <v xml:space="preserve"> </v>
      </c>
      <c r="M446" s="83" t="str">
        <f>IFERROR(VLOOKUP($A446,'The List'!$B1:$AS665,20,FALSE)," ")</f>
        <v xml:space="preserve"> </v>
      </c>
      <c r="N446" s="83" t="str">
        <f>IFERROR(VLOOKUP($A446,'The List'!$B1:$AS665,21,FALSE)," ")</f>
        <v xml:space="preserve"> </v>
      </c>
      <c r="O446" s="83" t="str">
        <f>IFERROR(VLOOKUP($A446,'The List'!$B1:$AS665,22,FALSE)," ")</f>
        <v xml:space="preserve"> </v>
      </c>
      <c r="P446" s="83" t="str">
        <f>IFERROR(VLOOKUP($A446,'The List'!$B1:$AS665,23,FALSE)," ")</f>
        <v xml:space="preserve"> </v>
      </c>
      <c r="Q446" s="83" t="str">
        <f>IFERROR(VLOOKUP($A446,'The List'!$B1:$AS665,24,FALSE)," ")</f>
        <v xml:space="preserve"> </v>
      </c>
      <c r="R446" s="83" t="str">
        <f>IFERROR(VLOOKUP($A446,'The List'!$B1:$AS665,25,FALSE)," ")</f>
        <v xml:space="preserve"> </v>
      </c>
      <c r="S446" s="83" t="str">
        <f>IFERROR(VLOOKUP($A446,'The List'!$B1:$AS665,26,FALSE)," ")</f>
        <v xml:space="preserve"> </v>
      </c>
      <c r="T446" s="83" t="str">
        <f>IFERROR(VLOOKUP($A446,'The List'!$B1:$AS665,27,FALSE)," ")</f>
        <v xml:space="preserve"> </v>
      </c>
      <c r="U446" s="83" t="str">
        <f>IFERROR(VLOOKUP($A446,'The List'!$B1:$AS665,28,FALSE)," ")</f>
        <v xml:space="preserve"> </v>
      </c>
      <c r="V446" s="83" t="str">
        <f>IFERROR(VLOOKUP($A446,'The List'!$B1:$AS665,29,FALSE)," ")</f>
        <v xml:space="preserve"> </v>
      </c>
      <c r="W446" s="83" t="str">
        <f>IFERROR(VLOOKUP($A446,'The List'!$B1:$AS665,30,FALSE)," ")</f>
        <v xml:space="preserve"> </v>
      </c>
      <c r="X446" s="83" t="str">
        <f>IFERROR(VLOOKUP($A446,'The List'!$B1:$AS665,31,FALSE)," ")</f>
        <v xml:space="preserve"> </v>
      </c>
      <c r="Y446" s="83" t="str">
        <f>IFERROR(VLOOKUP($A446,'The List'!$B1:$AS665,32,FALSE)," ")</f>
        <v xml:space="preserve"> </v>
      </c>
      <c r="Z446" s="83" t="str">
        <f>IFERROR(VLOOKUP($A446,'The List'!$B1:$AS665,33,FALSE)," ")</f>
        <v xml:space="preserve"> </v>
      </c>
      <c r="AA446" s="86"/>
      <c r="AB446" s="91"/>
      <c r="AC446" s="91"/>
      <c r="AD446" s="91"/>
      <c r="AE446" s="91"/>
      <c r="AF446" s="91"/>
    </row>
    <row r="447" spans="1:32" ht="21.25" customHeight="1" x14ac:dyDescent="0.15">
      <c r="A447" s="23"/>
      <c r="B447" s="97" t="str">
        <f>IFERROR(VLOOKUP($A447,'The List'!$B1:$AS665,3,FALSE)," ")</f>
        <v xml:space="preserve"> </v>
      </c>
      <c r="C447" s="99" t="str">
        <f>IFERROR(VLOOKUP($A447,'The List'!$B1:$AS665,4,FALSE)," ")</f>
        <v xml:space="preserve"> </v>
      </c>
      <c r="D447" s="65" t="str">
        <f>IFERROR(VLOOKUP($A447,'The List'!$B1:$AS665,5,FALSE)," ")</f>
        <v xml:space="preserve"> </v>
      </c>
      <c r="E447" s="65" t="str">
        <f>IFERROR(VLOOKUP($A447,'The List'!$B1:$AS665,6,FALSE)," ")</f>
        <v xml:space="preserve"> </v>
      </c>
      <c r="F447" s="93" t="str">
        <f>IFERROR(VLOOKUP($A447,'The List'!$B1:$AS665,8,FALSE)," ")</f>
        <v xml:space="preserve"> </v>
      </c>
      <c r="G447" s="93" t="str">
        <f>IFERROR(VLOOKUP($A447,'The List'!$B1:$AS665,10,FALSE)," ")</f>
        <v xml:space="preserve"> </v>
      </c>
      <c r="H447" s="54"/>
      <c r="I447" s="83" t="str">
        <f>IFERROR(VLOOKUP($A447,'The List'!$B1:$AS665,16,FALSE)," ")</f>
        <v xml:space="preserve"> </v>
      </c>
      <c r="J447" s="83" t="str">
        <f>IFERROR(VLOOKUP($A447,'The List'!$B1:$AS665,17,FALSE)," ")</f>
        <v xml:space="preserve"> </v>
      </c>
      <c r="K447" s="83" t="str">
        <f>IFERROR(VLOOKUP($A447,'The List'!$B1:$AS665,18,FALSE)," ")</f>
        <v xml:space="preserve"> </v>
      </c>
      <c r="L447" s="83" t="str">
        <f>IFERROR(VLOOKUP($A447,'The List'!$B1:$AS665,19,FALSE)," ")</f>
        <v xml:space="preserve"> </v>
      </c>
      <c r="M447" s="83" t="str">
        <f>IFERROR(VLOOKUP($A447,'The List'!$B1:$AS665,20,FALSE)," ")</f>
        <v xml:space="preserve"> </v>
      </c>
      <c r="N447" s="83" t="str">
        <f>IFERROR(VLOOKUP($A447,'The List'!$B1:$AS665,21,FALSE)," ")</f>
        <v xml:space="preserve"> </v>
      </c>
      <c r="O447" s="83" t="str">
        <f>IFERROR(VLOOKUP($A447,'The List'!$B1:$AS665,22,FALSE)," ")</f>
        <v xml:space="preserve"> </v>
      </c>
      <c r="P447" s="83" t="str">
        <f>IFERROR(VLOOKUP($A447,'The List'!$B1:$AS665,23,FALSE)," ")</f>
        <v xml:space="preserve"> </v>
      </c>
      <c r="Q447" s="83" t="str">
        <f>IFERROR(VLOOKUP($A447,'The List'!$B1:$AS665,24,FALSE)," ")</f>
        <v xml:space="preserve"> </v>
      </c>
      <c r="R447" s="83" t="str">
        <f>IFERROR(VLOOKUP($A447,'The List'!$B1:$AS665,25,FALSE)," ")</f>
        <v xml:space="preserve"> </v>
      </c>
      <c r="S447" s="83" t="str">
        <f>IFERROR(VLOOKUP($A447,'The List'!$B1:$AS665,26,FALSE)," ")</f>
        <v xml:space="preserve"> </v>
      </c>
      <c r="T447" s="83" t="str">
        <f>IFERROR(VLOOKUP($A447,'The List'!$B1:$AS665,27,FALSE)," ")</f>
        <v xml:space="preserve"> </v>
      </c>
      <c r="U447" s="83" t="str">
        <f>IFERROR(VLOOKUP($A447,'The List'!$B1:$AS665,28,FALSE)," ")</f>
        <v xml:space="preserve"> </v>
      </c>
      <c r="V447" s="83" t="str">
        <f>IFERROR(VLOOKUP($A447,'The List'!$B1:$AS665,29,FALSE)," ")</f>
        <v xml:space="preserve"> </v>
      </c>
      <c r="W447" s="83" t="str">
        <f>IFERROR(VLOOKUP($A447,'The List'!$B1:$AS665,30,FALSE)," ")</f>
        <v xml:space="preserve"> </v>
      </c>
      <c r="X447" s="83" t="str">
        <f>IFERROR(VLOOKUP($A447,'The List'!$B1:$AS665,31,FALSE)," ")</f>
        <v xml:space="preserve"> </v>
      </c>
      <c r="Y447" s="83" t="str">
        <f>IFERROR(VLOOKUP($A447,'The List'!$B1:$AS665,32,FALSE)," ")</f>
        <v xml:space="preserve"> </v>
      </c>
      <c r="Z447" s="83" t="str">
        <f>IFERROR(VLOOKUP($A447,'The List'!$B1:$AS665,33,FALSE)," ")</f>
        <v xml:space="preserve"> </v>
      </c>
      <c r="AA447" s="86"/>
      <c r="AB447" s="91"/>
      <c r="AC447" s="91"/>
      <c r="AD447" s="91"/>
      <c r="AE447" s="91"/>
      <c r="AF447" s="91"/>
    </row>
    <row r="448" spans="1:32" ht="21.25" customHeight="1" x14ac:dyDescent="0.15">
      <c r="A448" s="23"/>
      <c r="B448" s="97" t="str">
        <f>IFERROR(VLOOKUP($A448,'The List'!$B1:$AS665,3,FALSE)," ")</f>
        <v xml:space="preserve"> </v>
      </c>
      <c r="C448" s="99" t="str">
        <f>IFERROR(VLOOKUP($A448,'The List'!$B1:$AS665,4,FALSE)," ")</f>
        <v xml:space="preserve"> </v>
      </c>
      <c r="D448" s="65" t="str">
        <f>IFERROR(VLOOKUP($A448,'The List'!$B1:$AS665,5,FALSE)," ")</f>
        <v xml:space="preserve"> </v>
      </c>
      <c r="E448" s="65" t="str">
        <f>IFERROR(VLOOKUP($A448,'The List'!$B1:$AS665,6,FALSE)," ")</f>
        <v xml:space="preserve"> </v>
      </c>
      <c r="F448" s="93" t="str">
        <f>IFERROR(VLOOKUP($A448,'The List'!$B1:$AS665,8,FALSE)," ")</f>
        <v xml:space="preserve"> </v>
      </c>
      <c r="G448" s="93" t="str">
        <f>IFERROR(VLOOKUP($A448,'The List'!$B1:$AS665,10,FALSE)," ")</f>
        <v xml:space="preserve"> </v>
      </c>
      <c r="H448" s="54"/>
      <c r="I448" s="83" t="str">
        <f>IFERROR(VLOOKUP($A448,'The List'!$B1:$AS665,16,FALSE)," ")</f>
        <v xml:space="preserve"> </v>
      </c>
      <c r="J448" s="83" t="str">
        <f>IFERROR(VLOOKUP($A448,'The List'!$B1:$AS665,17,FALSE)," ")</f>
        <v xml:space="preserve"> </v>
      </c>
      <c r="K448" s="83" t="str">
        <f>IFERROR(VLOOKUP($A448,'The List'!$B1:$AS665,18,FALSE)," ")</f>
        <v xml:space="preserve"> </v>
      </c>
      <c r="L448" s="83" t="str">
        <f>IFERROR(VLOOKUP($A448,'The List'!$B1:$AS665,19,FALSE)," ")</f>
        <v xml:space="preserve"> </v>
      </c>
      <c r="M448" s="83" t="str">
        <f>IFERROR(VLOOKUP($A448,'The List'!$B1:$AS665,20,FALSE)," ")</f>
        <v xml:space="preserve"> </v>
      </c>
      <c r="N448" s="83" t="str">
        <f>IFERROR(VLOOKUP($A448,'The List'!$B1:$AS665,21,FALSE)," ")</f>
        <v xml:space="preserve"> </v>
      </c>
      <c r="O448" s="83" t="str">
        <f>IFERROR(VLOOKUP($A448,'The List'!$B1:$AS665,22,FALSE)," ")</f>
        <v xml:space="preserve"> </v>
      </c>
      <c r="P448" s="83" t="str">
        <f>IFERROR(VLOOKUP($A448,'The List'!$B1:$AS665,23,FALSE)," ")</f>
        <v xml:space="preserve"> </v>
      </c>
      <c r="Q448" s="83" t="str">
        <f>IFERROR(VLOOKUP($A448,'The List'!$B1:$AS665,24,FALSE)," ")</f>
        <v xml:space="preserve"> </v>
      </c>
      <c r="R448" s="83" t="str">
        <f>IFERROR(VLOOKUP($A448,'The List'!$B1:$AS665,25,FALSE)," ")</f>
        <v xml:space="preserve"> </v>
      </c>
      <c r="S448" s="83" t="str">
        <f>IFERROR(VLOOKUP($A448,'The List'!$B1:$AS665,26,FALSE)," ")</f>
        <v xml:space="preserve"> </v>
      </c>
      <c r="T448" s="83" t="str">
        <f>IFERROR(VLOOKUP($A448,'The List'!$B1:$AS665,27,FALSE)," ")</f>
        <v xml:space="preserve"> </v>
      </c>
      <c r="U448" s="83" t="str">
        <f>IFERROR(VLOOKUP($A448,'The List'!$B1:$AS665,28,FALSE)," ")</f>
        <v xml:space="preserve"> </v>
      </c>
      <c r="V448" s="83" t="str">
        <f>IFERROR(VLOOKUP($A448,'The List'!$B1:$AS665,29,FALSE)," ")</f>
        <v xml:space="preserve"> </v>
      </c>
      <c r="W448" s="83" t="str">
        <f>IFERROR(VLOOKUP($A448,'The List'!$B1:$AS665,30,FALSE)," ")</f>
        <v xml:space="preserve"> </v>
      </c>
      <c r="X448" s="83" t="str">
        <f>IFERROR(VLOOKUP($A448,'The List'!$B1:$AS665,31,FALSE)," ")</f>
        <v xml:space="preserve"> </v>
      </c>
      <c r="Y448" s="83" t="str">
        <f>IFERROR(VLOOKUP($A448,'The List'!$B1:$AS665,32,FALSE)," ")</f>
        <v xml:space="preserve"> </v>
      </c>
      <c r="Z448" s="83" t="str">
        <f>IFERROR(VLOOKUP($A448,'The List'!$B1:$AS665,33,FALSE)," ")</f>
        <v xml:space="preserve"> </v>
      </c>
      <c r="AA448" s="86"/>
      <c r="AB448" s="91"/>
      <c r="AC448" s="91"/>
      <c r="AD448" s="91"/>
      <c r="AE448" s="91"/>
      <c r="AF448" s="91"/>
    </row>
    <row r="449" spans="1:32" ht="21.25" customHeight="1" x14ac:dyDescent="0.15">
      <c r="A449" s="23"/>
      <c r="B449" s="100" t="str">
        <f>IFERROR(VLOOKUP($A449,'The List'!$B1:$AS665,3,FALSE)," ")</f>
        <v xml:space="preserve"> </v>
      </c>
      <c r="C449" s="102" t="str">
        <f>IFERROR(VLOOKUP($A449,'The List'!$B1:$AS665,4,FALSE)," ")</f>
        <v xml:space="preserve"> </v>
      </c>
      <c r="D449" s="65" t="str">
        <f>IFERROR(VLOOKUP($A449,'The List'!$B1:$AS665,5,FALSE)," ")</f>
        <v xml:space="preserve"> </v>
      </c>
      <c r="E449" s="65" t="str">
        <f>IFERROR(VLOOKUP($A449,'The List'!$B1:$AS665,6,FALSE)," ")</f>
        <v xml:space="preserve"> </v>
      </c>
      <c r="F449" s="93" t="str">
        <f>IFERROR(VLOOKUP($A449,'The List'!$B1:$AS665,8,FALSE)," ")</f>
        <v xml:space="preserve"> </v>
      </c>
      <c r="G449" s="93" t="str">
        <f>IFERROR(VLOOKUP($A449,'The List'!$B1:$AS665,10,FALSE)," ")</f>
        <v xml:space="preserve"> </v>
      </c>
      <c r="H449" s="54"/>
      <c r="I449" s="83" t="str">
        <f>IFERROR(VLOOKUP($A449,'The List'!$B1:$AS665,16,FALSE)," ")</f>
        <v xml:space="preserve"> </v>
      </c>
      <c r="J449" s="83" t="str">
        <f>IFERROR(VLOOKUP($A449,'The List'!$B1:$AS665,17,FALSE)," ")</f>
        <v xml:space="preserve"> </v>
      </c>
      <c r="K449" s="83" t="str">
        <f>IFERROR(VLOOKUP($A449,'The List'!$B1:$AS665,18,FALSE)," ")</f>
        <v xml:space="preserve"> </v>
      </c>
      <c r="L449" s="83" t="str">
        <f>IFERROR(VLOOKUP($A449,'The List'!$B1:$AS665,19,FALSE)," ")</f>
        <v xml:space="preserve"> </v>
      </c>
      <c r="M449" s="83" t="str">
        <f>IFERROR(VLOOKUP($A449,'The List'!$B1:$AS665,20,FALSE)," ")</f>
        <v xml:space="preserve"> </v>
      </c>
      <c r="N449" s="83" t="str">
        <f>IFERROR(VLOOKUP($A449,'The List'!$B1:$AS665,21,FALSE)," ")</f>
        <v xml:space="preserve"> </v>
      </c>
      <c r="O449" s="83" t="str">
        <f>IFERROR(VLOOKUP($A449,'The List'!$B1:$AS665,22,FALSE)," ")</f>
        <v xml:space="preserve"> </v>
      </c>
      <c r="P449" s="83" t="str">
        <f>IFERROR(VLOOKUP($A449,'The List'!$B1:$AS665,23,FALSE)," ")</f>
        <v xml:space="preserve"> </v>
      </c>
      <c r="Q449" s="83" t="str">
        <f>IFERROR(VLOOKUP($A449,'The List'!$B1:$AS665,24,FALSE)," ")</f>
        <v xml:space="preserve"> </v>
      </c>
      <c r="R449" s="83" t="str">
        <f>IFERROR(VLOOKUP($A449,'The List'!$B1:$AS665,25,FALSE)," ")</f>
        <v xml:space="preserve"> </v>
      </c>
      <c r="S449" s="83" t="str">
        <f>IFERROR(VLOOKUP($A449,'The List'!$B1:$AS665,26,FALSE)," ")</f>
        <v xml:space="preserve"> </v>
      </c>
      <c r="T449" s="83" t="str">
        <f>IFERROR(VLOOKUP($A449,'The List'!$B1:$AS665,27,FALSE)," ")</f>
        <v xml:space="preserve"> </v>
      </c>
      <c r="U449" s="83" t="str">
        <f>IFERROR(VLOOKUP($A449,'The List'!$B1:$AS665,28,FALSE)," ")</f>
        <v xml:space="preserve"> </v>
      </c>
      <c r="V449" s="83" t="str">
        <f>IFERROR(VLOOKUP($A449,'The List'!$B1:$AS665,29,FALSE)," ")</f>
        <v xml:space="preserve"> </v>
      </c>
      <c r="W449" s="83" t="str">
        <f>IFERROR(VLOOKUP($A449,'The List'!$B1:$AS665,30,FALSE)," ")</f>
        <v xml:space="preserve"> </v>
      </c>
      <c r="X449" s="83" t="str">
        <f>IFERROR(VLOOKUP($A449,'The List'!$B1:$AS665,31,FALSE)," ")</f>
        <v xml:space="preserve"> </v>
      </c>
      <c r="Y449" s="83" t="str">
        <f>IFERROR(VLOOKUP($A449,'The List'!$B1:$AS665,32,FALSE)," ")</f>
        <v xml:space="preserve"> </v>
      </c>
      <c r="Z449" s="83" t="str">
        <f>IFERROR(VLOOKUP($A449,'The List'!$B1:$AS665,33,FALSE)," ")</f>
        <v xml:space="preserve"> </v>
      </c>
      <c r="AA449" s="86"/>
      <c r="AB449" s="91"/>
      <c r="AC449" s="91"/>
      <c r="AD449" s="91"/>
      <c r="AE449" s="91"/>
      <c r="AF449" s="91"/>
    </row>
    <row r="450" spans="1:32" ht="21.25" customHeight="1" x14ac:dyDescent="0.15">
      <c r="A450" s="23"/>
      <c r="B450" s="100" t="str">
        <f>IFERROR(VLOOKUP($A450,'The List'!$B1:$AS665,3,FALSE)," ")</f>
        <v xml:space="preserve"> </v>
      </c>
      <c r="C450" s="102" t="str">
        <f>IFERROR(VLOOKUP($A450,'The List'!$B1:$AS665,4,FALSE)," ")</f>
        <v xml:space="preserve"> </v>
      </c>
      <c r="D450" s="65" t="str">
        <f>IFERROR(VLOOKUP($A450,'The List'!$B1:$AS665,5,FALSE)," ")</f>
        <v xml:space="preserve"> </v>
      </c>
      <c r="E450" s="65" t="str">
        <f>IFERROR(VLOOKUP($A450,'The List'!$B1:$AS665,6,FALSE)," ")</f>
        <v xml:space="preserve"> </v>
      </c>
      <c r="F450" s="93" t="str">
        <f>IFERROR(VLOOKUP($A450,'The List'!$B1:$AS665,8,FALSE)," ")</f>
        <v xml:space="preserve"> </v>
      </c>
      <c r="G450" s="93" t="str">
        <f>IFERROR(VLOOKUP($A450,'The List'!$B1:$AS665,10,FALSE)," ")</f>
        <v xml:space="preserve"> </v>
      </c>
      <c r="H450" s="54"/>
      <c r="I450" s="83" t="str">
        <f>IFERROR(VLOOKUP($A450,'The List'!$B1:$AS665,16,FALSE)," ")</f>
        <v xml:space="preserve"> </v>
      </c>
      <c r="J450" s="83" t="str">
        <f>IFERROR(VLOOKUP($A450,'The List'!$B1:$AS665,17,FALSE)," ")</f>
        <v xml:space="preserve"> </v>
      </c>
      <c r="K450" s="83" t="str">
        <f>IFERROR(VLOOKUP($A450,'The List'!$B1:$AS665,18,FALSE)," ")</f>
        <v xml:space="preserve"> </v>
      </c>
      <c r="L450" s="83" t="str">
        <f>IFERROR(VLOOKUP($A450,'The List'!$B1:$AS665,19,FALSE)," ")</f>
        <v xml:space="preserve"> </v>
      </c>
      <c r="M450" s="83" t="str">
        <f>IFERROR(VLOOKUP($A450,'The List'!$B1:$AS665,20,FALSE)," ")</f>
        <v xml:space="preserve"> </v>
      </c>
      <c r="N450" s="83" t="str">
        <f>IFERROR(VLOOKUP($A450,'The List'!$B1:$AS665,21,FALSE)," ")</f>
        <v xml:space="preserve"> </v>
      </c>
      <c r="O450" s="83" t="str">
        <f>IFERROR(VLOOKUP($A450,'The List'!$B1:$AS665,22,FALSE)," ")</f>
        <v xml:space="preserve"> </v>
      </c>
      <c r="P450" s="83" t="str">
        <f>IFERROR(VLOOKUP($A450,'The List'!$B1:$AS665,23,FALSE)," ")</f>
        <v xml:space="preserve"> </v>
      </c>
      <c r="Q450" s="83" t="str">
        <f>IFERROR(VLOOKUP($A450,'The List'!$B1:$AS665,24,FALSE)," ")</f>
        <v xml:space="preserve"> </v>
      </c>
      <c r="R450" s="83" t="str">
        <f>IFERROR(VLOOKUP($A450,'The List'!$B1:$AS665,25,FALSE)," ")</f>
        <v xml:space="preserve"> </v>
      </c>
      <c r="S450" s="83" t="str">
        <f>IFERROR(VLOOKUP($A450,'The List'!$B1:$AS665,26,FALSE)," ")</f>
        <v xml:space="preserve"> </v>
      </c>
      <c r="T450" s="83" t="str">
        <f>IFERROR(VLOOKUP($A450,'The List'!$B1:$AS665,27,FALSE)," ")</f>
        <v xml:space="preserve"> </v>
      </c>
      <c r="U450" s="83" t="str">
        <f>IFERROR(VLOOKUP($A450,'The List'!$B1:$AS665,28,FALSE)," ")</f>
        <v xml:space="preserve"> </v>
      </c>
      <c r="V450" s="83" t="str">
        <f>IFERROR(VLOOKUP($A450,'The List'!$B1:$AS665,29,FALSE)," ")</f>
        <v xml:space="preserve"> </v>
      </c>
      <c r="W450" s="83" t="str">
        <f>IFERROR(VLOOKUP($A450,'The List'!$B1:$AS665,30,FALSE)," ")</f>
        <v xml:space="preserve"> </v>
      </c>
      <c r="X450" s="83" t="str">
        <f>IFERROR(VLOOKUP($A450,'The List'!$B1:$AS665,31,FALSE)," ")</f>
        <v xml:space="preserve"> </v>
      </c>
      <c r="Y450" s="83" t="str">
        <f>IFERROR(VLOOKUP($A450,'The List'!$B1:$AS665,32,FALSE)," ")</f>
        <v xml:space="preserve"> </v>
      </c>
      <c r="Z450" s="83" t="str">
        <f>IFERROR(VLOOKUP($A450,'The List'!$B1:$AS665,33,FALSE)," ")</f>
        <v xml:space="preserve"> </v>
      </c>
      <c r="AA450" s="86"/>
      <c r="AB450" s="91"/>
      <c r="AC450" s="91"/>
      <c r="AD450" s="91"/>
      <c r="AE450" s="91"/>
      <c r="AF450" s="91"/>
    </row>
    <row r="451" spans="1:32" ht="21.25" customHeight="1" x14ac:dyDescent="0.15">
      <c r="A451" s="23"/>
      <c r="B451" s="100" t="str">
        <f>IFERROR(VLOOKUP($A451,'The List'!$B1:$AS665,3,FALSE)," ")</f>
        <v xml:space="preserve"> </v>
      </c>
      <c r="C451" s="102" t="str">
        <f>IFERROR(VLOOKUP($A451,'The List'!$B1:$AS665,4,FALSE)," ")</f>
        <v xml:space="preserve"> </v>
      </c>
      <c r="D451" s="65" t="str">
        <f>IFERROR(VLOOKUP($A451,'The List'!$B1:$AS665,5,FALSE)," ")</f>
        <v xml:space="preserve"> </v>
      </c>
      <c r="E451" s="65" t="str">
        <f>IFERROR(VLOOKUP($A451,'The List'!$B1:$AS665,6,FALSE)," ")</f>
        <v xml:space="preserve"> </v>
      </c>
      <c r="F451" s="93" t="str">
        <f>IFERROR(VLOOKUP($A451,'The List'!$B1:$AS665,8,FALSE)," ")</f>
        <v xml:space="preserve"> </v>
      </c>
      <c r="G451" s="93" t="str">
        <f>IFERROR(VLOOKUP($A451,'The List'!$B1:$AS665,10,FALSE)," ")</f>
        <v xml:space="preserve"> </v>
      </c>
      <c r="H451" s="54"/>
      <c r="I451" s="83" t="str">
        <f>IFERROR(VLOOKUP($A451,'The List'!$B1:$AS665,16,FALSE)," ")</f>
        <v xml:space="preserve"> </v>
      </c>
      <c r="J451" s="83" t="str">
        <f>IFERROR(VLOOKUP($A451,'The List'!$B1:$AS665,17,FALSE)," ")</f>
        <v xml:space="preserve"> </v>
      </c>
      <c r="K451" s="83" t="str">
        <f>IFERROR(VLOOKUP($A451,'The List'!$B1:$AS665,18,FALSE)," ")</f>
        <v xml:space="preserve"> </v>
      </c>
      <c r="L451" s="83" t="str">
        <f>IFERROR(VLOOKUP($A451,'The List'!$B1:$AS665,19,FALSE)," ")</f>
        <v xml:space="preserve"> </v>
      </c>
      <c r="M451" s="83" t="str">
        <f>IFERROR(VLOOKUP($A451,'The List'!$B1:$AS665,20,FALSE)," ")</f>
        <v xml:space="preserve"> </v>
      </c>
      <c r="N451" s="83" t="str">
        <f>IFERROR(VLOOKUP($A451,'The List'!$B1:$AS665,21,FALSE)," ")</f>
        <v xml:space="preserve"> </v>
      </c>
      <c r="O451" s="83" t="str">
        <f>IFERROR(VLOOKUP($A451,'The List'!$B1:$AS665,22,FALSE)," ")</f>
        <v xml:space="preserve"> </v>
      </c>
      <c r="P451" s="83" t="str">
        <f>IFERROR(VLOOKUP($A451,'The List'!$B1:$AS665,23,FALSE)," ")</f>
        <v xml:space="preserve"> </v>
      </c>
      <c r="Q451" s="83" t="str">
        <f>IFERROR(VLOOKUP($A451,'The List'!$B1:$AS665,24,FALSE)," ")</f>
        <v xml:space="preserve"> </v>
      </c>
      <c r="R451" s="83" t="str">
        <f>IFERROR(VLOOKUP($A451,'The List'!$B1:$AS665,25,FALSE)," ")</f>
        <v xml:space="preserve"> </v>
      </c>
      <c r="S451" s="83" t="str">
        <f>IFERROR(VLOOKUP($A451,'The List'!$B1:$AS665,26,FALSE)," ")</f>
        <v xml:space="preserve"> </v>
      </c>
      <c r="T451" s="83" t="str">
        <f>IFERROR(VLOOKUP($A451,'The List'!$B1:$AS665,27,FALSE)," ")</f>
        <v xml:space="preserve"> </v>
      </c>
      <c r="U451" s="83" t="str">
        <f>IFERROR(VLOOKUP($A451,'The List'!$B1:$AS665,28,FALSE)," ")</f>
        <v xml:space="preserve"> </v>
      </c>
      <c r="V451" s="83" t="str">
        <f>IFERROR(VLOOKUP($A451,'The List'!$B1:$AS665,29,FALSE)," ")</f>
        <v xml:space="preserve"> </v>
      </c>
      <c r="W451" s="83" t="str">
        <f>IFERROR(VLOOKUP($A451,'The List'!$B1:$AS665,30,FALSE)," ")</f>
        <v xml:space="preserve"> </v>
      </c>
      <c r="X451" s="83" t="str">
        <f>IFERROR(VLOOKUP($A451,'The List'!$B1:$AS665,31,FALSE)," ")</f>
        <v xml:space="preserve"> </v>
      </c>
      <c r="Y451" s="83" t="str">
        <f>IFERROR(VLOOKUP($A451,'The List'!$B1:$AS665,32,FALSE)," ")</f>
        <v xml:space="preserve"> </v>
      </c>
      <c r="Z451" s="83" t="str">
        <f>IFERROR(VLOOKUP($A451,'The List'!$B1:$AS665,33,FALSE)," ")</f>
        <v xml:space="preserve"> </v>
      </c>
      <c r="AA451" s="86"/>
      <c r="AB451" s="91"/>
      <c r="AC451" s="91"/>
      <c r="AD451" s="91"/>
      <c r="AE451" s="91"/>
      <c r="AF451" s="91"/>
    </row>
    <row r="452" spans="1:32" ht="21.25" customHeight="1" x14ac:dyDescent="0.15">
      <c r="A452" s="23"/>
      <c r="B452" s="100" t="str">
        <f>IFERROR(VLOOKUP($A452,'The List'!$B1:$AS665,3,FALSE)," ")</f>
        <v xml:space="preserve"> </v>
      </c>
      <c r="C452" s="102" t="str">
        <f>IFERROR(VLOOKUP($A452,'The List'!$B1:$AS665,4,FALSE)," ")</f>
        <v xml:space="preserve"> </v>
      </c>
      <c r="D452" s="65" t="str">
        <f>IFERROR(VLOOKUP($A452,'The List'!$B1:$AS665,5,FALSE)," ")</f>
        <v xml:space="preserve"> </v>
      </c>
      <c r="E452" s="65" t="str">
        <f>IFERROR(VLOOKUP($A452,'The List'!$B1:$AS665,6,FALSE)," ")</f>
        <v xml:space="preserve"> </v>
      </c>
      <c r="F452" s="93" t="str">
        <f>IFERROR(VLOOKUP($A452,'The List'!$B1:$AS665,8,FALSE)," ")</f>
        <v xml:space="preserve"> </v>
      </c>
      <c r="G452" s="93" t="str">
        <f>IFERROR(VLOOKUP($A452,'The List'!$B1:$AS665,10,FALSE)," ")</f>
        <v xml:space="preserve"> </v>
      </c>
      <c r="H452" s="54"/>
      <c r="I452" s="83" t="str">
        <f>IFERROR(VLOOKUP($A452,'The List'!$B1:$AS665,16,FALSE)," ")</f>
        <v xml:space="preserve"> </v>
      </c>
      <c r="J452" s="83" t="str">
        <f>IFERROR(VLOOKUP($A452,'The List'!$B1:$AS665,17,FALSE)," ")</f>
        <v xml:space="preserve"> </v>
      </c>
      <c r="K452" s="83" t="str">
        <f>IFERROR(VLOOKUP($A452,'The List'!$B1:$AS665,18,FALSE)," ")</f>
        <v xml:space="preserve"> </v>
      </c>
      <c r="L452" s="83" t="str">
        <f>IFERROR(VLOOKUP($A452,'The List'!$B1:$AS665,19,FALSE)," ")</f>
        <v xml:space="preserve"> </v>
      </c>
      <c r="M452" s="83" t="str">
        <f>IFERROR(VLOOKUP($A452,'The List'!$B1:$AS665,20,FALSE)," ")</f>
        <v xml:space="preserve"> </v>
      </c>
      <c r="N452" s="83" t="str">
        <f>IFERROR(VLOOKUP($A452,'The List'!$B1:$AS665,21,FALSE)," ")</f>
        <v xml:space="preserve"> </v>
      </c>
      <c r="O452" s="83" t="str">
        <f>IFERROR(VLOOKUP($A452,'The List'!$B1:$AS665,22,FALSE)," ")</f>
        <v xml:space="preserve"> </v>
      </c>
      <c r="P452" s="83" t="str">
        <f>IFERROR(VLOOKUP($A452,'The List'!$B1:$AS665,23,FALSE)," ")</f>
        <v xml:space="preserve"> </v>
      </c>
      <c r="Q452" s="83" t="str">
        <f>IFERROR(VLOOKUP($A452,'The List'!$B1:$AS665,24,FALSE)," ")</f>
        <v xml:space="preserve"> </v>
      </c>
      <c r="R452" s="83" t="str">
        <f>IFERROR(VLOOKUP($A452,'The List'!$B1:$AS665,25,FALSE)," ")</f>
        <v xml:space="preserve"> </v>
      </c>
      <c r="S452" s="83" t="str">
        <f>IFERROR(VLOOKUP($A452,'The List'!$B1:$AS665,26,FALSE)," ")</f>
        <v xml:space="preserve"> </v>
      </c>
      <c r="T452" s="83" t="str">
        <f>IFERROR(VLOOKUP($A452,'The List'!$B1:$AS665,27,FALSE)," ")</f>
        <v xml:space="preserve"> </v>
      </c>
      <c r="U452" s="83" t="str">
        <f>IFERROR(VLOOKUP($A452,'The List'!$B1:$AS665,28,FALSE)," ")</f>
        <v xml:space="preserve"> </v>
      </c>
      <c r="V452" s="83" t="str">
        <f>IFERROR(VLOOKUP($A452,'The List'!$B1:$AS665,29,FALSE)," ")</f>
        <v xml:space="preserve"> </v>
      </c>
      <c r="W452" s="83" t="str">
        <f>IFERROR(VLOOKUP($A452,'The List'!$B1:$AS665,30,FALSE)," ")</f>
        <v xml:space="preserve"> </v>
      </c>
      <c r="X452" s="83" t="str">
        <f>IFERROR(VLOOKUP($A452,'The List'!$B1:$AS665,31,FALSE)," ")</f>
        <v xml:space="preserve"> </v>
      </c>
      <c r="Y452" s="83" t="str">
        <f>IFERROR(VLOOKUP($A452,'The List'!$B1:$AS665,32,FALSE)," ")</f>
        <v xml:space="preserve"> </v>
      </c>
      <c r="Z452" s="83" t="str">
        <f>IFERROR(VLOOKUP($A452,'The List'!$B1:$AS665,33,FALSE)," ")</f>
        <v xml:space="preserve"> </v>
      </c>
      <c r="AA452" s="86"/>
      <c r="AB452" s="91"/>
      <c r="AC452" s="91"/>
      <c r="AD452" s="91"/>
      <c r="AE452" s="91"/>
      <c r="AF452" s="91"/>
    </row>
    <row r="453" spans="1:32" ht="21.25" customHeight="1" x14ac:dyDescent="0.15">
      <c r="A453" s="23"/>
      <c r="B453" s="100" t="str">
        <f>IFERROR(VLOOKUP($A453,'The List'!$B1:$AS665,3,FALSE)," ")</f>
        <v xml:space="preserve"> </v>
      </c>
      <c r="C453" s="102" t="str">
        <f>IFERROR(VLOOKUP($A453,'The List'!$B1:$AS665,4,FALSE)," ")</f>
        <v xml:space="preserve"> </v>
      </c>
      <c r="D453" s="65" t="str">
        <f>IFERROR(VLOOKUP($A453,'The List'!$B1:$AS665,5,FALSE)," ")</f>
        <v xml:space="preserve"> </v>
      </c>
      <c r="E453" s="65" t="str">
        <f>IFERROR(VLOOKUP($A453,'The List'!$B1:$AS665,6,FALSE)," ")</f>
        <v xml:space="preserve"> </v>
      </c>
      <c r="F453" s="93" t="str">
        <f>IFERROR(VLOOKUP($A453,'The List'!$B1:$AS665,8,FALSE)," ")</f>
        <v xml:space="preserve"> </v>
      </c>
      <c r="G453" s="93" t="str">
        <f>IFERROR(VLOOKUP($A453,'The List'!$B1:$AS665,10,FALSE)," ")</f>
        <v xml:space="preserve"> </v>
      </c>
      <c r="H453" s="54"/>
      <c r="I453" s="83" t="str">
        <f>IFERROR(VLOOKUP($A453,'The List'!$B1:$AS665,16,FALSE)," ")</f>
        <v xml:space="preserve"> </v>
      </c>
      <c r="J453" s="83" t="str">
        <f>IFERROR(VLOOKUP($A453,'The List'!$B1:$AS665,17,FALSE)," ")</f>
        <v xml:space="preserve"> </v>
      </c>
      <c r="K453" s="83" t="str">
        <f>IFERROR(VLOOKUP($A453,'The List'!$B1:$AS665,18,FALSE)," ")</f>
        <v xml:space="preserve"> </v>
      </c>
      <c r="L453" s="83" t="str">
        <f>IFERROR(VLOOKUP($A453,'The List'!$B1:$AS665,19,FALSE)," ")</f>
        <v xml:space="preserve"> </v>
      </c>
      <c r="M453" s="83" t="str">
        <f>IFERROR(VLOOKUP($A453,'The List'!$B1:$AS665,20,FALSE)," ")</f>
        <v xml:space="preserve"> </v>
      </c>
      <c r="N453" s="83" t="str">
        <f>IFERROR(VLOOKUP($A453,'The List'!$B1:$AS665,21,FALSE)," ")</f>
        <v xml:space="preserve"> </v>
      </c>
      <c r="O453" s="83" t="str">
        <f>IFERROR(VLOOKUP($A453,'The List'!$B1:$AS665,22,FALSE)," ")</f>
        <v xml:space="preserve"> </v>
      </c>
      <c r="P453" s="83" t="str">
        <f>IFERROR(VLOOKUP($A453,'The List'!$B1:$AS665,23,FALSE)," ")</f>
        <v xml:space="preserve"> </v>
      </c>
      <c r="Q453" s="83" t="str">
        <f>IFERROR(VLOOKUP($A453,'The List'!$B1:$AS665,24,FALSE)," ")</f>
        <v xml:space="preserve"> </v>
      </c>
      <c r="R453" s="83" t="str">
        <f>IFERROR(VLOOKUP($A453,'The List'!$B1:$AS665,25,FALSE)," ")</f>
        <v xml:space="preserve"> </v>
      </c>
      <c r="S453" s="83" t="str">
        <f>IFERROR(VLOOKUP($A453,'The List'!$B1:$AS665,26,FALSE)," ")</f>
        <v xml:space="preserve"> </v>
      </c>
      <c r="T453" s="83" t="str">
        <f>IFERROR(VLOOKUP($A453,'The List'!$B1:$AS665,27,FALSE)," ")</f>
        <v xml:space="preserve"> </v>
      </c>
      <c r="U453" s="83" t="str">
        <f>IFERROR(VLOOKUP($A453,'The List'!$B1:$AS665,28,FALSE)," ")</f>
        <v xml:space="preserve"> </v>
      </c>
      <c r="V453" s="83" t="str">
        <f>IFERROR(VLOOKUP($A453,'The List'!$B1:$AS665,29,FALSE)," ")</f>
        <v xml:space="preserve"> </v>
      </c>
      <c r="W453" s="83" t="str">
        <f>IFERROR(VLOOKUP($A453,'The List'!$B1:$AS665,30,FALSE)," ")</f>
        <v xml:space="preserve"> </v>
      </c>
      <c r="X453" s="83" t="str">
        <f>IFERROR(VLOOKUP($A453,'The List'!$B1:$AS665,31,FALSE)," ")</f>
        <v xml:space="preserve"> </v>
      </c>
      <c r="Y453" s="83" t="str">
        <f>IFERROR(VLOOKUP($A453,'The List'!$B1:$AS665,32,FALSE)," ")</f>
        <v xml:space="preserve"> </v>
      </c>
      <c r="Z453" s="83" t="str">
        <f>IFERROR(VLOOKUP($A453,'The List'!$B1:$AS665,33,FALSE)," ")</f>
        <v xml:space="preserve"> </v>
      </c>
      <c r="AA453" s="86"/>
      <c r="AB453" s="91"/>
      <c r="AC453" s="91"/>
      <c r="AD453" s="91"/>
      <c r="AE453" s="91"/>
      <c r="AF453" s="91"/>
    </row>
    <row r="454" spans="1:32" ht="21.25" customHeight="1" x14ac:dyDescent="0.15">
      <c r="A454" s="23"/>
      <c r="B454" s="100" t="str">
        <f>IFERROR(VLOOKUP($A454,'The List'!$B1:$AS665,3,FALSE)," ")</f>
        <v xml:space="preserve"> </v>
      </c>
      <c r="C454" s="102" t="str">
        <f>IFERROR(VLOOKUP($A454,'The List'!$B1:$AS665,4,FALSE)," ")</f>
        <v xml:space="preserve"> </v>
      </c>
      <c r="D454" s="65" t="str">
        <f>IFERROR(VLOOKUP($A454,'The List'!$B1:$AS665,5,FALSE)," ")</f>
        <v xml:space="preserve"> </v>
      </c>
      <c r="E454" s="65" t="str">
        <f>IFERROR(VLOOKUP($A454,'The List'!$B1:$AS665,6,FALSE)," ")</f>
        <v xml:space="preserve"> </v>
      </c>
      <c r="F454" s="93" t="str">
        <f>IFERROR(VLOOKUP($A454,'The List'!$B1:$AS665,8,FALSE)," ")</f>
        <v xml:space="preserve"> </v>
      </c>
      <c r="G454" s="93" t="str">
        <f>IFERROR(VLOOKUP($A454,'The List'!$B1:$AS665,10,FALSE)," ")</f>
        <v xml:space="preserve"> </v>
      </c>
      <c r="H454" s="54"/>
      <c r="I454" s="83" t="str">
        <f>IFERROR(VLOOKUP($A454,'The List'!$B1:$AS665,16,FALSE)," ")</f>
        <v xml:space="preserve"> </v>
      </c>
      <c r="J454" s="83" t="str">
        <f>IFERROR(VLOOKUP($A454,'The List'!$B1:$AS665,17,FALSE)," ")</f>
        <v xml:space="preserve"> </v>
      </c>
      <c r="K454" s="83" t="str">
        <f>IFERROR(VLOOKUP($A454,'The List'!$B1:$AS665,18,FALSE)," ")</f>
        <v xml:space="preserve"> </v>
      </c>
      <c r="L454" s="83" t="str">
        <f>IFERROR(VLOOKUP($A454,'The List'!$B1:$AS665,19,FALSE)," ")</f>
        <v xml:space="preserve"> </v>
      </c>
      <c r="M454" s="83" t="str">
        <f>IFERROR(VLOOKUP($A454,'The List'!$B1:$AS665,20,FALSE)," ")</f>
        <v xml:space="preserve"> </v>
      </c>
      <c r="N454" s="83" t="str">
        <f>IFERROR(VLOOKUP($A454,'The List'!$B1:$AS665,21,FALSE)," ")</f>
        <v xml:space="preserve"> </v>
      </c>
      <c r="O454" s="83" t="str">
        <f>IFERROR(VLOOKUP($A454,'The List'!$B1:$AS665,22,FALSE)," ")</f>
        <v xml:space="preserve"> </v>
      </c>
      <c r="P454" s="83" t="str">
        <f>IFERROR(VLOOKUP($A454,'The List'!$B1:$AS665,23,FALSE)," ")</f>
        <v xml:space="preserve"> </v>
      </c>
      <c r="Q454" s="83" t="str">
        <f>IFERROR(VLOOKUP($A454,'The List'!$B1:$AS665,24,FALSE)," ")</f>
        <v xml:space="preserve"> </v>
      </c>
      <c r="R454" s="83" t="str">
        <f>IFERROR(VLOOKUP($A454,'The List'!$B1:$AS665,25,FALSE)," ")</f>
        <v xml:space="preserve"> </v>
      </c>
      <c r="S454" s="83" t="str">
        <f>IFERROR(VLOOKUP($A454,'The List'!$B1:$AS665,26,FALSE)," ")</f>
        <v xml:space="preserve"> </v>
      </c>
      <c r="T454" s="83" t="str">
        <f>IFERROR(VLOOKUP($A454,'The List'!$B1:$AS665,27,FALSE)," ")</f>
        <v xml:space="preserve"> </v>
      </c>
      <c r="U454" s="83" t="str">
        <f>IFERROR(VLOOKUP($A454,'The List'!$B1:$AS665,28,FALSE)," ")</f>
        <v xml:space="preserve"> </v>
      </c>
      <c r="V454" s="83" t="str">
        <f>IFERROR(VLOOKUP($A454,'The List'!$B1:$AS665,29,FALSE)," ")</f>
        <v xml:space="preserve"> </v>
      </c>
      <c r="W454" s="83" t="str">
        <f>IFERROR(VLOOKUP($A454,'The List'!$B1:$AS665,30,FALSE)," ")</f>
        <v xml:space="preserve"> </v>
      </c>
      <c r="X454" s="83" t="str">
        <f>IFERROR(VLOOKUP($A454,'The List'!$B1:$AS665,31,FALSE)," ")</f>
        <v xml:space="preserve"> </v>
      </c>
      <c r="Y454" s="83" t="str">
        <f>IFERROR(VLOOKUP($A454,'The List'!$B1:$AS665,32,FALSE)," ")</f>
        <v xml:space="preserve"> </v>
      </c>
      <c r="Z454" s="83" t="str">
        <f>IFERROR(VLOOKUP($A454,'The List'!$B1:$AS665,33,FALSE)," ")</f>
        <v xml:space="preserve"> </v>
      </c>
      <c r="AA454" s="86"/>
      <c r="AB454" s="91"/>
      <c r="AC454" s="91"/>
      <c r="AD454" s="91"/>
      <c r="AE454" s="91"/>
      <c r="AF454" s="91"/>
    </row>
    <row r="455" spans="1:32" ht="21.25" customHeight="1" x14ac:dyDescent="0.15">
      <c r="A455" s="23"/>
      <c r="B455" s="100" t="str">
        <f>IFERROR(VLOOKUP($A455,'The List'!$B1:$AS665,3,FALSE)," ")</f>
        <v xml:space="preserve"> </v>
      </c>
      <c r="C455" s="102" t="str">
        <f>IFERROR(VLOOKUP($A455,'The List'!$B1:$AS665,4,FALSE)," ")</f>
        <v xml:space="preserve"> </v>
      </c>
      <c r="D455" s="65" t="str">
        <f>IFERROR(VLOOKUP($A455,'The List'!$B1:$AS665,5,FALSE)," ")</f>
        <v xml:space="preserve"> </v>
      </c>
      <c r="E455" s="65" t="str">
        <f>IFERROR(VLOOKUP($A455,'The List'!$B1:$AS665,6,FALSE)," ")</f>
        <v xml:space="preserve"> </v>
      </c>
      <c r="F455" s="93" t="str">
        <f>IFERROR(VLOOKUP($A455,'The List'!$B1:$AS665,8,FALSE)," ")</f>
        <v xml:space="preserve"> </v>
      </c>
      <c r="G455" s="93" t="str">
        <f>IFERROR(VLOOKUP($A455,'The List'!$B1:$AS665,10,FALSE)," ")</f>
        <v xml:space="preserve"> </v>
      </c>
      <c r="H455" s="54"/>
      <c r="I455" s="83" t="str">
        <f>IFERROR(VLOOKUP($A455,'The List'!$B1:$AS665,16,FALSE)," ")</f>
        <v xml:space="preserve"> </v>
      </c>
      <c r="J455" s="83" t="str">
        <f>IFERROR(VLOOKUP($A455,'The List'!$B1:$AS665,17,FALSE)," ")</f>
        <v xml:space="preserve"> </v>
      </c>
      <c r="K455" s="83" t="str">
        <f>IFERROR(VLOOKUP($A455,'The List'!$B1:$AS665,18,FALSE)," ")</f>
        <v xml:space="preserve"> </v>
      </c>
      <c r="L455" s="83" t="str">
        <f>IFERROR(VLOOKUP($A455,'The List'!$B1:$AS665,19,FALSE)," ")</f>
        <v xml:space="preserve"> </v>
      </c>
      <c r="M455" s="83" t="str">
        <f>IFERROR(VLOOKUP($A455,'The List'!$B1:$AS665,20,FALSE)," ")</f>
        <v xml:space="preserve"> </v>
      </c>
      <c r="N455" s="83" t="str">
        <f>IFERROR(VLOOKUP($A455,'The List'!$B1:$AS665,21,FALSE)," ")</f>
        <v xml:space="preserve"> </v>
      </c>
      <c r="O455" s="83" t="str">
        <f>IFERROR(VLOOKUP($A455,'The List'!$B1:$AS665,22,FALSE)," ")</f>
        <v xml:space="preserve"> </v>
      </c>
      <c r="P455" s="83" t="str">
        <f>IFERROR(VLOOKUP($A455,'The List'!$B1:$AS665,23,FALSE)," ")</f>
        <v xml:space="preserve"> </v>
      </c>
      <c r="Q455" s="83" t="str">
        <f>IFERROR(VLOOKUP($A455,'The List'!$B1:$AS665,24,FALSE)," ")</f>
        <v xml:space="preserve"> </v>
      </c>
      <c r="R455" s="83" t="str">
        <f>IFERROR(VLOOKUP($A455,'The List'!$B1:$AS665,25,FALSE)," ")</f>
        <v xml:space="preserve"> </v>
      </c>
      <c r="S455" s="83" t="str">
        <f>IFERROR(VLOOKUP($A455,'The List'!$B1:$AS665,26,FALSE)," ")</f>
        <v xml:space="preserve"> </v>
      </c>
      <c r="T455" s="83" t="str">
        <f>IFERROR(VLOOKUP($A455,'The List'!$B1:$AS665,27,FALSE)," ")</f>
        <v xml:space="preserve"> </v>
      </c>
      <c r="U455" s="83" t="str">
        <f>IFERROR(VLOOKUP($A455,'The List'!$B1:$AS665,28,FALSE)," ")</f>
        <v xml:space="preserve"> </v>
      </c>
      <c r="V455" s="83" t="str">
        <f>IFERROR(VLOOKUP($A455,'The List'!$B1:$AS665,29,FALSE)," ")</f>
        <v xml:space="preserve"> </v>
      </c>
      <c r="W455" s="83" t="str">
        <f>IFERROR(VLOOKUP($A455,'The List'!$B1:$AS665,30,FALSE)," ")</f>
        <v xml:space="preserve"> </v>
      </c>
      <c r="X455" s="83" t="str">
        <f>IFERROR(VLOOKUP($A455,'The List'!$B1:$AS665,31,FALSE)," ")</f>
        <v xml:space="preserve"> </v>
      </c>
      <c r="Y455" s="83" t="str">
        <f>IFERROR(VLOOKUP($A455,'The List'!$B1:$AS665,32,FALSE)," ")</f>
        <v xml:space="preserve"> </v>
      </c>
      <c r="Z455" s="83" t="str">
        <f>IFERROR(VLOOKUP($A455,'The List'!$B1:$AS665,33,FALSE)," ")</f>
        <v xml:space="preserve"> </v>
      </c>
      <c r="AA455" s="86"/>
      <c r="AB455" s="91"/>
      <c r="AC455" s="91"/>
      <c r="AD455" s="91"/>
      <c r="AE455" s="91"/>
      <c r="AF455" s="91"/>
    </row>
    <row r="456" spans="1:32" ht="21.25" customHeight="1" x14ac:dyDescent="0.15">
      <c r="A456" s="104"/>
      <c r="B456" s="105" t="str">
        <f>IFERROR(VLOOKUP($A456,'The List'!$B1:$AS665,3,FALSE)," ")</f>
        <v xml:space="preserve"> </v>
      </c>
      <c r="C456" s="106" t="str">
        <f>IFERROR(VLOOKUP($A456,'The List'!$B1:$AS665,4,FALSE)," ")</f>
        <v xml:space="preserve"> </v>
      </c>
      <c r="D456" s="107" t="str">
        <f>IFERROR(VLOOKUP($A456,'The List'!$B1:$AS665,5,FALSE)," ")</f>
        <v xml:space="preserve"> </v>
      </c>
      <c r="E456" s="107" t="str">
        <f>IFERROR(VLOOKUP($A456,'The List'!$B1:$AS665,6,FALSE)," ")</f>
        <v xml:space="preserve"> </v>
      </c>
      <c r="F456" s="108" t="str">
        <f>IFERROR(VLOOKUP($A456,'The List'!$B1:$AS665,8,FALSE)," ")</f>
        <v xml:space="preserve"> </v>
      </c>
      <c r="G456" s="108" t="str">
        <f>IFERROR(VLOOKUP($A456,'The List'!$B1:$AS665,10,FALSE)," ")</f>
        <v xml:space="preserve"> </v>
      </c>
      <c r="H456" s="109"/>
      <c r="I456" s="110" t="str">
        <f>IFERROR(VLOOKUP($A456,'The List'!$B1:$AS665,16,FALSE)," ")</f>
        <v xml:space="preserve"> </v>
      </c>
      <c r="J456" s="110" t="str">
        <f>IFERROR(VLOOKUP($A456,'The List'!$B1:$AS665,17,FALSE)," ")</f>
        <v xml:space="preserve"> </v>
      </c>
      <c r="K456" s="110" t="str">
        <f>IFERROR(VLOOKUP($A456,'The List'!$B1:$AS665,18,FALSE)," ")</f>
        <v xml:space="preserve"> </v>
      </c>
      <c r="L456" s="110" t="str">
        <f>IFERROR(VLOOKUP($A456,'The List'!$B1:$AS665,19,FALSE)," ")</f>
        <v xml:space="preserve"> </v>
      </c>
      <c r="M456" s="110" t="str">
        <f>IFERROR(VLOOKUP($A456,'The List'!$B1:$AS665,20,FALSE)," ")</f>
        <v xml:space="preserve"> </v>
      </c>
      <c r="N456" s="110" t="str">
        <f>IFERROR(VLOOKUP($A456,'The List'!$B1:$AS665,21,FALSE)," ")</f>
        <v xml:space="preserve"> </v>
      </c>
      <c r="O456" s="110" t="str">
        <f>IFERROR(VLOOKUP($A456,'The List'!$B1:$AS665,22,FALSE)," ")</f>
        <v xml:space="preserve"> </v>
      </c>
      <c r="P456" s="110" t="str">
        <f>IFERROR(VLOOKUP($A456,'The List'!$B1:$AS665,23,FALSE)," ")</f>
        <v xml:space="preserve"> </v>
      </c>
      <c r="Q456" s="110" t="str">
        <f>IFERROR(VLOOKUP($A456,'The List'!$B1:$AS665,24,FALSE)," ")</f>
        <v xml:space="preserve"> </v>
      </c>
      <c r="R456" s="110" t="str">
        <f>IFERROR(VLOOKUP($A456,'The List'!$B1:$AS665,25,FALSE)," ")</f>
        <v xml:space="preserve"> </v>
      </c>
      <c r="S456" s="110" t="str">
        <f>IFERROR(VLOOKUP($A456,'The List'!$B1:$AS665,26,FALSE)," ")</f>
        <v xml:space="preserve"> </v>
      </c>
      <c r="T456" s="110" t="str">
        <f>IFERROR(VLOOKUP($A456,'The List'!$B1:$AS665,27,FALSE)," ")</f>
        <v xml:space="preserve"> </v>
      </c>
      <c r="U456" s="110" t="str">
        <f>IFERROR(VLOOKUP($A456,'The List'!$B1:$AS665,28,FALSE)," ")</f>
        <v xml:space="preserve"> </v>
      </c>
      <c r="V456" s="110" t="str">
        <f>IFERROR(VLOOKUP($A456,'The List'!$B1:$AS665,29,FALSE)," ")</f>
        <v xml:space="preserve"> </v>
      </c>
      <c r="W456" s="110" t="str">
        <f>IFERROR(VLOOKUP($A456,'The List'!$B1:$AS665,30,FALSE)," ")</f>
        <v xml:space="preserve"> </v>
      </c>
      <c r="X456" s="110" t="str">
        <f>IFERROR(VLOOKUP($A456,'The List'!$B1:$AS665,31,FALSE)," ")</f>
        <v xml:space="preserve"> </v>
      </c>
      <c r="Y456" s="110" t="str">
        <f>IFERROR(VLOOKUP($A456,'The List'!$B1:$AS665,32,FALSE)," ")</f>
        <v xml:space="preserve"> </v>
      </c>
      <c r="Z456" s="110" t="str">
        <f>IFERROR(VLOOKUP($A456,'The List'!$B1:$AS665,33,FALSE)," ")</f>
        <v xml:space="preserve"> </v>
      </c>
      <c r="AA456" s="86"/>
      <c r="AB456" s="91"/>
      <c r="AC456" s="91"/>
      <c r="AD456" s="91"/>
      <c r="AE456" s="91"/>
      <c r="AF456" s="91"/>
    </row>
    <row r="457" spans="1:32" ht="21.25" customHeight="1" x14ac:dyDescent="0.15">
      <c r="A457" s="111"/>
      <c r="B457" s="112"/>
      <c r="C457" s="113"/>
      <c r="D457" s="114"/>
      <c r="E457" s="146" t="str">
        <f>IFERROR(AVERAGE(E437:E456)," ")</f>
        <v xml:space="preserve"> </v>
      </c>
      <c r="F457" s="116">
        <f>SUM(F437:F456)</f>
        <v>0</v>
      </c>
      <c r="G457" s="116">
        <f>SUM(G437:G456)</f>
        <v>0</v>
      </c>
      <c r="H457" s="117"/>
      <c r="I457" s="118">
        <f>SUM(I437:I456)</f>
        <v>0</v>
      </c>
      <c r="J457" s="117" t="e">
        <f>AVERAGE(J437:J456)</f>
        <v>#DIV/0!</v>
      </c>
      <c r="K457" s="118">
        <f t="shared" ref="K457:Y457" si="30">SUM(K437:K456)</f>
        <v>0</v>
      </c>
      <c r="L457" s="118">
        <f t="shared" si="30"/>
        <v>0</v>
      </c>
      <c r="M457" s="118">
        <f t="shared" si="30"/>
        <v>0</v>
      </c>
      <c r="N457" s="118">
        <f t="shared" si="30"/>
        <v>0</v>
      </c>
      <c r="O457" s="118">
        <f t="shared" si="30"/>
        <v>0</v>
      </c>
      <c r="P457" s="118">
        <f t="shared" si="30"/>
        <v>0</v>
      </c>
      <c r="Q457" s="118">
        <f t="shared" si="30"/>
        <v>0</v>
      </c>
      <c r="R457" s="118">
        <f t="shared" si="30"/>
        <v>0</v>
      </c>
      <c r="S457" s="118">
        <f t="shared" si="30"/>
        <v>0</v>
      </c>
      <c r="T457" s="118">
        <f t="shared" si="30"/>
        <v>0</v>
      </c>
      <c r="U457" s="118">
        <f t="shared" si="30"/>
        <v>0</v>
      </c>
      <c r="V457" s="118">
        <f t="shared" si="30"/>
        <v>0</v>
      </c>
      <c r="W457" s="118">
        <f t="shared" si="30"/>
        <v>0</v>
      </c>
      <c r="X457" s="118">
        <f t="shared" si="30"/>
        <v>0</v>
      </c>
      <c r="Y457" s="118">
        <f t="shared" si="30"/>
        <v>0</v>
      </c>
      <c r="Z457" s="119">
        <f>IFERROR(X457/(X457+Y457),0)</f>
        <v>0</v>
      </c>
      <c r="AA457" s="86"/>
      <c r="AB457" s="120"/>
      <c r="AC457" s="120"/>
      <c r="AD457" s="120"/>
      <c r="AE457" s="120"/>
      <c r="AF457" s="120"/>
    </row>
    <row r="458" spans="1:32" ht="21.25" customHeight="1" x14ac:dyDescent="0.15">
      <c r="A458" s="34"/>
      <c r="B458" s="121"/>
      <c r="C458" s="122"/>
      <c r="D458" s="12"/>
      <c r="E458" s="12"/>
      <c r="F458" s="123"/>
      <c r="G458" s="124"/>
      <c r="H458" s="125"/>
      <c r="I458" s="12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91"/>
      <c r="AC458" s="91"/>
      <c r="AD458" s="91"/>
      <c r="AE458" s="91"/>
      <c r="AF458" s="91"/>
    </row>
    <row r="459" spans="1:32" ht="21.25" customHeight="1" x14ac:dyDescent="0.15">
      <c r="A459" s="37" t="s">
        <v>89</v>
      </c>
      <c r="B459" s="205" t="s">
        <v>91</v>
      </c>
      <c r="C459" s="195"/>
      <c r="D459" s="40" t="s">
        <v>92</v>
      </c>
      <c r="E459" s="40" t="s">
        <v>93</v>
      </c>
      <c r="F459" s="127" t="s">
        <v>95</v>
      </c>
      <c r="G459" s="127" t="s">
        <v>97</v>
      </c>
      <c r="H459" s="128"/>
      <c r="I459" s="129" t="s">
        <v>102</v>
      </c>
      <c r="J459" s="129" t="s">
        <v>118</v>
      </c>
      <c r="K459" s="129" t="s">
        <v>119</v>
      </c>
      <c r="L459" s="129" t="s">
        <v>120</v>
      </c>
      <c r="M459" s="129" t="s">
        <v>121</v>
      </c>
      <c r="N459" s="129" t="s">
        <v>122</v>
      </c>
      <c r="O459" s="129" t="s">
        <v>123</v>
      </c>
      <c r="P459" s="129" t="s">
        <v>124</v>
      </c>
      <c r="Q459" s="129" t="s">
        <v>125</v>
      </c>
      <c r="R459" s="86"/>
      <c r="S459" s="86"/>
      <c r="T459" s="86"/>
      <c r="U459" s="205" t="s">
        <v>809</v>
      </c>
      <c r="V459" s="206"/>
      <c r="W459" s="206"/>
      <c r="X459" s="205" t="s">
        <v>810</v>
      </c>
      <c r="Y459" s="206"/>
      <c r="Z459" s="206"/>
      <c r="AA459" s="86"/>
      <c r="AB459" s="86"/>
      <c r="AC459" s="86"/>
      <c r="AD459" s="86"/>
      <c r="AE459" s="86"/>
      <c r="AF459" s="86"/>
    </row>
    <row r="460" spans="1:32" ht="21.25" customHeight="1" x14ac:dyDescent="0.15">
      <c r="A460" s="147"/>
      <c r="B460" s="131" t="str">
        <f>IFERROR(VLOOKUP($A460,'The List'!$B1:$AS665,3,FALSE)," ")</f>
        <v xml:space="preserve"> </v>
      </c>
      <c r="C460" s="148" t="str">
        <f>IFERROR(VLOOKUP($A460,'The List'!$B1:$AS665,4,FALSE)," ")</f>
        <v xml:space="preserve"> </v>
      </c>
      <c r="D460" s="49" t="str">
        <f>IFERROR(VLOOKUP($A460,'The List'!$B1:$AS665,5,FALSE)," ")</f>
        <v xml:space="preserve"> </v>
      </c>
      <c r="E460" s="49" t="str">
        <f>IFERROR(VLOOKUP($A460,'The List'!$B1:$AS665,6,FALSE)," ")</f>
        <v xml:space="preserve"> </v>
      </c>
      <c r="F460" s="149" t="str">
        <f>IFERROR(VLOOKUP($A460,'The List'!$B1:$AS665,8,FALSE)," ")</f>
        <v xml:space="preserve"> </v>
      </c>
      <c r="G460" s="149" t="str">
        <f>IFERROR(VLOOKUP($A460,'The List'!$B1:$AS665,10,FALSE)," ")</f>
        <v xml:space="preserve"> </v>
      </c>
      <c r="H460" s="135"/>
      <c r="I460" s="150" t="str">
        <f>IFERROR(VLOOKUP($A460,'The List'!$B1:$AS665,35,FALSE)," ")</f>
        <v xml:space="preserve"> </v>
      </c>
      <c r="J460" s="150" t="str">
        <f>IFERROR(VLOOKUP($A460,'The List'!$B1:$AS665,36,FALSE)," ")</f>
        <v xml:space="preserve"> </v>
      </c>
      <c r="K460" s="150" t="str">
        <f>IFERROR(VLOOKUP($A460,'The List'!$B1:$AS665,37,FALSE)," ")</f>
        <v xml:space="preserve"> </v>
      </c>
      <c r="L460" s="150" t="str">
        <f>IFERROR(VLOOKUP($A460,'The List'!$B1:$AS665,38,FALSE)," ")</f>
        <v xml:space="preserve"> </v>
      </c>
      <c r="M460" s="150" t="str">
        <f>IFERROR(VLOOKUP($A460,'The List'!$B1:$AS665,39,FALSE)," ")</f>
        <v xml:space="preserve"> </v>
      </c>
      <c r="N460" s="150" t="str">
        <f>IFERROR(VLOOKUP($A460,'The List'!$B1:$AS665,40,FALSE)," ")</f>
        <v xml:space="preserve"> </v>
      </c>
      <c r="O460" s="150" t="str">
        <f>IFERROR(VLOOKUP($A460,'The List'!$B1:$AS665,41,FALSE)," ")</f>
        <v xml:space="preserve"> </v>
      </c>
      <c r="P460" s="150" t="str">
        <f>IFERROR(VLOOKUP($A460,'The List'!$B1:$AS665,42,FALSE)," ")</f>
        <v xml:space="preserve"> </v>
      </c>
      <c r="Q460" s="150" t="str">
        <f>IFERROR(VLOOKUP($A460,'The List'!$B1:$AS665,43,FALSE)," ")</f>
        <v xml:space="preserve"> </v>
      </c>
      <c r="R460" s="86"/>
      <c r="S460" s="86"/>
      <c r="T460" s="139" t="str">
        <f>A436</f>
        <v>TEAM 16</v>
      </c>
      <c r="U460" s="207">
        <f>F457+F463</f>
        <v>0</v>
      </c>
      <c r="V460" s="195"/>
      <c r="W460" s="195"/>
      <c r="X460" s="207">
        <f>G463+G457</f>
        <v>0</v>
      </c>
      <c r="Y460" s="195"/>
      <c r="Z460" s="195"/>
      <c r="AA460" s="86"/>
      <c r="AB460" s="86"/>
      <c r="AC460" s="86"/>
      <c r="AD460" s="86"/>
      <c r="AE460" s="86"/>
      <c r="AF460" s="86"/>
    </row>
    <row r="461" spans="1:32" ht="21.25" customHeight="1" x14ac:dyDescent="0.15">
      <c r="A461" s="23"/>
      <c r="B461" s="140" t="str">
        <f>IFERROR(VLOOKUP($A461,'The List'!$B1:$AS665,3,FALSE)," ")</f>
        <v xml:space="preserve"> </v>
      </c>
      <c r="C461" s="141" t="str">
        <f>IFERROR(VLOOKUP($A461,'The List'!$B1:$AS665,4,FALSE)," ")</f>
        <v xml:space="preserve"> </v>
      </c>
      <c r="D461" s="65" t="str">
        <f>IFERROR(VLOOKUP($A461,'The List'!$B1:$AS665,5,FALSE)," ")</f>
        <v xml:space="preserve"> </v>
      </c>
      <c r="E461" s="65" t="str">
        <f>IFERROR(VLOOKUP($A461,'The List'!$B1:$AS665,6,FALSE)," ")</f>
        <v xml:space="preserve"> </v>
      </c>
      <c r="F461" s="93" t="str">
        <f>IFERROR(VLOOKUP($A461,'The List'!$B1:$AS665,8,FALSE)," ")</f>
        <v xml:space="preserve"> </v>
      </c>
      <c r="G461" s="93" t="str">
        <f>IFERROR(VLOOKUP($A461,'The List'!$B1:$AS665,10,FALSE)," ")</f>
        <v xml:space="preserve"> </v>
      </c>
      <c r="H461" s="54"/>
      <c r="I461" s="83" t="str">
        <f>IFERROR(VLOOKUP($A461,'The List'!$B1:$AS665,35,FALSE)," ")</f>
        <v xml:space="preserve"> </v>
      </c>
      <c r="J461" s="83" t="str">
        <f>IFERROR(VLOOKUP($A461,'The List'!$B1:$AS665,36,FALSE)," ")</f>
        <v xml:space="preserve"> </v>
      </c>
      <c r="K461" s="83" t="str">
        <f>IFERROR(VLOOKUP($A461,'The List'!$B1:$AS665,37,FALSE)," ")</f>
        <v xml:space="preserve"> </v>
      </c>
      <c r="L461" s="83" t="str">
        <f>IFERROR(VLOOKUP($A461,'The List'!$B1:$AS665,38,FALSE)," ")</f>
        <v xml:space="preserve"> </v>
      </c>
      <c r="M461" s="83" t="str">
        <f>IFERROR(VLOOKUP($A461,'The List'!$B1:$AS665,39,FALSE)," ")</f>
        <v xml:space="preserve"> </v>
      </c>
      <c r="N461" s="83" t="str">
        <f>IFERROR(VLOOKUP($A461,'The List'!$B1:$AS665,40,FALSE)," ")</f>
        <v xml:space="preserve"> </v>
      </c>
      <c r="O461" s="83" t="str">
        <f>IFERROR(VLOOKUP($A461,'The List'!$B1:$AS665,41,FALSE)," ")</f>
        <v xml:space="preserve"> </v>
      </c>
      <c r="P461" s="83" t="str">
        <f>IFERROR(VLOOKUP($A461,'The List'!$B1:$AS665,42,FALSE)," ")</f>
        <v xml:space="preserve"> </v>
      </c>
      <c r="Q461" s="83" t="str">
        <f>IFERROR(VLOOKUP($A461,'The List'!$B1:$AS665,43,FALSE)," ")</f>
        <v xml:space="preserve"> </v>
      </c>
      <c r="R461" s="86"/>
      <c r="S461" s="86"/>
      <c r="T461" s="86"/>
      <c r="U461" s="195"/>
      <c r="V461" s="195"/>
      <c r="W461" s="195"/>
      <c r="X461" s="195"/>
      <c r="Y461" s="195"/>
      <c r="Z461" s="195"/>
      <c r="AA461" s="86"/>
      <c r="AB461" s="86"/>
      <c r="AC461" s="86"/>
      <c r="AD461" s="86"/>
      <c r="AE461" s="86"/>
      <c r="AF461" s="86"/>
    </row>
    <row r="462" spans="1:32" ht="21.25" customHeight="1" x14ac:dyDescent="0.15">
      <c r="A462" s="104"/>
      <c r="B462" s="142" t="str">
        <f>IFERROR(VLOOKUP($A462,'The List'!$B1:$AS665,3,FALSE)," ")</f>
        <v xml:space="preserve"> </v>
      </c>
      <c r="C462" s="143" t="str">
        <f>IFERROR(VLOOKUP($A462,'The List'!$B1:$AS665,4,FALSE)," ")</f>
        <v xml:space="preserve"> </v>
      </c>
      <c r="D462" s="107" t="str">
        <f>IFERROR(VLOOKUP($A462,'The List'!$B1:$AS665,5,FALSE)," ")</f>
        <v xml:space="preserve"> </v>
      </c>
      <c r="E462" s="107" t="str">
        <f>IFERROR(VLOOKUP($A462,'The List'!$B1:$AS665,6,FALSE)," ")</f>
        <v xml:space="preserve"> </v>
      </c>
      <c r="F462" s="108" t="str">
        <f>IFERROR(VLOOKUP($A462,'The List'!$B1:$AS665,8,FALSE)," ")</f>
        <v xml:space="preserve"> </v>
      </c>
      <c r="G462" s="108" t="str">
        <f>IFERROR(VLOOKUP($A462,'The List'!$B1:$AS665,10,FALSE)," ")</f>
        <v xml:space="preserve"> </v>
      </c>
      <c r="H462" s="109"/>
      <c r="I462" s="110" t="str">
        <f>IFERROR(VLOOKUP($A462,'The List'!$B1:$AS665,35,FALSE)," ")</f>
        <v xml:space="preserve"> </v>
      </c>
      <c r="J462" s="110" t="str">
        <f>IFERROR(VLOOKUP($A462,'The List'!$B1:$AS665,36,FALSE)," ")</f>
        <v xml:space="preserve"> </v>
      </c>
      <c r="K462" s="110" t="str">
        <f>IFERROR(VLOOKUP($A462,'The List'!$B1:$AS665,37,FALSE)," ")</f>
        <v xml:space="preserve"> </v>
      </c>
      <c r="L462" s="110" t="str">
        <f>IFERROR(VLOOKUP($A462,'The List'!$B1:$AS665,38,FALSE)," ")</f>
        <v xml:space="preserve"> </v>
      </c>
      <c r="M462" s="110" t="str">
        <f>IFERROR(VLOOKUP($A462,'The List'!$B1:$AS665,39,FALSE)," ")</f>
        <v xml:space="preserve"> </v>
      </c>
      <c r="N462" s="110" t="str">
        <f>IFERROR(VLOOKUP($A462,'The List'!$B1:$AS665,40,FALSE)," ")</f>
        <v xml:space="preserve"> </v>
      </c>
      <c r="O462" s="110" t="str">
        <f>IFERROR(VLOOKUP($A462,'The List'!$B1:$AS665,41,FALSE)," ")</f>
        <v xml:space="preserve"> </v>
      </c>
      <c r="P462" s="110" t="str">
        <f>IFERROR(VLOOKUP($A462,'The List'!$B1:$AS665,42,FALSE)," ")</f>
        <v xml:space="preserve"> </v>
      </c>
      <c r="Q462" s="110" t="str">
        <f>IFERROR(VLOOKUP($A462,'The List'!$B1:$AS665,43,FALSE)," ")</f>
        <v xml:space="preserve"> </v>
      </c>
      <c r="R462" s="86"/>
      <c r="S462" s="86"/>
      <c r="T462" s="86"/>
      <c r="U462" s="195"/>
      <c r="V462" s="195"/>
      <c r="W462" s="195"/>
      <c r="X462" s="195"/>
      <c r="Y462" s="195"/>
      <c r="Z462" s="195"/>
      <c r="AA462" s="86"/>
      <c r="AB462" s="86"/>
      <c r="AC462" s="86"/>
      <c r="AD462" s="86"/>
      <c r="AE462" s="86"/>
      <c r="AF462" s="86"/>
    </row>
    <row r="463" spans="1:32" ht="21.25" customHeight="1" x14ac:dyDescent="0.15">
      <c r="A463" s="111"/>
      <c r="B463" s="112"/>
      <c r="C463" s="113"/>
      <c r="D463" s="114"/>
      <c r="E463" s="146" t="str">
        <f>IFERROR(AVERAGE(E460:E462)," ")</f>
        <v xml:space="preserve"> </v>
      </c>
      <c r="F463" s="116">
        <f>SUM(F460:F462)</f>
        <v>0</v>
      </c>
      <c r="G463" s="116">
        <f>SUM(G460:G462)</f>
        <v>0</v>
      </c>
      <c r="H463" s="117"/>
      <c r="I463" s="118">
        <f t="shared" ref="I463:O463" si="31">SUM(I460:I462)</f>
        <v>0</v>
      </c>
      <c r="J463" s="117">
        <f t="shared" si="31"/>
        <v>0</v>
      </c>
      <c r="K463" s="118">
        <f t="shared" si="31"/>
        <v>0</v>
      </c>
      <c r="L463" s="118">
        <f t="shared" si="31"/>
        <v>0</v>
      </c>
      <c r="M463" s="118">
        <f t="shared" si="31"/>
        <v>0</v>
      </c>
      <c r="N463" s="118">
        <f t="shared" si="31"/>
        <v>0</v>
      </c>
      <c r="O463" s="118">
        <f t="shared" si="31"/>
        <v>0</v>
      </c>
      <c r="P463" s="144" t="e">
        <f>1-(O463/(N463+O463))</f>
        <v>#DIV/0!</v>
      </c>
      <c r="Q463" s="145" t="e">
        <f>O463/I463</f>
        <v>#DIV/0!</v>
      </c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</row>
    <row r="464" spans="1:32" ht="21.25" customHeight="1" x14ac:dyDescent="0.15">
      <c r="A464" s="34"/>
      <c r="B464" s="121"/>
      <c r="C464" s="122"/>
      <c r="D464" s="12"/>
      <c r="E464" s="12"/>
      <c r="F464" s="123"/>
      <c r="G464" s="124"/>
      <c r="H464" s="125"/>
      <c r="I464" s="12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91"/>
      <c r="AB464" s="91"/>
      <c r="AC464" s="91"/>
      <c r="AD464" s="91"/>
      <c r="AE464" s="91"/>
      <c r="AF464" s="91"/>
    </row>
  </sheetData>
  <mergeCells count="96">
    <mergeCell ref="U460:W462"/>
    <mergeCell ref="X459:Z459"/>
    <mergeCell ref="X460:Z462"/>
    <mergeCell ref="U431:W433"/>
    <mergeCell ref="X430:Z430"/>
    <mergeCell ref="X431:Z433"/>
    <mergeCell ref="B459:C459"/>
    <mergeCell ref="U459:W459"/>
    <mergeCell ref="U402:W404"/>
    <mergeCell ref="X401:Z401"/>
    <mergeCell ref="X402:Z404"/>
    <mergeCell ref="B430:C430"/>
    <mergeCell ref="U430:W430"/>
    <mergeCell ref="U373:W375"/>
    <mergeCell ref="X372:Z372"/>
    <mergeCell ref="X373:Z375"/>
    <mergeCell ref="B401:C401"/>
    <mergeCell ref="U401:W401"/>
    <mergeCell ref="U344:W346"/>
    <mergeCell ref="X343:Z343"/>
    <mergeCell ref="X344:Z346"/>
    <mergeCell ref="B372:C372"/>
    <mergeCell ref="U372:W372"/>
    <mergeCell ref="U315:W317"/>
    <mergeCell ref="X314:Z314"/>
    <mergeCell ref="X315:Z317"/>
    <mergeCell ref="B343:C343"/>
    <mergeCell ref="U343:W343"/>
    <mergeCell ref="U286:W288"/>
    <mergeCell ref="X285:Z285"/>
    <mergeCell ref="X286:Z288"/>
    <mergeCell ref="B314:C314"/>
    <mergeCell ref="U314:W314"/>
    <mergeCell ref="U257:W259"/>
    <mergeCell ref="X256:Z256"/>
    <mergeCell ref="X257:Z259"/>
    <mergeCell ref="B285:C285"/>
    <mergeCell ref="U285:W285"/>
    <mergeCell ref="U228:W230"/>
    <mergeCell ref="X227:Z227"/>
    <mergeCell ref="X228:Z230"/>
    <mergeCell ref="B256:C256"/>
    <mergeCell ref="U256:W256"/>
    <mergeCell ref="U199:W201"/>
    <mergeCell ref="X198:Z198"/>
    <mergeCell ref="X199:Z201"/>
    <mergeCell ref="B227:C227"/>
    <mergeCell ref="U227:W227"/>
    <mergeCell ref="U170:W172"/>
    <mergeCell ref="X169:Z169"/>
    <mergeCell ref="X170:Z172"/>
    <mergeCell ref="B198:C198"/>
    <mergeCell ref="U198:W198"/>
    <mergeCell ref="U141:W143"/>
    <mergeCell ref="X140:Z140"/>
    <mergeCell ref="X141:Z143"/>
    <mergeCell ref="B169:C169"/>
    <mergeCell ref="U169:W169"/>
    <mergeCell ref="U112:W114"/>
    <mergeCell ref="X111:Z111"/>
    <mergeCell ref="X112:Z114"/>
    <mergeCell ref="B140:C140"/>
    <mergeCell ref="U140:W140"/>
    <mergeCell ref="U83:W85"/>
    <mergeCell ref="X82:Z82"/>
    <mergeCell ref="X83:Z85"/>
    <mergeCell ref="B111:C111"/>
    <mergeCell ref="U111:W111"/>
    <mergeCell ref="U53:W53"/>
    <mergeCell ref="U54:W56"/>
    <mergeCell ref="X53:Z53"/>
    <mergeCell ref="X54:Z56"/>
    <mergeCell ref="B82:C82"/>
    <mergeCell ref="U82:W82"/>
    <mergeCell ref="B320:C320"/>
    <mergeCell ref="B349:C349"/>
    <mergeCell ref="B378:C378"/>
    <mergeCell ref="B407:C407"/>
    <mergeCell ref="B436:C436"/>
    <mergeCell ref="B175:C175"/>
    <mergeCell ref="B204:C204"/>
    <mergeCell ref="B233:C233"/>
    <mergeCell ref="B262:C262"/>
    <mergeCell ref="B291:C291"/>
    <mergeCell ref="B30:C30"/>
    <mergeCell ref="B59:C59"/>
    <mergeCell ref="B88:C88"/>
    <mergeCell ref="B117:C117"/>
    <mergeCell ref="B146:C146"/>
    <mergeCell ref="B53:C53"/>
    <mergeCell ref="B1:C1"/>
    <mergeCell ref="B24:C24"/>
    <mergeCell ref="U24:W24"/>
    <mergeCell ref="U25:W27"/>
    <mergeCell ref="X24:Z24"/>
    <mergeCell ref="X25:Z27"/>
  </mergeCells>
  <conditionalFormatting sqref="C2:C23 C25:C29 C31:C52 C54:C58 C60:C81 C83:C87 C89:C110 C112:C116 C118:C139 C141:C145 C147:C168 C170:C174 C176:C197 C199:C203 C205:C226 C228:C232 C234:C255 C257:C261 C263:C284 C286:C290 C292:C313 C315:C319 C321:C342 C344:C348 C350:C371 C373:C377 C379:C400 C402:C406 C408:C429 C431:C435 C437:C458 C460:C464">
    <cfRule type="containsText" dxfId="41" priority="1" stopIfTrue="1" operator="containsText" text="/">
      <formula>NOT(ISERROR(FIND(UPPER("/"),UPPER(C2))))</formula>
      <formula>"/"</formula>
    </cfRule>
    <cfRule type="containsText" dxfId="40" priority="2" stopIfTrue="1" operator="containsText" text="C">
      <formula>NOT(ISERROR(FIND(UPPER("C"),UPPER(C2))))</formula>
      <formula>"C"</formula>
    </cfRule>
    <cfRule type="containsText" dxfId="39" priority="3" stopIfTrue="1" operator="containsText" text="D">
      <formula>NOT(ISERROR(FIND(UPPER("D"),UPPER(C2))))</formula>
      <formula>"D"</formula>
    </cfRule>
    <cfRule type="containsText" dxfId="38" priority="4" stopIfTrue="1" operator="containsText" text="LW">
      <formula>NOT(ISERROR(FIND(UPPER("LW"),UPPER(C2))))</formula>
      <formula>"LW"</formula>
    </cfRule>
    <cfRule type="containsText" dxfId="37" priority="5" stopIfTrue="1" operator="containsText" text="RW">
      <formula>NOT(ISERROR(FIND(UPPER("RW"),UPPER(C2))))</formula>
      <formula>"RW"</formula>
    </cfRule>
    <cfRule type="containsText" dxfId="36" priority="6" stopIfTrue="1" operator="containsText" text="G">
      <formula>NOT(ISERROR(FIND(UPPER("G"),UPPER(C2))))</formula>
      <formula>"G"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92"/>
  <sheetViews>
    <sheetView showGridLines="0" workbookViewId="0">
      <pane ySplit="2" topLeftCell="A3" activePane="bottomLeft" state="frozen"/>
      <selection pane="bottomLeft"/>
    </sheetView>
  </sheetViews>
  <sheetFormatPr baseColWidth="10" defaultColWidth="8" defaultRowHeight="16.25" customHeight="1" x14ac:dyDescent="0.15"/>
  <cols>
    <col min="1" max="1" width="33" style="1" customWidth="1"/>
    <col min="2" max="2" width="7.1640625" style="1" customWidth="1"/>
    <col min="3" max="3" width="6" style="1" customWidth="1"/>
    <col min="4" max="6" width="8.33203125" style="1" customWidth="1"/>
    <col min="7" max="10" width="1.33203125" style="1" customWidth="1"/>
    <col min="11" max="11" width="8" style="1" customWidth="1"/>
    <col min="12" max="16384" width="8" style="1"/>
  </cols>
  <sheetData>
    <row r="1" spans="1:10" ht="28.25" customHeight="1" x14ac:dyDescent="0.15">
      <c r="A1" s="151" t="s">
        <v>811</v>
      </c>
      <c r="B1" s="152" t="s">
        <v>812</v>
      </c>
      <c r="C1" s="153"/>
      <c r="D1" s="4" t="s">
        <v>12</v>
      </c>
      <c r="E1" s="154" t="s">
        <v>813</v>
      </c>
      <c r="F1" s="152" t="s">
        <v>97</v>
      </c>
      <c r="G1" s="155"/>
      <c r="H1" s="156"/>
      <c r="I1" s="157" t="s">
        <v>814</v>
      </c>
      <c r="J1" s="158" t="s">
        <v>97</v>
      </c>
    </row>
    <row r="2" spans="1:10" ht="28.25" customHeight="1" x14ac:dyDescent="0.15">
      <c r="A2" s="159" t="s">
        <v>61</v>
      </c>
      <c r="B2" s="160">
        <f>Settings!F2+Settings!F3+Settings!F4</f>
        <v>63</v>
      </c>
      <c r="C2" s="161"/>
      <c r="D2" s="162"/>
      <c r="E2" s="163"/>
      <c r="F2" s="163"/>
      <c r="G2" s="163"/>
      <c r="H2" s="164"/>
      <c r="I2" s="165"/>
      <c r="J2" s="165"/>
    </row>
    <row r="3" spans="1:10" ht="21.25" customHeight="1" x14ac:dyDescent="0.15">
      <c r="A3" s="9" t="s">
        <v>126</v>
      </c>
      <c r="B3" s="166" t="str">
        <f>VLOOKUP(A3,'The List'!B1:D665,3,FALSE)</f>
        <v>C</v>
      </c>
      <c r="C3" s="68">
        <f>IF(Settings!$E$15="POINTS",RANK(E3,E3:E392),H3)</f>
        <v>1</v>
      </c>
      <c r="D3" s="65" t="str">
        <f>VLOOKUP(A3,'The List'!B1:F665,5,FALSE)</f>
        <v>EDM</v>
      </c>
      <c r="E3" s="54">
        <f>VLOOKUP(A3,'The List'!B1:I665,8,FALSE)</f>
        <v>644.15091122653416</v>
      </c>
      <c r="F3" s="54">
        <f>IF(Settings!$E$15="POINTS",E3-VLOOKUP(B$2,C1:E392,3,FALSE),J3)</f>
        <v>289.57664139234834</v>
      </c>
      <c r="G3" s="54"/>
      <c r="H3" s="167">
        <f>RANK(I3,I3:I392)</f>
        <v>1</v>
      </c>
      <c r="I3" s="168">
        <f>VLOOKUP(A3,'Standard Deviations'!A1:C666,3,FALSE)</f>
        <v>17.888068165152962</v>
      </c>
      <c r="J3" s="168">
        <f>I3-VLOOKUP(B$2,H1:J392,2,FALSE)</f>
        <v>12.996978341195454</v>
      </c>
    </row>
    <row r="4" spans="1:10" ht="21.25" customHeight="1" x14ac:dyDescent="0.15">
      <c r="A4" s="9" t="s">
        <v>128</v>
      </c>
      <c r="B4" s="166" t="str">
        <f>VLOOKUP(A4,'The List'!B1:D665,3,FALSE)</f>
        <v>C</v>
      </c>
      <c r="C4" s="68">
        <f>IF(Settings!$E$15="POINTS",RANK(E4,E3:E392),H4)</f>
        <v>2</v>
      </c>
      <c r="D4" s="65" t="str">
        <f>VLOOKUP(A4,'The List'!B1:F665,5,FALSE)</f>
        <v>COL</v>
      </c>
      <c r="E4" s="54">
        <f>VLOOKUP(A4,'The List'!B1:I665,8,FALSE)</f>
        <v>633.85481742612023</v>
      </c>
      <c r="F4" s="54">
        <f>IF(Settings!$E$15="POINTS",E4-VLOOKUP(B$2,C1:E392,3,FALSE),J4)</f>
        <v>279.28054759193441</v>
      </c>
      <c r="G4" s="54"/>
      <c r="H4" s="167">
        <f>RANK(I4,I3:I392)</f>
        <v>3</v>
      </c>
      <c r="I4" s="168">
        <f>VLOOKUP(A4,'Standard Deviations'!A1:C666,3,FALSE)</f>
        <v>16.239106125557399</v>
      </c>
      <c r="J4" s="168">
        <f>I4-VLOOKUP(B$2,H1:J392,2,FALSE)</f>
        <v>11.348016301599891</v>
      </c>
    </row>
    <row r="5" spans="1:10" ht="21.25" customHeight="1" x14ac:dyDescent="0.15">
      <c r="A5" s="9" t="s">
        <v>130</v>
      </c>
      <c r="B5" s="166" t="str">
        <f>VLOOKUP(A5,'The List'!B1:D665,3,FALSE)</f>
        <v>C</v>
      </c>
      <c r="C5" s="68">
        <f>IF(Settings!$E$15="POINTS",RANK(E5,E3:E392),H5)</f>
        <v>3</v>
      </c>
      <c r="D5" s="65" t="str">
        <f>VLOOKUP(A5,'The List'!B1:F665,5,FALSE)</f>
        <v>TOR</v>
      </c>
      <c r="E5" s="54">
        <f>VLOOKUP(A5,'The List'!B1:I665,8,FALSE)</f>
        <v>590.92529310993802</v>
      </c>
      <c r="F5" s="54">
        <f>IF(Settings!$E$15="POINTS",E5-VLOOKUP(B$2,C1:E392,3,FALSE),J5)</f>
        <v>236.3510232757522</v>
      </c>
      <c r="G5" s="54"/>
      <c r="H5" s="167">
        <f>RANK(I5,I3:I392)</f>
        <v>2</v>
      </c>
      <c r="I5" s="168">
        <f>VLOOKUP(A5,'Standard Deviations'!A1:C666,3,FALSE)</f>
        <v>16.277820896125142</v>
      </c>
      <c r="J5" s="168">
        <f>I5-VLOOKUP(B$2,H1:J392,2,FALSE)</f>
        <v>11.386731072167635</v>
      </c>
    </row>
    <row r="6" spans="1:10" ht="21.25" customHeight="1" x14ac:dyDescent="0.15">
      <c r="A6" s="9" t="s">
        <v>129</v>
      </c>
      <c r="B6" s="166" t="str">
        <f>VLOOKUP(A6,'The List'!B1:D665,3,FALSE)</f>
        <v>RW</v>
      </c>
      <c r="C6" s="68">
        <f>IF(Settings!$E$15="POINTS",RANK(E6,E3:E392),H6)</f>
        <v>4</v>
      </c>
      <c r="D6" s="65" t="str">
        <f>VLOOKUP(A6,'The List'!B1:F665,5,FALSE)</f>
        <v>T.B</v>
      </c>
      <c r="E6" s="54">
        <f>VLOOKUP(A6,'The List'!B1:I665,8,FALSE)</f>
        <v>572.95622430556693</v>
      </c>
      <c r="F6" s="54">
        <f>IF(Settings!$E$15="POINTS",E6-VLOOKUP(B$2,C1:E392,3,FALSE),J6)</f>
        <v>218.38195447138111</v>
      </c>
      <c r="G6" s="54"/>
      <c r="H6" s="167">
        <f>RANK(I6,I3:I392)</f>
        <v>5</v>
      </c>
      <c r="I6" s="168">
        <f>VLOOKUP(A6,'Standard Deviations'!A1:C666,3,FALSE)</f>
        <v>13.21377483414707</v>
      </c>
      <c r="J6" s="168">
        <f>I6-VLOOKUP(B$2,H1:J392,2,FALSE)</f>
        <v>8.3226850101895629</v>
      </c>
    </row>
    <row r="7" spans="1:10" ht="21.25" customHeight="1" x14ac:dyDescent="0.15">
      <c r="A7" s="9" t="s">
        <v>131</v>
      </c>
      <c r="B7" s="166" t="str">
        <f>VLOOKUP(A7,'The List'!B1:D665,3,FALSE)</f>
        <v>RW</v>
      </c>
      <c r="C7" s="68">
        <f>IF(Settings!$E$15="POINTS",RANK(E7,E3:E392),H7)</f>
        <v>5</v>
      </c>
      <c r="D7" s="65" t="str">
        <f>VLOOKUP(A7,'The List'!B1:F665,5,FALSE)</f>
        <v>BOS</v>
      </c>
      <c r="E7" s="54">
        <f>VLOOKUP(A7,'The List'!B1:I665,8,FALSE)</f>
        <v>550.83562312951994</v>
      </c>
      <c r="F7" s="54">
        <f>IF(Settings!$E$15="POINTS",E7-VLOOKUP(B$2,C1:E392,3,FALSE),J7)</f>
        <v>196.26135329533412</v>
      </c>
      <c r="G7" s="54"/>
      <c r="H7" s="167">
        <f>RANK(I7,I3:I392)</f>
        <v>6</v>
      </c>
      <c r="I7" s="168">
        <f>VLOOKUP(A7,'Standard Deviations'!A1:C666,3,FALSE)</f>
        <v>12.755716494861755</v>
      </c>
      <c r="J7" s="168">
        <f>I7-VLOOKUP(B$2,H1:J392,2,FALSE)</f>
        <v>7.8646266709042463</v>
      </c>
    </row>
    <row r="8" spans="1:10" ht="21.25" customHeight="1" x14ac:dyDescent="0.15">
      <c r="A8" s="9" t="s">
        <v>134</v>
      </c>
      <c r="B8" s="166" t="str">
        <f>VLOOKUP(A8,'The List'!B1:D665,3,FALSE)</f>
        <v>C/LW</v>
      </c>
      <c r="C8" s="68">
        <f>IF(Settings!$E$15="POINTS",RANK(E8,E3:E392),H8)</f>
        <v>6</v>
      </c>
      <c r="D8" s="65" t="str">
        <f>VLOOKUP(A8,'The List'!B1:F665,5,FALSE)</f>
        <v>EDM</v>
      </c>
      <c r="E8" s="54">
        <f>VLOOKUP(A8,'The List'!B1:I665,8,FALSE)</f>
        <v>522.89410971384734</v>
      </c>
      <c r="F8" s="54">
        <f>IF(Settings!$E$15="POINTS",E8-VLOOKUP(B$2,C1:E392,3,FALSE),J8)</f>
        <v>168.31983987966152</v>
      </c>
      <c r="G8" s="54"/>
      <c r="H8" s="167">
        <f>RANK(I8,I3:I392)</f>
        <v>4</v>
      </c>
      <c r="I8" s="168">
        <f>VLOOKUP(A8,'Standard Deviations'!A1:C666,3,FALSE)</f>
        <v>13.253488404848339</v>
      </c>
      <c r="J8" s="168">
        <f>I8-VLOOKUP(B$2,H1:J392,2,FALSE)</f>
        <v>8.3623985808908294</v>
      </c>
    </row>
    <row r="9" spans="1:10" ht="21.25" customHeight="1" x14ac:dyDescent="0.15">
      <c r="A9" s="9" t="s">
        <v>136</v>
      </c>
      <c r="B9" s="166" t="str">
        <f>VLOOKUP(A9,'The List'!B1:D665,3,FALSE)</f>
        <v>C/LW</v>
      </c>
      <c r="C9" s="68">
        <f>IF(Settings!$E$15="POINTS",RANK(E9,E3:E392),H9)</f>
        <v>7</v>
      </c>
      <c r="D9" s="65" t="str">
        <f>VLOOKUP(A9,'The List'!B1:F665,5,FALSE)</f>
        <v>N.J</v>
      </c>
      <c r="E9" s="54">
        <f>VLOOKUP(A9,'The List'!B1:I665,8,FALSE)</f>
        <v>514.64801766830919</v>
      </c>
      <c r="F9" s="54">
        <f>IF(Settings!$E$15="POINTS",E9-VLOOKUP(B$2,C1:E392,3,FALSE),J9)</f>
        <v>160.07374783412337</v>
      </c>
      <c r="G9" s="54"/>
      <c r="H9" s="167">
        <f>RANK(I9,I3:I392)</f>
        <v>10</v>
      </c>
      <c r="I9" s="168">
        <f>VLOOKUP(A9,'Standard Deviations'!A1:C666,3,FALSE)</f>
        <v>11.225703568963125</v>
      </c>
      <c r="J9" s="168">
        <f>I9-VLOOKUP(B$2,H1:J392,2,FALSE)</f>
        <v>6.3346137450056164</v>
      </c>
    </row>
    <row r="10" spans="1:10" ht="21.25" customHeight="1" x14ac:dyDescent="0.15">
      <c r="A10" s="9" t="s">
        <v>133</v>
      </c>
      <c r="B10" s="166" t="str">
        <f>VLOOKUP(A10,'The List'!B1:D665,3,FALSE)</f>
        <v>RW</v>
      </c>
      <c r="C10" s="68">
        <f>IF(Settings!$E$15="POINTS",RANK(E10,E3:E392),H10)</f>
        <v>8</v>
      </c>
      <c r="D10" s="65" t="str">
        <f>VLOOKUP(A10,'The List'!B1:F665,5,FALSE)</f>
        <v>COL</v>
      </c>
      <c r="E10" s="54">
        <f>VLOOKUP(A10,'The List'!B1:I665,8,FALSE)</f>
        <v>512.09738528432251</v>
      </c>
      <c r="F10" s="54">
        <f>IF(Settings!$E$15="POINTS",E10-VLOOKUP(B$2,C1:E392,3,FALSE),J10)</f>
        <v>157.52311545013669</v>
      </c>
      <c r="G10" s="54"/>
      <c r="H10" s="167">
        <f>RANK(I10,I3:I392)</f>
        <v>7</v>
      </c>
      <c r="I10" s="168">
        <f>VLOOKUP(A10,'Standard Deviations'!A1:C666,3,FALSE)</f>
        <v>11.973052277409655</v>
      </c>
      <c r="J10" s="168">
        <f>I10-VLOOKUP(B$2,H1:J392,2,FALSE)</f>
        <v>7.0819624534521468</v>
      </c>
    </row>
    <row r="11" spans="1:10" ht="21.25" customHeight="1" x14ac:dyDescent="0.15">
      <c r="A11" s="9" t="s">
        <v>135</v>
      </c>
      <c r="B11" s="166" t="str">
        <f>VLOOKUP(A11,'The List'!B1:D665,3,FALSE)</f>
        <v>LW/RW</v>
      </c>
      <c r="C11" s="68">
        <f>IF(Settings!$E$15="POINTS",RANK(E11,E3:E392),H11)</f>
        <v>9</v>
      </c>
      <c r="D11" s="65" t="str">
        <f>VLOOKUP(A11,'The List'!B1:F665,5,FALSE)</f>
        <v>FLA</v>
      </c>
      <c r="E11" s="54">
        <f>VLOOKUP(A11,'The List'!B1:I665,8,FALSE)</f>
        <v>502.60098680363058</v>
      </c>
      <c r="F11" s="54">
        <f>IF(Settings!$E$15="POINTS",E11-VLOOKUP(B$2,C1:E392,3,FALSE),J11)</f>
        <v>148.02671696944475</v>
      </c>
      <c r="G11" s="54"/>
      <c r="H11" s="167">
        <f>RANK(I11,I3:I392)</f>
        <v>8</v>
      </c>
      <c r="I11" s="168">
        <f>VLOOKUP(A11,'Standard Deviations'!A1:C666,3,FALSE)</f>
        <v>11.917408131329637</v>
      </c>
      <c r="J11" s="168">
        <f>I11-VLOOKUP(B$2,H1:J392,2,FALSE)</f>
        <v>7.0263183073721285</v>
      </c>
    </row>
    <row r="12" spans="1:10" ht="21.25" customHeight="1" x14ac:dyDescent="0.15">
      <c r="A12" s="9" t="s">
        <v>138</v>
      </c>
      <c r="B12" s="166" t="str">
        <f>VLOOKUP(A12,'The List'!B1:D665,3,FALSE)</f>
        <v>RW</v>
      </c>
      <c r="C12" s="68">
        <f>IF(Settings!$E$15="POINTS",RANK(E12,E3:E392),H12)</f>
        <v>10</v>
      </c>
      <c r="D12" s="65" t="str">
        <f>VLOOKUP(A12,'The List'!B1:F665,5,FALSE)</f>
        <v>TOR</v>
      </c>
      <c r="E12" s="54">
        <f>VLOOKUP(A12,'The List'!B1:I665,8,FALSE)</f>
        <v>499.22420119653725</v>
      </c>
      <c r="F12" s="54">
        <f>IF(Settings!$E$15="POINTS",E12-VLOOKUP(B$2,C1:E392,3,FALSE),J12)</f>
        <v>144.64993136235142</v>
      </c>
      <c r="G12" s="54"/>
      <c r="H12" s="167">
        <f>RANK(I12,I3:I392)</f>
        <v>11</v>
      </c>
      <c r="I12" s="168">
        <f>VLOOKUP(A12,'Standard Deviations'!A1:C666,3,FALSE)</f>
        <v>11.102244675177669</v>
      </c>
      <c r="J12" s="168">
        <f>I12-VLOOKUP(B$2,H1:J392,2,FALSE)</f>
        <v>6.2111548512201606</v>
      </c>
    </row>
    <row r="13" spans="1:10" ht="21.25" customHeight="1" x14ac:dyDescent="0.15">
      <c r="A13" s="9" t="s">
        <v>140</v>
      </c>
      <c r="B13" s="166" t="str">
        <f>VLOOKUP(A13,'The List'!B1:D665,3,FALSE)</f>
        <v>LW</v>
      </c>
      <c r="C13" s="68">
        <f>IF(Settings!$E$15="POINTS",RANK(E13,E3:E392),H13)</f>
        <v>11</v>
      </c>
      <c r="D13" s="65" t="str">
        <f>VLOOKUP(A13,'The List'!B1:F665,5,FALSE)</f>
        <v>NYR</v>
      </c>
      <c r="E13" s="54">
        <f>VLOOKUP(A13,'The List'!B1:I665,8,FALSE)</f>
        <v>496.40589359751323</v>
      </c>
      <c r="F13" s="54">
        <f>IF(Settings!$E$15="POINTS",E13-VLOOKUP(B$2,C1:E392,3,FALSE),J13)</f>
        <v>141.8316237633274</v>
      </c>
      <c r="G13" s="54"/>
      <c r="H13" s="167">
        <f>RANK(I13,I3:I392)</f>
        <v>12</v>
      </c>
      <c r="I13" s="168">
        <f>VLOOKUP(A13,'Standard Deviations'!A1:C666,3,FALSE)</f>
        <v>11.002937199158898</v>
      </c>
      <c r="J13" s="168">
        <f>I13-VLOOKUP(B$2,H1:J392,2,FALSE)</f>
        <v>6.11184737520139</v>
      </c>
    </row>
    <row r="14" spans="1:10" ht="21.25" customHeight="1" x14ac:dyDescent="0.15">
      <c r="A14" s="9" t="s">
        <v>139</v>
      </c>
      <c r="B14" s="166" t="str">
        <f>VLOOKUP(A14,'The List'!B1:D665,3,FALSE)</f>
        <v>RW</v>
      </c>
      <c r="C14" s="68">
        <f>IF(Settings!$E$15="POINTS",RANK(E14,E3:E392),H14)</f>
        <v>12</v>
      </c>
      <c r="D14" s="65" t="str">
        <f>VLOOKUP(A14,'The List'!B1:F665,5,FALSE)</f>
        <v>TOR</v>
      </c>
      <c r="E14" s="54">
        <f>VLOOKUP(A14,'The List'!B1:I665,8,FALSE)</f>
        <v>486.67981722404403</v>
      </c>
      <c r="F14" s="54">
        <f>IF(Settings!$E$15="POINTS",E14-VLOOKUP(B$2,C1:E392,3,FALSE),J14)</f>
        <v>132.1055473898582</v>
      </c>
      <c r="G14" s="54"/>
      <c r="H14" s="167">
        <f>RANK(I14,I3:I392)</f>
        <v>9</v>
      </c>
      <c r="I14" s="168">
        <f>VLOOKUP(A14,'Standard Deviations'!A1:C666,3,FALSE)</f>
        <v>11.325545175332017</v>
      </c>
      <c r="J14" s="168">
        <f>I14-VLOOKUP(B$2,H1:J392,2,FALSE)</f>
        <v>6.4344553513745089</v>
      </c>
    </row>
    <row r="15" spans="1:10" ht="21.25" customHeight="1" x14ac:dyDescent="0.15">
      <c r="A15" s="9" t="s">
        <v>143</v>
      </c>
      <c r="B15" s="166" t="str">
        <f>VLOOKUP(A15,'The List'!B1:D665,3,FALSE)</f>
        <v>LW</v>
      </c>
      <c r="C15" s="68">
        <f>IF(Settings!$E$15="POINTS",RANK(E15,E3:E392),H15)</f>
        <v>13</v>
      </c>
      <c r="D15" s="65" t="str">
        <f>VLOOKUP(A15,'The List'!B1:F665,5,FALSE)</f>
        <v>MIN</v>
      </c>
      <c r="E15" s="54">
        <f>VLOOKUP(A15,'The List'!B1:I665,8,FALSE)</f>
        <v>473.60733571545785</v>
      </c>
      <c r="F15" s="54">
        <f>IF(Settings!$E$15="POINTS",E15-VLOOKUP(B$2,C1:E392,3,FALSE),J15)</f>
        <v>119.03306588127202</v>
      </c>
      <c r="G15" s="54"/>
      <c r="H15" s="167">
        <f>RANK(I15,I3:I392)</f>
        <v>15</v>
      </c>
      <c r="I15" s="168">
        <f>VLOOKUP(A15,'Standard Deviations'!A1:C666,3,FALSE)</f>
        <v>9.8395765957140426</v>
      </c>
      <c r="J15" s="168">
        <f>I15-VLOOKUP(B$2,H1:J392,2,FALSE)</f>
        <v>4.9484867717565342</v>
      </c>
    </row>
    <row r="16" spans="1:10" ht="21.25" customHeight="1" x14ac:dyDescent="0.15">
      <c r="A16" s="9" t="s">
        <v>145</v>
      </c>
      <c r="B16" s="166" t="str">
        <f>VLOOKUP(A16,'The List'!B1:D665,3,FALSE)</f>
        <v>C/LW</v>
      </c>
      <c r="C16" s="68">
        <f>IF(Settings!$E$15="POINTS",RANK(E16,E3:E392),H16)</f>
        <v>14</v>
      </c>
      <c r="D16" s="65" t="str">
        <f>VLOOKUP(A16,'The List'!B1:F665,5,FALSE)</f>
        <v>VAN</v>
      </c>
      <c r="E16" s="54">
        <f>VLOOKUP(A16,'The List'!B1:I665,8,FALSE)</f>
        <v>465.2759484324917</v>
      </c>
      <c r="F16" s="54">
        <f>IF(Settings!$E$15="POINTS",E16-VLOOKUP(B$2,C1:E392,3,FALSE),J16)</f>
        <v>110.70167859830588</v>
      </c>
      <c r="G16" s="54"/>
      <c r="H16" s="167">
        <f>RANK(I16,I3:I392)</f>
        <v>14</v>
      </c>
      <c r="I16" s="168">
        <f>VLOOKUP(A16,'Standard Deviations'!A1:C666,3,FALSE)</f>
        <v>10.110560946184403</v>
      </c>
      <c r="J16" s="168">
        <f>I16-VLOOKUP(B$2,H1:J392,2,FALSE)</f>
        <v>5.2194711222268948</v>
      </c>
    </row>
    <row r="17" spans="1:10" ht="21.25" customHeight="1" x14ac:dyDescent="0.15">
      <c r="A17" s="9" t="s">
        <v>152</v>
      </c>
      <c r="B17" s="166" t="str">
        <f>VLOOKUP(A17,'The List'!B1:D665,3,FALSE)</f>
        <v>C</v>
      </c>
      <c r="C17" s="68">
        <f>IF(Settings!$E$15="POINTS",RANK(E17,E3:E392),H17)</f>
        <v>15</v>
      </c>
      <c r="D17" s="65" t="str">
        <f>VLOOKUP(A17,'The List'!B1:F665,5,FALSE)</f>
        <v>PIT</v>
      </c>
      <c r="E17" s="54">
        <f>VLOOKUP(A17,'The List'!B1:I665,8,FALSE)</f>
        <v>450.62525704584908</v>
      </c>
      <c r="F17" s="54">
        <f>IF(Settings!$E$15="POINTS",E17-VLOOKUP(B$2,C1:E392,3,FALSE),J17)</f>
        <v>96.050987211663255</v>
      </c>
      <c r="G17" s="54"/>
      <c r="H17" s="167">
        <f>RANK(I17,I3:I392)</f>
        <v>20</v>
      </c>
      <c r="I17" s="168">
        <f>VLOOKUP(A17,'Standard Deviations'!A1:C666,3,FALSE)</f>
        <v>8.4359114711429992</v>
      </c>
      <c r="J17" s="168">
        <f>I17-VLOOKUP(B$2,H1:J392,2,FALSE)</f>
        <v>3.5448216471854908</v>
      </c>
    </row>
    <row r="18" spans="1:10" ht="21.25" customHeight="1" x14ac:dyDescent="0.15">
      <c r="A18" s="9" t="s">
        <v>150</v>
      </c>
      <c r="B18" s="166" t="str">
        <f>VLOOKUP(A18,'The List'!B1:D665,3,FALSE)</f>
        <v>LW</v>
      </c>
      <c r="C18" s="68">
        <f>IF(Settings!$E$15="POINTS",RANK(E18,E3:E392),H18)</f>
        <v>16</v>
      </c>
      <c r="D18" s="65" t="str">
        <f>VLOOKUP(A18,'The List'!B1:F665,5,FALSE)</f>
        <v>DAL</v>
      </c>
      <c r="E18" s="54">
        <f>VLOOKUP(A18,'The List'!B1:I665,8,FALSE)</f>
        <v>446.78847002117362</v>
      </c>
      <c r="F18" s="54">
        <f>IF(Settings!$E$15="POINTS",E18-VLOOKUP(B$2,C1:E392,3,FALSE),J18)</f>
        <v>92.214200186987796</v>
      </c>
      <c r="G18" s="54"/>
      <c r="H18" s="167">
        <f>RANK(I18,I3:I392)</f>
        <v>13</v>
      </c>
      <c r="I18" s="168">
        <f>VLOOKUP(A18,'Standard Deviations'!A1:C666,3,FALSE)</f>
        <v>10.31244847566162</v>
      </c>
      <c r="J18" s="168">
        <f>I18-VLOOKUP(B$2,H1:J392,2,FALSE)</f>
        <v>5.4213586517041117</v>
      </c>
    </row>
    <row r="19" spans="1:10" ht="21.25" customHeight="1" x14ac:dyDescent="0.15">
      <c r="A19" s="9" t="s">
        <v>155</v>
      </c>
      <c r="B19" s="166" t="str">
        <f>VLOOKUP(A19,'The List'!B1:D665,3,FALSE)</f>
        <v>LW</v>
      </c>
      <c r="C19" s="68">
        <f>IF(Settings!$E$15="POINTS",RANK(E19,E3:E392),H19)</f>
        <v>17</v>
      </c>
      <c r="D19" s="65" t="str">
        <f>VLOOKUP(A19,'The List'!B1:F665,5,FALSE)</f>
        <v>NSH</v>
      </c>
      <c r="E19" s="54">
        <f>VLOOKUP(A19,'The List'!B1:I665,8,FALSE)</f>
        <v>439.68962441248294</v>
      </c>
      <c r="F19" s="54">
        <f>IF(Settings!$E$15="POINTS",E19-VLOOKUP(B$2,C1:E392,3,FALSE),J19)</f>
        <v>85.115354578297115</v>
      </c>
      <c r="G19" s="54"/>
      <c r="H19" s="167">
        <f>RANK(I19,I3:I392)</f>
        <v>17</v>
      </c>
      <c r="I19" s="168">
        <f>VLOOKUP(A19,'Standard Deviations'!A1:C666,3,FALSE)</f>
        <v>8.7592531733184327</v>
      </c>
      <c r="J19" s="168">
        <f>I19-VLOOKUP(B$2,H1:J392,2,FALSE)</f>
        <v>3.8681633493609242</v>
      </c>
    </row>
    <row r="20" spans="1:10" ht="21.25" customHeight="1" x14ac:dyDescent="0.15">
      <c r="A20" s="9" t="s">
        <v>156</v>
      </c>
      <c r="B20" s="166" t="str">
        <f>VLOOKUP(A20,'The List'!B1:D665,3,FALSE)</f>
        <v>LW</v>
      </c>
      <c r="C20" s="68">
        <f>IF(Settings!$E$15="POINTS",RANK(E20,E3:E392),H20)</f>
        <v>18</v>
      </c>
      <c r="D20" s="65" t="str">
        <f>VLOOKUP(A20,'The List'!B1:F665,5,FALSE)</f>
        <v>T.B</v>
      </c>
      <c r="E20" s="54">
        <f>VLOOKUP(A20,'The List'!B1:I665,8,FALSE)</f>
        <v>437.97279003620184</v>
      </c>
      <c r="F20" s="54">
        <f>IF(Settings!$E$15="POINTS",E20-VLOOKUP(B$2,C1:E392,3,FALSE),J20)</f>
        <v>83.398520202016016</v>
      </c>
      <c r="G20" s="54"/>
      <c r="H20" s="167">
        <f>RANK(I20,I3:I392)</f>
        <v>24</v>
      </c>
      <c r="I20" s="168">
        <f>VLOOKUP(A20,'Standard Deviations'!A1:C666,3,FALSE)</f>
        <v>7.8268049052901514</v>
      </c>
      <c r="J20" s="168">
        <f>I20-VLOOKUP(B$2,H1:J392,2,FALSE)</f>
        <v>2.9357150813326429</v>
      </c>
    </row>
    <row r="21" spans="1:10" ht="21.25" customHeight="1" x14ac:dyDescent="0.15">
      <c r="A21" s="9" t="s">
        <v>154</v>
      </c>
      <c r="B21" s="166" t="str">
        <f>VLOOKUP(A21,'The List'!B1:D665,3,FALSE)</f>
        <v>C/RW</v>
      </c>
      <c r="C21" s="68">
        <f>IF(Settings!$E$15="POINTS",RANK(E21,E3:E392),H21)</f>
        <v>19</v>
      </c>
      <c r="D21" s="65" t="str">
        <f>VLOOKUP(A21,'The List'!B1:F665,5,FALSE)</f>
        <v>BUF</v>
      </c>
      <c r="E21" s="54">
        <f>VLOOKUP(A21,'The List'!B1:I665,8,FALSE)</f>
        <v>427.87655378659758</v>
      </c>
      <c r="F21" s="54">
        <f>IF(Settings!$E$15="POINTS",E21-VLOOKUP(B$2,C1:E392,3,FALSE),J21)</f>
        <v>73.302283952411756</v>
      </c>
      <c r="G21" s="54"/>
      <c r="H21" s="167">
        <f>RANK(I21,I3:I392)</f>
        <v>30</v>
      </c>
      <c r="I21" s="168">
        <f>VLOOKUP(A21,'Standard Deviations'!A1:C666,3,FALSE)</f>
        <v>7.5017759379738926</v>
      </c>
      <c r="J21" s="168">
        <f>I21-VLOOKUP(B$2,H1:J392,2,FALSE)</f>
        <v>2.6106861140163842</v>
      </c>
    </row>
    <row r="22" spans="1:10" ht="21.25" customHeight="1" x14ac:dyDescent="0.15">
      <c r="A22" s="9" t="s">
        <v>165</v>
      </c>
      <c r="B22" s="166" t="str">
        <f>VLOOKUP(A22,'The List'!B1:D665,3,FALSE)</f>
        <v>C</v>
      </c>
      <c r="C22" s="68">
        <f>IF(Settings!$E$15="POINTS",RANK(E22,E3:E392),H22)</f>
        <v>20</v>
      </c>
      <c r="D22" s="65" t="str">
        <f>VLOOKUP(A22,'The List'!B1:F665,5,FALSE)</f>
        <v>VGK</v>
      </c>
      <c r="E22" s="54">
        <f>VLOOKUP(A22,'The List'!B1:I665,8,FALSE)</f>
        <v>427.26826768711794</v>
      </c>
      <c r="F22" s="54">
        <f>IF(Settings!$E$15="POINTS",E22-VLOOKUP(B$2,C1:E392,3,FALSE),J22)</f>
        <v>72.693997852932114</v>
      </c>
      <c r="G22" s="54"/>
      <c r="H22" s="167">
        <f>RANK(I22,I3:I392)</f>
        <v>22</v>
      </c>
      <c r="I22" s="168">
        <f>VLOOKUP(A22,'Standard Deviations'!A1:C666,3,FALSE)</f>
        <v>7.9814265932078605</v>
      </c>
      <c r="J22" s="168">
        <f>I22-VLOOKUP(B$2,H1:J392,2,FALSE)</f>
        <v>3.0903367692503521</v>
      </c>
    </row>
    <row r="23" spans="1:10" ht="21.25" customHeight="1" x14ac:dyDescent="0.15">
      <c r="A23" s="9" t="s">
        <v>166</v>
      </c>
      <c r="B23" s="166" t="str">
        <f>VLOOKUP(A23,'The List'!B1:D665,3,FALSE)</f>
        <v>C</v>
      </c>
      <c r="C23" s="68">
        <f>IF(Settings!$E$15="POINTS",RANK(E23,E3:E392),H23)</f>
        <v>21</v>
      </c>
      <c r="D23" s="65" t="str">
        <f>VLOOKUP(A23,'The List'!B1:F665,5,FALSE)</f>
        <v>T.B</v>
      </c>
      <c r="E23" s="54">
        <f>VLOOKUP(A23,'The List'!B1:I665,8,FALSE)</f>
        <v>426.53591234969548</v>
      </c>
      <c r="F23" s="54">
        <f>IF(Settings!$E$15="POINTS",E23-VLOOKUP(B$2,C1:E392,3,FALSE),J23)</f>
        <v>71.961642515509652</v>
      </c>
      <c r="G23" s="54"/>
      <c r="H23" s="167">
        <f>RANK(I23,I3:I392)</f>
        <v>21</v>
      </c>
      <c r="I23" s="168">
        <f>VLOOKUP(A23,'Standard Deviations'!A1:C666,3,FALSE)</f>
        <v>8.0291042777232278</v>
      </c>
      <c r="J23" s="168">
        <f>I23-VLOOKUP(B$2,H1:J392,2,FALSE)</f>
        <v>3.1380144537657193</v>
      </c>
    </row>
    <row r="24" spans="1:10" ht="21.25" customHeight="1" x14ac:dyDescent="0.15">
      <c r="A24" s="9" t="s">
        <v>161</v>
      </c>
      <c r="B24" s="166" t="str">
        <f>VLOOKUP(A24,'The List'!B1:D665,3,FALSE)</f>
        <v>C/LW</v>
      </c>
      <c r="C24" s="68">
        <f>IF(Settings!$E$15="POINTS",RANK(E24,E3:E392),H24)</f>
        <v>22</v>
      </c>
      <c r="D24" s="65" t="str">
        <f>VLOOKUP(A24,'The List'!B1:F665,5,FALSE)</f>
        <v>OTT</v>
      </c>
      <c r="E24" s="54">
        <f>VLOOKUP(A24,'The List'!B1:I665,8,FALSE)</f>
        <v>422.11393258704913</v>
      </c>
      <c r="F24" s="54">
        <f>IF(Settings!$E$15="POINTS",E24-VLOOKUP(B$2,C1:E392,3,FALSE),J24)</f>
        <v>67.539662752863308</v>
      </c>
      <c r="G24" s="54"/>
      <c r="H24" s="167">
        <f>RANK(I24,I3:I392)</f>
        <v>35</v>
      </c>
      <c r="I24" s="168">
        <f>VLOOKUP(A24,'Standard Deviations'!A1:C666,3,FALSE)</f>
        <v>7.0114158232210473</v>
      </c>
      <c r="J24" s="168">
        <f>I24-VLOOKUP(B$2,H1:J392,2,FALSE)</f>
        <v>2.1203259992635388</v>
      </c>
    </row>
    <row r="25" spans="1:10" ht="21.25" customHeight="1" x14ac:dyDescent="0.15">
      <c r="A25" s="9" t="s">
        <v>157</v>
      </c>
      <c r="B25" s="166" t="str">
        <f>VLOOKUP(A25,'The List'!B1:D665,3,FALSE)</f>
        <v>C/RW</v>
      </c>
      <c r="C25" s="68">
        <f>IF(Settings!$E$15="POINTS",RANK(E25,E3:E392),H25)</f>
        <v>23</v>
      </c>
      <c r="D25" s="65" t="str">
        <f>VLOOKUP(A25,'The List'!B1:F665,5,FALSE)</f>
        <v>VAN</v>
      </c>
      <c r="E25" s="54">
        <f>VLOOKUP(A25,'The List'!B1:I665,8,FALSE)</f>
        <v>421.74729464787481</v>
      </c>
      <c r="F25" s="54">
        <f>IF(Settings!$E$15="POINTS",E25-VLOOKUP(B$2,C1:E392,3,FALSE),J25)</f>
        <v>67.173024813688983</v>
      </c>
      <c r="G25" s="54"/>
      <c r="H25" s="167">
        <f>RANK(I25,I3:I392)</f>
        <v>19</v>
      </c>
      <c r="I25" s="168">
        <f>VLOOKUP(A25,'Standard Deviations'!A1:C666,3,FALSE)</f>
        <v>8.4719956528963074</v>
      </c>
      <c r="J25" s="168">
        <f>I25-VLOOKUP(B$2,H1:J392,2,FALSE)</f>
        <v>3.5809058289387989</v>
      </c>
    </row>
    <row r="26" spans="1:10" ht="21.25" customHeight="1" x14ac:dyDescent="0.15">
      <c r="A26" s="9" t="s">
        <v>158</v>
      </c>
      <c r="B26" s="166" t="str">
        <f>VLOOKUP(A26,'The List'!B1:D665,3,FALSE)</f>
        <v>C/RW</v>
      </c>
      <c r="C26" s="68">
        <f>IF(Settings!$E$15="POINTS",RANK(E26,E3:E392),H26)</f>
        <v>24</v>
      </c>
      <c r="D26" s="65" t="str">
        <f>VLOOKUP(A26,'The List'!B1:F665,5,FALSE)</f>
        <v>FLA</v>
      </c>
      <c r="E26" s="54">
        <f>VLOOKUP(A26,'The List'!B1:I665,8,FALSE)</f>
        <v>419.82966814680043</v>
      </c>
      <c r="F26" s="54">
        <f>IF(Settings!$E$15="POINTS",E26-VLOOKUP(B$2,C1:E392,3,FALSE),J26)</f>
        <v>65.255398312614602</v>
      </c>
      <c r="G26" s="54"/>
      <c r="H26" s="167">
        <f>RANK(I26,I3:I392)</f>
        <v>27</v>
      </c>
      <c r="I26" s="168">
        <f>VLOOKUP(A26,'Standard Deviations'!A1:C666,3,FALSE)</f>
        <v>7.7400822305907244</v>
      </c>
      <c r="J26" s="168">
        <f>I26-VLOOKUP(B$2,H1:J392,2,FALSE)</f>
        <v>2.848992406633216</v>
      </c>
    </row>
    <row r="27" spans="1:10" ht="21.25" customHeight="1" x14ac:dyDescent="0.15">
      <c r="A27" s="9" t="s">
        <v>174</v>
      </c>
      <c r="B27" s="166" t="str">
        <f>VLOOKUP(A27,'The List'!B1:D665,3,FALSE)</f>
        <v>C</v>
      </c>
      <c r="C27" s="68">
        <f>IF(Settings!$E$15="POINTS",RANK(E27,E3:E392),H27)</f>
        <v>25</v>
      </c>
      <c r="D27" s="65" t="str">
        <f>VLOOKUP(A27,'The List'!B1:F665,5,FALSE)</f>
        <v>FLA</v>
      </c>
      <c r="E27" s="54">
        <f>VLOOKUP(A27,'The List'!B1:I665,8,FALSE)</f>
        <v>415.63118096042956</v>
      </c>
      <c r="F27" s="54">
        <f>IF(Settings!$E$15="POINTS",E27-VLOOKUP(B$2,C1:E392,3,FALSE),J27)</f>
        <v>61.056911126243733</v>
      </c>
      <c r="G27" s="54"/>
      <c r="H27" s="167">
        <f>RANK(I27,I3:I392)</f>
        <v>18</v>
      </c>
      <c r="I27" s="168">
        <f>VLOOKUP(A27,'Standard Deviations'!A1:C666,3,FALSE)</f>
        <v>8.586174299109425</v>
      </c>
      <c r="J27" s="168">
        <f>I27-VLOOKUP(B$2,H1:J392,2,FALSE)</f>
        <v>3.6950844751519165</v>
      </c>
    </row>
    <row r="28" spans="1:10" ht="21.25" customHeight="1" x14ac:dyDescent="0.15">
      <c r="A28" s="9" t="s">
        <v>177</v>
      </c>
      <c r="B28" s="166" t="str">
        <f>VLOOKUP(A28,'The List'!B1:D665,3,FALSE)</f>
        <v>C</v>
      </c>
      <c r="C28" s="68">
        <f>IF(Settings!$E$15="POINTS",RANK(E28,E3:E392),H28)</f>
        <v>26</v>
      </c>
      <c r="D28" s="65" t="str">
        <f>VLOOKUP(A28,'The List'!B1:F665,5,FALSE)</f>
        <v>CHI</v>
      </c>
      <c r="E28" s="54">
        <f>VLOOKUP(A28,'The List'!B1:I665,8,FALSE)</f>
        <v>413.63302623264298</v>
      </c>
      <c r="F28" s="54">
        <f>IF(Settings!$E$15="POINTS",E28-VLOOKUP(B$2,C1:E392,3,FALSE),J28)</f>
        <v>59.058756398457149</v>
      </c>
      <c r="G28" s="54"/>
      <c r="H28" s="167">
        <f>RANK(I28,I3:I392)</f>
        <v>72</v>
      </c>
      <c r="I28" s="168">
        <f>VLOOKUP(A28,'Standard Deviations'!A1:C666,3,FALSE)</f>
        <v>4.4746587558515367</v>
      </c>
      <c r="J28" s="168">
        <f>I28-VLOOKUP(B$2,H1:J392,2,FALSE)</f>
        <v>-0.41643106810597175</v>
      </c>
    </row>
    <row r="29" spans="1:10" ht="21.25" customHeight="1" x14ac:dyDescent="0.15">
      <c r="A29" s="9" t="s">
        <v>160</v>
      </c>
      <c r="B29" s="166" t="str">
        <f>VLOOKUP(A29,'The List'!B1:D665,3,FALSE)</f>
        <v>C/RW</v>
      </c>
      <c r="C29" s="68">
        <f>IF(Settings!$E$15="POINTS",RANK(E29,E3:E392),H29)</f>
        <v>27</v>
      </c>
      <c r="D29" s="65" t="str">
        <f>VLOOKUP(A29,'The List'!B1:F665,5,FALSE)</f>
        <v>NYI</v>
      </c>
      <c r="E29" s="54">
        <f>VLOOKUP(A29,'The List'!B1:I665,8,FALSE)</f>
        <v>411.44727543727822</v>
      </c>
      <c r="F29" s="54">
        <f>IF(Settings!$E$15="POINTS",E29-VLOOKUP(B$2,C1:E392,3,FALSE),J29)</f>
        <v>56.873005603092395</v>
      </c>
      <c r="G29" s="54"/>
      <c r="H29" s="167">
        <f>RANK(I29,I3:I392)</f>
        <v>32</v>
      </c>
      <c r="I29" s="168">
        <f>VLOOKUP(A29,'Standard Deviations'!A1:C666,3,FALSE)</f>
        <v>7.3080163776890972</v>
      </c>
      <c r="J29" s="168">
        <f>I29-VLOOKUP(B$2,H1:J392,2,FALSE)</f>
        <v>2.4169265537315887</v>
      </c>
    </row>
    <row r="30" spans="1:10" ht="21.25" customHeight="1" x14ac:dyDescent="0.15">
      <c r="A30" s="9" t="s">
        <v>162</v>
      </c>
      <c r="B30" s="166" t="str">
        <f>VLOOKUP(A30,'The List'!B1:D665,3,FALSE)</f>
        <v>LW/RW</v>
      </c>
      <c r="C30" s="68">
        <f>IF(Settings!$E$15="POINTS",RANK(E30,E3:E392),H30)</f>
        <v>28</v>
      </c>
      <c r="D30" s="65" t="str">
        <f>VLOOKUP(A30,'The List'!B1:F665,5,FALSE)</f>
        <v>N.J</v>
      </c>
      <c r="E30" s="54">
        <f>VLOOKUP(A30,'The List'!B1:I665,8,FALSE)</f>
        <v>409.64135000545872</v>
      </c>
      <c r="F30" s="54">
        <f>IF(Settings!$E$15="POINTS",E30-VLOOKUP(B$2,C1:E392,3,FALSE),J30)</f>
        <v>55.067080171272892</v>
      </c>
      <c r="G30" s="54"/>
      <c r="H30" s="167">
        <f>RANK(I30,I3:I392)</f>
        <v>26</v>
      </c>
      <c r="I30" s="168">
        <f>VLOOKUP(A30,'Standard Deviations'!A1:C666,3,FALSE)</f>
        <v>7.7904000164591185</v>
      </c>
      <c r="J30" s="168">
        <f>I30-VLOOKUP(B$2,H1:J392,2,FALSE)</f>
        <v>2.89931019250161</v>
      </c>
    </row>
    <row r="31" spans="1:10" ht="21.25" customHeight="1" x14ac:dyDescent="0.15">
      <c r="A31" s="9" t="s">
        <v>164</v>
      </c>
      <c r="B31" s="166" t="str">
        <f>VLOOKUP(A31,'The List'!B1:D665,3,FALSE)</f>
        <v>LW/RW</v>
      </c>
      <c r="C31" s="68">
        <f>IF(Settings!$E$15="POINTS",RANK(E31,E3:E392),H31)</f>
        <v>29</v>
      </c>
      <c r="D31" s="65" t="str">
        <f>VLOOKUP(A31,'The List'!B1:F665,5,FALSE)</f>
        <v>N.J</v>
      </c>
      <c r="E31" s="54">
        <f>VLOOKUP(A31,'The List'!B1:I665,8,FALSE)</f>
        <v>407.26161535484397</v>
      </c>
      <c r="F31" s="54">
        <f>IF(Settings!$E$15="POINTS",E31-VLOOKUP(B$2,C1:E392,3,FALSE),J31)</f>
        <v>52.687345520658141</v>
      </c>
      <c r="G31" s="54"/>
      <c r="H31" s="167">
        <f>RANK(I31,I3:I392)</f>
        <v>25</v>
      </c>
      <c r="I31" s="168">
        <f>VLOOKUP(A31,'Standard Deviations'!A1:C666,3,FALSE)</f>
        <v>7.8149989436829843</v>
      </c>
      <c r="J31" s="168">
        <f>I31-VLOOKUP(B$2,H1:J392,2,FALSE)</f>
        <v>2.9239091197254758</v>
      </c>
    </row>
    <row r="32" spans="1:10" ht="21.25" customHeight="1" x14ac:dyDescent="0.15">
      <c r="A32" s="9" t="s">
        <v>183</v>
      </c>
      <c r="B32" s="166" t="str">
        <f>VLOOKUP(A32,'The List'!B1:D665,3,FALSE)</f>
        <v>C</v>
      </c>
      <c r="C32" s="68">
        <f>IF(Settings!$E$15="POINTS",RANK(E32,E3:E392),H32)</f>
        <v>30</v>
      </c>
      <c r="D32" s="65" t="str">
        <f>VLOOKUP(A32,'The List'!B1:F665,5,FALSE)</f>
        <v>CAR</v>
      </c>
      <c r="E32" s="54">
        <f>VLOOKUP(A32,'The List'!B1:I665,8,FALSE)</f>
        <v>404.60170536272284</v>
      </c>
      <c r="F32" s="54">
        <f>IF(Settings!$E$15="POINTS",E32-VLOOKUP(B$2,C1:E392,3,FALSE),J32)</f>
        <v>50.027435528537012</v>
      </c>
      <c r="G32" s="54"/>
      <c r="H32" s="167">
        <f>RANK(I32,I3:I392)</f>
        <v>23</v>
      </c>
      <c r="I32" s="168">
        <f>VLOOKUP(A32,'Standard Deviations'!A1:C666,3,FALSE)</f>
        <v>7.9531683253922534</v>
      </c>
      <c r="J32" s="168">
        <f>I32-VLOOKUP(B$2,H1:J392,2,FALSE)</f>
        <v>3.0620785014347449</v>
      </c>
    </row>
    <row r="33" spans="1:10" ht="21.25" customHeight="1" x14ac:dyDescent="0.15">
      <c r="A33" s="9" t="s">
        <v>168</v>
      </c>
      <c r="B33" s="166" t="str">
        <f>VLOOKUP(A33,'The List'!B1:D665,3,FALSE)</f>
        <v>LW/RW</v>
      </c>
      <c r="C33" s="68">
        <f>IF(Settings!$E$15="POINTS",RANK(E33,E3:E392),H33)</f>
        <v>31</v>
      </c>
      <c r="D33" s="65" t="str">
        <f>VLOOKUP(A33,'The List'!B1:F665,5,FALSE)</f>
        <v>EDM</v>
      </c>
      <c r="E33" s="54">
        <f>VLOOKUP(A33,'The List'!B1:I665,8,FALSE)</f>
        <v>403.08338216102635</v>
      </c>
      <c r="F33" s="54">
        <f>IF(Settings!$E$15="POINTS",E33-VLOOKUP(B$2,C1:E392,3,FALSE),J33)</f>
        <v>48.509112326840523</v>
      </c>
      <c r="G33" s="54"/>
      <c r="H33" s="167">
        <f>RANK(I33,I3:I392)</f>
        <v>16</v>
      </c>
      <c r="I33" s="168">
        <f>VLOOKUP(A33,'Standard Deviations'!A1:C666,3,FALSE)</f>
        <v>9.1352621291551408</v>
      </c>
      <c r="J33" s="168">
        <f>I33-VLOOKUP(B$2,H1:J392,2,FALSE)</f>
        <v>4.2441723051976323</v>
      </c>
    </row>
    <row r="34" spans="1:10" ht="21.25" customHeight="1" x14ac:dyDescent="0.15">
      <c r="A34" s="9" t="s">
        <v>187</v>
      </c>
      <c r="B34" s="166" t="str">
        <f>VLOOKUP(A34,'The List'!B1:D665,3,FALSE)</f>
        <v>C</v>
      </c>
      <c r="C34" s="68">
        <f>IF(Settings!$E$15="POINTS",RANK(E34,E3:E392),H34)</f>
        <v>32</v>
      </c>
      <c r="D34" s="65" t="str">
        <f>VLOOKUP(A34,'The List'!B1:F665,5,FALSE)</f>
        <v>DET</v>
      </c>
      <c r="E34" s="54">
        <f>VLOOKUP(A34,'The List'!B1:I665,8,FALSE)</f>
        <v>399.89444628441805</v>
      </c>
      <c r="F34" s="54">
        <f>IF(Settings!$E$15="POINTS",E34-VLOOKUP(B$2,C1:E392,3,FALSE),J34)</f>
        <v>45.320176450232225</v>
      </c>
      <c r="G34" s="54"/>
      <c r="H34" s="167">
        <f>RANK(I34,I3:I392)</f>
        <v>51</v>
      </c>
      <c r="I34" s="168">
        <f>VLOOKUP(A34,'Standard Deviations'!A1:C666,3,FALSE)</f>
        <v>5.6139200473167303</v>
      </c>
      <c r="J34" s="168">
        <f>I34-VLOOKUP(B$2,H1:J392,2,FALSE)</f>
        <v>0.72283022335922187</v>
      </c>
    </row>
    <row r="35" spans="1:10" ht="21.25" customHeight="1" x14ac:dyDescent="0.15">
      <c r="A35" s="9" t="s">
        <v>180</v>
      </c>
      <c r="B35" s="166" t="str">
        <f>VLOOKUP(A35,'The List'!B1:D665,3,FALSE)</f>
        <v>LW</v>
      </c>
      <c r="C35" s="68">
        <f>IF(Settings!$E$15="POINTS",RANK(E35,E3:E392),H35)</f>
        <v>33</v>
      </c>
      <c r="D35" s="65" t="str">
        <f>VLOOKUP(A35,'The List'!B1:F665,5,FALSE)</f>
        <v>WPG</v>
      </c>
      <c r="E35" s="54">
        <f>VLOOKUP(A35,'The List'!B1:I665,8,FALSE)</f>
        <v>399.80626431448712</v>
      </c>
      <c r="F35" s="54">
        <f>IF(Settings!$E$15="POINTS",E35-VLOOKUP(B$2,C1:E392,3,FALSE),J35)</f>
        <v>45.231994480301296</v>
      </c>
      <c r="G35" s="54"/>
      <c r="H35" s="167">
        <f>RANK(I35,I3:I392)</f>
        <v>42</v>
      </c>
      <c r="I35" s="168">
        <f>VLOOKUP(A35,'Standard Deviations'!A1:C666,3,FALSE)</f>
        <v>6.2203882873620788</v>
      </c>
      <c r="J35" s="168">
        <f>I35-VLOOKUP(B$2,H1:J392,2,FALSE)</f>
        <v>1.3292984634045704</v>
      </c>
    </row>
    <row r="36" spans="1:10" ht="21.25" customHeight="1" x14ac:dyDescent="0.15">
      <c r="A36" s="9" t="s">
        <v>188</v>
      </c>
      <c r="B36" s="166" t="str">
        <f>VLOOKUP(A36,'The List'!B1:D665,3,FALSE)</f>
        <v>C</v>
      </c>
      <c r="C36" s="68">
        <f>IF(Settings!$E$15="POINTS",RANK(E36,E3:E392),H36)</f>
        <v>34</v>
      </c>
      <c r="D36" s="65" t="str">
        <f>VLOOKUP(A36,'The List'!B1:F665,5,FALSE)</f>
        <v>NYR</v>
      </c>
      <c r="E36" s="54">
        <f>VLOOKUP(A36,'The List'!B1:I665,8,FALSE)</f>
        <v>399.40851534303374</v>
      </c>
      <c r="F36" s="54">
        <f>IF(Settings!$E$15="POINTS",E36-VLOOKUP(B$2,C1:E392,3,FALSE),J36)</f>
        <v>44.834245508847914</v>
      </c>
      <c r="G36" s="54"/>
      <c r="H36" s="167">
        <f>RANK(I36,I3:I392)</f>
        <v>31</v>
      </c>
      <c r="I36" s="168">
        <f>VLOOKUP(A36,'Standard Deviations'!A1:C666,3,FALSE)</f>
        <v>7.4863823395713922</v>
      </c>
      <c r="J36" s="168">
        <f>I36-VLOOKUP(B$2,H1:J392,2,FALSE)</f>
        <v>2.5952925156138837</v>
      </c>
    </row>
    <row r="37" spans="1:10" ht="21.25" customHeight="1" x14ac:dyDescent="0.15">
      <c r="A37" s="9" t="s">
        <v>181</v>
      </c>
      <c r="B37" s="166" t="str">
        <f>VLOOKUP(A37,'The List'!B1:D665,3,FALSE)</f>
        <v>LW</v>
      </c>
      <c r="C37" s="68">
        <f>IF(Settings!$E$15="POINTS",RANK(E37,E3:E392),H37)</f>
        <v>35</v>
      </c>
      <c r="D37" s="65" t="str">
        <f>VLOOKUP(A37,'The List'!B1:F665,5,FALSE)</f>
        <v>WSH</v>
      </c>
      <c r="E37" s="54">
        <f>VLOOKUP(A37,'The List'!B1:I665,8,FALSE)</f>
        <v>397.80017816060581</v>
      </c>
      <c r="F37" s="54">
        <f>IF(Settings!$E$15="POINTS",E37-VLOOKUP(B$2,C1:E392,3,FALSE),J37)</f>
        <v>43.225908326419983</v>
      </c>
      <c r="G37" s="54"/>
      <c r="H37" s="167">
        <f>RANK(I37,I3:I392)</f>
        <v>50</v>
      </c>
      <c r="I37" s="168">
        <f>VLOOKUP(A37,'Standard Deviations'!A1:C666,3,FALSE)</f>
        <v>5.6939603278878375</v>
      </c>
      <c r="J37" s="168">
        <f>I37-VLOOKUP(B$2,H1:J392,2,FALSE)</f>
        <v>0.80287050393032899</v>
      </c>
    </row>
    <row r="38" spans="1:10" ht="21.25" customHeight="1" x14ac:dyDescent="0.15">
      <c r="A38" s="9" t="s">
        <v>171</v>
      </c>
      <c r="B38" s="166" t="str">
        <f>VLOOKUP(A38,'The List'!B1:D665,3,FALSE)</f>
        <v>C/RW</v>
      </c>
      <c r="C38" s="68">
        <f>IF(Settings!$E$15="POINTS",RANK(E38,E3:E392),H38)</f>
        <v>36</v>
      </c>
      <c r="D38" s="65" t="str">
        <f>VLOOKUP(A38,'The List'!B1:F665,5,FALSE)</f>
        <v>STL</v>
      </c>
      <c r="E38" s="54">
        <f>VLOOKUP(A38,'The List'!B1:I665,8,FALSE)</f>
        <v>396.87998339052638</v>
      </c>
      <c r="F38" s="54">
        <f>IF(Settings!$E$15="POINTS",E38-VLOOKUP(B$2,C1:E392,3,FALSE),J38)</f>
        <v>42.30571355634055</v>
      </c>
      <c r="G38" s="54"/>
      <c r="H38" s="167">
        <f>RANK(I38,I3:I392)</f>
        <v>52</v>
      </c>
      <c r="I38" s="168">
        <f>VLOOKUP(A38,'Standard Deviations'!A1:C666,3,FALSE)</f>
        <v>5.4490336742558556</v>
      </c>
      <c r="J38" s="168">
        <f>I38-VLOOKUP(B$2,H1:J392,2,FALSE)</f>
        <v>0.55794385029834714</v>
      </c>
    </row>
    <row r="39" spans="1:10" ht="21.25" customHeight="1" x14ac:dyDescent="0.15">
      <c r="A39" s="9" t="s">
        <v>184</v>
      </c>
      <c r="B39" s="166" t="str">
        <f>VLOOKUP(A39,'The List'!B1:D665,3,FALSE)</f>
        <v>C/LW</v>
      </c>
      <c r="C39" s="68">
        <f>IF(Settings!$E$15="POINTS",RANK(E39,E3:E392),H39)</f>
        <v>37</v>
      </c>
      <c r="D39" s="65" t="str">
        <f>VLOOKUP(A39,'The List'!B1:F665,5,FALSE)</f>
        <v>NSH</v>
      </c>
      <c r="E39" s="54">
        <f>VLOOKUP(A39,'The List'!B1:I665,8,FALSE)</f>
        <v>393.87323859264939</v>
      </c>
      <c r="F39" s="54">
        <f>IF(Settings!$E$15="POINTS",E39-VLOOKUP(B$2,C1:E392,3,FALSE),J39)</f>
        <v>39.298968758463559</v>
      </c>
      <c r="G39" s="54"/>
      <c r="H39" s="167">
        <f>RANK(I39,I3:I392)</f>
        <v>41</v>
      </c>
      <c r="I39" s="168">
        <f>VLOOKUP(A39,'Standard Deviations'!A1:C666,3,FALSE)</f>
        <v>6.4588095688553535</v>
      </c>
      <c r="J39" s="168">
        <f>I39-VLOOKUP(B$2,H1:J392,2,FALSE)</f>
        <v>1.567719744897845</v>
      </c>
    </row>
    <row r="40" spans="1:10" ht="21.25" customHeight="1" x14ac:dyDescent="0.15">
      <c r="A40" s="9" t="s">
        <v>175</v>
      </c>
      <c r="B40" s="166" t="str">
        <f>VLOOKUP(A40,'The List'!B1:D665,3,FALSE)</f>
        <v>LW/RW</v>
      </c>
      <c r="C40" s="68">
        <f>IF(Settings!$E$15="POINTS",RANK(E40,E3:E392),H40)</f>
        <v>38</v>
      </c>
      <c r="D40" s="65" t="str">
        <f>VLOOKUP(A40,'The List'!B1:F665,5,FALSE)</f>
        <v>UTA</v>
      </c>
      <c r="E40" s="54">
        <f>VLOOKUP(A40,'The List'!B1:I665,8,FALSE)</f>
        <v>393.59469836051431</v>
      </c>
      <c r="F40" s="54">
        <f>IF(Settings!$E$15="POINTS",E40-VLOOKUP(B$2,C1:E392,3,FALSE),J40)</f>
        <v>39.020428526328487</v>
      </c>
      <c r="G40" s="54"/>
      <c r="H40" s="167">
        <f>RANK(I40,I3:I392)</f>
        <v>48</v>
      </c>
      <c r="I40" s="168">
        <f>VLOOKUP(A40,'Standard Deviations'!A1:C666,3,FALSE)</f>
        <v>5.7894817417889595</v>
      </c>
      <c r="J40" s="168">
        <f>I40-VLOOKUP(B$2,H1:J392,2,FALSE)</f>
        <v>0.898391917831451</v>
      </c>
    </row>
    <row r="41" spans="1:10" ht="21.25" customHeight="1" x14ac:dyDescent="0.15">
      <c r="A41" s="9" t="s">
        <v>186</v>
      </c>
      <c r="B41" s="166" t="str">
        <f>VLOOKUP(A41,'The List'!B1:D665,3,FALSE)</f>
        <v>C/LW</v>
      </c>
      <c r="C41" s="68">
        <f>IF(Settings!$E$15="POINTS",RANK(E41,E3:E392),H41)</f>
        <v>39</v>
      </c>
      <c r="D41" s="65" t="str">
        <f>VLOOKUP(A41,'The List'!B1:F665,5,FALSE)</f>
        <v>OTT</v>
      </c>
      <c r="E41" s="54">
        <f>VLOOKUP(A41,'The List'!B1:I665,8,FALSE)</f>
        <v>392.20335983687431</v>
      </c>
      <c r="F41" s="54">
        <f>IF(Settings!$E$15="POINTS",E41-VLOOKUP(B$2,C1:E392,3,FALSE),J41)</f>
        <v>37.629090002688486</v>
      </c>
      <c r="G41" s="54"/>
      <c r="H41" s="167">
        <f>RANK(I41,I3:I392)</f>
        <v>55</v>
      </c>
      <c r="I41" s="168">
        <f>VLOOKUP(A41,'Standard Deviations'!A1:C666,3,FALSE)</f>
        <v>5.2540728866265312</v>
      </c>
      <c r="J41" s="168">
        <f>I41-VLOOKUP(B$2,H1:J392,2,FALSE)</f>
        <v>0.36298306266902269</v>
      </c>
    </row>
    <row r="42" spans="1:10" ht="21.25" customHeight="1" x14ac:dyDescent="0.15">
      <c r="A42" s="9" t="s">
        <v>198</v>
      </c>
      <c r="B42" s="166" t="str">
        <f>VLOOKUP(A42,'The List'!B1:D665,3,FALSE)</f>
        <v>C</v>
      </c>
      <c r="C42" s="68">
        <f>IF(Settings!$E$15="POINTS",RANK(E42,E3:E392),H42)</f>
        <v>40</v>
      </c>
      <c r="D42" s="65" t="str">
        <f>VLOOKUP(A42,'The List'!B1:F665,5,FALSE)</f>
        <v>N.J</v>
      </c>
      <c r="E42" s="54">
        <f>VLOOKUP(A42,'The List'!B1:I665,8,FALSE)</f>
        <v>389.93715777808109</v>
      </c>
      <c r="F42" s="54">
        <f>IF(Settings!$E$15="POINTS",E42-VLOOKUP(B$2,C1:E392,3,FALSE),J42)</f>
        <v>35.362887943895259</v>
      </c>
      <c r="G42" s="54"/>
      <c r="H42" s="167">
        <f>RANK(I42,I3:I392)</f>
        <v>37</v>
      </c>
      <c r="I42" s="168">
        <f>VLOOKUP(A42,'Standard Deviations'!A1:C666,3,FALSE)</f>
        <v>6.7012186231525712</v>
      </c>
      <c r="J42" s="168">
        <f>I42-VLOOKUP(B$2,H1:J392,2,FALSE)</f>
        <v>1.8101287991950628</v>
      </c>
    </row>
    <row r="43" spans="1:10" ht="21.25" customHeight="1" x14ac:dyDescent="0.15">
      <c r="A43" s="9" t="s">
        <v>179</v>
      </c>
      <c r="B43" s="166" t="str">
        <f>VLOOKUP(A43,'The List'!B1:D665,3,FALSE)</f>
        <v>C/RW</v>
      </c>
      <c r="C43" s="68">
        <f>IF(Settings!$E$15="POINTS",RANK(E43,E3:E392),H43)</f>
        <v>41</v>
      </c>
      <c r="D43" s="65" t="str">
        <f>VLOOKUP(A43,'The List'!B1:F665,5,FALSE)</f>
        <v>DAL</v>
      </c>
      <c r="E43" s="54">
        <f>VLOOKUP(A43,'The List'!B1:I665,8,FALSE)</f>
        <v>389.91842521397439</v>
      </c>
      <c r="F43" s="54">
        <f>IF(Settings!$E$15="POINTS",E43-VLOOKUP(B$2,C1:E392,3,FALSE),J43)</f>
        <v>35.34415537978856</v>
      </c>
      <c r="G43" s="54"/>
      <c r="H43" s="167">
        <f>RANK(I43,I3:I392)</f>
        <v>33</v>
      </c>
      <c r="I43" s="168">
        <f>VLOOKUP(A43,'Standard Deviations'!A1:C666,3,FALSE)</f>
        <v>7.1807004913375918</v>
      </c>
      <c r="J43" s="168">
        <f>I43-VLOOKUP(B$2,H1:J392,2,FALSE)</f>
        <v>2.2896106673800833</v>
      </c>
    </row>
    <row r="44" spans="1:10" ht="21.25" customHeight="1" x14ac:dyDescent="0.15">
      <c r="A44" s="9" t="s">
        <v>203</v>
      </c>
      <c r="B44" s="166" t="str">
        <f>VLOOKUP(A44,'The List'!B1:D665,3,FALSE)</f>
        <v>C</v>
      </c>
      <c r="C44" s="68">
        <f>IF(Settings!$E$15="POINTS",RANK(E44,E3:E392),H44)</f>
        <v>42</v>
      </c>
      <c r="D44" s="65" t="str">
        <f>VLOOKUP(A44,'The List'!B1:F665,5,FALSE)</f>
        <v>STL</v>
      </c>
      <c r="E44" s="54">
        <f>VLOOKUP(A44,'The List'!B1:I665,8,FALSE)</f>
        <v>385.63918761364624</v>
      </c>
      <c r="F44" s="54">
        <f>IF(Settings!$E$15="POINTS",E44-VLOOKUP(B$2,C1:E392,3,FALSE),J44)</f>
        <v>31.064917779460416</v>
      </c>
      <c r="G44" s="54"/>
      <c r="H44" s="167">
        <f>RANK(I44,I3:I392)</f>
        <v>57</v>
      </c>
      <c r="I44" s="168">
        <f>VLOOKUP(A44,'Standard Deviations'!A1:C666,3,FALSE)</f>
        <v>5.2063996308106235</v>
      </c>
      <c r="J44" s="168">
        <f>I44-VLOOKUP(B$2,H1:J392,2,FALSE)</f>
        <v>0.31530980685311505</v>
      </c>
    </row>
    <row r="45" spans="1:10" ht="21.25" customHeight="1" x14ac:dyDescent="0.15">
      <c r="A45" s="9" t="s">
        <v>204</v>
      </c>
      <c r="B45" s="166" t="str">
        <f>VLOOKUP(A45,'The List'!B1:D665,3,FALSE)</f>
        <v>C</v>
      </c>
      <c r="C45" s="68">
        <f>IF(Settings!$E$15="POINTS",RANK(E45,E3:E392),H45)</f>
        <v>43</v>
      </c>
      <c r="D45" s="65" t="str">
        <f>VLOOKUP(A45,'The List'!B1:F665,5,FALSE)</f>
        <v>TOR</v>
      </c>
      <c r="E45" s="54">
        <f>VLOOKUP(A45,'The List'!B1:I665,8,FALSE)</f>
        <v>385.40531838566056</v>
      </c>
      <c r="F45" s="54">
        <f>IF(Settings!$E$15="POINTS",E45-VLOOKUP(B$2,C1:E392,3,FALSE),J45)</f>
        <v>30.831048551474737</v>
      </c>
      <c r="G45" s="54"/>
      <c r="H45" s="167">
        <f>RANK(I45,I3:I392)</f>
        <v>28</v>
      </c>
      <c r="I45" s="168">
        <f>VLOOKUP(A45,'Standard Deviations'!A1:C666,3,FALSE)</f>
        <v>7.57815305165113</v>
      </c>
      <c r="J45" s="168">
        <f>I45-VLOOKUP(B$2,H1:J392,2,FALSE)</f>
        <v>2.6870632276936215</v>
      </c>
    </row>
    <row r="46" spans="1:10" ht="21.25" customHeight="1" x14ac:dyDescent="0.15">
      <c r="A46" s="9" t="s">
        <v>191</v>
      </c>
      <c r="B46" s="166" t="str">
        <f>VLOOKUP(A46,'The List'!B1:D665,3,FALSE)</f>
        <v>LW</v>
      </c>
      <c r="C46" s="68">
        <f>IF(Settings!$E$15="POINTS",RANK(E46,E3:E392),H46)</f>
        <v>44</v>
      </c>
      <c r="D46" s="65" t="str">
        <f>VLOOKUP(A46,'The List'!B1:F665,5,FALSE)</f>
        <v>L.A</v>
      </c>
      <c r="E46" s="54">
        <f>VLOOKUP(A46,'The List'!B1:I665,8,FALSE)</f>
        <v>384.59140403900062</v>
      </c>
      <c r="F46" s="54">
        <f>IF(Settings!$E$15="POINTS",E46-VLOOKUP(B$2,C1:E392,3,FALSE),J46)</f>
        <v>30.017134204814795</v>
      </c>
      <c r="G46" s="54"/>
      <c r="H46" s="167">
        <f>RANK(I46,I3:I392)</f>
        <v>36</v>
      </c>
      <c r="I46" s="168">
        <f>VLOOKUP(A46,'Standard Deviations'!A1:C666,3,FALSE)</f>
        <v>6.7125754492529079</v>
      </c>
      <c r="J46" s="168">
        <f>I46-VLOOKUP(B$2,H1:J392,2,FALSE)</f>
        <v>1.8214856252953995</v>
      </c>
    </row>
    <row r="47" spans="1:10" ht="21.25" customHeight="1" x14ac:dyDescent="0.15">
      <c r="A47" s="9" t="s">
        <v>206</v>
      </c>
      <c r="B47" s="166" t="str">
        <f>VLOOKUP(A47,'The List'!B1:D665,3,FALSE)</f>
        <v>C</v>
      </c>
      <c r="C47" s="68">
        <f>IF(Settings!$E$15="POINTS",RANK(E47,E3:E392),H47)</f>
        <v>45</v>
      </c>
      <c r="D47" s="65" t="str">
        <f>VLOOKUP(A47,'The List'!B1:F665,5,FALSE)</f>
        <v>NYR</v>
      </c>
      <c r="E47" s="54">
        <f>VLOOKUP(A47,'The List'!B1:I665,8,FALSE)</f>
        <v>383.15755033691164</v>
      </c>
      <c r="F47" s="54">
        <f>IF(Settings!$E$15="POINTS",E47-VLOOKUP(B$2,C1:E392,3,FALSE),J47)</f>
        <v>28.583280502725813</v>
      </c>
      <c r="G47" s="54"/>
      <c r="H47" s="167">
        <f>RANK(I47,I3:I392)</f>
        <v>38</v>
      </c>
      <c r="I47" s="168">
        <f>VLOOKUP(A47,'Standard Deviations'!A1:C666,3,FALSE)</f>
        <v>6.6842019542524866</v>
      </c>
      <c r="J47" s="168">
        <f>I47-VLOOKUP(B$2,H1:J392,2,FALSE)</f>
        <v>1.7931121302949782</v>
      </c>
    </row>
    <row r="48" spans="1:10" ht="21.25" customHeight="1" x14ac:dyDescent="0.15">
      <c r="A48" s="9" t="s">
        <v>207</v>
      </c>
      <c r="B48" s="166" t="str">
        <f>VLOOKUP(A48,'The List'!B1:D665,3,FALSE)</f>
        <v>C</v>
      </c>
      <c r="C48" s="68">
        <f>IF(Settings!$E$15="POINTS",RANK(E48,E3:E392),H48)</f>
        <v>46</v>
      </c>
      <c r="D48" s="65" t="str">
        <f>VLOOKUP(A48,'The List'!B1:F665,5,FALSE)</f>
        <v>MTL</v>
      </c>
      <c r="E48" s="54">
        <f>VLOOKUP(A48,'The List'!B1:I665,8,FALSE)</f>
        <v>381.76406913831278</v>
      </c>
      <c r="F48" s="54">
        <f>IF(Settings!$E$15="POINTS",E48-VLOOKUP(B$2,C1:E392,3,FALSE),J48)</f>
        <v>27.18979930412695</v>
      </c>
      <c r="G48" s="54"/>
      <c r="H48" s="167">
        <f>RANK(I48,I3:I392)</f>
        <v>62</v>
      </c>
      <c r="I48" s="168">
        <f>VLOOKUP(A48,'Standard Deviations'!A1:C666,3,FALSE)</f>
        <v>4.8931156643819058</v>
      </c>
      <c r="J48" s="168">
        <f>I48-VLOOKUP(B$2,H1:J392,2,FALSE)</f>
        <v>2.0258404243973516E-3</v>
      </c>
    </row>
    <row r="49" spans="1:10" ht="21.25" customHeight="1" x14ac:dyDescent="0.15">
      <c r="A49" s="9" t="s">
        <v>185</v>
      </c>
      <c r="B49" s="166" t="str">
        <f>VLOOKUP(A49,'The List'!B1:D665,3,FALSE)</f>
        <v>LW/RW</v>
      </c>
      <c r="C49" s="68">
        <f>IF(Settings!$E$15="POINTS",RANK(E49,E3:E392),H49)</f>
        <v>47</v>
      </c>
      <c r="D49" s="65" t="str">
        <f>VLOOKUP(A49,'The List'!B1:F665,5,FALSE)</f>
        <v>MTL</v>
      </c>
      <c r="E49" s="54">
        <f>VLOOKUP(A49,'The List'!B1:I665,8,FALSE)</f>
        <v>381.06151230249975</v>
      </c>
      <c r="F49" s="54">
        <f>IF(Settings!$E$15="POINTS",E49-VLOOKUP(B$2,C1:E392,3,FALSE),J49)</f>
        <v>26.487242468313923</v>
      </c>
      <c r="G49" s="54"/>
      <c r="H49" s="167">
        <f>RANK(I49,I3:I392)</f>
        <v>61</v>
      </c>
      <c r="I49" s="168">
        <f>VLOOKUP(A49,'Standard Deviations'!A1:C666,3,FALSE)</f>
        <v>4.9069407822545914</v>
      </c>
      <c r="J49" s="168">
        <f>I49-VLOOKUP(B$2,H1:J392,2,FALSE)</f>
        <v>1.585095829708294E-2</v>
      </c>
    </row>
    <row r="50" spans="1:10" ht="21.25" customHeight="1" x14ac:dyDescent="0.15">
      <c r="A50" s="9" t="s">
        <v>190</v>
      </c>
      <c r="B50" s="166" t="str">
        <f>VLOOKUP(A50,'The List'!B1:D665,3,FALSE)</f>
        <v>C/RW</v>
      </c>
      <c r="C50" s="68">
        <f>IF(Settings!$E$15="POINTS",RANK(E50,E3:E392),H50)</f>
        <v>48</v>
      </c>
      <c r="D50" s="65" t="str">
        <f>VLOOKUP(A50,'The List'!B1:F665,5,FALSE)</f>
        <v>L.A</v>
      </c>
      <c r="E50" s="54">
        <f>VLOOKUP(A50,'The List'!B1:I665,8,FALSE)</f>
        <v>373.76546519730982</v>
      </c>
      <c r="F50" s="54">
        <f>IF(Settings!$E$15="POINTS",E50-VLOOKUP(B$2,C1:E392,3,FALSE),J50)</f>
        <v>19.191195363123995</v>
      </c>
      <c r="G50" s="54"/>
      <c r="H50" s="167">
        <f>RANK(I50,I3:I392)</f>
        <v>49</v>
      </c>
      <c r="I50" s="168">
        <f>VLOOKUP(A50,'Standard Deviations'!A1:C666,3,FALSE)</f>
        <v>5.7660648085563313</v>
      </c>
      <c r="J50" s="168">
        <f>I50-VLOOKUP(B$2,H1:J392,2,FALSE)</f>
        <v>0.87497498459882284</v>
      </c>
    </row>
    <row r="51" spans="1:10" ht="21.25" customHeight="1" x14ac:dyDescent="0.15">
      <c r="A51" s="9" t="s">
        <v>216</v>
      </c>
      <c r="B51" s="166" t="str">
        <f>VLOOKUP(A51,'The List'!B1:D665,3,FALSE)</f>
        <v>C</v>
      </c>
      <c r="C51" s="68">
        <f>IF(Settings!$E$15="POINTS",RANK(E51,E3:E392),H51)</f>
        <v>49</v>
      </c>
      <c r="D51" s="65" t="str">
        <f>VLOOKUP(A51,'The List'!B1:F665,5,FALSE)</f>
        <v>CGY</v>
      </c>
      <c r="E51" s="54">
        <f>VLOOKUP(A51,'The List'!B1:I665,8,FALSE)</f>
        <v>372.8156076466318</v>
      </c>
      <c r="F51" s="54">
        <f>IF(Settings!$E$15="POINTS",E51-VLOOKUP(B$2,C1:E392,3,FALSE),J51)</f>
        <v>18.241337812445977</v>
      </c>
      <c r="G51" s="54"/>
      <c r="H51" s="167">
        <f>RANK(I51,I3:I392)</f>
        <v>65</v>
      </c>
      <c r="I51" s="168">
        <f>VLOOKUP(A51,'Standard Deviations'!A1:C666,3,FALSE)</f>
        <v>4.6809678501188481</v>
      </c>
      <c r="J51" s="168">
        <f>I51-VLOOKUP(B$2,H1:J392,2,FALSE)</f>
        <v>-0.21012197383866038</v>
      </c>
    </row>
    <row r="52" spans="1:10" ht="21.25" customHeight="1" x14ac:dyDescent="0.15">
      <c r="A52" s="9" t="s">
        <v>208</v>
      </c>
      <c r="B52" s="166" t="str">
        <f>VLOOKUP(A52,'The List'!B1:D665,3,FALSE)</f>
        <v>C/LW</v>
      </c>
      <c r="C52" s="68">
        <f>IF(Settings!$E$15="POINTS",RANK(E52,E3:E392),H52)</f>
        <v>50</v>
      </c>
      <c r="D52" s="65" t="str">
        <f>VLOOKUP(A52,'The List'!B1:F665,5,FALSE)</f>
        <v>EDM</v>
      </c>
      <c r="E52" s="54">
        <f>VLOOKUP(A52,'The List'!B1:I665,8,FALSE)</f>
        <v>371.86724816839626</v>
      </c>
      <c r="F52" s="54">
        <f>IF(Settings!$E$15="POINTS",E52-VLOOKUP(B$2,C1:E392,3,FALSE),J52)</f>
        <v>17.292978334210432</v>
      </c>
      <c r="G52" s="54"/>
      <c r="H52" s="167">
        <f>RANK(I52,I3:I392)</f>
        <v>29</v>
      </c>
      <c r="I52" s="168">
        <f>VLOOKUP(A52,'Standard Deviations'!A1:C666,3,FALSE)</f>
        <v>7.5290689202669752</v>
      </c>
      <c r="J52" s="168">
        <f>I52-VLOOKUP(B$2,H1:J392,2,FALSE)</f>
        <v>2.6379790963094667</v>
      </c>
    </row>
    <row r="53" spans="1:10" ht="21.25" customHeight="1" x14ac:dyDescent="0.15">
      <c r="A53" s="9" t="s">
        <v>219</v>
      </c>
      <c r="B53" s="166" t="str">
        <f>VLOOKUP(A53,'The List'!B1:D665,3,FALSE)</f>
        <v>C</v>
      </c>
      <c r="C53" s="68">
        <f>IF(Settings!$E$15="POINTS",RANK(E53,E3:E392),H53)</f>
        <v>51</v>
      </c>
      <c r="D53" s="65" t="str">
        <f>VLOOKUP(A53,'The List'!B1:F665,5,FALSE)</f>
        <v>NYI</v>
      </c>
      <c r="E53" s="54">
        <f>VLOOKUP(A53,'The List'!B1:I665,8,FALSE)</f>
        <v>371.15998568550168</v>
      </c>
      <c r="F53" s="54">
        <f>IF(Settings!$E$15="POINTS",E53-VLOOKUP(B$2,C1:E392,3,FALSE),J53)</f>
        <v>16.585715851315854</v>
      </c>
      <c r="G53" s="54"/>
      <c r="H53" s="167">
        <f>RANK(I53,I3:I392)</f>
        <v>45</v>
      </c>
      <c r="I53" s="168">
        <f>VLOOKUP(A53,'Standard Deviations'!A1:C666,3,FALSE)</f>
        <v>5.9127865247194507</v>
      </c>
      <c r="J53" s="168">
        <f>I53-VLOOKUP(B$2,H1:J392,2,FALSE)</f>
        <v>1.0216967007619422</v>
      </c>
    </row>
    <row r="54" spans="1:10" ht="21.25" customHeight="1" x14ac:dyDescent="0.15">
      <c r="A54" s="9" t="s">
        <v>211</v>
      </c>
      <c r="B54" s="166" t="str">
        <f>VLOOKUP(A54,'The List'!B1:D665,3,FALSE)</f>
        <v>C/LW</v>
      </c>
      <c r="C54" s="68">
        <f>IF(Settings!$E$15="POINTS",RANK(E54,E3:E392),H54)</f>
        <v>52</v>
      </c>
      <c r="D54" s="65" t="str">
        <f>VLOOKUP(A54,'The List'!B1:F665,5,FALSE)</f>
        <v>FLA</v>
      </c>
      <c r="E54" s="54">
        <f>VLOOKUP(A54,'The List'!B1:I665,8,FALSE)</f>
        <v>370.70924805714361</v>
      </c>
      <c r="F54" s="54">
        <f>IF(Settings!$E$15="POINTS",E54-VLOOKUP(B$2,C1:E392,3,FALSE),J54)</f>
        <v>16.134978222957784</v>
      </c>
      <c r="G54" s="54"/>
      <c r="H54" s="167">
        <f>RANK(I54,I3:I392)</f>
        <v>39</v>
      </c>
      <c r="I54" s="168">
        <f>VLOOKUP(A54,'Standard Deviations'!A1:C666,3,FALSE)</f>
        <v>6.6777197351778064</v>
      </c>
      <c r="J54" s="168">
        <f>I54-VLOOKUP(B$2,H1:J392,2,FALSE)</f>
        <v>1.7866299112202979</v>
      </c>
    </row>
    <row r="55" spans="1:10" ht="21.25" customHeight="1" x14ac:dyDescent="0.15">
      <c r="A55" s="9" t="s">
        <v>195</v>
      </c>
      <c r="B55" s="166" t="str">
        <f>VLOOKUP(A55,'The List'!B1:D665,3,FALSE)</f>
        <v>RW</v>
      </c>
      <c r="C55" s="68">
        <f>IF(Settings!$E$15="POINTS",RANK(E55,E3:E392),H55)</f>
        <v>53</v>
      </c>
      <c r="D55" s="65" t="str">
        <f>VLOOKUP(A55,'The List'!B1:F665,5,FALSE)</f>
        <v>BUF</v>
      </c>
      <c r="E55" s="54">
        <f>VLOOKUP(A55,'The List'!B1:I665,8,FALSE)</f>
        <v>369.53624935224798</v>
      </c>
      <c r="F55" s="54">
        <f>IF(Settings!$E$15="POINTS",E55-VLOOKUP(B$2,C1:E392,3,FALSE),J55)</f>
        <v>14.961979518062151</v>
      </c>
      <c r="G55" s="54"/>
      <c r="H55" s="167">
        <f>RANK(I55,I3:I392)</f>
        <v>58</v>
      </c>
      <c r="I55" s="168">
        <f>VLOOKUP(A55,'Standard Deviations'!A1:C666,3,FALSE)</f>
        <v>5.1174156636253132</v>
      </c>
      <c r="J55" s="168">
        <f>I55-VLOOKUP(B$2,H1:J392,2,FALSE)</f>
        <v>0.22632583966780473</v>
      </c>
    </row>
    <row r="56" spans="1:10" ht="21.25" customHeight="1" x14ac:dyDescent="0.15">
      <c r="A56" s="9" t="s">
        <v>197</v>
      </c>
      <c r="B56" s="166" t="str">
        <f>VLOOKUP(A56,'The List'!B1:D665,3,FALSE)</f>
        <v>LW/RW</v>
      </c>
      <c r="C56" s="68">
        <f>IF(Settings!$E$15="POINTS",RANK(E56,E3:E392),H56)</f>
        <v>54</v>
      </c>
      <c r="D56" s="65" t="str">
        <f>VLOOKUP(A56,'The List'!B1:F665,5,FALSE)</f>
        <v>MIN</v>
      </c>
      <c r="E56" s="54">
        <f>VLOOKUP(A56,'The List'!B1:I665,8,FALSE)</f>
        <v>368.84772310629239</v>
      </c>
      <c r="F56" s="54">
        <f>IF(Settings!$E$15="POINTS",E56-VLOOKUP(B$2,C1:E392,3,FALSE),J56)</f>
        <v>14.273453272106565</v>
      </c>
      <c r="G56" s="54"/>
      <c r="H56" s="167">
        <f>RANK(I56,I3:I392)</f>
        <v>44</v>
      </c>
      <c r="I56" s="168">
        <f>VLOOKUP(A56,'Standard Deviations'!A1:C666,3,FALSE)</f>
        <v>6.0150688800609426</v>
      </c>
      <c r="J56" s="168">
        <f>I56-VLOOKUP(B$2,H1:J392,2,FALSE)</f>
        <v>1.1239790561034342</v>
      </c>
    </row>
    <row r="57" spans="1:10" ht="21.25" customHeight="1" x14ac:dyDescent="0.15">
      <c r="A57" s="9" t="s">
        <v>221</v>
      </c>
      <c r="B57" s="166" t="str">
        <f>VLOOKUP(A57,'The List'!B1:D665,3,FALSE)</f>
        <v>C</v>
      </c>
      <c r="C57" s="68">
        <f>IF(Settings!$E$15="POINTS",RANK(E57,E3:E392),H57)</f>
        <v>55</v>
      </c>
      <c r="D57" s="65" t="str">
        <f>VLOOKUP(A57,'The List'!B1:F665,5,FALSE)</f>
        <v>NYI</v>
      </c>
      <c r="E57" s="54">
        <f>VLOOKUP(A57,'The List'!B1:I665,8,FALSE)</f>
        <v>368.80027278962189</v>
      </c>
      <c r="F57" s="54">
        <f>IF(Settings!$E$15="POINTS",E57-VLOOKUP(B$2,C1:E392,3,FALSE),J57)</f>
        <v>14.226002955436059</v>
      </c>
      <c r="G57" s="54"/>
      <c r="H57" s="167">
        <f>RANK(I57,I3:I392)</f>
        <v>47</v>
      </c>
      <c r="I57" s="168">
        <f>VLOOKUP(A57,'Standard Deviations'!A1:C666,3,FALSE)</f>
        <v>5.8819114560650707</v>
      </c>
      <c r="J57" s="168">
        <f>I57-VLOOKUP(B$2,H1:J392,2,FALSE)</f>
        <v>0.99082163210756224</v>
      </c>
    </row>
    <row r="58" spans="1:10" ht="21.25" customHeight="1" x14ac:dyDescent="0.15">
      <c r="A58" s="9" t="s">
        <v>224</v>
      </c>
      <c r="B58" s="166" t="str">
        <f>VLOOKUP(A58,'The List'!B1:D665,3,FALSE)</f>
        <v>C</v>
      </c>
      <c r="C58" s="68">
        <f>IF(Settings!$E$15="POINTS",RANK(E58,E3:E392),H58)</f>
        <v>56</v>
      </c>
      <c r="D58" s="65" t="str">
        <f>VLOOKUP(A58,'The List'!B1:F665,5,FALSE)</f>
        <v>DAL</v>
      </c>
      <c r="E58" s="54">
        <f>VLOOKUP(A58,'The List'!B1:I665,8,FALSE)</f>
        <v>368.0392157392468</v>
      </c>
      <c r="F58" s="54">
        <f>IF(Settings!$E$15="POINTS",E58-VLOOKUP(B$2,C1:E392,3,FALSE),J58)</f>
        <v>13.464945905060972</v>
      </c>
      <c r="G58" s="54"/>
      <c r="H58" s="167">
        <f>RANK(I58,I3:I392)</f>
        <v>34</v>
      </c>
      <c r="I58" s="168">
        <f>VLOOKUP(A58,'Standard Deviations'!A1:C666,3,FALSE)</f>
        <v>7.1156844404640509</v>
      </c>
      <c r="J58" s="168">
        <f>I58-VLOOKUP(B$2,H1:J392,2,FALSE)</f>
        <v>2.2245946165065424</v>
      </c>
    </row>
    <row r="59" spans="1:10" ht="21.25" customHeight="1" x14ac:dyDescent="0.15">
      <c r="A59" s="9" t="s">
        <v>201</v>
      </c>
      <c r="B59" s="166" t="str">
        <f>VLOOKUP(A59,'The List'!B1:D665,3,FALSE)</f>
        <v>LW/RW</v>
      </c>
      <c r="C59" s="68">
        <f>IF(Settings!$E$15="POINTS",RANK(E59,E3:E392),H59)</f>
        <v>57</v>
      </c>
      <c r="D59" s="65" t="str">
        <f>VLOOKUP(A59,'The List'!B1:F665,5,FALSE)</f>
        <v>DET</v>
      </c>
      <c r="E59" s="54">
        <f>VLOOKUP(A59,'The List'!B1:I665,8,FALSE)</f>
        <v>364.98364652555728</v>
      </c>
      <c r="F59" s="54">
        <f>IF(Settings!$E$15="POINTS",E59-VLOOKUP(B$2,C1:E392,3,FALSE),J59)</f>
        <v>10.409376691371449</v>
      </c>
      <c r="G59" s="54"/>
      <c r="H59" s="167">
        <f>RANK(I59,I3:I392)</f>
        <v>69</v>
      </c>
      <c r="I59" s="168">
        <f>VLOOKUP(A59,'Standard Deviations'!A1:C666,3,FALSE)</f>
        <v>4.5238569924196446</v>
      </c>
      <c r="J59" s="168">
        <f>I59-VLOOKUP(B$2,H1:J392,2,FALSE)</f>
        <v>-0.3672328315378639</v>
      </c>
    </row>
    <row r="60" spans="1:10" ht="21.25" customHeight="1" x14ac:dyDescent="0.15">
      <c r="A60" s="9" t="s">
        <v>202</v>
      </c>
      <c r="B60" s="166" t="str">
        <f>VLOOKUP(A60,'The List'!B1:D665,3,FALSE)</f>
        <v>LW/RW</v>
      </c>
      <c r="C60" s="68">
        <f>IF(Settings!$E$15="POINTS",RANK(E60,E3:E392),H60)</f>
        <v>58</v>
      </c>
      <c r="D60" s="65" t="str">
        <f>VLOOKUP(A60,'The List'!B1:F665,5,FALSE)</f>
        <v>T.B</v>
      </c>
      <c r="E60" s="54">
        <f>VLOOKUP(A60,'The List'!B1:I665,8,FALSE)</f>
        <v>364.84454965051543</v>
      </c>
      <c r="F60" s="54">
        <f>IF(Settings!$E$15="POINTS",E60-VLOOKUP(B$2,C1:E392,3,FALSE),J60)</f>
        <v>10.270279816329605</v>
      </c>
      <c r="G60" s="54"/>
      <c r="H60" s="167">
        <f>RANK(I60,I3:I392)</f>
        <v>54</v>
      </c>
      <c r="I60" s="168">
        <f>VLOOKUP(A60,'Standard Deviations'!A1:C666,3,FALSE)</f>
        <v>5.3580148670800494</v>
      </c>
      <c r="J60" s="168">
        <f>I60-VLOOKUP(B$2,H1:J392,2,FALSE)</f>
        <v>0.46692504312254091</v>
      </c>
    </row>
    <row r="61" spans="1:10" ht="21.25" customHeight="1" x14ac:dyDescent="0.15">
      <c r="A61" s="9" t="s">
        <v>205</v>
      </c>
      <c r="B61" s="166" t="str">
        <f>VLOOKUP(A61,'The List'!B1:D665,3,FALSE)</f>
        <v>LW/RW</v>
      </c>
      <c r="C61" s="68">
        <f>IF(Settings!$E$15="POINTS",RANK(E61,E3:E392),H61)</f>
        <v>59</v>
      </c>
      <c r="D61" s="65" t="str">
        <f>VLOOKUP(A61,'The List'!B1:F665,5,FALSE)</f>
        <v>PHI</v>
      </c>
      <c r="E61" s="54">
        <f>VLOOKUP(A61,'The List'!B1:I665,8,FALSE)</f>
        <v>362.74314114827257</v>
      </c>
      <c r="F61" s="54">
        <f>IF(Settings!$E$15="POINTS",E61-VLOOKUP(B$2,C1:E392,3,FALSE),J61)</f>
        <v>8.1688713140867435</v>
      </c>
      <c r="G61" s="54"/>
      <c r="H61" s="167">
        <f>RANK(I61,I3:I392)</f>
        <v>85</v>
      </c>
      <c r="I61" s="168">
        <f>VLOOKUP(A61,'Standard Deviations'!A1:C666,3,FALSE)</f>
        <v>3.6833940457590009</v>
      </c>
      <c r="J61" s="168">
        <f>I61-VLOOKUP(B$2,H1:J392,2,FALSE)</f>
        <v>-1.2076957781985076</v>
      </c>
    </row>
    <row r="62" spans="1:10" ht="21.25" customHeight="1" x14ac:dyDescent="0.15">
      <c r="A62" s="9" t="s">
        <v>225</v>
      </c>
      <c r="B62" s="166" t="str">
        <f>VLOOKUP(A62,'The List'!B1:D665,3,FALSE)</f>
        <v>LW</v>
      </c>
      <c r="C62" s="68">
        <f>IF(Settings!$E$15="POINTS",RANK(E62,E3:E392),H62)</f>
        <v>60</v>
      </c>
      <c r="D62" s="65" t="str">
        <f>VLOOKUP(A62,'The List'!B1:F665,5,FALSE)</f>
        <v>NYR</v>
      </c>
      <c r="E62" s="54">
        <f>VLOOKUP(A62,'The List'!B1:I665,8,FALSE)</f>
        <v>359.10332320269032</v>
      </c>
      <c r="F62" s="54">
        <f>IF(Settings!$E$15="POINTS",E62-VLOOKUP(B$2,C1:E392,3,FALSE),J62)</f>
        <v>4.529053368504492</v>
      </c>
      <c r="G62" s="54"/>
      <c r="H62" s="167">
        <f>RANK(I62,I3:I392)</f>
        <v>43</v>
      </c>
      <c r="I62" s="168">
        <f>VLOOKUP(A62,'Standard Deviations'!A1:C666,3,FALSE)</f>
        <v>6.1953312374526543</v>
      </c>
      <c r="J62" s="168">
        <f>I62-VLOOKUP(B$2,H1:J392,2,FALSE)</f>
        <v>1.3042414134951459</v>
      </c>
    </row>
    <row r="63" spans="1:10" ht="21.25" customHeight="1" x14ac:dyDescent="0.15">
      <c r="A63" s="9" t="s">
        <v>233</v>
      </c>
      <c r="B63" s="166" t="str">
        <f>VLOOKUP(A63,'The List'!B1:D665,3,FALSE)</f>
        <v>C</v>
      </c>
      <c r="C63" s="68">
        <f>IF(Settings!$E$15="POINTS",RANK(E63,E3:E392),H63)</f>
        <v>61</v>
      </c>
      <c r="D63" s="65" t="str">
        <f>VLOOKUP(A63,'The List'!B1:F665,5,FALSE)</f>
        <v>MIN</v>
      </c>
      <c r="E63" s="54">
        <f>VLOOKUP(A63,'The List'!B1:I665,8,FALSE)</f>
        <v>358.41265279674332</v>
      </c>
      <c r="F63" s="54">
        <f>IF(Settings!$E$15="POINTS",E63-VLOOKUP(B$2,C1:E392,3,FALSE),J63)</f>
        <v>3.838382962557489</v>
      </c>
      <c r="G63" s="54"/>
      <c r="H63" s="167">
        <f>RANK(I63,I3:I392)</f>
        <v>53</v>
      </c>
      <c r="I63" s="168">
        <f>VLOOKUP(A63,'Standard Deviations'!A1:C666,3,FALSE)</f>
        <v>5.3823610735208991</v>
      </c>
      <c r="J63" s="168">
        <f>I63-VLOOKUP(B$2,H1:J392,2,FALSE)</f>
        <v>0.49127124956339063</v>
      </c>
    </row>
    <row r="64" spans="1:10" ht="21.25" customHeight="1" x14ac:dyDescent="0.15">
      <c r="A64" s="9" t="s">
        <v>226</v>
      </c>
      <c r="B64" s="166" t="str">
        <f>VLOOKUP(A64,'The List'!B1:D665,3,FALSE)</f>
        <v>C/LW</v>
      </c>
      <c r="C64" s="68">
        <f>IF(Settings!$E$15="POINTS",RANK(E64,E3:E392),H64)</f>
        <v>62</v>
      </c>
      <c r="D64" s="65" t="str">
        <f>VLOOKUP(A64,'The List'!B1:F665,5,FALSE)</f>
        <v>STL</v>
      </c>
      <c r="E64" s="54">
        <f>VLOOKUP(A64,'The List'!B1:I665,8,FALSE)</f>
        <v>357.56680797817324</v>
      </c>
      <c r="F64" s="54">
        <f>IF(Settings!$E$15="POINTS",E64-VLOOKUP(B$2,C1:E392,3,FALSE),J64)</f>
        <v>2.9925381439874172</v>
      </c>
      <c r="G64" s="54"/>
      <c r="H64" s="167">
        <f>RANK(I64,I3:I392)</f>
        <v>74</v>
      </c>
      <c r="I64" s="168">
        <f>VLOOKUP(A64,'Standard Deviations'!A1:C666,3,FALSE)</f>
        <v>4.3868736379880158</v>
      </c>
      <c r="J64" s="168">
        <f>I64-VLOOKUP(B$2,H1:J392,2,FALSE)</f>
        <v>-0.50421618596949269</v>
      </c>
    </row>
    <row r="65" spans="1:10" ht="21.25" customHeight="1" x14ac:dyDescent="0.15">
      <c r="A65" s="9" t="s">
        <v>227</v>
      </c>
      <c r="B65" s="166" t="str">
        <f>VLOOKUP(A65,'The List'!B1:D665,3,FALSE)</f>
        <v>C/LW</v>
      </c>
      <c r="C65" s="68">
        <f>IF(Settings!$E$15="POINTS",RANK(E65,E3:E392),H65)</f>
        <v>63</v>
      </c>
      <c r="D65" s="65" t="str">
        <f>VLOOKUP(A65,'The List'!B1:F665,5,FALSE)</f>
        <v>SEA</v>
      </c>
      <c r="E65" s="54">
        <f>VLOOKUP(A65,'The List'!B1:I665,8,FALSE)</f>
        <v>354.57426983418583</v>
      </c>
      <c r="F65" s="54">
        <f>IF(Settings!$E$15="POINTS",E65-VLOOKUP(B$2,C1:E392,3,FALSE),J65)</f>
        <v>0</v>
      </c>
      <c r="G65" s="54"/>
      <c r="H65" s="167">
        <f>RANK(I65,I3:I392)</f>
        <v>68</v>
      </c>
      <c r="I65" s="168">
        <f>VLOOKUP(A65,'Standard Deviations'!A1:C666,3,FALSE)</f>
        <v>4.5424847105712001</v>
      </c>
      <c r="J65" s="168">
        <f>I65-VLOOKUP(B$2,H1:J392,2,FALSE)</f>
        <v>-0.3486051133863084</v>
      </c>
    </row>
    <row r="66" spans="1:10" ht="21.25" customHeight="1" x14ac:dyDescent="0.15">
      <c r="A66" s="9" t="s">
        <v>213</v>
      </c>
      <c r="B66" s="166" t="str">
        <f>VLOOKUP(A66,'The List'!B1:D665,3,FALSE)</f>
        <v>C/RW</v>
      </c>
      <c r="C66" s="68">
        <f>IF(Settings!$E$15="POINTS",RANK(E66,E3:E392),H66)</f>
        <v>64</v>
      </c>
      <c r="D66" s="65" t="str">
        <f>VLOOKUP(A66,'The List'!B1:F665,5,FALSE)</f>
        <v>CAR</v>
      </c>
      <c r="E66" s="54">
        <f>VLOOKUP(A66,'The List'!B1:I665,8,FALSE)</f>
        <v>353.34076548583994</v>
      </c>
      <c r="F66" s="54">
        <f>IF(Settings!$E$15="POINTS",E66-VLOOKUP(B$2,C1:E392,3,FALSE),J66)</f>
        <v>-1.233504348345889</v>
      </c>
      <c r="G66" s="54"/>
      <c r="H66" s="167">
        <f>RANK(I66,I3:I392)</f>
        <v>40</v>
      </c>
      <c r="I66" s="168">
        <f>VLOOKUP(A66,'Standard Deviations'!A1:C666,3,FALSE)</f>
        <v>6.4987790273516417</v>
      </c>
      <c r="J66" s="168">
        <f>I66-VLOOKUP(B$2,H1:J392,2,FALSE)</f>
        <v>1.6076892033941332</v>
      </c>
    </row>
    <row r="67" spans="1:10" ht="21.25" customHeight="1" x14ac:dyDescent="0.15">
      <c r="A67" s="9" t="s">
        <v>217</v>
      </c>
      <c r="B67" s="166" t="str">
        <f>VLOOKUP(A67,'The List'!B1:D665,3,FALSE)</f>
        <v>LW/RW</v>
      </c>
      <c r="C67" s="68">
        <f>IF(Settings!$E$15="POINTS",RANK(E67,E3:E392),H67)</f>
        <v>65</v>
      </c>
      <c r="D67" s="65" t="str">
        <f>VLOOKUP(A67,'The List'!B1:F665,5,FALSE)</f>
        <v>DET</v>
      </c>
      <c r="E67" s="54">
        <f>VLOOKUP(A67,'The List'!B1:I665,8,FALSE)</f>
        <v>351.0179088454758</v>
      </c>
      <c r="F67" s="54">
        <f>IF(Settings!$E$15="POINTS",E67-VLOOKUP(B$2,C1:E392,3,FALSE),J67)</f>
        <v>-3.5563609887100256</v>
      </c>
      <c r="G67" s="54"/>
      <c r="H67" s="167">
        <f>RANK(I67,I3:I392)</f>
        <v>92</v>
      </c>
      <c r="I67" s="168">
        <f>VLOOKUP(A67,'Standard Deviations'!A1:C666,3,FALSE)</f>
        <v>3.1878863486318161</v>
      </c>
      <c r="J67" s="168">
        <f>I67-VLOOKUP(B$2,H1:J392,2,FALSE)</f>
        <v>-1.7032034753256924</v>
      </c>
    </row>
    <row r="68" spans="1:10" ht="21.25" customHeight="1" x14ac:dyDescent="0.15">
      <c r="A68" s="9" t="s">
        <v>218</v>
      </c>
      <c r="B68" s="166" t="str">
        <f>VLOOKUP(A68,'The List'!B1:D665,3,FALSE)</f>
        <v>LW/RW</v>
      </c>
      <c r="C68" s="68">
        <f>IF(Settings!$E$15="POINTS",RANK(E68,E3:E392),H68)</f>
        <v>66</v>
      </c>
      <c r="D68" s="65" t="str">
        <f>VLOOKUP(A68,'The List'!B1:F665,5,FALSE)</f>
        <v>CAR</v>
      </c>
      <c r="E68" s="54">
        <f>VLOOKUP(A68,'The List'!B1:I665,8,FALSE)</f>
        <v>350.51278798656949</v>
      </c>
      <c r="F68" s="54">
        <f>IF(Settings!$E$15="POINTS",E68-VLOOKUP(B$2,C1:E392,3,FALSE),J68)</f>
        <v>-4.061481847616335</v>
      </c>
      <c r="G68" s="54"/>
      <c r="H68" s="167">
        <f>RANK(I68,I3:I392)</f>
        <v>46</v>
      </c>
      <c r="I68" s="168">
        <f>VLOOKUP(A68,'Standard Deviations'!A1:C666,3,FALSE)</f>
        <v>5.8995100982242885</v>
      </c>
      <c r="J68" s="168">
        <f>I68-VLOOKUP(B$2,H1:J392,2,FALSE)</f>
        <v>1.00842027426678</v>
      </c>
    </row>
    <row r="69" spans="1:10" ht="21.25" customHeight="1" x14ac:dyDescent="0.15">
      <c r="A69" s="9" t="s">
        <v>239</v>
      </c>
      <c r="B69" s="166" t="str">
        <f>VLOOKUP(A69,'The List'!B1:D665,3,FALSE)</f>
        <v>C</v>
      </c>
      <c r="C69" s="68">
        <f>IF(Settings!$E$15="POINTS",RANK(E69,E3:E392),H69)</f>
        <v>67</v>
      </c>
      <c r="D69" s="65" t="str">
        <f>VLOOKUP(A69,'The List'!B1:F665,5,FALSE)</f>
        <v>BUF</v>
      </c>
      <c r="E69" s="54">
        <f>VLOOKUP(A69,'The List'!B1:I665,8,FALSE)</f>
        <v>350.39841048104796</v>
      </c>
      <c r="F69" s="54">
        <f>IF(Settings!$E$15="POINTS",E69-VLOOKUP(B$2,C1:E392,3,FALSE),J69)</f>
        <v>-4.1758593531378665</v>
      </c>
      <c r="G69" s="54"/>
      <c r="H69" s="167">
        <f>RANK(I69,I3:I392)</f>
        <v>82</v>
      </c>
      <c r="I69" s="168">
        <f>VLOOKUP(A69,'Standard Deviations'!A1:C666,3,FALSE)</f>
        <v>3.8150620862710971</v>
      </c>
      <c r="J69" s="168">
        <f>I69-VLOOKUP(B$2,H1:J392,2,FALSE)</f>
        <v>-1.0760277376864114</v>
      </c>
    </row>
    <row r="70" spans="1:10" ht="21.25" customHeight="1" x14ac:dyDescent="0.15">
      <c r="A70" s="9" t="s">
        <v>248</v>
      </c>
      <c r="B70" s="166" t="str">
        <f>VLOOKUP(A70,'The List'!B1:D665,3,FALSE)</f>
        <v>C</v>
      </c>
      <c r="C70" s="68">
        <f>IF(Settings!$E$15="POINTS",RANK(E70,E3:E392),H70)</f>
        <v>68</v>
      </c>
      <c r="D70" s="65" t="str">
        <f>VLOOKUP(A70,'The List'!B1:F665,5,FALSE)</f>
        <v>WPG</v>
      </c>
      <c r="E70" s="54">
        <f>VLOOKUP(A70,'The List'!B1:I665,8,FALSE)</f>
        <v>347.51240021842267</v>
      </c>
      <c r="F70" s="54">
        <f>IF(Settings!$E$15="POINTS",E70-VLOOKUP(B$2,C1:E392,3,FALSE),J70)</f>
        <v>-7.0618696157631575</v>
      </c>
      <c r="G70" s="54"/>
      <c r="H70" s="167">
        <f>RANK(I70,I3:I392)</f>
        <v>67</v>
      </c>
      <c r="I70" s="168">
        <f>VLOOKUP(A70,'Standard Deviations'!A1:C666,3,FALSE)</f>
        <v>4.590131430559488</v>
      </c>
      <c r="J70" s="168">
        <f>I70-VLOOKUP(B$2,H1:J392,2,FALSE)</f>
        <v>-0.30095839339802044</v>
      </c>
    </row>
    <row r="71" spans="1:10" ht="21.25" customHeight="1" x14ac:dyDescent="0.15">
      <c r="A71" s="9" t="s">
        <v>222</v>
      </c>
      <c r="B71" s="166" t="str">
        <f>VLOOKUP(A71,'The List'!B1:D665,3,FALSE)</f>
        <v>RW</v>
      </c>
      <c r="C71" s="68">
        <f>IF(Settings!$E$15="POINTS",RANK(E71,E3:E392),H71)</f>
        <v>69</v>
      </c>
      <c r="D71" s="65" t="str">
        <f>VLOOKUP(A71,'The List'!B1:F665,5,FALSE)</f>
        <v>NSH</v>
      </c>
      <c r="E71" s="54">
        <f>VLOOKUP(A71,'The List'!B1:I665,8,FALSE)</f>
        <v>347.4875879832552</v>
      </c>
      <c r="F71" s="54">
        <f>IF(Settings!$E$15="POINTS",E71-VLOOKUP(B$2,C1:E392,3,FALSE),J71)</f>
        <v>-7.0866818509306313</v>
      </c>
      <c r="G71" s="54"/>
      <c r="H71" s="167">
        <f>RANK(I71,I3:I392)</f>
        <v>71</v>
      </c>
      <c r="I71" s="168">
        <f>VLOOKUP(A71,'Standard Deviations'!A1:C666,3,FALSE)</f>
        <v>4.4848331879568875</v>
      </c>
      <c r="J71" s="168">
        <f>I71-VLOOKUP(B$2,H1:J392,2,FALSE)</f>
        <v>-0.40625663600062101</v>
      </c>
    </row>
    <row r="72" spans="1:10" ht="21.25" customHeight="1" x14ac:dyDescent="0.15">
      <c r="A72" s="9" t="s">
        <v>223</v>
      </c>
      <c r="B72" s="166" t="str">
        <f>VLOOKUP(A72,'The List'!B1:D665,3,FALSE)</f>
        <v>RW</v>
      </c>
      <c r="C72" s="68">
        <f>IF(Settings!$E$15="POINTS",RANK(E72,E3:E392),H72)</f>
        <v>70</v>
      </c>
      <c r="D72" s="65" t="str">
        <f>VLOOKUP(A72,'The List'!B1:F665,5,FALSE)</f>
        <v>PIT</v>
      </c>
      <c r="E72" s="54">
        <f>VLOOKUP(A72,'The List'!B1:I665,8,FALSE)</f>
        <v>347.44960190592195</v>
      </c>
      <c r="F72" s="54">
        <f>IF(Settings!$E$15="POINTS",E72-VLOOKUP(B$2,C1:E392,3,FALSE),J72)</f>
        <v>-7.1246679282638752</v>
      </c>
      <c r="G72" s="54"/>
      <c r="H72" s="167">
        <f>RANK(I72,I3:I392)</f>
        <v>63</v>
      </c>
      <c r="I72" s="168">
        <f>VLOOKUP(A72,'Standard Deviations'!A1:C666,3,FALSE)</f>
        <v>4.8910898239575085</v>
      </c>
      <c r="J72" s="168">
        <f>I72-VLOOKUP(B$2,H1:J392,2,FALSE)</f>
        <v>0</v>
      </c>
    </row>
    <row r="73" spans="1:10" ht="21.25" customHeight="1" x14ac:dyDescent="0.15">
      <c r="A73" s="9" t="s">
        <v>249</v>
      </c>
      <c r="B73" s="166" t="str">
        <f>VLOOKUP(A73,'The List'!B1:D665,3,FALSE)</f>
        <v>C</v>
      </c>
      <c r="C73" s="68">
        <f>IF(Settings!$E$15="POINTS",RANK(E73,E3:E392),H73)</f>
        <v>71</v>
      </c>
      <c r="D73" s="65" t="str">
        <f>VLOOKUP(A73,'The List'!B1:F665,5,FALSE)</f>
        <v>BOS</v>
      </c>
      <c r="E73" s="54">
        <f>VLOOKUP(A73,'The List'!B1:I665,8,FALSE)</f>
        <v>346.24116150700775</v>
      </c>
      <c r="F73" s="54">
        <f>IF(Settings!$E$15="POINTS",E73-VLOOKUP(B$2,C1:E392,3,FALSE),J73)</f>
        <v>-8.3331083271780813</v>
      </c>
      <c r="G73" s="54"/>
      <c r="H73" s="167">
        <f>RANK(I73,I3:I392)</f>
        <v>77</v>
      </c>
      <c r="I73" s="168">
        <f>VLOOKUP(A73,'Standard Deviations'!A1:C666,3,FALSE)</f>
        <v>4.2482489821431475</v>
      </c>
      <c r="J73" s="168">
        <f>I73-VLOOKUP(B$2,H1:J392,2,FALSE)</f>
        <v>-0.64284084181436096</v>
      </c>
    </row>
    <row r="74" spans="1:10" ht="21.25" customHeight="1" x14ac:dyDescent="0.15">
      <c r="A74" s="9" t="s">
        <v>252</v>
      </c>
      <c r="B74" s="166" t="str">
        <f>VLOOKUP(A74,'The List'!B1:D665,3,FALSE)</f>
        <v>C</v>
      </c>
      <c r="C74" s="68">
        <f>IF(Settings!$E$15="POINTS",RANK(E74,E3:E392),H74)</f>
        <v>72</v>
      </c>
      <c r="D74" s="65" t="str">
        <f>VLOOKUP(A74,'The List'!B1:F665,5,FALSE)</f>
        <v>WSH</v>
      </c>
      <c r="E74" s="54">
        <f>VLOOKUP(A74,'The List'!B1:I665,8,FALSE)</f>
        <v>345.67632965586904</v>
      </c>
      <c r="F74" s="54">
        <f>IF(Settings!$E$15="POINTS",E74-VLOOKUP(B$2,C1:E392,3,FALSE),J74)</f>
        <v>-8.8979401783167873</v>
      </c>
      <c r="G74" s="54"/>
      <c r="H74" s="167">
        <f>RANK(I74,I3:I392)</f>
        <v>70</v>
      </c>
      <c r="I74" s="168">
        <f>VLOOKUP(A74,'Standard Deviations'!A1:C666,3,FALSE)</f>
        <v>4.4961144451901731</v>
      </c>
      <c r="J74" s="168">
        <f>I74-VLOOKUP(B$2,H1:J392,2,FALSE)</f>
        <v>-0.39497537876733535</v>
      </c>
    </row>
    <row r="75" spans="1:10" ht="21.25" customHeight="1" x14ac:dyDescent="0.15">
      <c r="A75" s="9" t="s">
        <v>238</v>
      </c>
      <c r="B75" s="166" t="str">
        <f>VLOOKUP(A75,'The List'!B1:D665,3,FALSE)</f>
        <v>LW</v>
      </c>
      <c r="C75" s="68">
        <f>IF(Settings!$E$15="POINTS",RANK(E75,E3:E392),H75)</f>
        <v>73</v>
      </c>
      <c r="D75" s="65" t="str">
        <f>VLOOKUP(A75,'The List'!B1:F665,5,FALSE)</f>
        <v>BOS</v>
      </c>
      <c r="E75" s="54">
        <f>VLOOKUP(A75,'The List'!B1:I665,8,FALSE)</f>
        <v>341.8917399973347</v>
      </c>
      <c r="F75" s="54">
        <f>IF(Settings!$E$15="POINTS",E75-VLOOKUP(B$2,C1:E392,3,FALSE),J75)</f>
        <v>-12.682529836851131</v>
      </c>
      <c r="G75" s="54"/>
      <c r="H75" s="167">
        <f>RANK(I75,I3:I392)</f>
        <v>56</v>
      </c>
      <c r="I75" s="168">
        <f>VLOOKUP(A75,'Standard Deviations'!A1:C666,3,FALSE)</f>
        <v>5.213668617688537</v>
      </c>
      <c r="J75" s="168">
        <f>I75-VLOOKUP(B$2,H1:J392,2,FALSE)</f>
        <v>0.32257879373102849</v>
      </c>
    </row>
    <row r="76" spans="1:10" ht="21.25" customHeight="1" x14ac:dyDescent="0.15">
      <c r="A76" s="9" t="s">
        <v>231</v>
      </c>
      <c r="B76" s="166" t="str">
        <f>VLOOKUP(A76,'The List'!B1:D665,3,FALSE)</f>
        <v>LW/RW</v>
      </c>
      <c r="C76" s="68">
        <f>IF(Settings!$E$15="POINTS",RANK(E76,E3:E392),H76)</f>
        <v>74</v>
      </c>
      <c r="D76" s="65" t="str">
        <f>VLOOKUP(A76,'The List'!B1:F665,5,FALSE)</f>
        <v>PHI</v>
      </c>
      <c r="E76" s="54">
        <f>VLOOKUP(A76,'The List'!B1:I665,8,FALSE)</f>
        <v>338.79853884258853</v>
      </c>
      <c r="F76" s="54">
        <f>IF(Settings!$E$15="POINTS",E76-VLOOKUP(B$2,C1:E392,3,FALSE),J76)</f>
        <v>-15.7757309915973</v>
      </c>
      <c r="G76" s="54"/>
      <c r="H76" s="167">
        <f>RANK(I76,I3:I392)</f>
        <v>91</v>
      </c>
      <c r="I76" s="168">
        <f>VLOOKUP(A76,'Standard Deviations'!A1:C666,3,FALSE)</f>
        <v>3.1888434956215974</v>
      </c>
      <c r="J76" s="168">
        <f>I76-VLOOKUP(B$2,H1:J392,2,FALSE)</f>
        <v>-1.7022463283359111</v>
      </c>
    </row>
    <row r="77" spans="1:10" ht="21.25" customHeight="1" x14ac:dyDescent="0.15">
      <c r="A77" s="9" t="s">
        <v>258</v>
      </c>
      <c r="B77" s="166" t="str">
        <f>VLOOKUP(A77,'The List'!B1:D665,3,FALSE)</f>
        <v>C</v>
      </c>
      <c r="C77" s="68">
        <f>IF(Settings!$E$15="POINTS",RANK(E77,E3:E392),H77)</f>
        <v>75</v>
      </c>
      <c r="D77" s="65" t="str">
        <f>VLOOKUP(A77,'The List'!B1:F665,5,FALSE)</f>
        <v>PIT</v>
      </c>
      <c r="E77" s="54">
        <f>VLOOKUP(A77,'The List'!B1:I665,8,FALSE)</f>
        <v>337.82564059107443</v>
      </c>
      <c r="F77" s="54">
        <f>IF(Settings!$E$15="POINTS",E77-VLOOKUP(B$2,C1:E392,3,FALSE),J77)</f>
        <v>-16.748629243111395</v>
      </c>
      <c r="G77" s="54"/>
      <c r="H77" s="167">
        <f>RANK(I77,I3:I392)</f>
        <v>75</v>
      </c>
      <c r="I77" s="168">
        <f>VLOOKUP(A77,'Standard Deviations'!A1:C666,3,FALSE)</f>
        <v>4.3843947180049971</v>
      </c>
      <c r="J77" s="168">
        <f>I77-VLOOKUP(B$2,H1:J392,2,FALSE)</f>
        <v>-0.50669510595251133</v>
      </c>
    </row>
    <row r="78" spans="1:10" ht="21.25" customHeight="1" x14ac:dyDescent="0.15">
      <c r="A78" s="9" t="s">
        <v>234</v>
      </c>
      <c r="B78" s="166" t="str">
        <f>VLOOKUP(A78,'The List'!B1:D665,3,FALSE)</f>
        <v>LW/RW</v>
      </c>
      <c r="C78" s="68">
        <f>IF(Settings!$E$15="POINTS",RANK(E78,E3:E392),H78)</f>
        <v>76</v>
      </c>
      <c r="D78" s="65" t="str">
        <f>VLOOKUP(A78,'The List'!B1:F665,5,FALSE)</f>
        <v>VAN</v>
      </c>
      <c r="E78" s="54">
        <f>VLOOKUP(A78,'The List'!B1:I665,8,FALSE)</f>
        <v>336.02426996003572</v>
      </c>
      <c r="F78" s="54">
        <f>IF(Settings!$E$15="POINTS",E78-VLOOKUP(B$2,C1:E392,3,FALSE),J78)</f>
        <v>-18.549999874150103</v>
      </c>
      <c r="G78" s="54"/>
      <c r="H78" s="167">
        <f>RANK(I78,I3:I392)</f>
        <v>60</v>
      </c>
      <c r="I78" s="168">
        <f>VLOOKUP(A78,'Standard Deviations'!A1:C666,3,FALSE)</f>
        <v>4.9279690609122611</v>
      </c>
      <c r="J78" s="168">
        <f>I78-VLOOKUP(B$2,H1:J392,2,FALSE)</f>
        <v>3.6879236954752592E-2</v>
      </c>
    </row>
    <row r="79" spans="1:10" ht="21.25" customHeight="1" x14ac:dyDescent="0.15">
      <c r="A79" s="9" t="s">
        <v>255</v>
      </c>
      <c r="B79" s="166" t="str">
        <f>VLOOKUP(A79,'The List'!B1:D665,3,FALSE)</f>
        <v>LW</v>
      </c>
      <c r="C79" s="68">
        <f>IF(Settings!$E$15="POINTS",RANK(E79,E3:E392),H79)</f>
        <v>77</v>
      </c>
      <c r="D79" s="65" t="str">
        <f>VLOOKUP(A79,'The List'!B1:F665,5,FALSE)</f>
        <v>WPG</v>
      </c>
      <c r="E79" s="54">
        <f>VLOOKUP(A79,'The List'!B1:I665,8,FALSE)</f>
        <v>335.52306528703303</v>
      </c>
      <c r="F79" s="54">
        <f>IF(Settings!$E$15="POINTS",E79-VLOOKUP(B$2,C1:E392,3,FALSE),J79)</f>
        <v>-19.051204547152793</v>
      </c>
      <c r="G79" s="54"/>
      <c r="H79" s="167">
        <f>RANK(I79,I3:I392)</f>
        <v>64</v>
      </c>
      <c r="I79" s="168">
        <f>VLOOKUP(A79,'Standard Deviations'!A1:C666,3,FALSE)</f>
        <v>4.8059502520906854</v>
      </c>
      <c r="J79" s="168">
        <f>I79-VLOOKUP(B$2,H1:J392,2,FALSE)</f>
        <v>-8.5139571866823083E-2</v>
      </c>
    </row>
    <row r="80" spans="1:10" ht="21.25" customHeight="1" x14ac:dyDescent="0.15">
      <c r="A80" s="9" t="s">
        <v>236</v>
      </c>
      <c r="B80" s="166" t="str">
        <f>VLOOKUP(A80,'The List'!B1:D665,3,FALSE)</f>
        <v>C/RW</v>
      </c>
      <c r="C80" s="68">
        <f>IF(Settings!$E$15="POINTS",RANK(E80,E3:E392),H80)</f>
        <v>78</v>
      </c>
      <c r="D80" s="65" t="str">
        <f>VLOOKUP(A80,'The List'!B1:F665,5,FALSE)</f>
        <v>CAR</v>
      </c>
      <c r="E80" s="54">
        <f>VLOOKUP(A80,'The List'!B1:I665,8,FALSE)</f>
        <v>332.60632585145726</v>
      </c>
      <c r="F80" s="54">
        <f>IF(Settings!$E$15="POINTS",E80-VLOOKUP(B$2,C1:E392,3,FALSE),J80)</f>
        <v>-21.967943982728571</v>
      </c>
      <c r="G80" s="54"/>
      <c r="H80" s="167">
        <f>RANK(I80,I3:I392)</f>
        <v>66</v>
      </c>
      <c r="I80" s="168">
        <f>VLOOKUP(A80,'Standard Deviations'!A1:C666,3,FALSE)</f>
        <v>4.6396819903075475</v>
      </c>
      <c r="J80" s="168">
        <f>I80-VLOOKUP(B$2,H1:J392,2,FALSE)</f>
        <v>-0.251407833649961</v>
      </c>
    </row>
    <row r="81" spans="1:10" ht="21.25" customHeight="1" x14ac:dyDescent="0.15">
      <c r="A81" s="9" t="s">
        <v>262</v>
      </c>
      <c r="B81" s="166" t="str">
        <f>VLOOKUP(A81,'The List'!B1:D665,3,FALSE)</f>
        <v>C</v>
      </c>
      <c r="C81" s="68">
        <f>IF(Settings!$E$15="POINTS",RANK(E81,E3:E392),H81)</f>
        <v>79</v>
      </c>
      <c r="D81" s="65" t="str">
        <f>VLOOKUP(A81,'The List'!B1:F665,5,FALSE)</f>
        <v>UTA</v>
      </c>
      <c r="E81" s="54">
        <f>VLOOKUP(A81,'The List'!B1:I665,8,FALSE)</f>
        <v>332.17288551324236</v>
      </c>
      <c r="F81" s="54">
        <f>IF(Settings!$E$15="POINTS",E81-VLOOKUP(B$2,C1:E392,3,FALSE),J81)</f>
        <v>-22.401384320943464</v>
      </c>
      <c r="G81" s="54"/>
      <c r="H81" s="167">
        <f>RANK(I81,I3:I392)</f>
        <v>81</v>
      </c>
      <c r="I81" s="168">
        <f>VLOOKUP(A81,'Standard Deviations'!A1:C666,3,FALSE)</f>
        <v>3.9323301523548646</v>
      </c>
      <c r="J81" s="168">
        <f>I81-VLOOKUP(B$2,H1:J392,2,FALSE)</f>
        <v>-0.95875967160264386</v>
      </c>
    </row>
    <row r="82" spans="1:10" ht="21.25" customHeight="1" x14ac:dyDescent="0.15">
      <c r="A82" s="9" t="s">
        <v>259</v>
      </c>
      <c r="B82" s="166" t="str">
        <f>VLOOKUP(A82,'The List'!B1:D665,3,FALSE)</f>
        <v>LW</v>
      </c>
      <c r="C82" s="68">
        <f>IF(Settings!$E$15="POINTS",RANK(E82,E3:E392),H82)</f>
        <v>80</v>
      </c>
      <c r="D82" s="65" t="str">
        <f>VLOOKUP(A82,'The List'!B1:F665,5,FALSE)</f>
        <v>UTA</v>
      </c>
      <c r="E82" s="54">
        <f>VLOOKUP(A82,'The List'!B1:I665,8,FALSE)</f>
        <v>328.73202163470648</v>
      </c>
      <c r="F82" s="54">
        <f>IF(Settings!$E$15="POINTS",E82-VLOOKUP(B$2,C1:E392,3,FALSE),J82)</f>
        <v>-25.842248199479343</v>
      </c>
      <c r="G82" s="54"/>
      <c r="H82" s="167">
        <f>RANK(I82,I3:I392)</f>
        <v>79</v>
      </c>
      <c r="I82" s="168">
        <f>VLOOKUP(A82,'Standard Deviations'!A1:C666,3,FALSE)</f>
        <v>4.1890248373705932</v>
      </c>
      <c r="J82" s="168">
        <f>I82-VLOOKUP(B$2,H1:J392,2,FALSE)</f>
        <v>-0.7020649865869153</v>
      </c>
    </row>
    <row r="83" spans="1:10" ht="21.25" customHeight="1" x14ac:dyDescent="0.15">
      <c r="A83" s="9" t="s">
        <v>241</v>
      </c>
      <c r="B83" s="166" t="str">
        <f>VLOOKUP(A83,'The List'!B1:D665,3,FALSE)</f>
        <v>RW</v>
      </c>
      <c r="C83" s="68">
        <f>IF(Settings!$E$15="POINTS",RANK(E83,E3:E392),H83)</f>
        <v>81</v>
      </c>
      <c r="D83" s="65" t="str">
        <f>VLOOKUP(A83,'The List'!B1:F665,5,FALSE)</f>
        <v>VAN</v>
      </c>
      <c r="E83" s="54">
        <f>VLOOKUP(A83,'The List'!B1:I665,8,FALSE)</f>
        <v>328.59762492795909</v>
      </c>
      <c r="F83" s="54">
        <f>IF(Settings!$E$15="POINTS",E83-VLOOKUP(B$2,C1:E392,3,FALSE),J83)</f>
        <v>-25.976644906226738</v>
      </c>
      <c r="G83" s="54"/>
      <c r="H83" s="167">
        <f>RANK(I83,I3:I392)</f>
        <v>59</v>
      </c>
      <c r="I83" s="168">
        <f>VLOOKUP(A83,'Standard Deviations'!A1:C666,3,FALSE)</f>
        <v>4.9517262490560618</v>
      </c>
      <c r="J83" s="168">
        <f>I83-VLOOKUP(B$2,H1:J392,2,FALSE)</f>
        <v>6.0636425098553381E-2</v>
      </c>
    </row>
    <row r="84" spans="1:10" ht="21.25" customHeight="1" x14ac:dyDescent="0.15">
      <c r="A84" s="9" t="s">
        <v>243</v>
      </c>
      <c r="B84" s="166" t="str">
        <f>VLOOKUP(A84,'The List'!B1:D665,3,FALSE)</f>
        <v>C/RW</v>
      </c>
      <c r="C84" s="68">
        <f>IF(Settings!$E$15="POINTS",RANK(E84,E3:E392),H84)</f>
        <v>82</v>
      </c>
      <c r="D84" s="65" t="str">
        <f>VLOOKUP(A84,'The List'!B1:F665,5,FALSE)</f>
        <v>ANA</v>
      </c>
      <c r="E84" s="54">
        <f>VLOOKUP(A84,'The List'!B1:I665,8,FALSE)</f>
        <v>328.29973884741958</v>
      </c>
      <c r="F84" s="54">
        <f>IF(Settings!$E$15="POINTS",E84-VLOOKUP(B$2,C1:E392,3,FALSE),J84)</f>
        <v>-26.274530986766251</v>
      </c>
      <c r="G84" s="54"/>
      <c r="H84" s="167">
        <f>RANK(I84,I3:I392)</f>
        <v>117</v>
      </c>
      <c r="I84" s="168">
        <f>VLOOKUP(A84,'Standard Deviations'!A1:C666,3,FALSE)</f>
        <v>1.9358371779552817</v>
      </c>
      <c r="J84" s="168">
        <f>I84-VLOOKUP(B$2,H1:J392,2,FALSE)</f>
        <v>-2.9552526460022266</v>
      </c>
    </row>
    <row r="85" spans="1:10" ht="21.25" customHeight="1" x14ac:dyDescent="0.15">
      <c r="A85" s="9" t="s">
        <v>245</v>
      </c>
      <c r="B85" s="166" t="str">
        <f>VLOOKUP(A85,'The List'!B1:D665,3,FALSE)</f>
        <v>RW</v>
      </c>
      <c r="C85" s="68">
        <f>IF(Settings!$E$15="POINTS",RANK(E85,E3:E392),H85)</f>
        <v>83</v>
      </c>
      <c r="D85" s="65" t="str">
        <f>VLOOKUP(A85,'The List'!B1:F665,5,FALSE)</f>
        <v>BUF</v>
      </c>
      <c r="E85" s="54">
        <f>VLOOKUP(A85,'The List'!B1:I665,8,FALSE)</f>
        <v>327.29068573031645</v>
      </c>
      <c r="F85" s="54">
        <f>IF(Settings!$E$15="POINTS",E85-VLOOKUP(B$2,C1:E392,3,FALSE),J85)</f>
        <v>-27.283584103869373</v>
      </c>
      <c r="G85" s="54"/>
      <c r="H85" s="167">
        <f>RANK(I85,I3:I392)</f>
        <v>87</v>
      </c>
      <c r="I85" s="168">
        <f>VLOOKUP(A85,'Standard Deviations'!A1:C666,3,FALSE)</f>
        <v>3.3579003618020913</v>
      </c>
      <c r="J85" s="168">
        <f>I85-VLOOKUP(B$2,H1:J392,2,FALSE)</f>
        <v>-1.5331894621554172</v>
      </c>
    </row>
    <row r="86" spans="1:10" ht="21.25" customHeight="1" x14ac:dyDescent="0.15">
      <c r="A86" s="9" t="s">
        <v>268</v>
      </c>
      <c r="B86" s="166" t="str">
        <f>VLOOKUP(A86,'The List'!B1:D665,3,FALSE)</f>
        <v>C</v>
      </c>
      <c r="C86" s="68">
        <f>IF(Settings!$E$15="POINTS",RANK(E86,E3:E392),H86)</f>
        <v>84</v>
      </c>
      <c r="D86" s="65" t="str">
        <f>VLOOKUP(A86,'The List'!B1:F665,5,FALSE)</f>
        <v>L.A</v>
      </c>
      <c r="E86" s="54">
        <f>VLOOKUP(A86,'The List'!B1:I665,8,FALSE)</f>
        <v>327.27319615067228</v>
      </c>
      <c r="F86" s="54">
        <f>IF(Settings!$E$15="POINTS",E86-VLOOKUP(B$2,C1:E392,3,FALSE),J86)</f>
        <v>-27.30107368351355</v>
      </c>
      <c r="G86" s="54"/>
      <c r="H86" s="167">
        <f>RANK(I86,I3:I392)</f>
        <v>73</v>
      </c>
      <c r="I86" s="168">
        <f>VLOOKUP(A86,'Standard Deviations'!A1:C666,3,FALSE)</f>
        <v>4.4282506236979193</v>
      </c>
      <c r="J86" s="168">
        <f>I86-VLOOKUP(B$2,H1:J392,2,FALSE)</f>
        <v>-0.46283920025958913</v>
      </c>
    </row>
    <row r="87" spans="1:10" ht="21.25" customHeight="1" x14ac:dyDescent="0.15">
      <c r="A87" s="9" t="s">
        <v>260</v>
      </c>
      <c r="B87" s="166" t="str">
        <f>VLOOKUP(A87,'The List'!B1:D665,3,FALSE)</f>
        <v>LW</v>
      </c>
      <c r="C87" s="68">
        <f>IF(Settings!$E$15="POINTS",RANK(E87,E3:E392),H87)</f>
        <v>85</v>
      </c>
      <c r="D87" s="65" t="str">
        <f>VLOOKUP(A87,'The List'!B1:F665,5,FALSE)</f>
        <v>MTL</v>
      </c>
      <c r="E87" s="54">
        <f>VLOOKUP(A87,'The List'!B1:I665,8,FALSE)</f>
        <v>326.23499279001544</v>
      </c>
      <c r="F87" s="54">
        <f>IF(Settings!$E$15="POINTS",E87-VLOOKUP(B$2,C1:E392,3,FALSE),J87)</f>
        <v>-28.339277044170387</v>
      </c>
      <c r="G87" s="54"/>
      <c r="H87" s="167">
        <f>RANK(I87,I3:I392)</f>
        <v>95</v>
      </c>
      <c r="I87" s="168">
        <f>VLOOKUP(A87,'Standard Deviations'!A1:C666,3,FALSE)</f>
        <v>2.8315418102759828</v>
      </c>
      <c r="J87" s="168">
        <f>I87-VLOOKUP(B$2,H1:J392,2,FALSE)</f>
        <v>-2.0595480136815256</v>
      </c>
    </row>
    <row r="88" spans="1:10" ht="21.25" customHeight="1" x14ac:dyDescent="0.15">
      <c r="A88" s="9" t="s">
        <v>251</v>
      </c>
      <c r="B88" s="166" t="str">
        <f>VLOOKUP(A88,'The List'!B1:D665,3,FALSE)</f>
        <v>C/RW</v>
      </c>
      <c r="C88" s="68">
        <f>IF(Settings!$E$15="POINTS",RANK(E88,E3:E392),H88)</f>
        <v>86</v>
      </c>
      <c r="D88" s="65" t="str">
        <f>VLOOKUP(A88,'The List'!B1:F665,5,FALSE)</f>
        <v>CGY</v>
      </c>
      <c r="E88" s="54">
        <f>VLOOKUP(A88,'The List'!B1:I665,8,FALSE)</f>
        <v>324.7167796629285</v>
      </c>
      <c r="F88" s="54">
        <f>IF(Settings!$E$15="POINTS",E88-VLOOKUP(B$2,C1:E392,3,FALSE),J88)</f>
        <v>-29.857490171257325</v>
      </c>
      <c r="G88" s="54"/>
      <c r="H88" s="167">
        <f>RANK(I88,I3:I392)</f>
        <v>109</v>
      </c>
      <c r="I88" s="168">
        <f>VLOOKUP(A88,'Standard Deviations'!A1:C666,3,FALSE)</f>
        <v>2.2861546248777014</v>
      </c>
      <c r="J88" s="168">
        <f>I88-VLOOKUP(B$2,H1:J392,2,FALSE)</f>
        <v>-2.6049351990798071</v>
      </c>
    </row>
    <row r="89" spans="1:10" ht="21.25" customHeight="1" x14ac:dyDescent="0.15">
      <c r="A89" s="9" t="s">
        <v>266</v>
      </c>
      <c r="B89" s="166" t="str">
        <f>VLOOKUP(A89,'The List'!B1:D665,3,FALSE)</f>
        <v>C/LW</v>
      </c>
      <c r="C89" s="68">
        <f>IF(Settings!$E$15="POINTS",RANK(E89,E3:E392),H89)</f>
        <v>87</v>
      </c>
      <c r="D89" s="65" t="str">
        <f>VLOOKUP(A89,'The List'!B1:F665,5,FALSE)</f>
        <v>CGY</v>
      </c>
      <c r="E89" s="54">
        <f>VLOOKUP(A89,'The List'!B1:I665,8,FALSE)</f>
        <v>320.48231207302712</v>
      </c>
      <c r="F89" s="54">
        <f>IF(Settings!$E$15="POINTS",E89-VLOOKUP(B$2,C1:E392,3,FALSE),J89)</f>
        <v>-34.09195776115871</v>
      </c>
      <c r="G89" s="54"/>
      <c r="H89" s="167">
        <f>RANK(I89,I3:I392)</f>
        <v>100</v>
      </c>
      <c r="I89" s="168">
        <f>VLOOKUP(A89,'Standard Deviations'!A1:C666,3,FALSE)</f>
        <v>2.6752724492476534</v>
      </c>
      <c r="J89" s="168">
        <f>I89-VLOOKUP(B$2,H1:J392,2,FALSE)</f>
        <v>-2.2158173747098551</v>
      </c>
    </row>
    <row r="90" spans="1:10" ht="21.25" customHeight="1" x14ac:dyDescent="0.15">
      <c r="A90" s="9" t="s">
        <v>275</v>
      </c>
      <c r="B90" s="166" t="str">
        <f>VLOOKUP(A90,'The List'!B1:D665,3,FALSE)</f>
        <v>C</v>
      </c>
      <c r="C90" s="68">
        <f>IF(Settings!$E$15="POINTS",RANK(E90,E3:E392),H90)</f>
        <v>88</v>
      </c>
      <c r="D90" s="65" t="str">
        <f>VLOOKUP(A90,'The List'!B1:F665,5,FALSE)</f>
        <v>VGK</v>
      </c>
      <c r="E90" s="54">
        <f>VLOOKUP(A90,'The List'!B1:I665,8,FALSE)</f>
        <v>319.91599006589149</v>
      </c>
      <c r="F90" s="54">
        <f>IF(Settings!$E$15="POINTS",E90-VLOOKUP(B$2,C1:E392,3,FALSE),J90)</f>
        <v>-34.658279768294335</v>
      </c>
      <c r="G90" s="54"/>
      <c r="H90" s="167">
        <f>RANK(I90,I3:I392)</f>
        <v>83</v>
      </c>
      <c r="I90" s="168">
        <f>VLOOKUP(A90,'Standard Deviations'!A1:C666,3,FALSE)</f>
        <v>3.7777643276011195</v>
      </c>
      <c r="J90" s="168">
        <f>I90-VLOOKUP(B$2,H1:J392,2,FALSE)</f>
        <v>-1.113325496356389</v>
      </c>
    </row>
    <row r="91" spans="1:10" ht="21.25" customHeight="1" x14ac:dyDescent="0.15">
      <c r="A91" s="9" t="s">
        <v>277</v>
      </c>
      <c r="B91" s="166" t="str">
        <f>VLOOKUP(A91,'The List'!B1:D665,3,FALSE)</f>
        <v>C</v>
      </c>
      <c r="C91" s="68">
        <f>IF(Settings!$E$15="POINTS",RANK(E91,E3:E392),H91)</f>
        <v>89</v>
      </c>
      <c r="D91" s="65" t="str">
        <f>VLOOKUP(A91,'The List'!B1:F665,5,FALSE)</f>
        <v>NSH</v>
      </c>
      <c r="E91" s="54">
        <f>VLOOKUP(A91,'The List'!B1:I665,8,FALSE)</f>
        <v>318.95498324987705</v>
      </c>
      <c r="F91" s="54">
        <f>IF(Settings!$E$15="POINTS",E91-VLOOKUP(B$2,C1:E392,3,FALSE),J91)</f>
        <v>-35.619286584308782</v>
      </c>
      <c r="G91" s="54"/>
      <c r="H91" s="167">
        <f>RANK(I91,I3:I392)</f>
        <v>78</v>
      </c>
      <c r="I91" s="168">
        <f>VLOOKUP(A91,'Standard Deviations'!A1:C666,3,FALSE)</f>
        <v>4.247121519916301</v>
      </c>
      <c r="J91" s="168">
        <f>I91-VLOOKUP(B$2,H1:J392,2,FALSE)</f>
        <v>-0.64396830404120742</v>
      </c>
    </row>
    <row r="92" spans="1:10" ht="21.25" customHeight="1" x14ac:dyDescent="0.15">
      <c r="A92" s="9" t="s">
        <v>256</v>
      </c>
      <c r="B92" s="166" t="str">
        <f>VLOOKUP(A92,'The List'!B1:D665,3,FALSE)</f>
        <v>RW</v>
      </c>
      <c r="C92" s="68">
        <f>IF(Settings!$E$15="POINTS",RANK(E92,E3:E392),H92)</f>
        <v>90</v>
      </c>
      <c r="D92" s="65" t="str">
        <f>VLOOKUP(A92,'The List'!B1:F665,5,FALSE)</f>
        <v>DET</v>
      </c>
      <c r="E92" s="54">
        <f>VLOOKUP(A92,'The List'!B1:I665,8,FALSE)</f>
        <v>318.79169757083247</v>
      </c>
      <c r="F92" s="54">
        <f>IF(Settings!$E$15="POINTS",E92-VLOOKUP(B$2,C1:E392,3,FALSE),J92)</f>
        <v>-35.782572263353359</v>
      </c>
      <c r="G92" s="54"/>
      <c r="H92" s="167">
        <f>RANK(I92,I3:I392)</f>
        <v>101</v>
      </c>
      <c r="I92" s="168">
        <f>VLOOKUP(A92,'Standard Deviations'!A1:C666,3,FALSE)</f>
        <v>2.6586913573416089</v>
      </c>
      <c r="J92" s="168">
        <f>I92-VLOOKUP(B$2,H1:J392,2,FALSE)</f>
        <v>-2.2323984666158996</v>
      </c>
    </row>
    <row r="93" spans="1:10" ht="21.25" customHeight="1" x14ac:dyDescent="0.15">
      <c r="A93" s="9" t="s">
        <v>271</v>
      </c>
      <c r="B93" s="166" t="str">
        <f>VLOOKUP(A93,'The List'!B1:D665,3,FALSE)</f>
        <v>C/LW</v>
      </c>
      <c r="C93" s="68">
        <f>IF(Settings!$E$15="POINTS",RANK(E93,E3:E392),H93)</f>
        <v>91</v>
      </c>
      <c r="D93" s="65" t="str">
        <f>VLOOKUP(A93,'The List'!B1:F665,5,FALSE)</f>
        <v>WSH</v>
      </c>
      <c r="E93" s="54">
        <f>VLOOKUP(A93,'The List'!B1:I665,8,FALSE)</f>
        <v>313.3564789996388</v>
      </c>
      <c r="F93" s="54">
        <f>IF(Settings!$E$15="POINTS",E93-VLOOKUP(B$2,C1:E392,3,FALSE),J93)</f>
        <v>-41.217790834547031</v>
      </c>
      <c r="G93" s="54"/>
      <c r="H93" s="167">
        <f>RANK(I93,I3:I392)</f>
        <v>84</v>
      </c>
      <c r="I93" s="168">
        <f>VLOOKUP(A93,'Standard Deviations'!A1:C666,3,FALSE)</f>
        <v>3.6936452878854547</v>
      </c>
      <c r="J93" s="168">
        <f>I93-VLOOKUP(B$2,H1:J392,2,FALSE)</f>
        <v>-1.1974445360720538</v>
      </c>
    </row>
    <row r="94" spans="1:10" ht="21.25" customHeight="1" x14ac:dyDescent="0.15">
      <c r="A94" s="9" t="s">
        <v>261</v>
      </c>
      <c r="B94" s="166" t="str">
        <f>VLOOKUP(A94,'The List'!B1:D665,3,FALSE)</f>
        <v>LW/RW</v>
      </c>
      <c r="C94" s="68">
        <f>IF(Settings!$E$15="POINTS",RANK(E94,E3:E392),H94)</f>
        <v>92</v>
      </c>
      <c r="D94" s="65" t="str">
        <f>VLOOKUP(A94,'The List'!B1:F665,5,FALSE)</f>
        <v>S.J</v>
      </c>
      <c r="E94" s="54">
        <f>VLOOKUP(A94,'The List'!B1:I665,8,FALSE)</f>
        <v>312.84983177776769</v>
      </c>
      <c r="F94" s="54">
        <f>IF(Settings!$E$15="POINTS",E94-VLOOKUP(B$2,C1:E392,3,FALSE),J94)</f>
        <v>-41.724438056418137</v>
      </c>
      <c r="G94" s="54"/>
      <c r="H94" s="167">
        <f>RANK(I94,I3:I392)</f>
        <v>86</v>
      </c>
      <c r="I94" s="168">
        <f>VLOOKUP(A94,'Standard Deviations'!A1:C666,3,FALSE)</f>
        <v>3.419993548211687</v>
      </c>
      <c r="J94" s="168">
        <f>I94-VLOOKUP(B$2,H1:J392,2,FALSE)</f>
        <v>-1.4710962757458215</v>
      </c>
    </row>
    <row r="95" spans="1:10" ht="21.25" customHeight="1" x14ac:dyDescent="0.15">
      <c r="A95" s="9" t="s">
        <v>263</v>
      </c>
      <c r="B95" s="166" t="str">
        <f>VLOOKUP(A95,'The List'!B1:D665,3,FALSE)</f>
        <v>C/RW</v>
      </c>
      <c r="C95" s="68">
        <f>IF(Settings!$E$15="POINTS",RANK(E95,E3:E392),H95)</f>
        <v>93</v>
      </c>
      <c r="D95" s="65" t="str">
        <f>VLOOKUP(A95,'The List'!B1:F665,5,FALSE)</f>
        <v>UTA</v>
      </c>
      <c r="E95" s="54">
        <f>VLOOKUP(A95,'The List'!B1:I665,8,FALSE)</f>
        <v>309.11075443473175</v>
      </c>
      <c r="F95" s="54">
        <f>IF(Settings!$E$15="POINTS",E95-VLOOKUP(B$2,C1:E392,3,FALSE),J95)</f>
        <v>-45.463515399454081</v>
      </c>
      <c r="G95" s="54"/>
      <c r="H95" s="167">
        <f>RANK(I95,I3:I392)</f>
        <v>94</v>
      </c>
      <c r="I95" s="168">
        <f>VLOOKUP(A95,'Standard Deviations'!A1:C666,3,FALSE)</f>
        <v>2.9378643738990307</v>
      </c>
      <c r="J95" s="168">
        <f>I95-VLOOKUP(B$2,H1:J392,2,FALSE)</f>
        <v>-1.9532254500584778</v>
      </c>
    </row>
    <row r="96" spans="1:10" ht="21.25" customHeight="1" x14ac:dyDescent="0.15">
      <c r="A96" s="9" t="s">
        <v>287</v>
      </c>
      <c r="B96" s="166" t="str">
        <f>VLOOKUP(A96,'The List'!B1:D665,3,FALSE)</f>
        <v>C</v>
      </c>
      <c r="C96" s="68">
        <f>IF(Settings!$E$15="POINTS",RANK(E96,E3:E392),H96)</f>
        <v>94</v>
      </c>
      <c r="D96" s="65" t="str">
        <f>VLOOKUP(A96,'The List'!B1:F665,5,FALSE)</f>
        <v>ANA</v>
      </c>
      <c r="E96" s="54">
        <f>VLOOKUP(A96,'The List'!B1:I665,8,FALSE)</f>
        <v>308.93797689844052</v>
      </c>
      <c r="F96" s="54">
        <f>IF(Settings!$E$15="POINTS",E96-VLOOKUP(B$2,C1:E392,3,FALSE),J96)</f>
        <v>-45.636292935745303</v>
      </c>
      <c r="G96" s="54"/>
      <c r="H96" s="167">
        <f>RANK(I96,I3:I392)</f>
        <v>138</v>
      </c>
      <c r="I96" s="168">
        <f>VLOOKUP(A96,'Standard Deviations'!A1:C666,3,FALSE)</f>
        <v>0.91117606919833438</v>
      </c>
      <c r="J96" s="168">
        <f>I96-VLOOKUP(B$2,H1:J392,2,FALSE)</f>
        <v>-3.9799137547591741</v>
      </c>
    </row>
    <row r="97" spans="1:10" ht="21.25" customHeight="1" x14ac:dyDescent="0.15">
      <c r="A97" s="9" t="s">
        <v>264</v>
      </c>
      <c r="B97" s="166" t="str">
        <f>VLOOKUP(A97,'The List'!B1:D665,3,FALSE)</f>
        <v>LW/RW</v>
      </c>
      <c r="C97" s="68">
        <f>IF(Settings!$E$15="POINTS",RANK(E97,E3:E392),H97)</f>
        <v>95</v>
      </c>
      <c r="D97" s="65" t="str">
        <f>VLOOKUP(A97,'The List'!B1:F665,5,FALSE)</f>
        <v>NYR</v>
      </c>
      <c r="E97" s="54">
        <f>VLOOKUP(A97,'The List'!B1:I665,8,FALSE)</f>
        <v>308.82845350902903</v>
      </c>
      <c r="F97" s="54">
        <f>IF(Settings!$E$15="POINTS",E97-VLOOKUP(B$2,C1:E392,3,FALSE),J97)</f>
        <v>-45.745816325156795</v>
      </c>
      <c r="G97" s="54"/>
      <c r="H97" s="167">
        <f>RANK(I97,I3:I392)</f>
        <v>90</v>
      </c>
      <c r="I97" s="168">
        <f>VLOOKUP(A97,'Standard Deviations'!A1:C666,3,FALSE)</f>
        <v>3.2369639719436734</v>
      </c>
      <c r="J97" s="168">
        <f>I97-VLOOKUP(B$2,H1:J392,2,FALSE)</f>
        <v>-1.6541258520138351</v>
      </c>
    </row>
    <row r="98" spans="1:10" ht="21.25" customHeight="1" x14ac:dyDescent="0.15">
      <c r="A98" s="9" t="s">
        <v>265</v>
      </c>
      <c r="B98" s="166" t="str">
        <f>VLOOKUP(A98,'The List'!B1:D665,3,FALSE)</f>
        <v>RW</v>
      </c>
      <c r="C98" s="68">
        <f>IF(Settings!$E$15="POINTS",RANK(E98,E3:E392),H98)</f>
        <v>96</v>
      </c>
      <c r="D98" s="65" t="str">
        <f>VLOOKUP(A98,'The List'!B1:F665,5,FALSE)</f>
        <v>OTT</v>
      </c>
      <c r="E98" s="54">
        <f>VLOOKUP(A98,'The List'!B1:I665,8,FALSE)</f>
        <v>308.3794654198133</v>
      </c>
      <c r="F98" s="54">
        <f>IF(Settings!$E$15="POINTS",E98-VLOOKUP(B$2,C1:E392,3,FALSE),J98)</f>
        <v>-46.194804414372527</v>
      </c>
      <c r="G98" s="54"/>
      <c r="H98" s="167">
        <f>RANK(I98,I3:I392)</f>
        <v>104</v>
      </c>
      <c r="I98" s="168">
        <f>VLOOKUP(A98,'Standard Deviations'!A1:C666,3,FALSE)</f>
        <v>2.5507572314475628</v>
      </c>
      <c r="J98" s="168">
        <f>I98-VLOOKUP(B$2,H1:J392,2,FALSE)</f>
        <v>-2.3403325925099456</v>
      </c>
    </row>
    <row r="99" spans="1:10" ht="21.25" customHeight="1" x14ac:dyDescent="0.15">
      <c r="A99" s="9" t="s">
        <v>270</v>
      </c>
      <c r="B99" s="166" t="str">
        <f>VLOOKUP(A99,'The List'!B1:D665,3,FALSE)</f>
        <v>LW/RW</v>
      </c>
      <c r="C99" s="68">
        <f>IF(Settings!$E$15="POINTS",RANK(E99,E3:E392),H99)</f>
        <v>97</v>
      </c>
      <c r="D99" s="65" t="str">
        <f>VLOOKUP(A99,'The List'!B1:F665,5,FALSE)</f>
        <v>OTT</v>
      </c>
      <c r="E99" s="54">
        <f>VLOOKUP(A99,'The List'!B1:I665,8,FALSE)</f>
        <v>302.18187008004935</v>
      </c>
      <c r="F99" s="54">
        <f>IF(Settings!$E$15="POINTS",E99-VLOOKUP(B$2,C1:E392,3,FALSE),J99)</f>
        <v>-52.392399754136477</v>
      </c>
      <c r="G99" s="54"/>
      <c r="H99" s="167">
        <f>RANK(I99,I3:I392)</f>
        <v>108</v>
      </c>
      <c r="I99" s="168">
        <f>VLOOKUP(A99,'Standard Deviations'!A1:C666,3,FALSE)</f>
        <v>2.3674654476306349</v>
      </c>
      <c r="J99" s="168">
        <f>I99-VLOOKUP(B$2,H1:J392,2,FALSE)</f>
        <v>-2.5236243763268735</v>
      </c>
    </row>
    <row r="100" spans="1:10" ht="21.25" customHeight="1" x14ac:dyDescent="0.15">
      <c r="A100" s="9" t="s">
        <v>286</v>
      </c>
      <c r="B100" s="166" t="str">
        <f>VLOOKUP(A100,'The List'!B1:D665,3,FALSE)</f>
        <v>LW</v>
      </c>
      <c r="C100" s="68">
        <f>IF(Settings!$E$15="POINTS",RANK(E100,E3:E392),H100)</f>
        <v>98</v>
      </c>
      <c r="D100" s="65" t="str">
        <f>VLOOKUP(A100,'The List'!B1:F665,5,FALSE)</f>
        <v>DAL</v>
      </c>
      <c r="E100" s="54">
        <f>VLOOKUP(A100,'The List'!B1:I665,8,FALSE)</f>
        <v>302.17122199964376</v>
      </c>
      <c r="F100" s="54">
        <f>IF(Settings!$E$15="POINTS",E100-VLOOKUP(B$2,C1:E392,3,FALSE),J100)</f>
        <v>-52.403047834542065</v>
      </c>
      <c r="G100" s="54"/>
      <c r="H100" s="167">
        <f>RANK(I100,I3:I392)</f>
        <v>76</v>
      </c>
      <c r="I100" s="168">
        <f>VLOOKUP(A100,'Standard Deviations'!A1:C666,3,FALSE)</f>
        <v>4.3005870489617699</v>
      </c>
      <c r="J100" s="168">
        <f>I100-VLOOKUP(B$2,H1:J392,2,FALSE)</f>
        <v>-0.59050277499573856</v>
      </c>
    </row>
    <row r="101" spans="1:10" ht="21.25" customHeight="1" x14ac:dyDescent="0.15">
      <c r="A101" s="9" t="s">
        <v>272</v>
      </c>
      <c r="B101" s="166" t="str">
        <f>VLOOKUP(A101,'The List'!B1:D665,3,FALSE)</f>
        <v>LW/RW</v>
      </c>
      <c r="C101" s="68">
        <f>IF(Settings!$E$15="POINTS",RANK(E101,E3:E392),H101)</f>
        <v>99</v>
      </c>
      <c r="D101" s="65" t="str">
        <f>VLOOKUP(A101,'The List'!B1:F665,5,FALSE)</f>
        <v>CHI</v>
      </c>
      <c r="E101" s="54">
        <f>VLOOKUP(A101,'The List'!B1:I665,8,FALSE)</f>
        <v>300.77951234858818</v>
      </c>
      <c r="F101" s="54">
        <f>IF(Settings!$E$15="POINTS",E101-VLOOKUP(B$2,C1:E392,3,FALSE),J101)</f>
        <v>-53.794757485597643</v>
      </c>
      <c r="G101" s="54"/>
      <c r="H101" s="167">
        <f>RANK(I101,I3:I392)</f>
        <v>80</v>
      </c>
      <c r="I101" s="168">
        <f>VLOOKUP(A101,'Standard Deviations'!A1:C666,3,FALSE)</f>
        <v>4.0837809381379886</v>
      </c>
      <c r="J101" s="168">
        <f>I101-VLOOKUP(B$2,H1:J392,2,FALSE)</f>
        <v>-0.80730888581951987</v>
      </c>
    </row>
    <row r="102" spans="1:10" ht="21.25" customHeight="1" x14ac:dyDescent="0.15">
      <c r="A102" s="9" t="s">
        <v>293</v>
      </c>
      <c r="B102" s="166" t="str">
        <f>VLOOKUP(A102,'The List'!B1:D665,3,FALSE)</f>
        <v>C/LW</v>
      </c>
      <c r="C102" s="68">
        <f>IF(Settings!$E$15="POINTS",RANK(E102,E3:E392),H102)</f>
        <v>100</v>
      </c>
      <c r="D102" s="65" t="str">
        <f>VLOOKUP(A102,'The List'!B1:F665,5,FALSE)</f>
        <v>ANA</v>
      </c>
      <c r="E102" s="54">
        <f>VLOOKUP(A102,'The List'!B1:I665,8,FALSE)</f>
        <v>297.58783965303007</v>
      </c>
      <c r="F102" s="54">
        <f>IF(Settings!$E$15="POINTS",E102-VLOOKUP(B$2,C1:E392,3,FALSE),J102)</f>
        <v>-56.986430181155754</v>
      </c>
      <c r="G102" s="54"/>
      <c r="H102" s="167">
        <f>RANK(I102,I3:I392)</f>
        <v>152</v>
      </c>
      <c r="I102" s="168">
        <f>VLOOKUP(A102,'Standard Deviations'!A1:C666,3,FALSE)</f>
        <v>0.5250145497715315</v>
      </c>
      <c r="J102" s="168">
        <f>I102-VLOOKUP(B$2,H1:J392,2,FALSE)</f>
        <v>-4.3660752741859774</v>
      </c>
    </row>
    <row r="103" spans="1:10" ht="21.25" customHeight="1" x14ac:dyDescent="0.15">
      <c r="A103" s="9" t="s">
        <v>303</v>
      </c>
      <c r="B103" s="166" t="str">
        <f>VLOOKUP(A103,'The List'!B1:D665,3,FALSE)</f>
        <v>C</v>
      </c>
      <c r="C103" s="68">
        <f>IF(Settings!$E$15="POINTS",RANK(E103,E3:E392),H103)</f>
        <v>101</v>
      </c>
      <c r="D103" s="65" t="str">
        <f>VLOOKUP(A103,'The List'!B1:F665,5,FALSE)</f>
        <v>S.J</v>
      </c>
      <c r="E103" s="54">
        <f>VLOOKUP(A103,'The List'!B1:I665,8,FALSE)</f>
        <v>296.53031707317069</v>
      </c>
      <c r="F103" s="54">
        <f>IF(Settings!$E$15="POINTS",E103-VLOOKUP(B$2,C1:E392,3,FALSE),J103)</f>
        <v>-58.043952761015134</v>
      </c>
      <c r="G103" s="54"/>
      <c r="H103" s="167">
        <f>RANK(I103,I3:I392)</f>
        <v>131</v>
      </c>
      <c r="I103" s="168">
        <f>VLOOKUP(A103,'Standard Deviations'!A1:C666,3,FALSE)</f>
        <v>1.1150049457437559</v>
      </c>
      <c r="J103" s="168">
        <f>I103-VLOOKUP(B$2,H1:J392,2,FALSE)</f>
        <v>-3.7760848782137524</v>
      </c>
    </row>
    <row r="104" spans="1:10" ht="21.25" customHeight="1" x14ac:dyDescent="0.15">
      <c r="A104" s="9" t="s">
        <v>295</v>
      </c>
      <c r="B104" s="166" t="str">
        <f>VLOOKUP(A104,'The List'!B1:D665,3,FALSE)</f>
        <v>LW</v>
      </c>
      <c r="C104" s="68">
        <f>IF(Settings!$E$15="POINTS",RANK(E104,E3:E392),H104)</f>
        <v>102</v>
      </c>
      <c r="D104" s="65" t="str">
        <f>VLOOKUP(A104,'The List'!B1:F665,5,FALSE)</f>
        <v>MTL</v>
      </c>
      <c r="E104" s="54">
        <f>VLOOKUP(A104,'The List'!B1:I665,8,FALSE)</f>
        <v>295.85403258294076</v>
      </c>
      <c r="F104" s="54">
        <f>IF(Settings!$E$15="POINTS",E104-VLOOKUP(B$2,C1:E392,3,FALSE),J104)</f>
        <v>-58.720237251245067</v>
      </c>
      <c r="G104" s="54"/>
      <c r="H104" s="167">
        <f>RANK(I104,I3:I392)</f>
        <v>130</v>
      </c>
      <c r="I104" s="168">
        <f>VLOOKUP(A104,'Standard Deviations'!A1:C666,3,FALSE)</f>
        <v>1.1421230603094681</v>
      </c>
      <c r="J104" s="168">
        <f>I104-VLOOKUP(B$2,H1:J392,2,FALSE)</f>
        <v>-3.7489667636480402</v>
      </c>
    </row>
    <row r="105" spans="1:10" ht="21.25" customHeight="1" x14ac:dyDescent="0.15">
      <c r="A105" s="9" t="s">
        <v>304</v>
      </c>
      <c r="B105" s="166" t="str">
        <f>VLOOKUP(A105,'The List'!B1:D665,3,FALSE)</f>
        <v>C</v>
      </c>
      <c r="C105" s="68">
        <f>IF(Settings!$E$15="POINTS",RANK(E105,E3:E392),H105)</f>
        <v>103</v>
      </c>
      <c r="D105" s="65" t="str">
        <f>VLOOKUP(A105,'The List'!B1:F665,5,FALSE)</f>
        <v>L.A</v>
      </c>
      <c r="E105" s="54">
        <f>VLOOKUP(A105,'The List'!B1:I665,8,FALSE)</f>
        <v>295.21854070493464</v>
      </c>
      <c r="F105" s="54">
        <f>IF(Settings!$E$15="POINTS",E105-VLOOKUP(B$2,C1:E392,3,FALSE),J105)</f>
        <v>-59.355729129251188</v>
      </c>
      <c r="G105" s="54"/>
      <c r="H105" s="167">
        <f>RANK(I105,I3:I392)</f>
        <v>88</v>
      </c>
      <c r="I105" s="168">
        <f>VLOOKUP(A105,'Standard Deviations'!A1:C666,3,FALSE)</f>
        <v>3.2710141463107627</v>
      </c>
      <c r="J105" s="168">
        <f>I105-VLOOKUP(B$2,H1:J392,2,FALSE)</f>
        <v>-1.6200756776467458</v>
      </c>
    </row>
    <row r="106" spans="1:10" ht="21.25" customHeight="1" x14ac:dyDescent="0.15">
      <c r="A106" s="9" t="s">
        <v>299</v>
      </c>
      <c r="B106" s="166" t="str">
        <f>VLOOKUP(A106,'The List'!B1:D665,3,FALSE)</f>
        <v>C/LW</v>
      </c>
      <c r="C106" s="68">
        <f>IF(Settings!$E$15="POINTS",RANK(E106,E3:E392),H106)</f>
        <v>104</v>
      </c>
      <c r="D106" s="65" t="str">
        <f>VLOOKUP(A106,'The List'!B1:F665,5,FALSE)</f>
        <v>CBJ</v>
      </c>
      <c r="E106" s="54">
        <f>VLOOKUP(A106,'The List'!B1:I665,8,FALSE)</f>
        <v>292.05147270563117</v>
      </c>
      <c r="F106" s="54">
        <f>IF(Settings!$E$15="POINTS",E106-VLOOKUP(B$2,C1:E392,3,FALSE),J106)</f>
        <v>-62.522797128554657</v>
      </c>
      <c r="G106" s="54"/>
      <c r="H106" s="167">
        <f>RANK(I106,I3:I392)</f>
        <v>135</v>
      </c>
      <c r="I106" s="168">
        <f>VLOOKUP(A106,'Standard Deviations'!A1:C666,3,FALSE)</f>
        <v>0.95832395621363253</v>
      </c>
      <c r="J106" s="168">
        <f>I106-VLOOKUP(B$2,H1:J392,2,FALSE)</f>
        <v>-3.9327658677438757</v>
      </c>
    </row>
    <row r="107" spans="1:10" ht="21.25" customHeight="1" x14ac:dyDescent="0.15">
      <c r="A107" s="9" t="s">
        <v>300</v>
      </c>
      <c r="B107" s="166" t="str">
        <f>VLOOKUP(A107,'The List'!B1:D665,3,FALSE)</f>
        <v>LW</v>
      </c>
      <c r="C107" s="68">
        <f>IF(Settings!$E$15="POINTS",RANK(E107,E3:E392),H107)</f>
        <v>105</v>
      </c>
      <c r="D107" s="65" t="str">
        <f>VLOOKUP(A107,'The List'!B1:F665,5,FALSE)</f>
        <v>PIT</v>
      </c>
      <c r="E107" s="54">
        <f>VLOOKUP(A107,'The List'!B1:I665,8,FALSE)</f>
        <v>290.67681727152728</v>
      </c>
      <c r="F107" s="54">
        <f>IF(Settings!$E$15="POINTS",E107-VLOOKUP(B$2,C1:E392,3,FALSE),J107)</f>
        <v>-63.897452562658543</v>
      </c>
      <c r="G107" s="54"/>
      <c r="H107" s="167">
        <f>RANK(I107,I3:I392)</f>
        <v>103</v>
      </c>
      <c r="I107" s="168">
        <f>VLOOKUP(A107,'Standard Deviations'!A1:C666,3,FALSE)</f>
        <v>2.6247847621562221</v>
      </c>
      <c r="J107" s="168">
        <f>I107-VLOOKUP(B$2,H1:J392,2,FALSE)</f>
        <v>-2.2663050618012863</v>
      </c>
    </row>
    <row r="108" spans="1:10" ht="21.25" customHeight="1" x14ac:dyDescent="0.15">
      <c r="A108" s="9" t="s">
        <v>312</v>
      </c>
      <c r="B108" s="166" t="str">
        <f>VLOOKUP(A108,'The List'!B1:D665,3,FALSE)</f>
        <v>C</v>
      </c>
      <c r="C108" s="68">
        <f>IF(Settings!$E$15="POINTS",RANK(E108,E3:E392),H108)</f>
        <v>106</v>
      </c>
      <c r="D108" s="65" t="str">
        <f>VLOOKUP(A108,'The List'!B1:F665,5,FALSE)</f>
        <v>SEA</v>
      </c>
      <c r="E108" s="54">
        <f>VLOOKUP(A108,'The List'!B1:I665,8,FALSE)</f>
        <v>289.05546525413826</v>
      </c>
      <c r="F108" s="54">
        <f>IF(Settings!$E$15="POINTS",E108-VLOOKUP(B$2,C1:E392,3,FALSE),J108)</f>
        <v>-65.518804580047572</v>
      </c>
      <c r="G108" s="54"/>
      <c r="H108" s="167">
        <f>RANK(I108,I3:I392)</f>
        <v>110</v>
      </c>
      <c r="I108" s="168">
        <f>VLOOKUP(A108,'Standard Deviations'!A1:C666,3,FALSE)</f>
        <v>2.2454593220099377</v>
      </c>
      <c r="J108" s="168">
        <f>I108-VLOOKUP(B$2,H1:J392,2,FALSE)</f>
        <v>-2.6456305019475708</v>
      </c>
    </row>
    <row r="109" spans="1:10" ht="21.25" customHeight="1" x14ac:dyDescent="0.15">
      <c r="A109" s="9" t="s">
        <v>288</v>
      </c>
      <c r="B109" s="166" t="str">
        <f>VLOOKUP(A109,'The List'!B1:D665,3,FALSE)</f>
        <v>RW</v>
      </c>
      <c r="C109" s="68">
        <f>IF(Settings!$E$15="POINTS",RANK(E109,E3:E392),H109)</f>
        <v>107</v>
      </c>
      <c r="D109" s="65" t="str">
        <f>VLOOKUP(A109,'The List'!B1:F665,5,FALSE)</f>
        <v>VGK</v>
      </c>
      <c r="E109" s="54">
        <f>VLOOKUP(A109,'The List'!B1:I665,8,FALSE)</f>
        <v>287.15713062205958</v>
      </c>
      <c r="F109" s="54">
        <f>IF(Settings!$E$15="POINTS",E109-VLOOKUP(B$2,C1:E392,3,FALSE),J109)</f>
        <v>-67.417139212126244</v>
      </c>
      <c r="G109" s="54"/>
      <c r="H109" s="167">
        <f>RANK(I109,I3:I392)</f>
        <v>99</v>
      </c>
      <c r="I109" s="168">
        <f>VLOOKUP(A109,'Standard Deviations'!A1:C666,3,FALSE)</f>
        <v>2.7258808049818457</v>
      </c>
      <c r="J109" s="168">
        <f>I109-VLOOKUP(B$2,H1:J392,2,FALSE)</f>
        <v>-2.1652090189756628</v>
      </c>
    </row>
    <row r="110" spans="1:10" ht="21.25" customHeight="1" x14ac:dyDescent="0.15">
      <c r="A110" s="9" t="s">
        <v>316</v>
      </c>
      <c r="B110" s="166" t="str">
        <f>VLOOKUP(A110,'The List'!B1:D665,3,FALSE)</f>
        <v>C</v>
      </c>
      <c r="C110" s="68">
        <f>IF(Settings!$E$15="POINTS",RANK(E110,E3:E392),H110)</f>
        <v>108</v>
      </c>
      <c r="D110" s="65" t="str">
        <f>VLOOKUP(A110,'The List'!B1:F665,5,FALSE)</f>
        <v>ANA</v>
      </c>
      <c r="E110" s="54">
        <f>VLOOKUP(A110,'The List'!B1:I665,8,FALSE)</f>
        <v>286.91246733758169</v>
      </c>
      <c r="F110" s="54">
        <f>IF(Settings!$E$15="POINTS",E110-VLOOKUP(B$2,C1:E392,3,FALSE),J110)</f>
        <v>-67.661802496604139</v>
      </c>
      <c r="G110" s="54"/>
      <c r="H110" s="167">
        <f>RANK(I110,I3:I392)</f>
        <v>151</v>
      </c>
      <c r="I110" s="168">
        <f>VLOOKUP(A110,'Standard Deviations'!A1:C666,3,FALSE)</f>
        <v>0.57680677596721308</v>
      </c>
      <c r="J110" s="168">
        <f>I110-VLOOKUP(B$2,H1:J392,2,FALSE)</f>
        <v>-4.3142830479902958</v>
      </c>
    </row>
    <row r="111" spans="1:10" ht="21.25" customHeight="1" x14ac:dyDescent="0.15">
      <c r="A111" s="9" t="s">
        <v>289</v>
      </c>
      <c r="B111" s="166" t="str">
        <f>VLOOKUP(A111,'The List'!B1:D665,3,FALSE)</f>
        <v>RW</v>
      </c>
      <c r="C111" s="68">
        <f>IF(Settings!$E$15="POINTS",RANK(E111,E3:E392),H111)</f>
        <v>109</v>
      </c>
      <c r="D111" s="65" t="str">
        <f>VLOOKUP(A111,'The List'!B1:F665,5,FALSE)</f>
        <v>MIN</v>
      </c>
      <c r="E111" s="54">
        <f>VLOOKUP(A111,'The List'!B1:I665,8,FALSE)</f>
        <v>286.82722316224573</v>
      </c>
      <c r="F111" s="54">
        <f>IF(Settings!$E$15="POINTS",E111-VLOOKUP(B$2,C1:E392,3,FALSE),J111)</f>
        <v>-67.747046671940097</v>
      </c>
      <c r="G111" s="54"/>
      <c r="H111" s="167">
        <f>RANK(I111,I3:I392)</f>
        <v>102</v>
      </c>
      <c r="I111" s="168">
        <f>VLOOKUP(A111,'Standard Deviations'!A1:C666,3,FALSE)</f>
        <v>2.6542178331785822</v>
      </c>
      <c r="J111" s="168">
        <f>I111-VLOOKUP(B$2,H1:J392,2,FALSE)</f>
        <v>-2.2368719907789263</v>
      </c>
    </row>
    <row r="112" spans="1:10" ht="21.25" customHeight="1" x14ac:dyDescent="0.15">
      <c r="A112" s="9" t="s">
        <v>318</v>
      </c>
      <c r="B112" s="166" t="str">
        <f>VLOOKUP(A112,'The List'!B1:D665,3,FALSE)</f>
        <v>C</v>
      </c>
      <c r="C112" s="68">
        <f>IF(Settings!$E$15="POINTS",RANK(E112,E3:E392),H112)</f>
        <v>110</v>
      </c>
      <c r="D112" s="65" t="str">
        <f>VLOOKUP(A112,'The List'!B1:F665,5,FALSE)</f>
        <v>VGK</v>
      </c>
      <c r="E112" s="54">
        <f>VLOOKUP(A112,'The List'!B1:I665,8,FALSE)</f>
        <v>286.81451402447391</v>
      </c>
      <c r="F112" s="54">
        <f>IF(Settings!$E$15="POINTS",E112-VLOOKUP(B$2,C1:E392,3,FALSE),J112)</f>
        <v>-67.759755809711919</v>
      </c>
      <c r="G112" s="54"/>
      <c r="H112" s="167">
        <f>RANK(I112,I3:I392)</f>
        <v>98</v>
      </c>
      <c r="I112" s="168">
        <f>VLOOKUP(A112,'Standard Deviations'!A1:C666,3,FALSE)</f>
        <v>2.7752504672382341</v>
      </c>
      <c r="J112" s="168">
        <f>I112-VLOOKUP(B$2,H1:J392,2,FALSE)</f>
        <v>-2.1158393567192744</v>
      </c>
    </row>
    <row r="113" spans="1:10" ht="21.25" customHeight="1" x14ac:dyDescent="0.15">
      <c r="A113" s="9" t="s">
        <v>319</v>
      </c>
      <c r="B113" s="166" t="str">
        <f>VLOOKUP(A113,'The List'!B1:D665,3,FALSE)</f>
        <v>C</v>
      </c>
      <c r="C113" s="68">
        <f>IF(Settings!$E$15="POINTS",RANK(E113,E3:E392),H113)</f>
        <v>111</v>
      </c>
      <c r="D113" s="65" t="str">
        <f>VLOOKUP(A113,'The List'!B1:F665,5,FALSE)</f>
        <v>CBJ</v>
      </c>
      <c r="E113" s="54">
        <f>VLOOKUP(A113,'The List'!B1:I665,8,FALSE)</f>
        <v>285.94640307741395</v>
      </c>
      <c r="F113" s="54">
        <f>IF(Settings!$E$15="POINTS",E113-VLOOKUP(B$2,C1:E392,3,FALSE),J113)</f>
        <v>-68.62786675677188</v>
      </c>
      <c r="G113" s="54"/>
      <c r="H113" s="167">
        <f>RANK(I113,I3:I392)</f>
        <v>169</v>
      </c>
      <c r="I113" s="168">
        <f>VLOOKUP(A113,'Standard Deviations'!A1:C666,3,FALSE)</f>
        <v>-4.7440966549971986E-2</v>
      </c>
      <c r="J113" s="168">
        <f>I113-VLOOKUP(B$2,H1:J392,2,FALSE)</f>
        <v>-4.93853079050748</v>
      </c>
    </row>
    <row r="114" spans="1:10" ht="21.25" customHeight="1" x14ac:dyDescent="0.15">
      <c r="A114" s="9" t="s">
        <v>294</v>
      </c>
      <c r="B114" s="166" t="str">
        <f>VLOOKUP(A114,'The List'!B1:D665,3,FALSE)</f>
        <v>C/RW</v>
      </c>
      <c r="C114" s="68">
        <f>IF(Settings!$E$15="POINTS",RANK(E114,E3:E392),H114)</f>
        <v>112</v>
      </c>
      <c r="D114" s="65" t="str">
        <f>VLOOKUP(A114,'The List'!B1:F665,5,FALSE)</f>
        <v>DAL</v>
      </c>
      <c r="E114" s="54">
        <f>VLOOKUP(A114,'The List'!B1:I665,8,FALSE)</f>
        <v>285.0725543643324</v>
      </c>
      <c r="F114" s="54">
        <f>IF(Settings!$E$15="POINTS",E114-VLOOKUP(B$2,C1:E392,3,FALSE),J114)</f>
        <v>-69.501715469853423</v>
      </c>
      <c r="G114" s="54"/>
      <c r="H114" s="167">
        <f>RANK(I114,I3:I392)</f>
        <v>89</v>
      </c>
      <c r="I114" s="168">
        <f>VLOOKUP(A114,'Standard Deviations'!A1:C666,3,FALSE)</f>
        <v>3.2584222978080772</v>
      </c>
      <c r="J114" s="168">
        <f>I114-VLOOKUP(B$2,H1:J392,2,FALSE)</f>
        <v>-1.6326675261494312</v>
      </c>
    </row>
    <row r="115" spans="1:10" ht="21.25" customHeight="1" x14ac:dyDescent="0.15">
      <c r="A115" s="9" t="s">
        <v>306</v>
      </c>
      <c r="B115" s="166" t="str">
        <f>VLOOKUP(A115,'The List'!B1:D665,3,FALSE)</f>
        <v>LW</v>
      </c>
      <c r="C115" s="68">
        <f>IF(Settings!$E$15="POINTS",RANK(E115,E3:E392),H115)</f>
        <v>113</v>
      </c>
      <c r="D115" s="65" t="str">
        <f>VLOOKUP(A115,'The List'!B1:F665,5,FALSE)</f>
        <v>CHI</v>
      </c>
      <c r="E115" s="54">
        <f>VLOOKUP(A115,'The List'!B1:I665,8,FALSE)</f>
        <v>283.84522248669191</v>
      </c>
      <c r="F115" s="54">
        <f>IF(Settings!$E$15="POINTS",E115-VLOOKUP(B$2,C1:E392,3,FALSE),J115)</f>
        <v>-70.729047347493918</v>
      </c>
      <c r="G115" s="54"/>
      <c r="H115" s="167">
        <f>RANK(I115,I3:I392)</f>
        <v>107</v>
      </c>
      <c r="I115" s="168">
        <f>VLOOKUP(A115,'Standard Deviations'!A1:C666,3,FALSE)</f>
        <v>2.4330419985330338</v>
      </c>
      <c r="J115" s="168">
        <f>I115-VLOOKUP(B$2,H1:J392,2,FALSE)</f>
        <v>-2.4580478254244746</v>
      </c>
    </row>
    <row r="116" spans="1:10" ht="21.25" customHeight="1" x14ac:dyDescent="0.15">
      <c r="A116" s="9" t="s">
        <v>296</v>
      </c>
      <c r="B116" s="166" t="str">
        <f>VLOOKUP(A116,'The List'!B1:D665,3,FALSE)</f>
        <v>LW/RW</v>
      </c>
      <c r="C116" s="68">
        <f>IF(Settings!$E$15="POINTS",RANK(E116,E3:E392),H116)</f>
        <v>114</v>
      </c>
      <c r="D116" s="65" t="str">
        <f>VLOOKUP(A116,'The List'!B1:F665,5,FALSE)</f>
        <v>L.A</v>
      </c>
      <c r="E116" s="54">
        <f>VLOOKUP(A116,'The List'!B1:I665,8,FALSE)</f>
        <v>283.62556590770259</v>
      </c>
      <c r="F116" s="54">
        <f>IF(Settings!$E$15="POINTS",E116-VLOOKUP(B$2,C1:E392,3,FALSE),J116)</f>
        <v>-70.948703926483233</v>
      </c>
      <c r="G116" s="54"/>
      <c r="H116" s="167">
        <f>RANK(I116,I3:I392)</f>
        <v>105</v>
      </c>
      <c r="I116" s="168">
        <f>VLOOKUP(A116,'Standard Deviations'!A1:C666,3,FALSE)</f>
        <v>2.4876153539267287</v>
      </c>
      <c r="J116" s="168">
        <f>I116-VLOOKUP(B$2,H1:J392,2,FALSE)</f>
        <v>-2.4034744700307797</v>
      </c>
    </row>
    <row r="117" spans="1:10" ht="21.25" customHeight="1" x14ac:dyDescent="0.15">
      <c r="A117" s="9" t="s">
        <v>333</v>
      </c>
      <c r="B117" s="166" t="str">
        <f>VLOOKUP(A117,'The List'!B1:D665,3,FALSE)</f>
        <v>C</v>
      </c>
      <c r="C117" s="68">
        <f>IF(Settings!$E$15="POINTS",RANK(E117,E3:E392),H117)</f>
        <v>115</v>
      </c>
      <c r="D117" s="65" t="str">
        <f>VLOOKUP(A117,'The List'!B1:F665,5,FALSE)</f>
        <v>S.J</v>
      </c>
      <c r="E117" s="54">
        <f>VLOOKUP(A117,'The List'!B1:I665,8,FALSE)</f>
        <v>279.37967819043098</v>
      </c>
      <c r="F117" s="54">
        <f>IF(Settings!$E$15="POINTS",E117-VLOOKUP(B$2,C1:E392,3,FALSE),J117)</f>
        <v>-75.194591643754848</v>
      </c>
      <c r="G117" s="54"/>
      <c r="H117" s="167">
        <f>RANK(I117,I3:I392)</f>
        <v>173</v>
      </c>
      <c r="I117" s="168">
        <f>VLOOKUP(A117,'Standard Deviations'!A1:C666,3,FALSE)</f>
        <v>-0.16093640400905329</v>
      </c>
      <c r="J117" s="168">
        <f>I117-VLOOKUP(B$2,H1:J392,2,FALSE)</f>
        <v>-5.0520262279665618</v>
      </c>
    </row>
    <row r="118" spans="1:10" ht="21.25" customHeight="1" x14ac:dyDescent="0.15">
      <c r="A118" s="9" t="s">
        <v>335</v>
      </c>
      <c r="B118" s="166" t="str">
        <f>VLOOKUP(A118,'The List'!B1:D665,3,FALSE)</f>
        <v>C</v>
      </c>
      <c r="C118" s="68">
        <f>IF(Settings!$E$15="POINTS",RANK(E118,E3:E392),H118)</f>
        <v>116</v>
      </c>
      <c r="D118" s="65" t="str">
        <f>VLOOKUP(A118,'The List'!B1:F665,5,FALSE)</f>
        <v>BOS</v>
      </c>
      <c r="E118" s="54">
        <f>VLOOKUP(A118,'The List'!B1:I665,8,FALSE)</f>
        <v>278.81350096261497</v>
      </c>
      <c r="F118" s="54">
        <f>IF(Settings!$E$15="POINTS",E118-VLOOKUP(B$2,C1:E392,3,FALSE),J118)</f>
        <v>-75.76076887157086</v>
      </c>
      <c r="G118" s="54"/>
      <c r="H118" s="167">
        <f>RANK(I118,I3:I392)</f>
        <v>106</v>
      </c>
      <c r="I118" s="168">
        <f>VLOOKUP(A118,'Standard Deviations'!A1:C666,3,FALSE)</f>
        <v>2.4355625820829756</v>
      </c>
      <c r="J118" s="168">
        <f>I118-VLOOKUP(B$2,H1:J392,2,FALSE)</f>
        <v>-2.4555272418745329</v>
      </c>
    </row>
    <row r="119" spans="1:10" ht="21.25" customHeight="1" x14ac:dyDescent="0.15">
      <c r="A119" s="9" t="s">
        <v>325</v>
      </c>
      <c r="B119" s="166" t="str">
        <f>VLOOKUP(A119,'The List'!B1:D665,3,FALSE)</f>
        <v>C/LW</v>
      </c>
      <c r="C119" s="68">
        <f>IF(Settings!$E$15="POINTS",RANK(E119,E3:E392),H119)</f>
        <v>117</v>
      </c>
      <c r="D119" s="65" t="str">
        <f>VLOOKUP(A119,'The List'!B1:F665,5,FALSE)</f>
        <v>STL</v>
      </c>
      <c r="E119" s="54">
        <f>VLOOKUP(A119,'The List'!B1:I665,8,FALSE)</f>
        <v>274.06631304918903</v>
      </c>
      <c r="F119" s="54">
        <f>IF(Settings!$E$15="POINTS",E119-VLOOKUP(B$2,C1:E392,3,FALSE),J119)</f>
        <v>-80.507956784996793</v>
      </c>
      <c r="G119" s="54"/>
      <c r="H119" s="167">
        <f>RANK(I119,I3:I392)</f>
        <v>157</v>
      </c>
      <c r="I119" s="168">
        <f>VLOOKUP(A119,'Standard Deviations'!A1:C666,3,FALSE)</f>
        <v>0.46686530647678781</v>
      </c>
      <c r="J119" s="168">
        <f>I119-VLOOKUP(B$2,H1:J392,2,FALSE)</f>
        <v>-4.4242245174807202</v>
      </c>
    </row>
    <row r="120" spans="1:10" ht="21.25" customHeight="1" x14ac:dyDescent="0.15">
      <c r="A120" s="9" t="s">
        <v>327</v>
      </c>
      <c r="B120" s="166" t="str">
        <f>VLOOKUP(A120,'The List'!B1:D665,3,FALSE)</f>
        <v>LW</v>
      </c>
      <c r="C120" s="68">
        <f>IF(Settings!$E$15="POINTS",RANK(E120,E3:E392),H120)</f>
        <v>118</v>
      </c>
      <c r="D120" s="65" t="str">
        <f>VLOOKUP(A120,'The List'!B1:F665,5,FALSE)</f>
        <v>EDM</v>
      </c>
      <c r="E120" s="54">
        <f>VLOOKUP(A120,'The List'!B1:I665,8,FALSE)</f>
        <v>273.45037561658052</v>
      </c>
      <c r="F120" s="54">
        <f>IF(Settings!$E$15="POINTS",E120-VLOOKUP(B$2,C1:E392,3,FALSE),J120)</f>
        <v>-81.123894217605311</v>
      </c>
      <c r="G120" s="54"/>
      <c r="H120" s="167">
        <f>RANK(I120,I3:I392)</f>
        <v>127</v>
      </c>
      <c r="I120" s="168">
        <f>VLOOKUP(A120,'Standard Deviations'!A1:C666,3,FALSE)</f>
        <v>1.172910887468666</v>
      </c>
      <c r="J120" s="168">
        <f>I120-VLOOKUP(B$2,H1:J392,2,FALSE)</f>
        <v>-3.7181789364888425</v>
      </c>
    </row>
    <row r="121" spans="1:10" ht="21.25" customHeight="1" x14ac:dyDescent="0.15">
      <c r="A121" s="9" t="s">
        <v>307</v>
      </c>
      <c r="B121" s="166" t="str">
        <f>VLOOKUP(A121,'The List'!B1:D665,3,FALSE)</f>
        <v>LW/RW</v>
      </c>
      <c r="C121" s="68">
        <f>IF(Settings!$E$15="POINTS",RANK(E121,E3:E392),H121)</f>
        <v>119</v>
      </c>
      <c r="D121" s="65" t="str">
        <f>VLOOKUP(A121,'The List'!B1:F665,5,FALSE)</f>
        <v>CGY</v>
      </c>
      <c r="E121" s="54">
        <f>VLOOKUP(A121,'The List'!B1:I665,8,FALSE)</f>
        <v>271.55675827390883</v>
      </c>
      <c r="F121" s="54">
        <f>IF(Settings!$E$15="POINTS",E121-VLOOKUP(B$2,C1:E392,3,FALSE),J121)</f>
        <v>-83.017511560277001</v>
      </c>
      <c r="G121" s="54"/>
      <c r="H121" s="167">
        <f>RANK(I121,I3:I392)</f>
        <v>115</v>
      </c>
      <c r="I121" s="168">
        <f>VLOOKUP(A121,'Standard Deviations'!A1:C666,3,FALSE)</f>
        <v>2.0186182531529004</v>
      </c>
      <c r="J121" s="168">
        <f>I121-VLOOKUP(B$2,H1:J392,2,FALSE)</f>
        <v>-2.872471570804608</v>
      </c>
    </row>
    <row r="122" spans="1:10" ht="21.25" customHeight="1" x14ac:dyDescent="0.15">
      <c r="A122" s="9" t="s">
        <v>332</v>
      </c>
      <c r="B122" s="166" t="str">
        <f>VLOOKUP(A122,'The List'!B1:D665,3,FALSE)</f>
        <v>LW</v>
      </c>
      <c r="C122" s="68">
        <f>IF(Settings!$E$15="POINTS",RANK(E122,E3:E392),H122)</f>
        <v>120</v>
      </c>
      <c r="D122" s="65" t="str">
        <f>VLOOKUP(A122,'The List'!B1:F665,5,FALSE)</f>
        <v>COL</v>
      </c>
      <c r="E122" s="54">
        <f>VLOOKUP(A122,'The List'!B1:I665,8,FALSE)</f>
        <v>271.105013269023</v>
      </c>
      <c r="F122" s="54">
        <f>IF(Settings!$E$15="POINTS",E122-VLOOKUP(B$2,C1:E392,3,FALSE),J122)</f>
        <v>-83.469256565162823</v>
      </c>
      <c r="G122" s="54"/>
      <c r="H122" s="167">
        <f>RANK(I122,I3:I392)</f>
        <v>96</v>
      </c>
      <c r="I122" s="168">
        <f>VLOOKUP(A122,'Standard Deviations'!A1:C666,3,FALSE)</f>
        <v>2.8012813514233388</v>
      </c>
      <c r="J122" s="168">
        <f>I122-VLOOKUP(B$2,H1:J392,2,FALSE)</f>
        <v>-2.0898084725341697</v>
      </c>
    </row>
    <row r="123" spans="1:10" ht="21.25" customHeight="1" x14ac:dyDescent="0.15">
      <c r="A123" s="9" t="s">
        <v>309</v>
      </c>
      <c r="B123" s="166" t="str">
        <f>VLOOKUP(A123,'The List'!B1:D665,3,FALSE)</f>
        <v>LW/RW</v>
      </c>
      <c r="C123" s="68">
        <f>IF(Settings!$E$15="POINTS",RANK(E123,E3:E392),H123)</f>
        <v>121</v>
      </c>
      <c r="D123" s="65" t="str">
        <f>VLOOKUP(A123,'The List'!B1:F665,5,FALSE)</f>
        <v>STL</v>
      </c>
      <c r="E123" s="54">
        <f>VLOOKUP(A123,'The List'!B1:I665,8,FALSE)</f>
        <v>270.6727767167863</v>
      </c>
      <c r="F123" s="54">
        <f>IF(Settings!$E$15="POINTS",E123-VLOOKUP(B$2,C1:E392,3,FALSE),J123)</f>
        <v>-83.901493117399525</v>
      </c>
      <c r="G123" s="54"/>
      <c r="H123" s="167">
        <f>RANK(I123,I3:I392)</f>
        <v>140</v>
      </c>
      <c r="I123" s="168">
        <f>VLOOKUP(A123,'Standard Deviations'!A1:C666,3,FALSE)</f>
        <v>0.88808862255828669</v>
      </c>
      <c r="J123" s="168">
        <f>I123-VLOOKUP(B$2,H1:J392,2,FALSE)</f>
        <v>-4.003001201399222</v>
      </c>
    </row>
    <row r="124" spans="1:10" ht="21.25" customHeight="1" x14ac:dyDescent="0.15">
      <c r="A124" s="9" t="s">
        <v>346</v>
      </c>
      <c r="B124" s="166" t="str">
        <f>VLOOKUP(A124,'The List'!B1:D665,3,FALSE)</f>
        <v>C</v>
      </c>
      <c r="C124" s="68">
        <f>IF(Settings!$E$15="POINTS",RANK(E124,E3:E392),H124)</f>
        <v>122</v>
      </c>
      <c r="D124" s="65" t="str">
        <f>VLOOKUP(A124,'The List'!B1:F665,5,FALSE)</f>
        <v>ANA</v>
      </c>
      <c r="E124" s="54">
        <f>VLOOKUP(A124,'The List'!B1:I665,8,FALSE)</f>
        <v>270.47008774980981</v>
      </c>
      <c r="F124" s="54">
        <f>IF(Settings!$E$15="POINTS",E124-VLOOKUP(B$2,C1:E392,3,FALSE),J124)</f>
        <v>-84.104182084376021</v>
      </c>
      <c r="G124" s="54"/>
      <c r="H124" s="167">
        <f>RANK(I124,I3:I392)</f>
        <v>155</v>
      </c>
      <c r="I124" s="168">
        <f>VLOOKUP(A124,'Standard Deviations'!A1:C666,3,FALSE)</f>
        <v>0.49307890585374703</v>
      </c>
      <c r="J124" s="168">
        <f>I124-VLOOKUP(B$2,H1:J392,2,FALSE)</f>
        <v>-4.3980109181037612</v>
      </c>
    </row>
    <row r="125" spans="1:10" ht="21.25" customHeight="1" x14ac:dyDescent="0.15">
      <c r="A125" s="9" t="s">
        <v>354</v>
      </c>
      <c r="B125" s="166" t="str">
        <f>VLOOKUP(A125,'The List'!B1:D665,3,FALSE)</f>
        <v>C</v>
      </c>
      <c r="C125" s="68">
        <f>IF(Settings!$E$15="POINTS",RANK(E125,E3:E392),H125)</f>
        <v>123</v>
      </c>
      <c r="D125" s="65" t="str">
        <f>VLOOKUP(A125,'The List'!B1:F665,5,FALSE)</f>
        <v>FLA</v>
      </c>
      <c r="E125" s="54">
        <f>VLOOKUP(A125,'The List'!B1:I665,8,FALSE)</f>
        <v>267.12345621811761</v>
      </c>
      <c r="F125" s="54">
        <f>IF(Settings!$E$15="POINTS",E125-VLOOKUP(B$2,C1:E392,3,FALSE),J125)</f>
        <v>-87.450813616068217</v>
      </c>
      <c r="G125" s="54"/>
      <c r="H125" s="167">
        <f>RANK(I125,I3:I392)</f>
        <v>93</v>
      </c>
      <c r="I125" s="168">
        <f>VLOOKUP(A125,'Standard Deviations'!A1:C666,3,FALSE)</f>
        <v>2.9947150475357969</v>
      </c>
      <c r="J125" s="168">
        <f>I125-VLOOKUP(B$2,H1:J392,2,FALSE)</f>
        <v>-1.8963747764217116</v>
      </c>
    </row>
    <row r="126" spans="1:10" ht="21.25" customHeight="1" x14ac:dyDescent="0.15">
      <c r="A126" s="9" t="s">
        <v>314</v>
      </c>
      <c r="B126" s="166" t="str">
        <f>VLOOKUP(A126,'The List'!B1:D665,3,FALSE)</f>
        <v>C/RW</v>
      </c>
      <c r="C126" s="68">
        <f>IF(Settings!$E$15="POINTS",RANK(E126,E3:E392),H126)</f>
        <v>124</v>
      </c>
      <c r="D126" s="65" t="str">
        <f>VLOOKUP(A126,'The List'!B1:F665,5,FALSE)</f>
        <v>DAL</v>
      </c>
      <c r="E126" s="54">
        <f>VLOOKUP(A126,'The List'!B1:I665,8,FALSE)</f>
        <v>266.61516325373469</v>
      </c>
      <c r="F126" s="54">
        <f>IF(Settings!$E$15="POINTS",E126-VLOOKUP(B$2,C1:E392,3,FALSE),J126)</f>
        <v>-87.959106580451135</v>
      </c>
      <c r="G126" s="54"/>
      <c r="H126" s="167">
        <f>RANK(I126,I3:I392)</f>
        <v>113</v>
      </c>
      <c r="I126" s="168">
        <f>VLOOKUP(A126,'Standard Deviations'!A1:C666,3,FALSE)</f>
        <v>2.1460392235091388</v>
      </c>
      <c r="J126" s="168">
        <f>I126-VLOOKUP(B$2,H1:J392,2,FALSE)</f>
        <v>-2.7450506004483697</v>
      </c>
    </row>
    <row r="127" spans="1:10" ht="21.25" customHeight="1" x14ac:dyDescent="0.15">
      <c r="A127" s="9" t="s">
        <v>358</v>
      </c>
      <c r="B127" s="166" t="str">
        <f>VLOOKUP(A127,'The List'!B1:D665,3,FALSE)</f>
        <v>C</v>
      </c>
      <c r="C127" s="68">
        <f>IF(Settings!$E$15="POINTS",RANK(E127,E3:E392),H127)</f>
        <v>125</v>
      </c>
      <c r="D127" s="65" t="str">
        <f>VLOOKUP(A127,'The List'!B1:F665,5,FALSE)</f>
        <v>N.J</v>
      </c>
      <c r="E127" s="54">
        <f>VLOOKUP(A127,'The List'!B1:I665,8,FALSE)</f>
        <v>265.26452766369027</v>
      </c>
      <c r="F127" s="54">
        <f>IF(Settings!$E$15="POINTS",E127-VLOOKUP(B$2,C1:E392,3,FALSE),J127)</f>
        <v>-89.309742170495554</v>
      </c>
      <c r="G127" s="54"/>
      <c r="H127" s="167">
        <f>RANK(I127,I3:I392)</f>
        <v>118</v>
      </c>
      <c r="I127" s="168">
        <f>VLOOKUP(A127,'Standard Deviations'!A1:C666,3,FALSE)</f>
        <v>1.5909705641444649</v>
      </c>
      <c r="J127" s="168">
        <f>I127-VLOOKUP(B$2,H1:J392,2,FALSE)</f>
        <v>-3.3001192598130435</v>
      </c>
    </row>
    <row r="128" spans="1:10" ht="21.25" customHeight="1" x14ac:dyDescent="0.15">
      <c r="A128" s="9" t="s">
        <v>322</v>
      </c>
      <c r="B128" s="166" t="str">
        <f>VLOOKUP(A128,'The List'!B1:D665,3,FALSE)</f>
        <v>RW</v>
      </c>
      <c r="C128" s="68">
        <f>IF(Settings!$E$15="POINTS",RANK(E128,E3:E392),H128)</f>
        <v>126</v>
      </c>
      <c r="D128" s="65" t="str">
        <f>VLOOKUP(A128,'The List'!B1:F665,5,FALSE)</f>
        <v>VAN</v>
      </c>
      <c r="E128" s="54">
        <f>VLOOKUP(A128,'The List'!B1:I665,8,FALSE)</f>
        <v>263.17471593958203</v>
      </c>
      <c r="F128" s="54">
        <f>IF(Settings!$E$15="POINTS",E128-VLOOKUP(B$2,C1:E392,3,FALSE),J128)</f>
        <v>-91.399553894603798</v>
      </c>
      <c r="G128" s="54"/>
      <c r="H128" s="167">
        <f>RANK(I128,I3:I392)</f>
        <v>97</v>
      </c>
      <c r="I128" s="168">
        <f>VLOOKUP(A128,'Standard Deviations'!A1:C666,3,FALSE)</f>
        <v>2.7997546364553427</v>
      </c>
      <c r="J128" s="168">
        <f>I128-VLOOKUP(B$2,H1:J392,2,FALSE)</f>
        <v>-2.0913351875021657</v>
      </c>
    </row>
    <row r="129" spans="1:10" ht="21.25" customHeight="1" x14ac:dyDescent="0.15">
      <c r="A129" s="9" t="s">
        <v>365</v>
      </c>
      <c r="B129" s="166" t="str">
        <f>VLOOKUP(A129,'The List'!B1:D665,3,FALSE)</f>
        <v>C</v>
      </c>
      <c r="C129" s="68">
        <f>IF(Settings!$E$15="POINTS",RANK(E129,E3:E392),H129)</f>
        <v>127</v>
      </c>
      <c r="D129" s="65" t="str">
        <f>VLOOKUP(A129,'The List'!B1:F665,5,FALSE)</f>
        <v>L.A</v>
      </c>
      <c r="E129" s="54">
        <f>VLOOKUP(A129,'The List'!B1:I665,8,FALSE)</f>
        <v>262.78540995284976</v>
      </c>
      <c r="F129" s="54">
        <f>IF(Settings!$E$15="POINTS",E129-VLOOKUP(B$2,C1:E392,3,FALSE),J129)</f>
        <v>-91.788859881336066</v>
      </c>
      <c r="G129" s="54"/>
      <c r="H129" s="167">
        <f>RANK(I129,I3:I392)</f>
        <v>114</v>
      </c>
      <c r="I129" s="168">
        <f>VLOOKUP(A129,'Standard Deviations'!A1:C666,3,FALSE)</f>
        <v>2.0268863081538071</v>
      </c>
      <c r="J129" s="168">
        <f>I129-VLOOKUP(B$2,H1:J392,2,FALSE)</f>
        <v>-2.8642035158037014</v>
      </c>
    </row>
    <row r="130" spans="1:10" ht="21.25" customHeight="1" x14ac:dyDescent="0.15">
      <c r="A130" s="9" t="s">
        <v>367</v>
      </c>
      <c r="B130" s="166" t="str">
        <f>VLOOKUP(A130,'The List'!B1:D665,3,FALSE)</f>
        <v>C</v>
      </c>
      <c r="C130" s="68">
        <f>IF(Settings!$E$15="POINTS",RANK(E130,E3:E392),H130)</f>
        <v>128</v>
      </c>
      <c r="D130" s="65" t="str">
        <f>VLOOKUP(A130,'The List'!B1:F665,5,FALSE)</f>
        <v>S.J</v>
      </c>
      <c r="E130" s="54">
        <f>VLOOKUP(A130,'The List'!B1:I665,8,FALSE)</f>
        <v>262.08152750945681</v>
      </c>
      <c r="F130" s="54">
        <f>IF(Settings!$E$15="POINTS",E130-VLOOKUP(B$2,C1:E392,3,FALSE),J130)</f>
        <v>-92.492742324729022</v>
      </c>
      <c r="G130" s="54"/>
      <c r="H130" s="167">
        <f>RANK(I130,I3:I392)</f>
        <v>168</v>
      </c>
      <c r="I130" s="168">
        <f>VLOOKUP(A130,'Standard Deviations'!A1:C666,3,FALSE)</f>
        <v>-4.5481037456036155E-2</v>
      </c>
      <c r="J130" s="168">
        <f>I130-VLOOKUP(B$2,H1:J392,2,FALSE)</f>
        <v>-4.9365708614135446</v>
      </c>
    </row>
    <row r="131" spans="1:10" ht="21.25" customHeight="1" x14ac:dyDescent="0.15">
      <c r="A131" s="9" t="s">
        <v>368</v>
      </c>
      <c r="B131" s="166" t="str">
        <f>VLOOKUP(A131,'The List'!B1:D665,3,FALSE)</f>
        <v>C</v>
      </c>
      <c r="C131" s="68">
        <f>IF(Settings!$E$15="POINTS",RANK(E131,E3:E392),H131)</f>
        <v>129</v>
      </c>
      <c r="D131" s="65" t="str">
        <f>VLOOKUP(A131,'The List'!B1:F665,5,FALSE)</f>
        <v>OTT</v>
      </c>
      <c r="E131" s="54">
        <f>VLOOKUP(A131,'The List'!B1:I665,8,FALSE)</f>
        <v>261.96429387247679</v>
      </c>
      <c r="F131" s="54">
        <f>IF(Settings!$E$15="POINTS",E131-VLOOKUP(B$2,C1:E392,3,FALSE),J131)</f>
        <v>-92.60997596170904</v>
      </c>
      <c r="G131" s="54"/>
      <c r="H131" s="167">
        <f>RANK(I131,I3:I392)</f>
        <v>128</v>
      </c>
      <c r="I131" s="168">
        <f>VLOOKUP(A131,'Standard Deviations'!A1:C666,3,FALSE)</f>
        <v>1.1673909272184766</v>
      </c>
      <c r="J131" s="168">
        <f>I131-VLOOKUP(B$2,H1:J392,2,FALSE)</f>
        <v>-3.7236988967390321</v>
      </c>
    </row>
    <row r="132" spans="1:10" ht="21.25" customHeight="1" x14ac:dyDescent="0.15">
      <c r="A132" s="9" t="s">
        <v>349</v>
      </c>
      <c r="B132" s="166" t="str">
        <f>VLOOKUP(A132,'The List'!B1:D665,3,FALSE)</f>
        <v>LW</v>
      </c>
      <c r="C132" s="68">
        <f>IF(Settings!$E$15="POINTS",RANK(E132,E3:E392),H132)</f>
        <v>130</v>
      </c>
      <c r="D132" s="65" t="str">
        <f>VLOOKUP(A132,'The List'!B1:F665,5,FALSE)</f>
        <v>UTA</v>
      </c>
      <c r="E132" s="54">
        <f>VLOOKUP(A132,'The List'!B1:I665,8,FALSE)</f>
        <v>260.17304856515977</v>
      </c>
      <c r="F132" s="54">
        <f>IF(Settings!$E$15="POINTS",E132-VLOOKUP(B$2,C1:E392,3,FALSE),J132)</f>
        <v>-94.401221269026053</v>
      </c>
      <c r="G132" s="54"/>
      <c r="H132" s="167">
        <f>RANK(I132,I3:I392)</f>
        <v>124</v>
      </c>
      <c r="I132" s="168">
        <f>VLOOKUP(A132,'Standard Deviations'!A1:C666,3,FALSE)</f>
        <v>1.2488194629824925</v>
      </c>
      <c r="J132" s="168">
        <f>I132-VLOOKUP(B$2,H1:J392,2,FALSE)</f>
        <v>-3.642270360975016</v>
      </c>
    </row>
    <row r="133" spans="1:10" ht="21.25" customHeight="1" x14ac:dyDescent="0.15">
      <c r="A133" s="9" t="s">
        <v>328</v>
      </c>
      <c r="B133" s="166" t="str">
        <f>VLOOKUP(A133,'The List'!B1:D665,3,FALSE)</f>
        <v>RW</v>
      </c>
      <c r="C133" s="68">
        <f>IF(Settings!$E$15="POINTS",RANK(E133,E3:E392),H133)</f>
        <v>131</v>
      </c>
      <c r="D133" s="65" t="str">
        <f>VLOOKUP(A133,'The List'!B1:F665,5,FALSE)</f>
        <v>NYI</v>
      </c>
      <c r="E133" s="54">
        <f>VLOOKUP(A133,'The List'!B1:I665,8,FALSE)</f>
        <v>259.81665799720372</v>
      </c>
      <c r="F133" s="54">
        <f>IF(Settings!$E$15="POINTS",E133-VLOOKUP(B$2,C1:E392,3,FALSE),J133)</f>
        <v>-94.757611836982107</v>
      </c>
      <c r="G133" s="54"/>
      <c r="H133" s="167">
        <f>RANK(I133,I3:I392)</f>
        <v>111</v>
      </c>
      <c r="I133" s="168">
        <f>VLOOKUP(A133,'Standard Deviations'!A1:C666,3,FALSE)</f>
        <v>2.1857738985783604</v>
      </c>
      <c r="J133" s="168">
        <f>I133-VLOOKUP(B$2,H1:J392,2,FALSE)</f>
        <v>-2.7053159253791481</v>
      </c>
    </row>
    <row r="134" spans="1:10" ht="21.25" customHeight="1" x14ac:dyDescent="0.15">
      <c r="A134" s="9" t="s">
        <v>329</v>
      </c>
      <c r="B134" s="166" t="str">
        <f>VLOOKUP(A134,'The List'!B1:D665,3,FALSE)</f>
        <v>C/RW</v>
      </c>
      <c r="C134" s="68">
        <f>IF(Settings!$E$15="POINTS",RANK(E134,E3:E392),H134)</f>
        <v>132</v>
      </c>
      <c r="D134" s="65" t="str">
        <f>VLOOKUP(A134,'The List'!B1:F665,5,FALSE)</f>
        <v>WPG</v>
      </c>
      <c r="E134" s="54">
        <f>VLOOKUP(A134,'The List'!B1:I665,8,FALSE)</f>
        <v>259.62903323515349</v>
      </c>
      <c r="F134" s="54">
        <f>IF(Settings!$E$15="POINTS",E134-VLOOKUP(B$2,C1:E392,3,FALSE),J134)</f>
        <v>-94.945236599032341</v>
      </c>
      <c r="G134" s="54"/>
      <c r="H134" s="167">
        <f>RANK(I134,I3:I392)</f>
        <v>112</v>
      </c>
      <c r="I134" s="168">
        <f>VLOOKUP(A134,'Standard Deviations'!A1:C666,3,FALSE)</f>
        <v>2.1667662987696272</v>
      </c>
      <c r="J134" s="168">
        <f>I134-VLOOKUP(B$2,H1:J392,2,FALSE)</f>
        <v>-2.7243235251878812</v>
      </c>
    </row>
    <row r="135" spans="1:10" ht="21.25" customHeight="1" x14ac:dyDescent="0.15">
      <c r="A135" s="9" t="s">
        <v>330</v>
      </c>
      <c r="B135" s="166" t="str">
        <f>VLOOKUP(A135,'The List'!B1:D665,3,FALSE)</f>
        <v>RW</v>
      </c>
      <c r="C135" s="68">
        <f>IF(Settings!$E$15="POINTS",RANK(E135,E3:E392),H135)</f>
        <v>133</v>
      </c>
      <c r="D135" s="65" t="str">
        <f>VLOOKUP(A135,'The List'!B1:F665,5,FALSE)</f>
        <v>PHI</v>
      </c>
      <c r="E135" s="54">
        <f>VLOOKUP(A135,'The List'!B1:I665,8,FALSE)</f>
        <v>259.58408010013619</v>
      </c>
      <c r="F135" s="54">
        <f>IF(Settings!$E$15="POINTS",E135-VLOOKUP(B$2,C1:E392,3,FALSE),J135)</f>
        <v>-94.990189734049636</v>
      </c>
      <c r="G135" s="54"/>
      <c r="H135" s="167">
        <f>RANK(I135,I3:I392)</f>
        <v>149</v>
      </c>
      <c r="I135" s="168">
        <f>VLOOKUP(A135,'Standard Deviations'!A1:C666,3,FALSE)</f>
        <v>0.6560762621968752</v>
      </c>
      <c r="J135" s="168">
        <f>I135-VLOOKUP(B$2,H1:J392,2,FALSE)</f>
        <v>-4.235013561760633</v>
      </c>
    </row>
    <row r="136" spans="1:10" ht="21.25" customHeight="1" x14ac:dyDescent="0.15">
      <c r="A136" s="9" t="s">
        <v>331</v>
      </c>
      <c r="B136" s="166" t="str">
        <f>VLOOKUP(A136,'The List'!B1:D665,3,FALSE)</f>
        <v>RW</v>
      </c>
      <c r="C136" s="68">
        <f>IF(Settings!$E$15="POINTS",RANK(E136,E3:E392),H136)</f>
        <v>134</v>
      </c>
      <c r="D136" s="65" t="str">
        <f>VLOOKUP(A136,'The List'!B1:F665,5,FALSE)</f>
        <v>WSH</v>
      </c>
      <c r="E136" s="54">
        <f>VLOOKUP(A136,'The List'!B1:I665,8,FALSE)</f>
        <v>259.03871305727262</v>
      </c>
      <c r="F136" s="54">
        <f>IF(Settings!$E$15="POINTS",E136-VLOOKUP(B$2,C1:E392,3,FALSE),J136)</f>
        <v>-95.535556776913211</v>
      </c>
      <c r="G136" s="54"/>
      <c r="H136" s="167">
        <f>RANK(I136,I3:I392)</f>
        <v>147</v>
      </c>
      <c r="I136" s="168">
        <f>VLOOKUP(A136,'Standard Deviations'!A1:C666,3,FALSE)</f>
        <v>0.75904554732348395</v>
      </c>
      <c r="J136" s="168">
        <f>I136-VLOOKUP(B$2,H1:J392,2,FALSE)</f>
        <v>-4.1320442766340246</v>
      </c>
    </row>
    <row r="137" spans="1:10" ht="21.25" customHeight="1" x14ac:dyDescent="0.15">
      <c r="A137" s="9" t="s">
        <v>336</v>
      </c>
      <c r="B137" s="166" t="str">
        <f>VLOOKUP(A137,'The List'!B1:D665,3,FALSE)</f>
        <v>C/RW</v>
      </c>
      <c r="C137" s="68">
        <f>IF(Settings!$E$15="POINTS",RANK(E137,E3:E392),H137)</f>
        <v>135</v>
      </c>
      <c r="D137" s="65" t="str">
        <f>VLOOKUP(A137,'The List'!B1:F665,5,FALSE)</f>
        <v>CGY</v>
      </c>
      <c r="E137" s="54">
        <f>VLOOKUP(A137,'The List'!B1:I665,8,FALSE)</f>
        <v>257.56503284482852</v>
      </c>
      <c r="F137" s="54">
        <f>IF(Settings!$E$15="POINTS",E137-VLOOKUP(B$2,C1:E392,3,FALSE),J137)</f>
        <v>-97.009236989357305</v>
      </c>
      <c r="G137" s="54"/>
      <c r="H137" s="167">
        <f>RANK(I137,I3:I392)</f>
        <v>163</v>
      </c>
      <c r="I137" s="168">
        <f>VLOOKUP(A137,'Standard Deviations'!A1:C666,3,FALSE)</f>
        <v>0.27581813531274035</v>
      </c>
      <c r="J137" s="168">
        <f>I137-VLOOKUP(B$2,H1:J392,2,FALSE)</f>
        <v>-4.6152716886447678</v>
      </c>
    </row>
    <row r="138" spans="1:10" ht="21.25" customHeight="1" x14ac:dyDescent="0.15">
      <c r="A138" s="9" t="s">
        <v>337</v>
      </c>
      <c r="B138" s="166" t="str">
        <f>VLOOKUP(A138,'The List'!B1:D665,3,FALSE)</f>
        <v>RW</v>
      </c>
      <c r="C138" s="68">
        <f>IF(Settings!$E$15="POINTS",RANK(E138,E3:E392),H138)</f>
        <v>136</v>
      </c>
      <c r="D138" s="65" t="str">
        <f>VLOOKUP(A138,'The List'!B1:F665,5,FALSE)</f>
        <v>SEA</v>
      </c>
      <c r="E138" s="54">
        <f>VLOOKUP(A138,'The List'!B1:I665,8,FALSE)</f>
        <v>257.31362298924017</v>
      </c>
      <c r="F138" s="54">
        <f>IF(Settings!$E$15="POINTS",E138-VLOOKUP(B$2,C1:E392,3,FALSE),J138)</f>
        <v>-97.260646844945654</v>
      </c>
      <c r="G138" s="54"/>
      <c r="H138" s="167">
        <f>RANK(I138,I3:I392)</f>
        <v>141</v>
      </c>
      <c r="I138" s="168">
        <f>VLOOKUP(A138,'Standard Deviations'!A1:C666,3,FALSE)</f>
        <v>0.8864465057071208</v>
      </c>
      <c r="J138" s="168">
        <f>I138-VLOOKUP(B$2,H1:J392,2,FALSE)</f>
        <v>-4.0046433182503876</v>
      </c>
    </row>
    <row r="139" spans="1:10" ht="21.25" customHeight="1" x14ac:dyDescent="0.15">
      <c r="A139" s="9" t="s">
        <v>338</v>
      </c>
      <c r="B139" s="166" t="str">
        <f>VLOOKUP(A139,'The List'!B1:D665,3,FALSE)</f>
        <v>RW</v>
      </c>
      <c r="C139" s="68">
        <f>IF(Settings!$E$15="POINTS",RANK(E139,E3:E392),H139)</f>
        <v>137</v>
      </c>
      <c r="D139" s="65" t="str">
        <f>VLOOKUP(A139,'The List'!B1:F665,5,FALSE)</f>
        <v>SEA</v>
      </c>
      <c r="E139" s="54">
        <f>VLOOKUP(A139,'The List'!B1:I665,8,FALSE)</f>
        <v>257.24626844948506</v>
      </c>
      <c r="F139" s="54">
        <f>IF(Settings!$E$15="POINTS",E139-VLOOKUP(B$2,C1:E392,3,FALSE),J139)</f>
        <v>-97.328001384700769</v>
      </c>
      <c r="G139" s="54"/>
      <c r="H139" s="167">
        <f>RANK(I139,I3:I392)</f>
        <v>132</v>
      </c>
      <c r="I139" s="168">
        <f>VLOOKUP(A139,'Standard Deviations'!A1:C666,3,FALSE)</f>
        <v>1.1149460985860089</v>
      </c>
      <c r="J139" s="168">
        <f>I139-VLOOKUP(B$2,H1:J392,2,FALSE)</f>
        <v>-3.7761437253714996</v>
      </c>
    </row>
    <row r="140" spans="1:10" ht="21.25" customHeight="1" x14ac:dyDescent="0.15">
      <c r="A140" s="9" t="s">
        <v>381</v>
      </c>
      <c r="B140" s="166" t="str">
        <f>VLOOKUP(A140,'The List'!B1:D665,3,FALSE)</f>
        <v>C</v>
      </c>
      <c r="C140" s="68">
        <f>IF(Settings!$E$15="POINTS",RANK(E140,E3:E392),H140)</f>
        <v>138</v>
      </c>
      <c r="D140" s="65" t="str">
        <f>VLOOKUP(A140,'The List'!B1:F665,5,FALSE)</f>
        <v>BOS</v>
      </c>
      <c r="E140" s="54">
        <f>VLOOKUP(A140,'The List'!B1:I665,8,FALSE)</f>
        <v>255.02394604893161</v>
      </c>
      <c r="F140" s="54">
        <f>IF(Settings!$E$15="POINTS",E140-VLOOKUP(B$2,C1:E392,3,FALSE),J140)</f>
        <v>-99.550323785254221</v>
      </c>
      <c r="G140" s="54"/>
      <c r="H140" s="167">
        <f>RANK(I140,I3:I392)</f>
        <v>133</v>
      </c>
      <c r="I140" s="168">
        <f>VLOOKUP(A140,'Standard Deviations'!A1:C666,3,FALSE)</f>
        <v>1.0910397135720407</v>
      </c>
      <c r="J140" s="168">
        <f>I140-VLOOKUP(B$2,H1:J392,2,FALSE)</f>
        <v>-3.8000501103854676</v>
      </c>
    </row>
    <row r="141" spans="1:10" ht="21.25" customHeight="1" x14ac:dyDescent="0.15">
      <c r="A141" s="9" t="s">
        <v>385</v>
      </c>
      <c r="B141" s="166" t="str">
        <f>VLOOKUP(A141,'The List'!B1:D665,3,FALSE)</f>
        <v>C</v>
      </c>
      <c r="C141" s="68">
        <f>IF(Settings!$E$15="POINTS",RANK(E141,E3:E392),H141)</f>
        <v>139</v>
      </c>
      <c r="D141" s="65" t="str">
        <f>VLOOKUP(A141,'The List'!B1:F665,5,FALSE)</f>
        <v>T.B</v>
      </c>
      <c r="E141" s="54">
        <f>VLOOKUP(A141,'The List'!B1:I665,8,FALSE)</f>
        <v>252.71148154711906</v>
      </c>
      <c r="F141" s="54">
        <f>IF(Settings!$E$15="POINTS",E141-VLOOKUP(B$2,C1:E392,3,FALSE),J141)</f>
        <v>-101.86278828706676</v>
      </c>
      <c r="G141" s="54"/>
      <c r="H141" s="167">
        <f>RANK(I141,I3:I392)</f>
        <v>122</v>
      </c>
      <c r="I141" s="168">
        <f>VLOOKUP(A141,'Standard Deviations'!A1:C666,3,FALSE)</f>
        <v>1.2823408516641532</v>
      </c>
      <c r="J141" s="168">
        <f>I141-VLOOKUP(B$2,H1:J392,2,FALSE)</f>
        <v>-3.6087489722933555</v>
      </c>
    </row>
    <row r="142" spans="1:10" ht="21.25" customHeight="1" x14ac:dyDescent="0.15">
      <c r="A142" s="9" t="s">
        <v>370</v>
      </c>
      <c r="B142" s="166" t="str">
        <f>VLOOKUP(A142,'The List'!B1:D665,3,FALSE)</f>
        <v>LW</v>
      </c>
      <c r="C142" s="68">
        <f>IF(Settings!$E$15="POINTS",RANK(E142,E3:E392),H142)</f>
        <v>140</v>
      </c>
      <c r="D142" s="65" t="str">
        <f>VLOOKUP(A142,'The List'!B1:F665,5,FALSE)</f>
        <v>TOR</v>
      </c>
      <c r="E142" s="54">
        <f>VLOOKUP(A142,'The List'!B1:I665,8,FALSE)</f>
        <v>252.30816238571435</v>
      </c>
      <c r="F142" s="54">
        <f>IF(Settings!$E$15="POINTS",E142-VLOOKUP(B$2,C1:E392,3,FALSE),J142)</f>
        <v>-102.26610744847147</v>
      </c>
      <c r="G142" s="54"/>
      <c r="H142" s="167">
        <f>RANK(I142,I3:I392)</f>
        <v>116</v>
      </c>
      <c r="I142" s="168">
        <f>VLOOKUP(A142,'Standard Deviations'!A1:C666,3,FALSE)</f>
        <v>1.9786279862742457</v>
      </c>
      <c r="J142" s="168">
        <f>I142-VLOOKUP(B$2,H1:J392,2,FALSE)</f>
        <v>-2.9124618376832627</v>
      </c>
    </row>
    <row r="143" spans="1:10" ht="21.25" customHeight="1" x14ac:dyDescent="0.15">
      <c r="A143" s="9" t="s">
        <v>342</v>
      </c>
      <c r="B143" s="166" t="str">
        <f>VLOOKUP(A143,'The List'!B1:D665,3,FALSE)</f>
        <v>LW/RW</v>
      </c>
      <c r="C143" s="68">
        <f>IF(Settings!$E$15="POINTS",RANK(E143,E3:E392),H143)</f>
        <v>141</v>
      </c>
      <c r="D143" s="65" t="str">
        <f>VLOOKUP(A143,'The List'!B1:F665,5,FALSE)</f>
        <v>DET</v>
      </c>
      <c r="E143" s="54">
        <f>VLOOKUP(A143,'The List'!B1:I665,8,FALSE)</f>
        <v>252.2596411316369</v>
      </c>
      <c r="F143" s="54">
        <f>IF(Settings!$E$15="POINTS",E143-VLOOKUP(B$2,C1:E392,3,FALSE),J143)</f>
        <v>-102.31462870254893</v>
      </c>
      <c r="G143" s="54"/>
      <c r="H143" s="167">
        <f>RANK(I143,I3:I392)</f>
        <v>142</v>
      </c>
      <c r="I143" s="168">
        <f>VLOOKUP(A143,'Standard Deviations'!A1:C666,3,FALSE)</f>
        <v>0.82526111785169343</v>
      </c>
      <c r="J143" s="168">
        <f>I143-VLOOKUP(B$2,H1:J392,2,FALSE)</f>
        <v>-4.0658287061058154</v>
      </c>
    </row>
    <row r="144" spans="1:10" ht="21.25" customHeight="1" x14ac:dyDescent="0.15">
      <c r="A144" s="9" t="s">
        <v>394</v>
      </c>
      <c r="B144" s="166" t="str">
        <f>VLOOKUP(A144,'The List'!B1:D665,3,FALSE)</f>
        <v>C</v>
      </c>
      <c r="C144" s="68">
        <f>IF(Settings!$E$15="POINTS",RANK(E144,E3:E392),H144)</f>
        <v>142</v>
      </c>
      <c r="D144" s="65" t="str">
        <f>VLOOKUP(A144,'The List'!B1:F665,5,FALSE)</f>
        <v>CBJ</v>
      </c>
      <c r="E144" s="54">
        <f>VLOOKUP(A144,'The List'!B1:I665,8,FALSE)</f>
        <v>249.61118664622046</v>
      </c>
      <c r="F144" s="54">
        <f>IF(Settings!$E$15="POINTS",E144-VLOOKUP(B$2,C1:E392,3,FALSE),J144)</f>
        <v>-104.96308318796537</v>
      </c>
      <c r="G144" s="54"/>
      <c r="H144" s="167">
        <f>RANK(I144,I3:I392)</f>
        <v>137</v>
      </c>
      <c r="I144" s="168">
        <f>VLOOKUP(A144,'Standard Deviations'!A1:C666,3,FALSE)</f>
        <v>0.92833488053030999</v>
      </c>
      <c r="J144" s="168">
        <f>I144-VLOOKUP(B$2,H1:J392,2,FALSE)</f>
        <v>-3.9627549434271985</v>
      </c>
    </row>
    <row r="145" spans="1:10" ht="21.25" customHeight="1" x14ac:dyDescent="0.15">
      <c r="A145" s="9" t="s">
        <v>395</v>
      </c>
      <c r="B145" s="166" t="str">
        <f>VLOOKUP(A145,'The List'!B1:D665,3,FALSE)</f>
        <v>C</v>
      </c>
      <c r="C145" s="68">
        <f>IF(Settings!$E$15="POINTS",RANK(E145,E3:E392),H145)</f>
        <v>143</v>
      </c>
      <c r="D145" s="65" t="str">
        <f>VLOOKUP(A145,'The List'!B1:F665,5,FALSE)</f>
        <v>COL</v>
      </c>
      <c r="E145" s="54">
        <f>VLOOKUP(A145,'The List'!B1:I665,8,FALSE)</f>
        <v>249.51592952233628</v>
      </c>
      <c r="F145" s="54">
        <f>IF(Settings!$E$15="POINTS",E145-VLOOKUP(B$2,C1:E392,3,FALSE),J145)</f>
        <v>-105.05834031184955</v>
      </c>
      <c r="G145" s="54"/>
      <c r="H145" s="167">
        <f>RANK(I145,I3:I392)</f>
        <v>162</v>
      </c>
      <c r="I145" s="168">
        <f>VLOOKUP(A145,'Standard Deviations'!A1:C666,3,FALSE)</f>
        <v>0.32242287627760291</v>
      </c>
      <c r="J145" s="168">
        <f>I145-VLOOKUP(B$2,H1:J392,2,FALSE)</f>
        <v>-4.5686669476799056</v>
      </c>
    </row>
    <row r="146" spans="1:10" ht="21.25" customHeight="1" x14ac:dyDescent="0.15">
      <c r="A146" s="9" t="s">
        <v>377</v>
      </c>
      <c r="B146" s="166" t="str">
        <f>VLOOKUP(A146,'The List'!B1:D665,3,FALSE)</f>
        <v>LW</v>
      </c>
      <c r="C146" s="68">
        <f>IF(Settings!$E$15="POINTS",RANK(E146,E3:E392),H146)</f>
        <v>144</v>
      </c>
      <c r="D146" s="65" t="str">
        <f>VLOOKUP(A146,'The List'!B1:F665,5,FALSE)</f>
        <v>COL</v>
      </c>
      <c r="E146" s="54">
        <f>VLOOKUP(A146,'The List'!B1:I665,8,FALSE)</f>
        <v>248.82043562111244</v>
      </c>
      <c r="F146" s="54">
        <f>IF(Settings!$E$15="POINTS",E146-VLOOKUP(B$2,C1:E392,3,FALSE),J146)</f>
        <v>-105.75383421307339</v>
      </c>
      <c r="G146" s="54"/>
      <c r="H146" s="167">
        <f>RANK(I146,I3:I392)</f>
        <v>134</v>
      </c>
      <c r="I146" s="168">
        <f>VLOOKUP(A146,'Standard Deviations'!A1:C666,3,FALSE)</f>
        <v>1.0581369274314361</v>
      </c>
      <c r="J146" s="168">
        <f>I146-VLOOKUP(B$2,H1:J392,2,FALSE)</f>
        <v>-3.8329528965260726</v>
      </c>
    </row>
    <row r="147" spans="1:10" ht="21.25" customHeight="1" x14ac:dyDescent="0.15">
      <c r="A147" s="9" t="s">
        <v>378</v>
      </c>
      <c r="B147" s="166" t="str">
        <f>VLOOKUP(A147,'The List'!B1:D665,3,FALSE)</f>
        <v>LW</v>
      </c>
      <c r="C147" s="68">
        <f>IF(Settings!$E$15="POINTS",RANK(E147,E3:E392),H147)</f>
        <v>145</v>
      </c>
      <c r="D147" s="65" t="str">
        <f>VLOOKUP(A147,'The List'!B1:F665,5,FALSE)</f>
        <v>EDM</v>
      </c>
      <c r="E147" s="54">
        <f>VLOOKUP(A147,'The List'!B1:I665,8,FALSE)</f>
        <v>248.30344742373464</v>
      </c>
      <c r="F147" s="54">
        <f>IF(Settings!$E$15="POINTS",E147-VLOOKUP(B$2,C1:E392,3,FALSE),J147)</f>
        <v>-106.27082241045119</v>
      </c>
      <c r="G147" s="54"/>
      <c r="H147" s="167">
        <f>RANK(I147,I3:I392)</f>
        <v>129</v>
      </c>
      <c r="I147" s="168">
        <f>VLOOKUP(A147,'Standard Deviations'!A1:C666,3,FALSE)</f>
        <v>1.1670874836919278</v>
      </c>
      <c r="J147" s="168">
        <f>I147-VLOOKUP(B$2,H1:J392,2,FALSE)</f>
        <v>-3.7240023402655806</v>
      </c>
    </row>
    <row r="148" spans="1:10" ht="21.25" customHeight="1" x14ac:dyDescent="0.15">
      <c r="A148" s="9" t="s">
        <v>405</v>
      </c>
      <c r="B148" s="166" t="str">
        <f>VLOOKUP(A148,'The List'!B1:D665,3,FALSE)</f>
        <v>C</v>
      </c>
      <c r="C148" s="68">
        <f>IF(Settings!$E$15="POINTS",RANK(E148,E3:E392),H148)</f>
        <v>146</v>
      </c>
      <c r="D148" s="65" t="str">
        <f>VLOOKUP(A148,'The List'!B1:F665,5,FALSE)</f>
        <v>PHI</v>
      </c>
      <c r="E148" s="54">
        <f>VLOOKUP(A148,'The List'!B1:I665,8,FALSE)</f>
        <v>246.59000229247178</v>
      </c>
      <c r="F148" s="54">
        <f>IF(Settings!$E$15="POINTS",E148-VLOOKUP(B$2,C1:E392,3,FALSE),J148)</f>
        <v>-107.98426754171405</v>
      </c>
      <c r="G148" s="54"/>
      <c r="H148" s="167">
        <f>RANK(I148,I3:I392)</f>
        <v>159</v>
      </c>
      <c r="I148" s="168">
        <f>VLOOKUP(A148,'Standard Deviations'!A1:C666,3,FALSE)</f>
        <v>0.35505398782540676</v>
      </c>
      <c r="J148" s="168">
        <f>I148-VLOOKUP(B$2,H1:J392,2,FALSE)</f>
        <v>-4.5360358361321014</v>
      </c>
    </row>
    <row r="149" spans="1:10" ht="21.25" customHeight="1" x14ac:dyDescent="0.15">
      <c r="A149" s="9" t="s">
        <v>383</v>
      </c>
      <c r="B149" s="166" t="str">
        <f>VLOOKUP(A149,'The List'!B1:D665,3,FALSE)</f>
        <v>LW</v>
      </c>
      <c r="C149" s="68">
        <f>IF(Settings!$E$15="POINTS",RANK(E149,E3:E392),H149)</f>
        <v>147</v>
      </c>
      <c r="D149" s="65" t="str">
        <f>VLOOKUP(A149,'The List'!B1:F665,5,FALSE)</f>
        <v>NYI</v>
      </c>
      <c r="E149" s="54">
        <f>VLOOKUP(A149,'The List'!B1:I665,8,FALSE)</f>
        <v>244.7209922159926</v>
      </c>
      <c r="F149" s="54">
        <f>IF(Settings!$E$15="POINTS",E149-VLOOKUP(B$2,C1:E392,3,FALSE),J149)</f>
        <v>-109.85327761819323</v>
      </c>
      <c r="G149" s="54"/>
      <c r="H149" s="167">
        <f>RANK(I149,I3:I392)</f>
        <v>126</v>
      </c>
      <c r="I149" s="168">
        <f>VLOOKUP(A149,'Standard Deviations'!A1:C666,3,FALSE)</f>
        <v>1.1872880205471681</v>
      </c>
      <c r="J149" s="168">
        <f>I149-VLOOKUP(B$2,H1:J392,2,FALSE)</f>
        <v>-3.7038018034103404</v>
      </c>
    </row>
    <row r="150" spans="1:10" ht="21.25" customHeight="1" x14ac:dyDescent="0.15">
      <c r="A150" s="9" t="s">
        <v>355</v>
      </c>
      <c r="B150" s="166" t="str">
        <f>VLOOKUP(A150,'The List'!B1:D665,3,FALSE)</f>
        <v>C/RW</v>
      </c>
      <c r="C150" s="68">
        <f>IF(Settings!$E$15="POINTS",RANK(E150,E3:E392),H150)</f>
        <v>148</v>
      </c>
      <c r="D150" s="65" t="str">
        <f>VLOOKUP(A150,'The List'!B1:F665,5,FALSE)</f>
        <v>MIN</v>
      </c>
      <c r="E150" s="54">
        <f>VLOOKUP(A150,'The List'!B1:I665,8,FALSE)</f>
        <v>244.71474061035767</v>
      </c>
      <c r="F150" s="54">
        <f>IF(Settings!$E$15="POINTS",E150-VLOOKUP(B$2,C1:E392,3,FALSE),J150)</f>
        <v>-109.85952922382816</v>
      </c>
      <c r="G150" s="54"/>
      <c r="H150" s="167">
        <f>RANK(I150,I3:I392)</f>
        <v>143</v>
      </c>
      <c r="I150" s="168">
        <f>VLOOKUP(A150,'Standard Deviations'!A1:C666,3,FALSE)</f>
        <v>0.8196395980386556</v>
      </c>
      <c r="J150" s="168">
        <f>I150-VLOOKUP(B$2,H1:J392,2,FALSE)</f>
        <v>-4.071450225918853</v>
      </c>
    </row>
    <row r="151" spans="1:10" ht="21.25" customHeight="1" x14ac:dyDescent="0.15">
      <c r="A151" s="9" t="s">
        <v>360</v>
      </c>
      <c r="B151" s="166" t="str">
        <f>VLOOKUP(A151,'The List'!B1:D665,3,FALSE)</f>
        <v>RW</v>
      </c>
      <c r="C151" s="68">
        <f>IF(Settings!$E$15="POINTS",RANK(E151,E3:E392),H151)</f>
        <v>149</v>
      </c>
      <c r="D151" s="65" t="str">
        <f>VLOOKUP(A151,'The List'!B1:F665,5,FALSE)</f>
        <v>BUF</v>
      </c>
      <c r="E151" s="54">
        <f>VLOOKUP(A151,'The List'!B1:I665,8,FALSE)</f>
        <v>243.45736444337584</v>
      </c>
      <c r="F151" s="54">
        <f>IF(Settings!$E$15="POINTS",E151-VLOOKUP(B$2,C1:E392,3,FALSE),J151)</f>
        <v>-111.11690539080999</v>
      </c>
      <c r="G151" s="54"/>
      <c r="H151" s="167">
        <f>RANK(I151,I3:I392)</f>
        <v>161</v>
      </c>
      <c r="I151" s="168">
        <f>VLOOKUP(A151,'Standard Deviations'!A1:C666,3,FALSE)</f>
        <v>0.33128872014923388</v>
      </c>
      <c r="J151" s="168">
        <f>I151-VLOOKUP(B$2,H1:J392,2,FALSE)</f>
        <v>-4.5598011038082742</v>
      </c>
    </row>
    <row r="152" spans="1:10" ht="21.25" customHeight="1" x14ac:dyDescent="0.15">
      <c r="A152" s="9" t="s">
        <v>390</v>
      </c>
      <c r="B152" s="166" t="str">
        <f>VLOOKUP(A152,'The List'!B1:D665,3,FALSE)</f>
        <v>LW</v>
      </c>
      <c r="C152" s="68">
        <f>IF(Settings!$E$15="POINTS",RANK(E152,E3:E392),H152)</f>
        <v>150</v>
      </c>
      <c r="D152" s="65" t="str">
        <f>VLOOKUP(A152,'The List'!B1:F665,5,FALSE)</f>
        <v>NSH</v>
      </c>
      <c r="E152" s="54">
        <f>VLOOKUP(A152,'The List'!B1:I665,8,FALSE)</f>
        <v>243.22248900790709</v>
      </c>
      <c r="F152" s="54">
        <f>IF(Settings!$E$15="POINTS",E152-VLOOKUP(B$2,C1:E392,3,FALSE),J152)</f>
        <v>-111.35178082627874</v>
      </c>
      <c r="G152" s="54"/>
      <c r="H152" s="167">
        <f>RANK(I152,I3:I392)</f>
        <v>139</v>
      </c>
      <c r="I152" s="168">
        <f>VLOOKUP(A152,'Standard Deviations'!A1:C666,3,FALSE)</f>
        <v>0.89367947337735676</v>
      </c>
      <c r="J152" s="168">
        <f>I152-VLOOKUP(B$2,H1:J392,2,FALSE)</f>
        <v>-3.9974103505801519</v>
      </c>
    </row>
    <row r="153" spans="1:10" ht="21.25" customHeight="1" x14ac:dyDescent="0.15">
      <c r="A153" s="9" t="s">
        <v>361</v>
      </c>
      <c r="B153" s="166" t="str">
        <f>VLOOKUP(A153,'The List'!B1:D665,3,FALSE)</f>
        <v>C/RW</v>
      </c>
      <c r="C153" s="68">
        <f>IF(Settings!$E$15="POINTS",RANK(E153,E3:E392),H153)</f>
        <v>151</v>
      </c>
      <c r="D153" s="65" t="str">
        <f>VLOOKUP(A153,'The List'!B1:F665,5,FALSE)</f>
        <v>FLA</v>
      </c>
      <c r="E153" s="54">
        <f>VLOOKUP(A153,'The List'!B1:I665,8,FALSE)</f>
        <v>242.12242999929035</v>
      </c>
      <c r="F153" s="54">
        <f>IF(Settings!$E$15="POINTS",E153-VLOOKUP(B$2,C1:E392,3,FALSE),J153)</f>
        <v>-112.45183983489548</v>
      </c>
      <c r="G153" s="54"/>
      <c r="H153" s="167">
        <f>RANK(I153,I3:I392)</f>
        <v>121</v>
      </c>
      <c r="I153" s="168">
        <f>VLOOKUP(A153,'Standard Deviations'!A1:C666,3,FALSE)</f>
        <v>1.4588668352971839</v>
      </c>
      <c r="J153" s="168">
        <f>I153-VLOOKUP(B$2,H1:J392,2,FALSE)</f>
        <v>-3.4322229886603246</v>
      </c>
    </row>
    <row r="154" spans="1:10" ht="21.25" customHeight="1" x14ac:dyDescent="0.15">
      <c r="A154" s="9" t="s">
        <v>362</v>
      </c>
      <c r="B154" s="166" t="str">
        <f>VLOOKUP(A154,'The List'!B1:D665,3,FALSE)</f>
        <v>RW</v>
      </c>
      <c r="C154" s="68">
        <f>IF(Settings!$E$15="POINTS",RANK(E154,E3:E392),H154)</f>
        <v>152</v>
      </c>
      <c r="D154" s="65" t="str">
        <f>VLOOKUP(A154,'The List'!B1:F665,5,FALSE)</f>
        <v>CBJ</v>
      </c>
      <c r="E154" s="54">
        <f>VLOOKUP(A154,'The List'!B1:I665,8,FALSE)</f>
        <v>241.94554558805197</v>
      </c>
      <c r="F154" s="54">
        <f>IF(Settings!$E$15="POINTS",E154-VLOOKUP(B$2,C1:E392,3,FALSE),J154)</f>
        <v>-112.62872424613386</v>
      </c>
      <c r="G154" s="54"/>
      <c r="H154" s="167">
        <f>RANK(I154,I3:I392)</f>
        <v>199</v>
      </c>
      <c r="I154" s="168">
        <f>VLOOKUP(A154,'Standard Deviations'!A1:C666,3,FALSE)</f>
        <v>-0.73046737738088185</v>
      </c>
      <c r="J154" s="168">
        <f>I154-VLOOKUP(B$2,H1:J392,2,FALSE)</f>
        <v>-5.6215572013383905</v>
      </c>
    </row>
    <row r="155" spans="1:10" ht="21.25" customHeight="1" x14ac:dyDescent="0.15">
      <c r="A155" s="9" t="s">
        <v>364</v>
      </c>
      <c r="B155" s="166" t="str">
        <f>VLOOKUP(A155,'The List'!B1:D665,3,FALSE)</f>
        <v>C/RW</v>
      </c>
      <c r="C155" s="68">
        <f>IF(Settings!$E$15="POINTS",RANK(E155,E3:E392),H155)</f>
        <v>153</v>
      </c>
      <c r="D155" s="65" t="str">
        <f>VLOOKUP(A155,'The List'!B1:F665,5,FALSE)</f>
        <v>PIT</v>
      </c>
      <c r="E155" s="54">
        <f>VLOOKUP(A155,'The List'!B1:I665,8,FALSE)</f>
        <v>241.78304192646573</v>
      </c>
      <c r="F155" s="54">
        <f>IF(Settings!$E$15="POINTS",E155-VLOOKUP(B$2,C1:E392,3,FALSE),J155)</f>
        <v>-112.7912279077201</v>
      </c>
      <c r="G155" s="54"/>
      <c r="H155" s="167">
        <f>RANK(I155,I3:I392)</f>
        <v>136</v>
      </c>
      <c r="I155" s="168">
        <f>VLOOKUP(A155,'Standard Deviations'!A1:C666,3,FALSE)</f>
        <v>0.95733652029875016</v>
      </c>
      <c r="J155" s="168">
        <f>I155-VLOOKUP(B$2,H1:J392,2,FALSE)</f>
        <v>-3.9337533036587584</v>
      </c>
    </row>
    <row r="156" spans="1:10" ht="21.25" customHeight="1" x14ac:dyDescent="0.15">
      <c r="A156" s="9" t="s">
        <v>366</v>
      </c>
      <c r="B156" s="166" t="str">
        <f>VLOOKUP(A156,'The List'!B1:D665,3,FALSE)</f>
        <v>C/RW</v>
      </c>
      <c r="C156" s="68">
        <f>IF(Settings!$E$15="POINTS",RANK(E156,E3:E392),H156)</f>
        <v>154</v>
      </c>
      <c r="D156" s="65" t="str">
        <f>VLOOKUP(A156,'The List'!B1:F665,5,FALSE)</f>
        <v>S.J</v>
      </c>
      <c r="E156" s="54">
        <f>VLOOKUP(A156,'The List'!B1:I665,8,FALSE)</f>
        <v>241.58395498787027</v>
      </c>
      <c r="F156" s="54">
        <f>IF(Settings!$E$15="POINTS",E156-VLOOKUP(B$2,C1:E392,3,FALSE),J156)</f>
        <v>-112.99031484631556</v>
      </c>
      <c r="G156" s="54"/>
      <c r="H156" s="167">
        <f>RANK(I156,I3:I392)</f>
        <v>230</v>
      </c>
      <c r="I156" s="168">
        <f>VLOOKUP(A156,'Standard Deviations'!A1:C666,3,FALSE)</f>
        <v>-1.6710610074192573</v>
      </c>
      <c r="J156" s="168">
        <f>I156-VLOOKUP(B$2,H1:J392,2,FALSE)</f>
        <v>-6.5621508313767656</v>
      </c>
    </row>
    <row r="157" spans="1:10" ht="21.25" customHeight="1" x14ac:dyDescent="0.15">
      <c r="A157" s="9" t="s">
        <v>393</v>
      </c>
      <c r="B157" s="166" t="str">
        <f>VLOOKUP(A157,'The List'!B1:D665,3,FALSE)</f>
        <v>C/LW</v>
      </c>
      <c r="C157" s="68">
        <f>IF(Settings!$E$15="POINTS",RANK(E157,E3:E392),H157)</f>
        <v>155</v>
      </c>
      <c r="D157" s="65" t="str">
        <f>VLOOKUP(A157,'The List'!B1:F665,5,FALSE)</f>
        <v>CGY</v>
      </c>
      <c r="E157" s="54">
        <f>VLOOKUP(A157,'The List'!B1:I665,8,FALSE)</f>
        <v>240.90974346856629</v>
      </c>
      <c r="F157" s="54">
        <f>IF(Settings!$E$15="POINTS",E157-VLOOKUP(B$2,C1:E392,3,FALSE),J157)</f>
        <v>-113.66452636561954</v>
      </c>
      <c r="G157" s="54"/>
      <c r="H157" s="167">
        <f>RANK(I157,I3:I392)</f>
        <v>183</v>
      </c>
      <c r="I157" s="168">
        <f>VLOOKUP(A157,'Standard Deviations'!A1:C666,3,FALSE)</f>
        <v>-0.31226850788420274</v>
      </c>
      <c r="J157" s="168">
        <f>I157-VLOOKUP(B$2,H1:J392,2,FALSE)</f>
        <v>-5.2033583318417111</v>
      </c>
    </row>
    <row r="158" spans="1:10" ht="21.25" customHeight="1" x14ac:dyDescent="0.15">
      <c r="A158" s="9" t="s">
        <v>371</v>
      </c>
      <c r="B158" s="166" t="str">
        <f>VLOOKUP(A158,'The List'!B1:D665,3,FALSE)</f>
        <v>C/RW</v>
      </c>
      <c r="C158" s="68">
        <f>IF(Settings!$E$15="POINTS",RANK(E158,E3:E392),H158)</f>
        <v>156</v>
      </c>
      <c r="D158" s="65" t="str">
        <f>VLOOKUP(A158,'The List'!B1:F665,5,FALSE)</f>
        <v>PHI</v>
      </c>
      <c r="E158" s="54">
        <f>VLOOKUP(A158,'The List'!B1:I665,8,FALSE)</f>
        <v>239.74574917941194</v>
      </c>
      <c r="F158" s="54">
        <f>IF(Settings!$E$15="POINTS",E158-VLOOKUP(B$2,C1:E392,3,FALSE),J158)</f>
        <v>-114.82852065477388</v>
      </c>
      <c r="G158" s="54"/>
      <c r="H158" s="167">
        <f>RANK(I158,I3:I392)</f>
        <v>164</v>
      </c>
      <c r="I158" s="168">
        <f>VLOOKUP(A158,'Standard Deviations'!A1:C666,3,FALSE)</f>
        <v>0.23165420376082674</v>
      </c>
      <c r="J158" s="168">
        <f>I158-VLOOKUP(B$2,H1:J392,2,FALSE)</f>
        <v>-4.6594356201966818</v>
      </c>
    </row>
    <row r="159" spans="1:10" ht="21.25" customHeight="1" x14ac:dyDescent="0.15">
      <c r="A159" s="9" t="s">
        <v>397</v>
      </c>
      <c r="B159" s="166" t="str">
        <f>VLOOKUP(A159,'The List'!B1:D665,3,FALSE)</f>
        <v>LW</v>
      </c>
      <c r="C159" s="68">
        <f>IF(Settings!$E$15="POINTS",RANK(E159,E3:E392),H159)</f>
        <v>157</v>
      </c>
      <c r="D159" s="65" t="str">
        <f>VLOOKUP(A159,'The List'!B1:F665,5,FALSE)</f>
        <v>DAL</v>
      </c>
      <c r="E159" s="54">
        <f>VLOOKUP(A159,'The List'!B1:I665,8,FALSE)</f>
        <v>239.28062387755335</v>
      </c>
      <c r="F159" s="54">
        <f>IF(Settings!$E$15="POINTS",E159-VLOOKUP(B$2,C1:E392,3,FALSE),J159)</f>
        <v>-115.29364595663247</v>
      </c>
      <c r="G159" s="54"/>
      <c r="H159" s="167">
        <f>RANK(I159,I3:I392)</f>
        <v>120</v>
      </c>
      <c r="I159" s="168">
        <f>VLOOKUP(A159,'Standard Deviations'!A1:C666,3,FALSE)</f>
        <v>1.4968802146094455</v>
      </c>
      <c r="J159" s="168">
        <f>I159-VLOOKUP(B$2,H1:J392,2,FALSE)</f>
        <v>-3.3942096093480627</v>
      </c>
    </row>
    <row r="160" spans="1:10" ht="21.25" customHeight="1" x14ac:dyDescent="0.15">
      <c r="A160" s="9" t="s">
        <v>398</v>
      </c>
      <c r="B160" s="166" t="str">
        <f>VLOOKUP(A160,'The List'!B1:D665,3,FALSE)</f>
        <v>LW</v>
      </c>
      <c r="C160" s="68">
        <f>IF(Settings!$E$15="POINTS",RANK(E160,E3:E392),H160)</f>
        <v>158</v>
      </c>
      <c r="D160" s="65" t="str">
        <f>VLOOKUP(A160,'The List'!B1:F665,5,FALSE)</f>
        <v>CHI</v>
      </c>
      <c r="E160" s="54">
        <f>VLOOKUP(A160,'The List'!B1:I665,8,FALSE)</f>
        <v>238.77724080692923</v>
      </c>
      <c r="F160" s="54">
        <f>IF(Settings!$E$15="POINTS",E160-VLOOKUP(B$2,C1:E392,3,FALSE),J160)</f>
        <v>-115.7970290272566</v>
      </c>
      <c r="G160" s="54"/>
      <c r="H160" s="167">
        <f>RANK(I160,I3:I392)</f>
        <v>187</v>
      </c>
      <c r="I160" s="168">
        <f>VLOOKUP(A160,'Standard Deviations'!A1:C666,3,FALSE)</f>
        <v>-0.40568259377402904</v>
      </c>
      <c r="J160" s="168">
        <f>I160-VLOOKUP(B$2,H1:J392,2,FALSE)</f>
        <v>-5.2967724177315372</v>
      </c>
    </row>
    <row r="161" spans="1:10" ht="21.25" customHeight="1" x14ac:dyDescent="0.15">
      <c r="A161" s="9" t="s">
        <v>402</v>
      </c>
      <c r="B161" s="166" t="str">
        <f>VLOOKUP(A161,'The List'!B1:D665,3,FALSE)</f>
        <v>LW</v>
      </c>
      <c r="C161" s="68">
        <f>IF(Settings!$E$15="POINTS",RANK(E161,E3:E392),H161)</f>
        <v>159</v>
      </c>
      <c r="D161" s="65" t="str">
        <f>VLOOKUP(A161,'The List'!B1:F665,5,FALSE)</f>
        <v>WSH</v>
      </c>
      <c r="E161" s="54">
        <f>VLOOKUP(A161,'The List'!B1:I665,8,FALSE)</f>
        <v>238.20121109047977</v>
      </c>
      <c r="F161" s="54">
        <f>IF(Settings!$E$15="POINTS",E161-VLOOKUP(B$2,C1:E392,3,FALSE),J161)</f>
        <v>-116.37305874370605</v>
      </c>
      <c r="G161" s="54"/>
      <c r="H161" s="167">
        <f>RANK(I161,I3:I392)</f>
        <v>172</v>
      </c>
      <c r="I161" s="168">
        <f>VLOOKUP(A161,'Standard Deviations'!A1:C666,3,FALSE)</f>
        <v>-0.14110477836364038</v>
      </c>
      <c r="J161" s="168">
        <f>I161-VLOOKUP(B$2,H1:J392,2,FALSE)</f>
        <v>-5.032194602321149</v>
      </c>
    </row>
    <row r="162" spans="1:10" ht="21.25" customHeight="1" x14ac:dyDescent="0.15">
      <c r="A162" s="9" t="s">
        <v>431</v>
      </c>
      <c r="B162" s="166" t="str">
        <f>VLOOKUP(A162,'The List'!B1:D665,3,FALSE)</f>
        <v>C</v>
      </c>
      <c r="C162" s="68">
        <f>IF(Settings!$E$15="POINTS",RANK(E162,E3:E392),H162)</f>
        <v>160</v>
      </c>
      <c r="D162" s="65" t="str">
        <f>VLOOKUP(A162,'The List'!B1:F665,5,FALSE)</f>
        <v>SEA</v>
      </c>
      <c r="E162" s="54">
        <f>VLOOKUP(A162,'The List'!B1:I665,8,FALSE)</f>
        <v>237.43196688355482</v>
      </c>
      <c r="F162" s="54">
        <f>IF(Settings!$E$15="POINTS",E162-VLOOKUP(B$2,C1:E392,3,FALSE),J162)</f>
        <v>-117.14230295063101</v>
      </c>
      <c r="G162" s="54"/>
      <c r="H162" s="167">
        <f>RANK(I162,I3:I392)</f>
        <v>171</v>
      </c>
      <c r="I162" s="168">
        <f>VLOOKUP(A162,'Standard Deviations'!A1:C666,3,FALSE)</f>
        <v>-0.11021747224107603</v>
      </c>
      <c r="J162" s="168">
        <f>I162-VLOOKUP(B$2,H1:J392,2,FALSE)</f>
        <v>-5.0013072961985845</v>
      </c>
    </row>
    <row r="163" spans="1:10" ht="21.25" customHeight="1" x14ac:dyDescent="0.15">
      <c r="A163" s="9" t="s">
        <v>406</v>
      </c>
      <c r="B163" s="166" t="str">
        <f>VLOOKUP(A163,'The List'!B1:D665,3,FALSE)</f>
        <v>C/LW</v>
      </c>
      <c r="C163" s="68">
        <f>IF(Settings!$E$15="POINTS",RANK(E163,E3:E392),H163)</f>
        <v>161</v>
      </c>
      <c r="D163" s="65" t="str">
        <f>VLOOKUP(A163,'The List'!B1:F665,5,FALSE)</f>
        <v>WPG</v>
      </c>
      <c r="E163" s="54">
        <f>VLOOKUP(A163,'The List'!B1:I665,8,FALSE)</f>
        <v>237.23178060390947</v>
      </c>
      <c r="F163" s="54">
        <f>IF(Settings!$E$15="POINTS",E163-VLOOKUP(B$2,C1:E392,3,FALSE),J163)</f>
        <v>-117.34248923027636</v>
      </c>
      <c r="G163" s="54"/>
      <c r="H163" s="167">
        <f>RANK(I163,I3:I392)</f>
        <v>125</v>
      </c>
      <c r="I163" s="168">
        <f>VLOOKUP(A163,'Standard Deviations'!A1:C666,3,FALSE)</f>
        <v>1.246458230020782</v>
      </c>
      <c r="J163" s="168">
        <f>I163-VLOOKUP(B$2,H1:J392,2,FALSE)</f>
        <v>-3.6446315939367264</v>
      </c>
    </row>
    <row r="164" spans="1:10" ht="21.25" customHeight="1" x14ac:dyDescent="0.15">
      <c r="A164" s="9" t="s">
        <v>408</v>
      </c>
      <c r="B164" s="166" t="str">
        <f>VLOOKUP(A164,'The List'!B1:D665,3,FALSE)</f>
        <v>C/LW</v>
      </c>
      <c r="C164" s="68">
        <f>IF(Settings!$E$15="POINTS",RANK(E164,E3:E392),H164)</f>
        <v>162</v>
      </c>
      <c r="D164" s="65" t="str">
        <f>VLOOKUP(A164,'The List'!B1:F665,5,FALSE)</f>
        <v>ANA</v>
      </c>
      <c r="E164" s="54">
        <f>VLOOKUP(A164,'The List'!B1:I665,8,FALSE)</f>
        <v>236.89469073998021</v>
      </c>
      <c r="F164" s="54">
        <f>IF(Settings!$E$15="POINTS",E164-VLOOKUP(B$2,C1:E392,3,FALSE),J164)</f>
        <v>-117.67957909420562</v>
      </c>
      <c r="G164" s="54"/>
      <c r="H164" s="167">
        <f>RANK(I164,I3:I392)</f>
        <v>222</v>
      </c>
      <c r="I164" s="168">
        <f>VLOOKUP(A164,'Standard Deviations'!A1:C666,3,FALSE)</f>
        <v>-1.3597461967729232</v>
      </c>
      <c r="J164" s="168">
        <f>I164-VLOOKUP(B$2,H1:J392,2,FALSE)</f>
        <v>-6.2508360207304321</v>
      </c>
    </row>
    <row r="165" spans="1:10" ht="21.25" customHeight="1" x14ac:dyDescent="0.15">
      <c r="A165" s="9" t="s">
        <v>435</v>
      </c>
      <c r="B165" s="166" t="str">
        <f>VLOOKUP(A165,'The List'!B1:D665,3,FALSE)</f>
        <v>C</v>
      </c>
      <c r="C165" s="68">
        <f>IF(Settings!$E$15="POINTS",RANK(E165,E3:E392),H165)</f>
        <v>163</v>
      </c>
      <c r="D165" s="65" t="str">
        <f>VLOOKUP(A165,'The List'!B1:F665,5,FALSE)</f>
        <v>DAL</v>
      </c>
      <c r="E165" s="54">
        <f>VLOOKUP(A165,'The List'!B1:I665,8,FALSE)</f>
        <v>235.88393303528773</v>
      </c>
      <c r="F165" s="54">
        <f>IF(Settings!$E$15="POINTS",E165-VLOOKUP(B$2,C1:E392,3,FALSE),J165)</f>
        <v>-118.6903367988981</v>
      </c>
      <c r="G165" s="54"/>
      <c r="H165" s="167">
        <f>RANK(I165,I3:I392)</f>
        <v>119</v>
      </c>
      <c r="I165" s="168">
        <f>VLOOKUP(A165,'Standard Deviations'!A1:C666,3,FALSE)</f>
        <v>1.4996457398489653</v>
      </c>
      <c r="J165" s="168">
        <f>I165-VLOOKUP(B$2,H1:J392,2,FALSE)</f>
        <v>-3.3914440841085431</v>
      </c>
    </row>
    <row r="166" spans="1:10" ht="21.25" customHeight="1" x14ac:dyDescent="0.15">
      <c r="A166" s="9" t="s">
        <v>379</v>
      </c>
      <c r="B166" s="166" t="str">
        <f>VLOOKUP(A166,'The List'!B1:D665,3,FALSE)</f>
        <v>LW/RW</v>
      </c>
      <c r="C166" s="68">
        <f>IF(Settings!$E$15="POINTS",RANK(E166,E3:E392),H166)</f>
        <v>164</v>
      </c>
      <c r="D166" s="65" t="str">
        <f>VLOOKUP(A166,'The List'!B1:F665,5,FALSE)</f>
        <v>PHI</v>
      </c>
      <c r="E166" s="54">
        <f>VLOOKUP(A166,'The List'!B1:I665,8,FALSE)</f>
        <v>235.8066256533011</v>
      </c>
      <c r="F166" s="54">
        <f>IF(Settings!$E$15="POINTS",E166-VLOOKUP(B$2,C1:E392,3,FALSE),J166)</f>
        <v>-118.76764418088473</v>
      </c>
      <c r="G166" s="54"/>
      <c r="H166" s="167">
        <f>RANK(I166,I3:I392)</f>
        <v>192</v>
      </c>
      <c r="I166" s="168">
        <f>VLOOKUP(A166,'Standard Deviations'!A1:C666,3,FALSE)</f>
        <v>-0.63270231504449681</v>
      </c>
      <c r="J166" s="168">
        <f>I166-VLOOKUP(B$2,H1:J392,2,FALSE)</f>
        <v>-5.5237921390020048</v>
      </c>
    </row>
    <row r="167" spans="1:10" ht="21.25" customHeight="1" x14ac:dyDescent="0.15">
      <c r="A167" s="9" t="s">
        <v>419</v>
      </c>
      <c r="B167" s="166" t="str">
        <f>VLOOKUP(A167,'The List'!B1:D665,3,FALSE)</f>
        <v>C/LW</v>
      </c>
      <c r="C167" s="68">
        <f>IF(Settings!$E$15="POINTS",RANK(E167,E3:E392),H167)</f>
        <v>165</v>
      </c>
      <c r="D167" s="65" t="str">
        <f>VLOOKUP(A167,'The List'!B1:F665,5,FALSE)</f>
        <v>VGK</v>
      </c>
      <c r="E167" s="54">
        <f>VLOOKUP(A167,'The List'!B1:I665,8,FALSE)</f>
        <v>233.55694286905486</v>
      </c>
      <c r="F167" s="54">
        <f>IF(Settings!$E$15="POINTS",E167-VLOOKUP(B$2,C1:E392,3,FALSE),J167)</f>
        <v>-121.01732696513096</v>
      </c>
      <c r="G167" s="54"/>
      <c r="H167" s="167">
        <f>RANK(I167,I3:I392)</f>
        <v>154</v>
      </c>
      <c r="I167" s="168">
        <f>VLOOKUP(A167,'Standard Deviations'!A1:C666,3,FALSE)</f>
        <v>0.49419179327905288</v>
      </c>
      <c r="J167" s="168">
        <f>I167-VLOOKUP(B$2,H1:J392,2,FALSE)</f>
        <v>-4.3968980306784555</v>
      </c>
    </row>
    <row r="168" spans="1:10" ht="21.25" customHeight="1" x14ac:dyDescent="0.15">
      <c r="A168" s="9" t="s">
        <v>440</v>
      </c>
      <c r="B168" s="166" t="str">
        <f>VLOOKUP(A168,'The List'!B1:D665,3,FALSE)</f>
        <v>C</v>
      </c>
      <c r="C168" s="68">
        <f>IF(Settings!$E$15="POINTS",RANK(E168,E3:E392),H168)</f>
        <v>166</v>
      </c>
      <c r="D168" s="65" t="str">
        <f>VLOOKUP(A168,'The List'!B1:F665,5,FALSE)</f>
        <v>NSH</v>
      </c>
      <c r="E168" s="54">
        <f>VLOOKUP(A168,'The List'!B1:I665,8,FALSE)</f>
        <v>233.24268674505404</v>
      </c>
      <c r="F168" s="54">
        <f>IF(Settings!$E$15="POINTS",E168-VLOOKUP(B$2,C1:E392,3,FALSE),J168)</f>
        <v>-121.33158308913178</v>
      </c>
      <c r="G168" s="54"/>
      <c r="H168" s="167">
        <f>RANK(I168,I3:I392)</f>
        <v>144</v>
      </c>
      <c r="I168" s="168">
        <f>VLOOKUP(A168,'Standard Deviations'!A1:C666,3,FALSE)</f>
        <v>0.80973035586659659</v>
      </c>
      <c r="J168" s="168">
        <f>I168-VLOOKUP(B$2,H1:J392,2,FALSE)</f>
        <v>-4.0813594680909118</v>
      </c>
    </row>
    <row r="169" spans="1:10" ht="21.25" customHeight="1" x14ac:dyDescent="0.15">
      <c r="A169" s="9" t="s">
        <v>384</v>
      </c>
      <c r="B169" s="166" t="str">
        <f>VLOOKUP(A169,'The List'!B1:D665,3,FALSE)</f>
        <v>LW/RW</v>
      </c>
      <c r="C169" s="68">
        <f>IF(Settings!$E$15="POINTS",RANK(E169,E3:E392),H169)</f>
        <v>167</v>
      </c>
      <c r="D169" s="65" t="str">
        <f>VLOOKUP(A169,'The List'!B1:F665,5,FALSE)</f>
        <v>SEA</v>
      </c>
      <c r="E169" s="54">
        <f>VLOOKUP(A169,'The List'!B1:I665,8,FALSE)</f>
        <v>232.12165932447283</v>
      </c>
      <c r="F169" s="54">
        <f>IF(Settings!$E$15="POINTS",E169-VLOOKUP(B$2,C1:E392,3,FALSE),J169)</f>
        <v>-122.452610509713</v>
      </c>
      <c r="G169" s="54"/>
      <c r="H169" s="167">
        <f>RANK(I169,I3:I392)</f>
        <v>166</v>
      </c>
      <c r="I169" s="168">
        <f>VLOOKUP(A169,'Standard Deviations'!A1:C666,3,FALSE)</f>
        <v>8.1275613825809889E-2</v>
      </c>
      <c r="J169" s="168">
        <f>I169-VLOOKUP(B$2,H1:J392,2,FALSE)</f>
        <v>-4.809814210131699</v>
      </c>
    </row>
    <row r="170" spans="1:10" ht="21.25" customHeight="1" x14ac:dyDescent="0.15">
      <c r="A170" s="9" t="s">
        <v>387</v>
      </c>
      <c r="B170" s="166" t="str">
        <f>VLOOKUP(A170,'The List'!B1:D665,3,FALSE)</f>
        <v>C/RW</v>
      </c>
      <c r="C170" s="68">
        <f>IF(Settings!$E$15="POINTS",RANK(E170,E3:E392),H170)</f>
        <v>168</v>
      </c>
      <c r="D170" s="65" t="str">
        <f>VLOOKUP(A170,'The List'!B1:F665,5,FALSE)</f>
        <v>BOS</v>
      </c>
      <c r="E170" s="54">
        <f>VLOOKUP(A170,'The List'!B1:I665,8,FALSE)</f>
        <v>231.17535494287026</v>
      </c>
      <c r="F170" s="54">
        <f>IF(Settings!$E$15="POINTS",E170-VLOOKUP(B$2,C1:E392,3,FALSE),J170)</f>
        <v>-123.39891489131557</v>
      </c>
      <c r="G170" s="54"/>
      <c r="H170" s="167">
        <f>RANK(I170,I3:I392)</f>
        <v>146</v>
      </c>
      <c r="I170" s="168">
        <f>VLOOKUP(A170,'Standard Deviations'!A1:C666,3,FALSE)</f>
        <v>0.76250654076572089</v>
      </c>
      <c r="J170" s="168">
        <f>I170-VLOOKUP(B$2,H1:J392,2,FALSE)</f>
        <v>-4.1285832831917872</v>
      </c>
    </row>
    <row r="171" spans="1:10" ht="21.25" customHeight="1" x14ac:dyDescent="0.15">
      <c r="A171" s="9" t="s">
        <v>450</v>
      </c>
      <c r="B171" s="166" t="str">
        <f>VLOOKUP(A171,'The List'!B1:D665,3,FALSE)</f>
        <v>C</v>
      </c>
      <c r="C171" s="68">
        <f>IF(Settings!$E$15="POINTS",RANK(E171,E3:E392),H171)</f>
        <v>169</v>
      </c>
      <c r="D171" s="65" t="str">
        <f>VLOOKUP(A171,'The List'!B1:F665,5,FALSE)</f>
        <v>S.J</v>
      </c>
      <c r="E171" s="54">
        <f>VLOOKUP(A171,'The List'!B1:I665,8,FALSE)</f>
        <v>227.39117073170729</v>
      </c>
      <c r="F171" s="54">
        <f>IF(Settings!$E$15="POINTS",E171-VLOOKUP(B$2,C1:E392,3,FALSE),J171)</f>
        <v>-127.18309910247854</v>
      </c>
      <c r="G171" s="54"/>
      <c r="H171" s="167">
        <f>RANK(I171,I3:I392)</f>
        <v>219</v>
      </c>
      <c r="I171" s="168">
        <f>VLOOKUP(A171,'Standard Deviations'!A1:C666,3,FALSE)</f>
        <v>-1.2929853480373787</v>
      </c>
      <c r="J171" s="168">
        <f>I171-VLOOKUP(B$2,H1:J392,2,FALSE)</f>
        <v>-6.1840751719948877</v>
      </c>
    </row>
    <row r="172" spans="1:10" ht="21.25" customHeight="1" x14ac:dyDescent="0.15">
      <c r="A172" s="9" t="s">
        <v>400</v>
      </c>
      <c r="B172" s="166" t="str">
        <f>VLOOKUP(A172,'The List'!B1:D665,3,FALSE)</f>
        <v>C/LW/RW</v>
      </c>
      <c r="C172" s="68">
        <f>IF(Settings!$E$15="POINTS",RANK(E172,E3:E392),H172)</f>
        <v>170</v>
      </c>
      <c r="D172" s="65" t="str">
        <f>VLOOKUP(A172,'The List'!B1:F665,5,FALSE)</f>
        <v>DET</v>
      </c>
      <c r="E172" s="54">
        <f>VLOOKUP(A172,'The List'!B1:I665,8,FALSE)</f>
        <v>226.4098307318113</v>
      </c>
      <c r="F172" s="54">
        <f>IF(Settings!$E$15="POINTS",E172-VLOOKUP(B$2,C1:E392,3,FALSE),J172)</f>
        <v>-128.16443910237453</v>
      </c>
      <c r="G172" s="54"/>
      <c r="H172" s="167">
        <f>RANK(I172,I3:I392)</f>
        <v>197</v>
      </c>
      <c r="I172" s="168">
        <f>VLOOKUP(A172,'Standard Deviations'!A1:C666,3,FALSE)</f>
        <v>-0.71264077041161278</v>
      </c>
      <c r="J172" s="168">
        <f>I172-VLOOKUP(B$2,H1:J392,2,FALSE)</f>
        <v>-5.6037305943691216</v>
      </c>
    </row>
    <row r="173" spans="1:10" ht="21.25" customHeight="1" x14ac:dyDescent="0.15">
      <c r="A173" s="9" t="s">
        <v>407</v>
      </c>
      <c r="B173" s="166" t="str">
        <f>VLOOKUP(A173,'The List'!B1:D665,3,FALSE)</f>
        <v>LW/RW</v>
      </c>
      <c r="C173" s="68">
        <f>IF(Settings!$E$15="POINTS",RANK(E173,E3:E392),H173)</f>
        <v>171</v>
      </c>
      <c r="D173" s="65" t="str">
        <f>VLOOKUP(A173,'The List'!B1:F665,5,FALSE)</f>
        <v>S.J</v>
      </c>
      <c r="E173" s="54">
        <f>VLOOKUP(A173,'The List'!B1:I665,8,FALSE)</f>
        <v>224.99640243912202</v>
      </c>
      <c r="F173" s="54">
        <f>IF(Settings!$E$15="POINTS",E173-VLOOKUP(B$2,C1:E392,3,FALSE),J173)</f>
        <v>-129.57786739506381</v>
      </c>
      <c r="G173" s="54"/>
      <c r="H173" s="167">
        <f>RANK(I173,I3:I392)</f>
        <v>250</v>
      </c>
      <c r="I173" s="168">
        <f>VLOOKUP(A173,'Standard Deviations'!A1:C666,3,FALSE)</f>
        <v>-2.0777636278457345</v>
      </c>
      <c r="J173" s="168">
        <f>I173-VLOOKUP(B$2,H1:J392,2,FALSE)</f>
        <v>-6.968853451803243</v>
      </c>
    </row>
    <row r="174" spans="1:10" ht="21.25" customHeight="1" x14ac:dyDescent="0.15">
      <c r="A174" s="9" t="s">
        <v>460</v>
      </c>
      <c r="B174" s="166" t="str">
        <f>VLOOKUP(A174,'The List'!B1:D665,3,FALSE)</f>
        <v>C</v>
      </c>
      <c r="C174" s="68">
        <f>IF(Settings!$E$15="POINTS",RANK(E174,E3:E392),H174)</f>
        <v>172</v>
      </c>
      <c r="D174" s="65" t="str">
        <f>VLOOKUP(A174,'The List'!B1:F665,5,FALSE)</f>
        <v>MIN</v>
      </c>
      <c r="E174" s="54">
        <f>VLOOKUP(A174,'The List'!B1:I665,8,FALSE)</f>
        <v>223.70754298518369</v>
      </c>
      <c r="F174" s="54">
        <f>IF(Settings!$E$15="POINTS",E174-VLOOKUP(B$2,C1:E392,3,FALSE),J174)</f>
        <v>-130.86672684900213</v>
      </c>
      <c r="G174" s="54"/>
      <c r="H174" s="167">
        <f>RANK(I174,I3:I392)</f>
        <v>170</v>
      </c>
      <c r="I174" s="168">
        <f>VLOOKUP(A174,'Standard Deviations'!A1:C666,3,FALSE)</f>
        <v>-6.668621301321262E-2</v>
      </c>
      <c r="J174" s="168">
        <f>I174-VLOOKUP(B$2,H1:J392,2,FALSE)</f>
        <v>-4.9577760369707207</v>
      </c>
    </row>
    <row r="175" spans="1:10" ht="21.25" customHeight="1" x14ac:dyDescent="0.15">
      <c r="A175" s="9" t="s">
        <v>442</v>
      </c>
      <c r="B175" s="166" t="str">
        <f>VLOOKUP(A175,'The List'!B1:D665,3,FALSE)</f>
        <v>C/LW</v>
      </c>
      <c r="C175" s="68">
        <f>IF(Settings!$E$15="POINTS",RANK(E175,E3:E392),H175)</f>
        <v>173</v>
      </c>
      <c r="D175" s="65" t="str">
        <f>VLOOKUP(A175,'The List'!B1:F665,5,FALSE)</f>
        <v>FLA</v>
      </c>
      <c r="E175" s="54">
        <f>VLOOKUP(A175,'The List'!B1:I665,8,FALSE)</f>
        <v>223.58496623127732</v>
      </c>
      <c r="F175" s="54">
        <f>IF(Settings!$E$15="POINTS",E175-VLOOKUP(B$2,C1:E392,3,FALSE),J175)</f>
        <v>-130.98930360290851</v>
      </c>
      <c r="G175" s="54"/>
      <c r="H175" s="167">
        <f>RANK(I175,I3:I392)</f>
        <v>123</v>
      </c>
      <c r="I175" s="168">
        <f>VLOOKUP(A175,'Standard Deviations'!A1:C666,3,FALSE)</f>
        <v>1.2803729544481706</v>
      </c>
      <c r="J175" s="168">
        <f>I175-VLOOKUP(B$2,H1:J392,2,FALSE)</f>
        <v>-3.6107168695093379</v>
      </c>
    </row>
    <row r="176" spans="1:10" ht="21.25" customHeight="1" x14ac:dyDescent="0.15">
      <c r="A176" s="9" t="s">
        <v>411</v>
      </c>
      <c r="B176" s="166" t="str">
        <f>VLOOKUP(A176,'The List'!B1:D665,3,FALSE)</f>
        <v>LW/RW</v>
      </c>
      <c r="C176" s="68">
        <f>IF(Settings!$E$15="POINTS",RANK(E176,E3:E392),H176)</f>
        <v>174</v>
      </c>
      <c r="D176" s="65" t="str">
        <f>VLOOKUP(A176,'The List'!B1:F665,5,FALSE)</f>
        <v>UTA</v>
      </c>
      <c r="E176" s="54">
        <f>VLOOKUP(A176,'The List'!B1:I665,8,FALSE)</f>
        <v>223.27547664728525</v>
      </c>
      <c r="F176" s="54">
        <f>IF(Settings!$E$15="POINTS",E176-VLOOKUP(B$2,C1:E392,3,FALSE),J176)</f>
        <v>-131.29879318690058</v>
      </c>
      <c r="G176" s="54"/>
      <c r="H176" s="167">
        <f>RANK(I176,I3:I392)</f>
        <v>174</v>
      </c>
      <c r="I176" s="168">
        <f>VLOOKUP(A176,'Standard Deviations'!A1:C666,3,FALSE)</f>
        <v>-0.16880573810616845</v>
      </c>
      <c r="J176" s="168">
        <f>I176-VLOOKUP(B$2,H1:J392,2,FALSE)</f>
        <v>-5.0598955620636765</v>
      </c>
    </row>
    <row r="177" spans="1:10" ht="21.25" customHeight="1" x14ac:dyDescent="0.15">
      <c r="A177" s="9" t="s">
        <v>415</v>
      </c>
      <c r="B177" s="166" t="str">
        <f>VLOOKUP(A177,'The List'!B1:D665,3,FALSE)</f>
        <v>RW</v>
      </c>
      <c r="C177" s="68">
        <f>IF(Settings!$E$15="POINTS",RANK(E177,E3:E392),H177)</f>
        <v>175</v>
      </c>
      <c r="D177" s="65" t="str">
        <f>VLOOKUP(A177,'The List'!B1:F665,5,FALSE)</f>
        <v>NYR</v>
      </c>
      <c r="E177" s="54">
        <f>VLOOKUP(A177,'The List'!B1:I665,8,FALSE)</f>
        <v>222.06503812983757</v>
      </c>
      <c r="F177" s="54">
        <f>IF(Settings!$E$15="POINTS",E177-VLOOKUP(B$2,C1:E392,3,FALSE),J177)</f>
        <v>-132.50923170434825</v>
      </c>
      <c r="G177" s="54"/>
      <c r="H177" s="167">
        <f>RANK(I177,I3:I392)</f>
        <v>184</v>
      </c>
      <c r="I177" s="168">
        <f>VLOOKUP(A177,'Standard Deviations'!A1:C666,3,FALSE)</f>
        <v>-0.32676332374038553</v>
      </c>
      <c r="J177" s="168">
        <f>I177-VLOOKUP(B$2,H1:J392,2,FALSE)</f>
        <v>-5.2178531476978938</v>
      </c>
    </row>
    <row r="178" spans="1:10" ht="21.25" customHeight="1" x14ac:dyDescent="0.15">
      <c r="A178" s="9" t="s">
        <v>417</v>
      </c>
      <c r="B178" s="166" t="str">
        <f>VLOOKUP(A178,'The List'!B1:D665,3,FALSE)</f>
        <v>LW/RW</v>
      </c>
      <c r="C178" s="68">
        <f>IF(Settings!$E$15="POINTS",RANK(E178,E3:E392),H178)</f>
        <v>176</v>
      </c>
      <c r="D178" s="65" t="str">
        <f>VLOOKUP(A178,'The List'!B1:F665,5,FALSE)</f>
        <v>OTT</v>
      </c>
      <c r="E178" s="54">
        <f>VLOOKUP(A178,'The List'!B1:I665,8,FALSE)</f>
        <v>221.63327644624283</v>
      </c>
      <c r="F178" s="54">
        <f>IF(Settings!$E$15="POINTS",E178-VLOOKUP(B$2,C1:E392,3,FALSE),J178)</f>
        <v>-132.940993387943</v>
      </c>
      <c r="G178" s="54"/>
      <c r="H178" s="167">
        <f>RANK(I178,I3:I392)</f>
        <v>176</v>
      </c>
      <c r="I178" s="168">
        <f>VLOOKUP(A178,'Standard Deviations'!A1:C666,3,FALSE)</f>
        <v>-0.17595335221692576</v>
      </c>
      <c r="J178" s="168">
        <f>I178-VLOOKUP(B$2,H1:J392,2,FALSE)</f>
        <v>-5.0670431761744341</v>
      </c>
    </row>
    <row r="179" spans="1:10" ht="21.25" customHeight="1" x14ac:dyDescent="0.15">
      <c r="A179" s="9" t="s">
        <v>469</v>
      </c>
      <c r="B179" s="166" t="str">
        <f>VLOOKUP(A179,'The List'!B1:D665,3,FALSE)</f>
        <v>C</v>
      </c>
      <c r="C179" s="68">
        <f>IF(Settings!$E$15="POINTS",RANK(E179,E3:E392),H179)</f>
        <v>177</v>
      </c>
      <c r="D179" s="65" t="str">
        <f>VLOOKUP(A179,'The List'!B1:F665,5,FALSE)</f>
        <v>PHI</v>
      </c>
      <c r="E179" s="54">
        <f>VLOOKUP(A179,'The List'!B1:I665,8,FALSE)</f>
        <v>219.82712491198868</v>
      </c>
      <c r="F179" s="54">
        <f>IF(Settings!$E$15="POINTS",E179-VLOOKUP(B$2,C1:E392,3,FALSE),J179)</f>
        <v>-134.74714492219715</v>
      </c>
      <c r="G179" s="54"/>
      <c r="H179" s="167">
        <f>RANK(I179,I3:I392)</f>
        <v>214</v>
      </c>
      <c r="I179" s="168">
        <f>VLOOKUP(A179,'Standard Deviations'!A1:C666,3,FALSE)</f>
        <v>-1.0378968499279229</v>
      </c>
      <c r="J179" s="168">
        <f>I179-VLOOKUP(B$2,H1:J392,2,FALSE)</f>
        <v>-5.9289866738854311</v>
      </c>
    </row>
    <row r="180" spans="1:10" ht="21.25" customHeight="1" x14ac:dyDescent="0.15">
      <c r="A180" s="9" t="s">
        <v>477</v>
      </c>
      <c r="B180" s="166" t="str">
        <f>VLOOKUP(A180,'The List'!B1:D665,3,FALSE)</f>
        <v>C</v>
      </c>
      <c r="C180" s="68">
        <f>IF(Settings!$E$15="POINTS",RANK(E180,E3:E392),H180)</f>
        <v>178</v>
      </c>
      <c r="D180" s="65" t="str">
        <f>VLOOKUP(A180,'The List'!B1:F665,5,FALSE)</f>
        <v>OTT</v>
      </c>
      <c r="E180" s="54">
        <f>VLOOKUP(A180,'The List'!B1:I665,8,FALSE)</f>
        <v>217.38479242124404</v>
      </c>
      <c r="F180" s="54">
        <f>IF(Settings!$E$15="POINTS",E180-VLOOKUP(B$2,C1:E392,3,FALSE),J180)</f>
        <v>-137.18947741294178</v>
      </c>
      <c r="G180" s="54"/>
      <c r="H180" s="167">
        <f>RANK(I180,I3:I392)</f>
        <v>186</v>
      </c>
      <c r="I180" s="168">
        <f>VLOOKUP(A180,'Standard Deviations'!A1:C666,3,FALSE)</f>
        <v>-0.38754870101591121</v>
      </c>
      <c r="J180" s="168">
        <f>I180-VLOOKUP(B$2,H1:J392,2,FALSE)</f>
        <v>-5.2786385249734193</v>
      </c>
    </row>
    <row r="181" spans="1:10" ht="21.25" customHeight="1" x14ac:dyDescent="0.15">
      <c r="A181" s="9" t="s">
        <v>479</v>
      </c>
      <c r="B181" s="166" t="str">
        <f>VLOOKUP(A181,'The List'!B1:D665,3,FALSE)</f>
        <v>C</v>
      </c>
      <c r="C181" s="68">
        <f>IF(Settings!$E$15="POINTS",RANK(E181,E3:E392),H181)</f>
        <v>179</v>
      </c>
      <c r="D181" s="65" t="str">
        <f>VLOOKUP(A181,'The List'!B1:F665,5,FALSE)</f>
        <v>CAR</v>
      </c>
      <c r="E181" s="54">
        <f>VLOOKUP(A181,'The List'!B1:I665,8,FALSE)</f>
        <v>216.72598347871539</v>
      </c>
      <c r="F181" s="54">
        <f>IF(Settings!$E$15="POINTS",E181-VLOOKUP(B$2,C1:E392,3,FALSE),J181)</f>
        <v>-137.84828635547044</v>
      </c>
      <c r="G181" s="54"/>
      <c r="H181" s="167">
        <f>RANK(I181,I3:I392)</f>
        <v>145</v>
      </c>
      <c r="I181" s="168">
        <f>VLOOKUP(A181,'Standard Deviations'!A1:C666,3,FALSE)</f>
        <v>0.78305213257355777</v>
      </c>
      <c r="J181" s="168">
        <f>I181-VLOOKUP(B$2,H1:J392,2,FALSE)</f>
        <v>-4.1080376913839505</v>
      </c>
    </row>
    <row r="182" spans="1:10" ht="21.25" customHeight="1" x14ac:dyDescent="0.15">
      <c r="A182" s="9" t="s">
        <v>429</v>
      </c>
      <c r="B182" s="166" t="str">
        <f>VLOOKUP(A182,'The List'!B1:D665,3,FALSE)</f>
        <v>LW/RW</v>
      </c>
      <c r="C182" s="68">
        <f>IF(Settings!$E$15="POINTS",RANK(E182,E3:E392),H182)</f>
        <v>180</v>
      </c>
      <c r="D182" s="65" t="str">
        <f>VLOOKUP(A182,'The List'!B1:F665,5,FALSE)</f>
        <v>WPG</v>
      </c>
      <c r="E182" s="54">
        <f>VLOOKUP(A182,'The List'!B1:I665,8,FALSE)</f>
        <v>216.40650237008342</v>
      </c>
      <c r="F182" s="54">
        <f>IF(Settings!$E$15="POINTS",E182-VLOOKUP(B$2,C1:E392,3,FALSE),J182)</f>
        <v>-138.16776746410241</v>
      </c>
      <c r="G182" s="54"/>
      <c r="H182" s="167">
        <f>RANK(I182,I3:I392)</f>
        <v>148</v>
      </c>
      <c r="I182" s="168">
        <f>VLOOKUP(A182,'Standard Deviations'!A1:C666,3,FALSE)</f>
        <v>0.69214226095493614</v>
      </c>
      <c r="J182" s="168">
        <f>I182-VLOOKUP(B$2,H1:J392,2,FALSE)</f>
        <v>-4.1989475630025721</v>
      </c>
    </row>
    <row r="183" spans="1:10" ht="21.25" customHeight="1" x14ac:dyDescent="0.15">
      <c r="A183" s="9" t="s">
        <v>482</v>
      </c>
      <c r="B183" s="166" t="str">
        <f>VLOOKUP(A183,'The List'!B1:D665,3,FALSE)</f>
        <v>C</v>
      </c>
      <c r="C183" s="68">
        <f>IF(Settings!$E$15="POINTS",RANK(E183,E3:E392),H183)</f>
        <v>181</v>
      </c>
      <c r="D183" s="65" t="str">
        <f>VLOOKUP(A183,'The List'!B1:F665,5,FALSE)</f>
        <v>SEA</v>
      </c>
      <c r="E183" s="54">
        <f>VLOOKUP(A183,'The List'!B1:I665,8,FALSE)</f>
        <v>215.95860990116714</v>
      </c>
      <c r="F183" s="54">
        <f>IF(Settings!$E$15="POINTS",E183-VLOOKUP(B$2,C1:E392,3,FALSE),J183)</f>
        <v>-138.61565993301869</v>
      </c>
      <c r="G183" s="54"/>
      <c r="H183" s="167">
        <f>RANK(I183,I3:I392)</f>
        <v>177</v>
      </c>
      <c r="I183" s="168">
        <f>VLOOKUP(A183,'Standard Deviations'!A1:C666,3,FALSE)</f>
        <v>-0.19104583235465136</v>
      </c>
      <c r="J183" s="168">
        <f>I183-VLOOKUP(B$2,H1:J392,2,FALSE)</f>
        <v>-5.0821356563121602</v>
      </c>
    </row>
    <row r="184" spans="1:10" ht="21.25" customHeight="1" x14ac:dyDescent="0.15">
      <c r="A184" s="9" t="s">
        <v>483</v>
      </c>
      <c r="B184" s="166" t="str">
        <f>VLOOKUP(A184,'The List'!B1:D665,3,FALSE)</f>
        <v>C</v>
      </c>
      <c r="C184" s="68">
        <f>IF(Settings!$E$15="POINTS",RANK(E184,E3:E392),H184)</f>
        <v>182</v>
      </c>
      <c r="D184" s="65" t="str">
        <f>VLOOKUP(A184,'The List'!B1:F665,5,FALSE)</f>
        <v>WSH</v>
      </c>
      <c r="E184" s="54">
        <f>VLOOKUP(A184,'The List'!B1:I665,8,FALSE)</f>
        <v>215.81630697074493</v>
      </c>
      <c r="F184" s="54">
        <f>IF(Settings!$E$15="POINTS",E184-VLOOKUP(B$2,C1:E392,3,FALSE),J184)</f>
        <v>-138.75796286344089</v>
      </c>
      <c r="G184" s="54"/>
      <c r="H184" s="167">
        <f>RANK(I184,I3:I392)</f>
        <v>220</v>
      </c>
      <c r="I184" s="168">
        <f>VLOOKUP(A184,'Standard Deviations'!A1:C666,3,FALSE)</f>
        <v>-1.3291347881177036</v>
      </c>
      <c r="J184" s="168">
        <f>I184-VLOOKUP(B$2,H1:J392,2,FALSE)</f>
        <v>-6.2202246120752118</v>
      </c>
    </row>
    <row r="185" spans="1:10" ht="21.25" customHeight="1" x14ac:dyDescent="0.15">
      <c r="A185" s="9" t="s">
        <v>432</v>
      </c>
      <c r="B185" s="166" t="str">
        <f>VLOOKUP(A185,'The List'!B1:D665,3,FALSE)</f>
        <v>RW</v>
      </c>
      <c r="C185" s="68">
        <f>IF(Settings!$E$15="POINTS",RANK(E185,E3:E392),H185)</f>
        <v>183</v>
      </c>
      <c r="D185" s="65" t="str">
        <f>VLOOKUP(A185,'The List'!B1:F665,5,FALSE)</f>
        <v>COL</v>
      </c>
      <c r="E185" s="54">
        <f>VLOOKUP(A185,'The List'!B1:I665,8,FALSE)</f>
        <v>215.45343983853476</v>
      </c>
      <c r="F185" s="54">
        <f>IF(Settings!$E$15="POINTS",E185-VLOOKUP(B$2,C1:E392,3,FALSE),J185)</f>
        <v>-139.12082999565106</v>
      </c>
      <c r="G185" s="54"/>
      <c r="H185" s="167">
        <f>RANK(I185,I3:I392)</f>
        <v>158</v>
      </c>
      <c r="I185" s="168">
        <f>VLOOKUP(A185,'Standard Deviations'!A1:C666,3,FALSE)</f>
        <v>0.45651513668057242</v>
      </c>
      <c r="J185" s="168">
        <f>I185-VLOOKUP(B$2,H1:J392,2,FALSE)</f>
        <v>-4.4345746872769363</v>
      </c>
    </row>
    <row r="186" spans="1:10" ht="21.25" customHeight="1" x14ac:dyDescent="0.15">
      <c r="A186" s="9" t="s">
        <v>457</v>
      </c>
      <c r="B186" s="166" t="str">
        <f>VLOOKUP(A186,'The List'!B1:D665,3,FALSE)</f>
        <v>LW</v>
      </c>
      <c r="C186" s="68">
        <f>IF(Settings!$E$15="POINTS",RANK(E186,E3:E392),H186)</f>
        <v>184</v>
      </c>
      <c r="D186" s="65" t="str">
        <f>VLOOKUP(A186,'The List'!B1:F665,5,FALSE)</f>
        <v>STL</v>
      </c>
      <c r="E186" s="54">
        <f>VLOOKUP(A186,'The List'!B1:I665,8,FALSE)</f>
        <v>215.44765408915742</v>
      </c>
      <c r="F186" s="54">
        <f>IF(Settings!$E$15="POINTS",E186-VLOOKUP(B$2,C1:E392,3,FALSE),J186)</f>
        <v>-139.1266157450284</v>
      </c>
      <c r="G186" s="54"/>
      <c r="H186" s="167">
        <f>RANK(I186,I3:I392)</f>
        <v>229</v>
      </c>
      <c r="I186" s="168">
        <f>VLOOKUP(A186,'Standard Deviations'!A1:C666,3,FALSE)</f>
        <v>-1.65041997386226</v>
      </c>
      <c r="J186" s="168">
        <f>I186-VLOOKUP(B$2,H1:J392,2,FALSE)</f>
        <v>-6.5415097978197689</v>
      </c>
    </row>
    <row r="187" spans="1:10" ht="21.25" customHeight="1" x14ac:dyDescent="0.15">
      <c r="A187" s="9" t="s">
        <v>433</v>
      </c>
      <c r="B187" s="166" t="str">
        <f>VLOOKUP(A187,'The List'!B1:D665,3,FALSE)</f>
        <v>C/RW</v>
      </c>
      <c r="C187" s="68">
        <f>IF(Settings!$E$15="POINTS",RANK(E187,E3:E392),H187)</f>
        <v>185</v>
      </c>
      <c r="D187" s="65" t="str">
        <f>VLOOKUP(A187,'The List'!B1:F665,5,FALSE)</f>
        <v>CHI</v>
      </c>
      <c r="E187" s="54">
        <f>VLOOKUP(A187,'The List'!B1:I665,8,FALSE)</f>
        <v>215.22441208905792</v>
      </c>
      <c r="F187" s="54">
        <f>IF(Settings!$E$15="POINTS",E187-VLOOKUP(B$2,C1:E392,3,FALSE),J187)</f>
        <v>-139.34985774512791</v>
      </c>
      <c r="G187" s="54"/>
      <c r="H187" s="167">
        <f>RANK(I187,I3:I392)</f>
        <v>267</v>
      </c>
      <c r="I187" s="168">
        <f>VLOOKUP(A187,'Standard Deviations'!A1:C666,3,FALSE)</f>
        <v>-2.6765729709752124</v>
      </c>
      <c r="J187" s="168">
        <f>I187-VLOOKUP(B$2,H1:J392,2,FALSE)</f>
        <v>-7.5676627949327209</v>
      </c>
    </row>
    <row r="188" spans="1:10" ht="21.25" customHeight="1" x14ac:dyDescent="0.15">
      <c r="A188" s="9" t="s">
        <v>434</v>
      </c>
      <c r="B188" s="166" t="str">
        <f>VLOOKUP(A188,'The List'!B1:D665,3,FALSE)</f>
        <v>RW</v>
      </c>
      <c r="C188" s="68">
        <f>IF(Settings!$E$15="POINTS",RANK(E188,E3:E392),H188)</f>
        <v>186</v>
      </c>
      <c r="D188" s="65" t="str">
        <f>VLOOKUP(A188,'The List'!B1:F665,5,FALSE)</f>
        <v>VAN</v>
      </c>
      <c r="E188" s="54">
        <f>VLOOKUP(A188,'The List'!B1:I665,8,FALSE)</f>
        <v>215.01081741753075</v>
      </c>
      <c r="F188" s="54">
        <f>IF(Settings!$E$15="POINTS",E188-VLOOKUP(B$2,C1:E392,3,FALSE),J188)</f>
        <v>-139.56345241665508</v>
      </c>
      <c r="G188" s="54"/>
      <c r="H188" s="167">
        <f>RANK(I188,I3:I392)</f>
        <v>207</v>
      </c>
      <c r="I188" s="168">
        <f>VLOOKUP(A188,'Standard Deviations'!A1:C666,3,FALSE)</f>
        <v>-0.9392460818936168</v>
      </c>
      <c r="J188" s="168">
        <f>I188-VLOOKUP(B$2,H1:J392,2,FALSE)</f>
        <v>-5.8303359058511255</v>
      </c>
    </row>
    <row r="189" spans="1:10" ht="21.25" customHeight="1" x14ac:dyDescent="0.15">
      <c r="A189" s="9" t="s">
        <v>436</v>
      </c>
      <c r="B189" s="166" t="str">
        <f>VLOOKUP(A189,'The List'!B1:D665,3,FALSE)</f>
        <v>RW</v>
      </c>
      <c r="C189" s="68">
        <f>IF(Settings!$E$15="POINTS",RANK(E189,E3:E392),H189)</f>
        <v>187</v>
      </c>
      <c r="D189" s="65" t="str">
        <f>VLOOKUP(A189,'The List'!B1:F665,5,FALSE)</f>
        <v>VGK</v>
      </c>
      <c r="E189" s="54">
        <f>VLOOKUP(A189,'The List'!B1:I665,8,FALSE)</f>
        <v>214.65069947853513</v>
      </c>
      <c r="F189" s="54">
        <f>IF(Settings!$E$15="POINTS",E189-VLOOKUP(B$2,C1:E392,3,FALSE),J189)</f>
        <v>-139.9235703556507</v>
      </c>
      <c r="G189" s="54"/>
      <c r="H189" s="167">
        <f>RANK(I189,I3:I392)</f>
        <v>194</v>
      </c>
      <c r="I189" s="168">
        <f>VLOOKUP(A189,'Standard Deviations'!A1:C666,3,FALSE)</f>
        <v>-0.67190538985265402</v>
      </c>
      <c r="J189" s="168">
        <f>I189-VLOOKUP(B$2,H1:J392,2,FALSE)</f>
        <v>-5.5629952138101624</v>
      </c>
    </row>
    <row r="190" spans="1:10" ht="21.25" customHeight="1" x14ac:dyDescent="0.15">
      <c r="A190" s="9" t="s">
        <v>463</v>
      </c>
      <c r="B190" s="166" t="str">
        <f>VLOOKUP(A190,'The List'!B1:D665,3,FALSE)</f>
        <v>LW</v>
      </c>
      <c r="C190" s="68">
        <f>IF(Settings!$E$15="POINTS",RANK(E190,E3:E392),H190)</f>
        <v>188</v>
      </c>
      <c r="D190" s="65" t="str">
        <f>VLOOKUP(A190,'The List'!B1:F665,5,FALSE)</f>
        <v>NYI</v>
      </c>
      <c r="E190" s="54">
        <f>VLOOKUP(A190,'The List'!B1:I665,8,FALSE)</f>
        <v>214.09980224262682</v>
      </c>
      <c r="F190" s="54">
        <f>IF(Settings!$E$15="POINTS",E190-VLOOKUP(B$2,C1:E392,3,FALSE),J190)</f>
        <v>-140.47446759155901</v>
      </c>
      <c r="G190" s="54"/>
      <c r="H190" s="167">
        <f>RANK(I190,I3:I392)</f>
        <v>150</v>
      </c>
      <c r="I190" s="168">
        <f>VLOOKUP(A190,'Standard Deviations'!A1:C666,3,FALSE)</f>
        <v>0.64295493100869727</v>
      </c>
      <c r="J190" s="168">
        <f>I190-VLOOKUP(B$2,H1:J392,2,FALSE)</f>
        <v>-4.2481348929488112</v>
      </c>
    </row>
    <row r="191" spans="1:10" ht="21.25" customHeight="1" x14ac:dyDescent="0.15">
      <c r="A191" s="9" t="s">
        <v>464</v>
      </c>
      <c r="B191" s="166" t="str">
        <f>VLOOKUP(A191,'The List'!B1:D665,3,FALSE)</f>
        <v>C/LW</v>
      </c>
      <c r="C191" s="68">
        <f>IF(Settings!$E$15="POINTS",RANK(E191,E3:E392),H191)</f>
        <v>189</v>
      </c>
      <c r="D191" s="65" t="str">
        <f>VLOOKUP(A191,'The List'!B1:F665,5,FALSE)</f>
        <v>EDM</v>
      </c>
      <c r="E191" s="54">
        <f>VLOOKUP(A191,'The List'!B1:I665,8,FALSE)</f>
        <v>214.07090462123315</v>
      </c>
      <c r="F191" s="54">
        <f>IF(Settings!$E$15="POINTS",E191-VLOOKUP(B$2,C1:E392,3,FALSE),J191)</f>
        <v>-140.50336521295267</v>
      </c>
      <c r="G191" s="54"/>
      <c r="H191" s="167">
        <f>RANK(I191,I3:I392)</f>
        <v>182</v>
      </c>
      <c r="I191" s="168">
        <f>VLOOKUP(A191,'Standard Deviations'!A1:C666,3,FALSE)</f>
        <v>-0.27417154640498886</v>
      </c>
      <c r="J191" s="168">
        <f>I191-VLOOKUP(B$2,H1:J392,2,FALSE)</f>
        <v>-5.1652613703624972</v>
      </c>
    </row>
    <row r="192" spans="1:10" ht="21.25" customHeight="1" x14ac:dyDescent="0.15">
      <c r="A192" s="9" t="s">
        <v>466</v>
      </c>
      <c r="B192" s="166" t="str">
        <f>VLOOKUP(A192,'The List'!B1:D665,3,FALSE)</f>
        <v>LW</v>
      </c>
      <c r="C192" s="68">
        <f>IF(Settings!$E$15="POINTS",RANK(E192,E3:E392),H192)</f>
        <v>190</v>
      </c>
      <c r="D192" s="65" t="str">
        <f>VLOOKUP(A192,'The List'!B1:F665,5,FALSE)</f>
        <v>CBJ</v>
      </c>
      <c r="E192" s="54">
        <f>VLOOKUP(A192,'The List'!B1:I665,8,FALSE)</f>
        <v>213.7926580212345</v>
      </c>
      <c r="F192" s="54">
        <f>IF(Settings!$E$15="POINTS",E192-VLOOKUP(B$2,C1:E392,3,FALSE),J192)</f>
        <v>-140.78161181295133</v>
      </c>
      <c r="G192" s="54"/>
      <c r="H192" s="167">
        <f>RANK(I192,I3:I392)</f>
        <v>232</v>
      </c>
      <c r="I192" s="168">
        <f>VLOOKUP(A192,'Standard Deviations'!A1:C666,3,FALSE)</f>
        <v>-1.7579425439187899</v>
      </c>
      <c r="J192" s="168">
        <f>I192-VLOOKUP(B$2,H1:J392,2,FALSE)</f>
        <v>-6.6490323678762984</v>
      </c>
    </row>
    <row r="193" spans="1:10" ht="21.25" customHeight="1" x14ac:dyDescent="0.15">
      <c r="A193" s="9" t="s">
        <v>490</v>
      </c>
      <c r="B193" s="166" t="str">
        <f>VLOOKUP(A193,'The List'!B1:D665,3,FALSE)</f>
        <v>C</v>
      </c>
      <c r="C193" s="68">
        <f>IF(Settings!$E$15="POINTS",RANK(E193,E3:E392),H193)</f>
        <v>191</v>
      </c>
      <c r="D193" s="65" t="str">
        <f>VLOOKUP(A193,'The List'!B1:F665,5,FALSE)</f>
        <v>TOR</v>
      </c>
      <c r="E193" s="54">
        <f>VLOOKUP(A193,'The List'!B1:I665,8,FALSE)</f>
        <v>213.0783786879806</v>
      </c>
      <c r="F193" s="54">
        <f>IF(Settings!$E$15="POINTS",E193-VLOOKUP(B$2,C1:E392,3,FALSE),J193)</f>
        <v>-141.49589114620522</v>
      </c>
      <c r="G193" s="54"/>
      <c r="H193" s="167">
        <f>RANK(I193,I3:I392)</f>
        <v>153</v>
      </c>
      <c r="I193" s="168">
        <f>VLOOKUP(A193,'Standard Deviations'!A1:C666,3,FALSE)</f>
        <v>0.51257451088289963</v>
      </c>
      <c r="J193" s="168">
        <f>I193-VLOOKUP(B$2,H1:J392,2,FALSE)</f>
        <v>-4.3785153130746091</v>
      </c>
    </row>
    <row r="194" spans="1:10" ht="21.25" customHeight="1" x14ac:dyDescent="0.15">
      <c r="A194" s="9" t="s">
        <v>468</v>
      </c>
      <c r="B194" s="166" t="str">
        <f>VLOOKUP(A194,'The List'!B1:D665,3,FALSE)</f>
        <v>LW</v>
      </c>
      <c r="C194" s="68">
        <f>IF(Settings!$E$15="POINTS",RANK(E194,E3:E392),H194)</f>
        <v>192</v>
      </c>
      <c r="D194" s="65" t="str">
        <f>VLOOKUP(A194,'The List'!B1:F665,5,FALSE)</f>
        <v>BUF</v>
      </c>
      <c r="E194" s="54">
        <f>VLOOKUP(A194,'The List'!B1:I665,8,FALSE)</f>
        <v>211.79045893320122</v>
      </c>
      <c r="F194" s="54">
        <f>IF(Settings!$E$15="POINTS",E194-VLOOKUP(B$2,C1:E392,3,FALSE),J194)</f>
        <v>-142.78381090098461</v>
      </c>
      <c r="G194" s="54"/>
      <c r="H194" s="167">
        <f>RANK(I194,I3:I392)</f>
        <v>206</v>
      </c>
      <c r="I194" s="168">
        <f>VLOOKUP(A194,'Standard Deviations'!A1:C666,3,FALSE)</f>
        <v>-0.92607705378104277</v>
      </c>
      <c r="J194" s="168">
        <f>I194-VLOOKUP(B$2,H1:J392,2,FALSE)</f>
        <v>-5.8171668777385515</v>
      </c>
    </row>
    <row r="195" spans="1:10" ht="21.25" customHeight="1" x14ac:dyDescent="0.15">
      <c r="A195" s="9" t="s">
        <v>495</v>
      </c>
      <c r="B195" s="166" t="str">
        <f>VLOOKUP(A195,'The List'!B1:D665,3,FALSE)</f>
        <v>C</v>
      </c>
      <c r="C195" s="68">
        <f>IF(Settings!$E$15="POINTS",RANK(E195,E3:E392),H195)</f>
        <v>193</v>
      </c>
      <c r="D195" s="65" t="str">
        <f>VLOOKUP(A195,'The List'!B1:F665,5,FALSE)</f>
        <v>NYR</v>
      </c>
      <c r="E195" s="54">
        <f>VLOOKUP(A195,'The List'!B1:I665,8,FALSE)</f>
        <v>210.44619824116654</v>
      </c>
      <c r="F195" s="54">
        <f>IF(Settings!$E$15="POINTS",E195-VLOOKUP(B$2,C1:E392,3,FALSE),J195)</f>
        <v>-144.12807159301929</v>
      </c>
      <c r="G195" s="54"/>
      <c r="H195" s="167">
        <f>RANK(I195,I3:I392)</f>
        <v>175</v>
      </c>
      <c r="I195" s="168">
        <f>VLOOKUP(A195,'Standard Deviations'!A1:C666,3,FALSE)</f>
        <v>-0.17472870034901333</v>
      </c>
      <c r="J195" s="168">
        <f>I195-VLOOKUP(B$2,H1:J392,2,FALSE)</f>
        <v>-5.0658185243065219</v>
      </c>
    </row>
    <row r="196" spans="1:10" ht="21.25" customHeight="1" x14ac:dyDescent="0.15">
      <c r="A196" s="9" t="s">
        <v>448</v>
      </c>
      <c r="B196" s="166" t="str">
        <f>VLOOKUP(A196,'The List'!B1:D665,3,FALSE)</f>
        <v>RW</v>
      </c>
      <c r="C196" s="68">
        <f>IF(Settings!$E$15="POINTS",RANK(E196,E3:E392),H196)</f>
        <v>194</v>
      </c>
      <c r="D196" s="65" t="str">
        <f>VLOOKUP(A196,'The List'!B1:F665,5,FALSE)</f>
        <v>CAR</v>
      </c>
      <c r="E196" s="54">
        <f>VLOOKUP(A196,'The List'!B1:I665,8,FALSE)</f>
        <v>207.14970013963574</v>
      </c>
      <c r="F196" s="54">
        <f>IF(Settings!$E$15="POINTS",E196-VLOOKUP(B$2,C1:E392,3,FALSE),J196)</f>
        <v>-147.42456969455009</v>
      </c>
      <c r="G196" s="54"/>
      <c r="H196" s="167">
        <f>RANK(I196,I3:I392)</f>
        <v>203</v>
      </c>
      <c r="I196" s="168">
        <f>VLOOKUP(A196,'Standard Deviations'!A1:C666,3,FALSE)</f>
        <v>-0.86510299107699107</v>
      </c>
      <c r="J196" s="168">
        <f>I196-VLOOKUP(B$2,H1:J392,2,FALSE)</f>
        <v>-5.7561928150344999</v>
      </c>
    </row>
    <row r="197" spans="1:10" ht="21.25" customHeight="1" x14ac:dyDescent="0.15">
      <c r="A197" s="9" t="s">
        <v>508</v>
      </c>
      <c r="B197" s="166" t="str">
        <f>VLOOKUP(A197,'The List'!B1:D665,3,FALSE)</f>
        <v>C</v>
      </c>
      <c r="C197" s="68">
        <f>IF(Settings!$E$15="POINTS",RANK(E197,E3:E392),H197)</f>
        <v>195</v>
      </c>
      <c r="D197" s="65" t="str">
        <f>VLOOKUP(A197,'The List'!B1:F665,5,FALSE)</f>
        <v>SEA</v>
      </c>
      <c r="E197" s="54">
        <f>VLOOKUP(A197,'The List'!B1:I665,8,FALSE)</f>
        <v>205.66871161214348</v>
      </c>
      <c r="F197" s="54">
        <f>IF(Settings!$E$15="POINTS",E197-VLOOKUP(B$2,C1:E392,3,FALSE),J197)</f>
        <v>-148.90555822204234</v>
      </c>
      <c r="G197" s="54"/>
      <c r="H197" s="167">
        <f>RANK(I197,I3:I392)</f>
        <v>226</v>
      </c>
      <c r="I197" s="168">
        <f>VLOOKUP(A197,'Standard Deviations'!A1:C666,3,FALSE)</f>
        <v>-1.49174319376563</v>
      </c>
      <c r="J197" s="168">
        <f>I197-VLOOKUP(B$2,H1:J392,2,FALSE)</f>
        <v>-6.3828330177231383</v>
      </c>
    </row>
    <row r="198" spans="1:10" ht="21.25" customHeight="1" x14ac:dyDescent="0.15">
      <c r="A198" s="9" t="s">
        <v>510</v>
      </c>
      <c r="B198" s="166" t="str">
        <f>VLOOKUP(A198,'The List'!B1:D665,3,FALSE)</f>
        <v>C</v>
      </c>
      <c r="C198" s="68">
        <f>IF(Settings!$E$15="POINTS",RANK(E198,E3:E392),H198)</f>
        <v>196</v>
      </c>
      <c r="D198" s="65" t="str">
        <f>VLOOKUP(A198,'The List'!B1:F665,5,FALSE)</f>
        <v>MTL</v>
      </c>
      <c r="E198" s="54">
        <f>VLOOKUP(A198,'The List'!B1:I665,8,FALSE)</f>
        <v>205.29776249969788</v>
      </c>
      <c r="F198" s="54">
        <f>IF(Settings!$E$15="POINTS",E198-VLOOKUP(B$2,C1:E392,3,FALSE),J198)</f>
        <v>-149.27650733448795</v>
      </c>
      <c r="G198" s="54"/>
      <c r="H198" s="167">
        <f>RANK(I198,I3:I392)</f>
        <v>238</v>
      </c>
      <c r="I198" s="168">
        <f>VLOOKUP(A198,'Standard Deviations'!A1:C666,3,FALSE)</f>
        <v>-1.838647375127419</v>
      </c>
      <c r="J198" s="168">
        <f>I198-VLOOKUP(B$2,H1:J392,2,FALSE)</f>
        <v>-6.7297371990849273</v>
      </c>
    </row>
    <row r="199" spans="1:10" ht="21.25" customHeight="1" x14ac:dyDescent="0.15">
      <c r="A199" s="9" t="s">
        <v>453</v>
      </c>
      <c r="B199" s="166" t="str">
        <f>VLOOKUP(A199,'The List'!B1:D665,3,FALSE)</f>
        <v>RW</v>
      </c>
      <c r="C199" s="68">
        <f>IF(Settings!$E$15="POINTS",RANK(E199,E3:E392),H199)</f>
        <v>197</v>
      </c>
      <c r="D199" s="65" t="str">
        <f>VLOOKUP(A199,'The List'!B1:F665,5,FALSE)</f>
        <v>NSH</v>
      </c>
      <c r="E199" s="54">
        <f>VLOOKUP(A199,'The List'!B1:I665,8,FALSE)</f>
        <v>204.59759719813539</v>
      </c>
      <c r="F199" s="54">
        <f>IF(Settings!$E$15="POINTS",E199-VLOOKUP(B$2,C1:E392,3,FALSE),J199)</f>
        <v>-149.97667263605044</v>
      </c>
      <c r="G199" s="54"/>
      <c r="H199" s="167">
        <f>RANK(I199,I3:I392)</f>
        <v>179</v>
      </c>
      <c r="I199" s="168">
        <f>VLOOKUP(A199,'Standard Deviations'!A1:C666,3,FALSE)</f>
        <v>-0.23203193080323248</v>
      </c>
      <c r="J199" s="168">
        <f>I199-VLOOKUP(B$2,H1:J392,2,FALSE)</f>
        <v>-5.1231217547607413</v>
      </c>
    </row>
    <row r="200" spans="1:10" ht="21.25" customHeight="1" x14ac:dyDescent="0.15">
      <c r="A200" s="9" t="s">
        <v>492</v>
      </c>
      <c r="B200" s="166" t="str">
        <f>VLOOKUP(A200,'The List'!B1:D665,3,FALSE)</f>
        <v>C/LW</v>
      </c>
      <c r="C200" s="68">
        <f>IF(Settings!$E$15="POINTS",RANK(E200,E3:E392),H200)</f>
        <v>198</v>
      </c>
      <c r="D200" s="65" t="str">
        <f>VLOOKUP(A200,'The List'!B1:F665,5,FALSE)</f>
        <v>T.B</v>
      </c>
      <c r="E200" s="54">
        <f>VLOOKUP(A200,'The List'!B1:I665,8,FALSE)</f>
        <v>202.27305733619326</v>
      </c>
      <c r="F200" s="54">
        <f>IF(Settings!$E$15="POINTS",E200-VLOOKUP(B$2,C1:E392,3,FALSE),J200)</f>
        <v>-152.30121249799257</v>
      </c>
      <c r="G200" s="54"/>
      <c r="H200" s="167">
        <f>RANK(I200,I3:I392)</f>
        <v>193</v>
      </c>
      <c r="I200" s="168">
        <f>VLOOKUP(A200,'Standard Deviations'!A1:C666,3,FALSE)</f>
        <v>-0.66863625616955524</v>
      </c>
      <c r="J200" s="168">
        <f>I200-VLOOKUP(B$2,H1:J392,2,FALSE)</f>
        <v>-5.5597260801270636</v>
      </c>
    </row>
    <row r="201" spans="1:10" ht="21.25" customHeight="1" x14ac:dyDescent="0.15">
      <c r="A201" s="9" t="s">
        <v>493</v>
      </c>
      <c r="B201" s="166" t="str">
        <f>VLOOKUP(A201,'The List'!B1:D665,3,FALSE)</f>
        <v>LW</v>
      </c>
      <c r="C201" s="68">
        <f>IF(Settings!$E$15="POINTS",RANK(E201,E3:E392),H201)</f>
        <v>199</v>
      </c>
      <c r="D201" s="65" t="str">
        <f>VLOOKUP(A201,'The List'!B1:F665,5,FALSE)</f>
        <v>ANA</v>
      </c>
      <c r="E201" s="54">
        <f>VLOOKUP(A201,'The List'!B1:I665,8,FALSE)</f>
        <v>201.97628212547417</v>
      </c>
      <c r="F201" s="54">
        <f>IF(Settings!$E$15="POINTS",E201-VLOOKUP(B$2,C1:E392,3,FALSE),J201)</f>
        <v>-152.59798770871166</v>
      </c>
      <c r="G201" s="54"/>
      <c r="H201" s="167">
        <f>RANK(I201,I3:I392)</f>
        <v>254</v>
      </c>
      <c r="I201" s="168">
        <f>VLOOKUP(A201,'Standard Deviations'!A1:C666,3,FALSE)</f>
        <v>-2.2274177721579664</v>
      </c>
      <c r="J201" s="168">
        <f>I201-VLOOKUP(B$2,H1:J392,2,FALSE)</f>
        <v>-7.1185075961154745</v>
      </c>
    </row>
    <row r="202" spans="1:10" ht="21.25" customHeight="1" x14ac:dyDescent="0.15">
      <c r="A202" s="9" t="s">
        <v>529</v>
      </c>
      <c r="B202" s="166" t="str">
        <f>VLOOKUP(A202,'The List'!B1:D665,3,FALSE)</f>
        <v>C</v>
      </c>
      <c r="C202" s="68">
        <f>IF(Settings!$E$15="POINTS",RANK(E202,E3:E392),H202)</f>
        <v>200</v>
      </c>
      <c r="D202" s="65" t="str">
        <f>VLOOKUP(A202,'The List'!B1:F665,5,FALSE)</f>
        <v>DET</v>
      </c>
      <c r="E202" s="54">
        <f>VLOOKUP(A202,'The List'!B1:I665,8,FALSE)</f>
        <v>201.68103401389223</v>
      </c>
      <c r="F202" s="54">
        <f>IF(Settings!$E$15="POINTS",E202-VLOOKUP(B$2,C1:E392,3,FALSE),J202)</f>
        <v>-152.8932358202936</v>
      </c>
      <c r="G202" s="54"/>
      <c r="H202" s="167">
        <f>RANK(I202,I3:I392)</f>
        <v>236</v>
      </c>
      <c r="I202" s="168">
        <f>VLOOKUP(A202,'Standard Deviations'!A1:C666,3,FALSE)</f>
        <v>-1.8172207899368535</v>
      </c>
      <c r="J202" s="168">
        <f>I202-VLOOKUP(B$2,H1:J392,2,FALSE)</f>
        <v>-6.708310613894362</v>
      </c>
    </row>
    <row r="203" spans="1:10" ht="21.25" customHeight="1" x14ac:dyDescent="0.15">
      <c r="A203" s="9" t="s">
        <v>465</v>
      </c>
      <c r="B203" s="166" t="str">
        <f>VLOOKUP(A203,'The List'!B1:D665,3,FALSE)</f>
        <v>LW/RW</v>
      </c>
      <c r="C203" s="68">
        <f>IF(Settings!$E$15="POINTS",RANK(E203,E3:E392),H203)</f>
        <v>201</v>
      </c>
      <c r="D203" s="65" t="str">
        <f>VLOOKUP(A203,'The List'!B1:F665,5,FALSE)</f>
        <v>UTA</v>
      </c>
      <c r="E203" s="54">
        <f>VLOOKUP(A203,'The List'!B1:I665,8,FALSE)</f>
        <v>201.65756224576916</v>
      </c>
      <c r="F203" s="54">
        <f>IF(Settings!$E$15="POINTS",E203-VLOOKUP(B$2,C1:E392,3,FALSE),J203)</f>
        <v>-152.91670758841667</v>
      </c>
      <c r="G203" s="54"/>
      <c r="H203" s="167">
        <f>RANK(I203,I3:I392)</f>
        <v>204</v>
      </c>
      <c r="I203" s="168">
        <f>VLOOKUP(A203,'Standard Deviations'!A1:C666,3,FALSE)</f>
        <v>-0.87654081128663464</v>
      </c>
      <c r="J203" s="168">
        <f>I203-VLOOKUP(B$2,H1:J392,2,FALSE)</f>
        <v>-5.7676306352441431</v>
      </c>
    </row>
    <row r="204" spans="1:10" ht="21.25" customHeight="1" x14ac:dyDescent="0.15">
      <c r="A204" s="9" t="s">
        <v>467</v>
      </c>
      <c r="B204" s="166" t="str">
        <f>VLOOKUP(A204,'The List'!B1:D665,3,FALSE)</f>
        <v>LW/RW</v>
      </c>
      <c r="C204" s="68">
        <f>IF(Settings!$E$15="POINTS",RANK(E204,E3:E392),H204)</f>
        <v>202</v>
      </c>
      <c r="D204" s="65" t="str">
        <f>VLOOKUP(A204,'The List'!B1:F665,5,FALSE)</f>
        <v>L.A</v>
      </c>
      <c r="E204" s="54">
        <f>VLOOKUP(A204,'The List'!B1:I665,8,FALSE)</f>
        <v>200.10505816891566</v>
      </c>
      <c r="F204" s="54">
        <f>IF(Settings!$E$15="POINTS",E204-VLOOKUP(B$2,C1:E392,3,FALSE),J204)</f>
        <v>-154.46921166527017</v>
      </c>
      <c r="G204" s="54"/>
      <c r="H204" s="167">
        <f>RANK(I204,I3:I392)</f>
        <v>160</v>
      </c>
      <c r="I204" s="168">
        <f>VLOOKUP(A204,'Standard Deviations'!A1:C666,3,FALSE)</f>
        <v>0.35309005756361533</v>
      </c>
      <c r="J204" s="168">
        <f>I204-VLOOKUP(B$2,H1:J392,2,FALSE)</f>
        <v>-4.5379997663938934</v>
      </c>
    </row>
    <row r="205" spans="1:10" ht="21.25" customHeight="1" x14ac:dyDescent="0.15">
      <c r="A205" s="9" t="s">
        <v>502</v>
      </c>
      <c r="B205" s="166" t="str">
        <f>VLOOKUP(A205,'The List'!B1:D665,3,FALSE)</f>
        <v>LW</v>
      </c>
      <c r="C205" s="68">
        <f>IF(Settings!$E$15="POINTS",RANK(E205,E3:E392),H205)</f>
        <v>203</v>
      </c>
      <c r="D205" s="65" t="str">
        <f>VLOOKUP(A205,'The List'!B1:F665,5,FALSE)</f>
        <v>VAN</v>
      </c>
      <c r="E205" s="54">
        <f>VLOOKUP(A205,'The List'!B1:I665,8,FALSE)</f>
        <v>198.73479093968027</v>
      </c>
      <c r="F205" s="54">
        <f>IF(Settings!$E$15="POINTS",E205-VLOOKUP(B$2,C1:E392,3,FALSE),J205)</f>
        <v>-155.83947889450556</v>
      </c>
      <c r="G205" s="54"/>
      <c r="H205" s="167">
        <f>RANK(I205,I3:I392)</f>
        <v>196</v>
      </c>
      <c r="I205" s="168">
        <f>VLOOKUP(A205,'Standard Deviations'!A1:C666,3,FALSE)</f>
        <v>-0.7092409975386863</v>
      </c>
      <c r="J205" s="168">
        <f>I205-VLOOKUP(B$2,H1:J392,2,FALSE)</f>
        <v>-5.6003308214961951</v>
      </c>
    </row>
    <row r="206" spans="1:10" ht="21.25" customHeight="1" x14ac:dyDescent="0.15">
      <c r="A206" s="9" t="s">
        <v>541</v>
      </c>
      <c r="B206" s="166" t="str">
        <f>VLOOKUP(A206,'The List'!B1:D665,3,FALSE)</f>
        <v>C</v>
      </c>
      <c r="C206" s="68">
        <f>IF(Settings!$E$15="POINTS",RANK(E206,E3:E392),H206)</f>
        <v>204</v>
      </c>
      <c r="D206" s="65" t="str">
        <f>VLOOKUP(A206,'The List'!B1:F665,5,FALSE)</f>
        <v>COL</v>
      </c>
      <c r="E206" s="54">
        <f>VLOOKUP(A206,'The List'!B1:I665,8,FALSE)</f>
        <v>198.22697643627487</v>
      </c>
      <c r="F206" s="54">
        <f>IF(Settings!$E$15="POINTS",E206-VLOOKUP(B$2,C1:E392,3,FALSE),J206)</f>
        <v>-156.34729339791096</v>
      </c>
      <c r="G206" s="54"/>
      <c r="H206" s="167">
        <f>RANK(I206,I3:I392)</f>
        <v>191</v>
      </c>
      <c r="I206" s="168">
        <f>VLOOKUP(A206,'Standard Deviations'!A1:C666,3,FALSE)</f>
        <v>-0.61242516927323742</v>
      </c>
      <c r="J206" s="168">
        <f>I206-VLOOKUP(B$2,H1:J392,2,FALSE)</f>
        <v>-5.5035149932307457</v>
      </c>
    </row>
    <row r="207" spans="1:10" ht="21.25" customHeight="1" x14ac:dyDescent="0.15">
      <c r="A207" s="9" t="s">
        <v>506</v>
      </c>
      <c r="B207" s="166" t="str">
        <f>VLOOKUP(A207,'The List'!B1:D665,3,FALSE)</f>
        <v>LW</v>
      </c>
      <c r="C207" s="68">
        <f>IF(Settings!$E$15="POINTS",RANK(E207,E3:E392),H207)</f>
        <v>205</v>
      </c>
      <c r="D207" s="65" t="str">
        <f>VLOOKUP(A207,'The List'!B1:F665,5,FALSE)</f>
        <v>VGK</v>
      </c>
      <c r="E207" s="54">
        <f>VLOOKUP(A207,'The List'!B1:I665,8,FALSE)</f>
        <v>197.36666632035869</v>
      </c>
      <c r="F207" s="54">
        <f>IF(Settings!$E$15="POINTS",E207-VLOOKUP(B$2,C1:E392,3,FALSE),J207)</f>
        <v>-157.20760351382714</v>
      </c>
      <c r="G207" s="54"/>
      <c r="H207" s="167">
        <f>RANK(I207,I3:I392)</f>
        <v>190</v>
      </c>
      <c r="I207" s="168">
        <f>VLOOKUP(A207,'Standard Deviations'!A1:C666,3,FALSE)</f>
        <v>-0.55801671019412191</v>
      </c>
      <c r="J207" s="168">
        <f>I207-VLOOKUP(B$2,H1:J392,2,FALSE)</f>
        <v>-5.44910653415163</v>
      </c>
    </row>
    <row r="208" spans="1:10" ht="21.25" customHeight="1" x14ac:dyDescent="0.15">
      <c r="A208" s="9" t="s">
        <v>474</v>
      </c>
      <c r="B208" s="166" t="str">
        <f>VLOOKUP(A208,'The List'!B1:D665,3,FALSE)</f>
        <v>C/RW</v>
      </c>
      <c r="C208" s="68">
        <f>IF(Settings!$E$15="POINTS",RANK(E208,E3:E392),H208)</f>
        <v>206</v>
      </c>
      <c r="D208" s="65" t="str">
        <f>VLOOKUP(A208,'The List'!B1:F665,5,FALSE)</f>
        <v>CGY</v>
      </c>
      <c r="E208" s="54">
        <f>VLOOKUP(A208,'The List'!B1:I665,8,FALSE)</f>
        <v>196.50186182487352</v>
      </c>
      <c r="F208" s="54">
        <f>IF(Settings!$E$15="POINTS",E208-VLOOKUP(B$2,C1:E392,3,FALSE),J208)</f>
        <v>-158.07240800931231</v>
      </c>
      <c r="G208" s="54"/>
      <c r="H208" s="167">
        <f>RANK(I208,I3:I392)</f>
        <v>224</v>
      </c>
      <c r="I208" s="168">
        <f>VLOOKUP(A208,'Standard Deviations'!A1:C666,3,FALSE)</f>
        <v>-1.3677648427083873</v>
      </c>
      <c r="J208" s="168">
        <f>I208-VLOOKUP(B$2,H1:J392,2,FALSE)</f>
        <v>-6.2588546666658953</v>
      </c>
    </row>
    <row r="209" spans="1:10" ht="21.25" customHeight="1" x14ac:dyDescent="0.15">
      <c r="A209" s="9" t="s">
        <v>548</v>
      </c>
      <c r="B209" s="166" t="str">
        <f>VLOOKUP(A209,'The List'!B1:D665,3,FALSE)</f>
        <v>C</v>
      </c>
      <c r="C209" s="68">
        <f>IF(Settings!$E$15="POINTS",RANK(E209,E3:E392),H209)</f>
        <v>207</v>
      </c>
      <c r="D209" s="65" t="str">
        <f>VLOOKUP(A209,'The List'!B1:F665,5,FALSE)</f>
        <v>CBJ</v>
      </c>
      <c r="E209" s="54">
        <f>VLOOKUP(A209,'The List'!B1:I665,8,FALSE)</f>
        <v>196.48279850029138</v>
      </c>
      <c r="F209" s="54">
        <f>IF(Settings!$E$15="POINTS",E209-VLOOKUP(B$2,C1:E392,3,FALSE),J209)</f>
        <v>-158.09147133389445</v>
      </c>
      <c r="G209" s="54"/>
      <c r="H209" s="167">
        <f>RANK(I209,I3:I392)</f>
        <v>305</v>
      </c>
      <c r="I209" s="168">
        <f>VLOOKUP(A209,'Standard Deviations'!A1:C666,3,FALSE)</f>
        <v>-3.2471952927718299</v>
      </c>
      <c r="J209" s="168">
        <f>I209-VLOOKUP(B$2,H1:J392,2,FALSE)</f>
        <v>-8.1382851167293389</v>
      </c>
    </row>
    <row r="210" spans="1:10" ht="21.25" customHeight="1" x14ac:dyDescent="0.15">
      <c r="A210" s="9" t="s">
        <v>551</v>
      </c>
      <c r="B210" s="166" t="str">
        <f>VLOOKUP(A210,'The List'!B1:D665,3,FALSE)</f>
        <v>C</v>
      </c>
      <c r="C210" s="68">
        <f>IF(Settings!$E$15="POINTS",RANK(E210,E3:E392),H210)</f>
        <v>208</v>
      </c>
      <c r="D210" s="65" t="str">
        <f>VLOOKUP(A210,'The List'!B1:F665,5,FALSE)</f>
        <v>NYI</v>
      </c>
      <c r="E210" s="54">
        <f>VLOOKUP(A210,'The List'!B1:I665,8,FALSE)</f>
        <v>195.32786878619603</v>
      </c>
      <c r="F210" s="54">
        <f>IF(Settings!$E$15="POINTS",E210-VLOOKUP(B$2,C1:E392,3,FALSE),J210)</f>
        <v>-159.24640104798979</v>
      </c>
      <c r="G210" s="54"/>
      <c r="H210" s="167">
        <f>RANK(I210,I3:I392)</f>
        <v>208</v>
      </c>
      <c r="I210" s="168">
        <f>VLOOKUP(A210,'Standard Deviations'!A1:C666,3,FALSE)</f>
        <v>-0.95885580558280592</v>
      </c>
      <c r="J210" s="168">
        <f>I210-VLOOKUP(B$2,H1:J392,2,FALSE)</f>
        <v>-5.8499456295403141</v>
      </c>
    </row>
    <row r="211" spans="1:10" ht="21.25" customHeight="1" x14ac:dyDescent="0.15">
      <c r="A211" s="9" t="s">
        <v>517</v>
      </c>
      <c r="B211" s="166" t="str">
        <f>VLOOKUP(A211,'The List'!B1:D665,3,FALSE)</f>
        <v>LW</v>
      </c>
      <c r="C211" s="68">
        <f>IF(Settings!$E$15="POINTS",RANK(E211,E3:E392),H211)</f>
        <v>209</v>
      </c>
      <c r="D211" s="65" t="str">
        <f>VLOOKUP(A211,'The List'!B1:F665,5,FALSE)</f>
        <v>VAN</v>
      </c>
      <c r="E211" s="54">
        <f>VLOOKUP(A211,'The List'!B1:I665,8,FALSE)</f>
        <v>194.60909310774798</v>
      </c>
      <c r="F211" s="54">
        <f>IF(Settings!$E$15="POINTS",E211-VLOOKUP(B$2,C1:E392,3,FALSE),J211)</f>
        <v>-159.96517672643785</v>
      </c>
      <c r="G211" s="54"/>
      <c r="H211" s="167">
        <f>RANK(I211,I3:I392)</f>
        <v>167</v>
      </c>
      <c r="I211" s="168">
        <f>VLOOKUP(A211,'Standard Deviations'!A1:C666,3,FALSE)</f>
        <v>4.5156283971242051E-2</v>
      </c>
      <c r="J211" s="168">
        <f>I211-VLOOKUP(B$2,H1:J392,2,FALSE)</f>
        <v>-4.845933539986266</v>
      </c>
    </row>
    <row r="212" spans="1:10" ht="21.25" customHeight="1" x14ac:dyDescent="0.15">
      <c r="A212" s="9" t="s">
        <v>553</v>
      </c>
      <c r="B212" s="166" t="str">
        <f>VLOOKUP(A212,'The List'!B1:D665,3,FALSE)</f>
        <v>C</v>
      </c>
      <c r="C212" s="68">
        <f>IF(Settings!$E$15="POINTS",RANK(E212,E3:E392),H212)</f>
        <v>210</v>
      </c>
      <c r="D212" s="65" t="str">
        <f>VLOOKUP(A212,'The List'!B1:F665,5,FALSE)</f>
        <v>FLA</v>
      </c>
      <c r="E212" s="54">
        <f>VLOOKUP(A212,'The List'!B1:I665,8,FALSE)</f>
        <v>194.34144012010756</v>
      </c>
      <c r="F212" s="54">
        <f>IF(Settings!$E$15="POINTS",E212-VLOOKUP(B$2,C1:E392,3,FALSE),J212)</f>
        <v>-160.23282971407826</v>
      </c>
      <c r="G212" s="54"/>
      <c r="H212" s="167">
        <f>RANK(I212,I3:I392)</f>
        <v>178</v>
      </c>
      <c r="I212" s="168">
        <f>VLOOKUP(A212,'Standard Deviations'!A1:C666,3,FALSE)</f>
        <v>-0.2028383066758801</v>
      </c>
      <c r="J212" s="168">
        <f>I212-VLOOKUP(B$2,H1:J392,2,FALSE)</f>
        <v>-5.0939281306333886</v>
      </c>
    </row>
    <row r="213" spans="1:10" ht="21.25" customHeight="1" x14ac:dyDescent="0.15">
      <c r="A213" s="9" t="s">
        <v>522</v>
      </c>
      <c r="B213" s="166" t="str">
        <f>VLOOKUP(A213,'The List'!B1:D665,3,FALSE)</f>
        <v>LW</v>
      </c>
      <c r="C213" s="68">
        <f>IF(Settings!$E$15="POINTS",RANK(E213,E3:E392),H213)</f>
        <v>211</v>
      </c>
      <c r="D213" s="65" t="str">
        <f>VLOOKUP(A213,'The List'!B1:F665,5,FALSE)</f>
        <v>N.J</v>
      </c>
      <c r="E213" s="54">
        <f>VLOOKUP(A213,'The List'!B1:I665,8,FALSE)</f>
        <v>194.08644905399692</v>
      </c>
      <c r="F213" s="54">
        <f>IF(Settings!$E$15="POINTS",E213-VLOOKUP(B$2,C1:E392,3,FALSE),J213)</f>
        <v>-160.48782078018891</v>
      </c>
      <c r="G213" s="54"/>
      <c r="H213" s="167">
        <f>RANK(I213,I3:I392)</f>
        <v>180</v>
      </c>
      <c r="I213" s="168">
        <f>VLOOKUP(A213,'Standard Deviations'!A1:C666,3,FALSE)</f>
        <v>-0.24118123217400578</v>
      </c>
      <c r="J213" s="168">
        <f>I213-VLOOKUP(B$2,H1:J392,2,FALSE)</f>
        <v>-5.1322710561315139</v>
      </c>
    </row>
    <row r="214" spans="1:10" ht="21.25" customHeight="1" x14ac:dyDescent="0.15">
      <c r="A214" s="9" t="s">
        <v>523</v>
      </c>
      <c r="B214" s="166" t="str">
        <f>VLOOKUP(A214,'The List'!B1:D665,3,FALSE)</f>
        <v>LW</v>
      </c>
      <c r="C214" s="68">
        <f>IF(Settings!$E$15="POINTS",RANK(E214,E3:E392),H214)</f>
        <v>212</v>
      </c>
      <c r="D214" s="65" t="str">
        <f>VLOOKUP(A214,'The List'!B1:F665,5,FALSE)</f>
        <v>PIT</v>
      </c>
      <c r="E214" s="54">
        <f>VLOOKUP(A214,'The List'!B1:I665,8,FALSE)</f>
        <v>193.98930116988254</v>
      </c>
      <c r="F214" s="54">
        <f>IF(Settings!$E$15="POINTS",E214-VLOOKUP(B$2,C1:E392,3,FALSE),J214)</f>
        <v>-160.58496866430329</v>
      </c>
      <c r="G214" s="54"/>
      <c r="H214" s="167">
        <f>RANK(I214,I3:I392)</f>
        <v>225</v>
      </c>
      <c r="I214" s="168">
        <f>VLOOKUP(A214,'Standard Deviations'!A1:C666,3,FALSE)</f>
        <v>-1.4795595547710969</v>
      </c>
      <c r="J214" s="168">
        <f>I214-VLOOKUP(B$2,H1:J392,2,FALSE)</f>
        <v>-6.3706493787286052</v>
      </c>
    </row>
    <row r="215" spans="1:10" ht="21.25" customHeight="1" x14ac:dyDescent="0.15">
      <c r="A215" s="9" t="s">
        <v>524</v>
      </c>
      <c r="B215" s="166" t="str">
        <f>VLOOKUP(A215,'The List'!B1:D665,3,FALSE)</f>
        <v>LW</v>
      </c>
      <c r="C215" s="68">
        <f>IF(Settings!$E$15="POINTS",RANK(E215,E3:E392),H215)</f>
        <v>213</v>
      </c>
      <c r="D215" s="65" t="str">
        <f>VLOOKUP(A215,'The List'!B1:F665,5,FALSE)</f>
        <v>STL</v>
      </c>
      <c r="E215" s="54">
        <f>VLOOKUP(A215,'The List'!B1:I665,8,FALSE)</f>
        <v>193.66166146391362</v>
      </c>
      <c r="F215" s="54">
        <f>IF(Settings!$E$15="POINTS",E215-VLOOKUP(B$2,C1:E392,3,FALSE),J215)</f>
        <v>-160.91260837027221</v>
      </c>
      <c r="G215" s="54"/>
      <c r="H215" s="167">
        <f>RANK(I215,I3:I392)</f>
        <v>156</v>
      </c>
      <c r="I215" s="168">
        <f>VLOOKUP(A215,'Standard Deviations'!A1:C666,3,FALSE)</f>
        <v>0.49166961904138229</v>
      </c>
      <c r="J215" s="168">
        <f>I215-VLOOKUP(B$2,H1:J392,2,FALSE)</f>
        <v>-4.399420204916126</v>
      </c>
    </row>
    <row r="216" spans="1:10" ht="21.25" customHeight="1" x14ac:dyDescent="0.15">
      <c r="A216" s="9" t="s">
        <v>487</v>
      </c>
      <c r="B216" s="166" t="str">
        <f>VLOOKUP(A216,'The List'!B1:D665,3,FALSE)</f>
        <v>C/RW</v>
      </c>
      <c r="C216" s="68">
        <f>IF(Settings!$E$15="POINTS",RANK(E216,E3:E392),H216)</f>
        <v>214</v>
      </c>
      <c r="D216" s="65" t="str">
        <f>VLOOKUP(A216,'The List'!B1:F665,5,FALSE)</f>
        <v>BOS</v>
      </c>
      <c r="E216" s="54">
        <f>VLOOKUP(A216,'The List'!B1:I665,8,FALSE)</f>
        <v>193.26650481507252</v>
      </c>
      <c r="F216" s="54">
        <f>IF(Settings!$E$15="POINTS",E216-VLOOKUP(B$2,C1:E392,3,FALSE),J216)</f>
        <v>-161.3077650191133</v>
      </c>
      <c r="G216" s="54"/>
      <c r="H216" s="167">
        <f>RANK(I216,I3:I392)</f>
        <v>198</v>
      </c>
      <c r="I216" s="168">
        <f>VLOOKUP(A216,'Standard Deviations'!A1:C666,3,FALSE)</f>
        <v>-0.71488338848390154</v>
      </c>
      <c r="J216" s="168">
        <f>I216-VLOOKUP(B$2,H1:J392,2,FALSE)</f>
        <v>-5.6059732124414099</v>
      </c>
    </row>
    <row r="217" spans="1:10" ht="21.25" customHeight="1" x14ac:dyDescent="0.15">
      <c r="A217" s="9" t="s">
        <v>488</v>
      </c>
      <c r="B217" s="166" t="str">
        <f>VLOOKUP(A217,'The List'!B1:D665,3,FALSE)</f>
        <v>RW</v>
      </c>
      <c r="C217" s="68">
        <f>IF(Settings!$E$15="POINTS",RANK(E217,E3:E392),H217)</f>
        <v>215</v>
      </c>
      <c r="D217" s="65" t="str">
        <f>VLOOKUP(A217,'The List'!B1:F665,5,FALSE)</f>
        <v>PIT</v>
      </c>
      <c r="E217" s="54">
        <f>VLOOKUP(A217,'The List'!B1:I665,8,FALSE)</f>
        <v>193.05789367640895</v>
      </c>
      <c r="F217" s="54">
        <f>IF(Settings!$E$15="POINTS",E217-VLOOKUP(B$2,C1:E392,3,FALSE),J217)</f>
        <v>-161.51637615777688</v>
      </c>
      <c r="G217" s="54"/>
      <c r="H217" s="167">
        <f>RANK(I217,I3:I392)</f>
        <v>213</v>
      </c>
      <c r="I217" s="168">
        <f>VLOOKUP(A217,'Standard Deviations'!A1:C666,3,FALSE)</f>
        <v>-1.0349920668379098</v>
      </c>
      <c r="J217" s="168">
        <f>I217-VLOOKUP(B$2,H1:J392,2,FALSE)</f>
        <v>-5.9260818907954178</v>
      </c>
    </row>
    <row r="218" spans="1:10" ht="21.25" customHeight="1" x14ac:dyDescent="0.15">
      <c r="A218" s="9" t="s">
        <v>528</v>
      </c>
      <c r="B218" s="166" t="str">
        <f>VLOOKUP(A218,'The List'!B1:D665,3,FALSE)</f>
        <v>LW</v>
      </c>
      <c r="C218" s="68">
        <f>IF(Settings!$E$15="POINTS",RANK(E218,E3:E392),H218)</f>
        <v>216</v>
      </c>
      <c r="D218" s="65" t="str">
        <f>VLOOKUP(A218,'The List'!B1:F665,5,FALSE)</f>
        <v>TOR</v>
      </c>
      <c r="E218" s="54">
        <f>VLOOKUP(A218,'The List'!B1:I665,8,FALSE)</f>
        <v>192.82447402367754</v>
      </c>
      <c r="F218" s="54">
        <f>IF(Settings!$E$15="POINTS",E218-VLOOKUP(B$2,C1:E392,3,FALSE),J218)</f>
        <v>-161.74979581050829</v>
      </c>
      <c r="G218" s="54"/>
      <c r="H218" s="167">
        <f>RANK(I218,I3:I392)</f>
        <v>181</v>
      </c>
      <c r="I218" s="168">
        <f>VLOOKUP(A218,'Standard Deviations'!A1:C666,3,FALSE)</f>
        <v>-0.26414939652630332</v>
      </c>
      <c r="J218" s="168">
        <f>I218-VLOOKUP(B$2,H1:J392,2,FALSE)</f>
        <v>-5.1552392204838116</v>
      </c>
    </row>
    <row r="219" spans="1:10" ht="21.25" customHeight="1" x14ac:dyDescent="0.15">
      <c r="A219" s="9" t="s">
        <v>532</v>
      </c>
      <c r="B219" s="166" t="str">
        <f>VLOOKUP(A219,'The List'!B1:D665,3,FALSE)</f>
        <v>LW</v>
      </c>
      <c r="C219" s="68">
        <f>IF(Settings!$E$15="POINTS",RANK(E219,E3:E392),H219)</f>
        <v>217</v>
      </c>
      <c r="D219" s="65" t="str">
        <f>VLOOKUP(A219,'The List'!B1:F665,5,FALSE)</f>
        <v>BUF</v>
      </c>
      <c r="E219" s="54">
        <f>VLOOKUP(A219,'The List'!B1:I665,8,FALSE)</f>
        <v>192.28281544298369</v>
      </c>
      <c r="F219" s="54">
        <f>IF(Settings!$E$15="POINTS",E219-VLOOKUP(B$2,C1:E392,3,FALSE),J219)</f>
        <v>-162.29145439120214</v>
      </c>
      <c r="G219" s="54"/>
      <c r="H219" s="167">
        <f>RANK(I219,I3:I392)</f>
        <v>215</v>
      </c>
      <c r="I219" s="168">
        <f>VLOOKUP(A219,'Standard Deviations'!A1:C666,3,FALSE)</f>
        <v>-1.0793441923316514</v>
      </c>
      <c r="J219" s="168">
        <f>I219-VLOOKUP(B$2,H1:J392,2,FALSE)</f>
        <v>-5.9704340162891594</v>
      </c>
    </row>
    <row r="220" spans="1:10" ht="21.25" customHeight="1" x14ac:dyDescent="0.15">
      <c r="A220" s="9" t="s">
        <v>564</v>
      </c>
      <c r="B220" s="166" t="str">
        <f>VLOOKUP(A220,'The List'!B1:D665,3,FALSE)</f>
        <v>C</v>
      </c>
      <c r="C220" s="68">
        <f>IF(Settings!$E$15="POINTS",RANK(E220,E3:E392),H220)</f>
        <v>218</v>
      </c>
      <c r="D220" s="65" t="str">
        <f>VLOOKUP(A220,'The List'!B1:F665,5,FALSE)</f>
        <v>WPG</v>
      </c>
      <c r="E220" s="54">
        <f>VLOOKUP(A220,'The List'!B1:I665,8,FALSE)</f>
        <v>192.1665870654281</v>
      </c>
      <c r="F220" s="54">
        <f>IF(Settings!$E$15="POINTS",E220-VLOOKUP(B$2,C1:E392,3,FALSE),J220)</f>
        <v>-162.40768276875772</v>
      </c>
      <c r="G220" s="54"/>
      <c r="H220" s="167">
        <f>RANK(I220,I3:I392)</f>
        <v>195</v>
      </c>
      <c r="I220" s="168">
        <f>VLOOKUP(A220,'Standard Deviations'!A1:C666,3,FALSE)</f>
        <v>-0.69061584332696813</v>
      </c>
      <c r="J220" s="168">
        <f>I220-VLOOKUP(B$2,H1:J392,2,FALSE)</f>
        <v>-5.5817056672844769</v>
      </c>
    </row>
    <row r="221" spans="1:10" ht="21.25" customHeight="1" x14ac:dyDescent="0.15">
      <c r="A221" s="9" t="s">
        <v>567</v>
      </c>
      <c r="B221" s="166" t="str">
        <f>VLOOKUP(A221,'The List'!B1:D665,3,FALSE)</f>
        <v>C</v>
      </c>
      <c r="C221" s="68">
        <f>IF(Settings!$E$15="POINTS",RANK(E221,E3:E392),H221)</f>
        <v>219</v>
      </c>
      <c r="D221" s="65" t="str">
        <f>VLOOKUP(A221,'The List'!B1:F665,5,FALSE)</f>
        <v>UTA</v>
      </c>
      <c r="E221" s="54">
        <f>VLOOKUP(A221,'The List'!B1:I665,8,FALSE)</f>
        <v>191.33451992055254</v>
      </c>
      <c r="F221" s="54">
        <f>IF(Settings!$E$15="POINTS",E221-VLOOKUP(B$2,C1:E392,3,FALSE),J221)</f>
        <v>-163.23974991363329</v>
      </c>
      <c r="G221" s="54"/>
      <c r="H221" s="167">
        <f>RANK(I221,I3:I392)</f>
        <v>217</v>
      </c>
      <c r="I221" s="168">
        <f>VLOOKUP(A221,'Standard Deviations'!A1:C666,3,FALSE)</f>
        <v>-1.1675255486730607</v>
      </c>
      <c r="J221" s="168">
        <f>I221-VLOOKUP(B$2,H1:J392,2,FALSE)</f>
        <v>-6.0586153726305696</v>
      </c>
    </row>
    <row r="222" spans="1:10" ht="21.25" customHeight="1" x14ac:dyDescent="0.15">
      <c r="A222" s="9" t="s">
        <v>535</v>
      </c>
      <c r="B222" s="166" t="str">
        <f>VLOOKUP(A222,'The List'!B1:D665,3,FALSE)</f>
        <v>LW</v>
      </c>
      <c r="C222" s="68">
        <f>IF(Settings!$E$15="POINTS",RANK(E222,E3:E392),H222)</f>
        <v>220</v>
      </c>
      <c r="D222" s="65" t="str">
        <f>VLOOKUP(A222,'The List'!B1:F665,5,FALSE)</f>
        <v>SEA</v>
      </c>
      <c r="E222" s="54">
        <f>VLOOKUP(A222,'The List'!B1:I665,8,FALSE)</f>
        <v>190.65960469722503</v>
      </c>
      <c r="F222" s="54">
        <f>IF(Settings!$E$15="POINTS",E222-VLOOKUP(B$2,C1:E392,3,FALSE),J222)</f>
        <v>-163.91466513696079</v>
      </c>
      <c r="G222" s="54"/>
      <c r="H222" s="167">
        <f>RANK(I222,I3:I392)</f>
        <v>228</v>
      </c>
      <c r="I222" s="168">
        <f>VLOOKUP(A222,'Standard Deviations'!A1:C666,3,FALSE)</f>
        <v>-1.6087801264295734</v>
      </c>
      <c r="J222" s="168">
        <f>I222-VLOOKUP(B$2,H1:J392,2,FALSE)</f>
        <v>-6.4998699503870814</v>
      </c>
    </row>
    <row r="223" spans="1:10" ht="21.25" customHeight="1" x14ac:dyDescent="0.15">
      <c r="A223" s="9" t="s">
        <v>537</v>
      </c>
      <c r="B223" s="166" t="str">
        <f>VLOOKUP(A223,'The List'!B1:D665,3,FALSE)</f>
        <v>C/LW</v>
      </c>
      <c r="C223" s="68">
        <f>IF(Settings!$E$15="POINTS",RANK(E223,E3:E392),H223)</f>
        <v>221</v>
      </c>
      <c r="D223" s="65" t="str">
        <f>VLOOKUP(A223,'The List'!B1:F665,5,FALSE)</f>
        <v>N.J</v>
      </c>
      <c r="E223" s="54">
        <f>VLOOKUP(A223,'The List'!B1:I665,8,FALSE)</f>
        <v>190.56361971634468</v>
      </c>
      <c r="F223" s="54">
        <f>IF(Settings!$E$15="POINTS",E223-VLOOKUP(B$2,C1:E392,3,FALSE),J223)</f>
        <v>-164.01065011784115</v>
      </c>
      <c r="G223" s="54"/>
      <c r="H223" s="167">
        <f>RANK(I223,I3:I392)</f>
        <v>189</v>
      </c>
      <c r="I223" s="168">
        <f>VLOOKUP(A223,'Standard Deviations'!A1:C666,3,FALSE)</f>
        <v>-0.46973196608860435</v>
      </c>
      <c r="J223" s="168">
        <f>I223-VLOOKUP(B$2,H1:J392,2,FALSE)</f>
        <v>-5.3608217900461126</v>
      </c>
    </row>
    <row r="224" spans="1:10" ht="21.25" customHeight="1" x14ac:dyDescent="0.15">
      <c r="A224" s="9" t="s">
        <v>538</v>
      </c>
      <c r="B224" s="166" t="str">
        <f>VLOOKUP(A224,'The List'!B1:D665,3,FALSE)</f>
        <v>LW</v>
      </c>
      <c r="C224" s="68">
        <f>IF(Settings!$E$15="POINTS",RANK(E224,E3:E392),H224)</f>
        <v>222</v>
      </c>
      <c r="D224" s="65" t="str">
        <f>VLOOKUP(A224,'The List'!B1:F665,5,FALSE)</f>
        <v>EDM</v>
      </c>
      <c r="E224" s="54">
        <f>VLOOKUP(A224,'The List'!B1:I665,8,FALSE)</f>
        <v>190.40007577684599</v>
      </c>
      <c r="F224" s="54">
        <f>IF(Settings!$E$15="POINTS",E224-VLOOKUP(B$2,C1:E392,3,FALSE),J224)</f>
        <v>-164.17419405733983</v>
      </c>
      <c r="G224" s="54"/>
      <c r="H224" s="167">
        <f>RANK(I224,I3:I392)</f>
        <v>188</v>
      </c>
      <c r="I224" s="168">
        <f>VLOOKUP(A224,'Standard Deviations'!A1:C666,3,FALSE)</f>
        <v>-0.45058699879999553</v>
      </c>
      <c r="J224" s="168">
        <f>I224-VLOOKUP(B$2,H1:J392,2,FALSE)</f>
        <v>-5.3416768227575044</v>
      </c>
    </row>
    <row r="225" spans="1:10" ht="21.25" customHeight="1" x14ac:dyDescent="0.15">
      <c r="A225" s="9" t="s">
        <v>569</v>
      </c>
      <c r="B225" s="166" t="str">
        <f>VLOOKUP(A225,'The List'!B1:D665,3,FALSE)</f>
        <v>C</v>
      </c>
      <c r="C225" s="68">
        <f>IF(Settings!$E$15="POINTS",RANK(E225,E3:E392),H225)</f>
        <v>223</v>
      </c>
      <c r="D225" s="65" t="str">
        <f>VLOOKUP(A225,'The List'!B1:F665,5,FALSE)</f>
        <v>PIT</v>
      </c>
      <c r="E225" s="54">
        <f>VLOOKUP(A225,'The List'!B1:I665,8,FALSE)</f>
        <v>190.24984247100457</v>
      </c>
      <c r="F225" s="54">
        <f>IF(Settings!$E$15="POINTS",E225-VLOOKUP(B$2,C1:E392,3,FALSE),J225)</f>
        <v>-164.32442736318126</v>
      </c>
      <c r="G225" s="54"/>
      <c r="H225" s="167">
        <f>RANK(I225,I3:I392)</f>
        <v>255</v>
      </c>
      <c r="I225" s="168">
        <f>VLOOKUP(A225,'Standard Deviations'!A1:C666,3,FALSE)</f>
        <v>-2.2284885015459759</v>
      </c>
      <c r="J225" s="168">
        <f>I225-VLOOKUP(B$2,H1:J392,2,FALSE)</f>
        <v>-7.1195783255034844</v>
      </c>
    </row>
    <row r="226" spans="1:10" ht="21.25" customHeight="1" x14ac:dyDescent="0.15">
      <c r="A226" s="9" t="s">
        <v>539</v>
      </c>
      <c r="B226" s="166" t="str">
        <f>VLOOKUP(A226,'The List'!B1:D665,3,FALSE)</f>
        <v>C/LW</v>
      </c>
      <c r="C226" s="68">
        <f>IF(Settings!$E$15="POINTS",RANK(E226,E3:E392),H226)</f>
        <v>224</v>
      </c>
      <c r="D226" s="65" t="str">
        <f>VLOOKUP(A226,'The List'!B1:F665,5,FALSE)</f>
        <v>PHI</v>
      </c>
      <c r="E226" s="54">
        <f>VLOOKUP(A226,'The List'!B1:I665,8,FALSE)</f>
        <v>190.18284336215265</v>
      </c>
      <c r="F226" s="54">
        <f>IF(Settings!$E$15="POINTS",E226-VLOOKUP(B$2,C1:E392,3,FALSE),J226)</f>
        <v>-164.39142647203317</v>
      </c>
      <c r="G226" s="54"/>
      <c r="H226" s="167">
        <f>RANK(I226,I3:I392)</f>
        <v>279</v>
      </c>
      <c r="I226" s="168">
        <f>VLOOKUP(A226,'Standard Deviations'!A1:C666,3,FALSE)</f>
        <v>-2.8616310342395224</v>
      </c>
      <c r="J226" s="168">
        <f>I226-VLOOKUP(B$2,H1:J392,2,FALSE)</f>
        <v>-7.7527208581970308</v>
      </c>
    </row>
    <row r="227" spans="1:10" ht="21.25" customHeight="1" x14ac:dyDescent="0.15">
      <c r="A227" s="9" t="s">
        <v>491</v>
      </c>
      <c r="B227" s="166" t="str">
        <f>VLOOKUP(A227,'The List'!B1:D665,3,FALSE)</f>
        <v>C/RW</v>
      </c>
      <c r="C227" s="68">
        <f>IF(Settings!$E$15="POINTS",RANK(E227,E3:E392),H227)</f>
        <v>225</v>
      </c>
      <c r="D227" s="65" t="str">
        <f>VLOOKUP(A227,'The List'!B1:F665,5,FALSE)</f>
        <v>VGK</v>
      </c>
      <c r="E227" s="54">
        <f>VLOOKUP(A227,'The List'!B1:I665,8,FALSE)</f>
        <v>190.08164207359994</v>
      </c>
      <c r="F227" s="54">
        <f>IF(Settings!$E$15="POINTS",E227-VLOOKUP(B$2,C1:E392,3,FALSE),J227)</f>
        <v>-164.49262776058589</v>
      </c>
      <c r="G227" s="54"/>
      <c r="H227" s="167">
        <f>RANK(I227,I3:I392)</f>
        <v>205</v>
      </c>
      <c r="I227" s="168">
        <f>VLOOKUP(A227,'Standard Deviations'!A1:C666,3,FALSE)</f>
        <v>-0.91305216269585288</v>
      </c>
      <c r="J227" s="168">
        <f>I227-VLOOKUP(B$2,H1:J392,2,FALSE)</f>
        <v>-5.8041419866533612</v>
      </c>
    </row>
    <row r="228" spans="1:10" ht="21.25" customHeight="1" x14ac:dyDescent="0.15">
      <c r="A228" s="9" t="s">
        <v>547</v>
      </c>
      <c r="B228" s="166" t="str">
        <f>VLOOKUP(A228,'The List'!B1:D665,3,FALSE)</f>
        <v>LW</v>
      </c>
      <c r="C228" s="68">
        <f>IF(Settings!$E$15="POINTS",RANK(E228,E3:E392),H228)</f>
        <v>226</v>
      </c>
      <c r="D228" s="65" t="str">
        <f>VLOOKUP(A228,'The List'!B1:F665,5,FALSE)</f>
        <v>TOR</v>
      </c>
      <c r="E228" s="54">
        <f>VLOOKUP(A228,'The List'!B1:I665,8,FALSE)</f>
        <v>188.02039178485254</v>
      </c>
      <c r="F228" s="54">
        <f>IF(Settings!$E$15="POINTS",E228-VLOOKUP(B$2,C1:E392,3,FALSE),J228)</f>
        <v>-166.55387804933329</v>
      </c>
      <c r="G228" s="54"/>
      <c r="H228" s="167">
        <f>RANK(I228,I3:I392)</f>
        <v>185</v>
      </c>
      <c r="I228" s="168">
        <f>VLOOKUP(A228,'Standard Deviations'!A1:C666,3,FALSE)</f>
        <v>-0.35070188685568238</v>
      </c>
      <c r="J228" s="168">
        <f>I228-VLOOKUP(B$2,H1:J392,2,FALSE)</f>
        <v>-5.2417917108131906</v>
      </c>
    </row>
    <row r="229" spans="1:10" ht="21.25" customHeight="1" x14ac:dyDescent="0.15">
      <c r="A229" s="9" t="s">
        <v>500</v>
      </c>
      <c r="B229" s="166" t="str">
        <f>VLOOKUP(A229,'The List'!B1:D665,3,FALSE)</f>
        <v>RW</v>
      </c>
      <c r="C229" s="68">
        <f>IF(Settings!$E$15="POINTS",RANK(E229,E3:E392),H229)</f>
        <v>227</v>
      </c>
      <c r="D229" s="65" t="str">
        <f>VLOOKUP(A229,'The List'!B1:F665,5,FALSE)</f>
        <v>CBJ</v>
      </c>
      <c r="E229" s="54">
        <f>VLOOKUP(A229,'The List'!B1:I665,8,FALSE)</f>
        <v>187.94516285727246</v>
      </c>
      <c r="F229" s="54">
        <f>IF(Settings!$E$15="POINTS",E229-VLOOKUP(B$2,C1:E392,3,FALSE),J229)</f>
        <v>-166.62910697691336</v>
      </c>
      <c r="G229" s="54"/>
      <c r="H229" s="167">
        <f>RANK(I229,I3:I392)</f>
        <v>306</v>
      </c>
      <c r="I229" s="168">
        <f>VLOOKUP(A229,'Standard Deviations'!A1:C666,3,FALSE)</f>
        <v>-3.2598575399060357</v>
      </c>
      <c r="J229" s="168">
        <f>I229-VLOOKUP(B$2,H1:J392,2,FALSE)</f>
        <v>-8.1509473638635441</v>
      </c>
    </row>
    <row r="230" spans="1:10" ht="21.25" customHeight="1" x14ac:dyDescent="0.15">
      <c r="A230" s="9" t="s">
        <v>549</v>
      </c>
      <c r="B230" s="166" t="str">
        <f>VLOOKUP(A230,'The List'!B1:D665,3,FALSE)</f>
        <v>C/LW</v>
      </c>
      <c r="C230" s="68">
        <f>IF(Settings!$E$15="POINTS",RANK(E230,E3:E392),H230)</f>
        <v>228</v>
      </c>
      <c r="D230" s="65" t="str">
        <f>VLOOKUP(A230,'The List'!B1:F665,5,FALSE)</f>
        <v>DET</v>
      </c>
      <c r="E230" s="54">
        <f>VLOOKUP(A230,'The List'!B1:I665,8,FALSE)</f>
        <v>187.5993429432807</v>
      </c>
      <c r="F230" s="54">
        <f>IF(Settings!$E$15="POINTS",E230-VLOOKUP(B$2,C1:E392,3,FALSE),J230)</f>
        <v>-166.97492689090512</v>
      </c>
      <c r="G230" s="54"/>
      <c r="H230" s="167">
        <f>RANK(I230,I3:I392)</f>
        <v>258</v>
      </c>
      <c r="I230" s="168">
        <f>VLOOKUP(A230,'Standard Deviations'!A1:C666,3,FALSE)</f>
        <v>-2.3450889290595631</v>
      </c>
      <c r="J230" s="168">
        <f>I230-VLOOKUP(B$2,H1:J392,2,FALSE)</f>
        <v>-7.2361787530170716</v>
      </c>
    </row>
    <row r="231" spans="1:10" ht="21.25" customHeight="1" x14ac:dyDescent="0.15">
      <c r="A231" s="9" t="s">
        <v>552</v>
      </c>
      <c r="B231" s="166" t="str">
        <f>VLOOKUP(A231,'The List'!B1:D665,3,FALSE)</f>
        <v>C/LW</v>
      </c>
      <c r="C231" s="68">
        <f>IF(Settings!$E$15="POINTS",RANK(E231,E3:E392),H231)</f>
        <v>229</v>
      </c>
      <c r="D231" s="65" t="str">
        <f>VLOOKUP(A231,'The List'!B1:F665,5,FALSE)</f>
        <v>ANA</v>
      </c>
      <c r="E231" s="54">
        <f>VLOOKUP(A231,'The List'!B1:I665,8,FALSE)</f>
        <v>185.67361955513027</v>
      </c>
      <c r="F231" s="54">
        <f>IF(Settings!$E$15="POINTS",E231-VLOOKUP(B$2,C1:E392,3,FALSE),J231)</f>
        <v>-168.90065027905555</v>
      </c>
      <c r="G231" s="54"/>
      <c r="H231" s="167">
        <f>RANK(I231,I3:I392)</f>
        <v>315</v>
      </c>
      <c r="I231" s="168">
        <f>VLOOKUP(A231,'Standard Deviations'!A1:C666,3,FALSE)</f>
        <v>-3.4778399496785588</v>
      </c>
      <c r="J231" s="168">
        <f>I231-VLOOKUP(B$2,H1:J392,2,FALSE)</f>
        <v>-8.3689297736360668</v>
      </c>
    </row>
    <row r="232" spans="1:10" ht="21.25" customHeight="1" x14ac:dyDescent="0.15">
      <c r="A232" s="9" t="s">
        <v>587</v>
      </c>
      <c r="B232" s="166" t="str">
        <f>VLOOKUP(A232,'The List'!B1:D665,3,FALSE)</f>
        <v>C</v>
      </c>
      <c r="C232" s="68">
        <f>IF(Settings!$E$15="POINTS",RANK(E232,E3:E392),H232)</f>
        <v>230</v>
      </c>
      <c r="D232" s="65" t="str">
        <f>VLOOKUP(A232,'The List'!B1:F665,5,FALSE)</f>
        <v>SEA</v>
      </c>
      <c r="E232" s="54">
        <f>VLOOKUP(A232,'The List'!B1:I665,8,FALSE)</f>
        <v>183.39034163437148</v>
      </c>
      <c r="F232" s="54">
        <f>IF(Settings!$E$15="POINTS",E232-VLOOKUP(B$2,C1:E392,3,FALSE),J232)</f>
        <v>-171.18392819981435</v>
      </c>
      <c r="G232" s="54"/>
      <c r="H232" s="167">
        <f>RANK(I232,I3:I392)</f>
        <v>237</v>
      </c>
      <c r="I232" s="168">
        <f>VLOOKUP(A232,'Standard Deviations'!A1:C666,3,FALSE)</f>
        <v>-1.8333752381632455</v>
      </c>
      <c r="J232" s="168">
        <f>I232-VLOOKUP(B$2,H1:J392,2,FALSE)</f>
        <v>-6.7244650621207542</v>
      </c>
    </row>
    <row r="233" spans="1:10" ht="21.25" customHeight="1" x14ac:dyDescent="0.15">
      <c r="A233" s="9" t="s">
        <v>565</v>
      </c>
      <c r="B233" s="166" t="str">
        <f>VLOOKUP(A233,'The List'!B1:D665,3,FALSE)</f>
        <v>C/LW</v>
      </c>
      <c r="C233" s="68">
        <f>IF(Settings!$E$15="POINTS",RANK(E233,E3:E392),H233)</f>
        <v>231</v>
      </c>
      <c r="D233" s="65" t="str">
        <f>VLOOKUP(A233,'The List'!B1:F665,5,FALSE)</f>
        <v>WPG</v>
      </c>
      <c r="E233" s="54">
        <f>VLOOKUP(A233,'The List'!B1:I665,8,FALSE)</f>
        <v>183.07589191046605</v>
      </c>
      <c r="F233" s="54">
        <f>IF(Settings!$E$15="POINTS",E233-VLOOKUP(B$2,C1:E392,3,FALSE),J233)</f>
        <v>-171.49837792371977</v>
      </c>
      <c r="G233" s="54"/>
      <c r="H233" s="167">
        <f>RANK(I233,I3:I392)</f>
        <v>200</v>
      </c>
      <c r="I233" s="168">
        <f>VLOOKUP(A233,'Standard Deviations'!A1:C666,3,FALSE)</f>
        <v>-0.78716171185310335</v>
      </c>
      <c r="J233" s="168">
        <f>I233-VLOOKUP(B$2,H1:J392,2,FALSE)</f>
        <v>-5.6782515358106114</v>
      </c>
    </row>
    <row r="234" spans="1:10" ht="21.25" customHeight="1" x14ac:dyDescent="0.15">
      <c r="A234" s="9" t="s">
        <v>589</v>
      </c>
      <c r="B234" s="166" t="str">
        <f>VLOOKUP(A234,'The List'!B1:D665,3,FALSE)</f>
        <v>C</v>
      </c>
      <c r="C234" s="68">
        <f>IF(Settings!$E$15="POINTS",RANK(E234,E3:E392),H234)</f>
        <v>232</v>
      </c>
      <c r="D234" s="65" t="str">
        <f>VLOOKUP(A234,'The List'!B1:F665,5,FALSE)</f>
        <v>OTT</v>
      </c>
      <c r="E234" s="54">
        <f>VLOOKUP(A234,'The List'!B1:I665,8,FALSE)</f>
        <v>182.81010016786524</v>
      </c>
      <c r="F234" s="54">
        <f>IF(Settings!$E$15="POINTS",E234-VLOOKUP(B$2,C1:E392,3,FALSE),J234)</f>
        <v>-171.76416966632058</v>
      </c>
      <c r="G234" s="54"/>
      <c r="H234" s="167">
        <f>RANK(I234,I3:I392)</f>
        <v>221</v>
      </c>
      <c r="I234" s="168">
        <f>VLOOKUP(A234,'Standard Deviations'!A1:C666,3,FALSE)</f>
        <v>-1.331725864330823</v>
      </c>
      <c r="J234" s="168">
        <f>I234-VLOOKUP(B$2,H1:J392,2,FALSE)</f>
        <v>-6.2228156882883319</v>
      </c>
    </row>
    <row r="235" spans="1:10" ht="21.25" customHeight="1" x14ac:dyDescent="0.15">
      <c r="A235" s="9" t="s">
        <v>515</v>
      </c>
      <c r="B235" s="166" t="str">
        <f>VLOOKUP(A235,'The List'!B1:D665,3,FALSE)</f>
        <v>LW/RW</v>
      </c>
      <c r="C235" s="68">
        <f>IF(Settings!$E$15="POINTS",RANK(E235,E3:E392),H235)</f>
        <v>233</v>
      </c>
      <c r="D235" s="65" t="str">
        <f>VLOOKUP(A235,'The List'!B1:F665,5,FALSE)</f>
        <v>N.J</v>
      </c>
      <c r="E235" s="54">
        <f>VLOOKUP(A235,'The List'!B1:I665,8,FALSE)</f>
        <v>182.72801310430762</v>
      </c>
      <c r="F235" s="54">
        <f>IF(Settings!$E$15="POINTS",E235-VLOOKUP(B$2,C1:E392,3,FALSE),J235)</f>
        <v>-171.84625672987821</v>
      </c>
      <c r="G235" s="54"/>
      <c r="H235" s="167">
        <f>RANK(I235,I3:I392)</f>
        <v>165</v>
      </c>
      <c r="I235" s="168">
        <f>VLOOKUP(A235,'Standard Deviations'!A1:C666,3,FALSE)</f>
        <v>0.14153245513300439</v>
      </c>
      <c r="J235" s="168">
        <f>I235-VLOOKUP(B$2,H1:J392,2,FALSE)</f>
        <v>-4.7495573688245045</v>
      </c>
    </row>
    <row r="236" spans="1:10" ht="21.25" customHeight="1" x14ac:dyDescent="0.15">
      <c r="A236" s="9" t="s">
        <v>516</v>
      </c>
      <c r="B236" s="166" t="str">
        <f>VLOOKUP(A236,'The List'!B1:D665,3,FALSE)</f>
        <v>RW</v>
      </c>
      <c r="C236" s="68">
        <f>IF(Settings!$E$15="POINTS",RANK(E236,E3:E392),H236)</f>
        <v>234</v>
      </c>
      <c r="D236" s="65" t="str">
        <f>VLOOKUP(A236,'The List'!B1:F665,5,FALSE)</f>
        <v>CGY</v>
      </c>
      <c r="E236" s="54">
        <f>VLOOKUP(A236,'The List'!B1:I665,8,FALSE)</f>
        <v>182.62694465390925</v>
      </c>
      <c r="F236" s="54">
        <f>IF(Settings!$E$15="POINTS",E236-VLOOKUP(B$2,C1:E392,3,FALSE),J236)</f>
        <v>-171.94732518027658</v>
      </c>
      <c r="G236" s="54"/>
      <c r="H236" s="167">
        <f>RANK(I236,I3:I392)</f>
        <v>223</v>
      </c>
      <c r="I236" s="168">
        <f>VLOOKUP(A236,'Standard Deviations'!A1:C666,3,FALSE)</f>
        <v>-1.3619252919749008</v>
      </c>
      <c r="J236" s="168">
        <f>I236-VLOOKUP(B$2,H1:J392,2,FALSE)</f>
        <v>-6.253015115932409</v>
      </c>
    </row>
    <row r="237" spans="1:10" ht="21.25" customHeight="1" x14ac:dyDescent="0.15">
      <c r="A237" s="9" t="s">
        <v>568</v>
      </c>
      <c r="B237" s="166" t="str">
        <f>VLOOKUP(A237,'The List'!B1:D665,3,FALSE)</f>
        <v>LW</v>
      </c>
      <c r="C237" s="68">
        <f>IF(Settings!$E$15="POINTS",RANK(E237,E3:E392),H237)</f>
        <v>235</v>
      </c>
      <c r="D237" s="65" t="str">
        <f>VLOOKUP(A237,'The List'!B1:F665,5,FALSE)</f>
        <v>VGK</v>
      </c>
      <c r="E237" s="54">
        <f>VLOOKUP(A237,'The List'!B1:I665,8,FALSE)</f>
        <v>182.14227813828055</v>
      </c>
      <c r="F237" s="54">
        <f>IF(Settings!$E$15="POINTS",E237-VLOOKUP(B$2,C1:E392,3,FALSE),J237)</f>
        <v>-172.43199169590528</v>
      </c>
      <c r="G237" s="54"/>
      <c r="H237" s="167">
        <f>RANK(I237,I3:I392)</f>
        <v>257</v>
      </c>
      <c r="I237" s="168">
        <f>VLOOKUP(A237,'Standard Deviations'!A1:C666,3,FALSE)</f>
        <v>-2.2934237960117225</v>
      </c>
      <c r="J237" s="168">
        <f>I237-VLOOKUP(B$2,H1:J392,2,FALSE)</f>
        <v>-7.1845136199692305</v>
      </c>
    </row>
    <row r="238" spans="1:10" ht="21.25" customHeight="1" x14ac:dyDescent="0.15">
      <c r="A238" s="9" t="s">
        <v>592</v>
      </c>
      <c r="B238" s="166" t="str">
        <f>VLOOKUP(A238,'The List'!B1:D665,3,FALSE)</f>
        <v>C</v>
      </c>
      <c r="C238" s="68">
        <f>IF(Settings!$E$15="POINTS",RANK(E238,E3:E392),H238)</f>
        <v>236</v>
      </c>
      <c r="D238" s="65" t="str">
        <f>VLOOKUP(A238,'The List'!B1:F665,5,FALSE)</f>
        <v>CHI</v>
      </c>
      <c r="E238" s="54">
        <f>VLOOKUP(A238,'The List'!B1:I665,8,FALSE)</f>
        <v>180.97624259460395</v>
      </c>
      <c r="F238" s="54">
        <f>IF(Settings!$E$15="POINTS",E238-VLOOKUP(B$2,C1:E392,3,FALSE),J238)</f>
        <v>-173.59802723958188</v>
      </c>
      <c r="G238" s="54"/>
      <c r="H238" s="167">
        <f>RANK(I238,I3:I392)</f>
        <v>298</v>
      </c>
      <c r="I238" s="168">
        <f>VLOOKUP(A238,'Standard Deviations'!A1:C666,3,FALSE)</f>
        <v>-3.1348809683294174</v>
      </c>
      <c r="J238" s="168">
        <f>I238-VLOOKUP(B$2,H1:J392,2,FALSE)</f>
        <v>-8.0259707922869268</v>
      </c>
    </row>
    <row r="239" spans="1:10" ht="21.25" customHeight="1" x14ac:dyDescent="0.15">
      <c r="A239" s="9" t="s">
        <v>526</v>
      </c>
      <c r="B239" s="166" t="str">
        <f>VLOOKUP(A239,'The List'!B1:D665,3,FALSE)</f>
        <v>RW</v>
      </c>
      <c r="C239" s="68">
        <f>IF(Settings!$E$15="POINTS",RANK(E239,E3:E392),H239)</f>
        <v>237</v>
      </c>
      <c r="D239" s="65" t="str">
        <f>VLOOKUP(A239,'The List'!B1:F665,5,FALSE)</f>
        <v>NYR</v>
      </c>
      <c r="E239" s="54">
        <f>VLOOKUP(A239,'The List'!B1:I665,8,FALSE)</f>
        <v>180.79215700496252</v>
      </c>
      <c r="F239" s="54">
        <f>IF(Settings!$E$15="POINTS",E239-VLOOKUP(B$2,C1:E392,3,FALSE),J239)</f>
        <v>-173.78211282922331</v>
      </c>
      <c r="G239" s="54"/>
      <c r="H239" s="167">
        <f>RANK(I239,I3:I392)</f>
        <v>211</v>
      </c>
      <c r="I239" s="168">
        <f>VLOOKUP(A239,'Standard Deviations'!A1:C666,3,FALSE)</f>
        <v>-1.0023845917165448</v>
      </c>
      <c r="J239" s="168">
        <f>I239-VLOOKUP(B$2,H1:J392,2,FALSE)</f>
        <v>-5.8934744156740528</v>
      </c>
    </row>
    <row r="240" spans="1:10" ht="21.25" customHeight="1" x14ac:dyDescent="0.15">
      <c r="A240" s="9" t="s">
        <v>530</v>
      </c>
      <c r="B240" s="166" t="str">
        <f>VLOOKUP(A240,'The List'!B1:D665,3,FALSE)</f>
        <v>C/LW/RW</v>
      </c>
      <c r="C240" s="68">
        <f>IF(Settings!$E$15="POINTS",RANK(E240,E3:E392),H240)</f>
        <v>238</v>
      </c>
      <c r="D240" s="65" t="str">
        <f>VLOOKUP(A240,'The List'!B1:F665,5,FALSE)</f>
        <v>WPG</v>
      </c>
      <c r="E240" s="54">
        <f>VLOOKUP(A240,'The List'!B1:I665,8,FALSE)</f>
        <v>180.52883470564964</v>
      </c>
      <c r="F240" s="54">
        <f>IF(Settings!$E$15="POINTS",E240-VLOOKUP(B$2,C1:E392,3,FALSE),J240)</f>
        <v>-174.04543512853618</v>
      </c>
      <c r="G240" s="54"/>
      <c r="H240" s="167">
        <f>RANK(I240,I3:I392)</f>
        <v>201</v>
      </c>
      <c r="I240" s="168">
        <f>VLOOKUP(A240,'Standard Deviations'!A1:C666,3,FALSE)</f>
        <v>-0.8381272715785677</v>
      </c>
      <c r="J240" s="168">
        <f>I240-VLOOKUP(B$2,H1:J392,2,FALSE)</f>
        <v>-5.7292170955360762</v>
      </c>
    </row>
    <row r="241" spans="1:10" ht="21.25" customHeight="1" x14ac:dyDescent="0.15">
      <c r="A241" s="9" t="s">
        <v>573</v>
      </c>
      <c r="B241" s="166" t="str">
        <f>VLOOKUP(A241,'The List'!B1:D665,3,FALSE)</f>
        <v>C/LW</v>
      </c>
      <c r="C241" s="68">
        <f>IF(Settings!$E$15="POINTS",RANK(E241,E3:E392),H241)</f>
        <v>239</v>
      </c>
      <c r="D241" s="65" t="str">
        <f>VLOOKUP(A241,'The List'!B1:F665,5,FALSE)</f>
        <v>UTA</v>
      </c>
      <c r="E241" s="54">
        <f>VLOOKUP(A241,'The List'!B1:I665,8,FALSE)</f>
        <v>179.79080107438014</v>
      </c>
      <c r="F241" s="54">
        <f>IF(Settings!$E$15="POINTS",E241-VLOOKUP(B$2,C1:E392,3,FALSE),J241)</f>
        <v>-174.78346875980569</v>
      </c>
      <c r="G241" s="54"/>
      <c r="H241" s="167">
        <f>RANK(I241,I3:I392)</f>
        <v>234</v>
      </c>
      <c r="I241" s="168">
        <f>VLOOKUP(A241,'Standard Deviations'!A1:C666,3,FALSE)</f>
        <v>-1.7622460496309191</v>
      </c>
      <c r="J241" s="168">
        <f>I241-VLOOKUP(B$2,H1:J392,2,FALSE)</f>
        <v>-6.6533358735884276</v>
      </c>
    </row>
    <row r="242" spans="1:10" ht="21.25" customHeight="1" x14ac:dyDescent="0.15">
      <c r="A242" s="9" t="s">
        <v>586</v>
      </c>
      <c r="B242" s="166" t="str">
        <f>VLOOKUP(A242,'The List'!B1:D665,3,FALSE)</f>
        <v>LW</v>
      </c>
      <c r="C242" s="68">
        <f>IF(Settings!$E$15="POINTS",RANK(E242,E3:E392),H242)</f>
        <v>240</v>
      </c>
      <c r="D242" s="65" t="str">
        <f>VLOOKUP(A242,'The List'!B1:F665,5,FALSE)</f>
        <v>CAR</v>
      </c>
      <c r="E242" s="54">
        <f>VLOOKUP(A242,'The List'!B1:I665,8,FALSE)</f>
        <v>174.85209680032315</v>
      </c>
      <c r="F242" s="54">
        <f>IF(Settings!$E$15="POINTS",E242-VLOOKUP(B$2,C1:E392,3,FALSE),J242)</f>
        <v>-179.72217303386267</v>
      </c>
      <c r="G242" s="54"/>
      <c r="H242" s="167">
        <f>RANK(I242,I3:I392)</f>
        <v>202</v>
      </c>
      <c r="I242" s="168">
        <f>VLOOKUP(A242,'Standard Deviations'!A1:C666,3,FALSE)</f>
        <v>-0.85585109372910906</v>
      </c>
      <c r="J242" s="168">
        <f>I242-VLOOKUP(B$2,H1:J392,2,FALSE)</f>
        <v>-5.7469409176866177</v>
      </c>
    </row>
    <row r="243" spans="1:10" ht="21.25" customHeight="1" x14ac:dyDescent="0.15">
      <c r="A243" s="9" t="s">
        <v>604</v>
      </c>
      <c r="B243" s="166" t="str">
        <f>VLOOKUP(A243,'The List'!B1:D665,3,FALSE)</f>
        <v>C</v>
      </c>
      <c r="C243" s="68">
        <f>IF(Settings!$E$15="POINTS",RANK(E243,E3:E392),H243)</f>
        <v>241</v>
      </c>
      <c r="D243" s="65" t="str">
        <f>VLOOKUP(A243,'The List'!B1:F665,5,FALSE)</f>
        <v>S.J</v>
      </c>
      <c r="E243" s="54">
        <f>VLOOKUP(A243,'The List'!B1:I665,8,FALSE)</f>
        <v>174.31339046457134</v>
      </c>
      <c r="F243" s="54">
        <f>IF(Settings!$E$15="POINTS",E243-VLOOKUP(B$2,C1:E392,3,FALSE),J243)</f>
        <v>-180.26087936961449</v>
      </c>
      <c r="G243" s="54"/>
      <c r="H243" s="167">
        <f>RANK(I243,I3:I392)</f>
        <v>235</v>
      </c>
      <c r="I243" s="168">
        <f>VLOOKUP(A243,'Standard Deviations'!A1:C666,3,FALSE)</f>
        <v>-1.7688518222623737</v>
      </c>
      <c r="J243" s="168">
        <f>I243-VLOOKUP(B$2,H1:J392,2,FALSE)</f>
        <v>-6.6599416462198819</v>
      </c>
    </row>
    <row r="244" spans="1:10" ht="21.25" customHeight="1" x14ac:dyDescent="0.15">
      <c r="A244" s="9" t="s">
        <v>588</v>
      </c>
      <c r="B244" s="166" t="str">
        <f>VLOOKUP(A244,'The List'!B1:D665,3,FALSE)</f>
        <v>LW</v>
      </c>
      <c r="C244" s="68">
        <f>IF(Settings!$E$15="POINTS",RANK(E244,E3:E392),H244)</f>
        <v>242</v>
      </c>
      <c r="D244" s="65" t="str">
        <f>VLOOKUP(A244,'The List'!B1:F665,5,FALSE)</f>
        <v>COL</v>
      </c>
      <c r="E244" s="54">
        <f>VLOOKUP(A244,'The List'!B1:I665,8,FALSE)</f>
        <v>174.08746490879267</v>
      </c>
      <c r="F244" s="54">
        <f>IF(Settings!$E$15="POINTS",E244-VLOOKUP(B$2,C1:E392,3,FALSE),J244)</f>
        <v>-180.48680492539316</v>
      </c>
      <c r="G244" s="54"/>
      <c r="H244" s="167">
        <f>RANK(I244,I3:I392)</f>
        <v>242</v>
      </c>
      <c r="I244" s="168">
        <f>VLOOKUP(A244,'Standard Deviations'!A1:C666,3,FALSE)</f>
        <v>-1.8902966661208718</v>
      </c>
      <c r="J244" s="168">
        <f>I244-VLOOKUP(B$2,H1:J392,2,FALSE)</f>
        <v>-6.78138649007838</v>
      </c>
    </row>
    <row r="245" spans="1:10" ht="21.25" customHeight="1" x14ac:dyDescent="0.15">
      <c r="A245" s="9" t="s">
        <v>608</v>
      </c>
      <c r="B245" s="166" t="str">
        <f>VLOOKUP(A245,'The List'!B1:D665,3,FALSE)</f>
        <v>C</v>
      </c>
      <c r="C245" s="68">
        <f>IF(Settings!$E$15="POINTS",RANK(E245,E3:E392),H245)</f>
        <v>243</v>
      </c>
      <c r="D245" s="65" t="str">
        <f>VLOOKUP(A245,'The List'!B1:F665,5,FALSE)</f>
        <v>CBJ</v>
      </c>
      <c r="E245" s="54">
        <f>VLOOKUP(A245,'The List'!B1:I665,8,FALSE)</f>
        <v>173.29512462977942</v>
      </c>
      <c r="F245" s="54">
        <f>IF(Settings!$E$15="POINTS",E245-VLOOKUP(B$2,C1:E392,3,FALSE),J245)</f>
        <v>-181.2791452044064</v>
      </c>
      <c r="G245" s="54"/>
      <c r="H245" s="167">
        <f>RANK(I245,I3:I392)</f>
        <v>307</v>
      </c>
      <c r="I245" s="168">
        <f>VLOOKUP(A245,'Standard Deviations'!A1:C666,3,FALSE)</f>
        <v>-3.2888535562802654</v>
      </c>
      <c r="J245" s="168">
        <f>I245-VLOOKUP(B$2,H1:J392,2,FALSE)</f>
        <v>-8.1799433802377735</v>
      </c>
    </row>
    <row r="246" spans="1:10" ht="21.25" customHeight="1" x14ac:dyDescent="0.15">
      <c r="A246" s="9" t="s">
        <v>558</v>
      </c>
      <c r="B246" s="166" t="str">
        <f>VLOOKUP(A246,'The List'!B1:D665,3,FALSE)</f>
        <v>RW</v>
      </c>
      <c r="C246" s="68">
        <f>IF(Settings!$E$15="POINTS",RANK(E246,E3:E392),H246)</f>
        <v>244</v>
      </c>
      <c r="D246" s="65" t="str">
        <f>VLOOKUP(A246,'The List'!B1:F665,5,FALSE)</f>
        <v>STL</v>
      </c>
      <c r="E246" s="54">
        <f>VLOOKUP(A246,'The List'!B1:I665,8,FALSE)</f>
        <v>172.04445360810902</v>
      </c>
      <c r="F246" s="54">
        <f>IF(Settings!$E$15="POINTS",E246-VLOOKUP(B$2,C1:E392,3,FALSE),J246)</f>
        <v>-182.5298162260768</v>
      </c>
      <c r="G246" s="54"/>
      <c r="H246" s="167">
        <f>RANK(I246,I3:I392)</f>
        <v>263</v>
      </c>
      <c r="I246" s="168">
        <f>VLOOKUP(A246,'Standard Deviations'!A1:C666,3,FALSE)</f>
        <v>-2.5434325053173068</v>
      </c>
      <c r="J246" s="168">
        <f>I246-VLOOKUP(B$2,H1:J392,2,FALSE)</f>
        <v>-7.4345223292748148</v>
      </c>
    </row>
    <row r="247" spans="1:10" ht="21.25" customHeight="1" x14ac:dyDescent="0.15">
      <c r="A247" s="9" t="s">
        <v>616</v>
      </c>
      <c r="B247" s="166" t="str">
        <f>VLOOKUP(A247,'The List'!B1:D665,3,FALSE)</f>
        <v>C</v>
      </c>
      <c r="C247" s="68">
        <f>IF(Settings!$E$15="POINTS",RANK(E247,E3:E392),H247)</f>
        <v>245</v>
      </c>
      <c r="D247" s="65" t="str">
        <f>VLOOKUP(A247,'The List'!B1:F665,5,FALSE)</f>
        <v>MTL</v>
      </c>
      <c r="E247" s="54">
        <f>VLOOKUP(A247,'The List'!B1:I665,8,FALSE)</f>
        <v>171.24830458929992</v>
      </c>
      <c r="F247" s="54">
        <f>IF(Settings!$E$15="POINTS",E247-VLOOKUP(B$2,C1:E392,3,FALSE),J247)</f>
        <v>-183.32596524488591</v>
      </c>
      <c r="G247" s="54"/>
      <c r="H247" s="167">
        <f>RANK(I247,I3:I392)</f>
        <v>261</v>
      </c>
      <c r="I247" s="168">
        <f>VLOOKUP(A247,'Standard Deviations'!A1:C666,3,FALSE)</f>
        <v>-2.4936569962114681</v>
      </c>
      <c r="J247" s="168">
        <f>I247-VLOOKUP(B$2,H1:J392,2,FALSE)</f>
        <v>-7.3847468201689761</v>
      </c>
    </row>
    <row r="248" spans="1:10" ht="21.25" customHeight="1" x14ac:dyDescent="0.15">
      <c r="A248" s="9" t="s">
        <v>561</v>
      </c>
      <c r="B248" s="166" t="str">
        <f>VLOOKUP(A248,'The List'!B1:D665,3,FALSE)</f>
        <v>RW</v>
      </c>
      <c r="C248" s="68">
        <f>IF(Settings!$E$15="POINTS",RANK(E248,E3:E392),H248)</f>
        <v>246</v>
      </c>
      <c r="D248" s="65" t="str">
        <f>VLOOKUP(A248,'The List'!B1:F665,5,FALSE)</f>
        <v>COL</v>
      </c>
      <c r="E248" s="54">
        <f>VLOOKUP(A248,'The List'!B1:I665,8,FALSE)</f>
        <v>171.14312848540968</v>
      </c>
      <c r="F248" s="54">
        <f>IF(Settings!$E$15="POINTS",E248-VLOOKUP(B$2,C1:E392,3,FALSE),J248)</f>
        <v>-183.43114134877615</v>
      </c>
      <c r="G248" s="54"/>
      <c r="H248" s="167">
        <f>RANK(I248,I3:I392)</f>
        <v>227</v>
      </c>
      <c r="I248" s="168">
        <f>VLOOKUP(A248,'Standard Deviations'!A1:C666,3,FALSE)</f>
        <v>-1.552419682047772</v>
      </c>
      <c r="J248" s="168">
        <f>I248-VLOOKUP(B$2,H1:J392,2,FALSE)</f>
        <v>-6.4435095060052809</v>
      </c>
    </row>
    <row r="249" spans="1:10" ht="21.25" customHeight="1" x14ac:dyDescent="0.15">
      <c r="A249" s="9" t="s">
        <v>594</v>
      </c>
      <c r="B249" s="166" t="str">
        <f>VLOOKUP(A249,'The List'!B1:D665,3,FALSE)</f>
        <v>LW</v>
      </c>
      <c r="C249" s="68">
        <f>IF(Settings!$E$15="POINTS",RANK(E249,E3:E392),H249)</f>
        <v>247</v>
      </c>
      <c r="D249" s="65" t="str">
        <f>VLOOKUP(A249,'The List'!B1:F665,5,FALSE)</f>
        <v>CHI</v>
      </c>
      <c r="E249" s="54">
        <f>VLOOKUP(A249,'The List'!B1:I665,8,FALSE)</f>
        <v>170.63060859729671</v>
      </c>
      <c r="F249" s="54">
        <f>IF(Settings!$E$15="POINTS",E249-VLOOKUP(B$2,C1:E392,3,FALSE),J249)</f>
        <v>-183.94366123688911</v>
      </c>
      <c r="G249" s="54"/>
      <c r="H249" s="167">
        <f>RANK(I249,I3:I392)</f>
        <v>310</v>
      </c>
      <c r="I249" s="168">
        <f>VLOOKUP(A249,'Standard Deviations'!A1:C666,3,FALSE)</f>
        <v>-3.344533537691619</v>
      </c>
      <c r="J249" s="168">
        <f>I249-VLOOKUP(B$2,H1:J392,2,FALSE)</f>
        <v>-8.235623361649127</v>
      </c>
    </row>
    <row r="250" spans="1:10" ht="21.25" customHeight="1" x14ac:dyDescent="0.15">
      <c r="A250" s="9" t="s">
        <v>596</v>
      </c>
      <c r="B250" s="166" t="str">
        <f>VLOOKUP(A250,'The List'!B1:D665,3,FALSE)</f>
        <v>C/LW</v>
      </c>
      <c r="C250" s="68">
        <f>IF(Settings!$E$15="POINTS",RANK(E250,E3:E392),H250)</f>
        <v>248</v>
      </c>
      <c r="D250" s="65" t="str">
        <f>VLOOKUP(A250,'The List'!B1:F665,5,FALSE)</f>
        <v>VAN</v>
      </c>
      <c r="E250" s="54">
        <f>VLOOKUP(A250,'The List'!B1:I665,8,FALSE)</f>
        <v>169.89961857443333</v>
      </c>
      <c r="F250" s="54">
        <f>IF(Settings!$E$15="POINTS",E250-VLOOKUP(B$2,C1:E392,3,FALSE),J250)</f>
        <v>-184.67465125975249</v>
      </c>
      <c r="G250" s="54"/>
      <c r="H250" s="167">
        <f>RANK(I250,I3:I392)</f>
        <v>209</v>
      </c>
      <c r="I250" s="168">
        <f>VLOOKUP(A250,'Standard Deviations'!A1:C666,3,FALSE)</f>
        <v>-0.9809851631853137</v>
      </c>
      <c r="J250" s="168">
        <f>I250-VLOOKUP(B$2,H1:J392,2,FALSE)</f>
        <v>-5.8720749871428222</v>
      </c>
    </row>
    <row r="251" spans="1:10" ht="21.25" customHeight="1" x14ac:dyDescent="0.15">
      <c r="A251" s="9" t="s">
        <v>599</v>
      </c>
      <c r="B251" s="166" t="str">
        <f>VLOOKUP(A251,'The List'!B1:D665,3,FALSE)</f>
        <v>LW</v>
      </c>
      <c r="C251" s="68">
        <f>IF(Settings!$E$15="POINTS",RANK(E251,E3:E392),H251)</f>
        <v>249</v>
      </c>
      <c r="D251" s="65" t="str">
        <f>VLOOKUP(A251,'The List'!B1:F665,5,FALSE)</f>
        <v>MIN</v>
      </c>
      <c r="E251" s="54">
        <f>VLOOKUP(A251,'The List'!B1:I665,8,FALSE)</f>
        <v>169.50300815995635</v>
      </c>
      <c r="F251" s="54">
        <f>IF(Settings!$E$15="POINTS",E251-VLOOKUP(B$2,C1:E392,3,FALSE),J251)</f>
        <v>-185.07126167422948</v>
      </c>
      <c r="G251" s="54"/>
      <c r="H251" s="167">
        <f>RANK(I251,I3:I392)</f>
        <v>251</v>
      </c>
      <c r="I251" s="168">
        <f>VLOOKUP(A251,'Standard Deviations'!A1:C666,3,FALSE)</f>
        <v>-2.0837082171998706</v>
      </c>
      <c r="J251" s="168">
        <f>I251-VLOOKUP(B$2,H1:J392,2,FALSE)</f>
        <v>-6.9747980411573796</v>
      </c>
    </row>
    <row r="252" spans="1:10" ht="21.25" customHeight="1" x14ac:dyDescent="0.15">
      <c r="A252" s="9" t="s">
        <v>620</v>
      </c>
      <c r="B252" s="166" t="str">
        <f>VLOOKUP(A252,'The List'!B1:D665,3,FALSE)</f>
        <v>C</v>
      </c>
      <c r="C252" s="68">
        <f>IF(Settings!$E$15="POINTS",RANK(E252,E3:E392),H252)</f>
        <v>250</v>
      </c>
      <c r="D252" s="65" t="str">
        <f>VLOOKUP(A252,'The List'!B1:F665,5,FALSE)</f>
        <v>WSH</v>
      </c>
      <c r="E252" s="54">
        <f>VLOOKUP(A252,'The List'!B1:I665,8,FALSE)</f>
        <v>168.74665236531024</v>
      </c>
      <c r="F252" s="54">
        <f>IF(Settings!$E$15="POINTS",E252-VLOOKUP(B$2,C1:E392,3,FALSE),J252)</f>
        <v>-185.82761746887559</v>
      </c>
      <c r="G252" s="54"/>
      <c r="H252" s="167">
        <f>RANK(I252,I3:I392)</f>
        <v>266</v>
      </c>
      <c r="I252" s="168">
        <f>VLOOKUP(A252,'Standard Deviations'!A1:C666,3,FALSE)</f>
        <v>-2.6634288812287092</v>
      </c>
      <c r="J252" s="168">
        <f>I252-VLOOKUP(B$2,H1:J392,2,FALSE)</f>
        <v>-7.5545187051862177</v>
      </c>
    </row>
    <row r="253" spans="1:10" ht="21.25" customHeight="1" x14ac:dyDescent="0.15">
      <c r="A253" s="9" t="s">
        <v>571</v>
      </c>
      <c r="B253" s="166" t="str">
        <f>VLOOKUP(A253,'The List'!B1:D665,3,FALSE)</f>
        <v>RW</v>
      </c>
      <c r="C253" s="68">
        <f>IF(Settings!$E$15="POINTS",RANK(E253,E3:E392),H253)</f>
        <v>251</v>
      </c>
      <c r="D253" s="65" t="str">
        <f>VLOOKUP(A253,'The List'!B1:F665,5,FALSE)</f>
        <v>MTL</v>
      </c>
      <c r="E253" s="54">
        <f>VLOOKUP(A253,'The List'!B1:I665,8,FALSE)</f>
        <v>168.67126668374587</v>
      </c>
      <c r="F253" s="54">
        <f>IF(Settings!$E$15="POINTS",E253-VLOOKUP(B$2,C1:E392,3,FALSE),J253)</f>
        <v>-185.90300315043996</v>
      </c>
      <c r="G253" s="54"/>
      <c r="H253" s="167">
        <f>RANK(I253,I3:I392)</f>
        <v>274</v>
      </c>
      <c r="I253" s="168">
        <f>VLOOKUP(A253,'Standard Deviations'!A1:C666,3,FALSE)</f>
        <v>-2.783199358578833</v>
      </c>
      <c r="J253" s="168">
        <f>I253-VLOOKUP(B$2,H1:J392,2,FALSE)</f>
        <v>-7.6742891825363415</v>
      </c>
    </row>
    <row r="254" spans="1:10" ht="21.25" customHeight="1" x14ac:dyDescent="0.15">
      <c r="A254" s="9" t="s">
        <v>626</v>
      </c>
      <c r="B254" s="166" t="str">
        <f>VLOOKUP(A254,'The List'!B1:D665,3,FALSE)</f>
        <v>C</v>
      </c>
      <c r="C254" s="68">
        <f>IF(Settings!$E$15="POINTS",RANK(E254,E3:E392),H254)</f>
        <v>252</v>
      </c>
      <c r="D254" s="65" t="str">
        <f>VLOOKUP(A254,'The List'!B1:F665,5,FALSE)</f>
        <v>UTA</v>
      </c>
      <c r="E254" s="54">
        <f>VLOOKUP(A254,'The List'!B1:I665,8,FALSE)</f>
        <v>167.49327545909148</v>
      </c>
      <c r="F254" s="54">
        <f>IF(Settings!$E$15="POINTS",E254-VLOOKUP(B$2,C1:E392,3,FALSE),J254)</f>
        <v>-187.08099437509435</v>
      </c>
      <c r="G254" s="54"/>
      <c r="H254" s="167">
        <f>RANK(I254,I3:I392)</f>
        <v>253</v>
      </c>
      <c r="I254" s="168">
        <f>VLOOKUP(A254,'Standard Deviations'!A1:C666,3,FALSE)</f>
        <v>-2.2198012107504708</v>
      </c>
      <c r="J254" s="168">
        <f>I254-VLOOKUP(B$2,H1:J392,2,FALSE)</f>
        <v>-7.1108910347079792</v>
      </c>
    </row>
    <row r="255" spans="1:10" ht="21.25" customHeight="1" x14ac:dyDescent="0.15">
      <c r="A255" s="9" t="s">
        <v>627</v>
      </c>
      <c r="B255" s="166" t="str">
        <f>VLOOKUP(A255,'The List'!B1:D665,3,FALSE)</f>
        <v>C</v>
      </c>
      <c r="C255" s="68">
        <f>IF(Settings!$E$15="POINTS",RANK(E255,E3:E392),H255)</f>
        <v>253</v>
      </c>
      <c r="D255" s="65" t="str">
        <f>VLOOKUP(A255,'The List'!B1:F665,5,FALSE)</f>
        <v>T.B</v>
      </c>
      <c r="E255" s="54">
        <f>VLOOKUP(A255,'The List'!B1:I665,8,FALSE)</f>
        <v>166.98474741286995</v>
      </c>
      <c r="F255" s="54">
        <f>IF(Settings!$E$15="POINTS",E255-VLOOKUP(B$2,C1:E392,3,FALSE),J255)</f>
        <v>-187.58952242131588</v>
      </c>
      <c r="G255" s="54"/>
      <c r="H255" s="167">
        <f>RANK(I255,I3:I392)</f>
        <v>241</v>
      </c>
      <c r="I255" s="168">
        <f>VLOOKUP(A255,'Standard Deviations'!A1:C666,3,FALSE)</f>
        <v>-1.8658033989228624</v>
      </c>
      <c r="J255" s="168">
        <f>I255-VLOOKUP(B$2,H1:J392,2,FALSE)</f>
        <v>-6.7568932228803709</v>
      </c>
    </row>
    <row r="256" spans="1:10" ht="21.25" customHeight="1" x14ac:dyDescent="0.15">
      <c r="A256" s="9" t="s">
        <v>628</v>
      </c>
      <c r="B256" s="166" t="str">
        <f>VLOOKUP(A256,'The List'!B1:D665,3,FALSE)</f>
        <v>C</v>
      </c>
      <c r="C256" s="68">
        <f>IF(Settings!$E$15="POINTS",RANK(E256,E3:E392),H256)</f>
        <v>254</v>
      </c>
      <c r="D256" s="65" t="str">
        <f>VLOOKUP(A256,'The List'!B1:F665,5,FALSE)</f>
        <v>NSH</v>
      </c>
      <c r="E256" s="54">
        <f>VLOOKUP(A256,'The List'!B1:I665,8,FALSE)</f>
        <v>166.5837645772792</v>
      </c>
      <c r="F256" s="54">
        <f>IF(Settings!$E$15="POINTS",E256-VLOOKUP(B$2,C1:E392,3,FALSE),J256)</f>
        <v>-187.99050525690663</v>
      </c>
      <c r="G256" s="54"/>
      <c r="H256" s="167">
        <f>RANK(I256,I3:I392)</f>
        <v>249</v>
      </c>
      <c r="I256" s="168">
        <f>VLOOKUP(A256,'Standard Deviations'!A1:C666,3,FALSE)</f>
        <v>-2.0637762652566511</v>
      </c>
      <c r="J256" s="168">
        <f>I256-VLOOKUP(B$2,H1:J392,2,FALSE)</f>
        <v>-6.9548660892141596</v>
      </c>
    </row>
    <row r="257" spans="1:10" ht="21.25" customHeight="1" x14ac:dyDescent="0.15">
      <c r="A257" s="9" t="s">
        <v>579</v>
      </c>
      <c r="B257" s="166" t="str">
        <f>VLOOKUP(A257,'The List'!B1:D665,3,FALSE)</f>
        <v>RW</v>
      </c>
      <c r="C257" s="68">
        <f>IF(Settings!$E$15="POINTS",RANK(E257,E3:E392),H257)</f>
        <v>255</v>
      </c>
      <c r="D257" s="65" t="str">
        <f>VLOOKUP(A257,'The List'!B1:F665,5,FALSE)</f>
        <v>T.B</v>
      </c>
      <c r="E257" s="54">
        <f>VLOOKUP(A257,'The List'!B1:I665,8,FALSE)</f>
        <v>165.82612193804221</v>
      </c>
      <c r="F257" s="54">
        <f>IF(Settings!$E$15="POINTS",E257-VLOOKUP(B$2,C1:E392,3,FALSE),J257)</f>
        <v>-188.74814789614362</v>
      </c>
      <c r="G257" s="54"/>
      <c r="H257" s="167">
        <f>RANK(I257,I3:I392)</f>
        <v>295</v>
      </c>
      <c r="I257" s="168">
        <f>VLOOKUP(A257,'Standard Deviations'!A1:C666,3,FALSE)</f>
        <v>-3.0633456969307535</v>
      </c>
      <c r="J257" s="168">
        <f>I257-VLOOKUP(B$2,H1:J392,2,FALSE)</f>
        <v>-7.9544355208882624</v>
      </c>
    </row>
    <row r="258" spans="1:10" ht="21.25" customHeight="1" x14ac:dyDescent="0.15">
      <c r="A258" s="9" t="s">
        <v>584</v>
      </c>
      <c r="B258" s="166" t="str">
        <f>VLOOKUP(A258,'The List'!B1:D665,3,FALSE)</f>
        <v>RW</v>
      </c>
      <c r="C258" s="68">
        <f>IF(Settings!$E$15="POINTS",RANK(E258,E3:E392),H258)</f>
        <v>256</v>
      </c>
      <c r="D258" s="65" t="str">
        <f>VLOOKUP(A258,'The List'!B1:F665,5,FALSE)</f>
        <v>PIT</v>
      </c>
      <c r="E258" s="54">
        <f>VLOOKUP(A258,'The List'!B1:I665,8,FALSE)</f>
        <v>163.88944685258298</v>
      </c>
      <c r="F258" s="54">
        <f>IF(Settings!$E$15="POINTS",E258-VLOOKUP(B$2,C1:E392,3,FALSE),J258)</f>
        <v>-190.68482298160285</v>
      </c>
      <c r="G258" s="54"/>
      <c r="H258" s="167">
        <f>RANK(I258,I3:I392)</f>
        <v>248</v>
      </c>
      <c r="I258" s="168">
        <f>VLOOKUP(A258,'Standard Deviations'!A1:C666,3,FALSE)</f>
        <v>-2.0611939744517542</v>
      </c>
      <c r="J258" s="168">
        <f>I258-VLOOKUP(B$2,H1:J392,2,FALSE)</f>
        <v>-6.9522837984092627</v>
      </c>
    </row>
    <row r="259" spans="1:10" ht="21.25" customHeight="1" x14ac:dyDescent="0.15">
      <c r="A259" s="9" t="s">
        <v>638</v>
      </c>
      <c r="B259" s="166" t="str">
        <f>VLOOKUP(A259,'The List'!B1:D665,3,FALSE)</f>
        <v>C</v>
      </c>
      <c r="C259" s="68">
        <f>IF(Settings!$E$15="POINTS",RANK(E259,E3:E392),H259)</f>
        <v>257</v>
      </c>
      <c r="D259" s="65" t="str">
        <f>VLOOKUP(A259,'The List'!B1:F665,5,FALSE)</f>
        <v>PHI</v>
      </c>
      <c r="E259" s="54">
        <f>VLOOKUP(A259,'The List'!B1:I665,8,FALSE)</f>
        <v>163.53285271878252</v>
      </c>
      <c r="F259" s="54">
        <f>IF(Settings!$E$15="POINTS",E259-VLOOKUP(B$2,C1:E392,3,FALSE),J259)</f>
        <v>-191.04141711540331</v>
      </c>
      <c r="G259" s="54"/>
      <c r="H259" s="167">
        <f>RANK(I259,I3:I392)</f>
        <v>283</v>
      </c>
      <c r="I259" s="168">
        <f>VLOOKUP(A259,'Standard Deviations'!A1:C666,3,FALSE)</f>
        <v>-2.9022861002784937</v>
      </c>
      <c r="J259" s="168">
        <f>I259-VLOOKUP(B$2,H1:J392,2,FALSE)</f>
        <v>-7.7933759242360026</v>
      </c>
    </row>
    <row r="260" spans="1:10" ht="21.25" customHeight="1" x14ac:dyDescent="0.15">
      <c r="A260" s="9" t="s">
        <v>640</v>
      </c>
      <c r="B260" s="166" t="str">
        <f>VLOOKUP(A260,'The List'!B1:D665,3,FALSE)</f>
        <v>C</v>
      </c>
      <c r="C260" s="68">
        <f>IF(Settings!$E$15="POINTS",RANK(E260,E3:E392),H260)</f>
        <v>258</v>
      </c>
      <c r="D260" s="65" t="str">
        <f>VLOOKUP(A260,'The List'!B1:F665,5,FALSE)</f>
        <v>DET</v>
      </c>
      <c r="E260" s="54">
        <f>VLOOKUP(A260,'The List'!B1:I665,8,FALSE)</f>
        <v>163.45466230693174</v>
      </c>
      <c r="F260" s="54">
        <f>IF(Settings!$E$15="POINTS",E260-VLOOKUP(B$2,C1:E392,3,FALSE),J260)</f>
        <v>-191.11960752725409</v>
      </c>
      <c r="G260" s="54"/>
      <c r="H260" s="167">
        <f>RANK(I260,I3:I392)</f>
        <v>287</v>
      </c>
      <c r="I260" s="168">
        <f>VLOOKUP(A260,'Standard Deviations'!A1:C666,3,FALSE)</f>
        <v>-2.9621401306843209</v>
      </c>
      <c r="J260" s="168">
        <f>I260-VLOOKUP(B$2,H1:J392,2,FALSE)</f>
        <v>-7.8532299546418294</v>
      </c>
    </row>
    <row r="261" spans="1:10" ht="21.25" customHeight="1" x14ac:dyDescent="0.15">
      <c r="A261" s="9" t="s">
        <v>642</v>
      </c>
      <c r="B261" s="166" t="str">
        <f>VLOOKUP(A261,'The List'!B1:D665,3,FALSE)</f>
        <v>C</v>
      </c>
      <c r="C261" s="68">
        <f>IF(Settings!$E$15="POINTS",RANK(E261,E3:E392),H261)</f>
        <v>259</v>
      </c>
      <c r="D261" s="65" t="str">
        <f>VLOOKUP(A261,'The List'!B1:F665,5,FALSE)</f>
        <v>CAR</v>
      </c>
      <c r="E261" s="54">
        <f>VLOOKUP(A261,'The List'!B1:I665,8,FALSE)</f>
        <v>162.70857249584458</v>
      </c>
      <c r="F261" s="54">
        <f>IF(Settings!$E$15="POINTS",E261-VLOOKUP(B$2,C1:E392,3,FALSE),J261)</f>
        <v>-191.86569733834125</v>
      </c>
      <c r="G261" s="54"/>
      <c r="H261" s="167">
        <f>RANK(I261,I3:I392)</f>
        <v>218</v>
      </c>
      <c r="I261" s="168">
        <f>VLOOKUP(A261,'Standard Deviations'!A1:C666,3,FALSE)</f>
        <v>-1.2058696515317722</v>
      </c>
      <c r="J261" s="168">
        <f>I261-VLOOKUP(B$2,H1:J392,2,FALSE)</f>
        <v>-6.0969594754892809</v>
      </c>
    </row>
    <row r="262" spans="1:10" ht="21.25" customHeight="1" x14ac:dyDescent="0.15">
      <c r="A262" s="9" t="s">
        <v>647</v>
      </c>
      <c r="B262" s="166" t="str">
        <f>VLOOKUP(A262,'The List'!B1:D665,3,FALSE)</f>
        <v>C</v>
      </c>
      <c r="C262" s="68">
        <f>IF(Settings!$E$15="POINTS",RANK(E262,E3:E392),H262)</f>
        <v>260</v>
      </c>
      <c r="D262" s="65" t="str">
        <f>VLOOKUP(A262,'The List'!B1:F665,5,FALSE)</f>
        <v>VAN</v>
      </c>
      <c r="E262" s="54">
        <f>VLOOKUP(A262,'The List'!B1:I665,8,FALSE)</f>
        <v>161.15513376518038</v>
      </c>
      <c r="F262" s="54">
        <f>IF(Settings!$E$15="POINTS",E262-VLOOKUP(B$2,C1:E392,3,FALSE),J262)</f>
        <v>-193.41913606900545</v>
      </c>
      <c r="G262" s="54"/>
      <c r="H262" s="167">
        <f>RANK(I262,I3:I392)</f>
        <v>212</v>
      </c>
      <c r="I262" s="168">
        <f>VLOOKUP(A262,'Standard Deviations'!A1:C666,3,FALSE)</f>
        <v>-1.0347265579689366</v>
      </c>
      <c r="J262" s="168">
        <f>I262-VLOOKUP(B$2,H1:J392,2,FALSE)</f>
        <v>-5.9258163819264453</v>
      </c>
    </row>
    <row r="263" spans="1:10" ht="21.25" customHeight="1" x14ac:dyDescent="0.15">
      <c r="A263" s="9" t="s">
        <v>593</v>
      </c>
      <c r="B263" s="166" t="str">
        <f>VLOOKUP(A263,'The List'!B1:D665,3,FALSE)</f>
        <v>C/RW</v>
      </c>
      <c r="C263" s="68">
        <f>IF(Settings!$E$15="POINTS",RANK(E263,E3:E392),H263)</f>
        <v>261</v>
      </c>
      <c r="D263" s="65" t="str">
        <f>VLOOKUP(A263,'The List'!B1:F665,5,FALSE)</f>
        <v>CGY</v>
      </c>
      <c r="E263" s="54">
        <f>VLOOKUP(A263,'The List'!B1:I665,8,FALSE)</f>
        <v>159.51778843907746</v>
      </c>
      <c r="F263" s="54">
        <f>IF(Settings!$E$15="POINTS",E263-VLOOKUP(B$2,C1:E392,3,FALSE),J263)</f>
        <v>-195.05648139510836</v>
      </c>
      <c r="G263" s="54"/>
      <c r="H263" s="167">
        <f>RANK(I263,I3:I392)</f>
        <v>282</v>
      </c>
      <c r="I263" s="168">
        <f>VLOOKUP(A263,'Standard Deviations'!A1:C666,3,FALSE)</f>
        <v>-2.8926012713382541</v>
      </c>
      <c r="J263" s="168">
        <f>I263-VLOOKUP(B$2,H1:J392,2,FALSE)</f>
        <v>-7.7836910952957625</v>
      </c>
    </row>
    <row r="264" spans="1:10" ht="21.25" customHeight="1" x14ac:dyDescent="0.15">
      <c r="A264" s="9" t="s">
        <v>653</v>
      </c>
      <c r="B264" s="166" t="str">
        <f>VLOOKUP(A264,'The List'!B1:D665,3,FALSE)</f>
        <v>C</v>
      </c>
      <c r="C264" s="68">
        <f>IF(Settings!$E$15="POINTS",RANK(E264,E3:E392),H264)</f>
        <v>262</v>
      </c>
      <c r="D264" s="65" t="str">
        <f>VLOOKUP(A264,'The List'!B1:F665,5,FALSE)</f>
        <v>BUF</v>
      </c>
      <c r="E264" s="54">
        <f>VLOOKUP(A264,'The List'!B1:I665,8,FALSE)</f>
        <v>159.24967837082897</v>
      </c>
      <c r="F264" s="54">
        <f>IF(Settings!$E$15="POINTS",E264-VLOOKUP(B$2,C1:E392,3,FALSE),J264)</f>
        <v>-195.32459146335685</v>
      </c>
      <c r="G264" s="54"/>
      <c r="H264" s="167">
        <f>RANK(I264,I3:I392)</f>
        <v>210</v>
      </c>
      <c r="I264" s="168">
        <f>VLOOKUP(A264,'Standard Deviations'!A1:C666,3,FALSE)</f>
        <v>-0.98782512532815048</v>
      </c>
      <c r="J264" s="168">
        <f>I264-VLOOKUP(B$2,H1:J392,2,FALSE)</f>
        <v>-5.8789149492856589</v>
      </c>
    </row>
    <row r="265" spans="1:10" ht="21.25" customHeight="1" x14ac:dyDescent="0.15">
      <c r="A265" s="9" t="s">
        <v>624</v>
      </c>
      <c r="B265" s="166" t="str">
        <f>VLOOKUP(A265,'The List'!B1:D665,3,FALSE)</f>
        <v>LW</v>
      </c>
      <c r="C265" s="68">
        <f>IF(Settings!$E$15="POINTS",RANK(E265,E3:E392),H265)</f>
        <v>263</v>
      </c>
      <c r="D265" s="65" t="str">
        <f>VLOOKUP(A265,'The List'!B1:F665,5,FALSE)</f>
        <v>BUF</v>
      </c>
      <c r="E265" s="54">
        <f>VLOOKUP(A265,'The List'!B1:I665,8,FALSE)</f>
        <v>158.99573111552934</v>
      </c>
      <c r="F265" s="54">
        <f>IF(Settings!$E$15="POINTS",E265-VLOOKUP(B$2,C1:E392,3,FALSE),J265)</f>
        <v>-195.57853871865649</v>
      </c>
      <c r="G265" s="54"/>
      <c r="H265" s="167">
        <f>RANK(I265,I3:I392)</f>
        <v>262</v>
      </c>
      <c r="I265" s="168">
        <f>VLOOKUP(A265,'Standard Deviations'!A1:C666,3,FALSE)</f>
        <v>-2.5241253805852635</v>
      </c>
      <c r="J265" s="168">
        <f>I265-VLOOKUP(B$2,H1:J392,2,FALSE)</f>
        <v>-7.4152152045427719</v>
      </c>
    </row>
    <row r="266" spans="1:10" ht="21.25" customHeight="1" x14ac:dyDescent="0.15">
      <c r="A266" s="9" t="s">
        <v>654</v>
      </c>
      <c r="B266" s="166" t="str">
        <f>VLOOKUP(A266,'The List'!B1:D665,3,FALSE)</f>
        <v>C</v>
      </c>
      <c r="C266" s="68">
        <f>IF(Settings!$E$15="POINTS",RANK(E266,E3:E392),H266)</f>
        <v>264</v>
      </c>
      <c r="D266" s="65" t="str">
        <f>VLOOKUP(A266,'The List'!B1:F665,5,FALSE)</f>
        <v>CHI</v>
      </c>
      <c r="E266" s="54">
        <f>VLOOKUP(A266,'The List'!B1:I665,8,FALSE)</f>
        <v>158.92983137838078</v>
      </c>
      <c r="F266" s="54">
        <f>IF(Settings!$E$15="POINTS",E266-VLOOKUP(B$2,C1:E392,3,FALSE),J266)</f>
        <v>-195.64443845580504</v>
      </c>
      <c r="G266" s="54"/>
      <c r="H266" s="167">
        <f>RANK(I266,I3:I392)</f>
        <v>343</v>
      </c>
      <c r="I266" s="168">
        <f>VLOOKUP(A266,'Standard Deviations'!A1:C666,3,FALSE)</f>
        <v>-3.9924526106741798</v>
      </c>
      <c r="J266" s="168">
        <f>I266-VLOOKUP(B$2,H1:J392,2,FALSE)</f>
        <v>-8.8835424346316891</v>
      </c>
    </row>
    <row r="267" spans="1:10" ht="21.25" customHeight="1" x14ac:dyDescent="0.15">
      <c r="A267" s="9" t="s">
        <v>655</v>
      </c>
      <c r="B267" s="166" t="str">
        <f>VLOOKUP(A267,'The List'!B1:D665,3,FALSE)</f>
        <v>C</v>
      </c>
      <c r="C267" s="68">
        <f>IF(Settings!$E$15="POINTS",RANK(E267,E3:E392),H267)</f>
        <v>265</v>
      </c>
      <c r="D267" s="65" t="str">
        <f>VLOOKUP(A267,'The List'!B1:F665,5,FALSE)</f>
        <v>OTT</v>
      </c>
      <c r="E267" s="54">
        <f>VLOOKUP(A267,'The List'!B1:I665,8,FALSE)</f>
        <v>158.56234459362454</v>
      </c>
      <c r="F267" s="54">
        <f>IF(Settings!$E$15="POINTS",E267-VLOOKUP(B$2,C1:E392,3,FALSE),J267)</f>
        <v>-196.01192524056128</v>
      </c>
      <c r="G267" s="54"/>
      <c r="H267" s="167">
        <f>RANK(I267,I3:I392)</f>
        <v>245</v>
      </c>
      <c r="I267" s="168">
        <f>VLOOKUP(A267,'Standard Deviations'!A1:C666,3,FALSE)</f>
        <v>-1.9371511860831863</v>
      </c>
      <c r="J267" s="168">
        <f>I267-VLOOKUP(B$2,H1:J392,2,FALSE)</f>
        <v>-6.8282410100406947</v>
      </c>
    </row>
    <row r="268" spans="1:10" ht="21.25" customHeight="1" x14ac:dyDescent="0.15">
      <c r="A268" s="9" t="s">
        <v>598</v>
      </c>
      <c r="B268" s="166" t="str">
        <f>VLOOKUP(A268,'The List'!B1:D665,3,FALSE)</f>
        <v>RW</v>
      </c>
      <c r="C268" s="68">
        <f>IF(Settings!$E$15="POINTS",RANK(E268,E3:E392),H268)</f>
        <v>266</v>
      </c>
      <c r="D268" s="65" t="str">
        <f>VLOOKUP(A268,'The List'!B1:F665,5,FALSE)</f>
        <v>L.A</v>
      </c>
      <c r="E268" s="54">
        <f>VLOOKUP(A268,'The List'!B1:I665,8,FALSE)</f>
        <v>157.31618519136515</v>
      </c>
      <c r="F268" s="54">
        <f>IF(Settings!$E$15="POINTS",E268-VLOOKUP(B$2,C1:E392,3,FALSE),J268)</f>
        <v>-197.25808464282068</v>
      </c>
      <c r="G268" s="54"/>
      <c r="H268" s="167">
        <f>RANK(I268,I3:I392)</f>
        <v>240</v>
      </c>
      <c r="I268" s="168">
        <f>VLOOKUP(A268,'Standard Deviations'!A1:C666,3,FALSE)</f>
        <v>-1.8564238641171849</v>
      </c>
      <c r="J268" s="168">
        <f>I268-VLOOKUP(B$2,H1:J392,2,FALSE)</f>
        <v>-6.7475136880746938</v>
      </c>
    </row>
    <row r="269" spans="1:10" ht="21.25" customHeight="1" x14ac:dyDescent="0.15">
      <c r="A269" s="9" t="s">
        <v>660</v>
      </c>
      <c r="B269" s="166" t="str">
        <f>VLOOKUP(A269,'The List'!B1:D665,3,FALSE)</f>
        <v>C</v>
      </c>
      <c r="C269" s="68">
        <f>IF(Settings!$E$15="POINTS",RANK(E269,E3:E392),H269)</f>
        <v>267</v>
      </c>
      <c r="D269" s="65" t="str">
        <f>VLOOKUP(A269,'The List'!B1:F665,5,FALSE)</f>
        <v>BOS</v>
      </c>
      <c r="E269" s="54">
        <f>VLOOKUP(A269,'The List'!B1:I665,8,FALSE)</f>
        <v>156.18138795572915</v>
      </c>
      <c r="F269" s="54">
        <f>IF(Settings!$E$15="POINTS",E269-VLOOKUP(B$2,C1:E392,3,FALSE),J269)</f>
        <v>-198.39288187845668</v>
      </c>
      <c r="G269" s="54"/>
      <c r="H269" s="167">
        <f>RANK(I269,I3:I392)</f>
        <v>252</v>
      </c>
      <c r="I269" s="168">
        <f>VLOOKUP(A269,'Standard Deviations'!A1:C666,3,FALSE)</f>
        <v>-2.1625605961913106</v>
      </c>
      <c r="J269" s="168">
        <f>I269-VLOOKUP(B$2,H1:J392,2,FALSE)</f>
        <v>-7.053650420148819</v>
      </c>
    </row>
    <row r="270" spans="1:10" ht="21.25" customHeight="1" x14ac:dyDescent="0.15">
      <c r="A270" s="9" t="s">
        <v>666</v>
      </c>
      <c r="B270" s="166" t="str">
        <f>VLOOKUP(A270,'The List'!B1:D665,3,FALSE)</f>
        <v>C</v>
      </c>
      <c r="C270" s="68">
        <f>IF(Settings!$E$15="POINTS",RANK(E270,E3:E392),H270)</f>
        <v>268</v>
      </c>
      <c r="D270" s="65" t="str">
        <f>VLOOKUP(A270,'The List'!B1:F665,5,FALSE)</f>
        <v>PIT</v>
      </c>
      <c r="E270" s="54">
        <f>VLOOKUP(A270,'The List'!B1:I665,8,FALSE)</f>
        <v>155.30875340317388</v>
      </c>
      <c r="F270" s="54">
        <f>IF(Settings!$E$15="POINTS",E270-VLOOKUP(B$2,C1:E392,3,FALSE),J270)</f>
        <v>-199.26551643101195</v>
      </c>
      <c r="G270" s="54"/>
      <c r="H270" s="167">
        <f>RANK(I270,I3:I392)</f>
        <v>265</v>
      </c>
      <c r="I270" s="168">
        <f>VLOOKUP(A270,'Standard Deviations'!A1:C666,3,FALSE)</f>
        <v>-2.6422972597926453</v>
      </c>
      <c r="J270" s="168">
        <f>I270-VLOOKUP(B$2,H1:J392,2,FALSE)</f>
        <v>-7.5333870837501538</v>
      </c>
    </row>
    <row r="271" spans="1:10" ht="21.25" customHeight="1" x14ac:dyDescent="0.15">
      <c r="A271" s="9" t="s">
        <v>603</v>
      </c>
      <c r="B271" s="166" t="str">
        <f>VLOOKUP(A271,'The List'!B1:D665,3,FALSE)</f>
        <v>RW</v>
      </c>
      <c r="C271" s="68">
        <f>IF(Settings!$E$15="POINTS",RANK(E271,E3:E392),H271)</f>
        <v>269</v>
      </c>
      <c r="D271" s="65" t="str">
        <f>VLOOKUP(A271,'The List'!B1:F665,5,FALSE)</f>
        <v>PHI</v>
      </c>
      <c r="E271" s="54">
        <f>VLOOKUP(A271,'The List'!B1:I665,8,FALSE)</f>
        <v>155.04454421178511</v>
      </c>
      <c r="F271" s="54">
        <f>IF(Settings!$E$15="POINTS",E271-VLOOKUP(B$2,C1:E392,3,FALSE),J271)</f>
        <v>-199.52972562240072</v>
      </c>
      <c r="G271" s="54"/>
      <c r="H271" s="167">
        <f>RANK(I271,I3:I392)</f>
        <v>289</v>
      </c>
      <c r="I271" s="168">
        <f>VLOOKUP(A271,'Standard Deviations'!A1:C666,3,FALSE)</f>
        <v>-2.9781199650737262</v>
      </c>
      <c r="J271" s="168">
        <f>I271-VLOOKUP(B$2,H1:J392,2,FALSE)</f>
        <v>-7.8692097890312347</v>
      </c>
    </row>
    <row r="272" spans="1:10" ht="21.25" customHeight="1" x14ac:dyDescent="0.15">
      <c r="A272" s="9" t="s">
        <v>634</v>
      </c>
      <c r="B272" s="166" t="str">
        <f>VLOOKUP(A272,'The List'!B1:D665,3,FALSE)</f>
        <v>LW</v>
      </c>
      <c r="C272" s="68">
        <f>IF(Settings!$E$15="POINTS",RANK(E272,E3:E392),H272)</f>
        <v>270</v>
      </c>
      <c r="D272" s="65" t="str">
        <f>VLOOKUP(A272,'The List'!B1:F665,5,FALSE)</f>
        <v>PIT</v>
      </c>
      <c r="E272" s="54">
        <f>VLOOKUP(A272,'The List'!B1:I665,8,FALSE)</f>
        <v>154.92208278722021</v>
      </c>
      <c r="F272" s="54">
        <f>IF(Settings!$E$15="POINTS",E272-VLOOKUP(B$2,C1:E392,3,FALSE),J272)</f>
        <v>-199.65218704696562</v>
      </c>
      <c r="G272" s="54"/>
      <c r="H272" s="167">
        <f>RANK(I272,I3:I392)</f>
        <v>276</v>
      </c>
      <c r="I272" s="168">
        <f>VLOOKUP(A272,'Standard Deviations'!A1:C666,3,FALSE)</f>
        <v>-2.8331163376264121</v>
      </c>
      <c r="J272" s="168">
        <f>I272-VLOOKUP(B$2,H1:J392,2,FALSE)</f>
        <v>-7.7242061615839201</v>
      </c>
    </row>
    <row r="273" spans="1:10" ht="21.25" customHeight="1" x14ac:dyDescent="0.15">
      <c r="A273" s="9" t="s">
        <v>668</v>
      </c>
      <c r="B273" s="166" t="str">
        <f>VLOOKUP(A273,'The List'!B1:D665,3,FALSE)</f>
        <v>C</v>
      </c>
      <c r="C273" s="68">
        <f>IF(Settings!$E$15="POINTS",RANK(E273,E3:E392),H273)</f>
        <v>271</v>
      </c>
      <c r="D273" s="65" t="str">
        <f>VLOOKUP(A273,'The List'!B1:F665,5,FALSE)</f>
        <v>WSH</v>
      </c>
      <c r="E273" s="54">
        <f>VLOOKUP(A273,'The List'!B1:I665,8,FALSE)</f>
        <v>154.76260569544934</v>
      </c>
      <c r="F273" s="54">
        <f>IF(Settings!$E$15="POINTS",E273-VLOOKUP(B$2,C1:E392,3,FALSE),J273)</f>
        <v>-199.81166413873649</v>
      </c>
      <c r="G273" s="54"/>
      <c r="H273" s="167">
        <f>RANK(I273,I3:I392)</f>
        <v>291</v>
      </c>
      <c r="I273" s="168">
        <f>VLOOKUP(A273,'Standard Deviations'!A1:C666,3,FALSE)</f>
        <v>-2.9988466046657543</v>
      </c>
      <c r="J273" s="168">
        <f>I273-VLOOKUP(B$2,H1:J392,2,FALSE)</f>
        <v>-7.8899364286232627</v>
      </c>
    </row>
    <row r="274" spans="1:10" ht="21.25" customHeight="1" x14ac:dyDescent="0.15">
      <c r="A274" s="9" t="s">
        <v>669</v>
      </c>
      <c r="B274" s="166" t="str">
        <f>VLOOKUP(A274,'The List'!B1:D665,3,FALSE)</f>
        <v>C</v>
      </c>
      <c r="C274" s="68">
        <f>IF(Settings!$E$15="POINTS",RANK(E274,E3:E392),H274)</f>
        <v>272</v>
      </c>
      <c r="D274" s="65" t="str">
        <f>VLOOKUP(A274,'The List'!B1:F665,5,FALSE)</f>
        <v>CAR</v>
      </c>
      <c r="E274" s="54">
        <f>VLOOKUP(A274,'The List'!B1:I665,8,FALSE)</f>
        <v>154.31706123261708</v>
      </c>
      <c r="F274" s="54">
        <f>IF(Settings!$E$15="POINTS",E274-VLOOKUP(B$2,C1:E392,3,FALSE),J274)</f>
        <v>-200.25720860156875</v>
      </c>
      <c r="G274" s="54"/>
      <c r="H274" s="167">
        <f>RANK(I274,I3:I392)</f>
        <v>216</v>
      </c>
      <c r="I274" s="168">
        <f>VLOOKUP(A274,'Standard Deviations'!A1:C666,3,FALSE)</f>
        <v>-1.0901474949991514</v>
      </c>
      <c r="J274" s="168">
        <f>I274-VLOOKUP(B$2,H1:J392,2,FALSE)</f>
        <v>-5.9812373189566603</v>
      </c>
    </row>
    <row r="275" spans="1:10" ht="21.25" customHeight="1" x14ac:dyDescent="0.15">
      <c r="A275" s="9" t="s">
        <v>643</v>
      </c>
      <c r="B275" s="166" t="str">
        <f>VLOOKUP(A275,'The List'!B1:D665,3,FALSE)</f>
        <v>LW</v>
      </c>
      <c r="C275" s="68">
        <f>IF(Settings!$E$15="POINTS",RANK(E275,E3:E392),H275)</f>
        <v>273</v>
      </c>
      <c r="D275" s="65" t="str">
        <f>VLOOKUP(A275,'The List'!B1:F665,5,FALSE)</f>
        <v>NYI</v>
      </c>
      <c r="E275" s="54">
        <f>VLOOKUP(A275,'The List'!B1:I665,8,FALSE)</f>
        <v>153.74992262461927</v>
      </c>
      <c r="F275" s="54">
        <f>IF(Settings!$E$15="POINTS",E275-VLOOKUP(B$2,C1:E392,3,FALSE),J275)</f>
        <v>-200.82434720956655</v>
      </c>
      <c r="G275" s="54"/>
      <c r="H275" s="167">
        <f>RANK(I275,I3:I392)</f>
        <v>239</v>
      </c>
      <c r="I275" s="168">
        <f>VLOOKUP(A275,'Standard Deviations'!A1:C666,3,FALSE)</f>
        <v>-1.8491490690869707</v>
      </c>
      <c r="J275" s="168">
        <f>I275-VLOOKUP(B$2,H1:J392,2,FALSE)</f>
        <v>-6.740238893044479</v>
      </c>
    </row>
    <row r="276" spans="1:10" ht="21.25" customHeight="1" x14ac:dyDescent="0.15">
      <c r="A276" s="9" t="s">
        <v>605</v>
      </c>
      <c r="B276" s="166" t="str">
        <f>VLOOKUP(A276,'The List'!B1:D665,3,FALSE)</f>
        <v>C/RW</v>
      </c>
      <c r="C276" s="68">
        <f>IF(Settings!$E$15="POINTS",RANK(E276,E3:E392),H276)</f>
        <v>274</v>
      </c>
      <c r="D276" s="65" t="str">
        <f>VLOOKUP(A276,'The List'!B1:F665,5,FALSE)</f>
        <v>WPG</v>
      </c>
      <c r="E276" s="54">
        <f>VLOOKUP(A276,'The List'!B1:I665,8,FALSE)</f>
        <v>152.79064533224144</v>
      </c>
      <c r="F276" s="54">
        <f>IF(Settings!$E$15="POINTS",E276-VLOOKUP(B$2,C1:E392,3,FALSE),J276)</f>
        <v>-201.78362450194439</v>
      </c>
      <c r="G276" s="54"/>
      <c r="H276" s="167">
        <f>RANK(I276,I3:I392)</f>
        <v>256</v>
      </c>
      <c r="I276" s="168">
        <f>VLOOKUP(A276,'Standard Deviations'!A1:C666,3,FALSE)</f>
        <v>-2.287694077212524</v>
      </c>
      <c r="J276" s="168">
        <f>I276-VLOOKUP(B$2,H1:J392,2,FALSE)</f>
        <v>-7.1787839011700321</v>
      </c>
    </row>
    <row r="277" spans="1:10" ht="21.25" customHeight="1" x14ac:dyDescent="0.15">
      <c r="A277" s="9" t="s">
        <v>645</v>
      </c>
      <c r="B277" s="166" t="str">
        <f>VLOOKUP(A277,'The List'!B1:D665,3,FALSE)</f>
        <v>LW</v>
      </c>
      <c r="C277" s="68">
        <f>IF(Settings!$E$15="POINTS",RANK(E277,E3:E392),H277)</f>
        <v>275</v>
      </c>
      <c r="D277" s="65" t="str">
        <f>VLOOKUP(A277,'The List'!B1:F665,5,FALSE)</f>
        <v>DET</v>
      </c>
      <c r="E277" s="54">
        <f>VLOOKUP(A277,'The List'!B1:I665,8,FALSE)</f>
        <v>152.61529531913425</v>
      </c>
      <c r="F277" s="54">
        <f>IF(Settings!$E$15="POINTS",E277-VLOOKUP(B$2,C1:E392,3,FALSE),J277)</f>
        <v>-201.95897451505158</v>
      </c>
      <c r="G277" s="54"/>
      <c r="H277" s="167">
        <f>RANK(I277,I3:I392)</f>
        <v>290</v>
      </c>
      <c r="I277" s="168">
        <f>VLOOKUP(A277,'Standard Deviations'!A1:C666,3,FALSE)</f>
        <v>-2.9972465461825277</v>
      </c>
      <c r="J277" s="168">
        <f>I277-VLOOKUP(B$2,H1:J392,2,FALSE)</f>
        <v>-7.8883363701400366</v>
      </c>
    </row>
    <row r="278" spans="1:10" ht="21.25" customHeight="1" x14ac:dyDescent="0.15">
      <c r="A278" s="9" t="s">
        <v>646</v>
      </c>
      <c r="B278" s="166" t="str">
        <f>VLOOKUP(A278,'The List'!B1:D665,3,FALSE)</f>
        <v>LW</v>
      </c>
      <c r="C278" s="68">
        <f>IF(Settings!$E$15="POINTS",RANK(E278,E3:E392),H278)</f>
        <v>276</v>
      </c>
      <c r="D278" s="65" t="str">
        <f>VLOOKUP(A278,'The List'!B1:F665,5,FALSE)</f>
        <v>PHI</v>
      </c>
      <c r="E278" s="54">
        <f>VLOOKUP(A278,'The List'!B1:I665,8,FALSE)</f>
        <v>152.57222613205596</v>
      </c>
      <c r="F278" s="54">
        <f>IF(Settings!$E$15="POINTS",E278-VLOOKUP(B$2,C1:E392,3,FALSE),J278)</f>
        <v>-202.00204370212987</v>
      </c>
      <c r="G278" s="54"/>
      <c r="H278" s="167">
        <f>RANK(I278,I3:I392)</f>
        <v>301</v>
      </c>
      <c r="I278" s="168">
        <f>VLOOKUP(A278,'Standard Deviations'!A1:C666,3,FALSE)</f>
        <v>-3.1857678586053462</v>
      </c>
      <c r="J278" s="168">
        <f>I278-VLOOKUP(B$2,H1:J392,2,FALSE)</f>
        <v>-8.0768576825628546</v>
      </c>
    </row>
    <row r="279" spans="1:10" ht="21.25" customHeight="1" x14ac:dyDescent="0.15">
      <c r="A279" s="9" t="s">
        <v>607</v>
      </c>
      <c r="B279" s="166" t="str">
        <f>VLOOKUP(A279,'The List'!B1:D665,3,FALSE)</f>
        <v>RW</v>
      </c>
      <c r="C279" s="68">
        <f>IF(Settings!$E$15="POINTS",RANK(E279,E3:E392),H279)</f>
        <v>277</v>
      </c>
      <c r="D279" s="65" t="str">
        <f>VLOOKUP(A279,'The List'!B1:F665,5,FALSE)</f>
        <v>CHI</v>
      </c>
      <c r="E279" s="54">
        <f>VLOOKUP(A279,'The List'!B1:I665,8,FALSE)</f>
        <v>152.22079854498756</v>
      </c>
      <c r="F279" s="54">
        <f>IF(Settings!$E$15="POINTS",E279-VLOOKUP(B$2,C1:E392,3,FALSE),J279)</f>
        <v>-202.35347128919827</v>
      </c>
      <c r="G279" s="54"/>
      <c r="H279" s="167">
        <f>RANK(I279,I3:I392)</f>
        <v>233</v>
      </c>
      <c r="I279" s="168">
        <f>VLOOKUP(A279,'Standard Deviations'!A1:C666,3,FALSE)</f>
        <v>-1.7615489380662392</v>
      </c>
      <c r="J279" s="168">
        <f>I279-VLOOKUP(B$2,H1:J392,2,FALSE)</f>
        <v>-6.6526387620237477</v>
      </c>
    </row>
    <row r="280" spans="1:10" ht="21.25" customHeight="1" x14ac:dyDescent="0.15">
      <c r="A280" s="9" t="s">
        <v>611</v>
      </c>
      <c r="B280" s="166" t="str">
        <f>VLOOKUP(A280,'The List'!B1:D665,3,FALSE)</f>
        <v>RW</v>
      </c>
      <c r="C280" s="68">
        <f>IF(Settings!$E$15="POINTS",RANK(E280,E3:E392),H280)</f>
        <v>278</v>
      </c>
      <c r="D280" s="65" t="str">
        <f>VLOOKUP(A280,'The List'!B1:F665,5,FALSE)</f>
        <v>DAL</v>
      </c>
      <c r="E280" s="54">
        <f>VLOOKUP(A280,'The List'!B1:I665,8,FALSE)</f>
        <v>151.89374177257309</v>
      </c>
      <c r="F280" s="54">
        <f>IF(Settings!$E$15="POINTS",E280-VLOOKUP(B$2,C1:E392,3,FALSE),J280)</f>
        <v>-202.68052806161273</v>
      </c>
      <c r="G280" s="54"/>
      <c r="H280" s="167">
        <f>RANK(I280,I3:I392)</f>
        <v>244</v>
      </c>
      <c r="I280" s="168">
        <f>VLOOKUP(A280,'Standard Deviations'!A1:C666,3,FALSE)</f>
        <v>-1.929465735894675</v>
      </c>
      <c r="J280" s="168">
        <f>I280-VLOOKUP(B$2,H1:J392,2,FALSE)</f>
        <v>-6.820555559852183</v>
      </c>
    </row>
    <row r="281" spans="1:10" ht="21.25" customHeight="1" x14ac:dyDescent="0.15">
      <c r="A281" s="9" t="s">
        <v>612</v>
      </c>
      <c r="B281" s="166" t="str">
        <f>VLOOKUP(A281,'The List'!B1:D665,3,FALSE)</f>
        <v>RW</v>
      </c>
      <c r="C281" s="68">
        <f>IF(Settings!$E$15="POINTS",RANK(E281,E3:E392),H281)</f>
        <v>279</v>
      </c>
      <c r="D281" s="65" t="str">
        <f>VLOOKUP(A281,'The List'!B1:F665,5,FALSE)</f>
        <v>L.A</v>
      </c>
      <c r="E281" s="54">
        <f>VLOOKUP(A281,'The List'!B1:I665,8,FALSE)</f>
        <v>151.09188628155823</v>
      </c>
      <c r="F281" s="54">
        <f>IF(Settings!$E$15="POINTS",E281-VLOOKUP(B$2,C1:E392,3,FALSE),J281)</f>
        <v>-203.4823835526276</v>
      </c>
      <c r="G281" s="54"/>
      <c r="H281" s="167">
        <f>RANK(I281,I3:I392)</f>
        <v>275</v>
      </c>
      <c r="I281" s="168">
        <f>VLOOKUP(A281,'Standard Deviations'!A1:C666,3,FALSE)</f>
        <v>-2.8005657732798728</v>
      </c>
      <c r="J281" s="168">
        <f>I281-VLOOKUP(B$2,H1:J392,2,FALSE)</f>
        <v>-7.6916555972373812</v>
      </c>
    </row>
    <row r="282" spans="1:10" ht="21.25" customHeight="1" x14ac:dyDescent="0.15">
      <c r="A282" s="9" t="s">
        <v>657</v>
      </c>
      <c r="B282" s="166" t="str">
        <f>VLOOKUP(A282,'The List'!B1:D665,3,FALSE)</f>
        <v>LW</v>
      </c>
      <c r="C282" s="68">
        <f>IF(Settings!$E$15="POINTS",RANK(E282,E3:E392),H282)</f>
        <v>280</v>
      </c>
      <c r="D282" s="65" t="str">
        <f>VLOOKUP(A282,'The List'!B1:F665,5,FALSE)</f>
        <v>CAR</v>
      </c>
      <c r="E282" s="54">
        <f>VLOOKUP(A282,'The List'!B1:I665,8,FALSE)</f>
        <v>147.76559891746672</v>
      </c>
      <c r="F282" s="54">
        <f>IF(Settings!$E$15="POINTS",E282-VLOOKUP(B$2,C1:E392,3,FALSE),J282)</f>
        <v>-206.80867091671911</v>
      </c>
      <c r="G282" s="54"/>
      <c r="H282" s="167">
        <f>RANK(I282,I3:I392)</f>
        <v>243</v>
      </c>
      <c r="I282" s="168">
        <f>VLOOKUP(A282,'Standard Deviations'!A1:C666,3,FALSE)</f>
        <v>-1.8980186384544981</v>
      </c>
      <c r="J282" s="168">
        <f>I282-VLOOKUP(B$2,H1:J392,2,FALSE)</f>
        <v>-6.7891084624120062</v>
      </c>
    </row>
    <row r="283" spans="1:10" ht="21.25" customHeight="1" x14ac:dyDescent="0.15">
      <c r="A283" s="9" t="s">
        <v>659</v>
      </c>
      <c r="B283" s="166" t="str">
        <f>VLOOKUP(A283,'The List'!B1:D665,3,FALSE)</f>
        <v>LW</v>
      </c>
      <c r="C283" s="68">
        <f>IF(Settings!$E$15="POINTS",RANK(E283,E3:E392),H283)</f>
        <v>281</v>
      </c>
      <c r="D283" s="65" t="str">
        <f>VLOOKUP(A283,'The List'!B1:F665,5,FALSE)</f>
        <v>N.J</v>
      </c>
      <c r="E283" s="54">
        <f>VLOOKUP(A283,'The List'!B1:I665,8,FALSE)</f>
        <v>147.52965474221415</v>
      </c>
      <c r="F283" s="54">
        <f>IF(Settings!$E$15="POINTS",E283-VLOOKUP(B$2,C1:E392,3,FALSE),J283)</f>
        <v>-207.04461509197168</v>
      </c>
      <c r="G283" s="54"/>
      <c r="H283" s="167">
        <f>RANK(I283,I3:I392)</f>
        <v>278</v>
      </c>
      <c r="I283" s="168">
        <f>VLOOKUP(A283,'Standard Deviations'!A1:C666,3,FALSE)</f>
        <v>-2.8480502731186901</v>
      </c>
      <c r="J283" s="168">
        <f>I283-VLOOKUP(B$2,H1:J392,2,FALSE)</f>
        <v>-7.7391400970761985</v>
      </c>
    </row>
    <row r="284" spans="1:10" ht="21.25" customHeight="1" x14ac:dyDescent="0.15">
      <c r="A284" s="9" t="s">
        <v>687</v>
      </c>
      <c r="B284" s="166" t="str">
        <f>VLOOKUP(A284,'The List'!B1:D665,3,FALSE)</f>
        <v>C</v>
      </c>
      <c r="C284" s="68">
        <f>IF(Settings!$E$15="POINTS",RANK(E284,E3:E392),H284)</f>
        <v>282</v>
      </c>
      <c r="D284" s="65" t="str">
        <f>VLOOKUP(A284,'The List'!B1:F665,5,FALSE)</f>
        <v>PIT</v>
      </c>
      <c r="E284" s="54">
        <f>VLOOKUP(A284,'The List'!B1:I665,8,FALSE)</f>
        <v>147.45374823644912</v>
      </c>
      <c r="F284" s="54">
        <f>IF(Settings!$E$15="POINTS",E284-VLOOKUP(B$2,C1:E392,3,FALSE),J284)</f>
        <v>-207.12052159773671</v>
      </c>
      <c r="G284" s="54"/>
      <c r="H284" s="167">
        <f>RANK(I284,I3:I392)</f>
        <v>269</v>
      </c>
      <c r="I284" s="168">
        <f>VLOOKUP(A284,'Standard Deviations'!A1:C666,3,FALSE)</f>
        <v>-2.6948554294782228</v>
      </c>
      <c r="J284" s="168">
        <f>I284-VLOOKUP(B$2,H1:J392,2,FALSE)</f>
        <v>-7.5859452534357317</v>
      </c>
    </row>
    <row r="285" spans="1:10" ht="21.25" customHeight="1" x14ac:dyDescent="0.15">
      <c r="A285" s="9" t="s">
        <v>621</v>
      </c>
      <c r="B285" s="166" t="str">
        <f>VLOOKUP(A285,'The List'!B1:D665,3,FALSE)</f>
        <v>LW/RW</v>
      </c>
      <c r="C285" s="68">
        <f>IF(Settings!$E$15="POINTS",RANK(E285,E3:E392),H285)</f>
        <v>283</v>
      </c>
      <c r="D285" s="65" t="str">
        <f>VLOOKUP(A285,'The List'!B1:F665,5,FALSE)</f>
        <v>STL</v>
      </c>
      <c r="E285" s="54">
        <f>VLOOKUP(A285,'The List'!B1:I665,8,FALSE)</f>
        <v>147.21908751931383</v>
      </c>
      <c r="F285" s="54">
        <f>IF(Settings!$E$15="POINTS",E285-VLOOKUP(B$2,C1:E392,3,FALSE),J285)</f>
        <v>-207.355182314872</v>
      </c>
      <c r="G285" s="54"/>
      <c r="H285" s="167">
        <f>RANK(I285,I3:I392)</f>
        <v>371</v>
      </c>
      <c r="I285" s="168">
        <f>VLOOKUP(A285,'Standard Deviations'!A1:C666,3,FALSE)</f>
        <v>-4.8964696216031314</v>
      </c>
      <c r="J285" s="168">
        <f>I285-VLOOKUP(B$2,H1:J392,2,FALSE)</f>
        <v>-9.7875594455606389</v>
      </c>
    </row>
    <row r="286" spans="1:10" ht="21.25" customHeight="1" x14ac:dyDescent="0.15">
      <c r="A286" s="9" t="s">
        <v>661</v>
      </c>
      <c r="B286" s="166" t="str">
        <f>VLOOKUP(A286,'The List'!B1:D665,3,FALSE)</f>
        <v>LW</v>
      </c>
      <c r="C286" s="68">
        <f>IF(Settings!$E$15="POINTS",RANK(E286,E3:E392),H286)</f>
        <v>284</v>
      </c>
      <c r="D286" s="65" t="str">
        <f>VLOOKUP(A286,'The List'!B1:F665,5,FALSE)</f>
        <v>CAR</v>
      </c>
      <c r="E286" s="54">
        <f>VLOOKUP(A286,'The List'!B1:I665,8,FALSE)</f>
        <v>147.17738721402088</v>
      </c>
      <c r="F286" s="54">
        <f>IF(Settings!$E$15="POINTS",E286-VLOOKUP(B$2,C1:E392,3,FALSE),J286)</f>
        <v>-207.39688262016494</v>
      </c>
      <c r="G286" s="54"/>
      <c r="H286" s="167">
        <f>RANK(I286,I3:I392)</f>
        <v>246</v>
      </c>
      <c r="I286" s="168">
        <f>VLOOKUP(A286,'Standard Deviations'!A1:C666,3,FALSE)</f>
        <v>-2.0349748640203105</v>
      </c>
      <c r="J286" s="168">
        <f>I286-VLOOKUP(B$2,H1:J392,2,FALSE)</f>
        <v>-6.9260646879778189</v>
      </c>
    </row>
    <row r="287" spans="1:10" ht="21.25" customHeight="1" x14ac:dyDescent="0.15">
      <c r="A287" s="9" t="s">
        <v>689</v>
      </c>
      <c r="B287" s="166" t="str">
        <f>VLOOKUP(A287,'The List'!B1:D665,3,FALSE)</f>
        <v>C</v>
      </c>
      <c r="C287" s="68">
        <f>IF(Settings!$E$15="POINTS",RANK(E287,E3:E392),H287)</f>
        <v>285</v>
      </c>
      <c r="D287" s="65" t="str">
        <f>VLOOKUP(A287,'The List'!B1:F665,5,FALSE)</f>
        <v>TOR</v>
      </c>
      <c r="E287" s="54">
        <f>VLOOKUP(A287,'The List'!B1:I665,8,FALSE)</f>
        <v>146.80606910568514</v>
      </c>
      <c r="F287" s="54">
        <f>IF(Settings!$E$15="POINTS",E287-VLOOKUP(B$2,C1:E392,3,FALSE),J287)</f>
        <v>-207.76820072850069</v>
      </c>
      <c r="G287" s="54"/>
      <c r="H287" s="167">
        <f>RANK(I287,I3:I392)</f>
        <v>231</v>
      </c>
      <c r="I287" s="168">
        <f>VLOOKUP(A287,'Standard Deviations'!A1:C666,3,FALSE)</f>
        <v>-1.7076875713132782</v>
      </c>
      <c r="J287" s="168">
        <f>I287-VLOOKUP(B$2,H1:J392,2,FALSE)</f>
        <v>-6.5987773952707869</v>
      </c>
    </row>
    <row r="288" spans="1:10" ht="21.25" customHeight="1" x14ac:dyDescent="0.15">
      <c r="A288" s="9" t="s">
        <v>667</v>
      </c>
      <c r="B288" s="166" t="str">
        <f>VLOOKUP(A288,'The List'!B1:D665,3,FALSE)</f>
        <v>LW</v>
      </c>
      <c r="C288" s="68">
        <f>IF(Settings!$E$15="POINTS",RANK(E288,E3:E392),H288)</f>
        <v>286</v>
      </c>
      <c r="D288" s="65" t="str">
        <f>VLOOKUP(A288,'The List'!B1:F665,5,FALSE)</f>
        <v>WSH</v>
      </c>
      <c r="E288" s="54">
        <f>VLOOKUP(A288,'The List'!B1:I665,8,FALSE)</f>
        <v>146.2673734166483</v>
      </c>
      <c r="F288" s="54">
        <f>IF(Settings!$E$15="POINTS",E288-VLOOKUP(B$2,C1:E392,3,FALSE),J288)</f>
        <v>-208.30689641753753</v>
      </c>
      <c r="G288" s="54"/>
      <c r="H288" s="167">
        <f>RANK(I288,I3:I392)</f>
        <v>286</v>
      </c>
      <c r="I288" s="168">
        <f>VLOOKUP(A288,'Standard Deviations'!A1:C666,3,FALSE)</f>
        <v>-2.9618636719857081</v>
      </c>
      <c r="J288" s="168">
        <f>I288-VLOOKUP(B$2,H1:J392,2,FALSE)</f>
        <v>-7.8529534959432166</v>
      </c>
    </row>
    <row r="289" spans="1:10" ht="21.25" customHeight="1" x14ac:dyDescent="0.15">
      <c r="A289" s="9" t="s">
        <v>691</v>
      </c>
      <c r="B289" s="166" t="str">
        <f>VLOOKUP(A289,'The List'!B1:D665,3,FALSE)</f>
        <v>C</v>
      </c>
      <c r="C289" s="68">
        <f>IF(Settings!$E$15="POINTS",RANK(E289,E3:E392),H289)</f>
        <v>287</v>
      </c>
      <c r="D289" s="65" t="str">
        <f>VLOOKUP(A289,'The List'!B1:F665,5,FALSE)</f>
        <v>MTL</v>
      </c>
      <c r="E289" s="54">
        <f>VLOOKUP(A289,'The List'!B1:I665,8,FALSE)</f>
        <v>145.93504672908088</v>
      </c>
      <c r="F289" s="54">
        <f>IF(Settings!$E$15="POINTS",E289-VLOOKUP(B$2,C1:E392,3,FALSE),J289)</f>
        <v>-208.63922310510495</v>
      </c>
      <c r="G289" s="54"/>
      <c r="H289" s="167">
        <f>RANK(I289,I3:I392)</f>
        <v>346</v>
      </c>
      <c r="I289" s="168">
        <f>VLOOKUP(A289,'Standard Deviations'!A1:C666,3,FALSE)</f>
        <v>-4.1732760903390744</v>
      </c>
      <c r="J289" s="168">
        <f>I289-VLOOKUP(B$2,H1:J392,2,FALSE)</f>
        <v>-9.0643659142965838</v>
      </c>
    </row>
    <row r="290" spans="1:10" ht="21.25" customHeight="1" x14ac:dyDescent="0.15">
      <c r="A290" s="9" t="s">
        <v>696</v>
      </c>
      <c r="B290" s="166" t="str">
        <f>VLOOKUP(A290,'The List'!B1:D665,3,FALSE)</f>
        <v>C</v>
      </c>
      <c r="C290" s="68">
        <f>IF(Settings!$E$15="POINTS",RANK(E290,E3:E392),H290)</f>
        <v>288</v>
      </c>
      <c r="D290" s="65" t="str">
        <f>VLOOKUP(A290,'The List'!B1:F665,5,FALSE)</f>
        <v>MIN</v>
      </c>
      <c r="E290" s="54">
        <f>VLOOKUP(A290,'The List'!B1:I665,8,FALSE)</f>
        <v>144.28889112923221</v>
      </c>
      <c r="F290" s="54">
        <f>IF(Settings!$E$15="POINTS",E290-VLOOKUP(B$2,C1:E392,3,FALSE),J290)</f>
        <v>-210.28537870495362</v>
      </c>
      <c r="G290" s="54"/>
      <c r="H290" s="167">
        <f>RANK(I290,I3:I392)</f>
        <v>304</v>
      </c>
      <c r="I290" s="168">
        <f>VLOOKUP(A290,'Standard Deviations'!A1:C666,3,FALSE)</f>
        <v>-3.2239311065091463</v>
      </c>
      <c r="J290" s="168">
        <f>I290-VLOOKUP(B$2,H1:J392,2,FALSE)</f>
        <v>-8.1150209304666543</v>
      </c>
    </row>
    <row r="291" spans="1:10" ht="21.25" customHeight="1" x14ac:dyDescent="0.15">
      <c r="A291" s="9" t="s">
        <v>632</v>
      </c>
      <c r="B291" s="166" t="str">
        <f>VLOOKUP(A291,'The List'!B1:D665,3,FALSE)</f>
        <v>RW</v>
      </c>
      <c r="C291" s="68">
        <f>IF(Settings!$E$15="POINTS",RANK(E291,E3:E392),H291)</f>
        <v>289</v>
      </c>
      <c r="D291" s="65" t="str">
        <f>VLOOKUP(A291,'The List'!B1:F665,5,FALSE)</f>
        <v>BOS</v>
      </c>
      <c r="E291" s="54">
        <f>VLOOKUP(A291,'The List'!B1:I665,8,FALSE)</f>
        <v>143.25990504320984</v>
      </c>
      <c r="F291" s="54">
        <f>IF(Settings!$E$15="POINTS",E291-VLOOKUP(B$2,C1:E392,3,FALSE),J291)</f>
        <v>-211.31436479097599</v>
      </c>
      <c r="G291" s="54"/>
      <c r="H291" s="167">
        <f>RANK(I291,I3:I392)</f>
        <v>259</v>
      </c>
      <c r="I291" s="168">
        <f>VLOOKUP(A291,'Standard Deviations'!A1:C666,3,FALSE)</f>
        <v>-2.3989784436740935</v>
      </c>
      <c r="J291" s="168">
        <f>I291-VLOOKUP(B$2,H1:J392,2,FALSE)</f>
        <v>-7.290068267631602</v>
      </c>
    </row>
    <row r="292" spans="1:10" ht="21.25" customHeight="1" x14ac:dyDescent="0.15">
      <c r="A292" s="9" t="s">
        <v>674</v>
      </c>
      <c r="B292" s="166" t="str">
        <f>VLOOKUP(A292,'The List'!B1:D665,3,FALSE)</f>
        <v>C/LW</v>
      </c>
      <c r="C292" s="68">
        <f>IF(Settings!$E$15="POINTS",RANK(E292,E3:E392),H292)</f>
        <v>290</v>
      </c>
      <c r="D292" s="65" t="str">
        <f>VLOOKUP(A292,'The List'!B1:F665,5,FALSE)</f>
        <v>NSH</v>
      </c>
      <c r="E292" s="54">
        <f>VLOOKUP(A292,'The List'!B1:I665,8,FALSE)</f>
        <v>143.11292293614355</v>
      </c>
      <c r="F292" s="54">
        <f>IF(Settings!$E$15="POINTS",E292-VLOOKUP(B$2,C1:E392,3,FALSE),J292)</f>
        <v>-211.46134689804228</v>
      </c>
      <c r="G292" s="54"/>
      <c r="H292" s="167">
        <f>RANK(I292,I3:I392)</f>
        <v>272</v>
      </c>
      <c r="I292" s="168">
        <f>VLOOKUP(A292,'Standard Deviations'!A1:C666,3,FALSE)</f>
        <v>-2.7155062616481791</v>
      </c>
      <c r="J292" s="168">
        <f>I292-VLOOKUP(B$2,H1:J392,2,FALSE)</f>
        <v>-7.6065960856056876</v>
      </c>
    </row>
    <row r="293" spans="1:10" ht="21.25" customHeight="1" x14ac:dyDescent="0.15">
      <c r="A293" s="9" t="s">
        <v>639</v>
      </c>
      <c r="B293" s="166" t="str">
        <f>VLOOKUP(A293,'The List'!B1:D665,3,FALSE)</f>
        <v>RW</v>
      </c>
      <c r="C293" s="68">
        <f>IF(Settings!$E$15="POINTS",RANK(E293,E3:E392),H293)</f>
        <v>291</v>
      </c>
      <c r="D293" s="65" t="str">
        <f>VLOOKUP(A293,'The List'!B1:F665,5,FALSE)</f>
        <v>MTL</v>
      </c>
      <c r="E293" s="54">
        <f>VLOOKUP(A293,'The List'!B1:I665,8,FALSE)</f>
        <v>142.41041185107616</v>
      </c>
      <c r="F293" s="54">
        <f>IF(Settings!$E$15="POINTS",E293-VLOOKUP(B$2,C1:E392,3,FALSE),J293)</f>
        <v>-212.16385798310966</v>
      </c>
      <c r="G293" s="54"/>
      <c r="H293" s="167">
        <f>RANK(I293,I3:I392)</f>
        <v>348</v>
      </c>
      <c r="I293" s="168">
        <f>VLOOKUP(A293,'Standard Deviations'!A1:C666,3,FALSE)</f>
        <v>-4.2229205280067577</v>
      </c>
      <c r="J293" s="168">
        <f>I293-VLOOKUP(B$2,H1:J392,2,FALSE)</f>
        <v>-9.1140103519642661</v>
      </c>
    </row>
    <row r="294" spans="1:10" ht="21.25" customHeight="1" x14ac:dyDescent="0.15">
      <c r="A294" s="9" t="s">
        <v>699</v>
      </c>
      <c r="B294" s="166" t="str">
        <f>VLOOKUP(A294,'The List'!B1:D665,3,FALSE)</f>
        <v>C</v>
      </c>
      <c r="C294" s="68">
        <f>IF(Settings!$E$15="POINTS",RANK(E294,E3:E392),H294)</f>
        <v>292</v>
      </c>
      <c r="D294" s="65" t="str">
        <f>VLOOKUP(A294,'The List'!B1:F665,5,FALSE)</f>
        <v>DAL</v>
      </c>
      <c r="E294" s="54">
        <f>VLOOKUP(A294,'The List'!B1:I665,8,FALSE)</f>
        <v>142.03510896582551</v>
      </c>
      <c r="F294" s="54">
        <f>IF(Settings!$E$15="POINTS",E294-VLOOKUP(B$2,C1:E392,3,FALSE),J294)</f>
        <v>-212.53916086836031</v>
      </c>
      <c r="G294" s="54"/>
      <c r="H294" s="167">
        <f>RANK(I294,I3:I392)</f>
        <v>247</v>
      </c>
      <c r="I294" s="168">
        <f>VLOOKUP(A294,'Standard Deviations'!A1:C666,3,FALSE)</f>
        <v>-2.0359359927919254</v>
      </c>
      <c r="J294" s="168">
        <f>I294-VLOOKUP(B$2,H1:J392,2,FALSE)</f>
        <v>-6.9270258167494339</v>
      </c>
    </row>
    <row r="295" spans="1:10" ht="21.25" customHeight="1" x14ac:dyDescent="0.15">
      <c r="A295" s="9" t="s">
        <v>677</v>
      </c>
      <c r="B295" s="166" t="str">
        <f>VLOOKUP(A295,'The List'!B1:D665,3,FALSE)</f>
        <v>LW</v>
      </c>
      <c r="C295" s="68">
        <f>IF(Settings!$E$15="POINTS",RANK(E295,E3:E392),H295)</f>
        <v>293</v>
      </c>
      <c r="D295" s="65" t="str">
        <f>VLOOKUP(A295,'The List'!B1:F665,5,FALSE)</f>
        <v>L.A</v>
      </c>
      <c r="E295" s="54">
        <f>VLOOKUP(A295,'The List'!B1:I665,8,FALSE)</f>
        <v>142.03203341883673</v>
      </c>
      <c r="F295" s="54">
        <f>IF(Settings!$E$15="POINTS",E295-VLOOKUP(B$2,C1:E392,3,FALSE),J295)</f>
        <v>-212.54223641534909</v>
      </c>
      <c r="G295" s="54"/>
      <c r="H295" s="167">
        <f>RANK(I295,I3:I392)</f>
        <v>271</v>
      </c>
      <c r="I295" s="168">
        <f>VLOOKUP(A295,'Standard Deviations'!A1:C666,3,FALSE)</f>
        <v>-2.7119514273213197</v>
      </c>
      <c r="J295" s="168">
        <f>I295-VLOOKUP(B$2,H1:J392,2,FALSE)</f>
        <v>-7.6030412512788281</v>
      </c>
    </row>
    <row r="296" spans="1:10" ht="21.25" customHeight="1" x14ac:dyDescent="0.15">
      <c r="A296" s="9" t="s">
        <v>678</v>
      </c>
      <c r="B296" s="166" t="str">
        <f>VLOOKUP(A296,'The List'!B1:D665,3,FALSE)</f>
        <v>LW</v>
      </c>
      <c r="C296" s="68">
        <f>IF(Settings!$E$15="POINTS",RANK(E296,E3:E392),H296)</f>
        <v>294</v>
      </c>
      <c r="D296" s="65" t="str">
        <f>VLOOKUP(A296,'The List'!B1:F665,5,FALSE)</f>
        <v>BUF</v>
      </c>
      <c r="E296" s="54">
        <f>VLOOKUP(A296,'The List'!B1:I665,8,FALSE)</f>
        <v>141.63742334045151</v>
      </c>
      <c r="F296" s="54">
        <f>IF(Settings!$E$15="POINTS",E296-VLOOKUP(B$2,C1:E392,3,FALSE),J296)</f>
        <v>-212.93684649373432</v>
      </c>
      <c r="G296" s="54"/>
      <c r="H296" s="167">
        <f>RANK(I296,I3:I392)</f>
        <v>318</v>
      </c>
      <c r="I296" s="168">
        <f>VLOOKUP(A296,'Standard Deviations'!A1:C666,3,FALSE)</f>
        <v>-3.5451756758601638</v>
      </c>
      <c r="J296" s="168">
        <f>I296-VLOOKUP(B$2,H1:J392,2,FALSE)</f>
        <v>-8.4362654998176723</v>
      </c>
    </row>
    <row r="297" spans="1:10" ht="21.25" customHeight="1" x14ac:dyDescent="0.15">
      <c r="A297" s="9" t="s">
        <v>679</v>
      </c>
      <c r="B297" s="166" t="str">
        <f>VLOOKUP(A297,'The List'!B1:D665,3,FALSE)</f>
        <v>LW</v>
      </c>
      <c r="C297" s="68">
        <f>IF(Settings!$E$15="POINTS",RANK(E297,E3:E392),H297)</f>
        <v>295</v>
      </c>
      <c r="D297" s="65" t="str">
        <f>VLOOKUP(A297,'The List'!B1:F665,5,FALSE)</f>
        <v>SEA</v>
      </c>
      <c r="E297" s="54">
        <f>VLOOKUP(A297,'The List'!B1:I665,8,FALSE)</f>
        <v>141.03598966649247</v>
      </c>
      <c r="F297" s="54">
        <f>IF(Settings!$E$15="POINTS",E297-VLOOKUP(B$2,C1:E392,3,FALSE),J297)</f>
        <v>-213.53828016769336</v>
      </c>
      <c r="G297" s="54"/>
      <c r="H297" s="167">
        <f>RANK(I297,I3:I392)</f>
        <v>308</v>
      </c>
      <c r="I297" s="168">
        <f>VLOOKUP(A297,'Standard Deviations'!A1:C666,3,FALSE)</f>
        <v>-3.3030308739795045</v>
      </c>
      <c r="J297" s="168">
        <f>I297-VLOOKUP(B$2,H1:J392,2,FALSE)</f>
        <v>-8.1941206979370129</v>
      </c>
    </row>
    <row r="298" spans="1:10" ht="21.25" customHeight="1" x14ac:dyDescent="0.15">
      <c r="A298" s="9" t="s">
        <v>680</v>
      </c>
      <c r="B298" s="166" t="str">
        <f>VLOOKUP(A298,'The List'!B1:D665,3,FALSE)</f>
        <v>LW</v>
      </c>
      <c r="C298" s="68">
        <f>IF(Settings!$E$15="POINTS",RANK(E298,E3:E392),H298)</f>
        <v>296</v>
      </c>
      <c r="D298" s="65" t="str">
        <f>VLOOKUP(A298,'The List'!B1:F665,5,FALSE)</f>
        <v>CHI</v>
      </c>
      <c r="E298" s="54">
        <f>VLOOKUP(A298,'The List'!B1:I665,8,FALSE)</f>
        <v>140.94002575311623</v>
      </c>
      <c r="F298" s="54">
        <f>IF(Settings!$E$15="POINTS",E298-VLOOKUP(B$2,C1:E392,3,FALSE),J298)</f>
        <v>-213.6342440810696</v>
      </c>
      <c r="G298" s="54"/>
      <c r="H298" s="167">
        <f>RANK(I298,I3:I392)</f>
        <v>370</v>
      </c>
      <c r="I298" s="168">
        <f>VLOOKUP(A298,'Standard Deviations'!A1:C666,3,FALSE)</f>
        <v>-4.876542114338549</v>
      </c>
      <c r="J298" s="168">
        <f>I298-VLOOKUP(B$2,H1:J392,2,FALSE)</f>
        <v>-9.7676319382960575</v>
      </c>
    </row>
    <row r="299" spans="1:10" ht="21.25" customHeight="1" x14ac:dyDescent="0.15">
      <c r="A299" s="9" t="s">
        <v>681</v>
      </c>
      <c r="B299" s="166" t="str">
        <f>VLOOKUP(A299,'The List'!B1:D665,3,FALSE)</f>
        <v>LW</v>
      </c>
      <c r="C299" s="68">
        <f>IF(Settings!$E$15="POINTS",RANK(E299,E3:E392),H299)</f>
        <v>297</v>
      </c>
      <c r="D299" s="65" t="str">
        <f>VLOOKUP(A299,'The List'!B1:F665,5,FALSE)</f>
        <v>COL</v>
      </c>
      <c r="E299" s="54">
        <f>VLOOKUP(A299,'The List'!B1:I665,8,FALSE)</f>
        <v>140.85144761486248</v>
      </c>
      <c r="F299" s="54">
        <f>IF(Settings!$E$15="POINTS",E299-VLOOKUP(B$2,C1:E392,3,FALSE),J299)</f>
        <v>-213.72282221932335</v>
      </c>
      <c r="G299" s="54"/>
      <c r="H299" s="167">
        <f>RANK(I299,I3:I392)</f>
        <v>288</v>
      </c>
      <c r="I299" s="168">
        <f>VLOOKUP(A299,'Standard Deviations'!A1:C666,3,FALSE)</f>
        <v>-2.9778723321068439</v>
      </c>
      <c r="J299" s="168">
        <f>I299-VLOOKUP(B$2,H1:J392,2,FALSE)</f>
        <v>-7.8689621560643523</v>
      </c>
    </row>
    <row r="300" spans="1:10" ht="21.25" customHeight="1" x14ac:dyDescent="0.15">
      <c r="A300" s="9" t="s">
        <v>706</v>
      </c>
      <c r="B300" s="166" t="str">
        <f>VLOOKUP(A300,'The List'!B1:D665,3,FALSE)</f>
        <v>C</v>
      </c>
      <c r="C300" s="68">
        <f>IF(Settings!$E$15="POINTS",RANK(E300,E3:E392),H300)</f>
        <v>298</v>
      </c>
      <c r="D300" s="65" t="str">
        <f>VLOOKUP(A300,'The List'!B1:F665,5,FALSE)</f>
        <v>NYI</v>
      </c>
      <c r="E300" s="54">
        <f>VLOOKUP(A300,'The List'!B1:I665,8,FALSE)</f>
        <v>138.79573651926458</v>
      </c>
      <c r="F300" s="54">
        <f>IF(Settings!$E$15="POINTS",E300-VLOOKUP(B$2,C1:E392,3,FALSE),J300)</f>
        <v>-215.77853331492125</v>
      </c>
      <c r="G300" s="54"/>
      <c r="H300" s="167">
        <f>RANK(I300,I3:I392)</f>
        <v>281</v>
      </c>
      <c r="I300" s="168">
        <f>VLOOKUP(A300,'Standard Deviations'!A1:C666,3,FALSE)</f>
        <v>-2.8818659525126109</v>
      </c>
      <c r="J300" s="168">
        <f>I300-VLOOKUP(B$2,H1:J392,2,FALSE)</f>
        <v>-7.7729557764701198</v>
      </c>
    </row>
    <row r="301" spans="1:10" ht="21.25" customHeight="1" x14ac:dyDescent="0.15">
      <c r="A301" s="9" t="s">
        <v>684</v>
      </c>
      <c r="B301" s="166" t="str">
        <f>VLOOKUP(A301,'The List'!B1:D665,3,FALSE)</f>
        <v>C/LW</v>
      </c>
      <c r="C301" s="68">
        <f>IF(Settings!$E$15="POINTS",RANK(E301,E3:E392),H301)</f>
        <v>299</v>
      </c>
      <c r="D301" s="65" t="str">
        <f>VLOOKUP(A301,'The List'!B1:F665,5,FALSE)</f>
        <v>ANA</v>
      </c>
      <c r="E301" s="54">
        <f>VLOOKUP(A301,'The List'!B1:I665,8,FALSE)</f>
        <v>138.79058816750558</v>
      </c>
      <c r="F301" s="54">
        <f>IF(Settings!$E$15="POINTS",E301-VLOOKUP(B$2,C1:E392,3,FALSE),J301)</f>
        <v>-215.78368166668025</v>
      </c>
      <c r="G301" s="54"/>
      <c r="H301" s="167">
        <f>RANK(I301,I3:I392)</f>
        <v>324</v>
      </c>
      <c r="I301" s="168">
        <f>VLOOKUP(A301,'Standard Deviations'!A1:C666,3,FALSE)</f>
        <v>-3.6718872347424236</v>
      </c>
      <c r="J301" s="168">
        <f>I301-VLOOKUP(B$2,H1:J392,2,FALSE)</f>
        <v>-8.5629770586999321</v>
      </c>
    </row>
    <row r="302" spans="1:10" ht="21.25" customHeight="1" x14ac:dyDescent="0.15">
      <c r="A302" s="9" t="s">
        <v>686</v>
      </c>
      <c r="B302" s="166" t="str">
        <f>VLOOKUP(A302,'The List'!B1:D665,3,FALSE)</f>
        <v>LW</v>
      </c>
      <c r="C302" s="68">
        <f>IF(Settings!$E$15="POINTS",RANK(E302,E3:E392),H302)</f>
        <v>300</v>
      </c>
      <c r="D302" s="65" t="str">
        <f>VLOOKUP(A302,'The List'!B1:F665,5,FALSE)</f>
        <v>NYR</v>
      </c>
      <c r="E302" s="54">
        <f>VLOOKUP(A302,'The List'!B1:I665,8,FALSE)</f>
        <v>138.60599509845125</v>
      </c>
      <c r="F302" s="54">
        <f>IF(Settings!$E$15="POINTS",E302-VLOOKUP(B$2,C1:E392,3,FALSE),J302)</f>
        <v>-215.96827473573458</v>
      </c>
      <c r="G302" s="54"/>
      <c r="H302" s="167">
        <f>RANK(I302,I3:I392)</f>
        <v>270</v>
      </c>
      <c r="I302" s="168">
        <f>VLOOKUP(A302,'Standard Deviations'!A1:C666,3,FALSE)</f>
        <v>-2.7058683046701484</v>
      </c>
      <c r="J302" s="168">
        <f>I302-VLOOKUP(B$2,H1:J392,2,FALSE)</f>
        <v>-7.5969581286276568</v>
      </c>
    </row>
    <row r="303" spans="1:10" ht="21.25" customHeight="1" x14ac:dyDescent="0.15">
      <c r="A303" s="9" t="s">
        <v>711</v>
      </c>
      <c r="B303" s="166" t="str">
        <f>VLOOKUP(A303,'The List'!B1:D665,3,FALSE)</f>
        <v>C</v>
      </c>
      <c r="C303" s="68">
        <f>IF(Settings!$E$15="POINTS",RANK(E303,E3:E392),H303)</f>
        <v>301</v>
      </c>
      <c r="D303" s="65" t="str">
        <f>VLOOKUP(A303,'The List'!B1:F665,5,FALSE)</f>
        <v>MIN</v>
      </c>
      <c r="E303" s="54">
        <f>VLOOKUP(A303,'The List'!B1:I665,8,FALSE)</f>
        <v>136.06209918127766</v>
      </c>
      <c r="F303" s="54">
        <f>IF(Settings!$E$15="POINTS",E303-VLOOKUP(B$2,C1:E392,3,FALSE),J303)</f>
        <v>-218.51217065290817</v>
      </c>
      <c r="G303" s="54"/>
      <c r="H303" s="167">
        <f>RANK(I303,I3:I392)</f>
        <v>302</v>
      </c>
      <c r="I303" s="168">
        <f>VLOOKUP(A303,'Standard Deviations'!A1:C666,3,FALSE)</f>
        <v>-3.2190697165672977</v>
      </c>
      <c r="J303" s="168">
        <f>I303-VLOOKUP(B$2,H1:J392,2,FALSE)</f>
        <v>-8.1101595405248066</v>
      </c>
    </row>
    <row r="304" spans="1:10" ht="21.25" customHeight="1" x14ac:dyDescent="0.15">
      <c r="A304" s="9" t="s">
        <v>712</v>
      </c>
      <c r="B304" s="166" t="str">
        <f>VLOOKUP(A304,'The List'!B1:D665,3,FALSE)</f>
        <v>C</v>
      </c>
      <c r="C304" s="68">
        <f>IF(Settings!$E$15="POINTS",RANK(E304,E3:E392),H304)</f>
        <v>302</v>
      </c>
      <c r="D304" s="65" t="str">
        <f>VLOOKUP(A304,'The List'!B1:F665,5,FALSE)</f>
        <v>CHI</v>
      </c>
      <c r="E304" s="54">
        <f>VLOOKUP(A304,'The List'!B1:I665,8,FALSE)</f>
        <v>135.95358859964412</v>
      </c>
      <c r="F304" s="54">
        <f>IF(Settings!$E$15="POINTS",E304-VLOOKUP(B$2,C1:E392,3,FALSE),J304)</f>
        <v>-218.62068123454171</v>
      </c>
      <c r="G304" s="54"/>
      <c r="H304" s="167">
        <f>RANK(I304,I3:I392)</f>
        <v>354</v>
      </c>
      <c r="I304" s="168">
        <f>VLOOKUP(A304,'Standard Deviations'!A1:C666,3,FALSE)</f>
        <v>-4.517982350061331</v>
      </c>
      <c r="J304" s="168">
        <f>I304-VLOOKUP(B$2,H1:J392,2,FALSE)</f>
        <v>-9.4090721740188386</v>
      </c>
    </row>
    <row r="305" spans="1:10" ht="21.25" customHeight="1" x14ac:dyDescent="0.15">
      <c r="A305" s="9" t="s">
        <v>663</v>
      </c>
      <c r="B305" s="166" t="str">
        <f>VLOOKUP(A305,'The List'!B1:D665,3,FALSE)</f>
        <v>RW</v>
      </c>
      <c r="C305" s="68">
        <f>IF(Settings!$E$15="POINTS",RANK(E305,E3:E392),H305)</f>
        <v>303</v>
      </c>
      <c r="D305" s="65" t="str">
        <f>VLOOKUP(A305,'The List'!B1:F665,5,FALSE)</f>
        <v>STL</v>
      </c>
      <c r="E305" s="54">
        <f>VLOOKUP(A305,'The List'!B1:I665,8,FALSE)</f>
        <v>134.87939529381953</v>
      </c>
      <c r="F305" s="54">
        <f>IF(Settings!$E$15="POINTS",E305-VLOOKUP(B$2,C1:E392,3,FALSE),J305)</f>
        <v>-219.6948745403663</v>
      </c>
      <c r="G305" s="54"/>
      <c r="H305" s="167">
        <f>RANK(I305,I3:I392)</f>
        <v>355</v>
      </c>
      <c r="I305" s="168">
        <f>VLOOKUP(A305,'Standard Deviations'!A1:C666,3,FALSE)</f>
        <v>-4.53937977253476</v>
      </c>
      <c r="J305" s="168">
        <f>I305-VLOOKUP(B$2,H1:J392,2,FALSE)</f>
        <v>-9.4304695964922693</v>
      </c>
    </row>
    <row r="306" spans="1:10" ht="21.25" customHeight="1" x14ac:dyDescent="0.15">
      <c r="A306" s="9" t="s">
        <v>664</v>
      </c>
      <c r="B306" s="166" t="str">
        <f>VLOOKUP(A306,'The List'!B1:D665,3,FALSE)</f>
        <v>LW/RW</v>
      </c>
      <c r="C306" s="68">
        <f>IF(Settings!$E$15="POINTS",RANK(E306,E3:E392),H306)</f>
        <v>304</v>
      </c>
      <c r="D306" s="65" t="str">
        <f>VLOOKUP(A306,'The List'!B1:F665,5,FALSE)</f>
        <v>MIN</v>
      </c>
      <c r="E306" s="54">
        <f>VLOOKUP(A306,'The List'!B1:I665,8,FALSE)</f>
        <v>134.63087707693344</v>
      </c>
      <c r="F306" s="54">
        <f>IF(Settings!$E$15="POINTS",E306-VLOOKUP(B$2,C1:E392,3,FALSE),J306)</f>
        <v>-219.94339275725238</v>
      </c>
      <c r="G306" s="54"/>
      <c r="H306" s="167">
        <f>RANK(I306,I3:I392)</f>
        <v>300</v>
      </c>
      <c r="I306" s="168">
        <f>VLOOKUP(A306,'Standard Deviations'!A1:C666,3,FALSE)</f>
        <v>-3.1509380390799087</v>
      </c>
      <c r="J306" s="168">
        <f>I306-VLOOKUP(B$2,H1:J392,2,FALSE)</f>
        <v>-8.0420278630374167</v>
      </c>
    </row>
    <row r="307" spans="1:10" ht="21.25" customHeight="1" x14ac:dyDescent="0.15">
      <c r="A307" s="9" t="s">
        <v>665</v>
      </c>
      <c r="B307" s="166" t="str">
        <f>VLOOKUP(A307,'The List'!B1:D665,3,FALSE)</f>
        <v>RW</v>
      </c>
      <c r="C307" s="68">
        <f>IF(Settings!$E$15="POINTS",RANK(E307,E3:E392),H307)</f>
        <v>305</v>
      </c>
      <c r="D307" s="65" t="str">
        <f>VLOOKUP(A307,'The List'!B1:F665,5,FALSE)</f>
        <v>MTL</v>
      </c>
      <c r="E307" s="54">
        <f>VLOOKUP(A307,'The List'!B1:I665,8,FALSE)</f>
        <v>134.57393912636479</v>
      </c>
      <c r="F307" s="54">
        <f>IF(Settings!$E$15="POINTS",E307-VLOOKUP(B$2,C1:E392,3,FALSE),J307)</f>
        <v>-220.00033070782104</v>
      </c>
      <c r="G307" s="54"/>
      <c r="H307" s="167">
        <f>RANK(I307,I3:I392)</f>
        <v>337</v>
      </c>
      <c r="I307" s="168">
        <f>VLOOKUP(A307,'Standard Deviations'!A1:C666,3,FALSE)</f>
        <v>-3.8624124938320614</v>
      </c>
      <c r="J307" s="168">
        <f>I307-VLOOKUP(B$2,H1:J392,2,FALSE)</f>
        <v>-8.7535023177895699</v>
      </c>
    </row>
    <row r="308" spans="1:10" ht="21.25" customHeight="1" x14ac:dyDescent="0.15">
      <c r="A308" s="9" t="s">
        <v>717</v>
      </c>
      <c r="B308" s="166" t="str">
        <f>VLOOKUP(A308,'The List'!B1:D665,3,FALSE)</f>
        <v>C</v>
      </c>
      <c r="C308" s="68">
        <f>IF(Settings!$E$15="POINTS",RANK(E308,E3:E392),H308)</f>
        <v>306</v>
      </c>
      <c r="D308" s="65" t="str">
        <f>VLOOKUP(A308,'The List'!B1:F665,5,FALSE)</f>
        <v>PIT</v>
      </c>
      <c r="E308" s="54">
        <f>VLOOKUP(A308,'The List'!B1:I665,8,FALSE)</f>
        <v>134.18170766665202</v>
      </c>
      <c r="F308" s="54">
        <f>IF(Settings!$E$15="POINTS",E308-VLOOKUP(B$2,C1:E392,3,FALSE),J308)</f>
        <v>-220.39256216753381</v>
      </c>
      <c r="G308" s="54"/>
      <c r="H308" s="167">
        <f>RANK(I308,I3:I392)</f>
        <v>285</v>
      </c>
      <c r="I308" s="168">
        <f>VLOOKUP(A308,'Standard Deviations'!A1:C666,3,FALSE)</f>
        <v>-2.9586627292050056</v>
      </c>
      <c r="J308" s="168">
        <f>I308-VLOOKUP(B$2,H1:J392,2,FALSE)</f>
        <v>-7.8497525531625136</v>
      </c>
    </row>
    <row r="309" spans="1:10" ht="21.25" customHeight="1" x14ac:dyDescent="0.15">
      <c r="A309" s="9" t="s">
        <v>719</v>
      </c>
      <c r="B309" s="166" t="str">
        <f>VLOOKUP(A309,'The List'!B1:D665,3,FALSE)</f>
        <v>C</v>
      </c>
      <c r="C309" s="68">
        <f>IF(Settings!$E$15="POINTS",RANK(E309,E3:E392),H309)</f>
        <v>307</v>
      </c>
      <c r="D309" s="65" t="str">
        <f>VLOOKUP(A309,'The List'!B1:F665,5,FALSE)</f>
        <v>VAN</v>
      </c>
      <c r="E309" s="54">
        <f>VLOOKUP(A309,'The List'!B1:I665,8,FALSE)</f>
        <v>133.1157540724459</v>
      </c>
      <c r="F309" s="54">
        <f>IF(Settings!$E$15="POINTS",E309-VLOOKUP(B$2,C1:E392,3,FALSE),J309)</f>
        <v>-221.45851576173993</v>
      </c>
      <c r="G309" s="54"/>
      <c r="H309" s="167">
        <f>RANK(I309,I3:I392)</f>
        <v>260</v>
      </c>
      <c r="I309" s="168">
        <f>VLOOKUP(A309,'Standard Deviations'!A1:C666,3,FALSE)</f>
        <v>-2.4543468536161472</v>
      </c>
      <c r="J309" s="168">
        <f>I309-VLOOKUP(B$2,H1:J392,2,FALSE)</f>
        <v>-7.3454366775736553</v>
      </c>
    </row>
    <row r="310" spans="1:10" ht="21.25" customHeight="1" x14ac:dyDescent="0.15">
      <c r="A310" s="9" t="s">
        <v>720</v>
      </c>
      <c r="B310" s="166" t="str">
        <f>VLOOKUP(A310,'The List'!B1:D665,3,FALSE)</f>
        <v>C</v>
      </c>
      <c r="C310" s="68">
        <f>IF(Settings!$E$15="POINTS",RANK(E310,E3:E392),H310)</f>
        <v>308</v>
      </c>
      <c r="D310" s="65" t="str">
        <f>VLOOKUP(A310,'The List'!B1:F665,5,FALSE)</f>
        <v>WSH</v>
      </c>
      <c r="E310" s="54">
        <f>VLOOKUP(A310,'The List'!B1:I665,8,FALSE)</f>
        <v>132.20298189705795</v>
      </c>
      <c r="F310" s="54">
        <f>IF(Settings!$E$15="POINTS",E310-VLOOKUP(B$2,C1:E392,3,FALSE),J310)</f>
        <v>-222.37128793712787</v>
      </c>
      <c r="G310" s="54"/>
      <c r="H310" s="167">
        <f>RANK(I310,I3:I392)</f>
        <v>336</v>
      </c>
      <c r="I310" s="168">
        <f>VLOOKUP(A310,'Standard Deviations'!A1:C666,3,FALSE)</f>
        <v>-3.8218344846707528</v>
      </c>
      <c r="J310" s="168">
        <f>I310-VLOOKUP(B$2,H1:J392,2,FALSE)</f>
        <v>-8.7129243086282617</v>
      </c>
    </row>
    <row r="311" spans="1:10" ht="21.25" customHeight="1" x14ac:dyDescent="0.15">
      <c r="A311" s="9" t="s">
        <v>700</v>
      </c>
      <c r="B311" s="166" t="str">
        <f>VLOOKUP(A311,'The List'!B1:D665,3,FALSE)</f>
        <v>LW</v>
      </c>
      <c r="C311" s="68">
        <f>IF(Settings!$E$15="POINTS",RANK(E311,E3:E392),H311)</f>
        <v>309</v>
      </c>
      <c r="D311" s="65" t="str">
        <f>VLOOKUP(A311,'The List'!B1:F665,5,FALSE)</f>
        <v>T.B</v>
      </c>
      <c r="E311" s="54">
        <f>VLOOKUP(A311,'The List'!B1:I665,8,FALSE)</f>
        <v>132.04790514047983</v>
      </c>
      <c r="F311" s="54">
        <f>IF(Settings!$E$15="POINTS",E311-VLOOKUP(B$2,C1:E392,3,FALSE),J311)</f>
        <v>-222.526364693706</v>
      </c>
      <c r="G311" s="54"/>
      <c r="H311" s="167">
        <f>RANK(I311,I3:I392)</f>
        <v>299</v>
      </c>
      <c r="I311" s="168">
        <f>VLOOKUP(A311,'Standard Deviations'!A1:C666,3,FALSE)</f>
        <v>-3.1453841695450548</v>
      </c>
      <c r="J311" s="168">
        <f>I311-VLOOKUP(B$2,H1:J392,2,FALSE)</f>
        <v>-8.0364739935025629</v>
      </c>
    </row>
    <row r="312" spans="1:10" ht="21.25" customHeight="1" x14ac:dyDescent="0.15">
      <c r="A312" s="9" t="s">
        <v>721</v>
      </c>
      <c r="B312" s="166" t="str">
        <f>VLOOKUP(A312,'The List'!B1:D665,3,FALSE)</f>
        <v>C</v>
      </c>
      <c r="C312" s="68">
        <f>IF(Settings!$E$15="POINTS",RANK(E312,E3:E392),H312)</f>
        <v>310</v>
      </c>
      <c r="D312" s="65" t="str">
        <f>VLOOKUP(A312,'The List'!B1:F665,5,FALSE)</f>
        <v>S.J</v>
      </c>
      <c r="E312" s="54">
        <f>VLOOKUP(A312,'The List'!B1:I665,8,FALSE)</f>
        <v>131.71980236331129</v>
      </c>
      <c r="F312" s="54">
        <f>IF(Settings!$E$15="POINTS",E312-VLOOKUP(B$2,C1:E392,3,FALSE),J312)</f>
        <v>-222.85446747087454</v>
      </c>
      <c r="G312" s="54"/>
      <c r="H312" s="167">
        <f>RANK(I312,I3:I392)</f>
        <v>360</v>
      </c>
      <c r="I312" s="168">
        <f>VLOOKUP(A312,'Standard Deviations'!A1:C666,3,FALSE)</f>
        <v>-4.6588116883011477</v>
      </c>
      <c r="J312" s="168">
        <f>I312-VLOOKUP(B$2,H1:J392,2,FALSE)</f>
        <v>-9.549901512258657</v>
      </c>
    </row>
    <row r="313" spans="1:10" ht="21.25" customHeight="1" x14ac:dyDescent="0.15">
      <c r="A313" s="9" t="s">
        <v>701</v>
      </c>
      <c r="B313" s="166" t="str">
        <f>VLOOKUP(A313,'The List'!B1:D665,3,FALSE)</f>
        <v>LW</v>
      </c>
      <c r="C313" s="68">
        <f>IF(Settings!$E$15="POINTS",RANK(E313,E3:E392),H313)</f>
        <v>311</v>
      </c>
      <c r="D313" s="65" t="str">
        <f>VLOOKUP(A313,'The List'!B1:F665,5,FALSE)</f>
        <v>NYR</v>
      </c>
      <c r="E313" s="54">
        <f>VLOOKUP(A313,'The List'!B1:I665,8,FALSE)</f>
        <v>131.4056862602657</v>
      </c>
      <c r="F313" s="54">
        <f>IF(Settings!$E$15="POINTS",E313-VLOOKUP(B$2,C1:E392,3,FALSE),J313)</f>
        <v>-223.16858357392013</v>
      </c>
      <c r="G313" s="54"/>
      <c r="H313" s="167">
        <f>RANK(I313,I3:I392)</f>
        <v>268</v>
      </c>
      <c r="I313" s="168">
        <f>VLOOKUP(A313,'Standard Deviations'!A1:C666,3,FALSE)</f>
        <v>-2.683961876102321</v>
      </c>
      <c r="J313" s="168">
        <f>I313-VLOOKUP(B$2,H1:J392,2,FALSE)</f>
        <v>-7.575051700059829</v>
      </c>
    </row>
    <row r="314" spans="1:10" ht="21.25" customHeight="1" x14ac:dyDescent="0.15">
      <c r="A314" s="9" t="s">
        <v>673</v>
      </c>
      <c r="B314" s="166" t="str">
        <f>VLOOKUP(A314,'The List'!B1:D665,3,FALSE)</f>
        <v>RW</v>
      </c>
      <c r="C314" s="68">
        <f>IF(Settings!$E$15="POINTS",RANK(E314,E3:E392),H314)</f>
        <v>312</v>
      </c>
      <c r="D314" s="65" t="str">
        <f>VLOOKUP(A314,'The List'!B1:F665,5,FALSE)</f>
        <v>PHI</v>
      </c>
      <c r="E314" s="54">
        <f>VLOOKUP(A314,'The List'!B1:I665,8,FALSE)</f>
        <v>131.2552429609822</v>
      </c>
      <c r="F314" s="54">
        <f>IF(Settings!$E$15="POINTS",E314-VLOOKUP(B$2,C1:E392,3,FALSE),J314)</f>
        <v>-223.31902687320363</v>
      </c>
      <c r="G314" s="54"/>
      <c r="H314" s="167">
        <f>RANK(I314,I3:I392)</f>
        <v>325</v>
      </c>
      <c r="I314" s="168">
        <f>VLOOKUP(A314,'Standard Deviations'!A1:C666,3,FALSE)</f>
        <v>-3.6810984283043156</v>
      </c>
      <c r="J314" s="168">
        <f>I314-VLOOKUP(B$2,H1:J392,2,FALSE)</f>
        <v>-8.5721882522618245</v>
      </c>
    </row>
    <row r="315" spans="1:10" ht="21.25" customHeight="1" x14ac:dyDescent="0.15">
      <c r="A315" s="9" t="s">
        <v>723</v>
      </c>
      <c r="B315" s="166" t="str">
        <f>VLOOKUP(A315,'The List'!B1:D665,3,FALSE)</f>
        <v>C</v>
      </c>
      <c r="C315" s="68">
        <f>IF(Settings!$E$15="POINTS",RANK(E315,E3:E392),H315)</f>
        <v>313</v>
      </c>
      <c r="D315" s="65" t="str">
        <f>VLOOKUP(A315,'The List'!B1:F665,5,FALSE)</f>
        <v>NSH</v>
      </c>
      <c r="E315" s="54">
        <f>VLOOKUP(A315,'The List'!B1:I665,8,FALSE)</f>
        <v>130.48117372969116</v>
      </c>
      <c r="F315" s="54">
        <f>IF(Settings!$E$15="POINTS",E315-VLOOKUP(B$2,C1:E392,3,FALSE),J315)</f>
        <v>-224.09309610449466</v>
      </c>
      <c r="G315" s="54"/>
      <c r="H315" s="167">
        <f>RANK(I315,I3:I392)</f>
        <v>316</v>
      </c>
      <c r="I315" s="168">
        <f>VLOOKUP(A315,'Standard Deviations'!A1:C666,3,FALSE)</f>
        <v>-3.4857403095107493</v>
      </c>
      <c r="J315" s="168">
        <f>I315-VLOOKUP(B$2,H1:J392,2,FALSE)</f>
        <v>-8.3768301334682569</v>
      </c>
    </row>
    <row r="316" spans="1:10" ht="21.25" customHeight="1" x14ac:dyDescent="0.15">
      <c r="A316" s="9" t="s">
        <v>676</v>
      </c>
      <c r="B316" s="166" t="str">
        <f>VLOOKUP(A316,'The List'!B1:D665,3,FALSE)</f>
        <v>RW</v>
      </c>
      <c r="C316" s="68">
        <f>IF(Settings!$E$15="POINTS",RANK(E316,E3:E392),H316)</f>
        <v>314</v>
      </c>
      <c r="D316" s="65" t="str">
        <f>VLOOKUP(A316,'The List'!B1:F665,5,FALSE)</f>
        <v>NYI</v>
      </c>
      <c r="E316" s="54">
        <f>VLOOKUP(A316,'The List'!B1:I665,8,FALSE)</f>
        <v>130.02220151438976</v>
      </c>
      <c r="F316" s="54">
        <f>IF(Settings!$E$15="POINTS",E316-VLOOKUP(B$2,C1:E392,3,FALSE),J316)</f>
        <v>-224.55206831979606</v>
      </c>
      <c r="G316" s="54"/>
      <c r="H316" s="167">
        <f>RANK(I316,I3:I392)</f>
        <v>280</v>
      </c>
      <c r="I316" s="168">
        <f>VLOOKUP(A316,'Standard Deviations'!A1:C666,3,FALSE)</f>
        <v>-2.876586970926458</v>
      </c>
      <c r="J316" s="168">
        <f>I316-VLOOKUP(B$2,H1:J392,2,FALSE)</f>
        <v>-7.7676767948839665</v>
      </c>
    </row>
    <row r="317" spans="1:10" ht="21.25" customHeight="1" x14ac:dyDescent="0.15">
      <c r="A317" s="9" t="s">
        <v>725</v>
      </c>
      <c r="B317" s="166" t="str">
        <f>VLOOKUP(A317,'The List'!B1:D665,3,FALSE)</f>
        <v>C</v>
      </c>
      <c r="C317" s="68">
        <f>IF(Settings!$E$15="POINTS",RANK(E317,E3:E392),H317)</f>
        <v>315</v>
      </c>
      <c r="D317" s="65" t="str">
        <f>VLOOKUP(A317,'The List'!B1:F665,5,FALSE)</f>
        <v>DAL</v>
      </c>
      <c r="E317" s="54">
        <f>VLOOKUP(A317,'The List'!B1:I665,8,FALSE)</f>
        <v>128.16061403710131</v>
      </c>
      <c r="F317" s="54">
        <f>IF(Settings!$E$15="POINTS",E317-VLOOKUP(B$2,C1:E392,3,FALSE),J317)</f>
        <v>-226.41365579708452</v>
      </c>
      <c r="G317" s="54"/>
      <c r="H317" s="167">
        <f>RANK(I317,I3:I392)</f>
        <v>277</v>
      </c>
      <c r="I317" s="168">
        <f>VLOOKUP(A317,'Standard Deviations'!A1:C666,3,FALSE)</f>
        <v>-2.8337407743355429</v>
      </c>
      <c r="J317" s="168">
        <f>I317-VLOOKUP(B$2,H1:J392,2,FALSE)</f>
        <v>-7.7248305982930514</v>
      </c>
    </row>
    <row r="318" spans="1:10" ht="21.25" customHeight="1" x14ac:dyDescent="0.15">
      <c r="A318" s="9" t="s">
        <v>682</v>
      </c>
      <c r="B318" s="166" t="str">
        <f>VLOOKUP(A318,'The List'!B1:D665,3,FALSE)</f>
        <v>RW</v>
      </c>
      <c r="C318" s="68">
        <f>IF(Settings!$E$15="POINTS",RANK(E318,E3:E392),H318)</f>
        <v>316</v>
      </c>
      <c r="D318" s="65" t="str">
        <f>VLOOKUP(A318,'The List'!B1:F665,5,FALSE)</f>
        <v>MTL</v>
      </c>
      <c r="E318" s="54">
        <f>VLOOKUP(A318,'The List'!B1:I665,8,FALSE)</f>
        <v>127.75332011987439</v>
      </c>
      <c r="F318" s="54">
        <f>IF(Settings!$E$15="POINTS",E318-VLOOKUP(B$2,C1:E392,3,FALSE),J318)</f>
        <v>-226.82094971431144</v>
      </c>
      <c r="G318" s="54"/>
      <c r="H318" s="167">
        <f>RANK(I318,I3:I392)</f>
        <v>350</v>
      </c>
      <c r="I318" s="168">
        <f>VLOOKUP(A318,'Standard Deviations'!A1:C666,3,FALSE)</f>
        <v>-4.3548838273651072</v>
      </c>
      <c r="J318" s="168">
        <f>I318-VLOOKUP(B$2,H1:J392,2,FALSE)</f>
        <v>-9.2459736513226147</v>
      </c>
    </row>
    <row r="319" spans="1:10" ht="21.25" customHeight="1" x14ac:dyDescent="0.15">
      <c r="A319" s="9" t="s">
        <v>726</v>
      </c>
      <c r="B319" s="166" t="str">
        <f>VLOOKUP(A319,'The List'!B1:D665,3,FALSE)</f>
        <v>C</v>
      </c>
      <c r="C319" s="68">
        <f>IF(Settings!$E$15="POINTS",RANK(E319,E3:E392),H319)</f>
        <v>317</v>
      </c>
      <c r="D319" s="65" t="str">
        <f>VLOOKUP(A319,'The List'!B1:F665,5,FALSE)</f>
        <v>S.J</v>
      </c>
      <c r="E319" s="54">
        <f>VLOOKUP(A319,'The List'!B1:I665,8,FALSE)</f>
        <v>127.19454770990303</v>
      </c>
      <c r="F319" s="54">
        <f>IF(Settings!$E$15="POINTS",E319-VLOOKUP(B$2,C1:E392,3,FALSE),J319)</f>
        <v>-227.37972212428281</v>
      </c>
      <c r="G319" s="54"/>
      <c r="H319" s="167">
        <f>RANK(I319,I3:I392)</f>
        <v>293</v>
      </c>
      <c r="I319" s="168">
        <f>VLOOKUP(A319,'Standard Deviations'!A1:C666,3,FALSE)</f>
        <v>-3.0327725615505989</v>
      </c>
      <c r="J319" s="168">
        <f>I319-VLOOKUP(B$2,H1:J392,2,FALSE)</f>
        <v>-7.923862385508107</v>
      </c>
    </row>
    <row r="320" spans="1:10" ht="21.25" customHeight="1" x14ac:dyDescent="0.15">
      <c r="A320" s="9" t="s">
        <v>728</v>
      </c>
      <c r="B320" s="166" t="str">
        <f>VLOOKUP(A320,'The List'!B1:D665,3,FALSE)</f>
        <v>C</v>
      </c>
      <c r="C320" s="68">
        <f>IF(Settings!$E$15="POINTS",RANK(E320,E3:E392),H320)</f>
        <v>318</v>
      </c>
      <c r="D320" s="65" t="str">
        <f>VLOOKUP(A320,'The List'!B1:F665,5,FALSE)</f>
        <v>CBJ</v>
      </c>
      <c r="E320" s="54">
        <f>VLOOKUP(A320,'The List'!B1:I665,8,FALSE)</f>
        <v>126.68376708640662</v>
      </c>
      <c r="F320" s="54">
        <f>IF(Settings!$E$15="POINTS",E320-VLOOKUP(B$2,C1:E392,3,FALSE),J320)</f>
        <v>-227.89050274777921</v>
      </c>
      <c r="G320" s="54"/>
      <c r="H320" s="167">
        <f>RANK(I320,I3:I392)</f>
        <v>382</v>
      </c>
      <c r="I320" s="168">
        <f>VLOOKUP(A320,'Standard Deviations'!A1:C666,3,FALSE)</f>
        <v>-5.4185242951961285</v>
      </c>
      <c r="J320" s="168">
        <f>I320-VLOOKUP(B$2,H1:J392,2,FALSE)</f>
        <v>-10.309614119153636</v>
      </c>
    </row>
    <row r="321" spans="1:10" ht="21.25" customHeight="1" x14ac:dyDescent="0.15">
      <c r="A321" s="9" t="s">
        <v>688</v>
      </c>
      <c r="B321" s="166" t="str">
        <f>VLOOKUP(A321,'The List'!B1:D665,3,FALSE)</f>
        <v>RW</v>
      </c>
      <c r="C321" s="68">
        <f>IF(Settings!$E$15="POINTS",RANK(E321,E3:E392),H321)</f>
        <v>319</v>
      </c>
      <c r="D321" s="65" t="str">
        <f>VLOOKUP(A321,'The List'!B1:F665,5,FALSE)</f>
        <v>CBJ</v>
      </c>
      <c r="E321" s="54">
        <f>VLOOKUP(A321,'The List'!B1:I665,8,FALSE)</f>
        <v>126.25859527639115</v>
      </c>
      <c r="F321" s="54">
        <f>IF(Settings!$E$15="POINTS",E321-VLOOKUP(B$2,C1:E392,3,FALSE),J321)</f>
        <v>-228.31567455779469</v>
      </c>
      <c r="G321" s="54"/>
      <c r="H321" s="167">
        <f>RANK(I321,I3:I392)</f>
        <v>372</v>
      </c>
      <c r="I321" s="168">
        <f>VLOOKUP(A321,'Standard Deviations'!A1:C666,3,FALSE)</f>
        <v>-4.9409774327578635</v>
      </c>
      <c r="J321" s="168">
        <f>I321-VLOOKUP(B$2,H1:J392,2,FALSE)</f>
        <v>-9.8320672567153728</v>
      </c>
    </row>
    <row r="322" spans="1:10" ht="21.25" customHeight="1" x14ac:dyDescent="0.15">
      <c r="A322" s="9" t="s">
        <v>715</v>
      </c>
      <c r="B322" s="166" t="str">
        <f>VLOOKUP(A322,'The List'!B1:D665,3,FALSE)</f>
        <v>LW</v>
      </c>
      <c r="C322" s="68">
        <f>IF(Settings!$E$15="POINTS",RANK(E322,E3:E392),H322)</f>
        <v>320</v>
      </c>
      <c r="D322" s="65" t="str">
        <f>VLOOKUP(A322,'The List'!B1:F665,5,FALSE)</f>
        <v>SEA</v>
      </c>
      <c r="E322" s="54">
        <f>VLOOKUP(A322,'The List'!B1:I665,8,FALSE)</f>
        <v>125.69379837459259</v>
      </c>
      <c r="F322" s="54">
        <f>IF(Settings!$E$15="POINTS",E322-VLOOKUP(B$2,C1:E392,3,FALSE),J322)</f>
        <v>-228.88047145959325</v>
      </c>
      <c r="G322" s="54"/>
      <c r="H322" s="167">
        <f>RANK(I322,I3:I392)</f>
        <v>338</v>
      </c>
      <c r="I322" s="168">
        <f>VLOOKUP(A322,'Standard Deviations'!A1:C666,3,FALSE)</f>
        <v>-3.8949251083450163</v>
      </c>
      <c r="J322" s="168">
        <f>I322-VLOOKUP(B$2,H1:J392,2,FALSE)</f>
        <v>-8.7860149323025247</v>
      </c>
    </row>
    <row r="323" spans="1:10" ht="21.25" customHeight="1" x14ac:dyDescent="0.15">
      <c r="A323" s="9" t="s">
        <v>731</v>
      </c>
      <c r="B323" s="166" t="str">
        <f>VLOOKUP(A323,'The List'!B1:D665,3,FALSE)</f>
        <v>C</v>
      </c>
      <c r="C323" s="68">
        <f>IF(Settings!$E$15="POINTS",RANK(E323,E3:E392),H323)</f>
        <v>321</v>
      </c>
      <c r="D323" s="65" t="str">
        <f>VLOOKUP(A323,'The List'!B1:F665,5,FALSE)</f>
        <v>N.J</v>
      </c>
      <c r="E323" s="54">
        <f>VLOOKUP(A323,'The List'!B1:I665,8,FALSE)</f>
        <v>125.68542763467954</v>
      </c>
      <c r="F323" s="54">
        <f>IF(Settings!$E$15="POINTS",E323-VLOOKUP(B$2,C1:E392,3,FALSE),J323)</f>
        <v>-228.88884219950629</v>
      </c>
      <c r="G323" s="54"/>
      <c r="H323" s="167">
        <f>RANK(I323,I3:I392)</f>
        <v>284</v>
      </c>
      <c r="I323" s="168">
        <f>VLOOKUP(A323,'Standard Deviations'!A1:C666,3,FALSE)</f>
        <v>-2.9411153435958219</v>
      </c>
      <c r="J323" s="168">
        <f>I323-VLOOKUP(B$2,H1:J392,2,FALSE)</f>
        <v>-7.8322051675533304</v>
      </c>
    </row>
    <row r="324" spans="1:10" ht="21.25" customHeight="1" x14ac:dyDescent="0.15">
      <c r="A324" s="9" t="s">
        <v>690</v>
      </c>
      <c r="B324" s="166" t="str">
        <f>VLOOKUP(A324,'The List'!B1:D665,3,FALSE)</f>
        <v>RW</v>
      </c>
      <c r="C324" s="68">
        <f>IF(Settings!$E$15="POINTS",RANK(E324,E3:E392),H324)</f>
        <v>322</v>
      </c>
      <c r="D324" s="65" t="str">
        <f>VLOOKUP(A324,'The List'!B1:F665,5,FALSE)</f>
        <v>NYI</v>
      </c>
      <c r="E324" s="54">
        <f>VLOOKUP(A324,'The List'!B1:I665,8,FALSE)</f>
        <v>125.65374754645173</v>
      </c>
      <c r="F324" s="54">
        <f>IF(Settings!$E$15="POINTS",E324-VLOOKUP(B$2,C1:E392,3,FALSE),J324)</f>
        <v>-228.92052228773412</v>
      </c>
      <c r="G324" s="54"/>
      <c r="H324" s="167">
        <f>RANK(I324,I3:I392)</f>
        <v>327</v>
      </c>
      <c r="I324" s="168">
        <f>VLOOKUP(A324,'Standard Deviations'!A1:C666,3,FALSE)</f>
        <v>-3.7024090636045597</v>
      </c>
      <c r="J324" s="168">
        <f>I324-VLOOKUP(B$2,H1:J392,2,FALSE)</f>
        <v>-8.5934988875620686</v>
      </c>
    </row>
    <row r="325" spans="1:10" ht="21.25" customHeight="1" x14ac:dyDescent="0.15">
      <c r="A325" s="9" t="s">
        <v>734</v>
      </c>
      <c r="B325" s="166" t="str">
        <f>VLOOKUP(A325,'The List'!B1:D665,3,FALSE)</f>
        <v>C</v>
      </c>
      <c r="C325" s="68">
        <f>IF(Settings!$E$15="POINTS",RANK(E325,E3:E392),H325)</f>
        <v>323</v>
      </c>
      <c r="D325" s="65" t="str">
        <f>VLOOKUP(A325,'The List'!B1:F665,5,FALSE)</f>
        <v>UTA</v>
      </c>
      <c r="E325" s="54">
        <f>VLOOKUP(A325,'The List'!B1:I665,8,FALSE)</f>
        <v>125.23064850397982</v>
      </c>
      <c r="F325" s="54">
        <f>IF(Settings!$E$15="POINTS",E325-VLOOKUP(B$2,C1:E392,3,FALSE),J325)</f>
        <v>-229.34362133020602</v>
      </c>
      <c r="G325" s="54"/>
      <c r="H325" s="167">
        <f>RANK(I325,I3:I392)</f>
        <v>323</v>
      </c>
      <c r="I325" s="168">
        <f>VLOOKUP(A325,'Standard Deviations'!A1:C666,3,FALSE)</f>
        <v>-3.6461094179396261</v>
      </c>
      <c r="J325" s="168">
        <f>I325-VLOOKUP(B$2,H1:J392,2,FALSE)</f>
        <v>-8.5371992418971345</v>
      </c>
    </row>
    <row r="326" spans="1:10" ht="21.25" customHeight="1" x14ac:dyDescent="0.15">
      <c r="A326" s="9" t="s">
        <v>736</v>
      </c>
      <c r="B326" s="166" t="str">
        <f>VLOOKUP(A326,'The List'!B1:D665,3,FALSE)</f>
        <v>C</v>
      </c>
      <c r="C326" s="68">
        <f>IF(Settings!$E$15="POINTS",RANK(E326,E3:E392),H326)</f>
        <v>324</v>
      </c>
      <c r="D326" s="65" t="str">
        <f>VLOOKUP(A326,'The List'!B1:F665,5,FALSE)</f>
        <v>FLA</v>
      </c>
      <c r="E326" s="54">
        <f>VLOOKUP(A326,'The List'!B1:I665,8,FALSE)</f>
        <v>124.72025617697237</v>
      </c>
      <c r="F326" s="54">
        <f>IF(Settings!$E$15="POINTS",E326-VLOOKUP(B$2,C1:E392,3,FALSE),J326)</f>
        <v>-229.85401365721344</v>
      </c>
      <c r="G326" s="54"/>
      <c r="H326" s="167">
        <f>RANK(I326,I3:I392)</f>
        <v>296</v>
      </c>
      <c r="I326" s="168">
        <f>VLOOKUP(A326,'Standard Deviations'!A1:C666,3,FALSE)</f>
        <v>-3.0768015709826244</v>
      </c>
      <c r="J326" s="168">
        <f>I326-VLOOKUP(B$2,H1:J392,2,FALSE)</f>
        <v>-7.9678913949401329</v>
      </c>
    </row>
    <row r="327" spans="1:10" ht="21.25" customHeight="1" x14ac:dyDescent="0.15">
      <c r="A327" s="9" t="s">
        <v>737</v>
      </c>
      <c r="B327" s="166" t="str">
        <f>VLOOKUP(A327,'The List'!B1:D665,3,FALSE)</f>
        <v>C</v>
      </c>
      <c r="C327" s="68">
        <f>IF(Settings!$E$15="POINTS",RANK(E327,E3:E392),H327)</f>
        <v>325</v>
      </c>
      <c r="D327" s="65" t="str">
        <f>VLOOKUP(A327,'The List'!B1:F665,5,FALSE)</f>
        <v>VGK</v>
      </c>
      <c r="E327" s="54">
        <f>VLOOKUP(A327,'The List'!B1:I665,8,FALSE)</f>
        <v>124.69339929263968</v>
      </c>
      <c r="F327" s="54">
        <f>IF(Settings!$E$15="POINTS",E327-VLOOKUP(B$2,C1:E392,3,FALSE),J327)</f>
        <v>-229.88087054154613</v>
      </c>
      <c r="G327" s="54"/>
      <c r="H327" s="167">
        <f>RANK(I327,I3:I392)</f>
        <v>317</v>
      </c>
      <c r="I327" s="168">
        <f>VLOOKUP(A327,'Standard Deviations'!A1:C666,3,FALSE)</f>
        <v>-3.5297124682082859</v>
      </c>
      <c r="J327" s="168">
        <f>I327-VLOOKUP(B$2,H1:J392,2,FALSE)</f>
        <v>-8.4208022921657939</v>
      </c>
    </row>
    <row r="328" spans="1:10" ht="21.25" customHeight="1" x14ac:dyDescent="0.15">
      <c r="A328" s="9" t="s">
        <v>693</v>
      </c>
      <c r="B328" s="166" t="str">
        <f>VLOOKUP(A328,'The List'!B1:D665,3,FALSE)</f>
        <v>RW</v>
      </c>
      <c r="C328" s="68">
        <f>IF(Settings!$E$15="POINTS",RANK(E328,E3:E392),H328)</f>
        <v>326</v>
      </c>
      <c r="D328" s="65" t="str">
        <f>VLOOKUP(A328,'The List'!B1:F665,5,FALSE)</f>
        <v>ANA</v>
      </c>
      <c r="E328" s="54">
        <f>VLOOKUP(A328,'The List'!B1:I665,8,FALSE)</f>
        <v>124.01983851887704</v>
      </c>
      <c r="F328" s="54">
        <f>IF(Settings!$E$15="POINTS",E328-VLOOKUP(B$2,C1:E392,3,FALSE),J328)</f>
        <v>-230.55443131530879</v>
      </c>
      <c r="G328" s="54"/>
      <c r="H328" s="167">
        <f>RANK(I328,I3:I392)</f>
        <v>378</v>
      </c>
      <c r="I328" s="168">
        <f>VLOOKUP(A328,'Standard Deviations'!A1:C666,3,FALSE)</f>
        <v>-5.215457537587012</v>
      </c>
      <c r="J328" s="168">
        <f>I328-VLOOKUP(B$2,H1:J392,2,FALSE)</f>
        <v>-10.106547361544521</v>
      </c>
    </row>
    <row r="329" spans="1:10" ht="21.25" customHeight="1" x14ac:dyDescent="0.15">
      <c r="A329" s="9" t="s">
        <v>738</v>
      </c>
      <c r="B329" s="166" t="str">
        <f>VLOOKUP(A329,'The List'!B1:D665,3,FALSE)</f>
        <v>C</v>
      </c>
      <c r="C329" s="68">
        <f>IF(Settings!$E$15="POINTS",RANK(E329,E3:E392),H329)</f>
        <v>327</v>
      </c>
      <c r="D329" s="65" t="str">
        <f>VLOOKUP(A329,'The List'!B1:F665,5,FALSE)</f>
        <v>S.J</v>
      </c>
      <c r="E329" s="54">
        <f>VLOOKUP(A329,'The List'!B1:I665,8,FALSE)</f>
        <v>123.96279298624145</v>
      </c>
      <c r="F329" s="54">
        <f>IF(Settings!$E$15="POINTS",E329-VLOOKUP(B$2,C1:E392,3,FALSE),J329)</f>
        <v>-230.61147684794437</v>
      </c>
      <c r="G329" s="54"/>
      <c r="H329" s="167">
        <f>RANK(I329,I3:I392)</f>
        <v>385</v>
      </c>
      <c r="I329" s="168">
        <f>VLOOKUP(A329,'Standard Deviations'!A1:C666,3,FALSE)</f>
        <v>-5.8401943301265398</v>
      </c>
      <c r="J329" s="168">
        <f>I329-VLOOKUP(B$2,H1:J392,2,FALSE)</f>
        <v>-10.731284154084047</v>
      </c>
    </row>
    <row r="330" spans="1:10" ht="21.25" customHeight="1" x14ac:dyDescent="0.15">
      <c r="A330" s="9" t="s">
        <v>740</v>
      </c>
      <c r="B330" s="166" t="str">
        <f>VLOOKUP(A330,'The List'!B1:D665,3,FALSE)</f>
        <v>C</v>
      </c>
      <c r="C330" s="68">
        <f>IF(Settings!$E$15="POINTS",RANK(E330,E3:E392),H330)</f>
        <v>328</v>
      </c>
      <c r="D330" s="65" t="str">
        <f>VLOOKUP(A330,'The List'!B1:F665,5,FALSE)</f>
        <v>S.J</v>
      </c>
      <c r="E330" s="54">
        <f>VLOOKUP(A330,'The List'!B1:I665,8,FALSE)</f>
        <v>122.90474108726656</v>
      </c>
      <c r="F330" s="54">
        <f>IF(Settings!$E$15="POINTS",E330-VLOOKUP(B$2,C1:E392,3,FALSE),J330)</f>
        <v>-231.66952874691927</v>
      </c>
      <c r="G330" s="54"/>
      <c r="H330" s="167">
        <f>RANK(I330,I3:I392)</f>
        <v>386</v>
      </c>
      <c r="I330" s="168">
        <f>VLOOKUP(A330,'Standard Deviations'!A1:C666,3,FALSE)</f>
        <v>-5.9128666472603637</v>
      </c>
      <c r="J330" s="168">
        <f>I330-VLOOKUP(B$2,H1:J392,2,FALSE)</f>
        <v>-10.803956471217873</v>
      </c>
    </row>
    <row r="331" spans="1:10" ht="21.25" customHeight="1" x14ac:dyDescent="0.15">
      <c r="A331" s="9" t="s">
        <v>741</v>
      </c>
      <c r="B331" s="166" t="str">
        <f>VLOOKUP(A331,'The List'!B1:D665,3,FALSE)</f>
        <v>C</v>
      </c>
      <c r="C331" s="68">
        <f>IF(Settings!$E$15="POINTS",RANK(E331,E3:E392),H331)</f>
        <v>329</v>
      </c>
      <c r="D331" s="65" t="str">
        <f>VLOOKUP(A331,'The List'!B1:F665,5,FALSE)</f>
        <v>OTT</v>
      </c>
      <c r="E331" s="54">
        <f>VLOOKUP(A331,'The List'!B1:I665,8,FALSE)</f>
        <v>122.50286411668114</v>
      </c>
      <c r="F331" s="54">
        <f>IF(Settings!$E$15="POINTS",E331-VLOOKUP(B$2,C1:E392,3,FALSE),J331)</f>
        <v>-232.07140571750469</v>
      </c>
      <c r="G331" s="54"/>
      <c r="H331" s="167">
        <f>RANK(I331,I3:I392)</f>
        <v>292</v>
      </c>
      <c r="I331" s="168">
        <f>VLOOKUP(A331,'Standard Deviations'!A1:C666,3,FALSE)</f>
        <v>-3.0029115185464477</v>
      </c>
      <c r="J331" s="168">
        <f>I331-VLOOKUP(B$2,H1:J392,2,FALSE)</f>
        <v>-7.8940013425039561</v>
      </c>
    </row>
    <row r="332" spans="1:10" ht="21.25" customHeight="1" x14ac:dyDescent="0.15">
      <c r="A332" s="9" t="s">
        <v>742</v>
      </c>
      <c r="B332" s="166" t="str">
        <f>VLOOKUP(A332,'The List'!B1:D665,3,FALSE)</f>
        <v>C</v>
      </c>
      <c r="C332" s="68">
        <f>IF(Settings!$E$15="POINTS",RANK(E332,E3:E392),H332)</f>
        <v>330</v>
      </c>
      <c r="D332" s="65" t="str">
        <f>VLOOKUP(A332,'The List'!B1:F665,5,FALSE)</f>
        <v>VGK</v>
      </c>
      <c r="E332" s="54">
        <f>VLOOKUP(A332,'The List'!B1:I665,8,FALSE)</f>
        <v>122.41740080073656</v>
      </c>
      <c r="F332" s="54">
        <f>IF(Settings!$E$15="POINTS",E332-VLOOKUP(B$2,C1:E392,3,FALSE),J332)</f>
        <v>-232.15686903344925</v>
      </c>
      <c r="G332" s="54"/>
      <c r="H332" s="167">
        <f>RANK(I332,I3:I392)</f>
        <v>328</v>
      </c>
      <c r="I332" s="168">
        <f>VLOOKUP(A332,'Standard Deviations'!A1:C666,3,FALSE)</f>
        <v>-3.7025759351460072</v>
      </c>
      <c r="J332" s="168">
        <f>I332-VLOOKUP(B$2,H1:J392,2,FALSE)</f>
        <v>-8.5936657591035157</v>
      </c>
    </row>
    <row r="333" spans="1:10" ht="21.25" customHeight="1" x14ac:dyDescent="0.15">
      <c r="A333" s="9" t="s">
        <v>697</v>
      </c>
      <c r="B333" s="166" t="str">
        <f>VLOOKUP(A333,'The List'!B1:D665,3,FALSE)</f>
        <v>RW</v>
      </c>
      <c r="C333" s="68">
        <f>IF(Settings!$E$15="POINTS",RANK(E333,E3:E392),H333)</f>
        <v>331</v>
      </c>
      <c r="D333" s="65" t="str">
        <f>VLOOKUP(A333,'The List'!B1:F665,5,FALSE)</f>
        <v>NSH</v>
      </c>
      <c r="E333" s="54">
        <f>VLOOKUP(A333,'The List'!B1:I665,8,FALSE)</f>
        <v>122.4031704339334</v>
      </c>
      <c r="F333" s="54">
        <f>IF(Settings!$E$15="POINTS",E333-VLOOKUP(B$2,C1:E392,3,FALSE),J333)</f>
        <v>-232.17109940025244</v>
      </c>
      <c r="G333" s="54"/>
      <c r="H333" s="167">
        <f>RANK(I333,I3:I392)</f>
        <v>303</v>
      </c>
      <c r="I333" s="168">
        <f>VLOOKUP(A333,'Standard Deviations'!A1:C666,3,FALSE)</f>
        <v>-3.2222459869655062</v>
      </c>
      <c r="J333" s="168">
        <f>I333-VLOOKUP(B$2,H1:J392,2,FALSE)</f>
        <v>-8.1133358109230151</v>
      </c>
    </row>
    <row r="334" spans="1:10" ht="21.25" customHeight="1" x14ac:dyDescent="0.15">
      <c r="A334" s="9" t="s">
        <v>698</v>
      </c>
      <c r="B334" s="166" t="str">
        <f>VLOOKUP(A334,'The List'!B1:D665,3,FALSE)</f>
        <v>RW</v>
      </c>
      <c r="C334" s="68">
        <f>IF(Settings!$E$15="POINTS",RANK(E334,E3:E392),H334)</f>
        <v>332</v>
      </c>
      <c r="D334" s="65" t="str">
        <f>VLOOKUP(A334,'The List'!B1:F665,5,FALSE)</f>
        <v>S.J</v>
      </c>
      <c r="E334" s="54">
        <f>VLOOKUP(A334,'The List'!B1:I665,8,FALSE)</f>
        <v>122.21354406324278</v>
      </c>
      <c r="F334" s="54">
        <f>IF(Settings!$E$15="POINTS",E334-VLOOKUP(B$2,C1:E392,3,FALSE),J334)</f>
        <v>-232.36072577094305</v>
      </c>
      <c r="G334" s="54"/>
      <c r="H334" s="167">
        <f>RANK(I334,I3:I392)</f>
        <v>312</v>
      </c>
      <c r="I334" s="168">
        <f>VLOOKUP(A334,'Standard Deviations'!A1:C666,3,FALSE)</f>
        <v>-3.4166555835854875</v>
      </c>
      <c r="J334" s="168">
        <f>I334-VLOOKUP(B$2,H1:J392,2,FALSE)</f>
        <v>-8.3077454075429955</v>
      </c>
    </row>
    <row r="335" spans="1:10" ht="21.25" customHeight="1" x14ac:dyDescent="0.15">
      <c r="A335" s="9" t="s">
        <v>722</v>
      </c>
      <c r="B335" s="166" t="str">
        <f>VLOOKUP(A335,'The List'!B1:D665,3,FALSE)</f>
        <v>LW</v>
      </c>
      <c r="C335" s="68">
        <f>IF(Settings!$E$15="POINTS",RANK(E335,E3:E392),H335)</f>
        <v>333</v>
      </c>
      <c r="D335" s="65" t="str">
        <f>VLOOKUP(A335,'The List'!B1:F665,5,FALSE)</f>
        <v>NSH</v>
      </c>
      <c r="E335" s="54">
        <f>VLOOKUP(A335,'The List'!B1:I665,8,FALSE)</f>
        <v>122.15946644492202</v>
      </c>
      <c r="F335" s="54">
        <f>IF(Settings!$E$15="POINTS",E335-VLOOKUP(B$2,C1:E392,3,FALSE),J335)</f>
        <v>-232.4148033892638</v>
      </c>
      <c r="G335" s="54"/>
      <c r="H335" s="167">
        <f>RANK(I335,I3:I392)</f>
        <v>320</v>
      </c>
      <c r="I335" s="168">
        <f>VLOOKUP(A335,'Standard Deviations'!A1:C666,3,FALSE)</f>
        <v>-3.5999095728919137</v>
      </c>
      <c r="J335" s="168">
        <f>I335-VLOOKUP(B$2,H1:J392,2,FALSE)</f>
        <v>-8.4909993968494213</v>
      </c>
    </row>
    <row r="336" spans="1:10" ht="21.25" customHeight="1" x14ac:dyDescent="0.15">
      <c r="A336" s="9" t="s">
        <v>743</v>
      </c>
      <c r="B336" s="166" t="str">
        <f>VLOOKUP(A336,'The List'!B1:D665,3,FALSE)</f>
        <v>C</v>
      </c>
      <c r="C336" s="68">
        <f>IF(Settings!$E$15="POINTS",RANK(E336,E3:E392),H336)</f>
        <v>334</v>
      </c>
      <c r="D336" s="65" t="str">
        <f>VLOOKUP(A336,'The List'!B1:F665,5,FALSE)</f>
        <v>TOR</v>
      </c>
      <c r="E336" s="54">
        <f>VLOOKUP(A336,'The List'!B1:I665,8,FALSE)</f>
        <v>121.95901126849535</v>
      </c>
      <c r="F336" s="54">
        <f>IF(Settings!$E$15="POINTS",E336-VLOOKUP(B$2,C1:E392,3,FALSE),J336)</f>
        <v>-232.61525856569048</v>
      </c>
      <c r="G336" s="54"/>
      <c r="H336" s="167">
        <f>RANK(I336,I3:I392)</f>
        <v>294</v>
      </c>
      <c r="I336" s="168">
        <f>VLOOKUP(A336,'Standard Deviations'!A1:C666,3,FALSE)</f>
        <v>-3.0449539403812449</v>
      </c>
      <c r="J336" s="168">
        <f>I336-VLOOKUP(B$2,H1:J392,2,FALSE)</f>
        <v>-7.9360437643387538</v>
      </c>
    </row>
    <row r="337" spans="1:10" ht="21.25" customHeight="1" x14ac:dyDescent="0.15">
      <c r="A337" s="9" t="s">
        <v>744</v>
      </c>
      <c r="B337" s="166" t="str">
        <f>VLOOKUP(A337,'The List'!B1:D665,3,FALSE)</f>
        <v>C</v>
      </c>
      <c r="C337" s="68">
        <f>IF(Settings!$E$15="POINTS",RANK(E337,E3:E392),H337)</f>
        <v>335</v>
      </c>
      <c r="D337" s="65" t="str">
        <f>VLOOKUP(A337,'The List'!B1:F665,5,FALSE)</f>
        <v>MTL</v>
      </c>
      <c r="E337" s="54">
        <f>VLOOKUP(A337,'The List'!B1:I665,8,FALSE)</f>
        <v>121.19215461373292</v>
      </c>
      <c r="F337" s="54">
        <f>IF(Settings!$E$15="POINTS",E337-VLOOKUP(B$2,C1:E392,3,FALSE),J337)</f>
        <v>-233.3821152204529</v>
      </c>
      <c r="G337" s="54"/>
      <c r="H337" s="167">
        <f>RANK(I337,I3:I392)</f>
        <v>363</v>
      </c>
      <c r="I337" s="168">
        <f>VLOOKUP(A337,'Standard Deviations'!A1:C666,3,FALSE)</f>
        <v>-4.7501766662224396</v>
      </c>
      <c r="J337" s="168">
        <f>I337-VLOOKUP(B$2,H1:J392,2,FALSE)</f>
        <v>-9.6412664901799481</v>
      </c>
    </row>
    <row r="338" spans="1:10" ht="21.25" customHeight="1" x14ac:dyDescent="0.15">
      <c r="A338" s="9" t="s">
        <v>746</v>
      </c>
      <c r="B338" s="166" t="str">
        <f>VLOOKUP(A338,'The List'!B1:D665,3,FALSE)</f>
        <v>C</v>
      </c>
      <c r="C338" s="68">
        <f>IF(Settings!$E$15="POINTS",RANK(E338,E3:E392),H338)</f>
        <v>336</v>
      </c>
      <c r="D338" s="65" t="str">
        <f>VLOOKUP(A338,'The List'!B1:F665,5,FALSE)</f>
        <v>STL</v>
      </c>
      <c r="E338" s="54">
        <f>VLOOKUP(A338,'The List'!B1:I665,8,FALSE)</f>
        <v>120.85609505598005</v>
      </c>
      <c r="F338" s="54">
        <f>IF(Settings!$E$15="POINTS",E338-VLOOKUP(B$2,C1:E392,3,FALSE),J338)</f>
        <v>-233.71817477820576</v>
      </c>
      <c r="G338" s="54"/>
      <c r="H338" s="167">
        <f>RANK(I338,I3:I392)</f>
        <v>365</v>
      </c>
      <c r="I338" s="168">
        <f>VLOOKUP(A338,'Standard Deviations'!A1:C666,3,FALSE)</f>
        <v>-4.8051169780079972</v>
      </c>
      <c r="J338" s="168">
        <f>I338-VLOOKUP(B$2,H1:J392,2,FALSE)</f>
        <v>-9.6962068019655057</v>
      </c>
    </row>
    <row r="339" spans="1:10" ht="21.25" customHeight="1" x14ac:dyDescent="0.15">
      <c r="A339" s="9" t="s">
        <v>747</v>
      </c>
      <c r="B339" s="166" t="str">
        <f>VLOOKUP(A339,'The List'!B1:D665,3,FALSE)</f>
        <v>C</v>
      </c>
      <c r="C339" s="68">
        <f>IF(Settings!$E$15="POINTS",RANK(E339,E3:E392),H339)</f>
        <v>337</v>
      </c>
      <c r="D339" s="65" t="str">
        <f>VLOOKUP(A339,'The List'!B1:F665,5,FALSE)</f>
        <v>STL</v>
      </c>
      <c r="E339" s="54">
        <f>VLOOKUP(A339,'The List'!B1:I665,8,FALSE)</f>
        <v>118.64912150011916</v>
      </c>
      <c r="F339" s="54">
        <f>IF(Settings!$E$15="POINTS",E339-VLOOKUP(B$2,C1:E392,3,FALSE),J339)</f>
        <v>-235.92514833406665</v>
      </c>
      <c r="G339" s="54"/>
      <c r="H339" s="167">
        <f>RANK(I339,I3:I392)</f>
        <v>297</v>
      </c>
      <c r="I339" s="168">
        <f>VLOOKUP(A339,'Standard Deviations'!A1:C666,3,FALSE)</f>
        <v>-3.1030010416887013</v>
      </c>
      <c r="J339" s="168">
        <f>I339-VLOOKUP(B$2,H1:J392,2,FALSE)</f>
        <v>-7.9940908656462097</v>
      </c>
    </row>
    <row r="340" spans="1:10" ht="21.25" customHeight="1" x14ac:dyDescent="0.15">
      <c r="A340" s="9" t="s">
        <v>703</v>
      </c>
      <c r="B340" s="166" t="str">
        <f>VLOOKUP(A340,'The List'!B1:D665,3,FALSE)</f>
        <v>RW</v>
      </c>
      <c r="C340" s="68">
        <f>IF(Settings!$E$15="POINTS",RANK(E340,E3:E392),H340)</f>
        <v>338</v>
      </c>
      <c r="D340" s="65" t="str">
        <f>VLOOKUP(A340,'The List'!B1:F665,5,FALSE)</f>
        <v>CAR</v>
      </c>
      <c r="E340" s="54">
        <f>VLOOKUP(A340,'The List'!B1:I665,8,FALSE)</f>
        <v>118.06068356356694</v>
      </c>
      <c r="F340" s="54">
        <f>IF(Settings!$E$15="POINTS",E340-VLOOKUP(B$2,C1:E392,3,FALSE),J340)</f>
        <v>-236.51358627061887</v>
      </c>
      <c r="G340" s="54"/>
      <c r="H340" s="167">
        <f>RANK(I340,I3:I392)</f>
        <v>264</v>
      </c>
      <c r="I340" s="168">
        <f>VLOOKUP(A340,'Standard Deviations'!A1:C666,3,FALSE)</f>
        <v>-2.6004503497479776</v>
      </c>
      <c r="J340" s="168">
        <f>I340-VLOOKUP(B$2,H1:J392,2,FALSE)</f>
        <v>-7.4915401737054861</v>
      </c>
    </row>
    <row r="341" spans="1:10" ht="21.25" customHeight="1" x14ac:dyDescent="0.15">
      <c r="A341" s="9" t="s">
        <v>704</v>
      </c>
      <c r="B341" s="166" t="str">
        <f>VLOOKUP(A341,'The List'!B1:D665,3,FALSE)</f>
        <v>RW</v>
      </c>
      <c r="C341" s="68">
        <f>IF(Settings!$E$15="POINTS",RANK(E341,E3:E392),H341)</f>
        <v>339</v>
      </c>
      <c r="D341" s="65" t="str">
        <f>VLOOKUP(A341,'The List'!B1:F665,5,FALSE)</f>
        <v>EDM</v>
      </c>
      <c r="E341" s="54">
        <f>VLOOKUP(A341,'The List'!B1:I665,8,FALSE)</f>
        <v>117.96632521358389</v>
      </c>
      <c r="F341" s="54">
        <f>IF(Settings!$E$15="POINTS",E341-VLOOKUP(B$2,C1:E392,3,FALSE),J341)</f>
        <v>-236.60794462060193</v>
      </c>
      <c r="G341" s="54"/>
      <c r="H341" s="167">
        <f>RANK(I341,I3:I392)</f>
        <v>334</v>
      </c>
      <c r="I341" s="168">
        <f>VLOOKUP(A341,'Standard Deviations'!A1:C666,3,FALSE)</f>
        <v>-3.7999811482212444</v>
      </c>
      <c r="J341" s="168">
        <f>I341-VLOOKUP(B$2,H1:J392,2,FALSE)</f>
        <v>-8.6910709721787534</v>
      </c>
    </row>
    <row r="342" spans="1:10" ht="21.25" customHeight="1" x14ac:dyDescent="0.15">
      <c r="A342" s="9" t="s">
        <v>748</v>
      </c>
      <c r="B342" s="166" t="str">
        <f>VLOOKUP(A342,'The List'!B1:D665,3,FALSE)</f>
        <v>C</v>
      </c>
      <c r="C342" s="68">
        <f>IF(Settings!$E$15="POINTS",RANK(E342,E3:E392),H342)</f>
        <v>340</v>
      </c>
      <c r="D342" s="65" t="str">
        <f>VLOOKUP(A342,'The List'!B1:F665,5,FALSE)</f>
        <v>TOR</v>
      </c>
      <c r="E342" s="54">
        <f>VLOOKUP(A342,'The List'!B1:I665,8,FALSE)</f>
        <v>117.80666717182122</v>
      </c>
      <c r="F342" s="54">
        <f>IF(Settings!$E$15="POINTS",E342-VLOOKUP(B$2,C1:E392,3,FALSE),J342)</f>
        <v>-236.7676026623646</v>
      </c>
      <c r="G342" s="54"/>
      <c r="H342" s="167">
        <f>RANK(I342,I3:I392)</f>
        <v>341</v>
      </c>
      <c r="I342" s="168">
        <f>VLOOKUP(A342,'Standard Deviations'!A1:C666,3,FALSE)</f>
        <v>-3.9810208899954502</v>
      </c>
      <c r="J342" s="168">
        <f>I342-VLOOKUP(B$2,H1:J392,2,FALSE)</f>
        <v>-8.8721107139529582</v>
      </c>
    </row>
    <row r="343" spans="1:10" ht="21.25" customHeight="1" x14ac:dyDescent="0.15">
      <c r="A343" s="9" t="s">
        <v>707</v>
      </c>
      <c r="B343" s="166" t="str">
        <f>VLOOKUP(A343,'The List'!B1:D665,3,FALSE)</f>
        <v>RW</v>
      </c>
      <c r="C343" s="68">
        <f>IF(Settings!$E$15="POINTS",RANK(E343,E3:E392),H343)</f>
        <v>341</v>
      </c>
      <c r="D343" s="65" t="str">
        <f>VLOOKUP(A343,'The List'!B1:F665,5,FALSE)</f>
        <v>DET</v>
      </c>
      <c r="E343" s="54">
        <f>VLOOKUP(A343,'The List'!B1:I665,8,FALSE)</f>
        <v>117.41235670265701</v>
      </c>
      <c r="F343" s="54">
        <f>IF(Settings!$E$15="POINTS",E343-VLOOKUP(B$2,C1:E392,3,FALSE),J343)</f>
        <v>-237.16191313152882</v>
      </c>
      <c r="G343" s="54"/>
      <c r="H343" s="167">
        <f>RANK(I343,I3:I392)</f>
        <v>358</v>
      </c>
      <c r="I343" s="168">
        <f>VLOOKUP(A343,'Standard Deviations'!A1:C666,3,FALSE)</f>
        <v>-4.6467128558687412</v>
      </c>
      <c r="J343" s="168">
        <f>I343-VLOOKUP(B$2,H1:J392,2,FALSE)</f>
        <v>-9.5378026798262496</v>
      </c>
    </row>
    <row r="344" spans="1:10" ht="21.25" customHeight="1" x14ac:dyDescent="0.15">
      <c r="A344" s="9" t="s">
        <v>750</v>
      </c>
      <c r="B344" s="166" t="str">
        <f>VLOOKUP(A344,'The List'!B1:D665,3,FALSE)</f>
        <v>C</v>
      </c>
      <c r="C344" s="68">
        <f>IF(Settings!$E$15="POINTS",RANK(E344,E3:E392),H344)</f>
        <v>342</v>
      </c>
      <c r="D344" s="65" t="str">
        <f>VLOOKUP(A344,'The List'!B1:F665,5,FALSE)</f>
        <v>ANA</v>
      </c>
      <c r="E344" s="54">
        <f>VLOOKUP(A344,'The List'!B1:I665,8,FALSE)</f>
        <v>117.37236969149959</v>
      </c>
      <c r="F344" s="54">
        <f>IF(Settings!$E$15="POINTS",E344-VLOOKUP(B$2,C1:E392,3,FALSE),J344)</f>
        <v>-237.20190014268624</v>
      </c>
      <c r="G344" s="54"/>
      <c r="H344" s="167">
        <f>RANK(I344,I3:I392)</f>
        <v>380</v>
      </c>
      <c r="I344" s="168">
        <f>VLOOKUP(A344,'Standard Deviations'!A1:C666,3,FALSE)</f>
        <v>-5.2742436631082334</v>
      </c>
      <c r="J344" s="168">
        <f>I344-VLOOKUP(B$2,H1:J392,2,FALSE)</f>
        <v>-10.165333487065741</v>
      </c>
    </row>
    <row r="345" spans="1:10" ht="21.25" customHeight="1" x14ac:dyDescent="0.15">
      <c r="A345" s="9" t="s">
        <v>732</v>
      </c>
      <c r="B345" s="166" t="str">
        <f>VLOOKUP(A345,'The List'!B1:D665,3,FALSE)</f>
        <v>LW</v>
      </c>
      <c r="C345" s="68">
        <f>IF(Settings!$E$15="POINTS",RANK(E345,E3:E392),H345)</f>
        <v>343</v>
      </c>
      <c r="D345" s="65" t="str">
        <f>VLOOKUP(A345,'The List'!B1:F665,5,FALSE)</f>
        <v>UTA</v>
      </c>
      <c r="E345" s="54">
        <f>VLOOKUP(A345,'The List'!B1:I665,8,FALSE)</f>
        <v>116.59629169467428</v>
      </c>
      <c r="F345" s="54">
        <f>IF(Settings!$E$15="POINTS",E345-VLOOKUP(B$2,C1:E392,3,FALSE),J345)</f>
        <v>-237.97797813951155</v>
      </c>
      <c r="G345" s="54"/>
      <c r="H345" s="167">
        <f>RANK(I345,I3:I392)</f>
        <v>342</v>
      </c>
      <c r="I345" s="168">
        <f>VLOOKUP(A345,'Standard Deviations'!A1:C666,3,FALSE)</f>
        <v>-3.9855504229225249</v>
      </c>
      <c r="J345" s="168">
        <f>I345-VLOOKUP(B$2,H1:J392,2,FALSE)</f>
        <v>-8.8766402468800329</v>
      </c>
    </row>
    <row r="346" spans="1:10" ht="21.25" customHeight="1" x14ac:dyDescent="0.15">
      <c r="A346" s="9" t="s">
        <v>733</v>
      </c>
      <c r="B346" s="166" t="str">
        <f>VLOOKUP(A346,'The List'!B1:D665,3,FALSE)</f>
        <v>LW</v>
      </c>
      <c r="C346" s="68">
        <f>IF(Settings!$E$15="POINTS",RANK(E346,E3:E392),H346)</f>
        <v>344</v>
      </c>
      <c r="D346" s="65" t="str">
        <f>VLOOKUP(A346,'The List'!B1:F665,5,FALSE)</f>
        <v>DET</v>
      </c>
      <c r="E346" s="54">
        <f>VLOOKUP(A346,'The List'!B1:I665,8,FALSE)</f>
        <v>116.59330380358381</v>
      </c>
      <c r="F346" s="54">
        <f>IF(Settings!$E$15="POINTS",E346-VLOOKUP(B$2,C1:E392,3,FALSE),J346)</f>
        <v>-237.98096603060202</v>
      </c>
      <c r="G346" s="54"/>
      <c r="H346" s="167">
        <f>RANK(I346,I3:I392)</f>
        <v>326</v>
      </c>
      <c r="I346" s="168">
        <f>VLOOKUP(A346,'Standard Deviations'!A1:C666,3,FALSE)</f>
        <v>-3.6980204158437546</v>
      </c>
      <c r="J346" s="168">
        <f>I346-VLOOKUP(B$2,H1:J392,2,FALSE)</f>
        <v>-8.5891102398012631</v>
      </c>
    </row>
    <row r="347" spans="1:10" ht="21.25" customHeight="1" x14ac:dyDescent="0.15">
      <c r="A347" s="9" t="s">
        <v>709</v>
      </c>
      <c r="B347" s="166" t="str">
        <f>VLOOKUP(A347,'The List'!B1:D665,3,FALSE)</f>
        <v>RW</v>
      </c>
      <c r="C347" s="68">
        <f>IF(Settings!$E$15="POINTS",RANK(E347,E3:E392),H347)</f>
        <v>345</v>
      </c>
      <c r="D347" s="65" t="str">
        <f>VLOOKUP(A347,'The List'!B1:F665,5,FALSE)</f>
        <v>VGK</v>
      </c>
      <c r="E347" s="54">
        <f>VLOOKUP(A347,'The List'!B1:I665,8,FALSE)</f>
        <v>115.76464762065741</v>
      </c>
      <c r="F347" s="54">
        <f>IF(Settings!$E$15="POINTS",E347-VLOOKUP(B$2,C1:E392,3,FALSE),J347)</f>
        <v>-238.80962221352843</v>
      </c>
      <c r="G347" s="54"/>
      <c r="H347" s="167">
        <f>RANK(I347,I3:I392)</f>
        <v>330</v>
      </c>
      <c r="I347" s="168">
        <f>VLOOKUP(A347,'Standard Deviations'!A1:C666,3,FALSE)</f>
        <v>-3.7679796199079063</v>
      </c>
      <c r="J347" s="168">
        <f>I347-VLOOKUP(B$2,H1:J392,2,FALSE)</f>
        <v>-8.6590694438654143</v>
      </c>
    </row>
    <row r="348" spans="1:10" ht="21.25" customHeight="1" x14ac:dyDescent="0.15">
      <c r="A348" s="9" t="s">
        <v>754</v>
      </c>
      <c r="B348" s="166" t="str">
        <f>VLOOKUP(A348,'The List'!B1:D665,3,FALSE)</f>
        <v>C</v>
      </c>
      <c r="C348" s="68">
        <f>IF(Settings!$E$15="POINTS",RANK(E348,E3:E392),H348)</f>
        <v>346</v>
      </c>
      <c r="D348" s="65" t="str">
        <f>VLOOKUP(A348,'The List'!B1:F665,5,FALSE)</f>
        <v>WPG</v>
      </c>
      <c r="E348" s="54">
        <f>VLOOKUP(A348,'The List'!B1:I665,8,FALSE)</f>
        <v>115.22933173024998</v>
      </c>
      <c r="F348" s="54">
        <f>IF(Settings!$E$15="POINTS",E348-VLOOKUP(B$2,C1:E392,3,FALSE),J348)</f>
        <v>-239.34493810393585</v>
      </c>
      <c r="G348" s="54"/>
      <c r="H348" s="167">
        <f>RANK(I348,I3:I392)</f>
        <v>311</v>
      </c>
      <c r="I348" s="168">
        <f>VLOOKUP(A348,'Standard Deviations'!A1:C666,3,FALSE)</f>
        <v>-3.3999603475106248</v>
      </c>
      <c r="J348" s="168">
        <f>I348-VLOOKUP(B$2,H1:J392,2,FALSE)</f>
        <v>-8.2910501714681324</v>
      </c>
    </row>
    <row r="349" spans="1:10" ht="21.25" customHeight="1" x14ac:dyDescent="0.15">
      <c r="A349" s="9" t="s">
        <v>756</v>
      </c>
      <c r="B349" s="166" t="str">
        <f>VLOOKUP(A349,'The List'!B1:D665,3,FALSE)</f>
        <v>C</v>
      </c>
      <c r="C349" s="68">
        <f>IF(Settings!$E$15="POINTS",RANK(E349,E3:E392),H349)</f>
        <v>347</v>
      </c>
      <c r="D349" s="65" t="str">
        <f>VLOOKUP(A349,'The List'!B1:F665,5,FALSE)</f>
        <v>PIT</v>
      </c>
      <c r="E349" s="54">
        <f>VLOOKUP(A349,'The List'!B1:I665,8,FALSE)</f>
        <v>114.30616065230689</v>
      </c>
      <c r="F349" s="54">
        <f>IF(Settings!$E$15="POINTS",E349-VLOOKUP(B$2,C1:E392,3,FALSE),J349)</f>
        <v>-240.26810918187894</v>
      </c>
      <c r="G349" s="54"/>
      <c r="H349" s="167">
        <f>RANK(I349,I3:I392)</f>
        <v>340</v>
      </c>
      <c r="I349" s="168">
        <f>VLOOKUP(A349,'Standard Deviations'!A1:C666,3,FALSE)</f>
        <v>-3.908842109784735</v>
      </c>
      <c r="J349" s="168">
        <f>I349-VLOOKUP(B$2,H1:J392,2,FALSE)</f>
        <v>-8.7999319337422435</v>
      </c>
    </row>
    <row r="350" spans="1:10" ht="21.25" customHeight="1" x14ac:dyDescent="0.15">
      <c r="A350" s="9" t="s">
        <v>713</v>
      </c>
      <c r="B350" s="166" t="str">
        <f>VLOOKUP(A350,'The List'!B1:D665,3,FALSE)</f>
        <v>RW</v>
      </c>
      <c r="C350" s="68">
        <f>IF(Settings!$E$15="POINTS",RANK(E350,E3:E392),H350)</f>
        <v>348</v>
      </c>
      <c r="D350" s="65" t="str">
        <f>VLOOKUP(A350,'The List'!B1:F665,5,FALSE)</f>
        <v>VAN</v>
      </c>
      <c r="E350" s="54">
        <f>VLOOKUP(A350,'The List'!B1:I665,8,FALSE)</f>
        <v>113.87432429308511</v>
      </c>
      <c r="F350" s="54">
        <f>IF(Settings!$E$15="POINTS",E350-VLOOKUP(B$2,C1:E392,3,FALSE),J350)</f>
        <v>-240.6999455411007</v>
      </c>
      <c r="G350" s="54"/>
      <c r="H350" s="167">
        <f>RANK(I350,I3:I392)</f>
        <v>313</v>
      </c>
      <c r="I350" s="168">
        <f>VLOOKUP(A350,'Standard Deviations'!A1:C666,3,FALSE)</f>
        <v>-3.467167206361049</v>
      </c>
      <c r="J350" s="168">
        <f>I350-VLOOKUP(B$2,H1:J392,2,FALSE)</f>
        <v>-8.3582570303185584</v>
      </c>
    </row>
    <row r="351" spans="1:10" ht="21.25" customHeight="1" x14ac:dyDescent="0.15">
      <c r="A351" s="9" t="s">
        <v>714</v>
      </c>
      <c r="B351" s="166" t="str">
        <f>VLOOKUP(A351,'The List'!B1:D665,3,FALSE)</f>
        <v>RW</v>
      </c>
      <c r="C351" s="68">
        <f>IF(Settings!$E$15="POINTS",RANK(E351,E3:E392),H351)</f>
        <v>349</v>
      </c>
      <c r="D351" s="65" t="str">
        <f>VLOOKUP(A351,'The List'!B1:F665,5,FALSE)</f>
        <v>CHI</v>
      </c>
      <c r="E351" s="54">
        <f>VLOOKUP(A351,'The List'!B1:I665,8,FALSE)</f>
        <v>113.50296398129623</v>
      </c>
      <c r="F351" s="54">
        <f>IF(Settings!$E$15="POINTS",E351-VLOOKUP(B$2,C1:E392,3,FALSE),J351)</f>
        <v>-241.07130585288959</v>
      </c>
      <c r="G351" s="54"/>
      <c r="H351" s="167">
        <f>RANK(I351,I3:I392)</f>
        <v>376</v>
      </c>
      <c r="I351" s="168">
        <f>VLOOKUP(A351,'Standard Deviations'!A1:C666,3,FALSE)</f>
        <v>-5.1161140960871334</v>
      </c>
      <c r="J351" s="168">
        <f>I351-VLOOKUP(B$2,H1:J392,2,FALSE)</f>
        <v>-10.007203920044642</v>
      </c>
    </row>
    <row r="352" spans="1:10" ht="21.25" customHeight="1" x14ac:dyDescent="0.15">
      <c r="A352" s="9" t="s">
        <v>757</v>
      </c>
      <c r="B352" s="166" t="str">
        <f>VLOOKUP(A352,'The List'!B1:D665,3,FALSE)</f>
        <v>C</v>
      </c>
      <c r="C352" s="68">
        <f>IF(Settings!$E$15="POINTS",RANK(E352,E3:E392),H352)</f>
        <v>350</v>
      </c>
      <c r="D352" s="65" t="str">
        <f>VLOOKUP(A352,'The List'!B1:F665,5,FALSE)</f>
        <v>L.A</v>
      </c>
      <c r="E352" s="54">
        <f>VLOOKUP(A352,'The List'!B1:I665,8,FALSE)</f>
        <v>112.91435732816734</v>
      </c>
      <c r="F352" s="54">
        <f>IF(Settings!$E$15="POINTS",E352-VLOOKUP(B$2,C1:E392,3,FALSE),J352)</f>
        <v>-241.65991250601849</v>
      </c>
      <c r="G352" s="54"/>
      <c r="H352" s="167">
        <f>RANK(I352,I3:I392)</f>
        <v>322</v>
      </c>
      <c r="I352" s="168">
        <f>VLOOKUP(A352,'Standard Deviations'!A1:C666,3,FALSE)</f>
        <v>-3.6398135978406532</v>
      </c>
      <c r="J352" s="168">
        <f>I352-VLOOKUP(B$2,H1:J392,2,FALSE)</f>
        <v>-8.5309034217981612</v>
      </c>
    </row>
    <row r="353" spans="1:10" ht="21.25" customHeight="1" x14ac:dyDescent="0.15">
      <c r="A353" s="9" t="s">
        <v>718</v>
      </c>
      <c r="B353" s="166" t="str">
        <f>VLOOKUP(A353,'The List'!B1:D665,3,FALSE)</f>
        <v>RW</v>
      </c>
      <c r="C353" s="68">
        <f>IF(Settings!$E$15="POINTS",RANK(E353,E3:E392),H353)</f>
        <v>351</v>
      </c>
      <c r="D353" s="65" t="str">
        <f>VLOOKUP(A353,'The List'!B1:F665,5,FALSE)</f>
        <v>TOR</v>
      </c>
      <c r="E353" s="54">
        <f>VLOOKUP(A353,'The List'!B1:I665,8,FALSE)</f>
        <v>112.38433887312975</v>
      </c>
      <c r="F353" s="54">
        <f>IF(Settings!$E$15="POINTS",E353-VLOOKUP(B$2,C1:E392,3,FALSE),J353)</f>
        <v>-242.18993096105606</v>
      </c>
      <c r="G353" s="54"/>
      <c r="H353" s="167">
        <f>RANK(I353,I3:I392)</f>
        <v>273</v>
      </c>
      <c r="I353" s="168">
        <f>VLOOKUP(A353,'Standard Deviations'!A1:C666,3,FALSE)</f>
        <v>-2.7389585517916695</v>
      </c>
      <c r="J353" s="168">
        <f>I353-VLOOKUP(B$2,H1:J392,2,FALSE)</f>
        <v>-7.6300483757491779</v>
      </c>
    </row>
    <row r="354" spans="1:10" ht="21.25" customHeight="1" x14ac:dyDescent="0.15">
      <c r="A354" s="9" t="s">
        <v>745</v>
      </c>
      <c r="B354" s="166" t="str">
        <f>VLOOKUP(A354,'The List'!B1:D665,3,FALSE)</f>
        <v>LW</v>
      </c>
      <c r="C354" s="68">
        <f>IF(Settings!$E$15="POINTS",RANK(E354,E3:E392),H354)</f>
        <v>352</v>
      </c>
      <c r="D354" s="65" t="str">
        <f>VLOOKUP(A354,'The List'!B1:F665,5,FALSE)</f>
        <v>MTL</v>
      </c>
      <c r="E354" s="54">
        <f>VLOOKUP(A354,'The List'!B1:I665,8,FALSE)</f>
        <v>112.31383254736966</v>
      </c>
      <c r="F354" s="54">
        <f>IF(Settings!$E$15="POINTS",E354-VLOOKUP(B$2,C1:E392,3,FALSE),J354)</f>
        <v>-242.26043728681617</v>
      </c>
      <c r="G354" s="54"/>
      <c r="H354" s="167">
        <f>RANK(I354,I3:I392)</f>
        <v>356</v>
      </c>
      <c r="I354" s="168">
        <f>VLOOKUP(A354,'Standard Deviations'!A1:C666,3,FALSE)</f>
        <v>-4.5532012324505153</v>
      </c>
      <c r="J354" s="168">
        <f>I354-VLOOKUP(B$2,H1:J392,2,FALSE)</f>
        <v>-9.4442910564080229</v>
      </c>
    </row>
    <row r="355" spans="1:10" ht="21.25" customHeight="1" x14ac:dyDescent="0.15">
      <c r="A355" s="9" t="s">
        <v>762</v>
      </c>
      <c r="B355" s="166" t="str">
        <f>VLOOKUP(A355,'The List'!B1:D665,3,FALSE)</f>
        <v>C</v>
      </c>
      <c r="C355" s="68">
        <f>IF(Settings!$E$15="POINTS",RANK(E355,E3:E392),H355)</f>
        <v>353</v>
      </c>
      <c r="D355" s="65" t="str">
        <f>VLOOKUP(A355,'The List'!B1:F665,5,FALSE)</f>
        <v>DAL</v>
      </c>
      <c r="E355" s="54">
        <f>VLOOKUP(A355,'The List'!B1:I665,8,FALSE)</f>
        <v>110.72850623089863</v>
      </c>
      <c r="F355" s="54">
        <f>IF(Settings!$E$15="POINTS",E355-VLOOKUP(B$2,C1:E392,3,FALSE),J355)</f>
        <v>-243.8457636032872</v>
      </c>
      <c r="G355" s="54"/>
      <c r="H355" s="167">
        <f>RANK(I355,I3:I392)</f>
        <v>381</v>
      </c>
      <c r="I355" s="168">
        <f>VLOOKUP(A355,'Standard Deviations'!A1:C666,3,FALSE)</f>
        <v>-5.4127184700341191</v>
      </c>
      <c r="J355" s="168">
        <f>I355-VLOOKUP(B$2,H1:J392,2,FALSE)</f>
        <v>-10.303808293991628</v>
      </c>
    </row>
    <row r="356" spans="1:10" ht="21.25" customHeight="1" x14ac:dyDescent="0.15">
      <c r="A356" s="9" t="s">
        <v>749</v>
      </c>
      <c r="B356" s="166" t="str">
        <f>VLOOKUP(A356,'The List'!B1:D665,3,FALSE)</f>
        <v>LW</v>
      </c>
      <c r="C356" s="68">
        <f>IF(Settings!$E$15="POINTS",RANK(E356,E3:E392),H356)</f>
        <v>354</v>
      </c>
      <c r="D356" s="65" t="str">
        <f>VLOOKUP(A356,'The List'!B1:F665,5,FALSE)</f>
        <v>MTL</v>
      </c>
      <c r="E356" s="54">
        <f>VLOOKUP(A356,'The List'!B1:I665,8,FALSE)</f>
        <v>108.73902885296502</v>
      </c>
      <c r="F356" s="54">
        <f>IF(Settings!$E$15="POINTS",E356-VLOOKUP(B$2,C1:E392,3,FALSE),J356)</f>
        <v>-245.83524098122081</v>
      </c>
      <c r="G356" s="54"/>
      <c r="H356" s="167">
        <f>RANK(I356,I3:I392)</f>
        <v>375</v>
      </c>
      <c r="I356" s="168">
        <f>VLOOKUP(A356,'Standard Deviations'!A1:C666,3,FALSE)</f>
        <v>-5.0633232430269794</v>
      </c>
      <c r="J356" s="168">
        <f>I356-VLOOKUP(B$2,H1:J392,2,FALSE)</f>
        <v>-9.9544130669844879</v>
      </c>
    </row>
    <row r="357" spans="1:10" ht="21.25" customHeight="1" x14ac:dyDescent="0.15">
      <c r="A357" s="9" t="s">
        <v>763</v>
      </c>
      <c r="B357" s="166" t="str">
        <f>VLOOKUP(A357,'The List'!B1:D665,3,FALSE)</f>
        <v>C</v>
      </c>
      <c r="C357" s="68">
        <f>IF(Settings!$E$15="POINTS",RANK(E357,E3:E392),H357)</f>
        <v>355</v>
      </c>
      <c r="D357" s="65" t="str">
        <f>VLOOKUP(A357,'The List'!B1:F665,5,FALSE)</f>
        <v>N.J</v>
      </c>
      <c r="E357" s="54">
        <f>VLOOKUP(A357,'The List'!B1:I665,8,FALSE)</f>
        <v>108.71654639938501</v>
      </c>
      <c r="F357" s="54">
        <f>IF(Settings!$E$15="POINTS",E357-VLOOKUP(B$2,C1:E392,3,FALSE),J357)</f>
        <v>-245.85772343480082</v>
      </c>
      <c r="G357" s="54"/>
      <c r="H357" s="167">
        <f>RANK(I357,I3:I392)</f>
        <v>345</v>
      </c>
      <c r="I357" s="168">
        <f>VLOOKUP(A357,'Standard Deviations'!A1:C666,3,FALSE)</f>
        <v>-4.0991566325060571</v>
      </c>
      <c r="J357" s="168">
        <f>I357-VLOOKUP(B$2,H1:J392,2,FALSE)</f>
        <v>-8.9902464564635665</v>
      </c>
    </row>
    <row r="358" spans="1:10" ht="21.25" customHeight="1" x14ac:dyDescent="0.15">
      <c r="A358" s="9" t="s">
        <v>724</v>
      </c>
      <c r="B358" s="166" t="str">
        <f>VLOOKUP(A358,'The List'!B1:D665,3,FALSE)</f>
        <v>RW</v>
      </c>
      <c r="C358" s="68">
        <f>IF(Settings!$E$15="POINTS",RANK(E358,E3:E392),H358)</f>
        <v>356</v>
      </c>
      <c r="D358" s="65" t="str">
        <f>VLOOKUP(A358,'The List'!B1:F665,5,FALSE)</f>
        <v>CGY</v>
      </c>
      <c r="E358" s="54">
        <f>VLOOKUP(A358,'The List'!B1:I665,8,FALSE)</f>
        <v>108.09838857994323</v>
      </c>
      <c r="F358" s="54">
        <f>IF(Settings!$E$15="POINTS",E358-VLOOKUP(B$2,C1:E392,3,FALSE),J358)</f>
        <v>-246.47588125424261</v>
      </c>
      <c r="G358" s="54"/>
      <c r="H358" s="167">
        <f>RANK(I358,I3:I392)</f>
        <v>373</v>
      </c>
      <c r="I358" s="168">
        <f>VLOOKUP(A358,'Standard Deviations'!A1:C666,3,FALSE)</f>
        <v>-4.9439397709957795</v>
      </c>
      <c r="J358" s="168">
        <f>I358-VLOOKUP(B$2,H1:J392,2,FALSE)</f>
        <v>-9.8350295949532871</v>
      </c>
    </row>
    <row r="359" spans="1:10" ht="21.25" customHeight="1" x14ac:dyDescent="0.15">
      <c r="A359" s="9" t="s">
        <v>752</v>
      </c>
      <c r="B359" s="166" t="str">
        <f>VLOOKUP(A359,'The List'!B1:D665,3,FALSE)</f>
        <v>LW</v>
      </c>
      <c r="C359" s="68">
        <f>IF(Settings!$E$15="POINTS",RANK(E359,E3:E392),H359)</f>
        <v>357</v>
      </c>
      <c r="D359" s="65" t="str">
        <f>VLOOKUP(A359,'The List'!B1:F665,5,FALSE)</f>
        <v>COL</v>
      </c>
      <c r="E359" s="54">
        <f>VLOOKUP(A359,'The List'!B1:I665,8,FALSE)</f>
        <v>107.65273482520008</v>
      </c>
      <c r="F359" s="54">
        <f>IF(Settings!$E$15="POINTS",E359-VLOOKUP(B$2,C1:E392,3,FALSE),J359)</f>
        <v>-246.92153500898576</v>
      </c>
      <c r="G359" s="54"/>
      <c r="H359" s="167">
        <f>RANK(I359,I3:I392)</f>
        <v>359</v>
      </c>
      <c r="I359" s="168">
        <f>VLOOKUP(A359,'Standard Deviations'!A1:C666,3,FALSE)</f>
        <v>-4.6516180477582276</v>
      </c>
      <c r="J359" s="168">
        <f>I359-VLOOKUP(B$2,H1:J392,2,FALSE)</f>
        <v>-9.5427078717157361</v>
      </c>
    </row>
    <row r="360" spans="1:10" ht="21.25" customHeight="1" x14ac:dyDescent="0.15">
      <c r="A360" s="9" t="s">
        <v>753</v>
      </c>
      <c r="B360" s="166" t="str">
        <f>VLOOKUP(A360,'The List'!B1:D665,3,FALSE)</f>
        <v>LW</v>
      </c>
      <c r="C360" s="68">
        <f>IF(Settings!$E$15="POINTS",RANK(E360,E3:E392),H360)</f>
        <v>358</v>
      </c>
      <c r="D360" s="65" t="str">
        <f>VLOOKUP(A360,'The List'!B1:F665,5,FALSE)</f>
        <v>T.B</v>
      </c>
      <c r="E360" s="54">
        <f>VLOOKUP(A360,'The List'!B1:I665,8,FALSE)</f>
        <v>106.4836535878495</v>
      </c>
      <c r="F360" s="54">
        <f>IF(Settings!$E$15="POINTS",E360-VLOOKUP(B$2,C1:E392,3,FALSE),J360)</f>
        <v>-248.09061624633631</v>
      </c>
      <c r="G360" s="54"/>
      <c r="H360" s="167">
        <f>RANK(I360,I3:I392)</f>
        <v>353</v>
      </c>
      <c r="I360" s="168">
        <f>VLOOKUP(A360,'Standard Deviations'!A1:C666,3,FALSE)</f>
        <v>-4.485967016486768</v>
      </c>
      <c r="J360" s="168">
        <f>I360-VLOOKUP(B$2,H1:J392,2,FALSE)</f>
        <v>-9.3770568404442756</v>
      </c>
    </row>
    <row r="361" spans="1:10" ht="21.25" customHeight="1" x14ac:dyDescent="0.15">
      <c r="A361" s="9" t="s">
        <v>727</v>
      </c>
      <c r="B361" s="166" t="str">
        <f>VLOOKUP(A361,'The List'!B1:D665,3,FALSE)</f>
        <v>RW</v>
      </c>
      <c r="C361" s="68">
        <f>IF(Settings!$E$15="POINTS",RANK(E361,E3:E392),H361)</f>
        <v>359</v>
      </c>
      <c r="D361" s="65" t="str">
        <f>VLOOKUP(A361,'The List'!B1:F665,5,FALSE)</f>
        <v>N.J</v>
      </c>
      <c r="E361" s="54">
        <f>VLOOKUP(A361,'The List'!B1:I665,8,FALSE)</f>
        <v>105.66128644418626</v>
      </c>
      <c r="F361" s="54">
        <f>IF(Settings!$E$15="POINTS",E361-VLOOKUP(B$2,C1:E392,3,FALSE),J361)</f>
        <v>-248.91298338999957</v>
      </c>
      <c r="G361" s="54"/>
      <c r="H361" s="167">
        <f>RANK(I361,I3:I392)</f>
        <v>333</v>
      </c>
      <c r="I361" s="168">
        <f>VLOOKUP(A361,'Standard Deviations'!A1:C666,3,FALSE)</f>
        <v>-3.7909802294555601</v>
      </c>
      <c r="J361" s="168">
        <f>I361-VLOOKUP(B$2,H1:J392,2,FALSE)</f>
        <v>-8.682070053413069</v>
      </c>
    </row>
    <row r="362" spans="1:10" ht="21.25" customHeight="1" x14ac:dyDescent="0.15">
      <c r="A362" s="9" t="s">
        <v>729</v>
      </c>
      <c r="B362" s="166" t="str">
        <f>VLOOKUP(A362,'The List'!B1:D665,3,FALSE)</f>
        <v>RW</v>
      </c>
      <c r="C362" s="68">
        <f>IF(Settings!$E$15="POINTS",RANK(E362,E3:E392),H362)</f>
        <v>360</v>
      </c>
      <c r="D362" s="65" t="str">
        <f>VLOOKUP(A362,'The List'!B1:F665,5,FALSE)</f>
        <v>EDM</v>
      </c>
      <c r="E362" s="54">
        <f>VLOOKUP(A362,'The List'!B1:I665,8,FALSE)</f>
        <v>105.25940782637491</v>
      </c>
      <c r="F362" s="54">
        <f>IF(Settings!$E$15="POINTS",E362-VLOOKUP(B$2,C1:E392,3,FALSE),J362)</f>
        <v>-249.31486200781092</v>
      </c>
      <c r="G362" s="54"/>
      <c r="H362" s="167">
        <f>RANK(I362,I3:I392)</f>
        <v>319</v>
      </c>
      <c r="I362" s="168">
        <f>VLOOKUP(A362,'Standard Deviations'!A1:C666,3,FALSE)</f>
        <v>-3.5761825910062117</v>
      </c>
      <c r="J362" s="168">
        <f>I362-VLOOKUP(B$2,H1:J392,2,FALSE)</f>
        <v>-8.4672724149637197</v>
      </c>
    </row>
    <row r="363" spans="1:10" ht="21.25" customHeight="1" x14ac:dyDescent="0.15">
      <c r="A363" s="9" t="s">
        <v>730</v>
      </c>
      <c r="B363" s="166" t="str">
        <f>VLOOKUP(A363,'The List'!B1:D665,3,FALSE)</f>
        <v>RW</v>
      </c>
      <c r="C363" s="68">
        <f>IF(Settings!$E$15="POINTS",RANK(E363,E3:E392),H363)</f>
        <v>361</v>
      </c>
      <c r="D363" s="65" t="str">
        <f>VLOOKUP(A363,'The List'!B1:F665,5,FALSE)</f>
        <v>WSH</v>
      </c>
      <c r="E363" s="54">
        <f>VLOOKUP(A363,'The List'!B1:I665,8,FALSE)</f>
        <v>104.64401330887074</v>
      </c>
      <c r="F363" s="54">
        <f>IF(Settings!$E$15="POINTS",E363-VLOOKUP(B$2,C1:E392,3,FALSE),J363)</f>
        <v>-249.93025652531509</v>
      </c>
      <c r="G363" s="54"/>
      <c r="H363" s="167">
        <f>RANK(I363,I3:I392)</f>
        <v>349</v>
      </c>
      <c r="I363" s="168">
        <f>VLOOKUP(A363,'Standard Deviations'!A1:C666,3,FALSE)</f>
        <v>-4.3237343191197191</v>
      </c>
      <c r="J363" s="168">
        <f>I363-VLOOKUP(B$2,H1:J392,2,FALSE)</f>
        <v>-9.2148241430772266</v>
      </c>
    </row>
    <row r="364" spans="1:10" ht="21.25" customHeight="1" x14ac:dyDescent="0.15">
      <c r="A364" s="9" t="s">
        <v>766</v>
      </c>
      <c r="B364" s="166" t="str">
        <f>VLOOKUP(A364,'The List'!B1:D665,3,FALSE)</f>
        <v>C</v>
      </c>
      <c r="C364" s="68">
        <f>IF(Settings!$E$15="POINTS",RANK(E364,E3:E392),H364)</f>
        <v>362</v>
      </c>
      <c r="D364" s="65" t="str">
        <f>VLOOKUP(A364,'The List'!B1:F665,5,FALSE)</f>
        <v>NYR</v>
      </c>
      <c r="E364" s="54">
        <f>VLOOKUP(A364,'The List'!B1:I665,8,FALSE)</f>
        <v>104.24650183325838</v>
      </c>
      <c r="F364" s="54">
        <f>IF(Settings!$E$15="POINTS",E364-VLOOKUP(B$2,C1:E392,3,FALSE),J364)</f>
        <v>-250.32776800092745</v>
      </c>
      <c r="G364" s="54"/>
      <c r="H364" s="167">
        <f>RANK(I364,I3:I392)</f>
        <v>331</v>
      </c>
      <c r="I364" s="168">
        <f>VLOOKUP(A364,'Standard Deviations'!A1:C666,3,FALSE)</f>
        <v>-3.7744264855989464</v>
      </c>
      <c r="J364" s="168">
        <f>I364-VLOOKUP(B$2,H1:J392,2,FALSE)</f>
        <v>-8.6655163095564554</v>
      </c>
    </row>
    <row r="365" spans="1:10" ht="21.25" customHeight="1" x14ac:dyDescent="0.15">
      <c r="A365" s="9" t="s">
        <v>767</v>
      </c>
      <c r="B365" s="166" t="str">
        <f>VLOOKUP(A365,'The List'!B1:D665,3,FALSE)</f>
        <v>C</v>
      </c>
      <c r="C365" s="68">
        <f>IF(Settings!$E$15="POINTS",RANK(E365,E3:E392),H365)</f>
        <v>363</v>
      </c>
      <c r="D365" s="65" t="str">
        <f>VLOOKUP(A365,'The List'!B1:F665,5,FALSE)</f>
        <v>BOS</v>
      </c>
      <c r="E365" s="54">
        <f>VLOOKUP(A365,'The List'!B1:I665,8,FALSE)</f>
        <v>104.06275003729064</v>
      </c>
      <c r="F365" s="54">
        <f>IF(Settings!$E$15="POINTS",E365-VLOOKUP(B$2,C1:E392,3,FALSE),J365)</f>
        <v>-250.51151979689519</v>
      </c>
      <c r="G365" s="54"/>
      <c r="H365" s="167">
        <f>RANK(I365,I3:I392)</f>
        <v>351</v>
      </c>
      <c r="I365" s="168">
        <f>VLOOKUP(A365,'Standard Deviations'!A1:C666,3,FALSE)</f>
        <v>-4.3738885344281559</v>
      </c>
      <c r="J365" s="168">
        <f>I365-VLOOKUP(B$2,H1:J392,2,FALSE)</f>
        <v>-9.2649783583856653</v>
      </c>
    </row>
    <row r="366" spans="1:10" ht="21.25" customHeight="1" x14ac:dyDescent="0.15">
      <c r="A366" s="9" t="s">
        <v>735</v>
      </c>
      <c r="B366" s="166" t="str">
        <f>VLOOKUP(A366,'The List'!B1:D665,3,FALSE)</f>
        <v>C/RW</v>
      </c>
      <c r="C366" s="68">
        <f>IF(Settings!$E$15="POINTS",RANK(E366,E3:E392),H366)</f>
        <v>364</v>
      </c>
      <c r="D366" s="65" t="str">
        <f>VLOOKUP(A366,'The List'!B1:F665,5,FALSE)</f>
        <v>BUF</v>
      </c>
      <c r="E366" s="54">
        <f>VLOOKUP(A366,'The List'!B1:I665,8,FALSE)</f>
        <v>103.64159898041099</v>
      </c>
      <c r="F366" s="54">
        <f>IF(Settings!$E$15="POINTS",E366-VLOOKUP(B$2,C1:E392,3,FALSE),J366)</f>
        <v>-250.93267085377482</v>
      </c>
      <c r="G366" s="54"/>
      <c r="H366" s="167">
        <f>RANK(I366,I3:I392)</f>
        <v>321</v>
      </c>
      <c r="I366" s="168">
        <f>VLOOKUP(A366,'Standard Deviations'!A1:C666,3,FALSE)</f>
        <v>-3.6392595927483846</v>
      </c>
      <c r="J366" s="168">
        <f>I366-VLOOKUP(B$2,H1:J392,2,FALSE)</f>
        <v>-8.5303494167058922</v>
      </c>
    </row>
    <row r="367" spans="1:10" ht="21.25" customHeight="1" x14ac:dyDescent="0.15">
      <c r="A367" s="9" t="s">
        <v>759</v>
      </c>
      <c r="B367" s="166" t="str">
        <f>VLOOKUP(A367,'The List'!B1:D665,3,FALSE)</f>
        <v>LW</v>
      </c>
      <c r="C367" s="68">
        <f>IF(Settings!$E$15="POINTS",RANK(E367,E3:E392),H367)</f>
        <v>365</v>
      </c>
      <c r="D367" s="65" t="str">
        <f>VLOOKUP(A367,'The List'!B1:F665,5,FALSE)</f>
        <v>WSH</v>
      </c>
      <c r="E367" s="54">
        <f>VLOOKUP(A367,'The List'!B1:I665,8,FALSE)</f>
        <v>103.52591536446353</v>
      </c>
      <c r="F367" s="54">
        <f>IF(Settings!$E$15="POINTS",E367-VLOOKUP(B$2,C1:E392,3,FALSE),J367)</f>
        <v>-251.04835446972231</v>
      </c>
      <c r="G367" s="54"/>
      <c r="H367" s="167">
        <f>RANK(I367,I3:I392)</f>
        <v>362</v>
      </c>
      <c r="I367" s="168">
        <f>VLOOKUP(A367,'Standard Deviations'!A1:C666,3,FALSE)</f>
        <v>-4.6908368263174891</v>
      </c>
      <c r="J367" s="168">
        <f>I367-VLOOKUP(B$2,H1:J392,2,FALSE)</f>
        <v>-9.5819266502749976</v>
      </c>
    </row>
    <row r="368" spans="1:10" ht="21.25" customHeight="1" x14ac:dyDescent="0.15">
      <c r="A368" s="9" t="s">
        <v>739</v>
      </c>
      <c r="B368" s="166" t="str">
        <f>VLOOKUP(A368,'The List'!B1:D665,3,FALSE)</f>
        <v>RW</v>
      </c>
      <c r="C368" s="68">
        <f>IF(Settings!$E$15="POINTS",RANK(E368,E3:E392),H368)</f>
        <v>366</v>
      </c>
      <c r="D368" s="65" t="str">
        <f>VLOOKUP(A368,'The List'!B1:F665,5,FALSE)</f>
        <v>NYI</v>
      </c>
      <c r="E368" s="54">
        <f>VLOOKUP(A368,'The List'!B1:I665,8,FALSE)</f>
        <v>102.40374049134741</v>
      </c>
      <c r="F368" s="54">
        <f>IF(Settings!$E$15="POINTS",E368-VLOOKUP(B$2,C1:E392,3,FALSE),J368)</f>
        <v>-252.17052934283842</v>
      </c>
      <c r="G368" s="54"/>
      <c r="H368" s="167">
        <f>RANK(I368,I3:I392)</f>
        <v>344</v>
      </c>
      <c r="I368" s="168">
        <f>VLOOKUP(A368,'Standard Deviations'!A1:C666,3,FALSE)</f>
        <v>-4.0087285205557048</v>
      </c>
      <c r="J368" s="168">
        <f>I368-VLOOKUP(B$2,H1:J392,2,FALSE)</f>
        <v>-8.8998183445132142</v>
      </c>
    </row>
    <row r="369" spans="1:10" ht="21.25" customHeight="1" x14ac:dyDescent="0.15">
      <c r="A369" s="9" t="s">
        <v>769</v>
      </c>
      <c r="B369" s="166" t="str">
        <f>VLOOKUP(A369,'The List'!B1:D665,3,FALSE)</f>
        <v>C</v>
      </c>
      <c r="C369" s="68">
        <f>IF(Settings!$E$15="POINTS",RANK(E369,E3:E392),H369)</f>
        <v>367</v>
      </c>
      <c r="D369" s="65" t="str">
        <f>VLOOKUP(A369,'The List'!B1:F665,5,FALSE)</f>
        <v>NSH</v>
      </c>
      <c r="E369" s="54">
        <f>VLOOKUP(A369,'The List'!B1:I665,8,FALSE)</f>
        <v>102.20542389518708</v>
      </c>
      <c r="F369" s="54">
        <f>IF(Settings!$E$15="POINTS",E369-VLOOKUP(B$2,C1:E392,3,FALSE),J369)</f>
        <v>-252.36884593899873</v>
      </c>
      <c r="G369" s="54"/>
      <c r="H369" s="167">
        <f>RANK(I369,I3:I392)</f>
        <v>332</v>
      </c>
      <c r="I369" s="168">
        <f>VLOOKUP(A369,'Standard Deviations'!A1:C666,3,FALSE)</f>
        <v>-3.7802716876733022</v>
      </c>
      <c r="J369" s="168">
        <f>I369-VLOOKUP(B$2,H1:J392,2,FALSE)</f>
        <v>-8.6713615116308098</v>
      </c>
    </row>
    <row r="370" spans="1:10" ht="21.25" customHeight="1" x14ac:dyDescent="0.15">
      <c r="A370" s="9" t="s">
        <v>772</v>
      </c>
      <c r="B370" s="166" t="str">
        <f>VLOOKUP(A370,'The List'!B1:D665,3,FALSE)</f>
        <v>C</v>
      </c>
      <c r="C370" s="68">
        <f>IF(Settings!$E$15="POINTS",RANK(E370,E3:E392),H370)</f>
        <v>368</v>
      </c>
      <c r="D370" s="65" t="str">
        <f>VLOOKUP(A370,'The List'!B1:F665,5,FALSE)</f>
        <v>S.J</v>
      </c>
      <c r="E370" s="54">
        <f>VLOOKUP(A370,'The List'!B1:I665,8,FALSE)</f>
        <v>100.71579800673562</v>
      </c>
      <c r="F370" s="54">
        <f>IF(Settings!$E$15="POINTS",E370-VLOOKUP(B$2,C1:E392,3,FALSE),J370)</f>
        <v>-253.85847182745022</v>
      </c>
      <c r="G370" s="54"/>
      <c r="H370" s="167">
        <f>RANK(I370,I3:I392)</f>
        <v>335</v>
      </c>
      <c r="I370" s="168">
        <f>VLOOKUP(A370,'Standard Deviations'!A1:C666,3,FALSE)</f>
        <v>-3.8205250827057706</v>
      </c>
      <c r="J370" s="168">
        <f>I370-VLOOKUP(B$2,H1:J392,2,FALSE)</f>
        <v>-8.7116149066632786</v>
      </c>
    </row>
    <row r="371" spans="1:10" ht="21.25" customHeight="1" x14ac:dyDescent="0.15">
      <c r="A371" s="9" t="s">
        <v>764</v>
      </c>
      <c r="B371" s="166" t="str">
        <f>VLOOKUP(A371,'The List'!B1:D665,3,FALSE)</f>
        <v>LW</v>
      </c>
      <c r="C371" s="68">
        <f>IF(Settings!$E$15="POINTS",RANK(E371,E3:E392),H371)</f>
        <v>369</v>
      </c>
      <c r="D371" s="65" t="str">
        <f>VLOOKUP(A371,'The List'!B1:F665,5,FALSE)</f>
        <v>FLA</v>
      </c>
      <c r="E371" s="54">
        <f>VLOOKUP(A371,'The List'!B1:I665,8,FALSE)</f>
        <v>97.887005838206335</v>
      </c>
      <c r="F371" s="54">
        <f>IF(Settings!$E$15="POINTS",E371-VLOOKUP(B$2,C1:E392,3,FALSE),J371)</f>
        <v>-256.68726399597949</v>
      </c>
      <c r="G371" s="54"/>
      <c r="H371" s="167">
        <f>RANK(I371,I3:I392)</f>
        <v>377</v>
      </c>
      <c r="I371" s="168">
        <f>VLOOKUP(A371,'Standard Deviations'!A1:C666,3,FALSE)</f>
        <v>-5.174829742049452</v>
      </c>
      <c r="J371" s="168">
        <f>I371-VLOOKUP(B$2,H1:J392,2,FALSE)</f>
        <v>-10.065919566006961</v>
      </c>
    </row>
    <row r="372" spans="1:10" ht="21.25" customHeight="1" x14ac:dyDescent="0.15">
      <c r="A372" s="9" t="s">
        <v>765</v>
      </c>
      <c r="B372" s="166" t="str">
        <f>VLOOKUP(A372,'The List'!B1:D665,3,FALSE)</f>
        <v>LW</v>
      </c>
      <c r="C372" s="68">
        <f>IF(Settings!$E$15="POINTS",RANK(E372,E3:E392),H372)</f>
        <v>370</v>
      </c>
      <c r="D372" s="65" t="str">
        <f>VLOOKUP(A372,'The List'!B1:F665,5,FALSE)</f>
        <v>ANA</v>
      </c>
      <c r="E372" s="54">
        <f>VLOOKUP(A372,'The List'!B1:I665,8,FALSE)</f>
        <v>96.315806075660461</v>
      </c>
      <c r="F372" s="54">
        <f>IF(Settings!$E$15="POINTS",E372-VLOOKUP(B$2,C1:E392,3,FALSE),J372)</f>
        <v>-258.25846375852535</v>
      </c>
      <c r="G372" s="54"/>
      <c r="H372" s="167">
        <f>RANK(I372,I3:I392)</f>
        <v>387</v>
      </c>
      <c r="I372" s="168">
        <f>VLOOKUP(A372,'Standard Deviations'!A1:C666,3,FALSE)</f>
        <v>-5.9338682737662252</v>
      </c>
      <c r="J372" s="168">
        <f>I372-VLOOKUP(B$2,H1:J392,2,FALSE)</f>
        <v>-10.824958097723734</v>
      </c>
    </row>
    <row r="373" spans="1:10" ht="21.25" customHeight="1" x14ac:dyDescent="0.15">
      <c r="A373" s="9" t="s">
        <v>777</v>
      </c>
      <c r="B373" s="166" t="str">
        <f>VLOOKUP(A373,'The List'!B1:D665,3,FALSE)</f>
        <v>C</v>
      </c>
      <c r="C373" s="68">
        <f>IF(Settings!$E$15="POINTS",RANK(E373,E3:E392),H373)</f>
        <v>371</v>
      </c>
      <c r="D373" s="65" t="str">
        <f>VLOOKUP(A373,'The List'!B1:F665,5,FALSE)</f>
        <v>NYI</v>
      </c>
      <c r="E373" s="54">
        <f>VLOOKUP(A373,'The List'!B1:I665,8,FALSE)</f>
        <v>95.637081008543902</v>
      </c>
      <c r="F373" s="54">
        <f>IF(Settings!$E$15="POINTS",E373-VLOOKUP(B$2,C1:E392,3,FALSE),J373)</f>
        <v>-258.9371888256419</v>
      </c>
      <c r="G373" s="54"/>
      <c r="H373" s="167">
        <f>RANK(I373,I3:I392)</f>
        <v>347</v>
      </c>
      <c r="I373" s="168">
        <f>VLOOKUP(A373,'Standard Deviations'!A1:C666,3,FALSE)</f>
        <v>-4.1910928386930877</v>
      </c>
      <c r="J373" s="168">
        <f>I373-VLOOKUP(B$2,H1:J392,2,FALSE)</f>
        <v>-9.0821826626505953</v>
      </c>
    </row>
    <row r="374" spans="1:10" ht="21.25" customHeight="1" x14ac:dyDescent="0.15">
      <c r="A374" s="9" t="s">
        <v>751</v>
      </c>
      <c r="B374" s="166" t="str">
        <f>VLOOKUP(A374,'The List'!B1:D665,3,FALSE)</f>
        <v>RW</v>
      </c>
      <c r="C374" s="68">
        <f>IF(Settings!$E$15="POINTS",RANK(E374,E3:E392),H374)</f>
        <v>372</v>
      </c>
      <c r="D374" s="65" t="str">
        <f>VLOOKUP(A374,'The List'!B1:F665,5,FALSE)</f>
        <v>BUF</v>
      </c>
      <c r="E374" s="54">
        <f>VLOOKUP(A374,'The List'!B1:I665,8,FALSE)</f>
        <v>95.603153539379846</v>
      </c>
      <c r="F374" s="54">
        <f>IF(Settings!$E$15="POINTS",E374-VLOOKUP(B$2,C1:E392,3,FALSE),J374)</f>
        <v>-258.971116294806</v>
      </c>
      <c r="G374" s="54"/>
      <c r="H374" s="167">
        <f>RANK(I374,I3:I392)</f>
        <v>374</v>
      </c>
      <c r="I374" s="168">
        <f>VLOOKUP(A374,'Standard Deviations'!A1:C666,3,FALSE)</f>
        <v>-4.947657465572318</v>
      </c>
      <c r="J374" s="168">
        <f>I374-VLOOKUP(B$2,H1:J392,2,FALSE)</f>
        <v>-9.8387472895298274</v>
      </c>
    </row>
    <row r="375" spans="1:10" ht="21.25" customHeight="1" x14ac:dyDescent="0.15">
      <c r="A375" s="9" t="s">
        <v>778</v>
      </c>
      <c r="B375" s="166" t="str">
        <f>VLOOKUP(A375,'The List'!B1:D665,3,FALSE)</f>
        <v>C</v>
      </c>
      <c r="C375" s="68">
        <f>IF(Settings!$E$15="POINTS",RANK(E375,E3:E392),H375)</f>
        <v>373</v>
      </c>
      <c r="D375" s="65" t="str">
        <f>VLOOKUP(A375,'The List'!B1:F665,5,FALSE)</f>
        <v>EDM</v>
      </c>
      <c r="E375" s="54">
        <f>VLOOKUP(A375,'The List'!B1:I665,8,FALSE)</f>
        <v>94.711593749008316</v>
      </c>
      <c r="F375" s="54">
        <f>IF(Settings!$E$15="POINTS",E375-VLOOKUP(B$2,C1:E392,3,FALSE),J375)</f>
        <v>-259.8626760851775</v>
      </c>
      <c r="G375" s="54"/>
      <c r="H375" s="167">
        <f>RANK(I375,I3:I392)</f>
        <v>314</v>
      </c>
      <c r="I375" s="168">
        <f>VLOOKUP(A375,'Standard Deviations'!A1:C666,3,FALSE)</f>
        <v>-3.4738996580694321</v>
      </c>
      <c r="J375" s="168">
        <f>I375-VLOOKUP(B$2,H1:J392,2,FALSE)</f>
        <v>-8.3649894820269406</v>
      </c>
    </row>
    <row r="376" spans="1:10" ht="21.25" customHeight="1" x14ac:dyDescent="0.15">
      <c r="A376" s="9" t="s">
        <v>770</v>
      </c>
      <c r="B376" s="166" t="str">
        <f>VLOOKUP(A376,'The List'!B1:D665,3,FALSE)</f>
        <v>LW</v>
      </c>
      <c r="C376" s="68">
        <f>IF(Settings!$E$15="POINTS",RANK(E376,E3:E392),H376)</f>
        <v>374</v>
      </c>
      <c r="D376" s="65" t="str">
        <f>VLOOKUP(A376,'The List'!B1:F665,5,FALSE)</f>
        <v>FLA</v>
      </c>
      <c r="E376" s="54">
        <f>VLOOKUP(A376,'The List'!B1:I665,8,FALSE)</f>
        <v>92.916488134122005</v>
      </c>
      <c r="F376" s="54">
        <f>IF(Settings!$E$15="POINTS",E376-VLOOKUP(B$2,C1:E392,3,FALSE),J376)</f>
        <v>-261.65778170006382</v>
      </c>
      <c r="G376" s="54"/>
      <c r="H376" s="167">
        <f>RANK(I376,I3:I392)</f>
        <v>357</v>
      </c>
      <c r="I376" s="168">
        <f>VLOOKUP(A376,'Standard Deviations'!A1:C666,3,FALSE)</f>
        <v>-4.5539973626474364</v>
      </c>
      <c r="J376" s="168">
        <f>I376-VLOOKUP(B$2,H1:J392,2,FALSE)</f>
        <v>-9.445087186604944</v>
      </c>
    </row>
    <row r="377" spans="1:10" ht="21.25" customHeight="1" x14ac:dyDescent="0.15">
      <c r="A377" s="9" t="s">
        <v>779</v>
      </c>
      <c r="B377" s="166" t="str">
        <f>VLOOKUP(A377,'The List'!B1:D665,3,FALSE)</f>
        <v>C</v>
      </c>
      <c r="C377" s="68">
        <f>IF(Settings!$E$15="POINTS",RANK(E377,E3:E392),H377)</f>
        <v>375</v>
      </c>
      <c r="D377" s="65" t="str">
        <f>VLOOKUP(A377,'The List'!B1:F665,5,FALSE)</f>
        <v>EDM</v>
      </c>
      <c r="E377" s="54">
        <f>VLOOKUP(A377,'The List'!B1:I665,8,FALSE)</f>
        <v>92.827182173744305</v>
      </c>
      <c r="F377" s="54">
        <f>IF(Settings!$E$15="POINTS",E377-VLOOKUP(B$2,C1:E392,3,FALSE),J377)</f>
        <v>-261.74708766044154</v>
      </c>
      <c r="G377" s="54"/>
      <c r="H377" s="167">
        <f>RANK(I377,I3:I392)</f>
        <v>309</v>
      </c>
      <c r="I377" s="168">
        <f>VLOOKUP(A377,'Standard Deviations'!A1:C666,3,FALSE)</f>
        <v>-3.3346211997034505</v>
      </c>
      <c r="J377" s="168">
        <f>I377-VLOOKUP(B$2,H1:J392,2,FALSE)</f>
        <v>-8.2257110236609599</v>
      </c>
    </row>
    <row r="378" spans="1:10" ht="21.25" customHeight="1" x14ac:dyDescent="0.15">
      <c r="A378" s="9" t="s">
        <v>771</v>
      </c>
      <c r="B378" s="166" t="str">
        <f>VLOOKUP(A378,'The List'!B1:D665,3,FALSE)</f>
        <v>LW</v>
      </c>
      <c r="C378" s="68">
        <f>IF(Settings!$E$15="POINTS",RANK(E378,E3:E392),H378)</f>
        <v>376</v>
      </c>
      <c r="D378" s="65" t="str">
        <f>VLOOKUP(A378,'The List'!B1:F665,5,FALSE)</f>
        <v>BOS</v>
      </c>
      <c r="E378" s="54">
        <f>VLOOKUP(A378,'The List'!B1:I665,8,FALSE)</f>
        <v>92.162181960716353</v>
      </c>
      <c r="F378" s="54">
        <f>IF(Settings!$E$15="POINTS",E378-VLOOKUP(B$2,C1:E392,3,FALSE),J378)</f>
        <v>-262.41208787346949</v>
      </c>
      <c r="G378" s="54"/>
      <c r="H378" s="167">
        <f>RANK(I378,I3:I392)</f>
        <v>388</v>
      </c>
      <c r="I378" s="168">
        <f>VLOOKUP(A378,'Standard Deviations'!A1:C666,3,FALSE)</f>
        <v>-6.1351110972197223</v>
      </c>
      <c r="J378" s="168">
        <f>I378-VLOOKUP(B$2,H1:J392,2,FALSE)</f>
        <v>-11.026200921177232</v>
      </c>
    </row>
    <row r="379" spans="1:10" ht="21.25" customHeight="1" x14ac:dyDescent="0.15">
      <c r="A379" s="9" t="s">
        <v>758</v>
      </c>
      <c r="B379" s="166" t="str">
        <f>VLOOKUP(A379,'The List'!B1:D665,3,FALSE)</f>
        <v>RW</v>
      </c>
      <c r="C379" s="68">
        <f>IF(Settings!$E$15="POINTS",RANK(E379,E3:E392),H379)</f>
        <v>377</v>
      </c>
      <c r="D379" s="65" t="str">
        <f>VLOOKUP(A379,'The List'!B1:F665,5,FALSE)</f>
        <v>EDM</v>
      </c>
      <c r="E379" s="54">
        <f>VLOOKUP(A379,'The List'!B1:I665,8,FALSE)</f>
        <v>91.721845872418371</v>
      </c>
      <c r="F379" s="54">
        <f>IF(Settings!$E$15="POINTS",E379-VLOOKUP(B$2,C1:E392,3,FALSE),J379)</f>
        <v>-262.85242396176744</v>
      </c>
      <c r="G379" s="54"/>
      <c r="H379" s="167">
        <f>RANK(I379,I3:I392)</f>
        <v>329</v>
      </c>
      <c r="I379" s="168">
        <f>VLOOKUP(A379,'Standard Deviations'!A1:C666,3,FALSE)</f>
        <v>-3.7678972185404196</v>
      </c>
      <c r="J379" s="168">
        <f>I379-VLOOKUP(B$2,H1:J392,2,FALSE)</f>
        <v>-8.6589870424979285</v>
      </c>
    </row>
    <row r="380" spans="1:10" ht="21.25" customHeight="1" x14ac:dyDescent="0.15">
      <c r="A380" s="9" t="s">
        <v>781</v>
      </c>
      <c r="B380" s="166" t="str">
        <f>VLOOKUP(A380,'The List'!B1:D665,3,FALSE)</f>
        <v>C</v>
      </c>
      <c r="C380" s="68">
        <f>IF(Settings!$E$15="POINTS",RANK(E380,E3:E392),H380)</f>
        <v>378</v>
      </c>
      <c r="D380" s="65" t="str">
        <f>VLOOKUP(A380,'The List'!B1:F665,5,FALSE)</f>
        <v>BOS</v>
      </c>
      <c r="E380" s="54">
        <f>VLOOKUP(A380,'The List'!B1:I665,8,FALSE)</f>
        <v>91.239625728764466</v>
      </c>
      <c r="F380" s="54">
        <f>IF(Settings!$E$15="POINTS",E380-VLOOKUP(B$2,C1:E392,3,FALSE),J380)</f>
        <v>-263.33464410542138</v>
      </c>
      <c r="G380" s="54"/>
      <c r="H380" s="167">
        <f>RANK(I380,I3:I392)</f>
        <v>352</v>
      </c>
      <c r="I380" s="168">
        <f>VLOOKUP(A380,'Standard Deviations'!A1:C666,3,FALSE)</f>
        <v>-4.3965794956576705</v>
      </c>
      <c r="J380" s="168">
        <f>I380-VLOOKUP(B$2,H1:J392,2,FALSE)</f>
        <v>-9.2876693196151798</v>
      </c>
    </row>
    <row r="381" spans="1:10" ht="21.25" customHeight="1" x14ac:dyDescent="0.15">
      <c r="A381" s="9" t="s">
        <v>761</v>
      </c>
      <c r="B381" s="166" t="str">
        <f>VLOOKUP(A381,'The List'!B1:D665,3,FALSE)</f>
        <v>RW</v>
      </c>
      <c r="C381" s="68">
        <f>IF(Settings!$E$15="POINTS",RANK(E381,E3:E392),H381)</f>
        <v>379</v>
      </c>
      <c r="D381" s="65" t="str">
        <f>VLOOKUP(A381,'The List'!B1:F665,5,FALSE)</f>
        <v>CBJ</v>
      </c>
      <c r="E381" s="54">
        <f>VLOOKUP(A381,'The List'!B1:I665,8,FALSE)</f>
        <v>90.829584684478633</v>
      </c>
      <c r="F381" s="54">
        <f>IF(Settings!$E$15="POINTS",E381-VLOOKUP(B$2,C1:E392,3,FALSE),J381)</f>
        <v>-263.74468514970721</v>
      </c>
      <c r="G381" s="54"/>
      <c r="H381" s="167">
        <f>RANK(I381,I3:I392)</f>
        <v>389</v>
      </c>
      <c r="I381" s="168">
        <f>VLOOKUP(A381,'Standard Deviations'!A1:C666,3,FALSE)</f>
        <v>-6.1714073919264605</v>
      </c>
      <c r="J381" s="168">
        <f>I381-VLOOKUP(B$2,H1:J392,2,FALSE)</f>
        <v>-11.062497215883969</v>
      </c>
    </row>
    <row r="382" spans="1:10" ht="21.25" customHeight="1" x14ac:dyDescent="0.15">
      <c r="A382" s="9" t="s">
        <v>774</v>
      </c>
      <c r="B382" s="166" t="str">
        <f>VLOOKUP(A382,'The List'!B1:D665,3,FALSE)</f>
        <v>LW</v>
      </c>
      <c r="C382" s="68">
        <f>IF(Settings!$E$15="POINTS",RANK(E382,E3:E392),H382)</f>
        <v>380</v>
      </c>
      <c r="D382" s="65" t="str">
        <f>VLOOKUP(A382,'The List'!B1:F665,5,FALSE)</f>
        <v>CGY</v>
      </c>
      <c r="E382" s="54">
        <f>VLOOKUP(A382,'The List'!B1:I665,8,FALSE)</f>
        <v>90.763433857421902</v>
      </c>
      <c r="F382" s="54">
        <f>IF(Settings!$E$15="POINTS",E382-VLOOKUP(B$2,C1:E392,3,FALSE),J382)</f>
        <v>-263.81083597676394</v>
      </c>
      <c r="G382" s="54"/>
      <c r="H382" s="167">
        <f>RANK(I382,I3:I392)</f>
        <v>339</v>
      </c>
      <c r="I382" s="168">
        <f>VLOOKUP(A382,'Standard Deviations'!A1:C666,3,FALSE)</f>
        <v>-3.8971607773328092</v>
      </c>
      <c r="J382" s="168">
        <f>I382-VLOOKUP(B$2,H1:J392,2,FALSE)</f>
        <v>-8.7882506012903185</v>
      </c>
    </row>
    <row r="383" spans="1:10" ht="21.25" customHeight="1" x14ac:dyDescent="0.15">
      <c r="A383" s="9" t="s">
        <v>784</v>
      </c>
      <c r="B383" s="166" t="str">
        <f>VLOOKUP(A383,'The List'!B1:D665,3,FALSE)</f>
        <v>C</v>
      </c>
      <c r="C383" s="68">
        <f>IF(Settings!$E$15="POINTS",RANK(E383,E3:E392),H383)</f>
        <v>381</v>
      </c>
      <c r="D383" s="65" t="str">
        <f>VLOOKUP(A383,'The List'!B1:F665,5,FALSE)</f>
        <v>T.B</v>
      </c>
      <c r="E383" s="54">
        <f>VLOOKUP(A383,'The List'!B1:I665,8,FALSE)</f>
        <v>86.579612310137406</v>
      </c>
      <c r="F383" s="54">
        <f>IF(Settings!$E$15="POINTS",E383-VLOOKUP(B$2,C1:E392,3,FALSE),J383)</f>
        <v>-267.99465752404842</v>
      </c>
      <c r="G383" s="54"/>
      <c r="H383" s="167">
        <f>RANK(I383,I3:I392)</f>
        <v>367</v>
      </c>
      <c r="I383" s="168">
        <f>VLOOKUP(A383,'Standard Deviations'!A1:C666,3,FALSE)</f>
        <v>-4.8544427310976959</v>
      </c>
      <c r="J383" s="168">
        <f>I383-VLOOKUP(B$2,H1:J392,2,FALSE)</f>
        <v>-9.7455325550552043</v>
      </c>
    </row>
    <row r="384" spans="1:10" ht="21.25" customHeight="1" x14ac:dyDescent="0.15">
      <c r="A384" s="9" t="s">
        <v>768</v>
      </c>
      <c r="B384" s="166" t="str">
        <f>VLOOKUP(A384,'The List'!B1:D665,3,FALSE)</f>
        <v>RW</v>
      </c>
      <c r="C384" s="68">
        <f>IF(Settings!$E$15="POINTS",RANK(E384,E3:E392),H384)</f>
        <v>382</v>
      </c>
      <c r="D384" s="65" t="str">
        <f>VLOOKUP(A384,'The List'!B1:F665,5,FALSE)</f>
        <v>T.B</v>
      </c>
      <c r="E384" s="54">
        <f>VLOOKUP(A384,'The List'!B1:I665,8,FALSE)</f>
        <v>81.548155923864257</v>
      </c>
      <c r="F384" s="54">
        <f>IF(Settings!$E$15="POINTS",E384-VLOOKUP(B$2,C1:E392,3,FALSE),J384)</f>
        <v>-273.02611391032156</v>
      </c>
      <c r="G384" s="54"/>
      <c r="H384" s="167">
        <f>RANK(I384,I3:I392)</f>
        <v>364</v>
      </c>
      <c r="I384" s="168">
        <f>VLOOKUP(A384,'Standard Deviations'!A1:C666,3,FALSE)</f>
        <v>-4.7887702341387017</v>
      </c>
      <c r="J384" s="168">
        <f>I384-VLOOKUP(B$2,H1:J392,2,FALSE)</f>
        <v>-9.6798600580962102</v>
      </c>
    </row>
    <row r="385" spans="1:10" ht="21.25" customHeight="1" x14ac:dyDescent="0.15">
      <c r="A385" s="9" t="s">
        <v>782</v>
      </c>
      <c r="B385" s="166" t="str">
        <f>VLOOKUP(A385,'The List'!B1:D665,3,FALSE)</f>
        <v>LW</v>
      </c>
      <c r="C385" s="68">
        <f>IF(Settings!$E$15="POINTS",RANK(E385,E3:E392),H385)</f>
        <v>383</v>
      </c>
      <c r="D385" s="65" t="str">
        <f>VLOOKUP(A385,'The List'!B1:F665,5,FALSE)</f>
        <v>CHI</v>
      </c>
      <c r="E385" s="54">
        <f>VLOOKUP(A385,'The List'!B1:I665,8,FALSE)</f>
        <v>81.475835608360939</v>
      </c>
      <c r="F385" s="54">
        <f>IF(Settings!$E$15="POINTS",E385-VLOOKUP(B$2,C1:E392,3,FALSE),J385)</f>
        <v>-273.09843422582492</v>
      </c>
      <c r="G385" s="54"/>
      <c r="H385" s="167">
        <f>RANK(I385,I3:I392)</f>
        <v>379</v>
      </c>
      <c r="I385" s="168">
        <f>VLOOKUP(A385,'Standard Deviations'!A1:C666,3,FALSE)</f>
        <v>-5.2397502356986978</v>
      </c>
      <c r="J385" s="168">
        <f>I385-VLOOKUP(B$2,H1:J392,2,FALSE)</f>
        <v>-10.130840059656206</v>
      </c>
    </row>
    <row r="386" spans="1:10" ht="21.25" customHeight="1" x14ac:dyDescent="0.15">
      <c r="A386" s="9" t="s">
        <v>786</v>
      </c>
      <c r="B386" s="166" t="str">
        <f>VLOOKUP(A386,'The List'!B1:D665,3,FALSE)</f>
        <v>C</v>
      </c>
      <c r="C386" s="68">
        <f>IF(Settings!$E$15="POINTS",RANK(E386,E3:E392),H386)</f>
        <v>384</v>
      </c>
      <c r="D386" s="65" t="str">
        <f>VLOOKUP(A386,'The List'!B1:F665,5,FALSE)</f>
        <v>MIN</v>
      </c>
      <c r="E386" s="54">
        <f>VLOOKUP(A386,'The List'!B1:I665,8,FALSE)</f>
        <v>79.98415085117567</v>
      </c>
      <c r="F386" s="54">
        <f>IF(Settings!$E$15="POINTS",E386-VLOOKUP(B$2,C1:E392,3,FALSE),J386)</f>
        <v>-274.59011898301014</v>
      </c>
      <c r="G386" s="54"/>
      <c r="H386" s="167">
        <f>RANK(I386,I3:I392)</f>
        <v>369</v>
      </c>
      <c r="I386" s="168">
        <f>VLOOKUP(A386,'Standard Deviations'!A1:C666,3,FALSE)</f>
        <v>-4.8621090346937184</v>
      </c>
      <c r="J386" s="168">
        <f>I386-VLOOKUP(B$2,H1:J392,2,FALSE)</f>
        <v>-9.7531988586512277</v>
      </c>
    </row>
    <row r="387" spans="1:10" ht="21.25" customHeight="1" x14ac:dyDescent="0.15">
      <c r="A387" s="9" t="s">
        <v>783</v>
      </c>
      <c r="B387" s="166" t="str">
        <f>VLOOKUP(A387,'The List'!B1:D665,3,FALSE)</f>
        <v>LW</v>
      </c>
      <c r="C387" s="68">
        <f>IF(Settings!$E$15="POINTS",RANK(E387,E3:E392),H387)</f>
        <v>385</v>
      </c>
      <c r="D387" s="65" t="str">
        <f>VLOOKUP(A387,'The List'!B1:F665,5,FALSE)</f>
        <v>COL</v>
      </c>
      <c r="E387" s="54">
        <f>VLOOKUP(A387,'The List'!B1:I665,8,FALSE)</f>
        <v>79.586211178357658</v>
      </c>
      <c r="F387" s="54">
        <f>IF(Settings!$E$15="POINTS",E387-VLOOKUP(B$2,C1:E392,3,FALSE),J387)</f>
        <v>-274.98805865582818</v>
      </c>
      <c r="G387" s="54"/>
      <c r="H387" s="167">
        <f>RANK(I387,I3:I392)</f>
        <v>361</v>
      </c>
      <c r="I387" s="168">
        <f>VLOOKUP(A387,'Standard Deviations'!A1:C666,3,FALSE)</f>
        <v>-4.6641932456339621</v>
      </c>
      <c r="J387" s="168">
        <f>I387-VLOOKUP(B$2,H1:J392,2,FALSE)</f>
        <v>-9.5552830695914714</v>
      </c>
    </row>
    <row r="388" spans="1:10" ht="21.25" customHeight="1" x14ac:dyDescent="0.15">
      <c r="A388" s="9" t="s">
        <v>787</v>
      </c>
      <c r="B388" s="166" t="str">
        <f>VLOOKUP(A388,'The List'!B1:D665,3,FALSE)</f>
        <v>C</v>
      </c>
      <c r="C388" s="68">
        <f>IF(Settings!$E$15="POINTS",RANK(E388,E3:E392),H388)</f>
        <v>386</v>
      </c>
      <c r="D388" s="65" t="str">
        <f>VLOOKUP(A388,'The List'!B1:F665,5,FALSE)</f>
        <v>WPG</v>
      </c>
      <c r="E388" s="54">
        <f>VLOOKUP(A388,'The List'!B1:I665,8,FALSE)</f>
        <v>77.204162659927093</v>
      </c>
      <c r="F388" s="54">
        <f>IF(Settings!$E$15="POINTS",E388-VLOOKUP(B$2,C1:E392,3,FALSE),J388)</f>
        <v>-277.37010717425875</v>
      </c>
      <c r="G388" s="54"/>
      <c r="H388" s="167">
        <f>RANK(I388,I3:I392)</f>
        <v>366</v>
      </c>
      <c r="I388" s="168">
        <f>VLOOKUP(A388,'Standard Deviations'!A1:C666,3,FALSE)</f>
        <v>-4.8413516308268427</v>
      </c>
      <c r="J388" s="168">
        <f>I388-VLOOKUP(B$2,H1:J392,2,FALSE)</f>
        <v>-9.7324414547843503</v>
      </c>
    </row>
    <row r="389" spans="1:10" ht="21.25" customHeight="1" x14ac:dyDescent="0.15">
      <c r="A389" s="9" t="s">
        <v>785</v>
      </c>
      <c r="B389" s="166" t="str">
        <f>VLOOKUP(A389,'The List'!B1:D665,3,FALSE)</f>
        <v>C/LW</v>
      </c>
      <c r="C389" s="68">
        <f>IF(Settings!$E$15="POINTS",RANK(E389,E3:E392),H389)</f>
        <v>387</v>
      </c>
      <c r="D389" s="65" t="str">
        <f>VLOOKUP(A389,'The List'!B1:F665,5,FALSE)</f>
        <v>CGY</v>
      </c>
      <c r="E389" s="54">
        <f>VLOOKUP(A389,'The List'!B1:I665,8,FALSE)</f>
        <v>75.982210681361281</v>
      </c>
      <c r="F389" s="54">
        <f>IF(Settings!$E$15="POINTS",E389-VLOOKUP(B$2,C1:E392,3,FALSE),J389)</f>
        <v>-278.59205915282456</v>
      </c>
      <c r="G389" s="54"/>
      <c r="H389" s="167">
        <f>RANK(I389,I3:I392)</f>
        <v>384</v>
      </c>
      <c r="I389" s="168">
        <f>VLOOKUP(A389,'Standard Deviations'!A1:C666,3,FALSE)</f>
        <v>-5.6626339880687961</v>
      </c>
      <c r="J389" s="168">
        <f>I389-VLOOKUP(B$2,H1:J392,2,FALSE)</f>
        <v>-10.553723812026305</v>
      </c>
    </row>
    <row r="390" spans="1:10" ht="21.25" customHeight="1" x14ac:dyDescent="0.15">
      <c r="A390" s="9" t="s">
        <v>788</v>
      </c>
      <c r="B390" s="166" t="str">
        <f>VLOOKUP(A390,'The List'!B1:D665,3,FALSE)</f>
        <v>LW</v>
      </c>
      <c r="C390" s="68">
        <f>IF(Settings!$E$15="POINTS",RANK(E390,E3:E392),H390)</f>
        <v>388</v>
      </c>
      <c r="D390" s="65" t="str">
        <f>VLOOKUP(A390,'The List'!B1:F665,5,FALSE)</f>
        <v>FLA</v>
      </c>
      <c r="E390" s="54">
        <f>VLOOKUP(A390,'The List'!B1:I665,8,FALSE)</f>
        <v>66.334555102611958</v>
      </c>
      <c r="F390" s="54">
        <f>IF(Settings!$E$15="POINTS",E390-VLOOKUP(B$2,C1:E392,3,FALSE),J390)</f>
        <v>-288.23971473157388</v>
      </c>
      <c r="G390" s="54"/>
      <c r="H390" s="167">
        <f>RANK(I390,I3:I392)</f>
        <v>368</v>
      </c>
      <c r="I390" s="168">
        <f>VLOOKUP(A390,'Standard Deviations'!A1:C666,3,FALSE)</f>
        <v>-4.8567492780533463</v>
      </c>
      <c r="J390" s="168">
        <f>I390-VLOOKUP(B$2,H1:J392,2,FALSE)</f>
        <v>-9.7478391020108539</v>
      </c>
    </row>
    <row r="391" spans="1:10" ht="21.25" customHeight="1" x14ac:dyDescent="0.15">
      <c r="A391" s="9" t="s">
        <v>789</v>
      </c>
      <c r="B391" s="166" t="str">
        <f>VLOOKUP(A391,'The List'!B1:D665,3,FALSE)</f>
        <v>C</v>
      </c>
      <c r="C391" s="68">
        <f>IF(Settings!$E$15="POINTS",RANK(E391,E3:E392),H391)</f>
        <v>389</v>
      </c>
      <c r="D391" s="65" t="str">
        <f>VLOOKUP(A391,'The List'!B1:F665,5,FALSE)</f>
        <v>OTT</v>
      </c>
      <c r="E391" s="54">
        <f>VLOOKUP(A391,'The List'!B1:I665,8,FALSE)</f>
        <v>53.782215603996562</v>
      </c>
      <c r="F391" s="54">
        <f>IF(Settings!$E$15="POINTS",E391-VLOOKUP(B$2,C1:E392,3,FALSE),J391)</f>
        <v>-300.79205423018925</v>
      </c>
      <c r="G391" s="54"/>
      <c r="H391" s="167">
        <f>RANK(I391,I3:I392)</f>
        <v>390</v>
      </c>
      <c r="I391" s="168">
        <f>VLOOKUP(A391,'Standard Deviations'!A1:C666,3,FALSE)</f>
        <v>-6.1856427195526154</v>
      </c>
      <c r="J391" s="168">
        <f>I391-VLOOKUP(B$2,H1:J392,2,FALSE)</f>
        <v>-11.076732543510124</v>
      </c>
    </row>
    <row r="392" spans="1:10" ht="21.25" customHeight="1" x14ac:dyDescent="0.15">
      <c r="A392" s="9" t="s">
        <v>790</v>
      </c>
      <c r="B392" s="166" t="str">
        <f>VLOOKUP(A392,'The List'!B1:D665,3,FALSE)</f>
        <v>C</v>
      </c>
      <c r="C392" s="68">
        <f>IF(Settings!$E$15="POINTS",RANK(E392,E3:E392),H392)</f>
        <v>390</v>
      </c>
      <c r="D392" s="65" t="str">
        <f>VLOOKUP(A392,'The List'!B1:F665,5,FALSE)</f>
        <v>NYR</v>
      </c>
      <c r="E392" s="54">
        <f>VLOOKUP(A392,'The List'!B1:I665,8,FALSE)</f>
        <v>49.168334437497244</v>
      </c>
      <c r="F392" s="54">
        <f>IF(Settings!$E$15="POINTS",E392-VLOOKUP(B$2,C1:E392,3,FALSE),J392)</f>
        <v>-305.40593539668856</v>
      </c>
      <c r="G392" s="54"/>
      <c r="H392" s="167">
        <f>RANK(I392,I3:I392)</f>
        <v>383</v>
      </c>
      <c r="I392" s="168">
        <f>VLOOKUP(A392,'Standard Deviations'!A1:C666,3,FALSE)</f>
        <v>-5.4856967565931924</v>
      </c>
      <c r="J392" s="168">
        <f>I392-VLOOKUP(B$2,H1:J392,2,FALSE)</f>
        <v>-10.3767865805507</v>
      </c>
    </row>
  </sheetData>
  <conditionalFormatting sqref="C3:C392 H3:H392">
    <cfRule type="containsText" dxfId="35" priority="1" stopIfTrue="1" operator="containsText" text="/">
      <formula>NOT(ISERROR(FIND(UPPER("/"),UPPER(C3))))</formula>
      <formula>"/"</formula>
    </cfRule>
    <cfRule type="containsText" dxfId="34" priority="2" stopIfTrue="1" operator="containsText" text="C">
      <formula>NOT(ISERROR(FIND(UPPER("C"),UPPER(C3))))</formula>
      <formula>"C"</formula>
    </cfRule>
    <cfRule type="containsText" dxfId="33" priority="3" stopIfTrue="1" operator="containsText" text="D">
      <formula>NOT(ISERROR(FIND(UPPER("D"),UPPER(C3))))</formula>
      <formula>"D"</formula>
    </cfRule>
    <cfRule type="containsText" dxfId="32" priority="4" stopIfTrue="1" operator="containsText" text="LW">
      <formula>NOT(ISERROR(FIND(UPPER("LW"),UPPER(C3))))</formula>
      <formula>"LW"</formula>
    </cfRule>
    <cfRule type="containsText" dxfId="31" priority="5" stopIfTrue="1" operator="containsText" text="RW">
      <formula>NOT(ISERROR(FIND(UPPER("RW"),UPPER(C3))))</formula>
      <formula>"RW"</formula>
    </cfRule>
    <cfRule type="containsText" dxfId="30" priority="6" stopIfTrue="1" operator="containsText" text="G">
      <formula>NOT(ISERROR(FIND(UPPER("G"),UPPER(C3))))</formula>
      <formula>"G"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06"/>
  <sheetViews>
    <sheetView showGridLines="0" workbookViewId="0">
      <pane ySplit="2" topLeftCell="A3" activePane="bottomLeft" state="frozen"/>
      <selection pane="bottomLeft"/>
    </sheetView>
  </sheetViews>
  <sheetFormatPr baseColWidth="10" defaultColWidth="8" defaultRowHeight="16.25" customHeight="1" x14ac:dyDescent="0.15"/>
  <cols>
    <col min="1" max="1" width="33" style="1" customWidth="1"/>
    <col min="2" max="2" width="7.1640625" style="1" customWidth="1"/>
    <col min="3" max="3" width="6" style="1" customWidth="1"/>
    <col min="4" max="6" width="8.33203125" style="1" customWidth="1"/>
    <col min="7" max="10" width="1.33203125" style="1" customWidth="1"/>
    <col min="11" max="11" width="8" style="1" customWidth="1"/>
    <col min="12" max="16384" width="8" style="1"/>
  </cols>
  <sheetData>
    <row r="1" spans="1:10" ht="28.25" customHeight="1" x14ac:dyDescent="0.15">
      <c r="A1" s="151" t="s">
        <v>811</v>
      </c>
      <c r="B1" s="152" t="s">
        <v>815</v>
      </c>
      <c r="C1" s="153"/>
      <c r="D1" s="4" t="s">
        <v>12</v>
      </c>
      <c r="E1" s="154" t="s">
        <v>813</v>
      </c>
      <c r="F1" s="152" t="s">
        <v>97</v>
      </c>
      <c r="G1" s="155"/>
      <c r="H1" s="156"/>
      <c r="I1" s="157" t="s">
        <v>814</v>
      </c>
      <c r="J1" s="158" t="s">
        <v>97</v>
      </c>
    </row>
    <row r="2" spans="1:10" ht="28.25" customHeight="1" x14ac:dyDescent="0.15">
      <c r="A2" s="159" t="s">
        <v>61</v>
      </c>
      <c r="B2" s="160">
        <f>Settings!F2</f>
        <v>23</v>
      </c>
      <c r="C2" s="161"/>
      <c r="D2" s="162"/>
      <c r="E2" s="163"/>
      <c r="F2" s="163"/>
      <c r="G2" s="163"/>
      <c r="H2" s="169"/>
      <c r="I2" s="165"/>
      <c r="J2" s="170"/>
    </row>
    <row r="3" spans="1:10" ht="21.25" customHeight="1" x14ac:dyDescent="0.15">
      <c r="A3" s="9" t="s">
        <v>128</v>
      </c>
      <c r="B3" s="88" t="str">
        <f>VLOOKUP(A3,'The List'!B1:D665,3,FALSE)</f>
        <v>C</v>
      </c>
      <c r="C3" s="89">
        <f>IF(Settings!$E$15="POINTS",RANK(E3,E3:E206),H3)</f>
        <v>2</v>
      </c>
      <c r="D3" s="65" t="str">
        <f>VLOOKUP(A3,'The List'!B1:F665,5,FALSE)</f>
        <v>COL</v>
      </c>
      <c r="E3" s="54">
        <f>VLOOKUP(A3,'The List'!B1:I665,8,FALSE)</f>
        <v>633.85481742612023</v>
      </c>
      <c r="F3" s="54">
        <f>IF(Settings!$E$15="POINTS",E3-VLOOKUP(B$2,C1:E206,3,FALSE),J3)</f>
        <v>243.91765964803915</v>
      </c>
      <c r="G3" s="54"/>
      <c r="H3" s="171">
        <f>RANK(I3,I3:I206)</f>
        <v>3</v>
      </c>
      <c r="I3" s="168">
        <f>VLOOKUP(A3,'Standard Deviations'!A1:C666,3,FALSE)</f>
        <v>16.239106125557399</v>
      </c>
      <c r="J3" s="172">
        <f>I3-VLOOKUP(B$2,H1:J206,2,FALSE)</f>
        <v>9.5549041713049121</v>
      </c>
    </row>
    <row r="4" spans="1:10" ht="21.25" customHeight="1" x14ac:dyDescent="0.15">
      <c r="A4" s="9" t="s">
        <v>126</v>
      </c>
      <c r="B4" s="88" t="str">
        <f>VLOOKUP(A4,'The List'!B1:D665,3,FALSE)</f>
        <v>C</v>
      </c>
      <c r="C4" s="89">
        <f>IF(Settings!$E$15="POINTS",RANK(E4,E3:E206),H4)</f>
        <v>1</v>
      </c>
      <c r="D4" s="65" t="str">
        <f>VLOOKUP(A4,'The List'!B1:F665,5,FALSE)</f>
        <v>EDM</v>
      </c>
      <c r="E4" s="54">
        <f>VLOOKUP(A4,'The List'!B1:I665,8,FALSE)</f>
        <v>644.15091122653416</v>
      </c>
      <c r="F4" s="54">
        <f>IF(Settings!$E$15="POINTS",E4-VLOOKUP(B$2,C1:E206,3,FALSE),J4)</f>
        <v>254.21375344845308</v>
      </c>
      <c r="G4" s="54"/>
      <c r="H4" s="167">
        <f>RANK(I4,I3:I206)</f>
        <v>1</v>
      </c>
      <c r="I4" s="168">
        <f>VLOOKUP(A4,'Standard Deviations'!A1:C666,3,FALSE)</f>
        <v>17.888068165152962</v>
      </c>
      <c r="J4" s="168">
        <f>I4-VLOOKUP(B$2,H1:J206,2,FALSE)</f>
        <v>11.203866210900475</v>
      </c>
    </row>
    <row r="5" spans="1:10" ht="21.25" customHeight="1" x14ac:dyDescent="0.15">
      <c r="A5" s="9" t="s">
        <v>130</v>
      </c>
      <c r="B5" s="88" t="str">
        <f>VLOOKUP(A5,'The List'!B1:D665,3,FALSE)</f>
        <v>C</v>
      </c>
      <c r="C5" s="89">
        <f>IF(Settings!$E$15="POINTS",RANK(E5,E3:E206),H5)</f>
        <v>3</v>
      </c>
      <c r="D5" s="65" t="str">
        <f>VLOOKUP(A5,'The List'!B1:F665,5,FALSE)</f>
        <v>TOR</v>
      </c>
      <c r="E5" s="54">
        <f>VLOOKUP(A5,'The List'!B1:I665,8,FALSE)</f>
        <v>590.92529310993802</v>
      </c>
      <c r="F5" s="54">
        <f>IF(Settings!$E$15="POINTS",E5-VLOOKUP(B$2,C1:E206,3,FALSE),J5)</f>
        <v>200.98813533185694</v>
      </c>
      <c r="G5" s="54"/>
      <c r="H5" s="167">
        <f>RANK(I5,I3:I206)</f>
        <v>2</v>
      </c>
      <c r="I5" s="168">
        <f>VLOOKUP(A5,'Standard Deviations'!A1:C666,3,FALSE)</f>
        <v>16.277820896125142</v>
      </c>
      <c r="J5" s="168">
        <f>I5-VLOOKUP(B$2,H1:J206,2,FALSE)</f>
        <v>9.5936189418726556</v>
      </c>
    </row>
    <row r="6" spans="1:10" ht="21.25" customHeight="1" x14ac:dyDescent="0.15">
      <c r="A6" s="9" t="s">
        <v>136</v>
      </c>
      <c r="B6" s="88" t="str">
        <f>VLOOKUP(A6,'The List'!B1:D665,3,FALSE)</f>
        <v>C/LW</v>
      </c>
      <c r="C6" s="89">
        <f>IF(Settings!$E$15="POINTS",RANK(E6,E3:E206),H6)</f>
        <v>5</v>
      </c>
      <c r="D6" s="65" t="str">
        <f>VLOOKUP(A6,'The List'!B1:F665,5,FALSE)</f>
        <v>N.J</v>
      </c>
      <c r="E6" s="54">
        <f>VLOOKUP(A6,'The List'!B1:I665,8,FALSE)</f>
        <v>514.64801766830919</v>
      </c>
      <c r="F6" s="54">
        <f>IF(Settings!$E$15="POINTS",E6-VLOOKUP(B$2,C1:E206,3,FALSE),J6)</f>
        <v>124.71085989022811</v>
      </c>
      <c r="G6" s="54"/>
      <c r="H6" s="167">
        <f>RANK(I6,I3:I206)</f>
        <v>5</v>
      </c>
      <c r="I6" s="168">
        <f>VLOOKUP(A6,'Standard Deviations'!A1:C666,3,FALSE)</f>
        <v>11.225703568963125</v>
      </c>
      <c r="J6" s="168">
        <f>I6-VLOOKUP(B$2,H1:J206,2,FALSE)</f>
        <v>4.5415016147106382</v>
      </c>
    </row>
    <row r="7" spans="1:10" ht="21.25" customHeight="1" x14ac:dyDescent="0.15">
      <c r="A7" s="9" t="s">
        <v>134</v>
      </c>
      <c r="B7" s="88" t="str">
        <f>VLOOKUP(A7,'The List'!B1:D665,3,FALSE)</f>
        <v>C/LW</v>
      </c>
      <c r="C7" s="89">
        <f>IF(Settings!$E$15="POINTS",RANK(E7,E3:E206),H7)</f>
        <v>4</v>
      </c>
      <c r="D7" s="65" t="str">
        <f>VLOOKUP(A7,'The List'!B1:F665,5,FALSE)</f>
        <v>EDM</v>
      </c>
      <c r="E7" s="54">
        <f>VLOOKUP(A7,'The List'!B1:I665,8,FALSE)</f>
        <v>522.89410971384734</v>
      </c>
      <c r="F7" s="54">
        <f>IF(Settings!$E$15="POINTS",E7-VLOOKUP(B$2,C1:E206,3,FALSE),J7)</f>
        <v>132.95695193576626</v>
      </c>
      <c r="G7" s="54"/>
      <c r="H7" s="167">
        <f>RANK(I7,I3:I206)</f>
        <v>4</v>
      </c>
      <c r="I7" s="168">
        <f>VLOOKUP(A7,'Standard Deviations'!A1:C666,3,FALSE)</f>
        <v>13.253488404848339</v>
      </c>
      <c r="J7" s="168">
        <f>I7-VLOOKUP(B$2,H1:J206,2,FALSE)</f>
        <v>6.5692864505958521</v>
      </c>
    </row>
    <row r="8" spans="1:10" ht="21.25" customHeight="1" x14ac:dyDescent="0.15">
      <c r="A8" s="9" t="s">
        <v>165</v>
      </c>
      <c r="B8" s="88" t="str">
        <f>VLOOKUP(A8,'The List'!B1:D665,3,FALSE)</f>
        <v>C</v>
      </c>
      <c r="C8" s="89">
        <f>IF(Settings!$E$15="POINTS",RANK(E8,E3:E206),H8)</f>
        <v>9</v>
      </c>
      <c r="D8" s="65" t="str">
        <f>VLOOKUP(A8,'The List'!B1:F665,5,FALSE)</f>
        <v>VGK</v>
      </c>
      <c r="E8" s="54">
        <f>VLOOKUP(A8,'The List'!B1:I665,8,FALSE)</f>
        <v>427.26826768711794</v>
      </c>
      <c r="F8" s="54">
        <f>IF(Settings!$E$15="POINTS",E8-VLOOKUP(B$2,C1:E206,3,FALSE),J8)</f>
        <v>37.331109909036854</v>
      </c>
      <c r="G8" s="54"/>
      <c r="H8" s="167">
        <f>RANK(I8,I3:I206)</f>
        <v>11</v>
      </c>
      <c r="I8" s="168">
        <f>VLOOKUP(A8,'Standard Deviations'!A1:C666,3,FALSE)</f>
        <v>7.9814265932078605</v>
      </c>
      <c r="J8" s="168">
        <f>I8-VLOOKUP(B$2,H1:J206,2,FALSE)</f>
        <v>1.2972246389553739</v>
      </c>
    </row>
    <row r="9" spans="1:10" ht="21.25" customHeight="1" x14ac:dyDescent="0.15">
      <c r="A9" s="9" t="s">
        <v>145</v>
      </c>
      <c r="B9" s="88" t="str">
        <f>VLOOKUP(A9,'The List'!B1:D665,3,FALSE)</f>
        <v>C/LW</v>
      </c>
      <c r="C9" s="89">
        <f>IF(Settings!$E$15="POINTS",RANK(E9,E3:E206),H9)</f>
        <v>6</v>
      </c>
      <c r="D9" s="65" t="str">
        <f>VLOOKUP(A9,'The List'!B1:F665,5,FALSE)</f>
        <v>VAN</v>
      </c>
      <c r="E9" s="54">
        <f>VLOOKUP(A9,'The List'!B1:I665,8,FALSE)</f>
        <v>465.2759484324917</v>
      </c>
      <c r="F9" s="54">
        <f>IF(Settings!$E$15="POINTS",E9-VLOOKUP(B$2,C1:E206,3,FALSE),J9)</f>
        <v>75.338790654410616</v>
      </c>
      <c r="G9" s="54"/>
      <c r="H9" s="167">
        <f>RANK(I9,I3:I206)</f>
        <v>6</v>
      </c>
      <c r="I9" s="168">
        <f>VLOOKUP(A9,'Standard Deviations'!A1:C666,3,FALSE)</f>
        <v>10.110560946184403</v>
      </c>
      <c r="J9" s="168">
        <f>I9-VLOOKUP(B$2,H1:J206,2,FALSE)</f>
        <v>3.4263589919319166</v>
      </c>
    </row>
    <row r="10" spans="1:10" ht="21.25" customHeight="1" x14ac:dyDescent="0.15">
      <c r="A10" s="9" t="s">
        <v>152</v>
      </c>
      <c r="B10" s="88" t="str">
        <f>VLOOKUP(A10,'The List'!B1:D665,3,FALSE)</f>
        <v>C</v>
      </c>
      <c r="C10" s="89">
        <f>IF(Settings!$E$15="POINTS",RANK(E10,E3:E206),H10)</f>
        <v>7</v>
      </c>
      <c r="D10" s="65" t="str">
        <f>VLOOKUP(A10,'The List'!B1:F665,5,FALSE)</f>
        <v>PIT</v>
      </c>
      <c r="E10" s="54">
        <f>VLOOKUP(A10,'The List'!B1:I665,8,FALSE)</f>
        <v>450.62525704584908</v>
      </c>
      <c r="F10" s="54">
        <f>IF(Settings!$E$15="POINTS",E10-VLOOKUP(B$2,C1:E206,3,FALSE),J10)</f>
        <v>60.688099267767996</v>
      </c>
      <c r="G10" s="54"/>
      <c r="H10" s="167">
        <f>RANK(I10,I3:I206)</f>
        <v>9</v>
      </c>
      <c r="I10" s="168">
        <f>VLOOKUP(A10,'Standard Deviations'!A1:C666,3,FALSE)</f>
        <v>8.4359114711429992</v>
      </c>
      <c r="J10" s="168">
        <f>I10-VLOOKUP(B$2,H1:J206,2,FALSE)</f>
        <v>1.7517095168905126</v>
      </c>
    </row>
    <row r="11" spans="1:10" ht="21.25" customHeight="1" x14ac:dyDescent="0.15">
      <c r="A11" s="9" t="s">
        <v>177</v>
      </c>
      <c r="B11" s="88" t="str">
        <f>VLOOKUP(A11,'The List'!B1:D665,3,FALSE)</f>
        <v>C</v>
      </c>
      <c r="C11" s="89">
        <f>IF(Settings!$E$15="POINTS",RANK(E11,E3:E206),H11)</f>
        <v>15</v>
      </c>
      <c r="D11" s="65" t="str">
        <f>VLOOKUP(A11,'The List'!B1:F665,5,FALSE)</f>
        <v>CHI</v>
      </c>
      <c r="E11" s="54">
        <f>VLOOKUP(A11,'The List'!B1:I665,8,FALSE)</f>
        <v>413.63302623264298</v>
      </c>
      <c r="F11" s="54">
        <f>IF(Settings!$E$15="POINTS",E11-VLOOKUP(B$2,C1:E206,3,FALSE),J11)</f>
        <v>23.695868454561889</v>
      </c>
      <c r="G11" s="54"/>
      <c r="H11" s="167">
        <f>RANK(I11,I3:I206)</f>
        <v>41</v>
      </c>
      <c r="I11" s="168">
        <f>VLOOKUP(A11,'Standard Deviations'!A1:C666,3,FALSE)</f>
        <v>4.4746587558515367</v>
      </c>
      <c r="J11" s="168">
        <f>I11-VLOOKUP(B$2,H1:J206,2,FALSE)</f>
        <v>-2.2095431984009499</v>
      </c>
    </row>
    <row r="12" spans="1:10" ht="21.25" customHeight="1" x14ac:dyDescent="0.15">
      <c r="A12" s="9" t="s">
        <v>154</v>
      </c>
      <c r="B12" s="88" t="str">
        <f>VLOOKUP(A12,'The List'!B1:D665,3,FALSE)</f>
        <v>C/RW</v>
      </c>
      <c r="C12" s="89">
        <f>IF(Settings!$E$15="POINTS",RANK(E12,E3:E206),H12)</f>
        <v>8</v>
      </c>
      <c r="D12" s="65" t="str">
        <f>VLOOKUP(A12,'The List'!B1:F665,5,FALSE)</f>
        <v>BUF</v>
      </c>
      <c r="E12" s="54">
        <f>VLOOKUP(A12,'The List'!B1:I665,8,FALSE)</f>
        <v>427.87655378659758</v>
      </c>
      <c r="F12" s="54">
        <f>IF(Settings!$E$15="POINTS",E12-VLOOKUP(B$2,C1:E206,3,FALSE),J12)</f>
        <v>37.939396008516496</v>
      </c>
      <c r="G12" s="54"/>
      <c r="H12" s="167">
        <f>RANK(I12,I3:I206)</f>
        <v>16</v>
      </c>
      <c r="I12" s="168">
        <f>VLOOKUP(A12,'Standard Deviations'!A1:C666,3,FALSE)</f>
        <v>7.5017759379738926</v>
      </c>
      <c r="J12" s="168">
        <f>I12-VLOOKUP(B$2,H1:J206,2,FALSE)</f>
        <v>0.81757398372140599</v>
      </c>
    </row>
    <row r="13" spans="1:10" ht="21.25" customHeight="1" x14ac:dyDescent="0.15">
      <c r="A13" s="9" t="s">
        <v>174</v>
      </c>
      <c r="B13" s="88" t="str">
        <f>VLOOKUP(A13,'The List'!B1:D665,3,FALSE)</f>
        <v>C</v>
      </c>
      <c r="C13" s="89">
        <f>IF(Settings!$E$15="POINTS",RANK(E13,E3:E206),H13)</f>
        <v>14</v>
      </c>
      <c r="D13" s="65" t="str">
        <f>VLOOKUP(A13,'The List'!B1:F665,5,FALSE)</f>
        <v>FLA</v>
      </c>
      <c r="E13" s="54">
        <f>VLOOKUP(A13,'The List'!B1:I665,8,FALSE)</f>
        <v>415.63118096042956</v>
      </c>
      <c r="F13" s="54">
        <f>IF(Settings!$E$15="POINTS",E13-VLOOKUP(B$2,C1:E206,3,FALSE),J13)</f>
        <v>25.694023182348474</v>
      </c>
      <c r="G13" s="54"/>
      <c r="H13" s="167">
        <f>RANK(I13,I3:I206)</f>
        <v>7</v>
      </c>
      <c r="I13" s="168">
        <f>VLOOKUP(A13,'Standard Deviations'!A1:C666,3,FALSE)</f>
        <v>8.586174299109425</v>
      </c>
      <c r="J13" s="168">
        <f>I13-VLOOKUP(B$2,H1:J206,2,FALSE)</f>
        <v>1.9019723448569383</v>
      </c>
    </row>
    <row r="14" spans="1:10" ht="21.25" customHeight="1" x14ac:dyDescent="0.15">
      <c r="A14" s="9" t="s">
        <v>166</v>
      </c>
      <c r="B14" s="88" t="str">
        <f>VLOOKUP(A14,'The List'!B1:D665,3,FALSE)</f>
        <v>C</v>
      </c>
      <c r="C14" s="89">
        <f>IF(Settings!$E$15="POINTS",RANK(E14,E3:E206),H14)</f>
        <v>10</v>
      </c>
      <c r="D14" s="65" t="str">
        <f>VLOOKUP(A14,'The List'!B1:F665,5,FALSE)</f>
        <v>T.B</v>
      </c>
      <c r="E14" s="54">
        <f>VLOOKUP(A14,'The List'!B1:I665,8,FALSE)</f>
        <v>426.53591234969548</v>
      </c>
      <c r="F14" s="54">
        <f>IF(Settings!$E$15="POINTS",E14-VLOOKUP(B$2,C1:E206,3,FALSE),J14)</f>
        <v>36.598754571614393</v>
      </c>
      <c r="G14" s="54"/>
      <c r="H14" s="167">
        <f>RANK(I14,I3:I206)</f>
        <v>10</v>
      </c>
      <c r="I14" s="168">
        <f>VLOOKUP(A14,'Standard Deviations'!A1:C666,3,FALSE)</f>
        <v>8.0291042777232278</v>
      </c>
      <c r="J14" s="168">
        <f>I14-VLOOKUP(B$2,H1:J206,2,FALSE)</f>
        <v>1.3449023234707411</v>
      </c>
    </row>
    <row r="15" spans="1:10" ht="21.25" customHeight="1" x14ac:dyDescent="0.15">
      <c r="A15" s="9" t="s">
        <v>160</v>
      </c>
      <c r="B15" s="88" t="str">
        <f>VLOOKUP(A15,'The List'!B1:D665,3,FALSE)</f>
        <v>C/RW</v>
      </c>
      <c r="C15" s="89">
        <f>IF(Settings!$E$15="POINTS",RANK(E15,E3:E206),H15)</f>
        <v>16</v>
      </c>
      <c r="D15" s="65" t="str">
        <f>VLOOKUP(A15,'The List'!B1:F665,5,FALSE)</f>
        <v>NYI</v>
      </c>
      <c r="E15" s="54">
        <f>VLOOKUP(A15,'The List'!B1:I665,8,FALSE)</f>
        <v>411.44727543727822</v>
      </c>
      <c r="F15" s="54">
        <f>IF(Settings!$E$15="POINTS",E15-VLOOKUP(B$2,C1:E206,3,FALSE),J15)</f>
        <v>21.510117659197135</v>
      </c>
      <c r="G15" s="54"/>
      <c r="H15" s="167">
        <f>RANK(I15,I3:I206)</f>
        <v>18</v>
      </c>
      <c r="I15" s="168">
        <f>VLOOKUP(A15,'Standard Deviations'!A1:C666,3,FALSE)</f>
        <v>7.3080163776890972</v>
      </c>
      <c r="J15" s="168">
        <f>I15-VLOOKUP(B$2,H1:J206,2,FALSE)</f>
        <v>0.62381442343661053</v>
      </c>
    </row>
    <row r="16" spans="1:10" ht="21.25" customHeight="1" x14ac:dyDescent="0.15">
      <c r="A16" s="9" t="s">
        <v>161</v>
      </c>
      <c r="B16" s="88" t="str">
        <f>VLOOKUP(A16,'The List'!B1:D665,3,FALSE)</f>
        <v>C/LW</v>
      </c>
      <c r="C16" s="89">
        <f>IF(Settings!$E$15="POINTS",RANK(E16,E3:E206),H16)</f>
        <v>11</v>
      </c>
      <c r="D16" s="65" t="str">
        <f>VLOOKUP(A16,'The List'!B1:F665,5,FALSE)</f>
        <v>OTT</v>
      </c>
      <c r="E16" s="54">
        <f>VLOOKUP(A16,'The List'!B1:I665,8,FALSE)</f>
        <v>422.11393258704913</v>
      </c>
      <c r="F16" s="54">
        <f>IF(Settings!$E$15="POINTS",E16-VLOOKUP(B$2,C1:E206,3,FALSE),J16)</f>
        <v>32.176774808968048</v>
      </c>
      <c r="G16" s="54"/>
      <c r="H16" s="167">
        <f>RANK(I16,I3:I206)</f>
        <v>21</v>
      </c>
      <c r="I16" s="168">
        <f>VLOOKUP(A16,'Standard Deviations'!A1:C666,3,FALSE)</f>
        <v>7.0114158232210473</v>
      </c>
      <c r="J16" s="168">
        <f>I16-VLOOKUP(B$2,H1:J206,2,FALSE)</f>
        <v>0.32721386896856064</v>
      </c>
    </row>
    <row r="17" spans="1:10" ht="21.25" customHeight="1" x14ac:dyDescent="0.15">
      <c r="A17" s="9" t="s">
        <v>157</v>
      </c>
      <c r="B17" s="88" t="str">
        <f>VLOOKUP(A17,'The List'!B1:D665,3,FALSE)</f>
        <v>C/RW</v>
      </c>
      <c r="C17" s="89">
        <f>IF(Settings!$E$15="POINTS",RANK(E17,E3:E206),H17)</f>
        <v>12</v>
      </c>
      <c r="D17" s="65" t="str">
        <f>VLOOKUP(A17,'The List'!B1:F665,5,FALSE)</f>
        <v>VAN</v>
      </c>
      <c r="E17" s="54">
        <f>VLOOKUP(A17,'The List'!B1:I665,8,FALSE)</f>
        <v>421.74729464787481</v>
      </c>
      <c r="F17" s="54">
        <f>IF(Settings!$E$15="POINTS",E17-VLOOKUP(B$2,C1:E206,3,FALSE),J17)</f>
        <v>31.810136869793723</v>
      </c>
      <c r="G17" s="54"/>
      <c r="H17" s="167">
        <f>RANK(I17,I3:I206)</f>
        <v>8</v>
      </c>
      <c r="I17" s="168">
        <f>VLOOKUP(A17,'Standard Deviations'!A1:C666,3,FALSE)</f>
        <v>8.4719956528963074</v>
      </c>
      <c r="J17" s="168">
        <f>I17-VLOOKUP(B$2,H1:J206,2,FALSE)</f>
        <v>1.7877936986438208</v>
      </c>
    </row>
    <row r="18" spans="1:10" ht="21.25" customHeight="1" x14ac:dyDescent="0.15">
      <c r="A18" s="9" t="s">
        <v>158</v>
      </c>
      <c r="B18" s="88" t="str">
        <f>VLOOKUP(A18,'The List'!B1:D665,3,FALSE)</f>
        <v>C/RW</v>
      </c>
      <c r="C18" s="89">
        <f>IF(Settings!$E$15="POINTS",RANK(E18,E3:E206),H18)</f>
        <v>13</v>
      </c>
      <c r="D18" s="65" t="str">
        <f>VLOOKUP(A18,'The List'!B1:F665,5,FALSE)</f>
        <v>FLA</v>
      </c>
      <c r="E18" s="54">
        <f>VLOOKUP(A18,'The List'!B1:I665,8,FALSE)</f>
        <v>419.82966814680043</v>
      </c>
      <c r="F18" s="54">
        <f>IF(Settings!$E$15="POINTS",E18-VLOOKUP(B$2,C1:E206,3,FALSE),J18)</f>
        <v>29.892510368719343</v>
      </c>
      <c r="G18" s="54"/>
      <c r="H18" s="167">
        <f>RANK(I18,I3:I206)</f>
        <v>13</v>
      </c>
      <c r="I18" s="168">
        <f>VLOOKUP(A18,'Standard Deviations'!A1:C666,3,FALSE)</f>
        <v>7.7400822305907244</v>
      </c>
      <c r="J18" s="168">
        <f>I18-VLOOKUP(B$2,H1:J206,2,FALSE)</f>
        <v>1.0558802763382378</v>
      </c>
    </row>
    <row r="19" spans="1:10" ht="21.25" customHeight="1" x14ac:dyDescent="0.15">
      <c r="A19" s="9" t="s">
        <v>187</v>
      </c>
      <c r="B19" s="88" t="str">
        <f>VLOOKUP(A19,'The List'!B1:D665,3,FALSE)</f>
        <v>C</v>
      </c>
      <c r="C19" s="89">
        <f>IF(Settings!$E$15="POINTS",RANK(E19,E3:E206),H19)</f>
        <v>18</v>
      </c>
      <c r="D19" s="65" t="str">
        <f>VLOOKUP(A19,'The List'!B1:F665,5,FALSE)</f>
        <v>DET</v>
      </c>
      <c r="E19" s="54">
        <f>VLOOKUP(A19,'The List'!B1:I665,8,FALSE)</f>
        <v>399.89444628441805</v>
      </c>
      <c r="F19" s="54">
        <f>IF(Settings!$E$15="POINTS",E19-VLOOKUP(B$2,C1:E206,3,FALSE),J19)</f>
        <v>9.9572885063369654</v>
      </c>
      <c r="G19" s="54"/>
      <c r="H19" s="167">
        <f>RANK(I19,I3:I206)</f>
        <v>30</v>
      </c>
      <c r="I19" s="168">
        <f>VLOOKUP(A19,'Standard Deviations'!A1:C666,3,FALSE)</f>
        <v>5.6139200473167303</v>
      </c>
      <c r="J19" s="168">
        <f>I19-VLOOKUP(B$2,H1:J206,2,FALSE)</f>
        <v>-1.0702819069357563</v>
      </c>
    </row>
    <row r="20" spans="1:10" ht="21.25" customHeight="1" x14ac:dyDescent="0.15">
      <c r="A20" s="9" t="s">
        <v>183</v>
      </c>
      <c r="B20" s="88" t="str">
        <f>VLOOKUP(A20,'The List'!B1:D665,3,FALSE)</f>
        <v>C</v>
      </c>
      <c r="C20" s="89">
        <f>IF(Settings!$E$15="POINTS",RANK(E20,E3:E206),H20)</f>
        <v>17</v>
      </c>
      <c r="D20" s="65" t="str">
        <f>VLOOKUP(A20,'The List'!B1:F665,5,FALSE)</f>
        <v>CAR</v>
      </c>
      <c r="E20" s="54">
        <f>VLOOKUP(A20,'The List'!B1:I665,8,FALSE)</f>
        <v>404.60170536272284</v>
      </c>
      <c r="F20" s="54">
        <f>IF(Settings!$E$15="POINTS",E20-VLOOKUP(B$2,C1:E206,3,FALSE),J20)</f>
        <v>14.664547584641753</v>
      </c>
      <c r="G20" s="54"/>
      <c r="H20" s="167">
        <f>RANK(I20,I3:I206)</f>
        <v>12</v>
      </c>
      <c r="I20" s="168">
        <f>VLOOKUP(A20,'Standard Deviations'!A1:C666,3,FALSE)</f>
        <v>7.9531683253922534</v>
      </c>
      <c r="J20" s="168">
        <f>I20-VLOOKUP(B$2,H1:J206,2,FALSE)</f>
        <v>1.2689663711397667</v>
      </c>
    </row>
    <row r="21" spans="1:10" ht="21.25" customHeight="1" x14ac:dyDescent="0.15">
      <c r="A21" s="9" t="s">
        <v>198</v>
      </c>
      <c r="B21" s="88" t="str">
        <f>VLOOKUP(A21,'The List'!B1:D665,3,FALSE)</f>
        <v>C</v>
      </c>
      <c r="C21" s="89">
        <f>IF(Settings!$E$15="POINTS",RANK(E21,E3:E206),H21)</f>
        <v>23</v>
      </c>
      <c r="D21" s="65" t="str">
        <f>VLOOKUP(A21,'The List'!B1:F665,5,FALSE)</f>
        <v>N.J</v>
      </c>
      <c r="E21" s="54">
        <f>VLOOKUP(A21,'The List'!B1:I665,8,FALSE)</f>
        <v>389.93715777808109</v>
      </c>
      <c r="F21" s="54">
        <f>IF(Settings!$E$15="POINTS",E21-VLOOKUP(B$2,C1:E206,3,FALSE),J21)</f>
        <v>0</v>
      </c>
      <c r="G21" s="54"/>
      <c r="H21" s="167">
        <f>RANK(I21,I3:I206)</f>
        <v>22</v>
      </c>
      <c r="I21" s="168">
        <f>VLOOKUP(A21,'Standard Deviations'!A1:C666,3,FALSE)</f>
        <v>6.7012186231525712</v>
      </c>
      <c r="J21" s="168">
        <f>I21-VLOOKUP(B$2,H1:J206,2,FALSE)</f>
        <v>1.7016668900084575E-2</v>
      </c>
    </row>
    <row r="22" spans="1:10" ht="21.25" customHeight="1" x14ac:dyDescent="0.15">
      <c r="A22" s="9" t="s">
        <v>171</v>
      </c>
      <c r="B22" s="88" t="str">
        <f>VLOOKUP(A22,'The List'!B1:D665,3,FALSE)</f>
        <v>C/RW</v>
      </c>
      <c r="C22" s="89">
        <f>IF(Settings!$E$15="POINTS",RANK(E22,E3:E206),H22)</f>
        <v>20</v>
      </c>
      <c r="D22" s="65" t="str">
        <f>VLOOKUP(A22,'The List'!B1:F665,5,FALSE)</f>
        <v>STL</v>
      </c>
      <c r="E22" s="54">
        <f>VLOOKUP(A22,'The List'!B1:I665,8,FALSE)</f>
        <v>396.87998339052638</v>
      </c>
      <c r="F22" s="54">
        <f>IF(Settings!$E$15="POINTS",E22-VLOOKUP(B$2,C1:E206,3,FALSE),J22)</f>
        <v>6.9428256124452901</v>
      </c>
      <c r="G22" s="54"/>
      <c r="H22" s="167">
        <f>RANK(I22,I3:I206)</f>
        <v>31</v>
      </c>
      <c r="I22" s="168">
        <f>VLOOKUP(A22,'Standard Deviations'!A1:C666,3,FALSE)</f>
        <v>5.4490336742558556</v>
      </c>
      <c r="J22" s="168">
        <f>I22-VLOOKUP(B$2,H1:J206,2,FALSE)</f>
        <v>-1.235168279996631</v>
      </c>
    </row>
    <row r="23" spans="1:10" ht="21.25" customHeight="1" x14ac:dyDescent="0.15">
      <c r="A23" s="9" t="s">
        <v>186</v>
      </c>
      <c r="B23" s="88" t="str">
        <f>VLOOKUP(A23,'The List'!B1:D665,3,FALSE)</f>
        <v>C/LW</v>
      </c>
      <c r="C23" s="89">
        <f>IF(Settings!$E$15="POINTS",RANK(E23,E3:E206),H23)</f>
        <v>22</v>
      </c>
      <c r="D23" s="65" t="str">
        <f>VLOOKUP(A23,'The List'!B1:F665,5,FALSE)</f>
        <v>OTT</v>
      </c>
      <c r="E23" s="54">
        <f>VLOOKUP(A23,'The List'!B1:I665,8,FALSE)</f>
        <v>392.20335983687431</v>
      </c>
      <c r="F23" s="54">
        <f>IF(Settings!$E$15="POINTS",E23-VLOOKUP(B$2,C1:E206,3,FALSE),J23)</f>
        <v>2.2662020587932261</v>
      </c>
      <c r="G23" s="54"/>
      <c r="H23" s="167">
        <f>RANK(I23,I3:I206)</f>
        <v>33</v>
      </c>
      <c r="I23" s="168">
        <f>VLOOKUP(A23,'Standard Deviations'!A1:C666,3,FALSE)</f>
        <v>5.2540728866265312</v>
      </c>
      <c r="J23" s="168">
        <f>I23-VLOOKUP(B$2,H1:J206,2,FALSE)</f>
        <v>-1.4301290676259555</v>
      </c>
    </row>
    <row r="24" spans="1:10" ht="21.25" customHeight="1" x14ac:dyDescent="0.15">
      <c r="A24" s="9" t="s">
        <v>188</v>
      </c>
      <c r="B24" s="88" t="str">
        <f>VLOOKUP(A24,'The List'!B1:D665,3,FALSE)</f>
        <v>C</v>
      </c>
      <c r="C24" s="89">
        <f>IF(Settings!$E$15="POINTS",RANK(E24,E3:E206),H24)</f>
        <v>19</v>
      </c>
      <c r="D24" s="65" t="str">
        <f>VLOOKUP(A24,'The List'!B1:F665,5,FALSE)</f>
        <v>NYR</v>
      </c>
      <c r="E24" s="54">
        <f>VLOOKUP(A24,'The List'!B1:I665,8,FALSE)</f>
        <v>399.40851534303374</v>
      </c>
      <c r="F24" s="54">
        <f>IF(Settings!$E$15="POINTS",E24-VLOOKUP(B$2,C1:E206,3,FALSE),J24)</f>
        <v>9.4713575649526547</v>
      </c>
      <c r="G24" s="54"/>
      <c r="H24" s="167">
        <f>RANK(I24,I3:I206)</f>
        <v>17</v>
      </c>
      <c r="I24" s="168">
        <f>VLOOKUP(A24,'Standard Deviations'!A1:C666,3,FALSE)</f>
        <v>7.4863823395713922</v>
      </c>
      <c r="J24" s="168">
        <f>I24-VLOOKUP(B$2,H1:J206,2,FALSE)</f>
        <v>0.80218038531890556</v>
      </c>
    </row>
    <row r="25" spans="1:10" ht="21.25" customHeight="1" x14ac:dyDescent="0.15">
      <c r="A25" s="9" t="s">
        <v>184</v>
      </c>
      <c r="B25" s="88" t="str">
        <f>VLOOKUP(A25,'The List'!B1:D665,3,FALSE)</f>
        <v>C/LW</v>
      </c>
      <c r="C25" s="89">
        <f>IF(Settings!$E$15="POINTS",RANK(E25,E3:E206),H25)</f>
        <v>21</v>
      </c>
      <c r="D25" s="65" t="str">
        <f>VLOOKUP(A25,'The List'!B1:F665,5,FALSE)</f>
        <v>NSH</v>
      </c>
      <c r="E25" s="54">
        <f>VLOOKUP(A25,'The List'!B1:I665,8,FALSE)</f>
        <v>393.87323859264939</v>
      </c>
      <c r="F25" s="54">
        <f>IF(Settings!$E$15="POINTS",E25-VLOOKUP(B$2,C1:E206,3,FALSE),J25)</f>
        <v>3.9360808145682995</v>
      </c>
      <c r="G25" s="54"/>
      <c r="H25" s="167">
        <f>RANK(I25,I3:I206)</f>
        <v>26</v>
      </c>
      <c r="I25" s="168">
        <f>VLOOKUP(A25,'Standard Deviations'!A1:C666,3,FALSE)</f>
        <v>6.4588095688553535</v>
      </c>
      <c r="J25" s="168">
        <f>I25-VLOOKUP(B$2,H1:J206,2,FALSE)</f>
        <v>-0.22539238539713313</v>
      </c>
    </row>
    <row r="26" spans="1:10" ht="21.25" customHeight="1" x14ac:dyDescent="0.15">
      <c r="A26" s="9" t="s">
        <v>203</v>
      </c>
      <c r="B26" s="88" t="str">
        <f>VLOOKUP(A26,'The List'!B1:D665,3,FALSE)</f>
        <v>C</v>
      </c>
      <c r="C26" s="89">
        <f>IF(Settings!$E$15="POINTS",RANK(E26,E3:E206),H26)</f>
        <v>25</v>
      </c>
      <c r="D26" s="65" t="str">
        <f>VLOOKUP(A26,'The List'!B1:F665,5,FALSE)</f>
        <v>STL</v>
      </c>
      <c r="E26" s="54">
        <f>VLOOKUP(A26,'The List'!B1:I665,8,FALSE)</f>
        <v>385.63918761364624</v>
      </c>
      <c r="F26" s="54">
        <f>IF(Settings!$E$15="POINTS",E26-VLOOKUP(B$2,C1:E206,3,FALSE),J26)</f>
        <v>-4.2979701644348438</v>
      </c>
      <c r="G26" s="54"/>
      <c r="H26" s="167">
        <f>RANK(I26,I3:I206)</f>
        <v>34</v>
      </c>
      <c r="I26" s="168">
        <f>VLOOKUP(A26,'Standard Deviations'!A1:C666,3,FALSE)</f>
        <v>5.2063996308106235</v>
      </c>
      <c r="J26" s="168">
        <f>I26-VLOOKUP(B$2,H1:J206,2,FALSE)</f>
        <v>-1.4778023234418631</v>
      </c>
    </row>
    <row r="27" spans="1:10" ht="21.25" customHeight="1" x14ac:dyDescent="0.15">
      <c r="A27" s="9" t="s">
        <v>179</v>
      </c>
      <c r="B27" s="88" t="str">
        <f>VLOOKUP(A27,'The List'!B1:D665,3,FALSE)</f>
        <v>C/RW</v>
      </c>
      <c r="C27" s="89">
        <f>IF(Settings!$E$15="POINTS",RANK(E27,E3:E206),H27)</f>
        <v>24</v>
      </c>
      <c r="D27" s="65" t="str">
        <f>VLOOKUP(A27,'The List'!B1:F665,5,FALSE)</f>
        <v>DAL</v>
      </c>
      <c r="E27" s="54">
        <f>VLOOKUP(A27,'The List'!B1:I665,8,FALSE)</f>
        <v>389.91842521397439</v>
      </c>
      <c r="F27" s="54">
        <f>IF(Settings!$E$15="POINTS",E27-VLOOKUP(B$2,C1:E206,3,FALSE),J27)</f>
        <v>-1.8732564106699101E-2</v>
      </c>
      <c r="G27" s="54"/>
      <c r="H27" s="167">
        <f>RANK(I27,I3:I206)</f>
        <v>19</v>
      </c>
      <c r="I27" s="168">
        <f>VLOOKUP(A27,'Standard Deviations'!A1:C666,3,FALSE)</f>
        <v>7.1807004913375918</v>
      </c>
      <c r="J27" s="168">
        <f>I27-VLOOKUP(B$2,H1:J206,2,FALSE)</f>
        <v>0.49649853708510516</v>
      </c>
    </row>
    <row r="28" spans="1:10" ht="21.25" customHeight="1" x14ac:dyDescent="0.15">
      <c r="A28" s="9" t="s">
        <v>204</v>
      </c>
      <c r="B28" s="88" t="str">
        <f>VLOOKUP(A28,'The List'!B1:D665,3,FALSE)</f>
        <v>C</v>
      </c>
      <c r="C28" s="89">
        <f>IF(Settings!$E$15="POINTS",RANK(E28,E3:E206),H28)</f>
        <v>26</v>
      </c>
      <c r="D28" s="65" t="str">
        <f>VLOOKUP(A28,'The List'!B1:F665,5,FALSE)</f>
        <v>TOR</v>
      </c>
      <c r="E28" s="54">
        <f>VLOOKUP(A28,'The List'!B1:I665,8,FALSE)</f>
        <v>385.40531838566056</v>
      </c>
      <c r="F28" s="54">
        <f>IF(Settings!$E$15="POINTS",E28-VLOOKUP(B$2,C1:E206,3,FALSE),J28)</f>
        <v>-4.5318393924205225</v>
      </c>
      <c r="G28" s="54"/>
      <c r="H28" s="167">
        <f>RANK(I28,I3:I206)</f>
        <v>14</v>
      </c>
      <c r="I28" s="168">
        <f>VLOOKUP(A28,'Standard Deviations'!A1:C666,3,FALSE)</f>
        <v>7.57815305165113</v>
      </c>
      <c r="J28" s="168">
        <f>I28-VLOOKUP(B$2,H1:J206,2,FALSE)</f>
        <v>0.89395109739864331</v>
      </c>
    </row>
    <row r="29" spans="1:10" ht="21.25" customHeight="1" x14ac:dyDescent="0.15">
      <c r="A29" s="9" t="s">
        <v>206</v>
      </c>
      <c r="B29" s="88" t="str">
        <f>VLOOKUP(A29,'The List'!B1:D665,3,FALSE)</f>
        <v>C</v>
      </c>
      <c r="C29" s="89">
        <f>IF(Settings!$E$15="POINTS",RANK(E29,E3:E206),H29)</f>
        <v>27</v>
      </c>
      <c r="D29" s="65" t="str">
        <f>VLOOKUP(A29,'The List'!B1:F665,5,FALSE)</f>
        <v>NYR</v>
      </c>
      <c r="E29" s="54">
        <f>VLOOKUP(A29,'The List'!B1:I665,8,FALSE)</f>
        <v>383.15755033691164</v>
      </c>
      <c r="F29" s="54">
        <f>IF(Settings!$E$15="POINTS",E29-VLOOKUP(B$2,C1:E206,3,FALSE),J29)</f>
        <v>-6.7796074411694462</v>
      </c>
      <c r="G29" s="54"/>
      <c r="H29" s="167">
        <f>RANK(I29,I3:I206)</f>
        <v>23</v>
      </c>
      <c r="I29" s="168">
        <f>VLOOKUP(A29,'Standard Deviations'!A1:C666,3,FALSE)</f>
        <v>6.6842019542524866</v>
      </c>
      <c r="J29" s="168">
        <f>I29-VLOOKUP(B$2,H1:J206,2,FALSE)</f>
        <v>0</v>
      </c>
    </row>
    <row r="30" spans="1:10" ht="21.25" customHeight="1" x14ac:dyDescent="0.15">
      <c r="A30" s="9" t="s">
        <v>208</v>
      </c>
      <c r="B30" s="88" t="str">
        <f>VLOOKUP(A30,'The List'!B1:D665,3,FALSE)</f>
        <v>C/LW</v>
      </c>
      <c r="C30" s="89">
        <f>IF(Settings!$E$15="POINTS",RANK(E30,E3:E206),H30)</f>
        <v>31</v>
      </c>
      <c r="D30" s="65" t="str">
        <f>VLOOKUP(A30,'The List'!B1:F665,5,FALSE)</f>
        <v>EDM</v>
      </c>
      <c r="E30" s="54">
        <f>VLOOKUP(A30,'The List'!B1:I665,8,FALSE)</f>
        <v>371.86724816839626</v>
      </c>
      <c r="F30" s="54">
        <f>IF(Settings!$E$15="POINTS",E30-VLOOKUP(B$2,C1:E206,3,FALSE),J30)</f>
        <v>-18.069909609684828</v>
      </c>
      <c r="G30" s="54"/>
      <c r="H30" s="167">
        <f>RANK(I30,I3:I206)</f>
        <v>15</v>
      </c>
      <c r="I30" s="168">
        <f>VLOOKUP(A30,'Standard Deviations'!A1:C666,3,FALSE)</f>
        <v>7.5290689202669752</v>
      </c>
      <c r="J30" s="168">
        <f>I30-VLOOKUP(B$2,H1:J206,2,FALSE)</f>
        <v>0.84486696601448852</v>
      </c>
    </row>
    <row r="31" spans="1:10" ht="21.25" customHeight="1" x14ac:dyDescent="0.15">
      <c r="A31" s="9" t="s">
        <v>207</v>
      </c>
      <c r="B31" s="88" t="str">
        <f>VLOOKUP(A31,'The List'!B1:D665,3,FALSE)</f>
        <v>C</v>
      </c>
      <c r="C31" s="89">
        <f>IF(Settings!$E$15="POINTS",RANK(E31,E3:E206),H31)</f>
        <v>28</v>
      </c>
      <c r="D31" s="65" t="str">
        <f>VLOOKUP(A31,'The List'!B1:F665,5,FALSE)</f>
        <v>MTL</v>
      </c>
      <c r="E31" s="54">
        <f>VLOOKUP(A31,'The List'!B1:I665,8,FALSE)</f>
        <v>381.76406913831278</v>
      </c>
      <c r="F31" s="54">
        <f>IF(Settings!$E$15="POINTS",E31-VLOOKUP(B$2,C1:E206,3,FALSE),J31)</f>
        <v>-8.1730886397683093</v>
      </c>
      <c r="G31" s="54"/>
      <c r="H31" s="167">
        <f>RANK(I31,I3:I206)</f>
        <v>35</v>
      </c>
      <c r="I31" s="168">
        <f>VLOOKUP(A31,'Standard Deviations'!A1:C666,3,FALSE)</f>
        <v>4.8931156643819058</v>
      </c>
      <c r="J31" s="168">
        <f>I31-VLOOKUP(B$2,H1:J206,2,FALSE)</f>
        <v>-1.7910862898705808</v>
      </c>
    </row>
    <row r="32" spans="1:10" ht="21.25" customHeight="1" x14ac:dyDescent="0.15">
      <c r="A32" s="9" t="s">
        <v>190</v>
      </c>
      <c r="B32" s="88" t="str">
        <f>VLOOKUP(A32,'The List'!B1:D665,3,FALSE)</f>
        <v>C/RW</v>
      </c>
      <c r="C32" s="89">
        <f>IF(Settings!$E$15="POINTS",RANK(E32,E3:E206),H32)</f>
        <v>29</v>
      </c>
      <c r="D32" s="65" t="str">
        <f>VLOOKUP(A32,'The List'!B1:F665,5,FALSE)</f>
        <v>L.A</v>
      </c>
      <c r="E32" s="54">
        <f>VLOOKUP(A32,'The List'!B1:I665,8,FALSE)</f>
        <v>373.76546519730982</v>
      </c>
      <c r="F32" s="54">
        <f>IF(Settings!$E$15="POINTS",E32-VLOOKUP(B$2,C1:E206,3,FALSE),J32)</f>
        <v>-16.171692580771264</v>
      </c>
      <c r="G32" s="54"/>
      <c r="H32" s="167">
        <f>RANK(I32,I3:I206)</f>
        <v>29</v>
      </c>
      <c r="I32" s="168">
        <f>VLOOKUP(A32,'Standard Deviations'!A1:C666,3,FALSE)</f>
        <v>5.7660648085563313</v>
      </c>
      <c r="J32" s="168">
        <f>I32-VLOOKUP(B$2,H1:J206,2,FALSE)</f>
        <v>-0.91813714569615534</v>
      </c>
    </row>
    <row r="33" spans="1:10" ht="21.25" customHeight="1" x14ac:dyDescent="0.15">
      <c r="A33" s="9" t="s">
        <v>219</v>
      </c>
      <c r="B33" s="88" t="str">
        <f>VLOOKUP(A33,'The List'!B1:D665,3,FALSE)</f>
        <v>C</v>
      </c>
      <c r="C33" s="89">
        <f>IF(Settings!$E$15="POINTS",RANK(E33,E3:E206),H33)</f>
        <v>32</v>
      </c>
      <c r="D33" s="65" t="str">
        <f>VLOOKUP(A33,'The List'!B1:F665,5,FALSE)</f>
        <v>NYI</v>
      </c>
      <c r="E33" s="54">
        <f>VLOOKUP(A33,'The List'!B1:I665,8,FALSE)</f>
        <v>371.15998568550168</v>
      </c>
      <c r="F33" s="54">
        <f>IF(Settings!$E$15="POINTS",E33-VLOOKUP(B$2,C1:E206,3,FALSE),J33)</f>
        <v>-18.777172092579406</v>
      </c>
      <c r="G33" s="54"/>
      <c r="H33" s="167">
        <f>RANK(I33,I3:I206)</f>
        <v>27</v>
      </c>
      <c r="I33" s="168">
        <f>VLOOKUP(A33,'Standard Deviations'!A1:C666,3,FALSE)</f>
        <v>5.9127865247194507</v>
      </c>
      <c r="J33" s="168">
        <f>I33-VLOOKUP(B$2,H1:J206,2,FALSE)</f>
        <v>-0.77141542953303599</v>
      </c>
    </row>
    <row r="34" spans="1:10" ht="21.25" customHeight="1" x14ac:dyDescent="0.15">
      <c r="A34" s="9" t="s">
        <v>211</v>
      </c>
      <c r="B34" s="88" t="str">
        <f>VLOOKUP(A34,'The List'!B1:D665,3,FALSE)</f>
        <v>C/LW</v>
      </c>
      <c r="C34" s="89">
        <f>IF(Settings!$E$15="POINTS",RANK(E34,E3:E206),H34)</f>
        <v>33</v>
      </c>
      <c r="D34" s="65" t="str">
        <f>VLOOKUP(A34,'The List'!B1:F665,5,FALSE)</f>
        <v>FLA</v>
      </c>
      <c r="E34" s="54">
        <f>VLOOKUP(A34,'The List'!B1:I665,8,FALSE)</f>
        <v>370.70924805714361</v>
      </c>
      <c r="F34" s="54">
        <f>IF(Settings!$E$15="POINTS",E34-VLOOKUP(B$2,C1:E206,3,FALSE),J34)</f>
        <v>-19.227909720937475</v>
      </c>
      <c r="G34" s="54"/>
      <c r="H34" s="167">
        <f>RANK(I34,I3:I206)</f>
        <v>24</v>
      </c>
      <c r="I34" s="168">
        <f>VLOOKUP(A34,'Standard Deviations'!A1:C666,3,FALSE)</f>
        <v>6.6777197351778064</v>
      </c>
      <c r="J34" s="168">
        <f>I34-VLOOKUP(B$2,H1:J206,2,FALSE)</f>
        <v>-6.4822190746802733E-3</v>
      </c>
    </row>
    <row r="35" spans="1:10" ht="21.25" customHeight="1" x14ac:dyDescent="0.15">
      <c r="A35" s="9" t="s">
        <v>216</v>
      </c>
      <c r="B35" s="88" t="str">
        <f>VLOOKUP(A35,'The List'!B1:D665,3,FALSE)</f>
        <v>C</v>
      </c>
      <c r="C35" s="89">
        <f>IF(Settings!$E$15="POINTS",RANK(E35,E3:E206),H35)</f>
        <v>30</v>
      </c>
      <c r="D35" s="65" t="str">
        <f>VLOOKUP(A35,'The List'!B1:F665,5,FALSE)</f>
        <v>CGY</v>
      </c>
      <c r="E35" s="54">
        <f>VLOOKUP(A35,'The List'!B1:I665,8,FALSE)</f>
        <v>372.8156076466318</v>
      </c>
      <c r="F35" s="54">
        <f>IF(Settings!$E$15="POINTS",E35-VLOOKUP(B$2,C1:E206,3,FALSE),J35)</f>
        <v>-17.121550131449283</v>
      </c>
      <c r="G35" s="54"/>
      <c r="H35" s="167">
        <f>RANK(I35,I3:I206)</f>
        <v>36</v>
      </c>
      <c r="I35" s="168">
        <f>VLOOKUP(A35,'Standard Deviations'!A1:C666,3,FALSE)</f>
        <v>4.6809678501188481</v>
      </c>
      <c r="J35" s="168">
        <f>I35-VLOOKUP(B$2,H1:J206,2,FALSE)</f>
        <v>-2.0032341041336386</v>
      </c>
    </row>
    <row r="36" spans="1:10" ht="21.25" customHeight="1" x14ac:dyDescent="0.15">
      <c r="A36" s="9" t="s">
        <v>224</v>
      </c>
      <c r="B36" s="88" t="str">
        <f>VLOOKUP(A36,'The List'!B1:D665,3,FALSE)</f>
        <v>C</v>
      </c>
      <c r="C36" s="89">
        <f>IF(Settings!$E$15="POINTS",RANK(E36,E3:E206),H36)</f>
        <v>35</v>
      </c>
      <c r="D36" s="65" t="str">
        <f>VLOOKUP(A36,'The List'!B1:F665,5,FALSE)</f>
        <v>DAL</v>
      </c>
      <c r="E36" s="54">
        <f>VLOOKUP(A36,'The List'!B1:I665,8,FALSE)</f>
        <v>368.0392157392468</v>
      </c>
      <c r="F36" s="54">
        <f>IF(Settings!$E$15="POINTS",E36-VLOOKUP(B$2,C1:E206,3,FALSE),J36)</f>
        <v>-21.897942038834287</v>
      </c>
      <c r="G36" s="54"/>
      <c r="H36" s="167">
        <f>RANK(I36,I3:I206)</f>
        <v>20</v>
      </c>
      <c r="I36" s="168">
        <f>VLOOKUP(A36,'Standard Deviations'!A1:C666,3,FALSE)</f>
        <v>7.1156844404640509</v>
      </c>
      <c r="J36" s="168">
        <f>I36-VLOOKUP(B$2,H1:J206,2,FALSE)</f>
        <v>0.43148248621156426</v>
      </c>
    </row>
    <row r="37" spans="1:10" ht="21.25" customHeight="1" x14ac:dyDescent="0.15">
      <c r="A37" s="9" t="s">
        <v>226</v>
      </c>
      <c r="B37" s="88" t="str">
        <f>VLOOKUP(A37,'The List'!B1:D665,3,FALSE)</f>
        <v>C/LW</v>
      </c>
      <c r="C37" s="89">
        <f>IF(Settings!$E$15="POINTS",RANK(E37,E3:E206),H37)</f>
        <v>37</v>
      </c>
      <c r="D37" s="65" t="str">
        <f>VLOOKUP(A37,'The List'!B1:F665,5,FALSE)</f>
        <v>STL</v>
      </c>
      <c r="E37" s="54">
        <f>VLOOKUP(A37,'The List'!B1:I665,8,FALSE)</f>
        <v>357.56680797817324</v>
      </c>
      <c r="F37" s="54">
        <f>IF(Settings!$E$15="POINTS",E37-VLOOKUP(B$2,C1:E206,3,FALSE),J37)</f>
        <v>-32.370349799907842</v>
      </c>
      <c r="G37" s="54"/>
      <c r="H37" s="167">
        <f>RANK(I37,I3:I206)</f>
        <v>43</v>
      </c>
      <c r="I37" s="168">
        <f>VLOOKUP(A37,'Standard Deviations'!A1:C666,3,FALSE)</f>
        <v>4.3868736379880158</v>
      </c>
      <c r="J37" s="168">
        <f>I37-VLOOKUP(B$2,H1:J206,2,FALSE)</f>
        <v>-2.2973283162644709</v>
      </c>
    </row>
    <row r="38" spans="1:10" ht="21.25" customHeight="1" x14ac:dyDescent="0.15">
      <c r="A38" s="9" t="s">
        <v>221</v>
      </c>
      <c r="B38" s="88" t="str">
        <f>VLOOKUP(A38,'The List'!B1:D665,3,FALSE)</f>
        <v>C</v>
      </c>
      <c r="C38" s="89">
        <f>IF(Settings!$E$15="POINTS",RANK(E38,E3:E206),H38)</f>
        <v>34</v>
      </c>
      <c r="D38" s="65" t="str">
        <f>VLOOKUP(A38,'The List'!B1:F665,5,FALSE)</f>
        <v>NYI</v>
      </c>
      <c r="E38" s="54">
        <f>VLOOKUP(A38,'The List'!B1:I665,8,FALSE)</f>
        <v>368.80027278962189</v>
      </c>
      <c r="F38" s="54">
        <f>IF(Settings!$E$15="POINTS",E38-VLOOKUP(B$2,C1:E206,3,FALSE),J38)</f>
        <v>-21.136884988459201</v>
      </c>
      <c r="G38" s="54"/>
      <c r="H38" s="167">
        <f>RANK(I38,I3:I206)</f>
        <v>28</v>
      </c>
      <c r="I38" s="168">
        <f>VLOOKUP(A38,'Standard Deviations'!A1:C666,3,FALSE)</f>
        <v>5.8819114560650707</v>
      </c>
      <c r="J38" s="168">
        <f>I38-VLOOKUP(B$2,H1:J206,2,FALSE)</f>
        <v>-0.80229049818741593</v>
      </c>
    </row>
    <row r="39" spans="1:10" ht="21.25" customHeight="1" x14ac:dyDescent="0.15">
      <c r="A39" s="9" t="s">
        <v>233</v>
      </c>
      <c r="B39" s="88" t="str">
        <f>VLOOKUP(A39,'The List'!B1:D665,3,FALSE)</f>
        <v>C</v>
      </c>
      <c r="C39" s="89">
        <f>IF(Settings!$E$15="POINTS",RANK(E39,E3:E206),H39)</f>
        <v>36</v>
      </c>
      <c r="D39" s="65" t="str">
        <f>VLOOKUP(A39,'The List'!B1:F665,5,FALSE)</f>
        <v>MIN</v>
      </c>
      <c r="E39" s="54">
        <f>VLOOKUP(A39,'The List'!B1:I665,8,FALSE)</f>
        <v>358.41265279674332</v>
      </c>
      <c r="F39" s="54">
        <f>IF(Settings!$E$15="POINTS",E39-VLOOKUP(B$2,C1:E206,3,FALSE),J39)</f>
        <v>-31.52450498133777</v>
      </c>
      <c r="G39" s="54"/>
      <c r="H39" s="167">
        <f>RANK(I39,I3:I206)</f>
        <v>32</v>
      </c>
      <c r="I39" s="168">
        <f>VLOOKUP(A39,'Standard Deviations'!A1:C666,3,FALSE)</f>
        <v>5.3823610735208991</v>
      </c>
      <c r="J39" s="168">
        <f>I39-VLOOKUP(B$2,H1:J206,2,FALSE)</f>
        <v>-1.3018408807315875</v>
      </c>
    </row>
    <row r="40" spans="1:10" ht="21.25" customHeight="1" x14ac:dyDescent="0.15">
      <c r="A40" s="9" t="s">
        <v>227</v>
      </c>
      <c r="B40" s="88" t="str">
        <f>VLOOKUP(A40,'The List'!B1:D665,3,FALSE)</f>
        <v>C/LW</v>
      </c>
      <c r="C40" s="89">
        <f>IF(Settings!$E$15="POINTS",RANK(E40,E3:E206),H40)</f>
        <v>38</v>
      </c>
      <c r="D40" s="65" t="str">
        <f>VLOOKUP(A40,'The List'!B1:F665,5,FALSE)</f>
        <v>SEA</v>
      </c>
      <c r="E40" s="54">
        <f>VLOOKUP(A40,'The List'!B1:I665,8,FALSE)</f>
        <v>354.57426983418583</v>
      </c>
      <c r="F40" s="54">
        <f>IF(Settings!$E$15="POINTS",E40-VLOOKUP(B$2,C1:E206,3,FALSE),J40)</f>
        <v>-35.362887943895259</v>
      </c>
      <c r="G40" s="54"/>
      <c r="H40" s="167">
        <f>RANK(I40,I3:I206)</f>
        <v>39</v>
      </c>
      <c r="I40" s="168">
        <f>VLOOKUP(A40,'Standard Deviations'!A1:C666,3,FALSE)</f>
        <v>4.5424847105712001</v>
      </c>
      <c r="J40" s="168">
        <f>I40-VLOOKUP(B$2,H1:J206,2,FALSE)</f>
        <v>-2.1417172436812866</v>
      </c>
    </row>
    <row r="41" spans="1:10" ht="21.25" customHeight="1" x14ac:dyDescent="0.15">
      <c r="A41" s="9" t="s">
        <v>248</v>
      </c>
      <c r="B41" s="88" t="str">
        <f>VLOOKUP(A41,'The List'!B1:D665,3,FALSE)</f>
        <v>C</v>
      </c>
      <c r="C41" s="89">
        <f>IF(Settings!$E$15="POINTS",RANK(E41,E3:E206),H41)</f>
        <v>41</v>
      </c>
      <c r="D41" s="65" t="str">
        <f>VLOOKUP(A41,'The List'!B1:F665,5,FALSE)</f>
        <v>WPG</v>
      </c>
      <c r="E41" s="54">
        <f>VLOOKUP(A41,'The List'!B1:I665,8,FALSE)</f>
        <v>347.51240021842267</v>
      </c>
      <c r="F41" s="54">
        <f>IF(Settings!$E$15="POINTS",E41-VLOOKUP(B$2,C1:E206,3,FALSE),J41)</f>
        <v>-42.424757559658417</v>
      </c>
      <c r="G41" s="54"/>
      <c r="H41" s="167">
        <f>RANK(I41,I3:I206)</f>
        <v>38</v>
      </c>
      <c r="I41" s="168">
        <f>VLOOKUP(A41,'Standard Deviations'!A1:C666,3,FALSE)</f>
        <v>4.590131430559488</v>
      </c>
      <c r="J41" s="168">
        <f>I41-VLOOKUP(B$2,H1:J206,2,FALSE)</f>
        <v>-2.0940705236929986</v>
      </c>
    </row>
    <row r="42" spans="1:10" ht="21.25" customHeight="1" x14ac:dyDescent="0.15">
      <c r="A42" s="9" t="s">
        <v>213</v>
      </c>
      <c r="B42" s="88" t="str">
        <f>VLOOKUP(A42,'The List'!B1:D665,3,FALSE)</f>
        <v>C/RW</v>
      </c>
      <c r="C42" s="89">
        <f>IF(Settings!$E$15="POINTS",RANK(E42,E3:E206),H42)</f>
        <v>39</v>
      </c>
      <c r="D42" s="65" t="str">
        <f>VLOOKUP(A42,'The List'!B1:F665,5,FALSE)</f>
        <v>CAR</v>
      </c>
      <c r="E42" s="54">
        <f>VLOOKUP(A42,'The List'!B1:I665,8,FALSE)</f>
        <v>353.34076548583994</v>
      </c>
      <c r="F42" s="54">
        <f>IF(Settings!$E$15="POINTS",E42-VLOOKUP(B$2,C1:E206,3,FALSE),J42)</f>
        <v>-36.596392292241148</v>
      </c>
      <c r="G42" s="54"/>
      <c r="H42" s="167">
        <f>RANK(I42,I3:I206)</f>
        <v>25</v>
      </c>
      <c r="I42" s="168">
        <f>VLOOKUP(A42,'Standard Deviations'!A1:C666,3,FALSE)</f>
        <v>6.4987790273516417</v>
      </c>
      <c r="J42" s="168">
        <f>I42-VLOOKUP(B$2,H1:J206,2,FALSE)</f>
        <v>-0.18542292690084494</v>
      </c>
    </row>
    <row r="43" spans="1:10" ht="21.25" customHeight="1" x14ac:dyDescent="0.15">
      <c r="A43" s="9" t="s">
        <v>258</v>
      </c>
      <c r="B43" s="88" t="str">
        <f>VLOOKUP(A43,'The List'!B1:D665,3,FALSE)</f>
        <v>C</v>
      </c>
      <c r="C43" s="89">
        <f>IF(Settings!$E$15="POINTS",RANK(E43,E3:E206),H43)</f>
        <v>44</v>
      </c>
      <c r="D43" s="65" t="str">
        <f>VLOOKUP(A43,'The List'!B1:F665,5,FALSE)</f>
        <v>PIT</v>
      </c>
      <c r="E43" s="54">
        <f>VLOOKUP(A43,'The List'!B1:I665,8,FALSE)</f>
        <v>337.82564059107443</v>
      </c>
      <c r="F43" s="54">
        <f>IF(Settings!$E$15="POINTS",E43-VLOOKUP(B$2,C1:E206,3,FALSE),J43)</f>
        <v>-52.111517187006655</v>
      </c>
      <c r="G43" s="54"/>
      <c r="H43" s="167">
        <f>RANK(I43,I3:I206)</f>
        <v>44</v>
      </c>
      <c r="I43" s="168">
        <f>VLOOKUP(A43,'Standard Deviations'!A1:C666,3,FALSE)</f>
        <v>4.3843947180049971</v>
      </c>
      <c r="J43" s="168">
        <f>I43-VLOOKUP(B$2,H1:J206,2,FALSE)</f>
        <v>-2.2998072362474895</v>
      </c>
    </row>
    <row r="44" spans="1:10" ht="21.25" customHeight="1" x14ac:dyDescent="0.15">
      <c r="A44" s="9" t="s">
        <v>239</v>
      </c>
      <c r="B44" s="88" t="str">
        <f>VLOOKUP(A44,'The List'!B1:D665,3,FALSE)</f>
        <v>C</v>
      </c>
      <c r="C44" s="89">
        <f>IF(Settings!$E$15="POINTS",RANK(E44,E3:E206),H44)</f>
        <v>40</v>
      </c>
      <c r="D44" s="65" t="str">
        <f>VLOOKUP(A44,'The List'!B1:F665,5,FALSE)</f>
        <v>BUF</v>
      </c>
      <c r="E44" s="54">
        <f>VLOOKUP(A44,'The List'!B1:I665,8,FALSE)</f>
        <v>350.39841048104796</v>
      </c>
      <c r="F44" s="54">
        <f>IF(Settings!$E$15="POINTS",E44-VLOOKUP(B$2,C1:E206,3,FALSE),J44)</f>
        <v>-39.538747297033126</v>
      </c>
      <c r="G44" s="54"/>
      <c r="H44" s="167">
        <f>RANK(I44,I3:I206)</f>
        <v>48</v>
      </c>
      <c r="I44" s="168">
        <f>VLOOKUP(A44,'Standard Deviations'!A1:C666,3,FALSE)</f>
        <v>3.8150620862710971</v>
      </c>
      <c r="J44" s="168">
        <f>I44-VLOOKUP(B$2,H1:J206,2,FALSE)</f>
        <v>-2.8691398679813895</v>
      </c>
    </row>
    <row r="45" spans="1:10" ht="21.25" customHeight="1" x14ac:dyDescent="0.15">
      <c r="A45" s="9" t="s">
        <v>249</v>
      </c>
      <c r="B45" s="88" t="str">
        <f>VLOOKUP(A45,'The List'!B1:D665,3,FALSE)</f>
        <v>C</v>
      </c>
      <c r="C45" s="89">
        <f>IF(Settings!$E$15="POINTS",RANK(E45,E3:E206),H45)</f>
        <v>42</v>
      </c>
      <c r="D45" s="65" t="str">
        <f>VLOOKUP(A45,'The List'!B1:F665,5,FALSE)</f>
        <v>BOS</v>
      </c>
      <c r="E45" s="54">
        <f>VLOOKUP(A45,'The List'!B1:I665,8,FALSE)</f>
        <v>346.24116150700775</v>
      </c>
      <c r="F45" s="54">
        <f>IF(Settings!$E$15="POINTS",E45-VLOOKUP(B$2,C1:E206,3,FALSE),J45)</f>
        <v>-43.695996271073341</v>
      </c>
      <c r="G45" s="54"/>
      <c r="H45" s="167">
        <f>RANK(I45,I3:I206)</f>
        <v>45</v>
      </c>
      <c r="I45" s="168">
        <f>VLOOKUP(A45,'Standard Deviations'!A1:C666,3,FALSE)</f>
        <v>4.2482489821431475</v>
      </c>
      <c r="J45" s="168">
        <f>I45-VLOOKUP(B$2,H1:J206,2,FALSE)</f>
        <v>-2.4359529721093391</v>
      </c>
    </row>
    <row r="46" spans="1:10" ht="21.25" customHeight="1" x14ac:dyDescent="0.15">
      <c r="A46" s="9" t="s">
        <v>252</v>
      </c>
      <c r="B46" s="88" t="str">
        <f>VLOOKUP(A46,'The List'!B1:D665,3,FALSE)</f>
        <v>C</v>
      </c>
      <c r="C46" s="89">
        <f>IF(Settings!$E$15="POINTS",RANK(E46,E3:E206),H46)</f>
        <v>43</v>
      </c>
      <c r="D46" s="65" t="str">
        <f>VLOOKUP(A46,'The List'!B1:F665,5,FALSE)</f>
        <v>WSH</v>
      </c>
      <c r="E46" s="54">
        <f>VLOOKUP(A46,'The List'!B1:I665,8,FALSE)</f>
        <v>345.67632965586904</v>
      </c>
      <c r="F46" s="54">
        <f>IF(Settings!$E$15="POINTS",E46-VLOOKUP(B$2,C1:E206,3,FALSE),J46)</f>
        <v>-44.260828122212047</v>
      </c>
      <c r="G46" s="54"/>
      <c r="H46" s="167">
        <f>RANK(I46,I3:I206)</f>
        <v>40</v>
      </c>
      <c r="I46" s="168">
        <f>VLOOKUP(A46,'Standard Deviations'!A1:C666,3,FALSE)</f>
        <v>4.4961144451901731</v>
      </c>
      <c r="J46" s="168">
        <f>I46-VLOOKUP(B$2,H1:J206,2,FALSE)</f>
        <v>-2.1880875090623135</v>
      </c>
    </row>
    <row r="47" spans="1:10" ht="21.25" customHeight="1" x14ac:dyDescent="0.15">
      <c r="A47" s="9" t="s">
        <v>243</v>
      </c>
      <c r="B47" s="88" t="str">
        <f>VLOOKUP(A47,'The List'!B1:D665,3,FALSE)</f>
        <v>C/RW</v>
      </c>
      <c r="C47" s="89">
        <f>IF(Settings!$E$15="POINTS",RANK(E47,E3:E206),H47)</f>
        <v>47</v>
      </c>
      <c r="D47" s="65" t="str">
        <f>VLOOKUP(A47,'The List'!B1:F665,5,FALSE)</f>
        <v>ANA</v>
      </c>
      <c r="E47" s="54">
        <f>VLOOKUP(A47,'The List'!B1:I665,8,FALSE)</f>
        <v>328.29973884741958</v>
      </c>
      <c r="F47" s="54">
        <f>IF(Settings!$E$15="POINTS",E47-VLOOKUP(B$2,C1:E206,3,FALSE),J47)</f>
        <v>-61.637418930661511</v>
      </c>
      <c r="G47" s="54"/>
      <c r="H47" s="167">
        <f>RANK(I47,I3:I206)</f>
        <v>63</v>
      </c>
      <c r="I47" s="168">
        <f>VLOOKUP(A47,'Standard Deviations'!A1:C666,3,FALSE)</f>
        <v>1.9358371779552817</v>
      </c>
      <c r="J47" s="168">
        <f>I47-VLOOKUP(B$2,H1:J206,2,FALSE)</f>
        <v>-4.7483647762972048</v>
      </c>
    </row>
    <row r="48" spans="1:10" ht="21.25" customHeight="1" x14ac:dyDescent="0.15">
      <c r="A48" s="9" t="s">
        <v>275</v>
      </c>
      <c r="B48" s="88" t="str">
        <f>VLOOKUP(A48,'The List'!B1:D665,3,FALSE)</f>
        <v>C</v>
      </c>
      <c r="C48" s="89">
        <f>IF(Settings!$E$15="POINTS",RANK(E48,E3:E206),H48)</f>
        <v>51</v>
      </c>
      <c r="D48" s="65" t="str">
        <f>VLOOKUP(A48,'The List'!B1:F665,5,FALSE)</f>
        <v>VGK</v>
      </c>
      <c r="E48" s="54">
        <f>VLOOKUP(A48,'The List'!B1:I665,8,FALSE)</f>
        <v>319.91599006589149</v>
      </c>
      <c r="F48" s="54">
        <f>IF(Settings!$E$15="POINTS",E48-VLOOKUP(B$2,C1:E206,3,FALSE),J48)</f>
        <v>-70.021167712189595</v>
      </c>
      <c r="G48" s="54"/>
      <c r="H48" s="167">
        <f>RANK(I48,I3:I206)</f>
        <v>49</v>
      </c>
      <c r="I48" s="168">
        <f>VLOOKUP(A48,'Standard Deviations'!A1:C666,3,FALSE)</f>
        <v>3.7777643276011195</v>
      </c>
      <c r="J48" s="168">
        <f>I48-VLOOKUP(B$2,H1:J206,2,FALSE)</f>
        <v>-2.9064376266513672</v>
      </c>
    </row>
    <row r="49" spans="1:10" ht="21.25" customHeight="1" x14ac:dyDescent="0.15">
      <c r="A49" s="9" t="s">
        <v>236</v>
      </c>
      <c r="B49" s="88" t="str">
        <f>VLOOKUP(A49,'The List'!B1:D665,3,FALSE)</f>
        <v>C/RW</v>
      </c>
      <c r="C49" s="89">
        <f>IF(Settings!$E$15="POINTS",RANK(E49,E3:E206),H49)</f>
        <v>45</v>
      </c>
      <c r="D49" s="65" t="str">
        <f>VLOOKUP(A49,'The List'!B1:F665,5,FALSE)</f>
        <v>CAR</v>
      </c>
      <c r="E49" s="54">
        <f>VLOOKUP(A49,'The List'!B1:I665,8,FALSE)</f>
        <v>332.60632585145726</v>
      </c>
      <c r="F49" s="54">
        <f>IF(Settings!$E$15="POINTS",E49-VLOOKUP(B$2,C1:E206,3,FALSE),J49)</f>
        <v>-57.33083192662383</v>
      </c>
      <c r="G49" s="54"/>
      <c r="H49" s="167">
        <f>RANK(I49,I3:I206)</f>
        <v>37</v>
      </c>
      <c r="I49" s="168">
        <f>VLOOKUP(A49,'Standard Deviations'!A1:C666,3,FALSE)</f>
        <v>4.6396819903075475</v>
      </c>
      <c r="J49" s="168">
        <f>I49-VLOOKUP(B$2,H1:J206,2,FALSE)</f>
        <v>-2.0445199639449392</v>
      </c>
    </row>
    <row r="50" spans="1:10" ht="21.25" customHeight="1" x14ac:dyDescent="0.15">
      <c r="A50" s="9" t="s">
        <v>262</v>
      </c>
      <c r="B50" s="88" t="str">
        <f>VLOOKUP(A50,'The List'!B1:D665,3,FALSE)</f>
        <v>C</v>
      </c>
      <c r="C50" s="89">
        <f>IF(Settings!$E$15="POINTS",RANK(E50,E3:E206),H50)</f>
        <v>46</v>
      </c>
      <c r="D50" s="65" t="str">
        <f>VLOOKUP(A50,'The List'!B1:F665,5,FALSE)</f>
        <v>UTA</v>
      </c>
      <c r="E50" s="54">
        <f>VLOOKUP(A50,'The List'!B1:I665,8,FALSE)</f>
        <v>332.17288551324236</v>
      </c>
      <c r="F50" s="54">
        <f>IF(Settings!$E$15="POINTS",E50-VLOOKUP(B$2,C1:E206,3,FALSE),J50)</f>
        <v>-57.764272264838723</v>
      </c>
      <c r="G50" s="54"/>
      <c r="H50" s="167">
        <f>RANK(I50,I3:I206)</f>
        <v>47</v>
      </c>
      <c r="I50" s="168">
        <f>VLOOKUP(A50,'Standard Deviations'!A1:C666,3,FALSE)</f>
        <v>3.9323301523548646</v>
      </c>
      <c r="J50" s="168">
        <f>I50-VLOOKUP(B$2,H1:J206,2,FALSE)</f>
        <v>-2.751871801897622</v>
      </c>
    </row>
    <row r="51" spans="1:10" ht="21.25" customHeight="1" x14ac:dyDescent="0.15">
      <c r="A51" s="9" t="s">
        <v>277</v>
      </c>
      <c r="B51" s="88" t="str">
        <f>VLOOKUP(A51,'The List'!B1:D665,3,FALSE)</f>
        <v>C</v>
      </c>
      <c r="C51" s="89">
        <f>IF(Settings!$E$15="POINTS",RANK(E51,E3:E206),H51)</f>
        <v>52</v>
      </c>
      <c r="D51" s="65" t="str">
        <f>VLOOKUP(A51,'The List'!B1:F665,5,FALSE)</f>
        <v>NSH</v>
      </c>
      <c r="E51" s="54">
        <f>VLOOKUP(A51,'The List'!B1:I665,8,FALSE)</f>
        <v>318.95498324987705</v>
      </c>
      <c r="F51" s="54">
        <f>IF(Settings!$E$15="POINTS",E51-VLOOKUP(B$2,C1:E206,3,FALSE),J51)</f>
        <v>-70.982174528204041</v>
      </c>
      <c r="G51" s="54"/>
      <c r="H51" s="167">
        <f>RANK(I51,I3:I206)</f>
        <v>46</v>
      </c>
      <c r="I51" s="168">
        <f>VLOOKUP(A51,'Standard Deviations'!A1:C666,3,FALSE)</f>
        <v>4.247121519916301</v>
      </c>
      <c r="J51" s="168">
        <f>I51-VLOOKUP(B$2,H1:J206,2,FALSE)</f>
        <v>-2.4370804343361856</v>
      </c>
    </row>
    <row r="52" spans="1:10" ht="21.25" customHeight="1" x14ac:dyDescent="0.15">
      <c r="A52" s="9" t="s">
        <v>251</v>
      </c>
      <c r="B52" s="88" t="str">
        <f>VLOOKUP(A52,'The List'!B1:D665,3,FALSE)</f>
        <v>C/RW</v>
      </c>
      <c r="C52" s="89">
        <f>IF(Settings!$E$15="POINTS",RANK(E52,E3:E206),H52)</f>
        <v>49</v>
      </c>
      <c r="D52" s="65" t="str">
        <f>VLOOKUP(A52,'The List'!B1:F665,5,FALSE)</f>
        <v>CGY</v>
      </c>
      <c r="E52" s="54">
        <f>VLOOKUP(A52,'The List'!B1:I665,8,FALSE)</f>
        <v>324.7167796629285</v>
      </c>
      <c r="F52" s="54">
        <f>IF(Settings!$E$15="POINTS",E52-VLOOKUP(B$2,C1:E206,3,FALSE),J52)</f>
        <v>-65.220378115152585</v>
      </c>
      <c r="G52" s="54"/>
      <c r="H52" s="167">
        <f>RANK(I52,I3:I206)</f>
        <v>58</v>
      </c>
      <c r="I52" s="168">
        <f>VLOOKUP(A52,'Standard Deviations'!A1:C666,3,FALSE)</f>
        <v>2.2861546248777014</v>
      </c>
      <c r="J52" s="168">
        <f>I52-VLOOKUP(B$2,H1:J206,2,FALSE)</f>
        <v>-4.3980473293747853</v>
      </c>
    </row>
    <row r="53" spans="1:10" ht="21.25" customHeight="1" x14ac:dyDescent="0.15">
      <c r="A53" s="9" t="s">
        <v>287</v>
      </c>
      <c r="B53" s="88" t="str">
        <f>VLOOKUP(A53,'The List'!B1:D665,3,FALSE)</f>
        <v>C</v>
      </c>
      <c r="C53" s="89">
        <f>IF(Settings!$E$15="POINTS",RANK(E53,E3:E206),H53)</f>
        <v>55</v>
      </c>
      <c r="D53" s="65" t="str">
        <f>VLOOKUP(A53,'The List'!B1:F665,5,FALSE)</f>
        <v>ANA</v>
      </c>
      <c r="E53" s="54">
        <f>VLOOKUP(A53,'The List'!B1:I665,8,FALSE)</f>
        <v>308.93797689844052</v>
      </c>
      <c r="F53" s="54">
        <f>IF(Settings!$E$15="POINTS",E53-VLOOKUP(B$2,C1:E206,3,FALSE),J53)</f>
        <v>-80.999180879640562</v>
      </c>
      <c r="G53" s="54"/>
      <c r="H53" s="167">
        <f>RANK(I53,I3:I206)</f>
        <v>76</v>
      </c>
      <c r="I53" s="168">
        <f>VLOOKUP(A53,'Standard Deviations'!A1:C666,3,FALSE)</f>
        <v>0.91117606919833438</v>
      </c>
      <c r="J53" s="168">
        <f>I53-VLOOKUP(B$2,H1:J206,2,FALSE)</f>
        <v>-5.7730258850541523</v>
      </c>
    </row>
    <row r="54" spans="1:10" ht="21.25" customHeight="1" x14ac:dyDescent="0.15">
      <c r="A54" s="9" t="s">
        <v>263</v>
      </c>
      <c r="B54" s="88" t="str">
        <f>VLOOKUP(A54,'The List'!B1:D665,3,FALSE)</f>
        <v>C/RW</v>
      </c>
      <c r="C54" s="89">
        <f>IF(Settings!$E$15="POINTS",RANK(E54,E3:E206),H54)</f>
        <v>54</v>
      </c>
      <c r="D54" s="65" t="str">
        <f>VLOOKUP(A54,'The List'!B1:F665,5,FALSE)</f>
        <v>UTA</v>
      </c>
      <c r="E54" s="54">
        <f>VLOOKUP(A54,'The List'!B1:I665,8,FALSE)</f>
        <v>309.11075443473175</v>
      </c>
      <c r="F54" s="54">
        <f>IF(Settings!$E$15="POINTS",E54-VLOOKUP(B$2,C1:E206,3,FALSE),J54)</f>
        <v>-80.826403343349341</v>
      </c>
      <c r="G54" s="54"/>
      <c r="H54" s="167">
        <f>RANK(I54,I3:I206)</f>
        <v>54</v>
      </c>
      <c r="I54" s="168">
        <f>VLOOKUP(A54,'Standard Deviations'!A1:C666,3,FALSE)</f>
        <v>2.9378643738990307</v>
      </c>
      <c r="J54" s="168">
        <f>I54-VLOOKUP(B$2,H1:J206,2,FALSE)</f>
        <v>-3.746337580353456</v>
      </c>
    </row>
    <row r="55" spans="1:10" ht="21.25" customHeight="1" x14ac:dyDescent="0.15">
      <c r="A55" s="9" t="s">
        <v>268</v>
      </c>
      <c r="B55" s="88" t="str">
        <f>VLOOKUP(A55,'The List'!B1:D665,3,FALSE)</f>
        <v>C</v>
      </c>
      <c r="C55" s="89">
        <f>IF(Settings!$E$15="POINTS",RANK(E55,E3:E206),H55)</f>
        <v>48</v>
      </c>
      <c r="D55" s="65" t="str">
        <f>VLOOKUP(A55,'The List'!B1:F665,5,FALSE)</f>
        <v>L.A</v>
      </c>
      <c r="E55" s="54">
        <f>VLOOKUP(A55,'The List'!B1:I665,8,FALSE)</f>
        <v>327.27319615067228</v>
      </c>
      <c r="F55" s="54">
        <f>IF(Settings!$E$15="POINTS",E55-VLOOKUP(B$2,C1:E206,3,FALSE),J55)</f>
        <v>-62.66396162740881</v>
      </c>
      <c r="G55" s="54"/>
      <c r="H55" s="167">
        <f>RANK(I55,I3:I206)</f>
        <v>42</v>
      </c>
      <c r="I55" s="168">
        <f>VLOOKUP(A55,'Standard Deviations'!A1:C666,3,FALSE)</f>
        <v>4.4282506236979193</v>
      </c>
      <c r="J55" s="168">
        <f>I55-VLOOKUP(B$2,H1:J206,2,FALSE)</f>
        <v>-2.2559513305545673</v>
      </c>
    </row>
    <row r="56" spans="1:10" ht="21.25" customHeight="1" x14ac:dyDescent="0.15">
      <c r="A56" s="9" t="s">
        <v>319</v>
      </c>
      <c r="B56" s="88" t="str">
        <f>VLOOKUP(A56,'The List'!B1:D665,3,FALSE)</f>
        <v>C</v>
      </c>
      <c r="C56" s="89">
        <f>IF(Settings!$E$15="POINTS",RANK(E56,E3:E206),H56)</f>
        <v>63</v>
      </c>
      <c r="D56" s="65" t="str">
        <f>VLOOKUP(A56,'The List'!B1:F665,5,FALSE)</f>
        <v>CBJ</v>
      </c>
      <c r="E56" s="54">
        <f>VLOOKUP(A56,'The List'!B1:I665,8,FALSE)</f>
        <v>285.94640307741395</v>
      </c>
      <c r="F56" s="54">
        <f>IF(Settings!$E$15="POINTS",E56-VLOOKUP(B$2,C1:E206,3,FALSE),J56)</f>
        <v>-103.99075470066714</v>
      </c>
      <c r="G56" s="54"/>
      <c r="H56" s="167">
        <f>RANK(I56,I3:I206)</f>
        <v>92</v>
      </c>
      <c r="I56" s="168">
        <f>VLOOKUP(A56,'Standard Deviations'!A1:C666,3,FALSE)</f>
        <v>-4.7440966549971986E-2</v>
      </c>
      <c r="J56" s="168">
        <f>I56-VLOOKUP(B$2,H1:J206,2,FALSE)</f>
        <v>-6.7316429208024591</v>
      </c>
    </row>
    <row r="57" spans="1:10" ht="21.25" customHeight="1" x14ac:dyDescent="0.15">
      <c r="A57" s="9" t="s">
        <v>316</v>
      </c>
      <c r="B57" s="88" t="str">
        <f>VLOOKUP(A57,'The List'!B1:D665,3,FALSE)</f>
        <v>C</v>
      </c>
      <c r="C57" s="89">
        <f>IF(Settings!$E$15="POINTS",RANK(E57,E3:E206),H57)</f>
        <v>61</v>
      </c>
      <c r="D57" s="65" t="str">
        <f>VLOOKUP(A57,'The List'!B1:F665,5,FALSE)</f>
        <v>ANA</v>
      </c>
      <c r="E57" s="54">
        <f>VLOOKUP(A57,'The List'!B1:I665,8,FALSE)</f>
        <v>286.91246733758169</v>
      </c>
      <c r="F57" s="54">
        <f>IF(Settings!$E$15="POINTS",E57-VLOOKUP(B$2,C1:E206,3,FALSE),J57)</f>
        <v>-103.0246904404994</v>
      </c>
      <c r="G57" s="54"/>
      <c r="H57" s="167">
        <f>RANK(I57,I3:I206)</f>
        <v>81</v>
      </c>
      <c r="I57" s="168">
        <f>VLOOKUP(A57,'Standard Deviations'!A1:C666,3,FALSE)</f>
        <v>0.57680677596721308</v>
      </c>
      <c r="J57" s="168">
        <f>I57-VLOOKUP(B$2,H1:J206,2,FALSE)</f>
        <v>-6.1073951782852731</v>
      </c>
    </row>
    <row r="58" spans="1:10" ht="21.25" customHeight="1" x14ac:dyDescent="0.15">
      <c r="A58" s="9" t="s">
        <v>299</v>
      </c>
      <c r="B58" s="88" t="str">
        <f>VLOOKUP(A58,'The List'!B1:D665,3,FALSE)</f>
        <v>C/LW</v>
      </c>
      <c r="C58" s="89">
        <f>IF(Settings!$E$15="POINTS",RANK(E58,E3:E206),H58)</f>
        <v>59</v>
      </c>
      <c r="D58" s="65" t="str">
        <f>VLOOKUP(A58,'The List'!B1:F665,5,FALSE)</f>
        <v>CBJ</v>
      </c>
      <c r="E58" s="54">
        <f>VLOOKUP(A58,'The List'!B1:I665,8,FALSE)</f>
        <v>292.05147270563117</v>
      </c>
      <c r="F58" s="54">
        <f>IF(Settings!$E$15="POINTS",E58-VLOOKUP(B$2,C1:E206,3,FALSE),J58)</f>
        <v>-97.885685072449917</v>
      </c>
      <c r="G58" s="54"/>
      <c r="H58" s="167">
        <f>RANK(I58,I3:I206)</f>
        <v>73</v>
      </c>
      <c r="I58" s="168">
        <f>VLOOKUP(A58,'Standard Deviations'!A1:C666,3,FALSE)</f>
        <v>0.95832395621363253</v>
      </c>
      <c r="J58" s="168">
        <f>I58-VLOOKUP(B$2,H1:J206,2,FALSE)</f>
        <v>-5.7258779980388539</v>
      </c>
    </row>
    <row r="59" spans="1:10" ht="21.25" customHeight="1" x14ac:dyDescent="0.15">
      <c r="A59" s="9" t="s">
        <v>266</v>
      </c>
      <c r="B59" s="88" t="str">
        <f>VLOOKUP(A59,'The List'!B1:D665,3,FALSE)</f>
        <v>C/LW</v>
      </c>
      <c r="C59" s="89">
        <f>IF(Settings!$E$15="POINTS",RANK(E59,E3:E206),H59)</f>
        <v>50</v>
      </c>
      <c r="D59" s="65" t="str">
        <f>VLOOKUP(A59,'The List'!B1:F665,5,FALSE)</f>
        <v>CGY</v>
      </c>
      <c r="E59" s="54">
        <f>VLOOKUP(A59,'The List'!B1:I665,8,FALSE)</f>
        <v>320.48231207302712</v>
      </c>
      <c r="F59" s="54">
        <f>IF(Settings!$E$15="POINTS",E59-VLOOKUP(B$2,C1:E206,3,FALSE),J59)</f>
        <v>-69.45484570505397</v>
      </c>
      <c r="G59" s="54"/>
      <c r="H59" s="167">
        <f>RANK(I59,I3:I206)</f>
        <v>56</v>
      </c>
      <c r="I59" s="168">
        <f>VLOOKUP(A59,'Standard Deviations'!A1:C666,3,FALSE)</f>
        <v>2.6752724492476534</v>
      </c>
      <c r="J59" s="168">
        <f>I59-VLOOKUP(B$2,H1:J206,2,FALSE)</f>
        <v>-4.0089295050048328</v>
      </c>
    </row>
    <row r="60" spans="1:10" ht="21.25" customHeight="1" x14ac:dyDescent="0.15">
      <c r="A60" s="9" t="s">
        <v>271</v>
      </c>
      <c r="B60" s="88" t="str">
        <f>VLOOKUP(A60,'The List'!B1:D665,3,FALSE)</f>
        <v>C/LW</v>
      </c>
      <c r="C60" s="89">
        <f>IF(Settings!$E$15="POINTS",RANK(E60,E3:E206),H60)</f>
        <v>53</v>
      </c>
      <c r="D60" s="65" t="str">
        <f>VLOOKUP(A60,'The List'!B1:F665,5,FALSE)</f>
        <v>WSH</v>
      </c>
      <c r="E60" s="54">
        <f>VLOOKUP(A60,'The List'!B1:I665,8,FALSE)</f>
        <v>313.3564789996388</v>
      </c>
      <c r="F60" s="54">
        <f>IF(Settings!$E$15="POINTS",E60-VLOOKUP(B$2,C1:E206,3,FALSE),J60)</f>
        <v>-76.580678778442291</v>
      </c>
      <c r="G60" s="54"/>
      <c r="H60" s="167">
        <f>RANK(I60,I3:I206)</f>
        <v>50</v>
      </c>
      <c r="I60" s="168">
        <f>VLOOKUP(A60,'Standard Deviations'!A1:C666,3,FALSE)</f>
        <v>3.6936452878854547</v>
      </c>
      <c r="J60" s="168">
        <f>I60-VLOOKUP(B$2,H1:J206,2,FALSE)</f>
        <v>-2.990556666367032</v>
      </c>
    </row>
    <row r="61" spans="1:10" ht="21.25" customHeight="1" x14ac:dyDescent="0.15">
      <c r="A61" s="9" t="s">
        <v>367</v>
      </c>
      <c r="B61" s="88" t="str">
        <f>VLOOKUP(A61,'The List'!B1:D665,3,FALSE)</f>
        <v>C</v>
      </c>
      <c r="C61" s="89">
        <f>IF(Settings!$E$15="POINTS",RANK(E61,E3:E206),H61)</f>
        <v>73</v>
      </c>
      <c r="D61" s="65" t="str">
        <f>VLOOKUP(A61,'The List'!B1:F665,5,FALSE)</f>
        <v>S.J</v>
      </c>
      <c r="E61" s="54">
        <f>VLOOKUP(A61,'The List'!B1:I665,8,FALSE)</f>
        <v>262.08152750945681</v>
      </c>
      <c r="F61" s="54">
        <f>IF(Settings!$E$15="POINTS",E61-VLOOKUP(B$2,C1:E206,3,FALSE),J61)</f>
        <v>-127.85563026862428</v>
      </c>
      <c r="G61" s="54"/>
      <c r="H61" s="167">
        <f>RANK(I61,I3:I206)</f>
        <v>91</v>
      </c>
      <c r="I61" s="168">
        <f>VLOOKUP(A61,'Standard Deviations'!A1:C666,3,FALSE)</f>
        <v>-4.5481037456036155E-2</v>
      </c>
      <c r="J61" s="168">
        <f>I61-VLOOKUP(B$2,H1:J206,2,FALSE)</f>
        <v>-6.7296829917085228</v>
      </c>
    </row>
    <row r="62" spans="1:10" ht="21.25" customHeight="1" x14ac:dyDescent="0.15">
      <c r="A62" s="9" t="s">
        <v>304</v>
      </c>
      <c r="B62" s="88" t="str">
        <f>VLOOKUP(A62,'The List'!B1:D665,3,FALSE)</f>
        <v>C</v>
      </c>
      <c r="C62" s="89">
        <f>IF(Settings!$E$15="POINTS",RANK(E62,E3:E206),H62)</f>
        <v>58</v>
      </c>
      <c r="D62" s="65" t="str">
        <f>VLOOKUP(A62,'The List'!B1:F665,5,FALSE)</f>
        <v>L.A</v>
      </c>
      <c r="E62" s="54">
        <f>VLOOKUP(A62,'The List'!B1:I665,8,FALSE)</f>
        <v>295.21854070493464</v>
      </c>
      <c r="F62" s="54">
        <f>IF(Settings!$E$15="POINTS",E62-VLOOKUP(B$2,C1:E206,3,FALSE),J62)</f>
        <v>-94.718617073146447</v>
      </c>
      <c r="G62" s="54"/>
      <c r="H62" s="167">
        <f>RANK(I62,I3:I206)</f>
        <v>51</v>
      </c>
      <c r="I62" s="168">
        <f>VLOOKUP(A62,'Standard Deviations'!A1:C666,3,FALSE)</f>
        <v>3.2710141463107627</v>
      </c>
      <c r="J62" s="168">
        <f>I62-VLOOKUP(B$2,H1:J206,2,FALSE)</f>
        <v>-3.4131878079417239</v>
      </c>
    </row>
    <row r="63" spans="1:10" ht="21.25" customHeight="1" x14ac:dyDescent="0.15">
      <c r="A63" s="9" t="s">
        <v>329</v>
      </c>
      <c r="B63" s="88" t="str">
        <f>VLOOKUP(A63,'The List'!B1:D665,3,FALSE)</f>
        <v>C/RW</v>
      </c>
      <c r="C63" s="89">
        <f>IF(Settings!$E$15="POINTS",RANK(E63,E3:E206),H63)</f>
        <v>75</v>
      </c>
      <c r="D63" s="65" t="str">
        <f>VLOOKUP(A63,'The List'!B1:F665,5,FALSE)</f>
        <v>WPG</v>
      </c>
      <c r="E63" s="54">
        <f>VLOOKUP(A63,'The List'!B1:I665,8,FALSE)</f>
        <v>259.62903323515349</v>
      </c>
      <c r="F63" s="54">
        <f>IF(Settings!$E$15="POINTS",E63-VLOOKUP(B$2,C1:E206,3,FALSE),J63)</f>
        <v>-130.3081245429276</v>
      </c>
      <c r="G63" s="54"/>
      <c r="H63" s="167">
        <f>RANK(I63,I3:I206)</f>
        <v>60</v>
      </c>
      <c r="I63" s="168">
        <f>VLOOKUP(A63,'Standard Deviations'!A1:C666,3,FALSE)</f>
        <v>2.1667662987696272</v>
      </c>
      <c r="J63" s="168">
        <f>I63-VLOOKUP(B$2,H1:J206,2,FALSE)</f>
        <v>-4.5174356554828599</v>
      </c>
    </row>
    <row r="64" spans="1:10" ht="21.25" customHeight="1" x14ac:dyDescent="0.15">
      <c r="A64" s="9" t="s">
        <v>346</v>
      </c>
      <c r="B64" s="88" t="str">
        <f>VLOOKUP(A64,'The List'!B1:D665,3,FALSE)</f>
        <v>C</v>
      </c>
      <c r="C64" s="89">
        <f>IF(Settings!$E$15="POINTS",RANK(E64,E3:E206),H64)</f>
        <v>68</v>
      </c>
      <c r="D64" s="65" t="str">
        <f>VLOOKUP(A64,'The List'!B1:F665,5,FALSE)</f>
        <v>ANA</v>
      </c>
      <c r="E64" s="54">
        <f>VLOOKUP(A64,'The List'!B1:I665,8,FALSE)</f>
        <v>270.47008774980981</v>
      </c>
      <c r="F64" s="54">
        <f>IF(Settings!$E$15="POINTS",E64-VLOOKUP(B$2,C1:E206,3,FALSE),J64)</f>
        <v>-119.46707002827128</v>
      </c>
      <c r="G64" s="54"/>
      <c r="H64" s="167">
        <f>RANK(I64,I3:I206)</f>
        <v>85</v>
      </c>
      <c r="I64" s="168">
        <f>VLOOKUP(A64,'Standard Deviations'!A1:C666,3,FALSE)</f>
        <v>0.49307890585374703</v>
      </c>
      <c r="J64" s="168">
        <f>I64-VLOOKUP(B$2,H1:J206,2,FALSE)</f>
        <v>-6.1911230483987394</v>
      </c>
    </row>
    <row r="65" spans="1:10" ht="21.25" customHeight="1" x14ac:dyDescent="0.15">
      <c r="A65" s="9" t="s">
        <v>303</v>
      </c>
      <c r="B65" s="88" t="str">
        <f>VLOOKUP(A65,'The List'!B1:D665,3,FALSE)</f>
        <v>C</v>
      </c>
      <c r="C65" s="89">
        <f>IF(Settings!$E$15="POINTS",RANK(E65,E3:E206),H65)</f>
        <v>57</v>
      </c>
      <c r="D65" s="65" t="str">
        <f>VLOOKUP(A65,'The List'!B1:F665,5,FALSE)</f>
        <v>S.J</v>
      </c>
      <c r="E65" s="54">
        <f>VLOOKUP(A65,'The List'!B1:I665,8,FALSE)</f>
        <v>296.53031707317069</v>
      </c>
      <c r="F65" s="54">
        <f>IF(Settings!$E$15="POINTS",E65-VLOOKUP(B$2,C1:E206,3,FALSE),J65)</f>
        <v>-93.406840704910394</v>
      </c>
      <c r="G65" s="54"/>
      <c r="H65" s="167">
        <f>RANK(I65,I3:I206)</f>
        <v>71</v>
      </c>
      <c r="I65" s="168">
        <f>VLOOKUP(A65,'Standard Deviations'!A1:C666,3,FALSE)</f>
        <v>1.1150049457437559</v>
      </c>
      <c r="J65" s="168">
        <f>I65-VLOOKUP(B$2,H1:J206,2,FALSE)</f>
        <v>-5.5691970085087306</v>
      </c>
    </row>
    <row r="66" spans="1:10" ht="21.25" customHeight="1" x14ac:dyDescent="0.15">
      <c r="A66" s="9" t="s">
        <v>293</v>
      </c>
      <c r="B66" s="88" t="str">
        <f>VLOOKUP(A66,'The List'!B1:D665,3,FALSE)</f>
        <v>C/LW</v>
      </c>
      <c r="C66" s="89">
        <f>IF(Settings!$E$15="POINTS",RANK(E66,E3:E206),H66)</f>
        <v>56</v>
      </c>
      <c r="D66" s="65" t="str">
        <f>VLOOKUP(A66,'The List'!B1:F665,5,FALSE)</f>
        <v>ANA</v>
      </c>
      <c r="E66" s="54">
        <f>VLOOKUP(A66,'The List'!B1:I665,8,FALSE)</f>
        <v>297.58783965303007</v>
      </c>
      <c r="F66" s="54">
        <f>IF(Settings!$E$15="POINTS",E66-VLOOKUP(B$2,C1:E206,3,FALSE),J66)</f>
        <v>-92.349318125051013</v>
      </c>
      <c r="G66" s="54"/>
      <c r="H66" s="167">
        <f>RANK(I66,I3:I206)</f>
        <v>82</v>
      </c>
      <c r="I66" s="168">
        <f>VLOOKUP(A66,'Standard Deviations'!A1:C666,3,FALSE)</f>
        <v>0.5250145497715315</v>
      </c>
      <c r="J66" s="168">
        <f>I66-VLOOKUP(B$2,H1:J206,2,FALSE)</f>
        <v>-6.1591874044809547</v>
      </c>
    </row>
    <row r="67" spans="1:10" ht="21.25" customHeight="1" x14ac:dyDescent="0.15">
      <c r="A67" s="9" t="s">
        <v>318</v>
      </c>
      <c r="B67" s="88" t="str">
        <f>VLOOKUP(A67,'The List'!B1:D665,3,FALSE)</f>
        <v>C</v>
      </c>
      <c r="C67" s="89">
        <f>IF(Settings!$E$15="POINTS",RANK(E67,E3:E206),H67)</f>
        <v>62</v>
      </c>
      <c r="D67" s="65" t="str">
        <f>VLOOKUP(A67,'The List'!B1:F665,5,FALSE)</f>
        <v>VGK</v>
      </c>
      <c r="E67" s="54">
        <f>VLOOKUP(A67,'The List'!B1:I665,8,FALSE)</f>
        <v>286.81451402447391</v>
      </c>
      <c r="F67" s="54">
        <f>IF(Settings!$E$15="POINTS",E67-VLOOKUP(B$2,C1:E206,3,FALSE),J67)</f>
        <v>-103.12264375360718</v>
      </c>
      <c r="G67" s="54"/>
      <c r="H67" s="167">
        <f>RANK(I67,I3:I206)</f>
        <v>55</v>
      </c>
      <c r="I67" s="168">
        <f>VLOOKUP(A67,'Standard Deviations'!A1:C666,3,FALSE)</f>
        <v>2.7752504672382341</v>
      </c>
      <c r="J67" s="168">
        <f>I67-VLOOKUP(B$2,H1:J206,2,FALSE)</f>
        <v>-3.9089514870142525</v>
      </c>
    </row>
    <row r="68" spans="1:10" ht="21.25" customHeight="1" x14ac:dyDescent="0.15">
      <c r="A68" s="9" t="s">
        <v>312</v>
      </c>
      <c r="B68" s="88" t="str">
        <f>VLOOKUP(A68,'The List'!B1:D665,3,FALSE)</f>
        <v>C</v>
      </c>
      <c r="C68" s="89">
        <f>IF(Settings!$E$15="POINTS",RANK(E68,E3:E206),H68)</f>
        <v>60</v>
      </c>
      <c r="D68" s="65" t="str">
        <f>VLOOKUP(A68,'The List'!B1:F665,5,FALSE)</f>
        <v>SEA</v>
      </c>
      <c r="E68" s="54">
        <f>VLOOKUP(A68,'The List'!B1:I665,8,FALSE)</f>
        <v>289.05546525413826</v>
      </c>
      <c r="F68" s="54">
        <f>IF(Settings!$E$15="POINTS",E68-VLOOKUP(B$2,C1:E206,3,FALSE),J68)</f>
        <v>-100.88169252394283</v>
      </c>
      <c r="G68" s="54"/>
      <c r="H68" s="167">
        <f>RANK(I68,I3:I206)</f>
        <v>59</v>
      </c>
      <c r="I68" s="168">
        <f>VLOOKUP(A68,'Standard Deviations'!A1:C666,3,FALSE)</f>
        <v>2.2454593220099377</v>
      </c>
      <c r="J68" s="168">
        <f>I68-VLOOKUP(B$2,H1:J206,2,FALSE)</f>
        <v>-4.4387426322425494</v>
      </c>
    </row>
    <row r="69" spans="1:10" ht="21.25" customHeight="1" x14ac:dyDescent="0.15">
      <c r="A69" s="9" t="s">
        <v>368</v>
      </c>
      <c r="B69" s="88" t="str">
        <f>VLOOKUP(A69,'The List'!B1:D665,3,FALSE)</f>
        <v>C</v>
      </c>
      <c r="C69" s="89">
        <f>IF(Settings!$E$15="POINTS",RANK(E69,E3:E206),H69)</f>
        <v>74</v>
      </c>
      <c r="D69" s="65" t="str">
        <f>VLOOKUP(A69,'The List'!B1:F665,5,FALSE)</f>
        <v>OTT</v>
      </c>
      <c r="E69" s="54">
        <f>VLOOKUP(A69,'The List'!B1:I665,8,FALSE)</f>
        <v>261.96429387247679</v>
      </c>
      <c r="F69" s="54">
        <f>IF(Settings!$E$15="POINTS",E69-VLOOKUP(B$2,C1:E206,3,FALSE),J69)</f>
        <v>-127.9728639056043</v>
      </c>
      <c r="G69" s="54"/>
      <c r="H69" s="167">
        <f>RANK(I69,I3:I206)</f>
        <v>70</v>
      </c>
      <c r="I69" s="168">
        <f>VLOOKUP(A69,'Standard Deviations'!A1:C666,3,FALSE)</f>
        <v>1.1673909272184766</v>
      </c>
      <c r="J69" s="168">
        <f>I69-VLOOKUP(B$2,H1:J206,2,FALSE)</f>
        <v>-5.5168110270340103</v>
      </c>
    </row>
    <row r="70" spans="1:10" ht="21.25" customHeight="1" x14ac:dyDescent="0.15">
      <c r="A70" s="9" t="s">
        <v>294</v>
      </c>
      <c r="B70" s="88" t="str">
        <f>VLOOKUP(A70,'The List'!B1:D665,3,FALSE)</f>
        <v>C/RW</v>
      </c>
      <c r="C70" s="89">
        <f>IF(Settings!$E$15="POINTS",RANK(E70,E3:E206),H70)</f>
        <v>64</v>
      </c>
      <c r="D70" s="65" t="str">
        <f>VLOOKUP(A70,'The List'!B1:F665,5,FALSE)</f>
        <v>DAL</v>
      </c>
      <c r="E70" s="54">
        <f>VLOOKUP(A70,'The List'!B1:I665,8,FALSE)</f>
        <v>285.0725543643324</v>
      </c>
      <c r="F70" s="54">
        <f>IF(Settings!$E$15="POINTS",E70-VLOOKUP(B$2,C1:E206,3,FALSE),J70)</f>
        <v>-104.86460341374868</v>
      </c>
      <c r="G70" s="54"/>
      <c r="H70" s="167">
        <f>RANK(I70,I3:I206)</f>
        <v>52</v>
      </c>
      <c r="I70" s="168">
        <f>VLOOKUP(A70,'Standard Deviations'!A1:C666,3,FALSE)</f>
        <v>3.2584222978080772</v>
      </c>
      <c r="J70" s="168">
        <f>I70-VLOOKUP(B$2,H1:J206,2,FALSE)</f>
        <v>-3.4257796564444094</v>
      </c>
    </row>
    <row r="71" spans="1:10" ht="21.25" customHeight="1" x14ac:dyDescent="0.15">
      <c r="A71" s="9" t="s">
        <v>354</v>
      </c>
      <c r="B71" s="88" t="str">
        <f>VLOOKUP(A71,'The List'!B1:D665,3,FALSE)</f>
        <v>C</v>
      </c>
      <c r="C71" s="89">
        <f>IF(Settings!$E$15="POINTS",RANK(E71,E3:E206),H71)</f>
        <v>69</v>
      </c>
      <c r="D71" s="65" t="str">
        <f>VLOOKUP(A71,'The List'!B1:F665,5,FALSE)</f>
        <v>FLA</v>
      </c>
      <c r="E71" s="54">
        <f>VLOOKUP(A71,'The List'!B1:I665,8,FALSE)</f>
        <v>267.12345621811761</v>
      </c>
      <c r="F71" s="54">
        <f>IF(Settings!$E$15="POINTS",E71-VLOOKUP(B$2,C1:E206,3,FALSE),J71)</f>
        <v>-122.81370155996348</v>
      </c>
      <c r="G71" s="54"/>
      <c r="H71" s="167">
        <f>RANK(I71,I3:I206)</f>
        <v>53</v>
      </c>
      <c r="I71" s="168">
        <f>VLOOKUP(A71,'Standard Deviations'!A1:C666,3,FALSE)</f>
        <v>2.9947150475357969</v>
      </c>
      <c r="J71" s="168">
        <f>I71-VLOOKUP(B$2,H1:J206,2,FALSE)</f>
        <v>-3.6894869067166898</v>
      </c>
    </row>
    <row r="72" spans="1:10" ht="21.25" customHeight="1" x14ac:dyDescent="0.15">
      <c r="A72" s="9" t="s">
        <v>333</v>
      </c>
      <c r="B72" s="88" t="str">
        <f>VLOOKUP(A72,'The List'!B1:D665,3,FALSE)</f>
        <v>C</v>
      </c>
      <c r="C72" s="89">
        <f>IF(Settings!$E$15="POINTS",RANK(E72,E3:E206),H72)</f>
        <v>65</v>
      </c>
      <c r="D72" s="65" t="str">
        <f>VLOOKUP(A72,'The List'!B1:F665,5,FALSE)</f>
        <v>S.J</v>
      </c>
      <c r="E72" s="54">
        <f>VLOOKUP(A72,'The List'!B1:I665,8,FALSE)</f>
        <v>279.37967819043098</v>
      </c>
      <c r="F72" s="54">
        <f>IF(Settings!$E$15="POINTS",E72-VLOOKUP(B$2,C1:E206,3,FALSE),J72)</f>
        <v>-110.55747958765011</v>
      </c>
      <c r="G72" s="54"/>
      <c r="H72" s="167">
        <f>RANK(I72,I3:I206)</f>
        <v>95</v>
      </c>
      <c r="I72" s="168">
        <f>VLOOKUP(A72,'Standard Deviations'!A1:C666,3,FALSE)</f>
        <v>-0.16093640400905329</v>
      </c>
      <c r="J72" s="168">
        <f>I72-VLOOKUP(B$2,H1:J206,2,FALSE)</f>
        <v>-6.8451383582615399</v>
      </c>
    </row>
    <row r="73" spans="1:10" ht="21.25" customHeight="1" x14ac:dyDescent="0.15">
      <c r="A73" s="9" t="s">
        <v>335</v>
      </c>
      <c r="B73" s="88" t="str">
        <f>VLOOKUP(A73,'The List'!B1:D665,3,FALSE)</f>
        <v>C</v>
      </c>
      <c r="C73" s="89">
        <f>IF(Settings!$E$15="POINTS",RANK(E73,E3:E206),H73)</f>
        <v>66</v>
      </c>
      <c r="D73" s="65" t="str">
        <f>VLOOKUP(A73,'The List'!B1:F665,5,FALSE)</f>
        <v>BOS</v>
      </c>
      <c r="E73" s="54">
        <f>VLOOKUP(A73,'The List'!B1:I665,8,FALSE)</f>
        <v>278.81350096261497</v>
      </c>
      <c r="F73" s="54">
        <f>IF(Settings!$E$15="POINTS",E73-VLOOKUP(B$2,C1:E206,3,FALSE),J73)</f>
        <v>-111.12365681546612</v>
      </c>
      <c r="G73" s="54"/>
      <c r="H73" s="167">
        <f>RANK(I73,I3:I206)</f>
        <v>57</v>
      </c>
      <c r="I73" s="168">
        <f>VLOOKUP(A73,'Standard Deviations'!A1:C666,3,FALSE)</f>
        <v>2.4355625820829756</v>
      </c>
      <c r="J73" s="168">
        <f>I73-VLOOKUP(B$2,H1:J206,2,FALSE)</f>
        <v>-4.248639372169511</v>
      </c>
    </row>
    <row r="74" spans="1:10" ht="21.25" customHeight="1" x14ac:dyDescent="0.15">
      <c r="A74" s="9" t="s">
        <v>394</v>
      </c>
      <c r="B74" s="88" t="str">
        <f>VLOOKUP(A74,'The List'!B1:D665,3,FALSE)</f>
        <v>C</v>
      </c>
      <c r="C74" s="89">
        <f>IF(Settings!$E$15="POINTS",RANK(E74,E3:E206),H74)</f>
        <v>79</v>
      </c>
      <c r="D74" s="65" t="str">
        <f>VLOOKUP(A74,'The List'!B1:F665,5,FALSE)</f>
        <v>CBJ</v>
      </c>
      <c r="E74" s="54">
        <f>VLOOKUP(A74,'The List'!B1:I665,8,FALSE)</f>
        <v>249.61118664622046</v>
      </c>
      <c r="F74" s="54">
        <f>IF(Settings!$E$15="POINTS",E74-VLOOKUP(B$2,C1:E206,3,FALSE),J74)</f>
        <v>-140.32597113186063</v>
      </c>
      <c r="G74" s="54"/>
      <c r="H74" s="167">
        <f>RANK(I74,I3:I206)</f>
        <v>75</v>
      </c>
      <c r="I74" s="168">
        <f>VLOOKUP(A74,'Standard Deviations'!A1:C666,3,FALSE)</f>
        <v>0.92833488053030999</v>
      </c>
      <c r="J74" s="168">
        <f>I74-VLOOKUP(B$2,H1:J206,2,FALSE)</f>
        <v>-5.7558670737221771</v>
      </c>
    </row>
    <row r="75" spans="1:10" ht="21.25" customHeight="1" x14ac:dyDescent="0.15">
      <c r="A75" s="9" t="s">
        <v>325</v>
      </c>
      <c r="B75" s="88" t="str">
        <f>VLOOKUP(A75,'The List'!B1:D665,3,FALSE)</f>
        <v>C/LW</v>
      </c>
      <c r="C75" s="89">
        <f>IF(Settings!$E$15="POINTS",RANK(E75,E3:E206),H75)</f>
        <v>67</v>
      </c>
      <c r="D75" s="65" t="str">
        <f>VLOOKUP(A75,'The List'!B1:F665,5,FALSE)</f>
        <v>STL</v>
      </c>
      <c r="E75" s="54">
        <f>VLOOKUP(A75,'The List'!B1:I665,8,FALSE)</f>
        <v>274.06631304918903</v>
      </c>
      <c r="F75" s="54">
        <f>IF(Settings!$E$15="POINTS",E75-VLOOKUP(B$2,C1:E206,3,FALSE),J75)</f>
        <v>-115.87084472889205</v>
      </c>
      <c r="G75" s="54"/>
      <c r="H75" s="167">
        <f>RANK(I75,I3:I206)</f>
        <v>86</v>
      </c>
      <c r="I75" s="168">
        <f>VLOOKUP(A75,'Standard Deviations'!A1:C666,3,FALSE)</f>
        <v>0.46686530647678781</v>
      </c>
      <c r="J75" s="168">
        <f>I75-VLOOKUP(B$2,H1:J206,2,FALSE)</f>
        <v>-6.2173366477756993</v>
      </c>
    </row>
    <row r="76" spans="1:10" ht="21.25" customHeight="1" x14ac:dyDescent="0.15">
      <c r="A76" s="9" t="s">
        <v>314</v>
      </c>
      <c r="B76" s="88" t="str">
        <f>VLOOKUP(A76,'The List'!B1:D665,3,FALSE)</f>
        <v>C/RW</v>
      </c>
      <c r="C76" s="89">
        <f>IF(Settings!$E$15="POINTS",RANK(E76,E3:E206),H76)</f>
        <v>70</v>
      </c>
      <c r="D76" s="65" t="str">
        <f>VLOOKUP(A76,'The List'!B1:F665,5,FALSE)</f>
        <v>DAL</v>
      </c>
      <c r="E76" s="54">
        <f>VLOOKUP(A76,'The List'!B1:I665,8,FALSE)</f>
        <v>266.61516325373469</v>
      </c>
      <c r="F76" s="54">
        <f>IF(Settings!$E$15="POINTS",E76-VLOOKUP(B$2,C1:E206,3,FALSE),J76)</f>
        <v>-123.32199452434639</v>
      </c>
      <c r="G76" s="54"/>
      <c r="H76" s="167">
        <f>RANK(I76,I3:I206)</f>
        <v>61</v>
      </c>
      <c r="I76" s="168">
        <f>VLOOKUP(A76,'Standard Deviations'!A1:C666,3,FALSE)</f>
        <v>2.1460392235091388</v>
      </c>
      <c r="J76" s="168">
        <f>I76-VLOOKUP(B$2,H1:J206,2,FALSE)</f>
        <v>-4.5381627307433483</v>
      </c>
    </row>
    <row r="77" spans="1:10" ht="21.25" customHeight="1" x14ac:dyDescent="0.15">
      <c r="A77" s="9" t="s">
        <v>435</v>
      </c>
      <c r="B77" s="88" t="str">
        <f>VLOOKUP(A77,'The List'!B1:D665,3,FALSE)</f>
        <v>C</v>
      </c>
      <c r="C77" s="89">
        <f>IF(Settings!$E$15="POINTS",RANK(E77,E3:E206),H77)</f>
        <v>91</v>
      </c>
      <c r="D77" s="65" t="str">
        <f>VLOOKUP(A77,'The List'!B1:F665,5,FALSE)</f>
        <v>DAL</v>
      </c>
      <c r="E77" s="54">
        <f>VLOOKUP(A77,'The List'!B1:I665,8,FALSE)</f>
        <v>235.88393303528773</v>
      </c>
      <c r="F77" s="54">
        <f>IF(Settings!$E$15="POINTS",E77-VLOOKUP(B$2,C1:E206,3,FALSE),J77)</f>
        <v>-154.05322474279336</v>
      </c>
      <c r="G77" s="54"/>
      <c r="H77" s="167">
        <f>RANK(I77,I3:I206)</f>
        <v>65</v>
      </c>
      <c r="I77" s="168">
        <f>VLOOKUP(A77,'Standard Deviations'!A1:C666,3,FALSE)</f>
        <v>1.4996457398489653</v>
      </c>
      <c r="J77" s="168">
        <f>I77-VLOOKUP(B$2,H1:J206,2,FALSE)</f>
        <v>-5.1845562144035213</v>
      </c>
    </row>
    <row r="78" spans="1:10" ht="21.25" customHeight="1" x14ac:dyDescent="0.15">
      <c r="A78" s="9" t="s">
        <v>440</v>
      </c>
      <c r="B78" s="88" t="str">
        <f>VLOOKUP(A78,'The List'!B1:D665,3,FALSE)</f>
        <v>C</v>
      </c>
      <c r="C78" s="89">
        <f>IF(Settings!$E$15="POINTS",RANK(E78,E3:E206),H78)</f>
        <v>93</v>
      </c>
      <c r="D78" s="65" t="str">
        <f>VLOOKUP(A78,'The List'!B1:F665,5,FALSE)</f>
        <v>NSH</v>
      </c>
      <c r="E78" s="54">
        <f>VLOOKUP(A78,'The List'!B1:I665,8,FALSE)</f>
        <v>233.24268674505404</v>
      </c>
      <c r="F78" s="54">
        <f>IF(Settings!$E$15="POINTS",E78-VLOOKUP(B$2,C1:E206,3,FALSE),J78)</f>
        <v>-156.69447103302704</v>
      </c>
      <c r="G78" s="54"/>
      <c r="H78" s="167">
        <f>RANK(I78,I3:I206)</f>
        <v>78</v>
      </c>
      <c r="I78" s="168">
        <f>VLOOKUP(A78,'Standard Deviations'!A1:C666,3,FALSE)</f>
        <v>0.80973035586659659</v>
      </c>
      <c r="J78" s="168">
        <f>I78-VLOOKUP(B$2,H1:J206,2,FALSE)</f>
        <v>-5.8744715983858899</v>
      </c>
    </row>
    <row r="79" spans="1:10" ht="21.25" customHeight="1" x14ac:dyDescent="0.15">
      <c r="A79" s="9" t="s">
        <v>406</v>
      </c>
      <c r="B79" s="88" t="str">
        <f>VLOOKUP(A79,'The List'!B1:D665,3,FALSE)</f>
        <v>C/LW</v>
      </c>
      <c r="C79" s="89">
        <f>IF(Settings!$E$15="POINTS",RANK(E79,E3:E206),H79)</f>
        <v>89</v>
      </c>
      <c r="D79" s="65" t="str">
        <f>VLOOKUP(A79,'The List'!B1:F665,5,FALSE)</f>
        <v>WPG</v>
      </c>
      <c r="E79" s="54">
        <f>VLOOKUP(A79,'The List'!B1:I665,8,FALSE)</f>
        <v>237.23178060390947</v>
      </c>
      <c r="F79" s="54">
        <f>IF(Settings!$E$15="POINTS",E79-VLOOKUP(B$2,C1:E206,3,FALSE),J79)</f>
        <v>-152.70537717417162</v>
      </c>
      <c r="G79" s="54"/>
      <c r="H79" s="167">
        <f>RANK(I79,I3:I206)</f>
        <v>69</v>
      </c>
      <c r="I79" s="168">
        <f>VLOOKUP(A79,'Standard Deviations'!A1:C666,3,FALSE)</f>
        <v>1.246458230020782</v>
      </c>
      <c r="J79" s="168">
        <f>I79-VLOOKUP(B$2,H1:J206,2,FALSE)</f>
        <v>-5.437743724231705</v>
      </c>
    </row>
    <row r="80" spans="1:10" ht="21.25" customHeight="1" x14ac:dyDescent="0.15">
      <c r="A80" s="9" t="s">
        <v>385</v>
      </c>
      <c r="B80" s="88" t="str">
        <f>VLOOKUP(A80,'The List'!B1:D665,3,FALSE)</f>
        <v>C</v>
      </c>
      <c r="C80" s="89">
        <f>IF(Settings!$E$15="POINTS",RANK(E80,E3:E206),H80)</f>
        <v>78</v>
      </c>
      <c r="D80" s="65" t="str">
        <f>VLOOKUP(A80,'The List'!B1:F665,5,FALSE)</f>
        <v>T.B</v>
      </c>
      <c r="E80" s="54">
        <f>VLOOKUP(A80,'The List'!B1:I665,8,FALSE)</f>
        <v>252.71148154711906</v>
      </c>
      <c r="F80" s="54">
        <f>IF(Settings!$E$15="POINTS",E80-VLOOKUP(B$2,C1:E206,3,FALSE),J80)</f>
        <v>-137.22567623096202</v>
      </c>
      <c r="G80" s="54"/>
      <c r="H80" s="167">
        <f>RANK(I80,I3:I206)</f>
        <v>67</v>
      </c>
      <c r="I80" s="168">
        <f>VLOOKUP(A80,'Standard Deviations'!A1:C666,3,FALSE)</f>
        <v>1.2823408516641532</v>
      </c>
      <c r="J80" s="168">
        <f>I80-VLOOKUP(B$2,H1:J206,2,FALSE)</f>
        <v>-5.4018611025883336</v>
      </c>
    </row>
    <row r="81" spans="1:10" ht="21.25" customHeight="1" x14ac:dyDescent="0.15">
      <c r="A81" s="9" t="s">
        <v>365</v>
      </c>
      <c r="B81" s="88" t="str">
        <f>VLOOKUP(A81,'The List'!B1:D665,3,FALSE)</f>
        <v>C</v>
      </c>
      <c r="C81" s="89">
        <f>IF(Settings!$E$15="POINTS",RANK(E81,E3:E206),H81)</f>
        <v>72</v>
      </c>
      <c r="D81" s="65" t="str">
        <f>VLOOKUP(A81,'The List'!B1:F665,5,FALSE)</f>
        <v>L.A</v>
      </c>
      <c r="E81" s="54">
        <f>VLOOKUP(A81,'The List'!B1:I665,8,FALSE)</f>
        <v>262.78540995284976</v>
      </c>
      <c r="F81" s="54">
        <f>IF(Settings!$E$15="POINTS",E81-VLOOKUP(B$2,C1:E206,3,FALSE),J81)</f>
        <v>-127.15174782523133</v>
      </c>
      <c r="G81" s="54"/>
      <c r="H81" s="167">
        <f>RANK(I81,I3:I206)</f>
        <v>62</v>
      </c>
      <c r="I81" s="168">
        <f>VLOOKUP(A81,'Standard Deviations'!A1:C666,3,FALSE)</f>
        <v>2.0268863081538071</v>
      </c>
      <c r="J81" s="168">
        <f>I81-VLOOKUP(B$2,H1:J206,2,FALSE)</f>
        <v>-4.6573156460986791</v>
      </c>
    </row>
    <row r="82" spans="1:10" ht="21.25" customHeight="1" x14ac:dyDescent="0.15">
      <c r="A82" s="9" t="s">
        <v>358</v>
      </c>
      <c r="B82" s="88" t="str">
        <f>VLOOKUP(A82,'The List'!B1:D665,3,FALSE)</f>
        <v>C</v>
      </c>
      <c r="C82" s="89">
        <f>IF(Settings!$E$15="POINTS",RANK(E82,E3:E206),H82)</f>
        <v>71</v>
      </c>
      <c r="D82" s="65" t="str">
        <f>VLOOKUP(A82,'The List'!B1:F665,5,FALSE)</f>
        <v>N.J</v>
      </c>
      <c r="E82" s="54">
        <f>VLOOKUP(A82,'The List'!B1:I665,8,FALSE)</f>
        <v>265.26452766369027</v>
      </c>
      <c r="F82" s="54">
        <f>IF(Settings!$E$15="POINTS",E82-VLOOKUP(B$2,C1:E206,3,FALSE),J82)</f>
        <v>-124.67263011439081</v>
      </c>
      <c r="G82" s="54"/>
      <c r="H82" s="167">
        <f>RANK(I82,I3:I206)</f>
        <v>64</v>
      </c>
      <c r="I82" s="168">
        <f>VLOOKUP(A82,'Standard Deviations'!A1:C666,3,FALSE)</f>
        <v>1.5909705641444649</v>
      </c>
      <c r="J82" s="168">
        <f>I82-VLOOKUP(B$2,H1:J206,2,FALSE)</f>
        <v>-5.0932313901080217</v>
      </c>
    </row>
    <row r="83" spans="1:10" ht="21.25" customHeight="1" x14ac:dyDescent="0.15">
      <c r="A83" s="9" t="s">
        <v>469</v>
      </c>
      <c r="B83" s="88" t="str">
        <f>VLOOKUP(A83,'The List'!B1:D665,3,FALSE)</f>
        <v>C</v>
      </c>
      <c r="C83" s="89">
        <f>IF(Settings!$E$15="POINTS",RANK(E83,E3:E206),H83)</f>
        <v>99</v>
      </c>
      <c r="D83" s="65" t="str">
        <f>VLOOKUP(A83,'The List'!B1:F665,5,FALSE)</f>
        <v>PHI</v>
      </c>
      <c r="E83" s="54">
        <f>VLOOKUP(A83,'The List'!B1:I665,8,FALSE)</f>
        <v>219.82712491198868</v>
      </c>
      <c r="F83" s="54">
        <f>IF(Settings!$E$15="POINTS",E83-VLOOKUP(B$2,C1:E206,3,FALSE),J83)</f>
        <v>-170.11003286609241</v>
      </c>
      <c r="G83" s="54"/>
      <c r="H83" s="167">
        <f>RANK(I83,I3:I206)</f>
        <v>115</v>
      </c>
      <c r="I83" s="168">
        <f>VLOOKUP(A83,'Standard Deviations'!A1:C666,3,FALSE)</f>
        <v>-1.0378968499279229</v>
      </c>
      <c r="J83" s="168">
        <f>I83-VLOOKUP(B$2,H1:J206,2,FALSE)</f>
        <v>-7.7220988041804093</v>
      </c>
    </row>
    <row r="84" spans="1:10" ht="21.25" customHeight="1" x14ac:dyDescent="0.15">
      <c r="A84" s="9" t="s">
        <v>395</v>
      </c>
      <c r="B84" s="88" t="str">
        <f>VLOOKUP(A84,'The List'!B1:D665,3,FALSE)</f>
        <v>C</v>
      </c>
      <c r="C84" s="89">
        <f>IF(Settings!$E$15="POINTS",RANK(E84,E3:E206),H84)</f>
        <v>80</v>
      </c>
      <c r="D84" s="65" t="str">
        <f>VLOOKUP(A84,'The List'!B1:F665,5,FALSE)</f>
        <v>COL</v>
      </c>
      <c r="E84" s="54">
        <f>VLOOKUP(A84,'The List'!B1:I665,8,FALSE)</f>
        <v>249.51592952233628</v>
      </c>
      <c r="F84" s="54">
        <f>IF(Settings!$E$15="POINTS",E84-VLOOKUP(B$2,C1:E206,3,FALSE),J84)</f>
        <v>-140.42122825574481</v>
      </c>
      <c r="G84" s="54"/>
      <c r="H84" s="167">
        <f>RANK(I84,I3:I206)</f>
        <v>88</v>
      </c>
      <c r="I84" s="168">
        <f>VLOOKUP(A84,'Standard Deviations'!A1:C666,3,FALSE)</f>
        <v>0.32242287627760291</v>
      </c>
      <c r="J84" s="168">
        <f>I84-VLOOKUP(B$2,H1:J206,2,FALSE)</f>
        <v>-6.3617790779748837</v>
      </c>
    </row>
    <row r="85" spans="1:10" ht="21.25" customHeight="1" x14ac:dyDescent="0.15">
      <c r="A85" s="9" t="s">
        <v>477</v>
      </c>
      <c r="B85" s="88" t="str">
        <f>VLOOKUP(A85,'The List'!B1:D665,3,FALSE)</f>
        <v>C</v>
      </c>
      <c r="C85" s="89">
        <f>IF(Settings!$E$15="POINTS",RANK(E85,E3:E206),H85)</f>
        <v>100</v>
      </c>
      <c r="D85" s="65" t="str">
        <f>VLOOKUP(A85,'The List'!B1:F665,5,FALSE)</f>
        <v>OTT</v>
      </c>
      <c r="E85" s="54">
        <f>VLOOKUP(A85,'The List'!B1:I665,8,FALSE)</f>
        <v>217.38479242124404</v>
      </c>
      <c r="F85" s="54">
        <f>IF(Settings!$E$15="POINTS",E85-VLOOKUP(B$2,C1:E206,3,FALSE),J85)</f>
        <v>-172.55236535683704</v>
      </c>
      <c r="G85" s="54"/>
      <c r="H85" s="167">
        <f>RANK(I85,I3:I206)</f>
        <v>101</v>
      </c>
      <c r="I85" s="168">
        <f>VLOOKUP(A85,'Standard Deviations'!A1:C666,3,FALSE)</f>
        <v>-0.38754870101591121</v>
      </c>
      <c r="J85" s="168">
        <f>I85-VLOOKUP(B$2,H1:J206,2,FALSE)</f>
        <v>-7.0717506552683975</v>
      </c>
    </row>
    <row r="86" spans="1:10" ht="21.25" customHeight="1" x14ac:dyDescent="0.15">
      <c r="A86" s="9" t="s">
        <v>405</v>
      </c>
      <c r="B86" s="88" t="str">
        <f>VLOOKUP(A86,'The List'!B1:D665,3,FALSE)</f>
        <v>C</v>
      </c>
      <c r="C86" s="89">
        <f>IF(Settings!$E$15="POINTS",RANK(E86,E3:E206),H86)</f>
        <v>81</v>
      </c>
      <c r="D86" s="65" t="str">
        <f>VLOOKUP(A86,'The List'!B1:F665,5,FALSE)</f>
        <v>PHI</v>
      </c>
      <c r="E86" s="54">
        <f>VLOOKUP(A86,'The List'!B1:I665,8,FALSE)</f>
        <v>246.59000229247178</v>
      </c>
      <c r="F86" s="54">
        <f>IF(Settings!$E$15="POINTS",E86-VLOOKUP(B$2,C1:E206,3,FALSE),J86)</f>
        <v>-143.34715548560931</v>
      </c>
      <c r="G86" s="54"/>
      <c r="H86" s="167">
        <f>RANK(I86,I3:I206)</f>
        <v>87</v>
      </c>
      <c r="I86" s="168">
        <f>VLOOKUP(A86,'Standard Deviations'!A1:C666,3,FALSE)</f>
        <v>0.35505398782540676</v>
      </c>
      <c r="J86" s="168">
        <f>I86-VLOOKUP(B$2,H1:J206,2,FALSE)</f>
        <v>-6.3291479664270796</v>
      </c>
    </row>
    <row r="87" spans="1:10" ht="21.25" customHeight="1" x14ac:dyDescent="0.15">
      <c r="A87" s="9" t="s">
        <v>336</v>
      </c>
      <c r="B87" s="88" t="str">
        <f>VLOOKUP(A87,'The List'!B1:D665,3,FALSE)</f>
        <v>C/RW</v>
      </c>
      <c r="C87" s="89">
        <f>IF(Settings!$E$15="POINTS",RANK(E87,E3:E206),H87)</f>
        <v>76</v>
      </c>
      <c r="D87" s="65" t="str">
        <f>VLOOKUP(A87,'The List'!B1:F665,5,FALSE)</f>
        <v>CGY</v>
      </c>
      <c r="E87" s="54">
        <f>VLOOKUP(A87,'The List'!B1:I665,8,FALSE)</f>
        <v>257.56503284482852</v>
      </c>
      <c r="F87" s="54">
        <f>IF(Settings!$E$15="POINTS",E87-VLOOKUP(B$2,C1:E206,3,FALSE),J87)</f>
        <v>-132.37212493325256</v>
      </c>
      <c r="G87" s="54"/>
      <c r="H87" s="167">
        <f>RANK(I87,I3:I206)</f>
        <v>89</v>
      </c>
      <c r="I87" s="168">
        <f>VLOOKUP(A87,'Standard Deviations'!A1:C666,3,FALSE)</f>
        <v>0.27581813531274035</v>
      </c>
      <c r="J87" s="168">
        <f>I87-VLOOKUP(B$2,H1:J206,2,FALSE)</f>
        <v>-6.408383818939746</v>
      </c>
    </row>
    <row r="88" spans="1:10" ht="21.25" customHeight="1" x14ac:dyDescent="0.15">
      <c r="A88" s="9" t="s">
        <v>355</v>
      </c>
      <c r="B88" s="88" t="str">
        <f>VLOOKUP(A88,'The List'!B1:D665,3,FALSE)</f>
        <v>C/RW</v>
      </c>
      <c r="C88" s="89">
        <f>IF(Settings!$E$15="POINTS",RANK(E88,E3:E206),H88)</f>
        <v>82</v>
      </c>
      <c r="D88" s="65" t="str">
        <f>VLOOKUP(A88,'The List'!B1:F665,5,FALSE)</f>
        <v>MIN</v>
      </c>
      <c r="E88" s="54">
        <f>VLOOKUP(A88,'The List'!B1:I665,8,FALSE)</f>
        <v>244.71474061035767</v>
      </c>
      <c r="F88" s="54">
        <f>IF(Settings!$E$15="POINTS",E88-VLOOKUP(B$2,C1:E206,3,FALSE),J88)</f>
        <v>-145.22241716772342</v>
      </c>
      <c r="G88" s="54"/>
      <c r="H88" s="167">
        <f>RANK(I88,I3:I206)</f>
        <v>77</v>
      </c>
      <c r="I88" s="168">
        <f>VLOOKUP(A88,'Standard Deviations'!A1:C666,3,FALSE)</f>
        <v>0.8196395980386556</v>
      </c>
      <c r="J88" s="168">
        <f>I88-VLOOKUP(B$2,H1:J206,2,FALSE)</f>
        <v>-5.8645623562138312</v>
      </c>
    </row>
    <row r="89" spans="1:10" ht="21.25" customHeight="1" x14ac:dyDescent="0.15">
      <c r="A89" s="9" t="s">
        <v>495</v>
      </c>
      <c r="B89" s="88" t="str">
        <f>VLOOKUP(A89,'The List'!B1:D665,3,FALSE)</f>
        <v>C</v>
      </c>
      <c r="C89" s="89">
        <f>IF(Settings!$E$15="POINTS",RANK(E89,E3:E206),H89)</f>
        <v>107</v>
      </c>
      <c r="D89" s="65" t="str">
        <f>VLOOKUP(A89,'The List'!B1:F665,5,FALSE)</f>
        <v>NYR</v>
      </c>
      <c r="E89" s="54">
        <f>VLOOKUP(A89,'The List'!B1:I665,8,FALSE)</f>
        <v>210.44619824116654</v>
      </c>
      <c r="F89" s="54">
        <f>IF(Settings!$E$15="POINTS",E89-VLOOKUP(B$2,C1:E206,3,FALSE),J89)</f>
        <v>-179.49095953691454</v>
      </c>
      <c r="G89" s="54"/>
      <c r="H89" s="167">
        <f>RANK(I89,I3:I206)</f>
        <v>96</v>
      </c>
      <c r="I89" s="168">
        <f>VLOOKUP(A89,'Standard Deviations'!A1:C666,3,FALSE)</f>
        <v>-0.17472870034901333</v>
      </c>
      <c r="J89" s="168">
        <f>I89-VLOOKUP(B$2,H1:J206,2,FALSE)</f>
        <v>-6.8589306546015001</v>
      </c>
    </row>
    <row r="90" spans="1:10" ht="21.25" customHeight="1" x14ac:dyDescent="0.15">
      <c r="A90" s="9" t="s">
        <v>381</v>
      </c>
      <c r="B90" s="88" t="str">
        <f>VLOOKUP(A90,'The List'!B1:D665,3,FALSE)</f>
        <v>C</v>
      </c>
      <c r="C90" s="89">
        <f>IF(Settings!$E$15="POINTS",RANK(E90,E3:E206),H90)</f>
        <v>77</v>
      </c>
      <c r="D90" s="65" t="str">
        <f>VLOOKUP(A90,'The List'!B1:F665,5,FALSE)</f>
        <v>BOS</v>
      </c>
      <c r="E90" s="54">
        <f>VLOOKUP(A90,'The List'!B1:I665,8,FALSE)</f>
        <v>255.02394604893161</v>
      </c>
      <c r="F90" s="54">
        <f>IF(Settings!$E$15="POINTS",E90-VLOOKUP(B$2,C1:E206,3,FALSE),J90)</f>
        <v>-134.91321172914948</v>
      </c>
      <c r="G90" s="54"/>
      <c r="H90" s="167">
        <f>RANK(I90,I3:I206)</f>
        <v>72</v>
      </c>
      <c r="I90" s="168">
        <f>VLOOKUP(A90,'Standard Deviations'!A1:C666,3,FALSE)</f>
        <v>1.0910397135720407</v>
      </c>
      <c r="J90" s="168">
        <f>I90-VLOOKUP(B$2,H1:J206,2,FALSE)</f>
        <v>-5.5931622406804458</v>
      </c>
    </row>
    <row r="91" spans="1:10" ht="21.25" customHeight="1" x14ac:dyDescent="0.15">
      <c r="A91" s="9" t="s">
        <v>361</v>
      </c>
      <c r="B91" s="88" t="str">
        <f>VLOOKUP(A91,'The List'!B1:D665,3,FALSE)</f>
        <v>C/RW</v>
      </c>
      <c r="C91" s="89">
        <f>IF(Settings!$E$15="POINTS",RANK(E91,E3:E206),H91)</f>
        <v>83</v>
      </c>
      <c r="D91" s="65" t="str">
        <f>VLOOKUP(A91,'The List'!B1:F665,5,FALSE)</f>
        <v>FLA</v>
      </c>
      <c r="E91" s="54">
        <f>VLOOKUP(A91,'The List'!B1:I665,8,FALSE)</f>
        <v>242.12242999929035</v>
      </c>
      <c r="F91" s="54">
        <f>IF(Settings!$E$15="POINTS",E91-VLOOKUP(B$2,C1:E206,3,FALSE),J91)</f>
        <v>-147.81472777879074</v>
      </c>
      <c r="G91" s="54"/>
      <c r="H91" s="167">
        <f>RANK(I91,I3:I206)</f>
        <v>66</v>
      </c>
      <c r="I91" s="168">
        <f>VLOOKUP(A91,'Standard Deviations'!A1:C666,3,FALSE)</f>
        <v>1.4588668352971839</v>
      </c>
      <c r="J91" s="168">
        <f>I91-VLOOKUP(B$2,H1:J206,2,FALSE)</f>
        <v>-5.2253351189553028</v>
      </c>
    </row>
    <row r="92" spans="1:10" ht="21.25" customHeight="1" x14ac:dyDescent="0.15">
      <c r="A92" s="9" t="s">
        <v>450</v>
      </c>
      <c r="B92" s="88" t="str">
        <f>VLOOKUP(A92,'The List'!B1:D665,3,FALSE)</f>
        <v>C</v>
      </c>
      <c r="C92" s="89">
        <f>IF(Settings!$E$15="POINTS",RANK(E92,E3:E206),H92)</f>
        <v>95</v>
      </c>
      <c r="D92" s="65" t="str">
        <f>VLOOKUP(A92,'The List'!B1:F665,5,FALSE)</f>
        <v>S.J</v>
      </c>
      <c r="E92" s="54">
        <f>VLOOKUP(A92,'The List'!B1:I665,8,FALSE)</f>
        <v>227.39117073170729</v>
      </c>
      <c r="F92" s="54">
        <f>IF(Settings!$E$15="POINTS",E92-VLOOKUP(B$2,C1:E206,3,FALSE),J92)</f>
        <v>-162.5459870463738</v>
      </c>
      <c r="G92" s="54"/>
      <c r="H92" s="167">
        <f>RANK(I92,I3:I206)</f>
        <v>119</v>
      </c>
      <c r="I92" s="168">
        <f>VLOOKUP(A92,'Standard Deviations'!A1:C666,3,FALSE)</f>
        <v>-1.2929853480373787</v>
      </c>
      <c r="J92" s="168">
        <f>I92-VLOOKUP(B$2,H1:J206,2,FALSE)</f>
        <v>-7.9771873022898649</v>
      </c>
    </row>
    <row r="93" spans="1:10" ht="21.25" customHeight="1" x14ac:dyDescent="0.15">
      <c r="A93" s="9" t="s">
        <v>364</v>
      </c>
      <c r="B93" s="88" t="str">
        <f>VLOOKUP(A93,'The List'!B1:D665,3,FALSE)</f>
        <v>C/RW</v>
      </c>
      <c r="C93" s="89">
        <f>IF(Settings!$E$15="POINTS",RANK(E93,E3:E206),H93)</f>
        <v>84</v>
      </c>
      <c r="D93" s="65" t="str">
        <f>VLOOKUP(A93,'The List'!B1:F665,5,FALSE)</f>
        <v>PIT</v>
      </c>
      <c r="E93" s="54">
        <f>VLOOKUP(A93,'The List'!B1:I665,8,FALSE)</f>
        <v>241.78304192646573</v>
      </c>
      <c r="F93" s="54">
        <f>IF(Settings!$E$15="POINTS",E93-VLOOKUP(B$2,C1:E206,3,FALSE),J93)</f>
        <v>-148.15411585161536</v>
      </c>
      <c r="G93" s="54"/>
      <c r="H93" s="167">
        <f>RANK(I93,I3:I206)</f>
        <v>74</v>
      </c>
      <c r="I93" s="168">
        <f>VLOOKUP(A93,'Standard Deviations'!A1:C666,3,FALSE)</f>
        <v>0.95733652029875016</v>
      </c>
      <c r="J93" s="168">
        <f>I93-VLOOKUP(B$2,H1:J206,2,FALSE)</f>
        <v>-5.7268654339537362</v>
      </c>
    </row>
    <row r="94" spans="1:10" ht="21.25" customHeight="1" x14ac:dyDescent="0.15">
      <c r="A94" s="9" t="s">
        <v>366</v>
      </c>
      <c r="B94" s="88" t="str">
        <f>VLOOKUP(A94,'The List'!B1:D665,3,FALSE)</f>
        <v>C/RW</v>
      </c>
      <c r="C94" s="89">
        <f>IF(Settings!$E$15="POINTS",RANK(E94,E3:E206),H94)</f>
        <v>85</v>
      </c>
      <c r="D94" s="65" t="str">
        <f>VLOOKUP(A94,'The List'!B1:F665,5,FALSE)</f>
        <v>S.J</v>
      </c>
      <c r="E94" s="54">
        <f>VLOOKUP(A94,'The List'!B1:I665,8,FALSE)</f>
        <v>241.58395498787027</v>
      </c>
      <c r="F94" s="54">
        <f>IF(Settings!$E$15="POINTS",E94-VLOOKUP(B$2,C1:E206,3,FALSE),J94)</f>
        <v>-148.35320279021082</v>
      </c>
      <c r="G94" s="54"/>
      <c r="H94" s="167">
        <f>RANK(I94,I3:I206)</f>
        <v>125</v>
      </c>
      <c r="I94" s="168">
        <f>VLOOKUP(A94,'Standard Deviations'!A1:C666,3,FALSE)</f>
        <v>-1.6710610074192573</v>
      </c>
      <c r="J94" s="168">
        <f>I94-VLOOKUP(B$2,H1:J206,2,FALSE)</f>
        <v>-8.3552629616717446</v>
      </c>
    </row>
    <row r="95" spans="1:10" ht="21.25" customHeight="1" x14ac:dyDescent="0.15">
      <c r="A95" s="9" t="s">
        <v>371</v>
      </c>
      <c r="B95" s="88" t="str">
        <f>VLOOKUP(A95,'The List'!B1:D665,3,FALSE)</f>
        <v>C/RW</v>
      </c>
      <c r="C95" s="89">
        <f>IF(Settings!$E$15="POINTS",RANK(E95,E3:E206),H95)</f>
        <v>87</v>
      </c>
      <c r="D95" s="65" t="str">
        <f>VLOOKUP(A95,'The List'!B1:F665,5,FALSE)</f>
        <v>PHI</v>
      </c>
      <c r="E95" s="54">
        <f>VLOOKUP(A95,'The List'!B1:I665,8,FALSE)</f>
        <v>239.74574917941194</v>
      </c>
      <c r="F95" s="54">
        <f>IF(Settings!$E$15="POINTS",E95-VLOOKUP(B$2,C1:E206,3,FALSE),J95)</f>
        <v>-150.19140859866914</v>
      </c>
      <c r="G95" s="54"/>
      <c r="H95" s="167">
        <f>RANK(I95,I3:I206)</f>
        <v>90</v>
      </c>
      <c r="I95" s="168">
        <f>VLOOKUP(A95,'Standard Deviations'!A1:C666,3,FALSE)</f>
        <v>0.23165420376082674</v>
      </c>
      <c r="J95" s="168">
        <f>I95-VLOOKUP(B$2,H1:J206,2,FALSE)</f>
        <v>-6.45254775049166</v>
      </c>
    </row>
    <row r="96" spans="1:10" ht="21.25" customHeight="1" x14ac:dyDescent="0.15">
      <c r="A96" s="9" t="s">
        <v>460</v>
      </c>
      <c r="B96" s="88" t="str">
        <f>VLOOKUP(A96,'The List'!B1:D665,3,FALSE)</f>
        <v>C</v>
      </c>
      <c r="C96" s="89">
        <f>IF(Settings!$E$15="POINTS",RANK(E96,E3:E206),H96)</f>
        <v>97</v>
      </c>
      <c r="D96" s="65" t="str">
        <f>VLOOKUP(A96,'The List'!B1:F665,5,FALSE)</f>
        <v>MIN</v>
      </c>
      <c r="E96" s="54">
        <f>VLOOKUP(A96,'The List'!B1:I665,8,FALSE)</f>
        <v>223.70754298518369</v>
      </c>
      <c r="F96" s="54">
        <f>IF(Settings!$E$15="POINTS",E96-VLOOKUP(B$2,C1:E206,3,FALSE),J96)</f>
        <v>-166.22961479289739</v>
      </c>
      <c r="G96" s="54"/>
      <c r="H96" s="167">
        <f>RANK(I96,I3:I206)</f>
        <v>93</v>
      </c>
      <c r="I96" s="168">
        <f>VLOOKUP(A96,'Standard Deviations'!A1:C666,3,FALSE)</f>
        <v>-6.668621301321262E-2</v>
      </c>
      <c r="J96" s="168">
        <f>I96-VLOOKUP(B$2,H1:J206,2,FALSE)</f>
        <v>-6.7508881672656988</v>
      </c>
    </row>
    <row r="97" spans="1:10" ht="21.25" customHeight="1" x14ac:dyDescent="0.15">
      <c r="A97" s="9" t="s">
        <v>408</v>
      </c>
      <c r="B97" s="88" t="str">
        <f>VLOOKUP(A97,'The List'!B1:D665,3,FALSE)</f>
        <v>C/LW</v>
      </c>
      <c r="C97" s="89">
        <f>IF(Settings!$E$15="POINTS",RANK(E97,E3:E206),H97)</f>
        <v>90</v>
      </c>
      <c r="D97" s="65" t="str">
        <f>VLOOKUP(A97,'The List'!B1:F665,5,FALSE)</f>
        <v>ANA</v>
      </c>
      <c r="E97" s="54">
        <f>VLOOKUP(A97,'The List'!B1:I665,8,FALSE)</f>
        <v>236.89469073998021</v>
      </c>
      <c r="F97" s="54">
        <f>IF(Settings!$E$15="POINTS",E97-VLOOKUP(B$2,C1:E206,3,FALSE),J97)</f>
        <v>-153.04246703810088</v>
      </c>
      <c r="G97" s="54"/>
      <c r="H97" s="167">
        <f>RANK(I97,I3:I206)</f>
        <v>122</v>
      </c>
      <c r="I97" s="168">
        <f>VLOOKUP(A97,'Standard Deviations'!A1:C666,3,FALSE)</f>
        <v>-1.3597461967729232</v>
      </c>
      <c r="J97" s="168">
        <f>I97-VLOOKUP(B$2,H1:J206,2,FALSE)</f>
        <v>-8.0439481510254094</v>
      </c>
    </row>
    <row r="98" spans="1:10" ht="21.25" customHeight="1" x14ac:dyDescent="0.15">
      <c r="A98" s="9" t="s">
        <v>431</v>
      </c>
      <c r="B98" s="88" t="str">
        <f>VLOOKUP(A98,'The List'!B1:D665,3,FALSE)</f>
        <v>C</v>
      </c>
      <c r="C98" s="89">
        <f>IF(Settings!$E$15="POINTS",RANK(E98,E3:E206),H98)</f>
        <v>88</v>
      </c>
      <c r="D98" s="65" t="str">
        <f>VLOOKUP(A98,'The List'!B1:F665,5,FALSE)</f>
        <v>SEA</v>
      </c>
      <c r="E98" s="54">
        <f>VLOOKUP(A98,'The List'!B1:I665,8,FALSE)</f>
        <v>237.43196688355482</v>
      </c>
      <c r="F98" s="54">
        <f>IF(Settings!$E$15="POINTS",E98-VLOOKUP(B$2,C1:E206,3,FALSE),J98)</f>
        <v>-152.50519089452627</v>
      </c>
      <c r="G98" s="54"/>
      <c r="H98" s="167">
        <f>RANK(I98,I3:I206)</f>
        <v>94</v>
      </c>
      <c r="I98" s="168">
        <f>VLOOKUP(A98,'Standard Deviations'!A1:C666,3,FALSE)</f>
        <v>-0.11021747224107603</v>
      </c>
      <c r="J98" s="168">
        <f>I98-VLOOKUP(B$2,H1:J206,2,FALSE)</f>
        <v>-6.7944194264935627</v>
      </c>
    </row>
    <row r="99" spans="1:10" ht="21.25" customHeight="1" x14ac:dyDescent="0.15">
      <c r="A99" s="9" t="s">
        <v>387</v>
      </c>
      <c r="B99" s="88" t="str">
        <f>VLOOKUP(A99,'The List'!B1:D665,3,FALSE)</f>
        <v>C/RW</v>
      </c>
      <c r="C99" s="89">
        <f>IF(Settings!$E$15="POINTS",RANK(E99,E3:E206),H99)</f>
        <v>94</v>
      </c>
      <c r="D99" s="65" t="str">
        <f>VLOOKUP(A99,'The List'!B1:F665,5,FALSE)</f>
        <v>BOS</v>
      </c>
      <c r="E99" s="54">
        <f>VLOOKUP(A99,'The List'!B1:I665,8,FALSE)</f>
        <v>231.17535494287026</v>
      </c>
      <c r="F99" s="54">
        <f>IF(Settings!$E$15="POINTS",E99-VLOOKUP(B$2,C1:E206,3,FALSE),J99)</f>
        <v>-158.76180283521083</v>
      </c>
      <c r="G99" s="54"/>
      <c r="H99" s="167">
        <f>RANK(I99,I3:I206)</f>
        <v>80</v>
      </c>
      <c r="I99" s="168">
        <f>VLOOKUP(A99,'Standard Deviations'!A1:C666,3,FALSE)</f>
        <v>0.76250654076572089</v>
      </c>
      <c r="J99" s="168">
        <f>I99-VLOOKUP(B$2,H1:J206,2,FALSE)</f>
        <v>-5.9216954134867654</v>
      </c>
    </row>
    <row r="100" spans="1:10" ht="21.25" customHeight="1" x14ac:dyDescent="0.15">
      <c r="A100" s="9" t="s">
        <v>393</v>
      </c>
      <c r="B100" s="88" t="str">
        <f>VLOOKUP(A100,'The List'!B1:D665,3,FALSE)</f>
        <v>C/LW</v>
      </c>
      <c r="C100" s="89">
        <f>IF(Settings!$E$15="POINTS",RANK(E100,E3:E206),H100)</f>
        <v>86</v>
      </c>
      <c r="D100" s="65" t="str">
        <f>VLOOKUP(A100,'The List'!B1:F665,5,FALSE)</f>
        <v>CGY</v>
      </c>
      <c r="E100" s="54">
        <f>VLOOKUP(A100,'The List'!B1:I665,8,FALSE)</f>
        <v>240.90974346856629</v>
      </c>
      <c r="F100" s="54">
        <f>IF(Settings!$E$15="POINTS",E100-VLOOKUP(B$2,C1:E206,3,FALSE),J100)</f>
        <v>-149.0274143095148</v>
      </c>
      <c r="G100" s="54"/>
      <c r="H100" s="167">
        <f>RANK(I100,I3:I206)</f>
        <v>100</v>
      </c>
      <c r="I100" s="168">
        <f>VLOOKUP(A100,'Standard Deviations'!A1:C666,3,FALSE)</f>
        <v>-0.31226850788420274</v>
      </c>
      <c r="J100" s="168">
        <f>I100-VLOOKUP(B$2,H1:J206,2,FALSE)</f>
        <v>-6.9964704621366893</v>
      </c>
    </row>
    <row r="101" spans="1:10" ht="21.25" customHeight="1" x14ac:dyDescent="0.15">
      <c r="A101" s="9" t="s">
        <v>482</v>
      </c>
      <c r="B101" s="88" t="str">
        <f>VLOOKUP(A101,'The List'!B1:D665,3,FALSE)</f>
        <v>C</v>
      </c>
      <c r="C101" s="89">
        <f>IF(Settings!$E$15="POINTS",RANK(E101,E3:E206),H101)</f>
        <v>102</v>
      </c>
      <c r="D101" s="65" t="str">
        <f>VLOOKUP(A101,'The List'!B1:F665,5,FALSE)</f>
        <v>SEA</v>
      </c>
      <c r="E101" s="54">
        <f>VLOOKUP(A101,'The List'!B1:I665,8,FALSE)</f>
        <v>215.95860990116714</v>
      </c>
      <c r="F101" s="54">
        <f>IF(Settings!$E$15="POINTS",E101-VLOOKUP(B$2,C1:E206,3,FALSE),J101)</f>
        <v>-173.97854787691395</v>
      </c>
      <c r="G101" s="54"/>
      <c r="H101" s="167">
        <f>RANK(I101,I3:I206)</f>
        <v>97</v>
      </c>
      <c r="I101" s="168">
        <f>VLOOKUP(A101,'Standard Deviations'!A1:C666,3,FALSE)</f>
        <v>-0.19104583235465136</v>
      </c>
      <c r="J101" s="168">
        <f>I101-VLOOKUP(B$2,H1:J206,2,FALSE)</f>
        <v>-6.8752477866071384</v>
      </c>
    </row>
    <row r="102" spans="1:10" ht="21.25" customHeight="1" x14ac:dyDescent="0.15">
      <c r="A102" s="9" t="s">
        <v>419</v>
      </c>
      <c r="B102" s="88" t="str">
        <f>VLOOKUP(A102,'The List'!B1:D665,3,FALSE)</f>
        <v>C/LW</v>
      </c>
      <c r="C102" s="89">
        <f>IF(Settings!$E$15="POINTS",RANK(E102,E3:E206),H102)</f>
        <v>92</v>
      </c>
      <c r="D102" s="65" t="str">
        <f>VLOOKUP(A102,'The List'!B1:F665,5,FALSE)</f>
        <v>VGK</v>
      </c>
      <c r="E102" s="54">
        <f>VLOOKUP(A102,'The List'!B1:I665,8,FALSE)</f>
        <v>233.55694286905486</v>
      </c>
      <c r="F102" s="54">
        <f>IF(Settings!$E$15="POINTS",E102-VLOOKUP(B$2,C1:E206,3,FALSE),J102)</f>
        <v>-156.38021490902622</v>
      </c>
      <c r="G102" s="54"/>
      <c r="H102" s="167">
        <f>RANK(I102,I3:I206)</f>
        <v>84</v>
      </c>
      <c r="I102" s="168">
        <f>VLOOKUP(A102,'Standard Deviations'!A1:C666,3,FALSE)</f>
        <v>0.49419179327905288</v>
      </c>
      <c r="J102" s="168">
        <f>I102-VLOOKUP(B$2,H1:J206,2,FALSE)</f>
        <v>-6.1900101609734337</v>
      </c>
    </row>
    <row r="103" spans="1:10" ht="21.25" customHeight="1" x14ac:dyDescent="0.15">
      <c r="A103" s="9" t="s">
        <v>400</v>
      </c>
      <c r="B103" s="88" t="str">
        <f>VLOOKUP(A103,'The List'!B1:D665,3,FALSE)</f>
        <v>C/LW/RW</v>
      </c>
      <c r="C103" s="89">
        <f>IF(Settings!$E$15="POINTS",RANK(E103,E3:E206),H103)</f>
        <v>96</v>
      </c>
      <c r="D103" s="65" t="str">
        <f>VLOOKUP(A103,'The List'!B1:F665,5,FALSE)</f>
        <v>DET</v>
      </c>
      <c r="E103" s="54">
        <f>VLOOKUP(A103,'The List'!B1:I665,8,FALSE)</f>
        <v>226.4098307318113</v>
      </c>
      <c r="F103" s="54">
        <f>IF(Settings!$E$15="POINTS",E103-VLOOKUP(B$2,C1:E206,3,FALSE),J103)</f>
        <v>-163.52732704626979</v>
      </c>
      <c r="G103" s="54"/>
      <c r="H103" s="167">
        <f>RANK(I103,I3:I206)</f>
        <v>106</v>
      </c>
      <c r="I103" s="168">
        <f>VLOOKUP(A103,'Standard Deviations'!A1:C666,3,FALSE)</f>
        <v>-0.71264077041161278</v>
      </c>
      <c r="J103" s="168">
        <f>I103-VLOOKUP(B$2,H1:J206,2,FALSE)</f>
        <v>-7.3968427246640998</v>
      </c>
    </row>
    <row r="104" spans="1:10" ht="21.25" customHeight="1" x14ac:dyDescent="0.15">
      <c r="A104" s="9" t="s">
        <v>442</v>
      </c>
      <c r="B104" s="88" t="str">
        <f>VLOOKUP(A104,'The List'!B1:D665,3,FALSE)</f>
        <v>C/LW</v>
      </c>
      <c r="C104" s="89">
        <f>IF(Settings!$E$15="POINTS",RANK(E104,E3:E206),H104)</f>
        <v>98</v>
      </c>
      <c r="D104" s="65" t="str">
        <f>VLOOKUP(A104,'The List'!B1:F665,5,FALSE)</f>
        <v>FLA</v>
      </c>
      <c r="E104" s="54">
        <f>VLOOKUP(A104,'The List'!B1:I665,8,FALSE)</f>
        <v>223.58496623127732</v>
      </c>
      <c r="F104" s="54">
        <f>IF(Settings!$E$15="POINTS",E104-VLOOKUP(B$2,C1:E206,3,FALSE),J104)</f>
        <v>-166.35219154680377</v>
      </c>
      <c r="G104" s="54"/>
      <c r="H104" s="167">
        <f>RANK(I104,I3:I206)</f>
        <v>68</v>
      </c>
      <c r="I104" s="168">
        <f>VLOOKUP(A104,'Standard Deviations'!A1:C666,3,FALSE)</f>
        <v>1.2803729544481706</v>
      </c>
      <c r="J104" s="168">
        <f>I104-VLOOKUP(B$2,H1:J206,2,FALSE)</f>
        <v>-5.4038289998043165</v>
      </c>
    </row>
    <row r="105" spans="1:10" ht="21.25" customHeight="1" x14ac:dyDescent="0.15">
      <c r="A105" s="9" t="s">
        <v>464</v>
      </c>
      <c r="B105" s="88" t="str">
        <f>VLOOKUP(A105,'The List'!B1:D665,3,FALSE)</f>
        <v>C/LW</v>
      </c>
      <c r="C105" s="89">
        <f>IF(Settings!$E$15="POINTS",RANK(E105,E3:E206),H105)</f>
        <v>105</v>
      </c>
      <c r="D105" s="65" t="str">
        <f>VLOOKUP(A105,'The List'!B1:F665,5,FALSE)</f>
        <v>EDM</v>
      </c>
      <c r="E105" s="54">
        <f>VLOOKUP(A105,'The List'!B1:I665,8,FALSE)</f>
        <v>214.07090462123315</v>
      </c>
      <c r="F105" s="54">
        <f>IF(Settings!$E$15="POINTS",E105-VLOOKUP(B$2,C1:E206,3,FALSE),J105)</f>
        <v>-175.86625315684793</v>
      </c>
      <c r="G105" s="54"/>
      <c r="H105" s="167">
        <f>RANK(I105,I3:I206)</f>
        <v>99</v>
      </c>
      <c r="I105" s="168">
        <f>VLOOKUP(A105,'Standard Deviations'!A1:C666,3,FALSE)</f>
        <v>-0.27417154640498886</v>
      </c>
      <c r="J105" s="168">
        <f>I105-VLOOKUP(B$2,H1:J206,2,FALSE)</f>
        <v>-6.9583735006574754</v>
      </c>
    </row>
    <row r="106" spans="1:10" ht="21.25" customHeight="1" x14ac:dyDescent="0.15">
      <c r="A106" s="9" t="s">
        <v>433</v>
      </c>
      <c r="B106" s="88" t="str">
        <f>VLOOKUP(A106,'The List'!B1:D665,3,FALSE)</f>
        <v>C/RW</v>
      </c>
      <c r="C106" s="89">
        <f>IF(Settings!$E$15="POINTS",RANK(E106,E3:E206),H106)</f>
        <v>104</v>
      </c>
      <c r="D106" s="65" t="str">
        <f>VLOOKUP(A106,'The List'!B1:F665,5,FALSE)</f>
        <v>CHI</v>
      </c>
      <c r="E106" s="54">
        <f>VLOOKUP(A106,'The List'!B1:I665,8,FALSE)</f>
        <v>215.22441208905792</v>
      </c>
      <c r="F106" s="54">
        <f>IF(Settings!$E$15="POINTS",E106-VLOOKUP(B$2,C1:E206,3,FALSE),J106)</f>
        <v>-174.71274568902317</v>
      </c>
      <c r="G106" s="54"/>
      <c r="H106" s="167">
        <f>RANK(I106,I3:I206)</f>
        <v>145</v>
      </c>
      <c r="I106" s="168">
        <f>VLOOKUP(A106,'Standard Deviations'!A1:C666,3,FALSE)</f>
        <v>-2.6765729709752124</v>
      </c>
      <c r="J106" s="168">
        <f>I106-VLOOKUP(B$2,H1:J206,2,FALSE)</f>
        <v>-9.3607749252276982</v>
      </c>
    </row>
    <row r="107" spans="1:10" ht="21.25" customHeight="1" x14ac:dyDescent="0.15">
      <c r="A107" s="9" t="s">
        <v>483</v>
      </c>
      <c r="B107" s="88" t="str">
        <f>VLOOKUP(A107,'The List'!B1:D665,3,FALSE)</f>
        <v>C</v>
      </c>
      <c r="C107" s="89">
        <f>IF(Settings!$E$15="POINTS",RANK(E107,E3:E206),H107)</f>
        <v>103</v>
      </c>
      <c r="D107" s="65" t="str">
        <f>VLOOKUP(A107,'The List'!B1:F665,5,FALSE)</f>
        <v>WSH</v>
      </c>
      <c r="E107" s="54">
        <f>VLOOKUP(A107,'The List'!B1:I665,8,FALSE)</f>
        <v>215.81630697074493</v>
      </c>
      <c r="F107" s="54">
        <f>IF(Settings!$E$15="POINTS",E107-VLOOKUP(B$2,C1:E206,3,FALSE),J107)</f>
        <v>-174.12085080733615</v>
      </c>
      <c r="G107" s="54"/>
      <c r="H107" s="167">
        <f>RANK(I107,I3:I206)</f>
        <v>120</v>
      </c>
      <c r="I107" s="168">
        <f>VLOOKUP(A107,'Standard Deviations'!A1:C666,3,FALSE)</f>
        <v>-1.3291347881177036</v>
      </c>
      <c r="J107" s="168">
        <f>I107-VLOOKUP(B$2,H1:J206,2,FALSE)</f>
        <v>-8.0133367423701909</v>
      </c>
    </row>
    <row r="108" spans="1:10" ht="21.25" customHeight="1" x14ac:dyDescent="0.15">
      <c r="A108" s="9" t="s">
        <v>479</v>
      </c>
      <c r="B108" s="88" t="str">
        <f>VLOOKUP(A108,'The List'!B1:D665,3,FALSE)</f>
        <v>C</v>
      </c>
      <c r="C108" s="89">
        <f>IF(Settings!$E$15="POINTS",RANK(E108,E3:E206),H108)</f>
        <v>101</v>
      </c>
      <c r="D108" s="65" t="str">
        <f>VLOOKUP(A108,'The List'!B1:F665,5,FALSE)</f>
        <v>CAR</v>
      </c>
      <c r="E108" s="54">
        <f>VLOOKUP(A108,'The List'!B1:I665,8,FALSE)</f>
        <v>216.72598347871539</v>
      </c>
      <c r="F108" s="54">
        <f>IF(Settings!$E$15="POINTS",E108-VLOOKUP(B$2,C1:E206,3,FALSE),J108)</f>
        <v>-173.21117429936569</v>
      </c>
      <c r="G108" s="54"/>
      <c r="H108" s="167">
        <f>RANK(I108,I3:I206)</f>
        <v>79</v>
      </c>
      <c r="I108" s="168">
        <f>VLOOKUP(A108,'Standard Deviations'!A1:C666,3,FALSE)</f>
        <v>0.78305213257355777</v>
      </c>
      <c r="J108" s="168">
        <f>I108-VLOOKUP(B$2,H1:J206,2,FALSE)</f>
        <v>-5.9011498216789287</v>
      </c>
    </row>
    <row r="109" spans="1:10" ht="21.25" customHeight="1" x14ac:dyDescent="0.15">
      <c r="A109" s="9" t="s">
        <v>616</v>
      </c>
      <c r="B109" s="88" t="str">
        <f>VLOOKUP(A109,'The List'!B1:D665,3,FALSE)</f>
        <v>C</v>
      </c>
      <c r="C109" s="89">
        <f>IF(Settings!$E$15="POINTS",RANK(E109,E3:E206),H109)</f>
        <v>134</v>
      </c>
      <c r="D109" s="65" t="str">
        <f>VLOOKUP(A109,'The List'!B1:F665,5,FALSE)</f>
        <v>MTL</v>
      </c>
      <c r="E109" s="54">
        <f>VLOOKUP(A109,'The List'!B1:I665,8,FALSE)</f>
        <v>171.24830458929992</v>
      </c>
      <c r="F109" s="54">
        <f>IF(Settings!$E$15="POINTS",E109-VLOOKUP(B$2,C1:E206,3,FALSE),J109)</f>
        <v>-218.68885318878117</v>
      </c>
      <c r="G109" s="54"/>
      <c r="H109" s="167">
        <f>RANK(I109,I3:I206)</f>
        <v>142</v>
      </c>
      <c r="I109" s="168">
        <f>VLOOKUP(A109,'Standard Deviations'!A1:C666,3,FALSE)</f>
        <v>-2.4936569962114681</v>
      </c>
      <c r="J109" s="168">
        <f>I109-VLOOKUP(B$2,H1:J206,2,FALSE)</f>
        <v>-9.1778589504639552</v>
      </c>
    </row>
    <row r="110" spans="1:10" ht="21.25" customHeight="1" x14ac:dyDescent="0.15">
      <c r="A110" s="9" t="s">
        <v>510</v>
      </c>
      <c r="B110" s="88" t="str">
        <f>VLOOKUP(A110,'The List'!B1:D665,3,FALSE)</f>
        <v>C</v>
      </c>
      <c r="C110" s="89">
        <f>IF(Settings!$E$15="POINTS",RANK(E110,E3:E206),H110)</f>
        <v>109</v>
      </c>
      <c r="D110" s="65" t="str">
        <f>VLOOKUP(A110,'The List'!B1:F665,5,FALSE)</f>
        <v>MTL</v>
      </c>
      <c r="E110" s="54">
        <f>VLOOKUP(A110,'The List'!B1:I665,8,FALSE)</f>
        <v>205.29776249969788</v>
      </c>
      <c r="F110" s="54">
        <f>IF(Settings!$E$15="POINTS",E110-VLOOKUP(B$2,C1:E206,3,FALSE),J110)</f>
        <v>-184.6393952783832</v>
      </c>
      <c r="G110" s="54"/>
      <c r="H110" s="167">
        <f>RANK(I110,I3:I206)</f>
        <v>131</v>
      </c>
      <c r="I110" s="168">
        <f>VLOOKUP(A110,'Standard Deviations'!A1:C666,3,FALSE)</f>
        <v>-1.838647375127419</v>
      </c>
      <c r="J110" s="168">
        <f>I110-VLOOKUP(B$2,H1:J206,2,FALSE)</f>
        <v>-8.5228493293799055</v>
      </c>
    </row>
    <row r="111" spans="1:10" ht="21.25" customHeight="1" x14ac:dyDescent="0.15">
      <c r="A111" s="9" t="s">
        <v>474</v>
      </c>
      <c r="B111" s="88" t="str">
        <f>VLOOKUP(A111,'The List'!B1:D665,3,FALSE)</f>
        <v>C/RW</v>
      </c>
      <c r="C111" s="89">
        <f>IF(Settings!$E$15="POINTS",RANK(E111,E3:E206),H111)</f>
        <v>113</v>
      </c>
      <c r="D111" s="65" t="str">
        <f>VLOOKUP(A111,'The List'!B1:F665,5,FALSE)</f>
        <v>CGY</v>
      </c>
      <c r="E111" s="54">
        <f>VLOOKUP(A111,'The List'!B1:I665,8,FALSE)</f>
        <v>196.50186182487352</v>
      </c>
      <c r="F111" s="54">
        <f>IF(Settings!$E$15="POINTS",E111-VLOOKUP(B$2,C1:E206,3,FALSE),J111)</f>
        <v>-193.43529595320757</v>
      </c>
      <c r="G111" s="54"/>
      <c r="H111" s="167">
        <f>RANK(I111,I3:I206)</f>
        <v>123</v>
      </c>
      <c r="I111" s="168">
        <f>VLOOKUP(A111,'Standard Deviations'!A1:C666,3,FALSE)</f>
        <v>-1.3677648427083873</v>
      </c>
      <c r="J111" s="168">
        <f>I111-VLOOKUP(B$2,H1:J206,2,FALSE)</f>
        <v>-8.0519667969608744</v>
      </c>
    </row>
    <row r="112" spans="1:10" ht="21.25" customHeight="1" x14ac:dyDescent="0.15">
      <c r="A112" s="9" t="s">
        <v>490</v>
      </c>
      <c r="B112" s="88" t="str">
        <f>VLOOKUP(A112,'The List'!B1:D665,3,FALSE)</f>
        <v>C</v>
      </c>
      <c r="C112" s="89">
        <f>IF(Settings!$E$15="POINTS",RANK(E112,E3:E206),H112)</f>
        <v>106</v>
      </c>
      <c r="D112" s="65" t="str">
        <f>VLOOKUP(A112,'The List'!B1:F665,5,FALSE)</f>
        <v>TOR</v>
      </c>
      <c r="E112" s="54">
        <f>VLOOKUP(A112,'The List'!B1:I665,8,FALSE)</f>
        <v>213.0783786879806</v>
      </c>
      <c r="F112" s="54">
        <f>IF(Settings!$E$15="POINTS",E112-VLOOKUP(B$2,C1:E206,3,FALSE),J112)</f>
        <v>-176.85877909010048</v>
      </c>
      <c r="G112" s="54"/>
      <c r="H112" s="167">
        <f>RANK(I112,I3:I206)</f>
        <v>83</v>
      </c>
      <c r="I112" s="168">
        <f>VLOOKUP(A112,'Standard Deviations'!A1:C666,3,FALSE)</f>
        <v>0.51257451088289963</v>
      </c>
      <c r="J112" s="168">
        <f>I112-VLOOKUP(B$2,H1:J206,2,FALSE)</f>
        <v>-6.1716274433695872</v>
      </c>
    </row>
    <row r="113" spans="1:10" ht="21.25" customHeight="1" x14ac:dyDescent="0.15">
      <c r="A113" s="9" t="s">
        <v>529</v>
      </c>
      <c r="B113" s="88" t="str">
        <f>VLOOKUP(A113,'The List'!B1:D665,3,FALSE)</f>
        <v>C</v>
      </c>
      <c r="C113" s="89">
        <f>IF(Settings!$E$15="POINTS",RANK(E113,E3:E206),H113)</f>
        <v>111</v>
      </c>
      <c r="D113" s="65" t="str">
        <f>VLOOKUP(A113,'The List'!B1:F665,5,FALSE)</f>
        <v>DET</v>
      </c>
      <c r="E113" s="54">
        <f>VLOOKUP(A113,'The List'!B1:I665,8,FALSE)</f>
        <v>201.68103401389223</v>
      </c>
      <c r="F113" s="54">
        <f>IF(Settings!$E$15="POINTS",E113-VLOOKUP(B$2,C1:E206,3,FALSE),J113)</f>
        <v>-188.25612376418886</v>
      </c>
      <c r="G113" s="54"/>
      <c r="H113" s="167">
        <f>RANK(I113,I3:I206)</f>
        <v>129</v>
      </c>
      <c r="I113" s="168">
        <f>VLOOKUP(A113,'Standard Deviations'!A1:C666,3,FALSE)</f>
        <v>-1.8172207899368535</v>
      </c>
      <c r="J113" s="168">
        <f>I113-VLOOKUP(B$2,H1:J206,2,FALSE)</f>
        <v>-8.5014227441893411</v>
      </c>
    </row>
    <row r="114" spans="1:10" ht="21.25" customHeight="1" x14ac:dyDescent="0.15">
      <c r="A114" s="9" t="s">
        <v>589</v>
      </c>
      <c r="B114" s="88" t="str">
        <f>VLOOKUP(A114,'The List'!B1:D665,3,FALSE)</f>
        <v>C</v>
      </c>
      <c r="C114" s="89">
        <f>IF(Settings!$E$15="POINTS",RANK(E114,E3:E206),H114)</f>
        <v>128</v>
      </c>
      <c r="D114" s="65" t="str">
        <f>VLOOKUP(A114,'The List'!B1:F665,5,FALSE)</f>
        <v>OTT</v>
      </c>
      <c r="E114" s="54">
        <f>VLOOKUP(A114,'The List'!B1:I665,8,FALSE)</f>
        <v>182.81010016786524</v>
      </c>
      <c r="F114" s="54">
        <f>IF(Settings!$E$15="POINTS",E114-VLOOKUP(B$2,C1:E206,3,FALSE),J114)</f>
        <v>-207.12705761021584</v>
      </c>
      <c r="G114" s="54"/>
      <c r="H114" s="167">
        <f>RANK(I114,I3:I206)</f>
        <v>121</v>
      </c>
      <c r="I114" s="168">
        <f>VLOOKUP(A114,'Standard Deviations'!A1:C666,3,FALSE)</f>
        <v>-1.331725864330823</v>
      </c>
      <c r="J114" s="168">
        <f>I114-VLOOKUP(B$2,H1:J206,2,FALSE)</f>
        <v>-8.0159278185833092</v>
      </c>
    </row>
    <row r="115" spans="1:10" ht="21.25" customHeight="1" x14ac:dyDescent="0.15">
      <c r="A115" s="9" t="s">
        <v>508</v>
      </c>
      <c r="B115" s="88" t="str">
        <f>VLOOKUP(A115,'The List'!B1:D665,3,FALSE)</f>
        <v>C</v>
      </c>
      <c r="C115" s="89">
        <f>IF(Settings!$E$15="POINTS",RANK(E115,E3:E206),H115)</f>
        <v>108</v>
      </c>
      <c r="D115" s="65" t="str">
        <f>VLOOKUP(A115,'The List'!B1:F665,5,FALSE)</f>
        <v>SEA</v>
      </c>
      <c r="E115" s="54">
        <f>VLOOKUP(A115,'The List'!B1:I665,8,FALSE)</f>
        <v>205.66871161214348</v>
      </c>
      <c r="F115" s="54">
        <f>IF(Settings!$E$15="POINTS",E115-VLOOKUP(B$2,C1:E206,3,FALSE),J115)</f>
        <v>-184.2684461659376</v>
      </c>
      <c r="G115" s="54"/>
      <c r="H115" s="167">
        <f>RANK(I115,I3:I206)</f>
        <v>124</v>
      </c>
      <c r="I115" s="168">
        <f>VLOOKUP(A115,'Standard Deviations'!A1:C666,3,FALSE)</f>
        <v>-1.49174319376563</v>
      </c>
      <c r="J115" s="168">
        <f>I115-VLOOKUP(B$2,H1:J206,2,FALSE)</f>
        <v>-8.1759451480181173</v>
      </c>
    </row>
    <row r="116" spans="1:10" ht="21.25" customHeight="1" x14ac:dyDescent="0.15">
      <c r="A116" s="9" t="s">
        <v>660</v>
      </c>
      <c r="B116" s="88" t="str">
        <f>VLOOKUP(A116,'The List'!B1:D665,3,FALSE)</f>
        <v>C</v>
      </c>
      <c r="C116" s="89">
        <f>IF(Settings!$E$15="POINTS",RANK(E116,E3:E206),H116)</f>
        <v>148</v>
      </c>
      <c r="D116" s="65" t="str">
        <f>VLOOKUP(A116,'The List'!B1:F665,5,FALSE)</f>
        <v>BOS</v>
      </c>
      <c r="E116" s="54">
        <f>VLOOKUP(A116,'The List'!B1:I665,8,FALSE)</f>
        <v>156.18138795572915</v>
      </c>
      <c r="F116" s="54">
        <f>IF(Settings!$E$15="POINTS",E116-VLOOKUP(B$2,C1:E206,3,FALSE),J116)</f>
        <v>-233.75576982235194</v>
      </c>
      <c r="G116" s="54"/>
      <c r="H116" s="167">
        <f>RANK(I116,I3:I206)</f>
        <v>136</v>
      </c>
      <c r="I116" s="168">
        <f>VLOOKUP(A116,'Standard Deviations'!A1:C666,3,FALSE)</f>
        <v>-2.1625605961913106</v>
      </c>
      <c r="J116" s="168">
        <f>I116-VLOOKUP(B$2,H1:J206,2,FALSE)</f>
        <v>-8.8467625504437972</v>
      </c>
    </row>
    <row r="117" spans="1:10" ht="21.25" customHeight="1" x14ac:dyDescent="0.15">
      <c r="A117" s="9" t="s">
        <v>587</v>
      </c>
      <c r="B117" s="88" t="str">
        <f>VLOOKUP(A117,'The List'!B1:D665,3,FALSE)</f>
        <v>C</v>
      </c>
      <c r="C117" s="89">
        <f>IF(Settings!$E$15="POINTS",RANK(E117,E3:E206),H117)</f>
        <v>126</v>
      </c>
      <c r="D117" s="65" t="str">
        <f>VLOOKUP(A117,'The List'!B1:F665,5,FALSE)</f>
        <v>SEA</v>
      </c>
      <c r="E117" s="54">
        <f>VLOOKUP(A117,'The List'!B1:I665,8,FALSE)</f>
        <v>183.39034163437148</v>
      </c>
      <c r="F117" s="54">
        <f>IF(Settings!$E$15="POINTS",E117-VLOOKUP(B$2,C1:E206,3,FALSE),J117)</f>
        <v>-206.54681614370961</v>
      </c>
      <c r="G117" s="54"/>
      <c r="H117" s="167">
        <f>RANK(I117,I3:I206)</f>
        <v>130</v>
      </c>
      <c r="I117" s="168">
        <f>VLOOKUP(A117,'Standard Deviations'!A1:C666,3,FALSE)</f>
        <v>-1.8333752381632455</v>
      </c>
      <c r="J117" s="168">
        <f>I117-VLOOKUP(B$2,H1:J206,2,FALSE)</f>
        <v>-8.5175771924157324</v>
      </c>
    </row>
    <row r="118" spans="1:10" ht="21.25" customHeight="1" x14ac:dyDescent="0.15">
      <c r="A118" s="9" t="s">
        <v>548</v>
      </c>
      <c r="B118" s="88" t="str">
        <f>VLOOKUP(A118,'The List'!B1:D665,3,FALSE)</f>
        <v>C</v>
      </c>
      <c r="C118" s="89">
        <f>IF(Settings!$E$15="POINTS",RANK(E118,E3:E206),H118)</f>
        <v>114</v>
      </c>
      <c r="D118" s="65" t="str">
        <f>VLOOKUP(A118,'The List'!B1:F665,5,FALSE)</f>
        <v>CBJ</v>
      </c>
      <c r="E118" s="54">
        <f>VLOOKUP(A118,'The List'!B1:I665,8,FALSE)</f>
        <v>196.48279850029138</v>
      </c>
      <c r="F118" s="54">
        <f>IF(Settings!$E$15="POINTS",E118-VLOOKUP(B$2,C1:E206,3,FALSE),J118)</f>
        <v>-193.45435927778971</v>
      </c>
      <c r="G118" s="54"/>
      <c r="H118" s="167">
        <f>RANK(I118,I3:I206)</f>
        <v>165</v>
      </c>
      <c r="I118" s="168">
        <f>VLOOKUP(A118,'Standard Deviations'!A1:C666,3,FALSE)</f>
        <v>-3.2471952927718299</v>
      </c>
      <c r="J118" s="168">
        <f>I118-VLOOKUP(B$2,H1:J206,2,FALSE)</f>
        <v>-9.9313972470243161</v>
      </c>
    </row>
    <row r="119" spans="1:10" ht="21.25" customHeight="1" x14ac:dyDescent="0.15">
      <c r="A119" s="9" t="s">
        <v>628</v>
      </c>
      <c r="B119" s="88" t="str">
        <f>VLOOKUP(A119,'The List'!B1:D665,3,FALSE)</f>
        <v>C</v>
      </c>
      <c r="C119" s="89">
        <f>IF(Settings!$E$15="POINTS",RANK(E119,E3:E206),H119)</f>
        <v>139</v>
      </c>
      <c r="D119" s="65" t="str">
        <f>VLOOKUP(A119,'The List'!B1:F665,5,FALSE)</f>
        <v>NSH</v>
      </c>
      <c r="E119" s="54">
        <f>VLOOKUP(A119,'The List'!B1:I665,8,FALSE)</f>
        <v>166.5837645772792</v>
      </c>
      <c r="F119" s="54">
        <f>IF(Settings!$E$15="POINTS",E119-VLOOKUP(B$2,C1:E206,3,FALSE),J119)</f>
        <v>-223.35339320080189</v>
      </c>
      <c r="G119" s="54"/>
      <c r="H119" s="167">
        <f>RANK(I119,I3:I206)</f>
        <v>135</v>
      </c>
      <c r="I119" s="168">
        <f>VLOOKUP(A119,'Standard Deviations'!A1:C666,3,FALSE)</f>
        <v>-2.0637762652566511</v>
      </c>
      <c r="J119" s="168">
        <f>I119-VLOOKUP(B$2,H1:J206,2,FALSE)</f>
        <v>-8.7479782195091378</v>
      </c>
    </row>
    <row r="120" spans="1:10" ht="21.25" customHeight="1" x14ac:dyDescent="0.15">
      <c r="A120" s="9" t="s">
        <v>492</v>
      </c>
      <c r="B120" s="88" t="str">
        <f>VLOOKUP(A120,'The List'!B1:D665,3,FALSE)</f>
        <v>C/LW</v>
      </c>
      <c r="C120" s="89">
        <f>IF(Settings!$E$15="POINTS",RANK(E120,E3:E206),H120)</f>
        <v>110</v>
      </c>
      <c r="D120" s="65" t="str">
        <f>VLOOKUP(A120,'The List'!B1:F665,5,FALSE)</f>
        <v>T.B</v>
      </c>
      <c r="E120" s="54">
        <f>VLOOKUP(A120,'The List'!B1:I665,8,FALSE)</f>
        <v>202.27305733619326</v>
      </c>
      <c r="F120" s="54">
        <f>IF(Settings!$E$15="POINTS",E120-VLOOKUP(B$2,C1:E206,3,FALSE),J120)</f>
        <v>-187.66410044188783</v>
      </c>
      <c r="G120" s="54"/>
      <c r="H120" s="167">
        <f>RANK(I120,I3:I206)</f>
        <v>104</v>
      </c>
      <c r="I120" s="168">
        <f>VLOOKUP(A120,'Standard Deviations'!A1:C666,3,FALSE)</f>
        <v>-0.66863625616955524</v>
      </c>
      <c r="J120" s="168">
        <f>I120-VLOOKUP(B$2,H1:J206,2,FALSE)</f>
        <v>-7.3528382104220418</v>
      </c>
    </row>
    <row r="121" spans="1:10" ht="21.25" customHeight="1" x14ac:dyDescent="0.15">
      <c r="A121" s="9" t="s">
        <v>491</v>
      </c>
      <c r="B121" s="88" t="str">
        <f>VLOOKUP(A121,'The List'!B1:D665,3,FALSE)</f>
        <v>C/RW</v>
      </c>
      <c r="C121" s="89">
        <f>IF(Settings!$E$15="POINTS",RANK(E121,E3:E206),H121)</f>
        <v>123</v>
      </c>
      <c r="D121" s="65" t="str">
        <f>VLOOKUP(A121,'The List'!B1:F665,5,FALSE)</f>
        <v>VGK</v>
      </c>
      <c r="E121" s="54">
        <f>VLOOKUP(A121,'The List'!B1:I665,8,FALSE)</f>
        <v>190.08164207359994</v>
      </c>
      <c r="F121" s="54">
        <f>IF(Settings!$E$15="POINTS",E121-VLOOKUP(B$2,C1:E206,3,FALSE),J121)</f>
        <v>-199.85551570448115</v>
      </c>
      <c r="G121" s="54"/>
      <c r="H121" s="167">
        <f>RANK(I121,I3:I206)</f>
        <v>110</v>
      </c>
      <c r="I121" s="168">
        <f>VLOOKUP(A121,'Standard Deviations'!A1:C666,3,FALSE)</f>
        <v>-0.91305216269585288</v>
      </c>
      <c r="J121" s="168">
        <f>I121-VLOOKUP(B$2,H1:J206,2,FALSE)</f>
        <v>-7.5972541169483394</v>
      </c>
    </row>
    <row r="122" spans="1:10" ht="21.25" customHeight="1" x14ac:dyDescent="0.15">
      <c r="A122" s="9" t="s">
        <v>608</v>
      </c>
      <c r="B122" s="88" t="str">
        <f>VLOOKUP(A122,'The List'!B1:D665,3,FALSE)</f>
        <v>C</v>
      </c>
      <c r="C122" s="89">
        <f>IF(Settings!$E$15="POINTS",RANK(E122,E3:E206),H122)</f>
        <v>133</v>
      </c>
      <c r="D122" s="65" t="str">
        <f>VLOOKUP(A122,'The List'!B1:F665,5,FALSE)</f>
        <v>CBJ</v>
      </c>
      <c r="E122" s="54">
        <f>VLOOKUP(A122,'The List'!B1:I665,8,FALSE)</f>
        <v>173.29512462977942</v>
      </c>
      <c r="F122" s="54">
        <f>IF(Settings!$E$15="POINTS",E122-VLOOKUP(B$2,C1:E206,3,FALSE),J122)</f>
        <v>-216.64203314830166</v>
      </c>
      <c r="G122" s="54"/>
      <c r="H122" s="167">
        <f>RANK(I122,I3:I206)</f>
        <v>166</v>
      </c>
      <c r="I122" s="168">
        <f>VLOOKUP(A122,'Standard Deviations'!A1:C666,3,FALSE)</f>
        <v>-3.2888535562802654</v>
      </c>
      <c r="J122" s="168">
        <f>I122-VLOOKUP(B$2,H1:J206,2,FALSE)</f>
        <v>-9.9730555105327525</v>
      </c>
    </row>
    <row r="123" spans="1:10" ht="21.25" customHeight="1" x14ac:dyDescent="0.15">
      <c r="A123" s="9" t="s">
        <v>567</v>
      </c>
      <c r="B123" s="88" t="str">
        <f>VLOOKUP(A123,'The List'!B1:D665,3,FALSE)</f>
        <v>C</v>
      </c>
      <c r="C123" s="89">
        <f>IF(Settings!$E$15="POINTS",RANK(E123,E3:E206),H123)</f>
        <v>119</v>
      </c>
      <c r="D123" s="65" t="str">
        <f>VLOOKUP(A123,'The List'!B1:F665,5,FALSE)</f>
        <v>UTA</v>
      </c>
      <c r="E123" s="54">
        <f>VLOOKUP(A123,'The List'!B1:I665,8,FALSE)</f>
        <v>191.33451992055254</v>
      </c>
      <c r="F123" s="54">
        <f>IF(Settings!$E$15="POINTS",E123-VLOOKUP(B$2,C1:E206,3,FALSE),J123)</f>
        <v>-198.60263785752855</v>
      </c>
      <c r="G123" s="54"/>
      <c r="H123" s="167">
        <f>RANK(I123,I3:I206)</f>
        <v>117</v>
      </c>
      <c r="I123" s="168">
        <f>VLOOKUP(A123,'Standard Deviations'!A1:C666,3,FALSE)</f>
        <v>-1.1675255486730607</v>
      </c>
      <c r="J123" s="168">
        <f>I123-VLOOKUP(B$2,H1:J206,2,FALSE)</f>
        <v>-7.8517275029255469</v>
      </c>
    </row>
    <row r="124" spans="1:10" ht="21.25" customHeight="1" x14ac:dyDescent="0.15">
      <c r="A124" s="9" t="s">
        <v>551</v>
      </c>
      <c r="B124" s="88" t="str">
        <f>VLOOKUP(A124,'The List'!B1:D665,3,FALSE)</f>
        <v>C</v>
      </c>
      <c r="C124" s="89">
        <f>IF(Settings!$E$15="POINTS",RANK(E124,E3:E206),H124)</f>
        <v>115</v>
      </c>
      <c r="D124" s="65" t="str">
        <f>VLOOKUP(A124,'The List'!B1:F665,5,FALSE)</f>
        <v>NYI</v>
      </c>
      <c r="E124" s="54">
        <f>VLOOKUP(A124,'The List'!B1:I665,8,FALSE)</f>
        <v>195.32786878619603</v>
      </c>
      <c r="F124" s="54">
        <f>IF(Settings!$E$15="POINTS",E124-VLOOKUP(B$2,C1:E206,3,FALSE),J124)</f>
        <v>-194.60928899188505</v>
      </c>
      <c r="G124" s="54"/>
      <c r="H124" s="167">
        <f>RANK(I124,I3:I206)</f>
        <v>111</v>
      </c>
      <c r="I124" s="168">
        <f>VLOOKUP(A124,'Standard Deviations'!A1:C666,3,FALSE)</f>
        <v>-0.95885580558280592</v>
      </c>
      <c r="J124" s="168">
        <f>I124-VLOOKUP(B$2,H1:J206,2,FALSE)</f>
        <v>-7.6430577598352922</v>
      </c>
    </row>
    <row r="125" spans="1:10" ht="21.25" customHeight="1" x14ac:dyDescent="0.15">
      <c r="A125" s="9" t="s">
        <v>569</v>
      </c>
      <c r="B125" s="88" t="str">
        <f>VLOOKUP(A125,'The List'!B1:D665,3,FALSE)</f>
        <v>C</v>
      </c>
      <c r="C125" s="89">
        <f>IF(Settings!$E$15="POINTS",RANK(E125,E3:E206),H125)</f>
        <v>121</v>
      </c>
      <c r="D125" s="65" t="str">
        <f>VLOOKUP(A125,'The List'!B1:F665,5,FALSE)</f>
        <v>PIT</v>
      </c>
      <c r="E125" s="54">
        <f>VLOOKUP(A125,'The List'!B1:I665,8,FALSE)</f>
        <v>190.24984247100457</v>
      </c>
      <c r="F125" s="54">
        <f>IF(Settings!$E$15="POINTS",E125-VLOOKUP(B$2,C1:E206,3,FALSE),J125)</f>
        <v>-199.68731530707652</v>
      </c>
      <c r="G125" s="54"/>
      <c r="H125" s="167">
        <f>RANK(I125,I3:I206)</f>
        <v>138</v>
      </c>
      <c r="I125" s="168">
        <f>VLOOKUP(A125,'Standard Deviations'!A1:C666,3,FALSE)</f>
        <v>-2.2284885015459759</v>
      </c>
      <c r="J125" s="168">
        <f>I125-VLOOKUP(B$2,H1:J206,2,FALSE)</f>
        <v>-8.9126904557984616</v>
      </c>
    </row>
    <row r="126" spans="1:10" ht="21.25" customHeight="1" x14ac:dyDescent="0.15">
      <c r="A126" s="9" t="s">
        <v>541</v>
      </c>
      <c r="B126" s="88" t="str">
        <f>VLOOKUP(A126,'The List'!B1:D665,3,FALSE)</f>
        <v>C</v>
      </c>
      <c r="C126" s="89">
        <f>IF(Settings!$E$15="POINTS",RANK(E126,E3:E206),H126)</f>
        <v>112</v>
      </c>
      <c r="D126" s="65" t="str">
        <f>VLOOKUP(A126,'The List'!B1:F665,5,FALSE)</f>
        <v>COL</v>
      </c>
      <c r="E126" s="54">
        <f>VLOOKUP(A126,'The List'!B1:I665,8,FALSE)</f>
        <v>198.22697643627487</v>
      </c>
      <c r="F126" s="54">
        <f>IF(Settings!$E$15="POINTS",E126-VLOOKUP(B$2,C1:E206,3,FALSE),J126)</f>
        <v>-191.71018134180622</v>
      </c>
      <c r="G126" s="54"/>
      <c r="H126" s="167">
        <f>RANK(I126,I3:I206)</f>
        <v>103</v>
      </c>
      <c r="I126" s="168">
        <f>VLOOKUP(A126,'Standard Deviations'!A1:C666,3,FALSE)</f>
        <v>-0.61242516927323742</v>
      </c>
      <c r="J126" s="168">
        <f>I126-VLOOKUP(B$2,H1:J206,2,FALSE)</f>
        <v>-7.2966271235257238</v>
      </c>
    </row>
    <row r="127" spans="1:10" ht="21.25" customHeight="1" x14ac:dyDescent="0.15">
      <c r="A127" s="9" t="s">
        <v>487</v>
      </c>
      <c r="B127" s="88" t="str">
        <f>VLOOKUP(A127,'The List'!B1:D665,3,FALSE)</f>
        <v>C/RW</v>
      </c>
      <c r="C127" s="89">
        <f>IF(Settings!$E$15="POINTS",RANK(E127,E3:E206),H127)</f>
        <v>117</v>
      </c>
      <c r="D127" s="65" t="str">
        <f>VLOOKUP(A127,'The List'!B1:F665,5,FALSE)</f>
        <v>BOS</v>
      </c>
      <c r="E127" s="54">
        <f>VLOOKUP(A127,'The List'!B1:I665,8,FALSE)</f>
        <v>193.26650481507252</v>
      </c>
      <c r="F127" s="54">
        <f>IF(Settings!$E$15="POINTS",E127-VLOOKUP(B$2,C1:E206,3,FALSE),J127)</f>
        <v>-196.67065296300856</v>
      </c>
      <c r="G127" s="54"/>
      <c r="H127" s="167">
        <f>RANK(I127,I3:I206)</f>
        <v>107</v>
      </c>
      <c r="I127" s="168">
        <f>VLOOKUP(A127,'Standard Deviations'!A1:C666,3,FALSE)</f>
        <v>-0.71488338848390154</v>
      </c>
      <c r="J127" s="168">
        <f>I127-VLOOKUP(B$2,H1:J206,2,FALSE)</f>
        <v>-7.3990853427363881</v>
      </c>
    </row>
    <row r="128" spans="1:10" ht="21.25" customHeight="1" x14ac:dyDescent="0.15">
      <c r="A128" s="9" t="s">
        <v>553</v>
      </c>
      <c r="B128" s="88" t="str">
        <f>VLOOKUP(A128,'The List'!B1:D665,3,FALSE)</f>
        <v>C</v>
      </c>
      <c r="C128" s="89">
        <f>IF(Settings!$E$15="POINTS",RANK(E128,E3:E206),H128)</f>
        <v>116</v>
      </c>
      <c r="D128" s="65" t="str">
        <f>VLOOKUP(A128,'The List'!B1:F665,5,FALSE)</f>
        <v>FLA</v>
      </c>
      <c r="E128" s="54">
        <f>VLOOKUP(A128,'The List'!B1:I665,8,FALSE)</f>
        <v>194.34144012010756</v>
      </c>
      <c r="F128" s="54">
        <f>IF(Settings!$E$15="POINTS",E128-VLOOKUP(B$2,C1:E206,3,FALSE),J128)</f>
        <v>-195.59571765797352</v>
      </c>
      <c r="G128" s="54"/>
      <c r="H128" s="167">
        <f>RANK(I128,I3:I206)</f>
        <v>98</v>
      </c>
      <c r="I128" s="168">
        <f>VLOOKUP(A128,'Standard Deviations'!A1:C666,3,FALSE)</f>
        <v>-0.2028383066758801</v>
      </c>
      <c r="J128" s="168">
        <f>I128-VLOOKUP(B$2,H1:J206,2,FALSE)</f>
        <v>-6.8870402609283667</v>
      </c>
    </row>
    <row r="129" spans="1:10" ht="21.25" customHeight="1" x14ac:dyDescent="0.15">
      <c r="A129" s="9" t="s">
        <v>539</v>
      </c>
      <c r="B129" s="88" t="str">
        <f>VLOOKUP(A129,'The List'!B1:D665,3,FALSE)</f>
        <v>C/LW</v>
      </c>
      <c r="C129" s="89">
        <f>IF(Settings!$E$15="POINTS",RANK(E129,E3:E206),H129)</f>
        <v>122</v>
      </c>
      <c r="D129" s="65" t="str">
        <f>VLOOKUP(A129,'The List'!B1:F665,5,FALSE)</f>
        <v>PHI</v>
      </c>
      <c r="E129" s="54">
        <f>VLOOKUP(A129,'The List'!B1:I665,8,FALSE)</f>
        <v>190.18284336215265</v>
      </c>
      <c r="F129" s="54">
        <f>IF(Settings!$E$15="POINTS",E129-VLOOKUP(B$2,C1:E206,3,FALSE),J129)</f>
        <v>-199.75431441592843</v>
      </c>
      <c r="G129" s="54"/>
      <c r="H129" s="167">
        <f>RANK(I129,I3:I206)</f>
        <v>149</v>
      </c>
      <c r="I129" s="168">
        <f>VLOOKUP(A129,'Standard Deviations'!A1:C666,3,FALSE)</f>
        <v>-2.8616310342395224</v>
      </c>
      <c r="J129" s="168">
        <f>I129-VLOOKUP(B$2,H1:J206,2,FALSE)</f>
        <v>-9.545832988492009</v>
      </c>
    </row>
    <row r="130" spans="1:10" ht="21.25" customHeight="1" x14ac:dyDescent="0.15">
      <c r="A130" s="9" t="s">
        <v>537</v>
      </c>
      <c r="B130" s="88" t="str">
        <f>VLOOKUP(A130,'The List'!B1:D665,3,FALSE)</f>
        <v>C/LW</v>
      </c>
      <c r="C130" s="89">
        <f>IF(Settings!$E$15="POINTS",RANK(E130,E3:E206),H130)</f>
        <v>120</v>
      </c>
      <c r="D130" s="65" t="str">
        <f>VLOOKUP(A130,'The List'!B1:F665,5,FALSE)</f>
        <v>N.J</v>
      </c>
      <c r="E130" s="54">
        <f>VLOOKUP(A130,'The List'!B1:I665,8,FALSE)</f>
        <v>190.56361971634468</v>
      </c>
      <c r="F130" s="54">
        <f>IF(Settings!$E$15="POINTS",E130-VLOOKUP(B$2,C1:E206,3,FALSE),J130)</f>
        <v>-199.37353806173641</v>
      </c>
      <c r="G130" s="54"/>
      <c r="H130" s="167">
        <f>RANK(I130,I3:I206)</f>
        <v>102</v>
      </c>
      <c r="I130" s="168">
        <f>VLOOKUP(A130,'Standard Deviations'!A1:C666,3,FALSE)</f>
        <v>-0.46973196608860435</v>
      </c>
      <c r="J130" s="168">
        <f>I130-VLOOKUP(B$2,H1:J206,2,FALSE)</f>
        <v>-7.1539339203410908</v>
      </c>
    </row>
    <row r="131" spans="1:10" ht="21.25" customHeight="1" x14ac:dyDescent="0.15">
      <c r="A131" s="9" t="s">
        <v>564</v>
      </c>
      <c r="B131" s="88" t="str">
        <f>VLOOKUP(A131,'The List'!B1:D665,3,FALSE)</f>
        <v>C</v>
      </c>
      <c r="C131" s="89">
        <f>IF(Settings!$E$15="POINTS",RANK(E131,E3:E206),H131)</f>
        <v>118</v>
      </c>
      <c r="D131" s="65" t="str">
        <f>VLOOKUP(A131,'The List'!B1:F665,5,FALSE)</f>
        <v>WPG</v>
      </c>
      <c r="E131" s="54">
        <f>VLOOKUP(A131,'The List'!B1:I665,8,FALSE)</f>
        <v>192.1665870654281</v>
      </c>
      <c r="F131" s="54">
        <f>IF(Settings!$E$15="POINTS",E131-VLOOKUP(B$2,C1:E206,3,FALSE),J131)</f>
        <v>-197.77057071265298</v>
      </c>
      <c r="G131" s="54"/>
      <c r="H131" s="167">
        <f>RANK(I131,I3:I206)</f>
        <v>105</v>
      </c>
      <c r="I131" s="168">
        <f>VLOOKUP(A131,'Standard Deviations'!A1:C666,3,FALSE)</f>
        <v>-0.69061584332696813</v>
      </c>
      <c r="J131" s="168">
        <f>I131-VLOOKUP(B$2,H1:J206,2,FALSE)</f>
        <v>-7.3748177975794551</v>
      </c>
    </row>
    <row r="132" spans="1:10" ht="21.25" customHeight="1" x14ac:dyDescent="0.15">
      <c r="A132" s="9" t="s">
        <v>626</v>
      </c>
      <c r="B132" s="88" t="str">
        <f>VLOOKUP(A132,'The List'!B1:D665,3,FALSE)</f>
        <v>C</v>
      </c>
      <c r="C132" s="89">
        <f>IF(Settings!$E$15="POINTS",RANK(E132,E3:E206),H132)</f>
        <v>137</v>
      </c>
      <c r="D132" s="65" t="str">
        <f>VLOOKUP(A132,'The List'!B1:F665,5,FALSE)</f>
        <v>UTA</v>
      </c>
      <c r="E132" s="54">
        <f>VLOOKUP(A132,'The List'!B1:I665,8,FALSE)</f>
        <v>167.49327545909148</v>
      </c>
      <c r="F132" s="54">
        <f>IF(Settings!$E$15="POINTS",E132-VLOOKUP(B$2,C1:E206,3,FALSE),J132)</f>
        <v>-222.44388231898961</v>
      </c>
      <c r="G132" s="54"/>
      <c r="H132" s="167">
        <f>RANK(I132,I3:I206)</f>
        <v>137</v>
      </c>
      <c r="I132" s="168">
        <f>VLOOKUP(A132,'Standard Deviations'!A1:C666,3,FALSE)</f>
        <v>-2.2198012107504708</v>
      </c>
      <c r="J132" s="168">
        <f>I132-VLOOKUP(B$2,H1:J206,2,FALSE)</f>
        <v>-8.9040031650029583</v>
      </c>
    </row>
    <row r="133" spans="1:10" ht="21.25" customHeight="1" x14ac:dyDescent="0.15">
      <c r="A133" s="9" t="s">
        <v>549</v>
      </c>
      <c r="B133" s="88" t="str">
        <f>VLOOKUP(A133,'The List'!B1:D665,3,FALSE)</f>
        <v>C/LW</v>
      </c>
      <c r="C133" s="89">
        <f>IF(Settings!$E$15="POINTS",RANK(E133,E3:E206),H133)</f>
        <v>124</v>
      </c>
      <c r="D133" s="65" t="str">
        <f>VLOOKUP(A133,'The List'!B1:F665,5,FALSE)</f>
        <v>DET</v>
      </c>
      <c r="E133" s="54">
        <f>VLOOKUP(A133,'The List'!B1:I665,8,FALSE)</f>
        <v>187.5993429432807</v>
      </c>
      <c r="F133" s="54">
        <f>IF(Settings!$E$15="POINTS",E133-VLOOKUP(B$2,C1:E206,3,FALSE),J133)</f>
        <v>-202.33781483480038</v>
      </c>
      <c r="G133" s="54"/>
      <c r="H133" s="167">
        <f>RANK(I133,I3:I206)</f>
        <v>140</v>
      </c>
      <c r="I133" s="168">
        <f>VLOOKUP(A133,'Standard Deviations'!A1:C666,3,FALSE)</f>
        <v>-2.3450889290595631</v>
      </c>
      <c r="J133" s="168">
        <f>I133-VLOOKUP(B$2,H1:J206,2,FALSE)</f>
        <v>-9.0292908833120507</v>
      </c>
    </row>
    <row r="134" spans="1:10" ht="21.25" customHeight="1" x14ac:dyDescent="0.15">
      <c r="A134" s="9" t="s">
        <v>596</v>
      </c>
      <c r="B134" s="88" t="str">
        <f>VLOOKUP(A134,'The List'!B1:D665,3,FALSE)</f>
        <v>C/LW</v>
      </c>
      <c r="C134" s="89">
        <f>IF(Settings!$E$15="POINTS",RANK(E134,E3:E206),H134)</f>
        <v>135</v>
      </c>
      <c r="D134" s="65" t="str">
        <f>VLOOKUP(A134,'The List'!B1:F665,5,FALSE)</f>
        <v>VAN</v>
      </c>
      <c r="E134" s="54">
        <f>VLOOKUP(A134,'The List'!B1:I665,8,FALSE)</f>
        <v>169.89961857443333</v>
      </c>
      <c r="F134" s="54">
        <f>IF(Settings!$E$15="POINTS",E134-VLOOKUP(B$2,C1:E206,3,FALSE),J134)</f>
        <v>-220.03753920364775</v>
      </c>
      <c r="G134" s="54"/>
      <c r="H134" s="167">
        <f>RANK(I134,I3:I206)</f>
        <v>112</v>
      </c>
      <c r="I134" s="168">
        <f>VLOOKUP(A134,'Standard Deviations'!A1:C666,3,FALSE)</f>
        <v>-0.9809851631853137</v>
      </c>
      <c r="J134" s="168">
        <f>I134-VLOOKUP(B$2,H1:J206,2,FALSE)</f>
        <v>-7.6651871174378003</v>
      </c>
    </row>
    <row r="135" spans="1:10" ht="21.25" customHeight="1" x14ac:dyDescent="0.15">
      <c r="A135" s="9" t="s">
        <v>620</v>
      </c>
      <c r="B135" s="88" t="str">
        <f>VLOOKUP(A135,'The List'!B1:D665,3,FALSE)</f>
        <v>C</v>
      </c>
      <c r="C135" s="89">
        <f>IF(Settings!$E$15="POINTS",RANK(E135,E3:E206),H135)</f>
        <v>136</v>
      </c>
      <c r="D135" s="65" t="str">
        <f>VLOOKUP(A135,'The List'!B1:F665,5,FALSE)</f>
        <v>WSH</v>
      </c>
      <c r="E135" s="54">
        <f>VLOOKUP(A135,'The List'!B1:I665,8,FALSE)</f>
        <v>168.74665236531024</v>
      </c>
      <c r="F135" s="54">
        <f>IF(Settings!$E$15="POINTS",E135-VLOOKUP(B$2,C1:E206,3,FALSE),J135)</f>
        <v>-221.19050541277085</v>
      </c>
      <c r="G135" s="54"/>
      <c r="H135" s="167">
        <f>RANK(I135,I3:I206)</f>
        <v>144</v>
      </c>
      <c r="I135" s="168">
        <f>VLOOKUP(A135,'Standard Deviations'!A1:C666,3,FALSE)</f>
        <v>-2.6634288812287092</v>
      </c>
      <c r="J135" s="168">
        <f>I135-VLOOKUP(B$2,H1:J206,2,FALSE)</f>
        <v>-9.3476308354811959</v>
      </c>
    </row>
    <row r="136" spans="1:10" ht="21.25" customHeight="1" x14ac:dyDescent="0.15">
      <c r="A136" s="9" t="s">
        <v>552</v>
      </c>
      <c r="B136" s="88" t="str">
        <f>VLOOKUP(A136,'The List'!B1:D665,3,FALSE)</f>
        <v>C/LW</v>
      </c>
      <c r="C136" s="89">
        <f>IF(Settings!$E$15="POINTS",RANK(E136,E3:E206),H136)</f>
        <v>125</v>
      </c>
      <c r="D136" s="65" t="str">
        <f>VLOOKUP(A136,'The List'!B1:F665,5,FALSE)</f>
        <v>ANA</v>
      </c>
      <c r="E136" s="54">
        <f>VLOOKUP(A136,'The List'!B1:I665,8,FALSE)</f>
        <v>185.67361955513027</v>
      </c>
      <c r="F136" s="54">
        <f>IF(Settings!$E$15="POINTS",E136-VLOOKUP(B$2,C1:E206,3,FALSE),J136)</f>
        <v>-204.26353822295081</v>
      </c>
      <c r="G136" s="54"/>
      <c r="H136" s="167">
        <f>RANK(I136,I3:I206)</f>
        <v>170</v>
      </c>
      <c r="I136" s="168">
        <f>VLOOKUP(A136,'Standard Deviations'!A1:C666,3,FALSE)</f>
        <v>-3.4778399496785588</v>
      </c>
      <c r="J136" s="168">
        <f>I136-VLOOKUP(B$2,H1:J206,2,FALSE)</f>
        <v>-10.162041903931046</v>
      </c>
    </row>
    <row r="137" spans="1:10" ht="21.25" customHeight="1" x14ac:dyDescent="0.15">
      <c r="A137" s="9" t="s">
        <v>530</v>
      </c>
      <c r="B137" s="88" t="str">
        <f>VLOOKUP(A137,'The List'!B1:D665,3,FALSE)</f>
        <v>C/LW/RW</v>
      </c>
      <c r="C137" s="89">
        <f>IF(Settings!$E$15="POINTS",RANK(E137,E3:E206),H137)</f>
        <v>130</v>
      </c>
      <c r="D137" s="65" t="str">
        <f>VLOOKUP(A137,'The List'!B1:F665,5,FALSE)</f>
        <v>WPG</v>
      </c>
      <c r="E137" s="54">
        <f>VLOOKUP(A137,'The List'!B1:I665,8,FALSE)</f>
        <v>180.52883470564964</v>
      </c>
      <c r="F137" s="54">
        <f>IF(Settings!$E$15="POINTS",E137-VLOOKUP(B$2,C1:E206,3,FALSE),J137)</f>
        <v>-209.40832307243144</v>
      </c>
      <c r="G137" s="54"/>
      <c r="H137" s="167">
        <f>RANK(I137,I3:I206)</f>
        <v>109</v>
      </c>
      <c r="I137" s="168">
        <f>VLOOKUP(A137,'Standard Deviations'!A1:C666,3,FALSE)</f>
        <v>-0.8381272715785677</v>
      </c>
      <c r="J137" s="168">
        <f>I137-VLOOKUP(B$2,H1:J206,2,FALSE)</f>
        <v>-7.5223292258310543</v>
      </c>
    </row>
    <row r="138" spans="1:10" ht="21.25" customHeight="1" x14ac:dyDescent="0.15">
      <c r="A138" s="9" t="s">
        <v>565</v>
      </c>
      <c r="B138" s="88" t="str">
        <f>VLOOKUP(A138,'The List'!B1:D665,3,FALSE)</f>
        <v>C/LW</v>
      </c>
      <c r="C138" s="89">
        <f>IF(Settings!$E$15="POINTS",RANK(E138,E3:E206),H138)</f>
        <v>127</v>
      </c>
      <c r="D138" s="65" t="str">
        <f>VLOOKUP(A138,'The List'!B1:F665,5,FALSE)</f>
        <v>WPG</v>
      </c>
      <c r="E138" s="54">
        <f>VLOOKUP(A138,'The List'!B1:I665,8,FALSE)</f>
        <v>183.07589191046605</v>
      </c>
      <c r="F138" s="54">
        <f>IF(Settings!$E$15="POINTS",E138-VLOOKUP(B$2,C1:E206,3,FALSE),J138)</f>
        <v>-206.86126586761503</v>
      </c>
      <c r="G138" s="54"/>
      <c r="H138" s="167">
        <f>RANK(I138,I3:I206)</f>
        <v>108</v>
      </c>
      <c r="I138" s="168">
        <f>VLOOKUP(A138,'Standard Deviations'!A1:C666,3,FALSE)</f>
        <v>-0.78716171185310335</v>
      </c>
      <c r="J138" s="168">
        <f>I138-VLOOKUP(B$2,H1:J206,2,FALSE)</f>
        <v>-7.4713636661055904</v>
      </c>
    </row>
    <row r="139" spans="1:10" ht="21.25" customHeight="1" x14ac:dyDescent="0.15">
      <c r="A139" s="9" t="s">
        <v>592</v>
      </c>
      <c r="B139" s="88" t="str">
        <f>VLOOKUP(A139,'The List'!B1:D665,3,FALSE)</f>
        <v>C</v>
      </c>
      <c r="C139" s="89">
        <f>IF(Settings!$E$15="POINTS",RANK(E139,E3:E206),H139)</f>
        <v>129</v>
      </c>
      <c r="D139" s="65" t="str">
        <f>VLOOKUP(A139,'The List'!B1:F665,5,FALSE)</f>
        <v>CHI</v>
      </c>
      <c r="E139" s="54">
        <f>VLOOKUP(A139,'The List'!B1:I665,8,FALSE)</f>
        <v>180.97624259460395</v>
      </c>
      <c r="F139" s="54">
        <f>IF(Settings!$E$15="POINTS",E139-VLOOKUP(B$2,C1:E206,3,FALSE),J139)</f>
        <v>-208.96091518347714</v>
      </c>
      <c r="G139" s="54"/>
      <c r="H139" s="167">
        <f>RANK(I139,I3:I206)</f>
        <v>162</v>
      </c>
      <c r="I139" s="168">
        <f>VLOOKUP(A139,'Standard Deviations'!A1:C666,3,FALSE)</f>
        <v>-3.1348809683294174</v>
      </c>
      <c r="J139" s="168">
        <f>I139-VLOOKUP(B$2,H1:J206,2,FALSE)</f>
        <v>-9.8190829225819041</v>
      </c>
    </row>
    <row r="140" spans="1:10" ht="21.25" customHeight="1" x14ac:dyDescent="0.15">
      <c r="A140" s="9" t="s">
        <v>742</v>
      </c>
      <c r="B140" s="88" t="str">
        <f>VLOOKUP(A140,'The List'!B1:D665,3,FALSE)</f>
        <v>C</v>
      </c>
      <c r="C140" s="89">
        <f>IF(Settings!$E$15="POINTS",RANK(E140,E3:E206),H140)</f>
        <v>178</v>
      </c>
      <c r="D140" s="65" t="str">
        <f>VLOOKUP(A140,'The List'!B1:F665,5,FALSE)</f>
        <v>VGK</v>
      </c>
      <c r="E140" s="54">
        <f>VLOOKUP(A140,'The List'!B1:I665,8,FALSE)</f>
        <v>122.41740080073656</v>
      </c>
      <c r="F140" s="54">
        <f>IF(Settings!$E$15="POINTS",E140-VLOOKUP(B$2,C1:E206,3,FALSE),J140)</f>
        <v>-267.51975697734451</v>
      </c>
      <c r="G140" s="54"/>
      <c r="H140" s="167">
        <f>RANK(I140,I3:I206)</f>
        <v>177</v>
      </c>
      <c r="I140" s="168">
        <f>VLOOKUP(A140,'Standard Deviations'!A1:C666,3,FALSE)</f>
        <v>-3.7025759351460072</v>
      </c>
      <c r="J140" s="168">
        <f>I140-VLOOKUP(B$2,H1:J206,2,FALSE)</f>
        <v>-10.386777889398495</v>
      </c>
    </row>
    <row r="141" spans="1:10" ht="21.25" customHeight="1" x14ac:dyDescent="0.15">
      <c r="A141" s="9" t="s">
        <v>721</v>
      </c>
      <c r="B141" s="88" t="str">
        <f>VLOOKUP(A141,'The List'!B1:D665,3,FALSE)</f>
        <v>C</v>
      </c>
      <c r="C141" s="89">
        <f>IF(Settings!$E$15="POINTS",RANK(E141,E3:E206),H141)</f>
        <v>166</v>
      </c>
      <c r="D141" s="65" t="str">
        <f>VLOOKUP(A141,'The List'!B1:F665,5,FALSE)</f>
        <v>S.J</v>
      </c>
      <c r="E141" s="54">
        <f>VLOOKUP(A141,'The List'!B1:I665,8,FALSE)</f>
        <v>131.71980236331129</v>
      </c>
      <c r="F141" s="54">
        <f>IF(Settings!$E$15="POINTS",E141-VLOOKUP(B$2,C1:E206,3,FALSE),J141)</f>
        <v>-258.21735541476983</v>
      </c>
      <c r="G141" s="54"/>
      <c r="H141" s="167">
        <f>RANK(I141,I3:I206)</f>
        <v>191</v>
      </c>
      <c r="I141" s="168">
        <f>VLOOKUP(A141,'Standard Deviations'!A1:C666,3,FALSE)</f>
        <v>-4.6588116883011477</v>
      </c>
      <c r="J141" s="168">
        <f>I141-VLOOKUP(B$2,H1:J206,2,FALSE)</f>
        <v>-11.343013642553634</v>
      </c>
    </row>
    <row r="142" spans="1:10" ht="21.25" customHeight="1" x14ac:dyDescent="0.15">
      <c r="A142" s="9" t="s">
        <v>627</v>
      </c>
      <c r="B142" s="88" t="str">
        <f>VLOOKUP(A142,'The List'!B1:D665,3,FALSE)</f>
        <v>C</v>
      </c>
      <c r="C142" s="89">
        <f>IF(Settings!$E$15="POINTS",RANK(E142,E3:E206),H142)</f>
        <v>138</v>
      </c>
      <c r="D142" s="65" t="str">
        <f>VLOOKUP(A142,'The List'!B1:F665,5,FALSE)</f>
        <v>T.B</v>
      </c>
      <c r="E142" s="54">
        <f>VLOOKUP(A142,'The List'!B1:I665,8,FALSE)</f>
        <v>166.98474741286995</v>
      </c>
      <c r="F142" s="54">
        <f>IF(Settings!$E$15="POINTS",E142-VLOOKUP(B$2,C1:E206,3,FALSE),J142)</f>
        <v>-222.95241036521114</v>
      </c>
      <c r="G142" s="54"/>
      <c r="H142" s="167">
        <f>RANK(I142,I3:I206)</f>
        <v>132</v>
      </c>
      <c r="I142" s="168">
        <f>VLOOKUP(A142,'Standard Deviations'!A1:C666,3,FALSE)</f>
        <v>-1.8658033989228624</v>
      </c>
      <c r="J142" s="168">
        <f>I142-VLOOKUP(B$2,H1:J206,2,FALSE)</f>
        <v>-8.550005353175349</v>
      </c>
    </row>
    <row r="143" spans="1:10" ht="21.25" customHeight="1" x14ac:dyDescent="0.15">
      <c r="A143" s="9" t="s">
        <v>669</v>
      </c>
      <c r="B143" s="88" t="str">
        <f>VLOOKUP(A143,'The List'!B1:D665,3,FALSE)</f>
        <v>C</v>
      </c>
      <c r="C143" s="89">
        <f>IF(Settings!$E$15="POINTS",RANK(E143,E3:E206),H143)</f>
        <v>151</v>
      </c>
      <c r="D143" s="65" t="str">
        <f>VLOOKUP(A143,'The List'!B1:F665,5,FALSE)</f>
        <v>CAR</v>
      </c>
      <c r="E143" s="54">
        <f>VLOOKUP(A143,'The List'!B1:I665,8,FALSE)</f>
        <v>154.31706123261708</v>
      </c>
      <c r="F143" s="54">
        <f>IF(Settings!$E$15="POINTS",E143-VLOOKUP(B$2,C1:E206,3,FALSE),J143)</f>
        <v>-235.62009654546401</v>
      </c>
      <c r="G143" s="54"/>
      <c r="H143" s="167">
        <f>RANK(I143,I3:I206)</f>
        <v>116</v>
      </c>
      <c r="I143" s="168">
        <f>VLOOKUP(A143,'Standard Deviations'!A1:C666,3,FALSE)</f>
        <v>-1.0901474949991514</v>
      </c>
      <c r="J143" s="168">
        <f>I143-VLOOKUP(B$2,H1:J206,2,FALSE)</f>
        <v>-7.7743494492516376</v>
      </c>
    </row>
    <row r="144" spans="1:10" ht="21.25" customHeight="1" x14ac:dyDescent="0.15">
      <c r="A144" s="9" t="s">
        <v>573</v>
      </c>
      <c r="B144" s="88" t="str">
        <f>VLOOKUP(A144,'The List'!B1:D665,3,FALSE)</f>
        <v>C/LW</v>
      </c>
      <c r="C144" s="89">
        <f>IF(Settings!$E$15="POINTS",RANK(E144,E3:E206),H144)</f>
        <v>131</v>
      </c>
      <c r="D144" s="65" t="str">
        <f>VLOOKUP(A144,'The List'!B1:F665,5,FALSE)</f>
        <v>UTA</v>
      </c>
      <c r="E144" s="54">
        <f>VLOOKUP(A144,'The List'!B1:I665,8,FALSE)</f>
        <v>179.79080107438014</v>
      </c>
      <c r="F144" s="54">
        <f>IF(Settings!$E$15="POINTS",E144-VLOOKUP(B$2,C1:E206,3,FALSE),J144)</f>
        <v>-210.14635670370095</v>
      </c>
      <c r="G144" s="54"/>
      <c r="H144" s="167">
        <f>RANK(I144,I3:I206)</f>
        <v>127</v>
      </c>
      <c r="I144" s="168">
        <f>VLOOKUP(A144,'Standard Deviations'!A1:C666,3,FALSE)</f>
        <v>-1.7622460496309191</v>
      </c>
      <c r="J144" s="168">
        <f>I144-VLOOKUP(B$2,H1:J206,2,FALSE)</f>
        <v>-8.4464480038834058</v>
      </c>
    </row>
    <row r="145" spans="1:10" ht="21.25" customHeight="1" x14ac:dyDescent="0.15">
      <c r="A145" s="9" t="s">
        <v>638</v>
      </c>
      <c r="B145" s="88" t="str">
        <f>VLOOKUP(A145,'The List'!B1:D665,3,FALSE)</f>
        <v>C</v>
      </c>
      <c r="C145" s="89">
        <f>IF(Settings!$E$15="POINTS",RANK(E145,E3:E206),H145)</f>
        <v>140</v>
      </c>
      <c r="D145" s="65" t="str">
        <f>VLOOKUP(A145,'The List'!B1:F665,5,FALSE)</f>
        <v>PHI</v>
      </c>
      <c r="E145" s="54">
        <f>VLOOKUP(A145,'The List'!B1:I665,8,FALSE)</f>
        <v>163.53285271878252</v>
      </c>
      <c r="F145" s="54">
        <f>IF(Settings!$E$15="POINTS",E145-VLOOKUP(B$2,C1:E206,3,FALSE),J145)</f>
        <v>-226.40430505929857</v>
      </c>
      <c r="G145" s="54"/>
      <c r="H145" s="167">
        <f>RANK(I145,I3:I206)</f>
        <v>152</v>
      </c>
      <c r="I145" s="168">
        <f>VLOOKUP(A145,'Standard Deviations'!A1:C666,3,FALSE)</f>
        <v>-2.9022861002784937</v>
      </c>
      <c r="J145" s="168">
        <f>I145-VLOOKUP(B$2,H1:J206,2,FALSE)</f>
        <v>-9.5864880545309799</v>
      </c>
    </row>
    <row r="146" spans="1:10" ht="21.25" customHeight="1" x14ac:dyDescent="0.15">
      <c r="A146" s="9" t="s">
        <v>593</v>
      </c>
      <c r="B146" s="88" t="str">
        <f>VLOOKUP(A146,'The List'!B1:D665,3,FALSE)</f>
        <v>C/RW</v>
      </c>
      <c r="C146" s="89">
        <f>IF(Settings!$E$15="POINTS",RANK(E146,E3:E206),H146)</f>
        <v>144</v>
      </c>
      <c r="D146" s="65" t="str">
        <f>VLOOKUP(A146,'The List'!B1:F665,5,FALSE)</f>
        <v>CGY</v>
      </c>
      <c r="E146" s="54">
        <f>VLOOKUP(A146,'The List'!B1:I665,8,FALSE)</f>
        <v>159.51778843907746</v>
      </c>
      <c r="F146" s="54">
        <f>IF(Settings!$E$15="POINTS",E146-VLOOKUP(B$2,C1:E206,3,FALSE),J146)</f>
        <v>-230.41936933900362</v>
      </c>
      <c r="G146" s="54"/>
      <c r="H146" s="167">
        <f>RANK(I146,I3:I206)</f>
        <v>151</v>
      </c>
      <c r="I146" s="168">
        <f>VLOOKUP(A146,'Standard Deviations'!A1:C666,3,FALSE)</f>
        <v>-2.8926012713382541</v>
      </c>
      <c r="J146" s="168">
        <f>I146-VLOOKUP(B$2,H1:J206,2,FALSE)</f>
        <v>-9.5768032255907407</v>
      </c>
    </row>
    <row r="147" spans="1:10" ht="21.25" customHeight="1" x14ac:dyDescent="0.15">
      <c r="A147" s="9" t="s">
        <v>604</v>
      </c>
      <c r="B147" s="88" t="str">
        <f>VLOOKUP(A147,'The List'!B1:D665,3,FALSE)</f>
        <v>C</v>
      </c>
      <c r="C147" s="89">
        <f>IF(Settings!$E$15="POINTS",RANK(E147,E3:E206),H147)</f>
        <v>132</v>
      </c>
      <c r="D147" s="65" t="str">
        <f>VLOOKUP(A147,'The List'!B1:F665,5,FALSE)</f>
        <v>S.J</v>
      </c>
      <c r="E147" s="54">
        <f>VLOOKUP(A147,'The List'!B1:I665,8,FALSE)</f>
        <v>174.31339046457134</v>
      </c>
      <c r="F147" s="54">
        <f>IF(Settings!$E$15="POINTS",E147-VLOOKUP(B$2,C1:E206,3,FALSE),J147)</f>
        <v>-215.62376731350975</v>
      </c>
      <c r="G147" s="54"/>
      <c r="H147" s="167">
        <f>RANK(I147,I3:I206)</f>
        <v>128</v>
      </c>
      <c r="I147" s="168">
        <f>VLOOKUP(A147,'Standard Deviations'!A1:C666,3,FALSE)</f>
        <v>-1.7688518222623737</v>
      </c>
      <c r="J147" s="168">
        <f>I147-VLOOKUP(B$2,H1:J206,2,FALSE)</f>
        <v>-8.4530537765148601</v>
      </c>
    </row>
    <row r="148" spans="1:10" ht="21.25" customHeight="1" x14ac:dyDescent="0.15">
      <c r="A148" s="9" t="s">
        <v>655</v>
      </c>
      <c r="B148" s="88" t="str">
        <f>VLOOKUP(A148,'The List'!B1:D665,3,FALSE)</f>
        <v>C</v>
      </c>
      <c r="C148" s="89">
        <f>IF(Settings!$E$15="POINTS",RANK(E148,E3:E206),H148)</f>
        <v>147</v>
      </c>
      <c r="D148" s="65" t="str">
        <f>VLOOKUP(A148,'The List'!B1:F665,5,FALSE)</f>
        <v>OTT</v>
      </c>
      <c r="E148" s="54">
        <f>VLOOKUP(A148,'The List'!B1:I665,8,FALSE)</f>
        <v>158.56234459362454</v>
      </c>
      <c r="F148" s="54">
        <f>IF(Settings!$E$15="POINTS",E148-VLOOKUP(B$2,C1:E206,3,FALSE),J148)</f>
        <v>-231.37481318445654</v>
      </c>
      <c r="G148" s="54"/>
      <c r="H148" s="167">
        <f>RANK(I148,I3:I206)</f>
        <v>133</v>
      </c>
      <c r="I148" s="168">
        <f>VLOOKUP(A148,'Standard Deviations'!A1:C666,3,FALSE)</f>
        <v>-1.9371511860831863</v>
      </c>
      <c r="J148" s="168">
        <f>I148-VLOOKUP(B$2,H1:J206,2,FALSE)</f>
        <v>-8.6213531403356729</v>
      </c>
    </row>
    <row r="149" spans="1:10" ht="21.25" customHeight="1" x14ac:dyDescent="0.15">
      <c r="A149" s="9" t="s">
        <v>687</v>
      </c>
      <c r="B149" s="88" t="str">
        <f>VLOOKUP(A149,'The List'!B1:D665,3,FALSE)</f>
        <v>C</v>
      </c>
      <c r="C149" s="89">
        <f>IF(Settings!$E$15="POINTS",RANK(E149,E3:E206),H149)</f>
        <v>153</v>
      </c>
      <c r="D149" s="65" t="str">
        <f>VLOOKUP(A149,'The List'!B1:F665,5,FALSE)</f>
        <v>PIT</v>
      </c>
      <c r="E149" s="54">
        <f>VLOOKUP(A149,'The List'!B1:I665,8,FALSE)</f>
        <v>147.45374823644912</v>
      </c>
      <c r="F149" s="54">
        <f>IF(Settings!$E$15="POINTS",E149-VLOOKUP(B$2,C1:E206,3,FALSE),J149)</f>
        <v>-242.48340954163197</v>
      </c>
      <c r="G149" s="54"/>
      <c r="H149" s="167">
        <f>RANK(I149,I3:I206)</f>
        <v>146</v>
      </c>
      <c r="I149" s="168">
        <f>VLOOKUP(A149,'Standard Deviations'!A1:C666,3,FALSE)</f>
        <v>-2.6948554294782228</v>
      </c>
      <c r="J149" s="168">
        <f>I149-VLOOKUP(B$2,H1:J206,2,FALSE)</f>
        <v>-9.379057383730709</v>
      </c>
    </row>
    <row r="150" spans="1:10" ht="21.25" customHeight="1" x14ac:dyDescent="0.15">
      <c r="A150" s="9" t="s">
        <v>668</v>
      </c>
      <c r="B150" s="88" t="str">
        <f>VLOOKUP(A150,'The List'!B1:D665,3,FALSE)</f>
        <v>C</v>
      </c>
      <c r="C150" s="89">
        <f>IF(Settings!$E$15="POINTS",RANK(E150,E3:E206),H150)</f>
        <v>150</v>
      </c>
      <c r="D150" s="65" t="str">
        <f>VLOOKUP(A150,'The List'!B1:F665,5,FALSE)</f>
        <v>WSH</v>
      </c>
      <c r="E150" s="54">
        <f>VLOOKUP(A150,'The List'!B1:I665,8,FALSE)</f>
        <v>154.76260569544934</v>
      </c>
      <c r="F150" s="54">
        <f>IF(Settings!$E$15="POINTS",E150-VLOOKUP(B$2,C1:E206,3,FALSE),J150)</f>
        <v>-235.17455208263175</v>
      </c>
      <c r="G150" s="54"/>
      <c r="H150" s="167">
        <f>RANK(I150,I3:I206)</f>
        <v>156</v>
      </c>
      <c r="I150" s="168">
        <f>VLOOKUP(A150,'Standard Deviations'!A1:C666,3,FALSE)</f>
        <v>-2.9988466046657543</v>
      </c>
      <c r="J150" s="168">
        <f>I150-VLOOKUP(B$2,H1:J206,2,FALSE)</f>
        <v>-9.6830485589182409</v>
      </c>
    </row>
    <row r="151" spans="1:10" ht="21.25" customHeight="1" x14ac:dyDescent="0.15">
      <c r="A151" s="9" t="s">
        <v>653</v>
      </c>
      <c r="B151" s="88" t="str">
        <f>VLOOKUP(A151,'The List'!B1:D665,3,FALSE)</f>
        <v>C</v>
      </c>
      <c r="C151" s="89">
        <f>IF(Settings!$E$15="POINTS",RANK(E151,E3:E206),H151)</f>
        <v>145</v>
      </c>
      <c r="D151" s="65" t="str">
        <f>VLOOKUP(A151,'The List'!B1:F665,5,FALSE)</f>
        <v>BUF</v>
      </c>
      <c r="E151" s="54">
        <f>VLOOKUP(A151,'The List'!B1:I665,8,FALSE)</f>
        <v>159.24967837082897</v>
      </c>
      <c r="F151" s="54">
        <f>IF(Settings!$E$15="POINTS",E151-VLOOKUP(B$2,C1:E206,3,FALSE),J151)</f>
        <v>-230.68747940725211</v>
      </c>
      <c r="G151" s="54"/>
      <c r="H151" s="167">
        <f>RANK(I151,I3:I206)</f>
        <v>113</v>
      </c>
      <c r="I151" s="168">
        <f>VLOOKUP(A151,'Standard Deviations'!A1:C666,3,FALSE)</f>
        <v>-0.98782512532815048</v>
      </c>
      <c r="J151" s="168">
        <f>I151-VLOOKUP(B$2,H1:J206,2,FALSE)</f>
        <v>-7.6720270795806371</v>
      </c>
    </row>
    <row r="152" spans="1:10" ht="21.25" customHeight="1" x14ac:dyDescent="0.15">
      <c r="A152" s="9" t="s">
        <v>640</v>
      </c>
      <c r="B152" s="88" t="str">
        <f>VLOOKUP(A152,'The List'!B1:D665,3,FALSE)</f>
        <v>C</v>
      </c>
      <c r="C152" s="89">
        <f>IF(Settings!$E$15="POINTS",RANK(E152,E3:E206),H152)</f>
        <v>141</v>
      </c>
      <c r="D152" s="65" t="str">
        <f>VLOOKUP(A152,'The List'!B1:F665,5,FALSE)</f>
        <v>DET</v>
      </c>
      <c r="E152" s="54">
        <f>VLOOKUP(A152,'The List'!B1:I665,8,FALSE)</f>
        <v>163.45466230693174</v>
      </c>
      <c r="F152" s="54">
        <f>IF(Settings!$E$15="POINTS",E152-VLOOKUP(B$2,C1:E206,3,FALSE),J152)</f>
        <v>-226.48249547114935</v>
      </c>
      <c r="G152" s="54"/>
      <c r="H152" s="167">
        <f>RANK(I152,I3:I206)</f>
        <v>155</v>
      </c>
      <c r="I152" s="168">
        <f>VLOOKUP(A152,'Standard Deviations'!A1:C666,3,FALSE)</f>
        <v>-2.9621401306843209</v>
      </c>
      <c r="J152" s="168">
        <f>I152-VLOOKUP(B$2,H1:J206,2,FALSE)</f>
        <v>-9.6463420849368084</v>
      </c>
    </row>
    <row r="153" spans="1:10" ht="21.25" customHeight="1" x14ac:dyDescent="0.15">
      <c r="A153" s="9" t="s">
        <v>647</v>
      </c>
      <c r="B153" s="88" t="str">
        <f>VLOOKUP(A153,'The List'!B1:D665,3,FALSE)</f>
        <v>C</v>
      </c>
      <c r="C153" s="89">
        <f>IF(Settings!$E$15="POINTS",RANK(E153,E3:E206),H153)</f>
        <v>143</v>
      </c>
      <c r="D153" s="65" t="str">
        <f>VLOOKUP(A153,'The List'!B1:F665,5,FALSE)</f>
        <v>VAN</v>
      </c>
      <c r="E153" s="54">
        <f>VLOOKUP(A153,'The List'!B1:I665,8,FALSE)</f>
        <v>161.15513376518038</v>
      </c>
      <c r="F153" s="54">
        <f>IF(Settings!$E$15="POINTS",E153-VLOOKUP(B$2,C1:E206,3,FALSE),J153)</f>
        <v>-228.78202401290071</v>
      </c>
      <c r="G153" s="54"/>
      <c r="H153" s="167">
        <f>RANK(I153,I3:I206)</f>
        <v>114</v>
      </c>
      <c r="I153" s="168">
        <f>VLOOKUP(A153,'Standard Deviations'!A1:C666,3,FALSE)</f>
        <v>-1.0347265579689366</v>
      </c>
      <c r="J153" s="168">
        <f>I153-VLOOKUP(B$2,H1:J206,2,FALSE)</f>
        <v>-7.7189285122214235</v>
      </c>
    </row>
    <row r="154" spans="1:10" ht="21.25" customHeight="1" x14ac:dyDescent="0.15">
      <c r="A154" s="9" t="s">
        <v>605</v>
      </c>
      <c r="B154" s="88" t="str">
        <f>VLOOKUP(A154,'The List'!B1:D665,3,FALSE)</f>
        <v>C/RW</v>
      </c>
      <c r="C154" s="89">
        <f>IF(Settings!$E$15="POINTS",RANK(E154,E3:E206),H154)</f>
        <v>152</v>
      </c>
      <c r="D154" s="65" t="str">
        <f>VLOOKUP(A154,'The List'!B1:F665,5,FALSE)</f>
        <v>WPG</v>
      </c>
      <c r="E154" s="54">
        <f>VLOOKUP(A154,'The List'!B1:I665,8,FALSE)</f>
        <v>152.79064533224144</v>
      </c>
      <c r="F154" s="54">
        <f>IF(Settings!$E$15="POINTS",E154-VLOOKUP(B$2,C1:E206,3,FALSE),J154)</f>
        <v>-237.14651244583965</v>
      </c>
      <c r="G154" s="54"/>
      <c r="H154" s="167">
        <f>RANK(I154,I3:I206)</f>
        <v>139</v>
      </c>
      <c r="I154" s="168">
        <f>VLOOKUP(A154,'Standard Deviations'!A1:C666,3,FALSE)</f>
        <v>-2.287694077212524</v>
      </c>
      <c r="J154" s="168">
        <f>I154-VLOOKUP(B$2,H1:J206,2,FALSE)</f>
        <v>-8.9718960314650111</v>
      </c>
    </row>
    <row r="155" spans="1:10" ht="21.25" customHeight="1" x14ac:dyDescent="0.15">
      <c r="A155" s="9" t="s">
        <v>712</v>
      </c>
      <c r="B155" s="88" t="str">
        <f>VLOOKUP(A155,'The List'!B1:D665,3,FALSE)</f>
        <v>C</v>
      </c>
      <c r="C155" s="89">
        <f>IF(Settings!$E$15="POINTS",RANK(E155,E3:E206),H155)</f>
        <v>162</v>
      </c>
      <c r="D155" s="65" t="str">
        <f>VLOOKUP(A155,'The List'!B1:F665,5,FALSE)</f>
        <v>CHI</v>
      </c>
      <c r="E155" s="54">
        <f>VLOOKUP(A155,'The List'!B1:I665,8,FALSE)</f>
        <v>135.95358859964412</v>
      </c>
      <c r="F155" s="54">
        <f>IF(Settings!$E$15="POINTS",E155-VLOOKUP(B$2,C1:E206,3,FALSE),J155)</f>
        <v>-253.98356917843697</v>
      </c>
      <c r="G155" s="54"/>
      <c r="H155" s="167">
        <f>RANK(I155,I3:I206)</f>
        <v>190</v>
      </c>
      <c r="I155" s="168">
        <f>VLOOKUP(A155,'Standard Deviations'!A1:C666,3,FALSE)</f>
        <v>-4.517982350061331</v>
      </c>
      <c r="J155" s="168">
        <f>I155-VLOOKUP(B$2,H1:J206,2,FALSE)</f>
        <v>-11.202184304313818</v>
      </c>
    </row>
    <row r="156" spans="1:10" ht="21.25" customHeight="1" x14ac:dyDescent="0.15">
      <c r="A156" s="9" t="s">
        <v>654</v>
      </c>
      <c r="B156" s="88" t="str">
        <f>VLOOKUP(A156,'The List'!B1:D665,3,FALSE)</f>
        <v>C</v>
      </c>
      <c r="C156" s="89">
        <f>IF(Settings!$E$15="POINTS",RANK(E156,E3:E206),H156)</f>
        <v>146</v>
      </c>
      <c r="D156" s="65" t="str">
        <f>VLOOKUP(A156,'The List'!B1:F665,5,FALSE)</f>
        <v>CHI</v>
      </c>
      <c r="E156" s="54">
        <f>VLOOKUP(A156,'The List'!B1:I665,8,FALSE)</f>
        <v>158.92983137838078</v>
      </c>
      <c r="F156" s="54">
        <f>IF(Settings!$E$15="POINTS",E156-VLOOKUP(B$2,C1:E206,3,FALSE),J156)</f>
        <v>-231.0073263997003</v>
      </c>
      <c r="G156" s="54"/>
      <c r="H156" s="167">
        <f>RANK(I156,I3:I206)</f>
        <v>184</v>
      </c>
      <c r="I156" s="168">
        <f>VLOOKUP(A156,'Standard Deviations'!A1:C666,3,FALSE)</f>
        <v>-3.9924526106741798</v>
      </c>
      <c r="J156" s="168">
        <f>I156-VLOOKUP(B$2,H1:J206,2,FALSE)</f>
        <v>-10.676654564926666</v>
      </c>
    </row>
    <row r="157" spans="1:10" ht="21.25" customHeight="1" x14ac:dyDescent="0.15">
      <c r="A157" s="9" t="s">
        <v>757</v>
      </c>
      <c r="B157" s="88" t="str">
        <f>VLOOKUP(A157,'The List'!B1:D665,3,FALSE)</f>
        <v>C</v>
      </c>
      <c r="C157" s="89">
        <f>IF(Settings!$E$15="POINTS",RANK(E157,E3:E206),H157)</f>
        <v>187</v>
      </c>
      <c r="D157" s="65" t="str">
        <f>VLOOKUP(A157,'The List'!B1:F665,5,FALSE)</f>
        <v>L.A</v>
      </c>
      <c r="E157" s="54">
        <f>VLOOKUP(A157,'The List'!B1:I665,8,FALSE)</f>
        <v>112.91435732816734</v>
      </c>
      <c r="F157" s="54">
        <f>IF(Settings!$E$15="POINTS",E157-VLOOKUP(B$2,C1:E206,3,FALSE),J157)</f>
        <v>-277.02280044991375</v>
      </c>
      <c r="G157" s="54"/>
      <c r="H157" s="167">
        <f>RANK(I157,I3:I206)</f>
        <v>174</v>
      </c>
      <c r="I157" s="168">
        <f>VLOOKUP(A157,'Standard Deviations'!A1:C666,3,FALSE)</f>
        <v>-3.6398135978406532</v>
      </c>
      <c r="J157" s="168">
        <f>I157-VLOOKUP(B$2,H1:J206,2,FALSE)</f>
        <v>-10.32401555209314</v>
      </c>
    </row>
    <row r="158" spans="1:10" ht="21.25" customHeight="1" x14ac:dyDescent="0.15">
      <c r="A158" s="9" t="s">
        <v>642</v>
      </c>
      <c r="B158" s="88" t="str">
        <f>VLOOKUP(A158,'The List'!B1:D665,3,FALSE)</f>
        <v>C</v>
      </c>
      <c r="C158" s="89">
        <f>IF(Settings!$E$15="POINTS",RANK(E158,E3:E206),H158)</f>
        <v>142</v>
      </c>
      <c r="D158" s="65" t="str">
        <f>VLOOKUP(A158,'The List'!B1:F665,5,FALSE)</f>
        <v>CAR</v>
      </c>
      <c r="E158" s="54">
        <f>VLOOKUP(A158,'The List'!B1:I665,8,FALSE)</f>
        <v>162.70857249584458</v>
      </c>
      <c r="F158" s="54">
        <f>IF(Settings!$E$15="POINTS",E158-VLOOKUP(B$2,C1:E206,3,FALSE),J158)</f>
        <v>-227.22858528223651</v>
      </c>
      <c r="G158" s="54"/>
      <c r="H158" s="167">
        <f>RANK(I158,I3:I206)</f>
        <v>118</v>
      </c>
      <c r="I158" s="168">
        <f>VLOOKUP(A158,'Standard Deviations'!A1:C666,3,FALSE)</f>
        <v>-1.2058696515317722</v>
      </c>
      <c r="J158" s="168">
        <f>I158-VLOOKUP(B$2,H1:J206,2,FALSE)</f>
        <v>-7.890071605784259</v>
      </c>
    </row>
    <row r="159" spans="1:10" ht="21.25" customHeight="1" x14ac:dyDescent="0.15">
      <c r="A159" s="9" t="s">
        <v>684</v>
      </c>
      <c r="B159" s="88" t="str">
        <f>VLOOKUP(A159,'The List'!B1:D665,3,FALSE)</f>
        <v>C/LW</v>
      </c>
      <c r="C159" s="89">
        <f>IF(Settings!$E$15="POINTS",RANK(E159,E3:E206),H159)</f>
        <v>160</v>
      </c>
      <c r="D159" s="65" t="str">
        <f>VLOOKUP(A159,'The List'!B1:F665,5,FALSE)</f>
        <v>ANA</v>
      </c>
      <c r="E159" s="54">
        <f>VLOOKUP(A159,'The List'!B1:I665,8,FALSE)</f>
        <v>138.79058816750558</v>
      </c>
      <c r="F159" s="54">
        <f>IF(Settings!$E$15="POINTS",E159-VLOOKUP(B$2,C1:E206,3,FALSE),J159)</f>
        <v>-251.14656961057551</v>
      </c>
      <c r="G159" s="54"/>
      <c r="H159" s="167">
        <f>RANK(I159,I3:I206)</f>
        <v>176</v>
      </c>
      <c r="I159" s="168">
        <f>VLOOKUP(A159,'Standard Deviations'!A1:C666,3,FALSE)</f>
        <v>-3.6718872347424236</v>
      </c>
      <c r="J159" s="168">
        <f>I159-VLOOKUP(B$2,H1:J206,2,FALSE)</f>
        <v>-10.356089188994911</v>
      </c>
    </row>
    <row r="160" spans="1:10" ht="21.25" customHeight="1" x14ac:dyDescent="0.15">
      <c r="A160" s="9" t="s">
        <v>689</v>
      </c>
      <c r="B160" s="88" t="str">
        <f>VLOOKUP(A160,'The List'!B1:D665,3,FALSE)</f>
        <v>C</v>
      </c>
      <c r="C160" s="89">
        <f>IF(Settings!$E$15="POINTS",RANK(E160,E3:E206),H160)</f>
        <v>154</v>
      </c>
      <c r="D160" s="65" t="str">
        <f>VLOOKUP(A160,'The List'!B1:F665,5,FALSE)</f>
        <v>TOR</v>
      </c>
      <c r="E160" s="54">
        <f>VLOOKUP(A160,'The List'!B1:I665,8,FALSE)</f>
        <v>146.80606910568514</v>
      </c>
      <c r="F160" s="54">
        <f>IF(Settings!$E$15="POINTS",E160-VLOOKUP(B$2,C1:E206,3,FALSE),J160)</f>
        <v>-243.13108867239595</v>
      </c>
      <c r="G160" s="54"/>
      <c r="H160" s="167">
        <f>RANK(I160,I3:I206)</f>
        <v>126</v>
      </c>
      <c r="I160" s="168">
        <f>VLOOKUP(A160,'Standard Deviations'!A1:C666,3,FALSE)</f>
        <v>-1.7076875713132782</v>
      </c>
      <c r="J160" s="168">
        <f>I160-VLOOKUP(B$2,H1:J206,2,FALSE)</f>
        <v>-8.3918895255657642</v>
      </c>
    </row>
    <row r="161" spans="1:10" ht="21.25" customHeight="1" x14ac:dyDescent="0.15">
      <c r="A161" s="9" t="s">
        <v>699</v>
      </c>
      <c r="B161" s="88" t="str">
        <f>VLOOKUP(A161,'The List'!B1:D665,3,FALSE)</f>
        <v>C</v>
      </c>
      <c r="C161" s="89">
        <f>IF(Settings!$E$15="POINTS",RANK(E161,E3:E206),H161)</f>
        <v>158</v>
      </c>
      <c r="D161" s="65" t="str">
        <f>VLOOKUP(A161,'The List'!B1:F665,5,FALSE)</f>
        <v>DAL</v>
      </c>
      <c r="E161" s="54">
        <f>VLOOKUP(A161,'The List'!B1:I665,8,FALSE)</f>
        <v>142.03510896582551</v>
      </c>
      <c r="F161" s="54">
        <f>IF(Settings!$E$15="POINTS",E161-VLOOKUP(B$2,C1:E206,3,FALSE),J161)</f>
        <v>-247.90204881225557</v>
      </c>
      <c r="G161" s="54"/>
      <c r="H161" s="167">
        <f>RANK(I161,I3:I206)</f>
        <v>134</v>
      </c>
      <c r="I161" s="168">
        <f>VLOOKUP(A161,'Standard Deviations'!A1:C666,3,FALSE)</f>
        <v>-2.0359359927919254</v>
      </c>
      <c r="J161" s="168">
        <f>I161-VLOOKUP(B$2,H1:J206,2,FALSE)</f>
        <v>-8.720137947044412</v>
      </c>
    </row>
    <row r="162" spans="1:10" ht="21.25" customHeight="1" x14ac:dyDescent="0.15">
      <c r="A162" s="9" t="s">
        <v>723</v>
      </c>
      <c r="B162" s="88" t="str">
        <f>VLOOKUP(A162,'The List'!B1:D665,3,FALSE)</f>
        <v>C</v>
      </c>
      <c r="C162" s="89">
        <f>IF(Settings!$E$15="POINTS",RANK(E162,E3:E206),H162)</f>
        <v>167</v>
      </c>
      <c r="D162" s="65" t="str">
        <f>VLOOKUP(A162,'The List'!B1:F665,5,FALSE)</f>
        <v>NSH</v>
      </c>
      <c r="E162" s="54">
        <f>VLOOKUP(A162,'The List'!B1:I665,8,FALSE)</f>
        <v>130.48117372969116</v>
      </c>
      <c r="F162" s="54">
        <f>IF(Settings!$E$15="POINTS",E162-VLOOKUP(B$2,C1:E206,3,FALSE),J162)</f>
        <v>-259.45598404838995</v>
      </c>
      <c r="G162" s="54"/>
      <c r="H162" s="167">
        <f>RANK(I162,I3:I206)</f>
        <v>171</v>
      </c>
      <c r="I162" s="168">
        <f>VLOOKUP(A162,'Standard Deviations'!A1:C666,3,FALSE)</f>
        <v>-3.4857403095107493</v>
      </c>
      <c r="J162" s="168">
        <f>I162-VLOOKUP(B$2,H1:J206,2,FALSE)</f>
        <v>-10.169942263763236</v>
      </c>
    </row>
    <row r="163" spans="1:10" ht="21.25" customHeight="1" x14ac:dyDescent="0.15">
      <c r="A163" s="9" t="s">
        <v>720</v>
      </c>
      <c r="B163" s="88" t="str">
        <f>VLOOKUP(A163,'The List'!B1:D665,3,FALSE)</f>
        <v>C</v>
      </c>
      <c r="C163" s="89">
        <f>IF(Settings!$E$15="POINTS",RANK(E163,E3:E206),H163)</f>
        <v>165</v>
      </c>
      <c r="D163" s="65" t="str">
        <f>VLOOKUP(A163,'The List'!B1:F665,5,FALSE)</f>
        <v>WSH</v>
      </c>
      <c r="E163" s="54">
        <f>VLOOKUP(A163,'The List'!B1:I665,8,FALSE)</f>
        <v>132.20298189705795</v>
      </c>
      <c r="F163" s="54">
        <f>IF(Settings!$E$15="POINTS",E163-VLOOKUP(B$2,C1:E206,3,FALSE),J163)</f>
        <v>-257.73417588102313</v>
      </c>
      <c r="G163" s="54"/>
      <c r="H163" s="167">
        <f>RANK(I163,I3:I206)</f>
        <v>181</v>
      </c>
      <c r="I163" s="168">
        <f>VLOOKUP(A163,'Standard Deviations'!A1:C666,3,FALSE)</f>
        <v>-3.8218344846707528</v>
      </c>
      <c r="J163" s="168">
        <f>I163-VLOOKUP(B$2,H1:J206,2,FALSE)</f>
        <v>-10.506036438923239</v>
      </c>
    </row>
    <row r="164" spans="1:10" ht="21.25" customHeight="1" x14ac:dyDescent="0.15">
      <c r="A164" s="9" t="s">
        <v>666</v>
      </c>
      <c r="B164" s="88" t="str">
        <f>VLOOKUP(A164,'The List'!B1:D665,3,FALSE)</f>
        <v>C</v>
      </c>
      <c r="C164" s="89">
        <f>IF(Settings!$E$15="POINTS",RANK(E164,E3:E206),H164)</f>
        <v>149</v>
      </c>
      <c r="D164" s="65" t="str">
        <f>VLOOKUP(A164,'The List'!B1:F665,5,FALSE)</f>
        <v>PIT</v>
      </c>
      <c r="E164" s="54">
        <f>VLOOKUP(A164,'The List'!B1:I665,8,FALSE)</f>
        <v>155.30875340317388</v>
      </c>
      <c r="F164" s="54">
        <f>IF(Settings!$E$15="POINTS",E164-VLOOKUP(B$2,C1:E206,3,FALSE),J164)</f>
        <v>-234.62840437490721</v>
      </c>
      <c r="G164" s="54"/>
      <c r="H164" s="167">
        <f>RANK(I164,I3:I206)</f>
        <v>143</v>
      </c>
      <c r="I164" s="168">
        <f>VLOOKUP(A164,'Standard Deviations'!A1:C666,3,FALSE)</f>
        <v>-2.6422972597926453</v>
      </c>
      <c r="J164" s="168">
        <f>I164-VLOOKUP(B$2,H1:J206,2,FALSE)</f>
        <v>-9.3264992140451319</v>
      </c>
    </row>
    <row r="165" spans="1:10" ht="21.25" customHeight="1" x14ac:dyDescent="0.15">
      <c r="A165" s="9" t="s">
        <v>691</v>
      </c>
      <c r="B165" s="88" t="str">
        <f>VLOOKUP(A165,'The List'!B1:D665,3,FALSE)</f>
        <v>C</v>
      </c>
      <c r="C165" s="89">
        <f>IF(Settings!$E$15="POINTS",RANK(E165,E3:E206),H165)</f>
        <v>155</v>
      </c>
      <c r="D165" s="65" t="str">
        <f>VLOOKUP(A165,'The List'!B1:F665,5,FALSE)</f>
        <v>MTL</v>
      </c>
      <c r="E165" s="54">
        <f>VLOOKUP(A165,'The List'!B1:I665,8,FALSE)</f>
        <v>145.93504672908088</v>
      </c>
      <c r="F165" s="54">
        <f>IF(Settings!$E$15="POINTS",E165-VLOOKUP(B$2,C1:E206,3,FALSE),J165)</f>
        <v>-244.00211104900021</v>
      </c>
      <c r="G165" s="54"/>
      <c r="H165" s="167">
        <f>RANK(I165,I3:I206)</f>
        <v>186</v>
      </c>
      <c r="I165" s="168">
        <f>VLOOKUP(A165,'Standard Deviations'!A1:C666,3,FALSE)</f>
        <v>-4.1732760903390744</v>
      </c>
      <c r="J165" s="168">
        <f>I165-VLOOKUP(B$2,H1:J206,2,FALSE)</f>
        <v>-10.857478044591561</v>
      </c>
    </row>
    <row r="166" spans="1:10" ht="21.25" customHeight="1" x14ac:dyDescent="0.15">
      <c r="A166" s="9" t="s">
        <v>696</v>
      </c>
      <c r="B166" s="88" t="str">
        <f>VLOOKUP(A166,'The List'!B1:D665,3,FALSE)</f>
        <v>C</v>
      </c>
      <c r="C166" s="89">
        <f>IF(Settings!$E$15="POINTS",RANK(E166,E3:E206),H166)</f>
        <v>156</v>
      </c>
      <c r="D166" s="65" t="str">
        <f>VLOOKUP(A166,'The List'!B1:F665,5,FALSE)</f>
        <v>MIN</v>
      </c>
      <c r="E166" s="54">
        <f>VLOOKUP(A166,'The List'!B1:I665,8,FALSE)</f>
        <v>144.28889112923221</v>
      </c>
      <c r="F166" s="54">
        <f>IF(Settings!$E$15="POINTS",E166-VLOOKUP(B$2,C1:E206,3,FALSE),J166)</f>
        <v>-245.64826664884887</v>
      </c>
      <c r="G166" s="54"/>
      <c r="H166" s="167">
        <f>RANK(I166,I3:I206)</f>
        <v>164</v>
      </c>
      <c r="I166" s="168">
        <f>VLOOKUP(A166,'Standard Deviations'!A1:C666,3,FALSE)</f>
        <v>-3.2239311065091463</v>
      </c>
      <c r="J166" s="168">
        <f>I166-VLOOKUP(B$2,H1:J206,2,FALSE)</f>
        <v>-9.9081330607616334</v>
      </c>
    </row>
    <row r="167" spans="1:10" ht="21.25" customHeight="1" x14ac:dyDescent="0.15">
      <c r="A167" s="9" t="s">
        <v>744</v>
      </c>
      <c r="B167" s="88" t="str">
        <f>VLOOKUP(A167,'The List'!B1:D665,3,FALSE)</f>
        <v>C</v>
      </c>
      <c r="C167" s="89">
        <f>IF(Settings!$E$15="POINTS",RANK(E167,E3:E206),H167)</f>
        <v>180</v>
      </c>
      <c r="D167" s="65" t="str">
        <f>VLOOKUP(A167,'The List'!B1:F665,5,FALSE)</f>
        <v>MTL</v>
      </c>
      <c r="E167" s="54">
        <f>VLOOKUP(A167,'The List'!B1:I665,8,FALSE)</f>
        <v>121.19215461373292</v>
      </c>
      <c r="F167" s="54">
        <f>IF(Settings!$E$15="POINTS",E167-VLOOKUP(B$2,C1:E206,3,FALSE),J167)</f>
        <v>-268.74500316434819</v>
      </c>
      <c r="G167" s="54"/>
      <c r="H167" s="167">
        <f>RANK(I167,I3:I206)</f>
        <v>192</v>
      </c>
      <c r="I167" s="168">
        <f>VLOOKUP(A167,'Standard Deviations'!A1:C666,3,FALSE)</f>
        <v>-4.7501766662224396</v>
      </c>
      <c r="J167" s="168">
        <f>I167-VLOOKUP(B$2,H1:J206,2,FALSE)</f>
        <v>-11.434378620474927</v>
      </c>
    </row>
    <row r="168" spans="1:10" ht="21.25" customHeight="1" x14ac:dyDescent="0.15">
      <c r="A168" s="9" t="s">
        <v>719</v>
      </c>
      <c r="B168" s="88" t="str">
        <f>VLOOKUP(A168,'The List'!B1:D665,3,FALSE)</f>
        <v>C</v>
      </c>
      <c r="C168" s="89">
        <f>IF(Settings!$E$15="POINTS",RANK(E168,E3:E206),H168)</f>
        <v>164</v>
      </c>
      <c r="D168" s="65" t="str">
        <f>VLOOKUP(A168,'The List'!B1:F665,5,FALSE)</f>
        <v>VAN</v>
      </c>
      <c r="E168" s="54">
        <f>VLOOKUP(A168,'The List'!B1:I665,8,FALSE)</f>
        <v>133.1157540724459</v>
      </c>
      <c r="F168" s="54">
        <f>IF(Settings!$E$15="POINTS",E168-VLOOKUP(B$2,C1:E206,3,FALSE),J168)</f>
        <v>-256.82140370563519</v>
      </c>
      <c r="G168" s="54"/>
      <c r="H168" s="167">
        <f>RANK(I168,I3:I206)</f>
        <v>141</v>
      </c>
      <c r="I168" s="168">
        <f>VLOOKUP(A168,'Standard Deviations'!A1:C666,3,FALSE)</f>
        <v>-2.4543468536161472</v>
      </c>
      <c r="J168" s="168">
        <f>I168-VLOOKUP(B$2,H1:J206,2,FALSE)</f>
        <v>-9.1385488078686343</v>
      </c>
    </row>
    <row r="169" spans="1:10" ht="21.25" customHeight="1" x14ac:dyDescent="0.15">
      <c r="A169" s="9" t="s">
        <v>706</v>
      </c>
      <c r="B169" s="88" t="str">
        <f>VLOOKUP(A169,'The List'!B1:D665,3,FALSE)</f>
        <v>C</v>
      </c>
      <c r="C169" s="89">
        <f>IF(Settings!$E$15="POINTS",RANK(E169,E3:E206),H169)</f>
        <v>159</v>
      </c>
      <c r="D169" s="65" t="str">
        <f>VLOOKUP(A169,'The List'!B1:F665,5,FALSE)</f>
        <v>NYI</v>
      </c>
      <c r="E169" s="54">
        <f>VLOOKUP(A169,'The List'!B1:I665,8,FALSE)</f>
        <v>138.79573651926458</v>
      </c>
      <c r="F169" s="54">
        <f>IF(Settings!$E$15="POINTS",E169-VLOOKUP(B$2,C1:E206,3,FALSE),J169)</f>
        <v>-251.14142125881651</v>
      </c>
      <c r="G169" s="54"/>
      <c r="H169" s="167">
        <f>RANK(I169,I3:I206)</f>
        <v>150</v>
      </c>
      <c r="I169" s="168">
        <f>VLOOKUP(A169,'Standard Deviations'!A1:C666,3,FALSE)</f>
        <v>-2.8818659525126109</v>
      </c>
      <c r="J169" s="168">
        <f>I169-VLOOKUP(B$2,H1:J206,2,FALSE)</f>
        <v>-9.5660679067650971</v>
      </c>
    </row>
    <row r="170" spans="1:10" ht="21.25" customHeight="1" x14ac:dyDescent="0.15">
      <c r="A170" s="9" t="s">
        <v>674</v>
      </c>
      <c r="B170" s="88" t="str">
        <f>VLOOKUP(A170,'The List'!B1:D665,3,FALSE)</f>
        <v>C/LW</v>
      </c>
      <c r="C170" s="89">
        <f>IF(Settings!$E$15="POINTS",RANK(E170,E3:E206),H170)</f>
        <v>157</v>
      </c>
      <c r="D170" s="65" t="str">
        <f>VLOOKUP(A170,'The List'!B1:F665,5,FALSE)</f>
        <v>NSH</v>
      </c>
      <c r="E170" s="54">
        <f>VLOOKUP(A170,'The List'!B1:I665,8,FALSE)</f>
        <v>143.11292293614355</v>
      </c>
      <c r="F170" s="54">
        <f>IF(Settings!$E$15="POINTS",E170-VLOOKUP(B$2,C1:E206,3,FALSE),J170)</f>
        <v>-246.82423484193754</v>
      </c>
      <c r="G170" s="54"/>
      <c r="H170" s="167">
        <f>RANK(I170,I3:I206)</f>
        <v>147</v>
      </c>
      <c r="I170" s="168">
        <f>VLOOKUP(A170,'Standard Deviations'!A1:C666,3,FALSE)</f>
        <v>-2.7155062616481791</v>
      </c>
      <c r="J170" s="168">
        <f>I170-VLOOKUP(B$2,H1:J206,2,FALSE)</f>
        <v>-9.3997082159006666</v>
      </c>
    </row>
    <row r="171" spans="1:10" ht="21.25" customHeight="1" x14ac:dyDescent="0.15">
      <c r="A171" s="9" t="s">
        <v>736</v>
      </c>
      <c r="B171" s="88" t="str">
        <f>VLOOKUP(A171,'The List'!B1:D665,3,FALSE)</f>
        <v>C</v>
      </c>
      <c r="C171" s="89">
        <f>IF(Settings!$E$15="POINTS",RANK(E171,E3:E206),H171)</f>
        <v>173</v>
      </c>
      <c r="D171" s="65" t="str">
        <f>VLOOKUP(A171,'The List'!B1:F665,5,FALSE)</f>
        <v>FLA</v>
      </c>
      <c r="E171" s="54">
        <f>VLOOKUP(A171,'The List'!B1:I665,8,FALSE)</f>
        <v>124.72025617697237</v>
      </c>
      <c r="F171" s="54">
        <f>IF(Settings!$E$15="POINTS",E171-VLOOKUP(B$2,C1:E206,3,FALSE),J171)</f>
        <v>-265.2169016011087</v>
      </c>
      <c r="G171" s="54"/>
      <c r="H171" s="167">
        <f>RANK(I171,I3:I206)</f>
        <v>160</v>
      </c>
      <c r="I171" s="168">
        <f>VLOOKUP(A171,'Standard Deviations'!A1:C666,3,FALSE)</f>
        <v>-3.0768015709826244</v>
      </c>
      <c r="J171" s="168">
        <f>I171-VLOOKUP(B$2,H1:J206,2,FALSE)</f>
        <v>-9.7610035252351111</v>
      </c>
    </row>
    <row r="172" spans="1:10" ht="21.25" customHeight="1" x14ac:dyDescent="0.15">
      <c r="A172" s="9" t="s">
        <v>717</v>
      </c>
      <c r="B172" s="88" t="str">
        <f>VLOOKUP(A172,'The List'!B1:D665,3,FALSE)</f>
        <v>C</v>
      </c>
      <c r="C172" s="89">
        <f>IF(Settings!$E$15="POINTS",RANK(E172,E3:E206),H172)</f>
        <v>163</v>
      </c>
      <c r="D172" s="65" t="str">
        <f>VLOOKUP(A172,'The List'!B1:F665,5,FALSE)</f>
        <v>PIT</v>
      </c>
      <c r="E172" s="54">
        <f>VLOOKUP(A172,'The List'!B1:I665,8,FALSE)</f>
        <v>134.18170766665202</v>
      </c>
      <c r="F172" s="54">
        <f>IF(Settings!$E$15="POINTS",E172-VLOOKUP(B$2,C1:E206,3,FALSE),J172)</f>
        <v>-255.75545011142907</v>
      </c>
      <c r="G172" s="54"/>
      <c r="H172" s="167">
        <f>RANK(I172,I3:I206)</f>
        <v>154</v>
      </c>
      <c r="I172" s="168">
        <f>VLOOKUP(A172,'Standard Deviations'!A1:C666,3,FALSE)</f>
        <v>-2.9586627292050056</v>
      </c>
      <c r="J172" s="168">
        <f>I172-VLOOKUP(B$2,H1:J206,2,FALSE)</f>
        <v>-9.6428646834574927</v>
      </c>
    </row>
    <row r="173" spans="1:10" ht="21.25" customHeight="1" x14ac:dyDescent="0.15">
      <c r="A173" s="9" t="s">
        <v>734</v>
      </c>
      <c r="B173" s="88" t="str">
        <f>VLOOKUP(A173,'The List'!B1:D665,3,FALSE)</f>
        <v>C</v>
      </c>
      <c r="C173" s="89">
        <f>IF(Settings!$E$15="POINTS",RANK(E173,E3:E206),H173)</f>
        <v>172</v>
      </c>
      <c r="D173" s="65" t="str">
        <f>VLOOKUP(A173,'The List'!B1:F665,5,FALSE)</f>
        <v>UTA</v>
      </c>
      <c r="E173" s="54">
        <f>VLOOKUP(A173,'The List'!B1:I665,8,FALSE)</f>
        <v>125.23064850397982</v>
      </c>
      <c r="F173" s="54">
        <f>IF(Settings!$E$15="POINTS",E173-VLOOKUP(B$2,C1:E206,3,FALSE),J173)</f>
        <v>-264.70650927410128</v>
      </c>
      <c r="G173" s="54"/>
      <c r="H173" s="167">
        <f>RANK(I173,I3:I206)</f>
        <v>175</v>
      </c>
      <c r="I173" s="168">
        <f>VLOOKUP(A173,'Standard Deviations'!A1:C666,3,FALSE)</f>
        <v>-3.6461094179396261</v>
      </c>
      <c r="J173" s="168">
        <f>I173-VLOOKUP(B$2,H1:J206,2,FALSE)</f>
        <v>-10.330311372192114</v>
      </c>
    </row>
    <row r="174" spans="1:10" ht="21.25" customHeight="1" x14ac:dyDescent="0.15">
      <c r="A174" s="9" t="s">
        <v>737</v>
      </c>
      <c r="B174" s="88" t="str">
        <f>VLOOKUP(A174,'The List'!B1:D665,3,FALSE)</f>
        <v>C</v>
      </c>
      <c r="C174" s="89">
        <f>IF(Settings!$E$15="POINTS",RANK(E174,E3:E206),H174)</f>
        <v>174</v>
      </c>
      <c r="D174" s="65" t="str">
        <f>VLOOKUP(A174,'The List'!B1:F665,5,FALSE)</f>
        <v>VGK</v>
      </c>
      <c r="E174" s="54">
        <f>VLOOKUP(A174,'The List'!B1:I665,8,FALSE)</f>
        <v>124.69339929263968</v>
      </c>
      <c r="F174" s="54">
        <f>IF(Settings!$E$15="POINTS",E174-VLOOKUP(B$2,C1:E206,3,FALSE),J174)</f>
        <v>-265.24375848544139</v>
      </c>
      <c r="G174" s="54"/>
      <c r="H174" s="167">
        <f>RANK(I174,I3:I206)</f>
        <v>172</v>
      </c>
      <c r="I174" s="168">
        <f>VLOOKUP(A174,'Standard Deviations'!A1:C666,3,FALSE)</f>
        <v>-3.5297124682082859</v>
      </c>
      <c r="J174" s="168">
        <f>I174-VLOOKUP(B$2,H1:J206,2,FALSE)</f>
        <v>-10.213914422460773</v>
      </c>
    </row>
    <row r="175" spans="1:10" ht="21.25" customHeight="1" x14ac:dyDescent="0.15">
      <c r="A175" s="9" t="s">
        <v>711</v>
      </c>
      <c r="B175" s="88" t="str">
        <f>VLOOKUP(A175,'The List'!B1:D665,3,FALSE)</f>
        <v>C</v>
      </c>
      <c r="C175" s="89">
        <f>IF(Settings!$E$15="POINTS",RANK(E175,E3:E206),H175)</f>
        <v>161</v>
      </c>
      <c r="D175" s="65" t="str">
        <f>VLOOKUP(A175,'The List'!B1:F665,5,FALSE)</f>
        <v>MIN</v>
      </c>
      <c r="E175" s="54">
        <f>VLOOKUP(A175,'The List'!B1:I665,8,FALSE)</f>
        <v>136.06209918127766</v>
      </c>
      <c r="F175" s="54">
        <f>IF(Settings!$E$15="POINTS",E175-VLOOKUP(B$2,C1:E206,3,FALSE),J175)</f>
        <v>-253.87505859680343</v>
      </c>
      <c r="G175" s="54"/>
      <c r="H175" s="167">
        <f>RANK(I175,I3:I206)</f>
        <v>163</v>
      </c>
      <c r="I175" s="168">
        <f>VLOOKUP(A175,'Standard Deviations'!A1:C666,3,FALSE)</f>
        <v>-3.2190697165672977</v>
      </c>
      <c r="J175" s="168">
        <f>I175-VLOOKUP(B$2,H1:J206,2,FALSE)</f>
        <v>-9.9032716708197839</v>
      </c>
    </row>
    <row r="176" spans="1:10" ht="21.25" customHeight="1" x14ac:dyDescent="0.15">
      <c r="A176" s="9" t="s">
        <v>731</v>
      </c>
      <c r="B176" s="88" t="str">
        <f>VLOOKUP(A176,'The List'!B1:D665,3,FALSE)</f>
        <v>C</v>
      </c>
      <c r="C176" s="89">
        <f>IF(Settings!$E$15="POINTS",RANK(E176,E3:E206),H176)</f>
        <v>171</v>
      </c>
      <c r="D176" s="65" t="str">
        <f>VLOOKUP(A176,'The List'!B1:F665,5,FALSE)</f>
        <v>N.J</v>
      </c>
      <c r="E176" s="54">
        <f>VLOOKUP(A176,'The List'!B1:I665,8,FALSE)</f>
        <v>125.68542763467954</v>
      </c>
      <c r="F176" s="54">
        <f>IF(Settings!$E$15="POINTS",E176-VLOOKUP(B$2,C1:E206,3,FALSE),J176)</f>
        <v>-264.25173014340157</v>
      </c>
      <c r="G176" s="54"/>
      <c r="H176" s="167">
        <f>RANK(I176,I3:I206)</f>
        <v>153</v>
      </c>
      <c r="I176" s="168">
        <f>VLOOKUP(A176,'Standard Deviations'!A1:C666,3,FALSE)</f>
        <v>-2.9411153435958219</v>
      </c>
      <c r="J176" s="168">
        <f>I176-VLOOKUP(B$2,H1:J206,2,FALSE)</f>
        <v>-9.6253172978483086</v>
      </c>
    </row>
    <row r="177" spans="1:10" ht="21.25" customHeight="1" x14ac:dyDescent="0.15">
      <c r="A177" s="9" t="s">
        <v>741</v>
      </c>
      <c r="B177" s="88" t="str">
        <f>VLOOKUP(A177,'The List'!B1:D665,3,FALSE)</f>
        <v>C</v>
      </c>
      <c r="C177" s="89">
        <f>IF(Settings!$E$15="POINTS",RANK(E177,E3:E206),H177)</f>
        <v>177</v>
      </c>
      <c r="D177" s="65" t="str">
        <f>VLOOKUP(A177,'The List'!B1:F665,5,FALSE)</f>
        <v>OTT</v>
      </c>
      <c r="E177" s="54">
        <f>VLOOKUP(A177,'The List'!B1:I665,8,FALSE)</f>
        <v>122.50286411668114</v>
      </c>
      <c r="F177" s="54">
        <f>IF(Settings!$E$15="POINTS",E177-VLOOKUP(B$2,C1:E206,3,FALSE),J177)</f>
        <v>-267.43429366139992</v>
      </c>
      <c r="G177" s="54"/>
      <c r="H177" s="167">
        <f>RANK(I177,I3:I206)</f>
        <v>157</v>
      </c>
      <c r="I177" s="168">
        <f>VLOOKUP(A177,'Standard Deviations'!A1:C666,3,FALSE)</f>
        <v>-3.0029115185464477</v>
      </c>
      <c r="J177" s="168">
        <f>I177-VLOOKUP(B$2,H1:J206,2,FALSE)</f>
        <v>-9.6871134727989343</v>
      </c>
    </row>
    <row r="178" spans="1:10" ht="21.25" customHeight="1" x14ac:dyDescent="0.15">
      <c r="A178" s="9" t="s">
        <v>766</v>
      </c>
      <c r="B178" s="88" t="str">
        <f>VLOOKUP(A178,'The List'!B1:D665,3,FALSE)</f>
        <v>C</v>
      </c>
      <c r="C178" s="89">
        <f>IF(Settings!$E$15="POINTS",RANK(E178,E3:E206),H178)</f>
        <v>190</v>
      </c>
      <c r="D178" s="65" t="str">
        <f>VLOOKUP(A178,'The List'!B1:F665,5,FALSE)</f>
        <v>NYR</v>
      </c>
      <c r="E178" s="54">
        <f>VLOOKUP(A178,'The List'!B1:I665,8,FALSE)</f>
        <v>104.24650183325838</v>
      </c>
      <c r="F178" s="54">
        <f>IF(Settings!$E$15="POINTS",E178-VLOOKUP(B$2,C1:E206,3,FALSE),J178)</f>
        <v>-285.69065594482271</v>
      </c>
      <c r="G178" s="54"/>
      <c r="H178" s="167">
        <f>RANK(I178,I3:I206)</f>
        <v>178</v>
      </c>
      <c r="I178" s="168">
        <f>VLOOKUP(A178,'Standard Deviations'!A1:C666,3,FALSE)</f>
        <v>-3.7744264855989464</v>
      </c>
      <c r="J178" s="168">
        <f>I178-VLOOKUP(B$2,H1:J206,2,FALSE)</f>
        <v>-10.458628439851433</v>
      </c>
    </row>
    <row r="179" spans="1:10" ht="21.25" customHeight="1" x14ac:dyDescent="0.15">
      <c r="A179" s="9" t="s">
        <v>740</v>
      </c>
      <c r="B179" s="88" t="str">
        <f>VLOOKUP(A179,'The List'!B1:D665,3,FALSE)</f>
        <v>C</v>
      </c>
      <c r="C179" s="89">
        <f>IF(Settings!$E$15="POINTS",RANK(E179,E3:E206),H179)</f>
        <v>176</v>
      </c>
      <c r="D179" s="65" t="str">
        <f>VLOOKUP(A179,'The List'!B1:F665,5,FALSE)</f>
        <v>S.J</v>
      </c>
      <c r="E179" s="54">
        <f>VLOOKUP(A179,'The List'!B1:I665,8,FALSE)</f>
        <v>122.90474108726656</v>
      </c>
      <c r="F179" s="54">
        <f>IF(Settings!$E$15="POINTS",E179-VLOOKUP(B$2,C1:E206,3,FALSE),J179)</f>
        <v>-267.03241669081456</v>
      </c>
      <c r="G179" s="54"/>
      <c r="H179" s="167">
        <f>RANK(I179,I3:I206)</f>
        <v>203</v>
      </c>
      <c r="I179" s="168">
        <f>VLOOKUP(A179,'Standard Deviations'!A1:C666,3,FALSE)</f>
        <v>-5.9128666472603637</v>
      </c>
      <c r="J179" s="168">
        <f>I179-VLOOKUP(B$2,H1:J206,2,FALSE)</f>
        <v>-12.59706860151285</v>
      </c>
    </row>
    <row r="180" spans="1:10" ht="21.25" customHeight="1" x14ac:dyDescent="0.15">
      <c r="A180" s="9" t="s">
        <v>728</v>
      </c>
      <c r="B180" s="88" t="str">
        <f>VLOOKUP(A180,'The List'!B1:D665,3,FALSE)</f>
        <v>C</v>
      </c>
      <c r="C180" s="89">
        <f>IF(Settings!$E$15="POINTS",RANK(E180,E3:E206),H180)</f>
        <v>170</v>
      </c>
      <c r="D180" s="65" t="str">
        <f>VLOOKUP(A180,'The List'!B1:F665,5,FALSE)</f>
        <v>CBJ</v>
      </c>
      <c r="E180" s="54">
        <f>VLOOKUP(A180,'The List'!B1:I665,8,FALSE)</f>
        <v>126.68376708640662</v>
      </c>
      <c r="F180" s="54">
        <f>IF(Settings!$E$15="POINTS",E180-VLOOKUP(B$2,C1:E206,3,FALSE),J180)</f>
        <v>-263.25339069167444</v>
      </c>
      <c r="G180" s="54"/>
      <c r="H180" s="167">
        <f>RANK(I180,I3:I206)</f>
        <v>199</v>
      </c>
      <c r="I180" s="168">
        <f>VLOOKUP(A180,'Standard Deviations'!A1:C666,3,FALSE)</f>
        <v>-5.4185242951961285</v>
      </c>
      <c r="J180" s="168">
        <f>I180-VLOOKUP(B$2,H1:J206,2,FALSE)</f>
        <v>-12.102726249448615</v>
      </c>
    </row>
    <row r="181" spans="1:10" ht="21.25" customHeight="1" x14ac:dyDescent="0.15">
      <c r="A181" s="9" t="s">
        <v>725</v>
      </c>
      <c r="B181" s="88" t="str">
        <f>VLOOKUP(A181,'The List'!B1:D665,3,FALSE)</f>
        <v>C</v>
      </c>
      <c r="C181" s="89">
        <f>IF(Settings!$E$15="POINTS",RANK(E181,E3:E206),H181)</f>
        <v>168</v>
      </c>
      <c r="D181" s="65" t="str">
        <f>VLOOKUP(A181,'The List'!B1:F665,5,FALSE)</f>
        <v>DAL</v>
      </c>
      <c r="E181" s="54">
        <f>VLOOKUP(A181,'The List'!B1:I665,8,FALSE)</f>
        <v>128.16061403710131</v>
      </c>
      <c r="F181" s="54">
        <f>IF(Settings!$E$15="POINTS",E181-VLOOKUP(B$2,C1:E206,3,FALSE),J181)</f>
        <v>-261.77654374097978</v>
      </c>
      <c r="G181" s="54"/>
      <c r="H181" s="167">
        <f>RANK(I181,I3:I206)</f>
        <v>148</v>
      </c>
      <c r="I181" s="168">
        <f>VLOOKUP(A181,'Standard Deviations'!A1:C666,3,FALSE)</f>
        <v>-2.8337407743355429</v>
      </c>
      <c r="J181" s="168">
        <f>I181-VLOOKUP(B$2,H1:J206,2,FALSE)</f>
        <v>-9.5179427285880287</v>
      </c>
    </row>
    <row r="182" spans="1:10" ht="21.25" customHeight="1" x14ac:dyDescent="0.15">
      <c r="A182" s="9" t="s">
        <v>769</v>
      </c>
      <c r="B182" s="88" t="str">
        <f>VLOOKUP(A182,'The List'!B1:D665,3,FALSE)</f>
        <v>C</v>
      </c>
      <c r="C182" s="89">
        <f>IF(Settings!$E$15="POINTS",RANK(E182,E3:E206),H182)</f>
        <v>193</v>
      </c>
      <c r="D182" s="65" t="str">
        <f>VLOOKUP(A182,'The List'!B1:F665,5,FALSE)</f>
        <v>NSH</v>
      </c>
      <c r="E182" s="54">
        <f>VLOOKUP(A182,'The List'!B1:I665,8,FALSE)</f>
        <v>102.20542389518708</v>
      </c>
      <c r="F182" s="54">
        <f>IF(Settings!$E$15="POINTS",E182-VLOOKUP(B$2,C1:E206,3,FALSE),J182)</f>
        <v>-287.73173388289399</v>
      </c>
      <c r="G182" s="54"/>
      <c r="H182" s="167">
        <f>RANK(I182,I3:I206)</f>
        <v>179</v>
      </c>
      <c r="I182" s="168">
        <f>VLOOKUP(A182,'Standard Deviations'!A1:C666,3,FALSE)</f>
        <v>-3.7802716876733022</v>
      </c>
      <c r="J182" s="168">
        <f>I182-VLOOKUP(B$2,H1:J206,2,FALSE)</f>
        <v>-10.464473641925789</v>
      </c>
    </row>
    <row r="183" spans="1:10" ht="21.25" customHeight="1" x14ac:dyDescent="0.15">
      <c r="A183" s="9" t="s">
        <v>756</v>
      </c>
      <c r="B183" s="88" t="str">
        <f>VLOOKUP(A183,'The List'!B1:D665,3,FALSE)</f>
        <v>C</v>
      </c>
      <c r="C183" s="89">
        <f>IF(Settings!$E$15="POINTS",RANK(E183,E3:E206),H183)</f>
        <v>186</v>
      </c>
      <c r="D183" s="65" t="str">
        <f>VLOOKUP(A183,'The List'!B1:F665,5,FALSE)</f>
        <v>PIT</v>
      </c>
      <c r="E183" s="54">
        <f>VLOOKUP(A183,'The List'!B1:I665,8,FALSE)</f>
        <v>114.30616065230689</v>
      </c>
      <c r="F183" s="54">
        <f>IF(Settings!$E$15="POINTS",E183-VLOOKUP(B$2,C1:E206,3,FALSE),J183)</f>
        <v>-275.63099712577423</v>
      </c>
      <c r="G183" s="54"/>
      <c r="H183" s="167">
        <f>RANK(I183,I3:I206)</f>
        <v>182</v>
      </c>
      <c r="I183" s="168">
        <f>VLOOKUP(A183,'Standard Deviations'!A1:C666,3,FALSE)</f>
        <v>-3.908842109784735</v>
      </c>
      <c r="J183" s="168">
        <f>I183-VLOOKUP(B$2,H1:J206,2,FALSE)</f>
        <v>-10.593044064037223</v>
      </c>
    </row>
    <row r="184" spans="1:10" ht="21.25" customHeight="1" x14ac:dyDescent="0.15">
      <c r="A184" s="9" t="s">
        <v>750</v>
      </c>
      <c r="B184" s="88" t="str">
        <f>VLOOKUP(A184,'The List'!B1:D665,3,FALSE)</f>
        <v>C</v>
      </c>
      <c r="C184" s="89">
        <f>IF(Settings!$E$15="POINTS",RANK(E184,E3:E206),H184)</f>
        <v>184</v>
      </c>
      <c r="D184" s="65" t="str">
        <f>VLOOKUP(A184,'The List'!B1:F665,5,FALSE)</f>
        <v>ANA</v>
      </c>
      <c r="E184" s="54">
        <f>VLOOKUP(A184,'The List'!B1:I665,8,FALSE)</f>
        <v>117.37236969149959</v>
      </c>
      <c r="F184" s="54">
        <f>IF(Settings!$E$15="POINTS",E184-VLOOKUP(B$2,C1:E206,3,FALSE),J184)</f>
        <v>-272.56478808658153</v>
      </c>
      <c r="G184" s="54"/>
      <c r="H184" s="167">
        <f>RANK(I184,I3:I206)</f>
        <v>197</v>
      </c>
      <c r="I184" s="168">
        <f>VLOOKUP(A184,'Standard Deviations'!A1:C666,3,FALSE)</f>
        <v>-5.2742436631082334</v>
      </c>
      <c r="J184" s="168">
        <f>I184-VLOOKUP(B$2,H1:J206,2,FALSE)</f>
        <v>-11.95844561736072</v>
      </c>
    </row>
    <row r="185" spans="1:10" ht="21.25" customHeight="1" x14ac:dyDescent="0.15">
      <c r="A185" s="9" t="s">
        <v>738</v>
      </c>
      <c r="B185" s="88" t="str">
        <f>VLOOKUP(A185,'The List'!B1:D665,3,FALSE)</f>
        <v>C</v>
      </c>
      <c r="C185" s="89">
        <f>IF(Settings!$E$15="POINTS",RANK(E185,E3:E206),H185)</f>
        <v>175</v>
      </c>
      <c r="D185" s="65" t="str">
        <f>VLOOKUP(A185,'The List'!B1:F665,5,FALSE)</f>
        <v>S.J</v>
      </c>
      <c r="E185" s="54">
        <f>VLOOKUP(A185,'The List'!B1:I665,8,FALSE)</f>
        <v>123.96279298624145</v>
      </c>
      <c r="F185" s="54">
        <f>IF(Settings!$E$15="POINTS",E185-VLOOKUP(B$2,C1:E206,3,FALSE),J185)</f>
        <v>-265.97436479183966</v>
      </c>
      <c r="G185" s="54"/>
      <c r="H185" s="167">
        <f>RANK(I185,I3:I206)</f>
        <v>202</v>
      </c>
      <c r="I185" s="168">
        <f>VLOOKUP(A185,'Standard Deviations'!A1:C666,3,FALSE)</f>
        <v>-5.8401943301265398</v>
      </c>
      <c r="J185" s="168">
        <f>I185-VLOOKUP(B$2,H1:J206,2,FALSE)</f>
        <v>-12.524396284379026</v>
      </c>
    </row>
    <row r="186" spans="1:10" ht="21.25" customHeight="1" x14ac:dyDescent="0.15">
      <c r="A186" s="9" t="s">
        <v>762</v>
      </c>
      <c r="B186" s="88" t="str">
        <f>VLOOKUP(A186,'The List'!B1:D665,3,FALSE)</f>
        <v>C</v>
      </c>
      <c r="C186" s="89">
        <f>IF(Settings!$E$15="POINTS",RANK(E186,E3:E206),H186)</f>
        <v>188</v>
      </c>
      <c r="D186" s="65" t="str">
        <f>VLOOKUP(A186,'The List'!B1:F665,5,FALSE)</f>
        <v>DAL</v>
      </c>
      <c r="E186" s="54">
        <f>VLOOKUP(A186,'The List'!B1:I665,8,FALSE)</f>
        <v>110.72850623089863</v>
      </c>
      <c r="F186" s="54">
        <f>IF(Settings!$E$15="POINTS",E186-VLOOKUP(B$2,C1:E206,3,FALSE),J186)</f>
        <v>-279.20865154718246</v>
      </c>
      <c r="G186" s="54"/>
      <c r="H186" s="167">
        <f>RANK(I186,I3:I206)</f>
        <v>198</v>
      </c>
      <c r="I186" s="168">
        <f>VLOOKUP(A186,'Standard Deviations'!A1:C666,3,FALSE)</f>
        <v>-5.4127184700341191</v>
      </c>
      <c r="J186" s="168">
        <f>I186-VLOOKUP(B$2,H1:J206,2,FALSE)</f>
        <v>-12.096920424286605</v>
      </c>
    </row>
    <row r="187" spans="1:10" ht="21.25" customHeight="1" x14ac:dyDescent="0.15">
      <c r="A187" s="9" t="s">
        <v>746</v>
      </c>
      <c r="B187" s="88" t="str">
        <f>VLOOKUP(A187,'The List'!B1:D665,3,FALSE)</f>
        <v>C</v>
      </c>
      <c r="C187" s="89">
        <f>IF(Settings!$E$15="POINTS",RANK(E187,E3:E206),H187)</f>
        <v>181</v>
      </c>
      <c r="D187" s="65" t="str">
        <f>VLOOKUP(A187,'The List'!B1:F665,5,FALSE)</f>
        <v>STL</v>
      </c>
      <c r="E187" s="54">
        <f>VLOOKUP(A187,'The List'!B1:I665,8,FALSE)</f>
        <v>120.85609505598005</v>
      </c>
      <c r="F187" s="54">
        <f>IF(Settings!$E$15="POINTS",E187-VLOOKUP(B$2,C1:E206,3,FALSE),J187)</f>
        <v>-269.08106272210102</v>
      </c>
      <c r="G187" s="54"/>
      <c r="H187" s="167">
        <f>RANK(I187,I3:I206)</f>
        <v>193</v>
      </c>
      <c r="I187" s="168">
        <f>VLOOKUP(A187,'Standard Deviations'!A1:C666,3,FALSE)</f>
        <v>-4.8051169780079972</v>
      </c>
      <c r="J187" s="168">
        <f>I187-VLOOKUP(B$2,H1:J206,2,FALSE)</f>
        <v>-11.489318932260485</v>
      </c>
    </row>
    <row r="188" spans="1:10" ht="21.25" customHeight="1" x14ac:dyDescent="0.15">
      <c r="A188" s="9" t="s">
        <v>726</v>
      </c>
      <c r="B188" s="88" t="str">
        <f>VLOOKUP(A188,'The List'!B1:D665,3,FALSE)</f>
        <v>C</v>
      </c>
      <c r="C188" s="89">
        <f>IF(Settings!$E$15="POINTS",RANK(E188,E3:E206),H188)</f>
        <v>169</v>
      </c>
      <c r="D188" s="65" t="str">
        <f>VLOOKUP(A188,'The List'!B1:F665,5,FALSE)</f>
        <v>S.J</v>
      </c>
      <c r="E188" s="54">
        <f>VLOOKUP(A188,'The List'!B1:I665,8,FALSE)</f>
        <v>127.19454770990303</v>
      </c>
      <c r="F188" s="54">
        <f>IF(Settings!$E$15="POINTS",E188-VLOOKUP(B$2,C1:E206,3,FALSE),J188)</f>
        <v>-262.74261006817807</v>
      </c>
      <c r="G188" s="54"/>
      <c r="H188" s="167">
        <f>RANK(I188,I3:I206)</f>
        <v>158</v>
      </c>
      <c r="I188" s="168">
        <f>VLOOKUP(A188,'Standard Deviations'!A1:C666,3,FALSE)</f>
        <v>-3.0327725615505989</v>
      </c>
      <c r="J188" s="168">
        <f>I188-VLOOKUP(B$2,H1:J206,2,FALSE)</f>
        <v>-9.716974515803086</v>
      </c>
    </row>
    <row r="189" spans="1:10" ht="21.25" customHeight="1" x14ac:dyDescent="0.15">
      <c r="A189" s="9" t="s">
        <v>748</v>
      </c>
      <c r="B189" s="88" t="str">
        <f>VLOOKUP(A189,'The List'!B1:D665,3,FALSE)</f>
        <v>C</v>
      </c>
      <c r="C189" s="89">
        <f>IF(Settings!$E$15="POINTS",RANK(E189,E3:E206),H189)</f>
        <v>183</v>
      </c>
      <c r="D189" s="65" t="str">
        <f>VLOOKUP(A189,'The List'!B1:F665,5,FALSE)</f>
        <v>TOR</v>
      </c>
      <c r="E189" s="54">
        <f>VLOOKUP(A189,'The List'!B1:I665,8,FALSE)</f>
        <v>117.80666717182122</v>
      </c>
      <c r="F189" s="54">
        <f>IF(Settings!$E$15="POINTS",E189-VLOOKUP(B$2,C1:E206,3,FALSE),J189)</f>
        <v>-272.13049060625985</v>
      </c>
      <c r="G189" s="54"/>
      <c r="H189" s="167">
        <f>RANK(I189,I3:I206)</f>
        <v>183</v>
      </c>
      <c r="I189" s="168">
        <f>VLOOKUP(A189,'Standard Deviations'!A1:C666,3,FALSE)</f>
        <v>-3.9810208899954502</v>
      </c>
      <c r="J189" s="168">
        <f>I189-VLOOKUP(B$2,H1:J206,2,FALSE)</f>
        <v>-10.665222844247937</v>
      </c>
    </row>
    <row r="190" spans="1:10" ht="21.25" customHeight="1" x14ac:dyDescent="0.15">
      <c r="A190" s="9" t="s">
        <v>754</v>
      </c>
      <c r="B190" s="88" t="str">
        <f>VLOOKUP(A190,'The List'!B1:D665,3,FALSE)</f>
        <v>C</v>
      </c>
      <c r="C190" s="89">
        <f>IF(Settings!$E$15="POINTS",RANK(E190,E3:E206),H190)</f>
        <v>185</v>
      </c>
      <c r="D190" s="65" t="str">
        <f>VLOOKUP(A190,'The List'!B1:F665,5,FALSE)</f>
        <v>WPG</v>
      </c>
      <c r="E190" s="54">
        <f>VLOOKUP(A190,'The List'!B1:I665,8,FALSE)</f>
        <v>115.22933173024998</v>
      </c>
      <c r="F190" s="54">
        <f>IF(Settings!$E$15="POINTS",E190-VLOOKUP(B$2,C1:E206,3,FALSE),J190)</f>
        <v>-274.70782604783108</v>
      </c>
      <c r="G190" s="54"/>
      <c r="H190" s="167">
        <f>RANK(I190,I3:I206)</f>
        <v>168</v>
      </c>
      <c r="I190" s="168">
        <f>VLOOKUP(A190,'Standard Deviations'!A1:C666,3,FALSE)</f>
        <v>-3.3999603475106248</v>
      </c>
      <c r="J190" s="168">
        <f>I190-VLOOKUP(B$2,H1:J206,2,FALSE)</f>
        <v>-10.084162301763111</v>
      </c>
    </row>
    <row r="191" spans="1:10" ht="21.25" customHeight="1" x14ac:dyDescent="0.15">
      <c r="A191" s="9" t="s">
        <v>743</v>
      </c>
      <c r="B191" s="88" t="str">
        <f>VLOOKUP(A191,'The List'!B1:D665,3,FALSE)</f>
        <v>C</v>
      </c>
      <c r="C191" s="89">
        <f>IF(Settings!$E$15="POINTS",RANK(E191,E3:E206),H191)</f>
        <v>179</v>
      </c>
      <c r="D191" s="65" t="str">
        <f>VLOOKUP(A191,'The List'!B1:F665,5,FALSE)</f>
        <v>TOR</v>
      </c>
      <c r="E191" s="54">
        <f>VLOOKUP(A191,'The List'!B1:I665,8,FALSE)</f>
        <v>121.95901126849535</v>
      </c>
      <c r="F191" s="54">
        <f>IF(Settings!$E$15="POINTS",E191-VLOOKUP(B$2,C1:E206,3,FALSE),J191)</f>
        <v>-267.97814650958571</v>
      </c>
      <c r="G191" s="54"/>
      <c r="H191" s="167">
        <f>RANK(I191,I3:I206)</f>
        <v>159</v>
      </c>
      <c r="I191" s="168">
        <f>VLOOKUP(A191,'Standard Deviations'!A1:C666,3,FALSE)</f>
        <v>-3.0449539403812449</v>
      </c>
      <c r="J191" s="168">
        <f>I191-VLOOKUP(B$2,H1:J206,2,FALSE)</f>
        <v>-9.7291558946337311</v>
      </c>
    </row>
    <row r="192" spans="1:10" ht="21.25" customHeight="1" x14ac:dyDescent="0.15">
      <c r="A192" s="9" t="s">
        <v>767</v>
      </c>
      <c r="B192" s="88" t="str">
        <f>VLOOKUP(A192,'The List'!B1:D665,3,FALSE)</f>
        <v>C</v>
      </c>
      <c r="C192" s="89">
        <f>IF(Settings!$E$15="POINTS",RANK(E192,E3:E206),H192)</f>
        <v>191</v>
      </c>
      <c r="D192" s="65" t="str">
        <f>VLOOKUP(A192,'The List'!B1:F665,5,FALSE)</f>
        <v>BOS</v>
      </c>
      <c r="E192" s="54">
        <f>VLOOKUP(A192,'The List'!B1:I665,8,FALSE)</f>
        <v>104.06275003729064</v>
      </c>
      <c r="F192" s="54">
        <f>IF(Settings!$E$15="POINTS",E192-VLOOKUP(B$2,C1:E206,3,FALSE),J192)</f>
        <v>-285.87440774079045</v>
      </c>
      <c r="G192" s="54"/>
      <c r="H192" s="167">
        <f>RANK(I192,I3:I206)</f>
        <v>188</v>
      </c>
      <c r="I192" s="168">
        <f>VLOOKUP(A192,'Standard Deviations'!A1:C666,3,FALSE)</f>
        <v>-4.3738885344281559</v>
      </c>
      <c r="J192" s="168">
        <f>I192-VLOOKUP(B$2,H1:J206,2,FALSE)</f>
        <v>-11.058090488680643</v>
      </c>
    </row>
    <row r="193" spans="1:10" ht="21.25" customHeight="1" x14ac:dyDescent="0.15">
      <c r="A193" s="9" t="s">
        <v>747</v>
      </c>
      <c r="B193" s="88" t="str">
        <f>VLOOKUP(A193,'The List'!B1:D665,3,FALSE)</f>
        <v>C</v>
      </c>
      <c r="C193" s="89">
        <f>IF(Settings!$E$15="POINTS",RANK(E193,E3:E206),H193)</f>
        <v>182</v>
      </c>
      <c r="D193" s="65" t="str">
        <f>VLOOKUP(A193,'The List'!B1:F665,5,FALSE)</f>
        <v>STL</v>
      </c>
      <c r="E193" s="54">
        <f>VLOOKUP(A193,'The List'!B1:I665,8,FALSE)</f>
        <v>118.64912150011916</v>
      </c>
      <c r="F193" s="54">
        <f>IF(Settings!$E$15="POINTS",E193-VLOOKUP(B$2,C1:E206,3,FALSE),J193)</f>
        <v>-271.28803627796191</v>
      </c>
      <c r="G193" s="54"/>
      <c r="H193" s="167">
        <f>RANK(I193,I3:I206)</f>
        <v>161</v>
      </c>
      <c r="I193" s="168">
        <f>VLOOKUP(A193,'Standard Deviations'!A1:C666,3,FALSE)</f>
        <v>-3.1030010416887013</v>
      </c>
      <c r="J193" s="168">
        <f>I193-VLOOKUP(B$2,H1:J206,2,FALSE)</f>
        <v>-9.7872029959411879</v>
      </c>
    </row>
    <row r="194" spans="1:10" ht="21.25" customHeight="1" x14ac:dyDescent="0.15">
      <c r="A194" s="9" t="s">
        <v>777</v>
      </c>
      <c r="B194" s="88" t="str">
        <f>VLOOKUP(A194,'The List'!B1:D665,3,FALSE)</f>
        <v>C</v>
      </c>
      <c r="C194" s="89">
        <f>IF(Settings!$E$15="POINTS",RANK(E194,E3:E206),H194)</f>
        <v>195</v>
      </c>
      <c r="D194" s="65" t="str">
        <f>VLOOKUP(A194,'The List'!B1:F665,5,FALSE)</f>
        <v>NYI</v>
      </c>
      <c r="E194" s="54">
        <f>VLOOKUP(A194,'The List'!B1:I665,8,FALSE)</f>
        <v>95.637081008543902</v>
      </c>
      <c r="F194" s="54">
        <f>IF(Settings!$E$15="POINTS",E194-VLOOKUP(B$2,C1:E206,3,FALSE),J194)</f>
        <v>-294.30007676953721</v>
      </c>
      <c r="G194" s="54"/>
      <c r="H194" s="167">
        <f>RANK(I194,I3:I206)</f>
        <v>187</v>
      </c>
      <c r="I194" s="168">
        <f>VLOOKUP(A194,'Standard Deviations'!A1:C666,3,FALSE)</f>
        <v>-4.1910928386930877</v>
      </c>
      <c r="J194" s="168">
        <f>I194-VLOOKUP(B$2,H1:J206,2,FALSE)</f>
        <v>-10.875294792945574</v>
      </c>
    </row>
    <row r="195" spans="1:10" ht="21.25" customHeight="1" x14ac:dyDescent="0.15">
      <c r="A195" s="9" t="s">
        <v>763</v>
      </c>
      <c r="B195" s="88" t="str">
        <f>VLOOKUP(A195,'The List'!B1:D665,3,FALSE)</f>
        <v>C</v>
      </c>
      <c r="C195" s="89">
        <f>IF(Settings!$E$15="POINTS",RANK(E195,E3:E206),H195)</f>
        <v>189</v>
      </c>
      <c r="D195" s="65" t="str">
        <f>VLOOKUP(A195,'The List'!B1:F665,5,FALSE)</f>
        <v>N.J</v>
      </c>
      <c r="E195" s="54">
        <f>VLOOKUP(A195,'The List'!B1:I665,8,FALSE)</f>
        <v>108.71654639938501</v>
      </c>
      <c r="F195" s="54">
        <f>IF(Settings!$E$15="POINTS",E195-VLOOKUP(B$2,C1:E206,3,FALSE),J195)</f>
        <v>-281.22061137869605</v>
      </c>
      <c r="G195" s="54"/>
      <c r="H195" s="167">
        <f>RANK(I195,I3:I206)</f>
        <v>185</v>
      </c>
      <c r="I195" s="168">
        <f>VLOOKUP(A195,'Standard Deviations'!A1:C666,3,FALSE)</f>
        <v>-4.0991566325060571</v>
      </c>
      <c r="J195" s="168">
        <f>I195-VLOOKUP(B$2,H1:J206,2,FALSE)</f>
        <v>-10.783358586758544</v>
      </c>
    </row>
    <row r="196" spans="1:10" ht="21.25" customHeight="1" x14ac:dyDescent="0.15">
      <c r="A196" s="9" t="s">
        <v>772</v>
      </c>
      <c r="B196" s="88" t="str">
        <f>VLOOKUP(A196,'The List'!B1:D665,3,FALSE)</f>
        <v>C</v>
      </c>
      <c r="C196" s="89">
        <f>IF(Settings!$E$15="POINTS",RANK(E196,E3:E206),H196)</f>
        <v>194</v>
      </c>
      <c r="D196" s="65" t="str">
        <f>VLOOKUP(A196,'The List'!B1:F665,5,FALSE)</f>
        <v>S.J</v>
      </c>
      <c r="E196" s="54">
        <f>VLOOKUP(A196,'The List'!B1:I665,8,FALSE)</f>
        <v>100.71579800673562</v>
      </c>
      <c r="F196" s="54">
        <f>IF(Settings!$E$15="POINTS",E196-VLOOKUP(B$2,C1:E206,3,FALSE),J196)</f>
        <v>-289.22135977134548</v>
      </c>
      <c r="G196" s="54"/>
      <c r="H196" s="167">
        <f>RANK(I196,I3:I206)</f>
        <v>180</v>
      </c>
      <c r="I196" s="168">
        <f>VLOOKUP(A196,'Standard Deviations'!A1:C666,3,FALSE)</f>
        <v>-3.8205250827057706</v>
      </c>
      <c r="J196" s="168">
        <f>I196-VLOOKUP(B$2,H1:J206,2,FALSE)</f>
        <v>-10.504727036958258</v>
      </c>
    </row>
    <row r="197" spans="1:10" ht="21.25" customHeight="1" x14ac:dyDescent="0.15">
      <c r="A197" s="9" t="s">
        <v>735</v>
      </c>
      <c r="B197" s="88" t="str">
        <f>VLOOKUP(A197,'The List'!B1:D665,3,FALSE)</f>
        <v>C/RW</v>
      </c>
      <c r="C197" s="89">
        <f>IF(Settings!$E$15="POINTS",RANK(E197,E3:E206),H197)</f>
        <v>192</v>
      </c>
      <c r="D197" s="65" t="str">
        <f>VLOOKUP(A197,'The List'!B1:F665,5,FALSE)</f>
        <v>BUF</v>
      </c>
      <c r="E197" s="54">
        <f>VLOOKUP(A197,'The List'!B1:I665,8,FALSE)</f>
        <v>103.64159898041099</v>
      </c>
      <c r="F197" s="54">
        <f>IF(Settings!$E$15="POINTS",E197-VLOOKUP(B$2,C1:E206,3,FALSE),J197)</f>
        <v>-286.29555879767008</v>
      </c>
      <c r="G197" s="54"/>
      <c r="H197" s="167">
        <f>RANK(I197,I3:I206)</f>
        <v>173</v>
      </c>
      <c r="I197" s="168">
        <f>VLOOKUP(A197,'Standard Deviations'!A1:C666,3,FALSE)</f>
        <v>-3.6392595927483846</v>
      </c>
      <c r="J197" s="168">
        <f>I197-VLOOKUP(B$2,H1:J206,2,FALSE)</f>
        <v>-10.323461547000871</v>
      </c>
    </row>
    <row r="198" spans="1:10" ht="21.25" customHeight="1" x14ac:dyDescent="0.15">
      <c r="A198" s="9" t="s">
        <v>781</v>
      </c>
      <c r="B198" s="88" t="str">
        <f>VLOOKUP(A198,'The List'!B1:D665,3,FALSE)</f>
        <v>C</v>
      </c>
      <c r="C198" s="89">
        <f>IF(Settings!$E$15="POINTS",RANK(E198,E3:E206),H198)</f>
        <v>198</v>
      </c>
      <c r="D198" s="65" t="str">
        <f>VLOOKUP(A198,'The List'!B1:F665,5,FALSE)</f>
        <v>BOS</v>
      </c>
      <c r="E198" s="54">
        <f>VLOOKUP(A198,'The List'!B1:I665,8,FALSE)</f>
        <v>91.239625728764466</v>
      </c>
      <c r="F198" s="54">
        <f>IF(Settings!$E$15="POINTS",E198-VLOOKUP(B$2,C1:E206,3,FALSE),J198)</f>
        <v>-298.69753204931664</v>
      </c>
      <c r="G198" s="54"/>
      <c r="H198" s="167">
        <f>RANK(I198,I3:I206)</f>
        <v>189</v>
      </c>
      <c r="I198" s="168">
        <f>VLOOKUP(A198,'Standard Deviations'!A1:C666,3,FALSE)</f>
        <v>-4.3965794956576705</v>
      </c>
      <c r="J198" s="168">
        <f>I198-VLOOKUP(B$2,H1:J206,2,FALSE)</f>
        <v>-11.080781449910157</v>
      </c>
    </row>
    <row r="199" spans="1:10" ht="21.25" customHeight="1" x14ac:dyDescent="0.15">
      <c r="A199" s="9" t="s">
        <v>786</v>
      </c>
      <c r="B199" s="88" t="str">
        <f>VLOOKUP(A199,'The List'!B1:D665,3,FALSE)</f>
        <v>C</v>
      </c>
      <c r="C199" s="89">
        <f>IF(Settings!$E$15="POINTS",RANK(E199,E3:E206),H199)</f>
        <v>200</v>
      </c>
      <c r="D199" s="65" t="str">
        <f>VLOOKUP(A199,'The List'!B1:F665,5,FALSE)</f>
        <v>MIN</v>
      </c>
      <c r="E199" s="54">
        <f>VLOOKUP(A199,'The List'!B1:I665,8,FALSE)</f>
        <v>79.98415085117567</v>
      </c>
      <c r="F199" s="54">
        <f>IF(Settings!$E$15="POINTS",E199-VLOOKUP(B$2,C1:E206,3,FALSE),J199)</f>
        <v>-309.9530069269054</v>
      </c>
      <c r="G199" s="54"/>
      <c r="H199" s="167">
        <f>RANK(I199,I3:I206)</f>
        <v>196</v>
      </c>
      <c r="I199" s="168">
        <f>VLOOKUP(A199,'Standard Deviations'!A1:C666,3,FALSE)</f>
        <v>-4.8621090346937184</v>
      </c>
      <c r="J199" s="168">
        <f>I199-VLOOKUP(B$2,H1:J206,2,FALSE)</f>
        <v>-11.546310988946205</v>
      </c>
    </row>
    <row r="200" spans="1:10" ht="21.25" customHeight="1" x14ac:dyDescent="0.15">
      <c r="A200" s="9" t="s">
        <v>778</v>
      </c>
      <c r="B200" s="88" t="str">
        <f>VLOOKUP(A200,'The List'!B1:D665,3,FALSE)</f>
        <v>C</v>
      </c>
      <c r="C200" s="89">
        <f>IF(Settings!$E$15="POINTS",RANK(E200,E3:E206),H200)</f>
        <v>196</v>
      </c>
      <c r="D200" s="65" t="str">
        <f>VLOOKUP(A200,'The List'!B1:F665,5,FALSE)</f>
        <v>EDM</v>
      </c>
      <c r="E200" s="54">
        <f>VLOOKUP(A200,'The List'!B1:I665,8,FALSE)</f>
        <v>94.711593749008316</v>
      </c>
      <c r="F200" s="54">
        <f>IF(Settings!$E$15="POINTS",E200-VLOOKUP(B$2,C1:E206,3,FALSE),J200)</f>
        <v>-295.22556402907276</v>
      </c>
      <c r="G200" s="54"/>
      <c r="H200" s="167">
        <f>RANK(I200,I3:I206)</f>
        <v>169</v>
      </c>
      <c r="I200" s="168">
        <f>VLOOKUP(A200,'Standard Deviations'!A1:C666,3,FALSE)</f>
        <v>-3.4738996580694321</v>
      </c>
      <c r="J200" s="168">
        <f>I200-VLOOKUP(B$2,H1:J206,2,FALSE)</f>
        <v>-10.158101612321918</v>
      </c>
    </row>
    <row r="201" spans="1:10" ht="21.25" customHeight="1" x14ac:dyDescent="0.15">
      <c r="A201" s="9" t="s">
        <v>785</v>
      </c>
      <c r="B201" s="88" t="str">
        <f>VLOOKUP(A201,'The List'!B1:D665,3,FALSE)</f>
        <v>C/LW</v>
      </c>
      <c r="C201" s="89">
        <f>IF(Settings!$E$15="POINTS",RANK(E201,E3:E206),H201)</f>
        <v>202</v>
      </c>
      <c r="D201" s="65" t="str">
        <f>VLOOKUP(A201,'The List'!B1:F665,5,FALSE)</f>
        <v>CGY</v>
      </c>
      <c r="E201" s="54">
        <f>VLOOKUP(A201,'The List'!B1:I665,8,FALSE)</f>
        <v>75.982210681361281</v>
      </c>
      <c r="F201" s="54">
        <f>IF(Settings!$E$15="POINTS",E201-VLOOKUP(B$2,C1:E206,3,FALSE),J201)</f>
        <v>-313.95494709671982</v>
      </c>
      <c r="G201" s="54"/>
      <c r="H201" s="167">
        <f>RANK(I201,I3:I206)</f>
        <v>201</v>
      </c>
      <c r="I201" s="168">
        <f>VLOOKUP(A201,'Standard Deviations'!A1:C666,3,FALSE)</f>
        <v>-5.6626339880687961</v>
      </c>
      <c r="J201" s="168">
        <f>I201-VLOOKUP(B$2,H1:J206,2,FALSE)</f>
        <v>-12.346835942321283</v>
      </c>
    </row>
    <row r="202" spans="1:10" ht="21.25" customHeight="1" x14ac:dyDescent="0.15">
      <c r="A202" s="9" t="s">
        <v>787</v>
      </c>
      <c r="B202" s="88" t="str">
        <f>VLOOKUP(A202,'The List'!B1:D665,3,FALSE)</f>
        <v>C</v>
      </c>
      <c r="C202" s="89">
        <f>IF(Settings!$E$15="POINTS",RANK(E202,E3:E206),H202)</f>
        <v>201</v>
      </c>
      <c r="D202" s="65" t="str">
        <f>VLOOKUP(A202,'The List'!B1:F665,5,FALSE)</f>
        <v>WPG</v>
      </c>
      <c r="E202" s="54">
        <f>VLOOKUP(A202,'The List'!B1:I665,8,FALSE)</f>
        <v>77.204162659927093</v>
      </c>
      <c r="F202" s="54">
        <f>IF(Settings!$E$15="POINTS",E202-VLOOKUP(B$2,C1:E206,3,FALSE),J202)</f>
        <v>-312.73299511815401</v>
      </c>
      <c r="G202" s="54"/>
      <c r="H202" s="167">
        <f>RANK(I202,I3:I206)</f>
        <v>194</v>
      </c>
      <c r="I202" s="168">
        <f>VLOOKUP(A202,'Standard Deviations'!A1:C666,3,FALSE)</f>
        <v>-4.8413516308268427</v>
      </c>
      <c r="J202" s="168">
        <f>I202-VLOOKUP(B$2,H1:J206,2,FALSE)</f>
        <v>-11.525553585079329</v>
      </c>
    </row>
    <row r="203" spans="1:10" ht="21.25" customHeight="1" x14ac:dyDescent="0.15">
      <c r="A203" s="9" t="s">
        <v>779</v>
      </c>
      <c r="B203" s="88" t="str">
        <f>VLOOKUP(A203,'The List'!B1:D665,3,FALSE)</f>
        <v>C</v>
      </c>
      <c r="C203" s="89">
        <f>IF(Settings!$E$15="POINTS",RANK(E203,E3:E206),H203)</f>
        <v>197</v>
      </c>
      <c r="D203" s="65" t="str">
        <f>VLOOKUP(A203,'The List'!B1:F665,5,FALSE)</f>
        <v>EDM</v>
      </c>
      <c r="E203" s="54">
        <f>VLOOKUP(A203,'The List'!B1:I665,8,FALSE)</f>
        <v>92.827182173744305</v>
      </c>
      <c r="F203" s="54">
        <f>IF(Settings!$E$15="POINTS",E203-VLOOKUP(B$2,C1:E206,3,FALSE),J203)</f>
        <v>-297.1099756043368</v>
      </c>
      <c r="G203" s="54"/>
      <c r="H203" s="167">
        <f>RANK(I203,I3:I206)</f>
        <v>167</v>
      </c>
      <c r="I203" s="168">
        <f>VLOOKUP(A203,'Standard Deviations'!A1:C666,3,FALSE)</f>
        <v>-3.3346211997034505</v>
      </c>
      <c r="J203" s="168">
        <f>I203-VLOOKUP(B$2,H1:J206,2,FALSE)</f>
        <v>-10.018823153955937</v>
      </c>
    </row>
    <row r="204" spans="1:10" ht="21.25" customHeight="1" x14ac:dyDescent="0.15">
      <c r="A204" s="9" t="s">
        <v>784</v>
      </c>
      <c r="B204" s="88" t="str">
        <f>VLOOKUP(A204,'The List'!B1:D665,3,FALSE)</f>
        <v>C</v>
      </c>
      <c r="C204" s="89">
        <f>IF(Settings!$E$15="POINTS",RANK(E204,E3:E206),H204)</f>
        <v>199</v>
      </c>
      <c r="D204" s="65" t="str">
        <f>VLOOKUP(A204,'The List'!B1:F665,5,FALSE)</f>
        <v>T.B</v>
      </c>
      <c r="E204" s="54">
        <f>VLOOKUP(A204,'The List'!B1:I665,8,FALSE)</f>
        <v>86.579612310137406</v>
      </c>
      <c r="F204" s="54">
        <f>IF(Settings!$E$15="POINTS",E204-VLOOKUP(B$2,C1:E206,3,FALSE),J204)</f>
        <v>-303.35754546794368</v>
      </c>
      <c r="G204" s="54"/>
      <c r="H204" s="167">
        <f>RANK(I204,I3:I206)</f>
        <v>195</v>
      </c>
      <c r="I204" s="168">
        <f>VLOOKUP(A204,'Standard Deviations'!A1:C666,3,FALSE)</f>
        <v>-4.8544427310976959</v>
      </c>
      <c r="J204" s="168">
        <f>I204-VLOOKUP(B$2,H1:J206,2,FALSE)</f>
        <v>-11.538644685350182</v>
      </c>
    </row>
    <row r="205" spans="1:10" ht="21.25" customHeight="1" x14ac:dyDescent="0.15">
      <c r="A205" s="9" t="s">
        <v>790</v>
      </c>
      <c r="B205" s="88" t="str">
        <f>VLOOKUP(A205,'The List'!B1:D665,3,FALSE)</f>
        <v>C</v>
      </c>
      <c r="C205" s="89">
        <f>IF(Settings!$E$15="POINTS",RANK(E205,E3:E206),H205)</f>
        <v>204</v>
      </c>
      <c r="D205" s="65" t="str">
        <f>VLOOKUP(A205,'The List'!B1:F665,5,FALSE)</f>
        <v>NYR</v>
      </c>
      <c r="E205" s="54">
        <f>VLOOKUP(A205,'The List'!B1:I665,8,FALSE)</f>
        <v>49.168334437497244</v>
      </c>
      <c r="F205" s="54">
        <f>IF(Settings!$E$15="POINTS",E205-VLOOKUP(B$2,C1:E206,3,FALSE),J205)</f>
        <v>-340.76882334058382</v>
      </c>
      <c r="G205" s="54"/>
      <c r="H205" s="167">
        <f>RANK(I205,I3:I206)</f>
        <v>200</v>
      </c>
      <c r="I205" s="168">
        <f>VLOOKUP(A205,'Standard Deviations'!A1:C666,3,FALSE)</f>
        <v>-5.4856967565931924</v>
      </c>
      <c r="J205" s="168">
        <f>I205-VLOOKUP(B$2,H1:J206,2,FALSE)</f>
        <v>-12.169898710845679</v>
      </c>
    </row>
    <row r="206" spans="1:10" ht="21.25" customHeight="1" x14ac:dyDescent="0.15">
      <c r="A206" s="9" t="s">
        <v>789</v>
      </c>
      <c r="B206" s="88" t="str">
        <f>VLOOKUP(A206,'The List'!B1:D665,3,FALSE)</f>
        <v>C</v>
      </c>
      <c r="C206" s="89">
        <f>IF(Settings!$E$15="POINTS",RANK(E206,E3:E206),H206)</f>
        <v>203</v>
      </c>
      <c r="D206" s="65" t="str">
        <f>VLOOKUP(A206,'The List'!B1:F665,5,FALSE)</f>
        <v>OTT</v>
      </c>
      <c r="E206" s="54">
        <f>VLOOKUP(A206,'The List'!B1:I665,8,FALSE)</f>
        <v>53.782215603996562</v>
      </c>
      <c r="F206" s="54">
        <f>IF(Settings!$E$15="POINTS",E206-VLOOKUP(B$2,C1:E206,3,FALSE),J206)</f>
        <v>-336.15494217408451</v>
      </c>
      <c r="G206" s="54"/>
      <c r="H206" s="167">
        <f>RANK(I206,I3:I206)</f>
        <v>204</v>
      </c>
      <c r="I206" s="168">
        <f>VLOOKUP(A206,'Standard Deviations'!A1:C666,3,FALSE)</f>
        <v>-6.1856427195526154</v>
      </c>
      <c r="J206" s="168">
        <f>I206-VLOOKUP(B$2,H1:J206,2,FALSE)</f>
        <v>-12.869844673805101</v>
      </c>
    </row>
  </sheetData>
  <conditionalFormatting sqref="C3:C206 H3:H206">
    <cfRule type="containsText" dxfId="29" priority="1" stopIfTrue="1" operator="containsText" text="/">
      <formula>NOT(ISERROR(FIND(UPPER("/"),UPPER(C3))))</formula>
      <formula>"/"</formula>
    </cfRule>
    <cfRule type="containsText" dxfId="28" priority="2" stopIfTrue="1" operator="containsText" text="C">
      <formula>NOT(ISERROR(FIND(UPPER("C"),UPPER(C3))))</formula>
      <formula>"C"</formula>
    </cfRule>
    <cfRule type="containsText" dxfId="27" priority="3" stopIfTrue="1" operator="containsText" text="D">
      <formula>NOT(ISERROR(FIND(UPPER("D"),UPPER(C3))))</formula>
      <formula>"D"</formula>
    </cfRule>
    <cfRule type="containsText" dxfId="26" priority="4" stopIfTrue="1" operator="containsText" text="LW">
      <formula>NOT(ISERROR(FIND(UPPER("LW"),UPPER(C3))))</formula>
      <formula>"LW"</formula>
    </cfRule>
    <cfRule type="containsText" dxfId="25" priority="5" stopIfTrue="1" operator="containsText" text="RW">
      <formula>NOT(ISERROR(FIND(UPPER("RW"),UPPER(C3))))</formula>
      <formula>"RW"</formula>
    </cfRule>
    <cfRule type="containsText" dxfId="24" priority="6" stopIfTrue="1" operator="containsText" text="G">
      <formula>NOT(ISERROR(FIND(UPPER("G"),UPPER(C3))))</formula>
      <formula>"G"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152"/>
  <sheetViews>
    <sheetView showGridLines="0" workbookViewId="0">
      <pane ySplit="2" topLeftCell="A3" activePane="bottomLeft" state="frozen"/>
      <selection pane="bottomLeft"/>
    </sheetView>
  </sheetViews>
  <sheetFormatPr baseColWidth="10" defaultColWidth="8" defaultRowHeight="16.25" customHeight="1" x14ac:dyDescent="0.15"/>
  <cols>
    <col min="1" max="1" width="33" style="1" customWidth="1"/>
    <col min="2" max="2" width="7.1640625" style="1" customWidth="1"/>
    <col min="3" max="3" width="6" style="1" customWidth="1"/>
    <col min="4" max="6" width="8.33203125" style="1" customWidth="1"/>
    <col min="7" max="10" width="1.33203125" style="1" customWidth="1"/>
    <col min="11" max="11" width="8" style="1" customWidth="1"/>
    <col min="12" max="16384" width="8" style="1"/>
  </cols>
  <sheetData>
    <row r="1" spans="1:10" ht="28.25" customHeight="1" x14ac:dyDescent="0.15">
      <c r="A1" s="151" t="s">
        <v>811</v>
      </c>
      <c r="B1" s="152" t="s">
        <v>816</v>
      </c>
      <c r="C1" s="153"/>
      <c r="D1" s="4" t="s">
        <v>12</v>
      </c>
      <c r="E1" s="154" t="s">
        <v>813</v>
      </c>
      <c r="F1" s="152" t="s">
        <v>97</v>
      </c>
      <c r="G1" s="155"/>
      <c r="H1" s="156"/>
      <c r="I1" s="157" t="s">
        <v>814</v>
      </c>
      <c r="J1" s="158" t="s">
        <v>97</v>
      </c>
    </row>
    <row r="2" spans="1:10" ht="28.25" customHeight="1" x14ac:dyDescent="0.15">
      <c r="A2" s="159" t="s">
        <v>61</v>
      </c>
      <c r="B2" s="160">
        <f>Settings!F3</f>
        <v>20</v>
      </c>
      <c r="C2" s="161"/>
      <c r="D2" s="162"/>
      <c r="E2" s="163"/>
      <c r="F2" s="163"/>
      <c r="G2" s="163"/>
      <c r="H2" s="169"/>
      <c r="I2" s="165"/>
      <c r="J2" s="170"/>
    </row>
    <row r="3" spans="1:10" ht="21.25" customHeight="1" x14ac:dyDescent="0.15">
      <c r="A3" s="9" t="s">
        <v>136</v>
      </c>
      <c r="B3" s="94" t="str">
        <f>VLOOKUP(A3,'The List'!B1:D665,3,FALSE)</f>
        <v>C/LW</v>
      </c>
      <c r="C3" s="95">
        <f>IF(Settings!$E$15="POINTS",RANK(E3,E3:E152),H3)</f>
        <v>2</v>
      </c>
      <c r="D3" s="65" t="str">
        <f>VLOOKUP(A3,'The List'!B1:F665,5,FALSE)</f>
        <v>N.J</v>
      </c>
      <c r="E3" s="54">
        <f>VLOOKUP(A3,'The List'!B1:I665,8,FALSE)</f>
        <v>514.64801766830919</v>
      </c>
      <c r="F3" s="54">
        <f>IF(Settings!$E$15="POINTS",E3-VLOOKUP(B$2,C1:E152,3,FALSE),J3)</f>
        <v>133.58650536580944</v>
      </c>
      <c r="G3" s="54"/>
      <c r="H3" s="171">
        <f>RANK(I3,I3:I152)</f>
        <v>3</v>
      </c>
      <c r="I3" s="168">
        <f>VLOOKUP(A3,'Standard Deviations'!A1:C666,3,FALSE)</f>
        <v>11.225703568963125</v>
      </c>
      <c r="J3" s="172">
        <f>I3-VLOOKUP(B$2,H1:J152,2,FALSE)</f>
        <v>5.2106346889021822</v>
      </c>
    </row>
    <row r="4" spans="1:10" ht="21.25" customHeight="1" x14ac:dyDescent="0.15">
      <c r="A4" s="9" t="s">
        <v>134</v>
      </c>
      <c r="B4" s="94" t="str">
        <f>VLOOKUP(A4,'The List'!B1:D665,3,FALSE)</f>
        <v>C/LW</v>
      </c>
      <c r="C4" s="95">
        <f>IF(Settings!$E$15="POINTS",RANK(E4,E3:E152),H4)</f>
        <v>1</v>
      </c>
      <c r="D4" s="65" t="str">
        <f>VLOOKUP(A4,'The List'!B1:F665,5,FALSE)</f>
        <v>EDM</v>
      </c>
      <c r="E4" s="54">
        <f>VLOOKUP(A4,'The List'!B1:I665,8,FALSE)</f>
        <v>522.89410971384734</v>
      </c>
      <c r="F4" s="54">
        <f>IF(Settings!$E$15="POINTS",E4-VLOOKUP(B$2,C1:E152,3,FALSE),J4)</f>
        <v>141.83259741134759</v>
      </c>
      <c r="G4" s="54"/>
      <c r="H4" s="167">
        <f>RANK(I4,I3:I152)</f>
        <v>1</v>
      </c>
      <c r="I4" s="168">
        <f>VLOOKUP(A4,'Standard Deviations'!A1:C666,3,FALSE)</f>
        <v>13.253488404848339</v>
      </c>
      <c r="J4" s="168">
        <f>I4-VLOOKUP(B$2,H1:J152,2,FALSE)</f>
        <v>7.2384195247873961</v>
      </c>
    </row>
    <row r="5" spans="1:10" ht="21.25" customHeight="1" x14ac:dyDescent="0.15">
      <c r="A5" s="9" t="s">
        <v>135</v>
      </c>
      <c r="B5" s="94" t="str">
        <f>VLOOKUP(A5,'The List'!B1:D665,3,FALSE)</f>
        <v>LW/RW</v>
      </c>
      <c r="C5" s="95">
        <f>IF(Settings!$E$15="POINTS",RANK(E5,E3:E152),H5)</f>
        <v>3</v>
      </c>
      <c r="D5" s="65" t="str">
        <f>VLOOKUP(A5,'The List'!B1:F665,5,FALSE)</f>
        <v>FLA</v>
      </c>
      <c r="E5" s="54">
        <f>VLOOKUP(A5,'The List'!B1:I665,8,FALSE)</f>
        <v>502.60098680363058</v>
      </c>
      <c r="F5" s="54">
        <f>IF(Settings!$E$15="POINTS",E5-VLOOKUP(B$2,C1:E152,3,FALSE),J5)</f>
        <v>121.53947450113083</v>
      </c>
      <c r="G5" s="54"/>
      <c r="H5" s="167">
        <f>RANK(I5,I3:I152)</f>
        <v>2</v>
      </c>
      <c r="I5" s="168">
        <f>VLOOKUP(A5,'Standard Deviations'!A1:C666,3,FALSE)</f>
        <v>11.917408131329637</v>
      </c>
      <c r="J5" s="168">
        <f>I5-VLOOKUP(B$2,H1:J152,2,FALSE)</f>
        <v>5.9023392512686943</v>
      </c>
    </row>
    <row r="6" spans="1:10" ht="21.25" customHeight="1" x14ac:dyDescent="0.15">
      <c r="A6" s="9" t="s">
        <v>140</v>
      </c>
      <c r="B6" s="94" t="str">
        <f>VLOOKUP(A6,'The List'!B1:D665,3,FALSE)</f>
        <v>LW</v>
      </c>
      <c r="C6" s="95">
        <f>IF(Settings!$E$15="POINTS",RANK(E6,E3:E152),H6)</f>
        <v>4</v>
      </c>
      <c r="D6" s="65" t="str">
        <f>VLOOKUP(A6,'The List'!B1:F665,5,FALSE)</f>
        <v>NYR</v>
      </c>
      <c r="E6" s="54">
        <f>VLOOKUP(A6,'The List'!B1:I665,8,FALSE)</f>
        <v>496.40589359751323</v>
      </c>
      <c r="F6" s="54">
        <f>IF(Settings!$E$15="POINTS",E6-VLOOKUP(B$2,C1:E152,3,FALSE),J6)</f>
        <v>115.34438129501348</v>
      </c>
      <c r="G6" s="54"/>
      <c r="H6" s="167">
        <f>RANK(I6,I3:I152)</f>
        <v>4</v>
      </c>
      <c r="I6" s="168">
        <f>VLOOKUP(A6,'Standard Deviations'!A1:C666,3,FALSE)</f>
        <v>11.002937199158898</v>
      </c>
      <c r="J6" s="168">
        <f>I6-VLOOKUP(B$2,H1:J152,2,FALSE)</f>
        <v>4.9878683190979558</v>
      </c>
    </row>
    <row r="7" spans="1:10" ht="21.25" customHeight="1" x14ac:dyDescent="0.15">
      <c r="A7" s="9" t="s">
        <v>143</v>
      </c>
      <c r="B7" s="94" t="str">
        <f>VLOOKUP(A7,'The List'!B1:D665,3,FALSE)</f>
        <v>LW</v>
      </c>
      <c r="C7" s="95">
        <f>IF(Settings!$E$15="POINTS",RANK(E7,E3:E152),H7)</f>
        <v>5</v>
      </c>
      <c r="D7" s="65" t="str">
        <f>VLOOKUP(A7,'The List'!B1:F665,5,FALSE)</f>
        <v>MIN</v>
      </c>
      <c r="E7" s="54">
        <f>VLOOKUP(A7,'The List'!B1:I665,8,FALSE)</f>
        <v>473.60733571545785</v>
      </c>
      <c r="F7" s="54">
        <f>IF(Settings!$E$15="POINTS",E7-VLOOKUP(B$2,C1:E152,3,FALSE),J7)</f>
        <v>92.5458234129581</v>
      </c>
      <c r="G7" s="54"/>
      <c r="H7" s="167">
        <f>RANK(I7,I3:I152)</f>
        <v>7</v>
      </c>
      <c r="I7" s="168">
        <f>VLOOKUP(A7,'Standard Deviations'!A1:C666,3,FALSE)</f>
        <v>9.8395765957140426</v>
      </c>
      <c r="J7" s="168">
        <f>I7-VLOOKUP(B$2,H1:J152,2,FALSE)</f>
        <v>3.8245077156531</v>
      </c>
    </row>
    <row r="8" spans="1:10" ht="21.25" customHeight="1" x14ac:dyDescent="0.15">
      <c r="A8" s="9" t="s">
        <v>155</v>
      </c>
      <c r="B8" s="94" t="str">
        <f>VLOOKUP(A8,'The List'!B1:D665,3,FALSE)</f>
        <v>LW</v>
      </c>
      <c r="C8" s="95">
        <f>IF(Settings!$E$15="POINTS",RANK(E8,E3:E152),H8)</f>
        <v>8</v>
      </c>
      <c r="D8" s="65" t="str">
        <f>VLOOKUP(A8,'The List'!B1:F665,5,FALSE)</f>
        <v>NSH</v>
      </c>
      <c r="E8" s="54">
        <f>VLOOKUP(A8,'The List'!B1:I665,8,FALSE)</f>
        <v>439.68962441248294</v>
      </c>
      <c r="F8" s="54">
        <f>IF(Settings!$E$15="POINTS",E8-VLOOKUP(B$2,C1:E152,3,FALSE),J8)</f>
        <v>58.628112109983192</v>
      </c>
      <c r="G8" s="54"/>
      <c r="H8" s="167">
        <f>RANK(I8,I3:I152)</f>
        <v>9</v>
      </c>
      <c r="I8" s="168">
        <f>VLOOKUP(A8,'Standard Deviations'!A1:C666,3,FALSE)</f>
        <v>8.7592531733184327</v>
      </c>
      <c r="J8" s="168">
        <f>I8-VLOOKUP(B$2,H1:J152,2,FALSE)</f>
        <v>2.74418429325749</v>
      </c>
    </row>
    <row r="9" spans="1:10" ht="21.25" customHeight="1" x14ac:dyDescent="0.15">
      <c r="A9" s="9" t="s">
        <v>145</v>
      </c>
      <c r="B9" s="94" t="str">
        <f>VLOOKUP(A9,'The List'!B1:D665,3,FALSE)</f>
        <v>C/LW</v>
      </c>
      <c r="C9" s="95">
        <f>IF(Settings!$E$15="POINTS",RANK(E9,E3:E152),H9)</f>
        <v>6</v>
      </c>
      <c r="D9" s="65" t="str">
        <f>VLOOKUP(A9,'The List'!B1:F665,5,FALSE)</f>
        <v>VAN</v>
      </c>
      <c r="E9" s="54">
        <f>VLOOKUP(A9,'The List'!B1:I665,8,FALSE)</f>
        <v>465.2759484324917</v>
      </c>
      <c r="F9" s="54">
        <f>IF(Settings!$E$15="POINTS",E9-VLOOKUP(B$2,C1:E152,3,FALSE),J9)</f>
        <v>84.214436129991952</v>
      </c>
      <c r="G9" s="54"/>
      <c r="H9" s="167">
        <f>RANK(I9,I3:I152)</f>
        <v>6</v>
      </c>
      <c r="I9" s="168">
        <f>VLOOKUP(A9,'Standard Deviations'!A1:C666,3,FALSE)</f>
        <v>10.110560946184403</v>
      </c>
      <c r="J9" s="168">
        <f>I9-VLOOKUP(B$2,H1:J152,2,FALSE)</f>
        <v>4.0954920661234606</v>
      </c>
    </row>
    <row r="10" spans="1:10" ht="21.25" customHeight="1" x14ac:dyDescent="0.15">
      <c r="A10" s="9" t="s">
        <v>156</v>
      </c>
      <c r="B10" s="94" t="str">
        <f>VLOOKUP(A10,'The List'!B1:D665,3,FALSE)</f>
        <v>LW</v>
      </c>
      <c r="C10" s="95">
        <f>IF(Settings!$E$15="POINTS",RANK(E10,E3:E152),H10)</f>
        <v>9</v>
      </c>
      <c r="D10" s="65" t="str">
        <f>VLOOKUP(A10,'The List'!B1:F665,5,FALSE)</f>
        <v>T.B</v>
      </c>
      <c r="E10" s="54">
        <f>VLOOKUP(A10,'The List'!B1:I665,8,FALSE)</f>
        <v>437.97279003620184</v>
      </c>
      <c r="F10" s="54">
        <f>IF(Settings!$E$15="POINTS",E10-VLOOKUP(B$2,C1:E152,3,FALSE),J10)</f>
        <v>56.911277733702093</v>
      </c>
      <c r="G10" s="54"/>
      <c r="H10" s="167">
        <f>RANK(I10,I3:I152)</f>
        <v>10</v>
      </c>
      <c r="I10" s="168">
        <f>VLOOKUP(A10,'Standard Deviations'!A1:C666,3,FALSE)</f>
        <v>7.8268049052901514</v>
      </c>
      <c r="J10" s="168">
        <f>I10-VLOOKUP(B$2,H1:J152,2,FALSE)</f>
        <v>1.8117360252292087</v>
      </c>
    </row>
    <row r="11" spans="1:10" ht="21.25" customHeight="1" x14ac:dyDescent="0.15">
      <c r="A11" s="9" t="s">
        <v>150</v>
      </c>
      <c r="B11" s="94" t="str">
        <f>VLOOKUP(A11,'The List'!B1:D665,3,FALSE)</f>
        <v>LW</v>
      </c>
      <c r="C11" s="95">
        <f>IF(Settings!$E$15="POINTS",RANK(E11,E3:E152),H11)</f>
        <v>7</v>
      </c>
      <c r="D11" s="65" t="str">
        <f>VLOOKUP(A11,'The List'!B1:F665,5,FALSE)</f>
        <v>DAL</v>
      </c>
      <c r="E11" s="54">
        <f>VLOOKUP(A11,'The List'!B1:I665,8,FALSE)</f>
        <v>446.78847002117362</v>
      </c>
      <c r="F11" s="54">
        <f>IF(Settings!$E$15="POINTS",E11-VLOOKUP(B$2,C1:E152,3,FALSE),J11)</f>
        <v>65.726957718673873</v>
      </c>
      <c r="G11" s="54"/>
      <c r="H11" s="167">
        <f>RANK(I11,I3:I152)</f>
        <v>5</v>
      </c>
      <c r="I11" s="168">
        <f>VLOOKUP(A11,'Standard Deviations'!A1:C666,3,FALSE)</f>
        <v>10.31244847566162</v>
      </c>
      <c r="J11" s="168">
        <f>I11-VLOOKUP(B$2,H1:J152,2,FALSE)</f>
        <v>4.2973795956006775</v>
      </c>
    </row>
    <row r="12" spans="1:10" ht="21.25" customHeight="1" x14ac:dyDescent="0.15">
      <c r="A12" s="9" t="s">
        <v>162</v>
      </c>
      <c r="B12" s="94" t="str">
        <f>VLOOKUP(A12,'The List'!B1:D665,3,FALSE)</f>
        <v>LW/RW</v>
      </c>
      <c r="C12" s="95">
        <f>IF(Settings!$E$15="POINTS",RANK(E12,E3:E152),H12)</f>
        <v>11</v>
      </c>
      <c r="D12" s="65" t="str">
        <f>VLOOKUP(A12,'The List'!B1:F665,5,FALSE)</f>
        <v>N.J</v>
      </c>
      <c r="E12" s="54">
        <f>VLOOKUP(A12,'The List'!B1:I665,8,FALSE)</f>
        <v>409.64135000545872</v>
      </c>
      <c r="F12" s="54">
        <f>IF(Settings!$E$15="POINTS",E12-VLOOKUP(B$2,C1:E152,3,FALSE),J12)</f>
        <v>28.579837702958969</v>
      </c>
      <c r="G12" s="54"/>
      <c r="H12" s="167">
        <f>RANK(I12,I3:I152)</f>
        <v>12</v>
      </c>
      <c r="I12" s="168">
        <f>VLOOKUP(A12,'Standard Deviations'!A1:C666,3,FALSE)</f>
        <v>7.7904000164591185</v>
      </c>
      <c r="J12" s="168">
        <f>I12-VLOOKUP(B$2,H1:J152,2,FALSE)</f>
        <v>1.7753311363981759</v>
      </c>
    </row>
    <row r="13" spans="1:10" ht="21.25" customHeight="1" x14ac:dyDescent="0.15">
      <c r="A13" s="9" t="s">
        <v>161</v>
      </c>
      <c r="B13" s="94" t="str">
        <f>VLOOKUP(A13,'The List'!B1:D665,3,FALSE)</f>
        <v>C/LW</v>
      </c>
      <c r="C13" s="95">
        <f>IF(Settings!$E$15="POINTS",RANK(E13,E3:E152),H13)</f>
        <v>10</v>
      </c>
      <c r="D13" s="65" t="str">
        <f>VLOOKUP(A13,'The List'!B1:F665,5,FALSE)</f>
        <v>OTT</v>
      </c>
      <c r="E13" s="54">
        <f>VLOOKUP(A13,'The List'!B1:I665,8,FALSE)</f>
        <v>422.11393258704913</v>
      </c>
      <c r="F13" s="54">
        <f>IF(Settings!$E$15="POINTS",E13-VLOOKUP(B$2,C1:E152,3,FALSE),J13)</f>
        <v>41.052420284549385</v>
      </c>
      <c r="G13" s="54"/>
      <c r="H13" s="167">
        <f>RANK(I13,I3:I152)</f>
        <v>14</v>
      </c>
      <c r="I13" s="168">
        <f>VLOOKUP(A13,'Standard Deviations'!A1:C666,3,FALSE)</f>
        <v>7.0114158232210473</v>
      </c>
      <c r="J13" s="168">
        <f>I13-VLOOKUP(B$2,H1:J152,2,FALSE)</f>
        <v>0.99634694316010464</v>
      </c>
    </row>
    <row r="14" spans="1:10" ht="21.25" customHeight="1" x14ac:dyDescent="0.15">
      <c r="A14" s="9" t="s">
        <v>180</v>
      </c>
      <c r="B14" s="94" t="str">
        <f>VLOOKUP(A14,'The List'!B1:D665,3,FALSE)</f>
        <v>LW</v>
      </c>
      <c r="C14" s="95">
        <f>IF(Settings!$E$15="POINTS",RANK(E14,E3:E152),H14)</f>
        <v>14</v>
      </c>
      <c r="D14" s="65" t="str">
        <f>VLOOKUP(A14,'The List'!B1:F665,5,FALSE)</f>
        <v>WPG</v>
      </c>
      <c r="E14" s="54">
        <f>VLOOKUP(A14,'The List'!B1:I665,8,FALSE)</f>
        <v>399.80626431448712</v>
      </c>
      <c r="F14" s="54">
        <f>IF(Settings!$E$15="POINTS",E14-VLOOKUP(B$2,C1:E152,3,FALSE),J14)</f>
        <v>18.744752011987373</v>
      </c>
      <c r="G14" s="54"/>
      <c r="H14" s="167">
        <f>RANK(I14,I3:I152)</f>
        <v>18</v>
      </c>
      <c r="I14" s="168">
        <f>VLOOKUP(A14,'Standard Deviations'!A1:C666,3,FALSE)</f>
        <v>6.2203882873620788</v>
      </c>
      <c r="J14" s="168">
        <f>I14-VLOOKUP(B$2,H1:J152,2,FALSE)</f>
        <v>0.20531940730113618</v>
      </c>
    </row>
    <row r="15" spans="1:10" ht="21.25" customHeight="1" x14ac:dyDescent="0.15">
      <c r="A15" s="9" t="s">
        <v>185</v>
      </c>
      <c r="B15" s="94" t="str">
        <f>VLOOKUP(A15,'The List'!B1:D665,3,FALSE)</f>
        <v>LW/RW</v>
      </c>
      <c r="C15" s="95">
        <f>IF(Settings!$E$15="POINTS",RANK(E15,E3:E152),H15)</f>
        <v>20</v>
      </c>
      <c r="D15" s="65" t="str">
        <f>VLOOKUP(A15,'The List'!B1:F665,5,FALSE)</f>
        <v>MTL</v>
      </c>
      <c r="E15" s="54">
        <f>VLOOKUP(A15,'The List'!B1:I665,8,FALSE)</f>
        <v>381.06151230249975</v>
      </c>
      <c r="F15" s="54">
        <f>IF(Settings!$E$15="POINTS",E15-VLOOKUP(B$2,C1:E152,3,FALSE),J15)</f>
        <v>0</v>
      </c>
      <c r="G15" s="54"/>
      <c r="H15" s="167">
        <f>RANK(I15,I3:I152)</f>
        <v>28</v>
      </c>
      <c r="I15" s="168">
        <f>VLOOKUP(A15,'Standard Deviations'!A1:C666,3,FALSE)</f>
        <v>4.9069407822545914</v>
      </c>
      <c r="J15" s="168">
        <f>I15-VLOOKUP(B$2,H1:J152,2,FALSE)</f>
        <v>-1.1081280978063512</v>
      </c>
    </row>
    <row r="16" spans="1:10" ht="21.25" customHeight="1" x14ac:dyDescent="0.15">
      <c r="A16" s="9" t="s">
        <v>164</v>
      </c>
      <c r="B16" s="94" t="str">
        <f>VLOOKUP(A16,'The List'!B1:D665,3,FALSE)</f>
        <v>LW/RW</v>
      </c>
      <c r="C16" s="95">
        <f>IF(Settings!$E$15="POINTS",RANK(E16,E3:E152),H16)</f>
        <v>12</v>
      </c>
      <c r="D16" s="65" t="str">
        <f>VLOOKUP(A16,'The List'!B1:F665,5,FALSE)</f>
        <v>N.J</v>
      </c>
      <c r="E16" s="54">
        <f>VLOOKUP(A16,'The List'!B1:I665,8,FALSE)</f>
        <v>407.26161535484397</v>
      </c>
      <c r="F16" s="54">
        <f>IF(Settings!$E$15="POINTS",E16-VLOOKUP(B$2,C1:E152,3,FALSE),J16)</f>
        <v>26.200103052344218</v>
      </c>
      <c r="G16" s="54"/>
      <c r="H16" s="167">
        <f>RANK(I16,I3:I152)</f>
        <v>11</v>
      </c>
      <c r="I16" s="168">
        <f>VLOOKUP(A16,'Standard Deviations'!A1:C666,3,FALSE)</f>
        <v>7.8149989436829843</v>
      </c>
      <c r="J16" s="168">
        <f>I16-VLOOKUP(B$2,H1:J152,2,FALSE)</f>
        <v>1.7999300636220417</v>
      </c>
    </row>
    <row r="17" spans="1:10" ht="21.25" customHeight="1" x14ac:dyDescent="0.15">
      <c r="A17" s="9" t="s">
        <v>168</v>
      </c>
      <c r="B17" s="94" t="str">
        <f>VLOOKUP(A17,'The List'!B1:D665,3,FALSE)</f>
        <v>LW/RW</v>
      </c>
      <c r="C17" s="95">
        <f>IF(Settings!$E$15="POINTS",RANK(E17,E3:E152),H17)</f>
        <v>13</v>
      </c>
      <c r="D17" s="65" t="str">
        <f>VLOOKUP(A17,'The List'!B1:F665,5,FALSE)</f>
        <v>EDM</v>
      </c>
      <c r="E17" s="54">
        <f>VLOOKUP(A17,'The List'!B1:I665,8,FALSE)</f>
        <v>403.08338216102635</v>
      </c>
      <c r="F17" s="54">
        <f>IF(Settings!$E$15="POINTS",E17-VLOOKUP(B$2,C1:E152,3,FALSE),J17)</f>
        <v>22.0218698585266</v>
      </c>
      <c r="G17" s="54"/>
      <c r="H17" s="167">
        <f>RANK(I17,I3:I152)</f>
        <v>8</v>
      </c>
      <c r="I17" s="168">
        <f>VLOOKUP(A17,'Standard Deviations'!A1:C666,3,FALSE)</f>
        <v>9.1352621291551408</v>
      </c>
      <c r="J17" s="168">
        <f>I17-VLOOKUP(B$2,H1:J152,2,FALSE)</f>
        <v>3.1201932490941982</v>
      </c>
    </row>
    <row r="18" spans="1:10" ht="21.25" customHeight="1" x14ac:dyDescent="0.15">
      <c r="A18" s="9" t="s">
        <v>181</v>
      </c>
      <c r="B18" s="94" t="str">
        <f>VLOOKUP(A18,'The List'!B1:D665,3,FALSE)</f>
        <v>LW</v>
      </c>
      <c r="C18" s="95">
        <f>IF(Settings!$E$15="POINTS",RANK(E18,E3:E152),H18)</f>
        <v>15</v>
      </c>
      <c r="D18" s="65" t="str">
        <f>VLOOKUP(A18,'The List'!B1:F665,5,FALSE)</f>
        <v>WSH</v>
      </c>
      <c r="E18" s="54">
        <f>VLOOKUP(A18,'The List'!B1:I665,8,FALSE)</f>
        <v>397.80017816060581</v>
      </c>
      <c r="F18" s="54">
        <f>IF(Settings!$E$15="POINTS",E18-VLOOKUP(B$2,C1:E152,3,FALSE),J18)</f>
        <v>16.73866585810606</v>
      </c>
      <c r="G18" s="54"/>
      <c r="H18" s="167">
        <f>RANK(I18,I3:I152)</f>
        <v>23</v>
      </c>
      <c r="I18" s="168">
        <f>VLOOKUP(A18,'Standard Deviations'!A1:C666,3,FALSE)</f>
        <v>5.6939603278878375</v>
      </c>
      <c r="J18" s="168">
        <f>I18-VLOOKUP(B$2,H1:J152,2,FALSE)</f>
        <v>-0.32110855217310519</v>
      </c>
    </row>
    <row r="19" spans="1:10" ht="21.25" customHeight="1" x14ac:dyDescent="0.15">
      <c r="A19" s="9" t="s">
        <v>175</v>
      </c>
      <c r="B19" s="94" t="str">
        <f>VLOOKUP(A19,'The List'!B1:D665,3,FALSE)</f>
        <v>LW/RW</v>
      </c>
      <c r="C19" s="95">
        <f>IF(Settings!$E$15="POINTS",RANK(E19,E3:E152),H19)</f>
        <v>17</v>
      </c>
      <c r="D19" s="65" t="str">
        <f>VLOOKUP(A19,'The List'!B1:F665,5,FALSE)</f>
        <v>UTA</v>
      </c>
      <c r="E19" s="54">
        <f>VLOOKUP(A19,'The List'!B1:I665,8,FALSE)</f>
        <v>393.59469836051431</v>
      </c>
      <c r="F19" s="54">
        <f>IF(Settings!$E$15="POINTS",E19-VLOOKUP(B$2,C1:E152,3,FALSE),J19)</f>
        <v>12.533186058014564</v>
      </c>
      <c r="G19" s="54"/>
      <c r="H19" s="167">
        <f>RANK(I19,I3:I152)</f>
        <v>22</v>
      </c>
      <c r="I19" s="168">
        <f>VLOOKUP(A19,'Standard Deviations'!A1:C666,3,FALSE)</f>
        <v>5.7894817417889595</v>
      </c>
      <c r="J19" s="168">
        <f>I19-VLOOKUP(B$2,H1:J152,2,FALSE)</f>
        <v>-0.22558713827198318</v>
      </c>
    </row>
    <row r="20" spans="1:10" ht="21.25" customHeight="1" x14ac:dyDescent="0.15">
      <c r="A20" s="9" t="s">
        <v>186</v>
      </c>
      <c r="B20" s="94" t="str">
        <f>VLOOKUP(A20,'The List'!B1:D665,3,FALSE)</f>
        <v>C/LW</v>
      </c>
      <c r="C20" s="95">
        <f>IF(Settings!$E$15="POINTS",RANK(E20,E3:E152),H20)</f>
        <v>18</v>
      </c>
      <c r="D20" s="65" t="str">
        <f>VLOOKUP(A20,'The List'!B1:F665,5,FALSE)</f>
        <v>OTT</v>
      </c>
      <c r="E20" s="54">
        <f>VLOOKUP(A20,'The List'!B1:I665,8,FALSE)</f>
        <v>392.20335983687431</v>
      </c>
      <c r="F20" s="54">
        <f>IF(Settings!$E$15="POINTS",E20-VLOOKUP(B$2,C1:E152,3,FALSE),J20)</f>
        <v>11.141847534374563</v>
      </c>
      <c r="G20" s="54"/>
      <c r="H20" s="167">
        <f>RANK(I20,I3:I152)</f>
        <v>25</v>
      </c>
      <c r="I20" s="168">
        <f>VLOOKUP(A20,'Standard Deviations'!A1:C666,3,FALSE)</f>
        <v>5.2540728866265312</v>
      </c>
      <c r="J20" s="168">
        <f>I20-VLOOKUP(B$2,H1:J152,2,FALSE)</f>
        <v>-0.76099599343441149</v>
      </c>
    </row>
    <row r="21" spans="1:10" ht="21.25" customHeight="1" x14ac:dyDescent="0.15">
      <c r="A21" s="9" t="s">
        <v>184</v>
      </c>
      <c r="B21" s="94" t="str">
        <f>VLOOKUP(A21,'The List'!B1:D665,3,FALSE)</f>
        <v>C/LW</v>
      </c>
      <c r="C21" s="95">
        <f>IF(Settings!$E$15="POINTS",RANK(E21,E3:E152),H21)</f>
        <v>16</v>
      </c>
      <c r="D21" s="65" t="str">
        <f>VLOOKUP(A21,'The List'!B1:F665,5,FALSE)</f>
        <v>NSH</v>
      </c>
      <c r="E21" s="54">
        <f>VLOOKUP(A21,'The List'!B1:I665,8,FALSE)</f>
        <v>393.87323859264939</v>
      </c>
      <c r="F21" s="54">
        <f>IF(Settings!$E$15="POINTS",E21-VLOOKUP(B$2,C1:E152,3,FALSE),J21)</f>
        <v>12.811726290149636</v>
      </c>
      <c r="G21" s="54"/>
      <c r="H21" s="167">
        <f>RANK(I21,I3:I152)</f>
        <v>17</v>
      </c>
      <c r="I21" s="168">
        <f>VLOOKUP(A21,'Standard Deviations'!A1:C666,3,FALSE)</f>
        <v>6.4588095688553535</v>
      </c>
      <c r="J21" s="168">
        <f>I21-VLOOKUP(B$2,H1:J152,2,FALSE)</f>
        <v>0.44374068879441086</v>
      </c>
    </row>
    <row r="22" spans="1:10" ht="21.25" customHeight="1" x14ac:dyDescent="0.15">
      <c r="A22" s="9" t="s">
        <v>191</v>
      </c>
      <c r="B22" s="94" t="str">
        <f>VLOOKUP(A22,'The List'!B1:D665,3,FALSE)</f>
        <v>LW</v>
      </c>
      <c r="C22" s="95">
        <f>IF(Settings!$E$15="POINTS",RANK(E22,E3:E152),H22)</f>
        <v>19</v>
      </c>
      <c r="D22" s="65" t="str">
        <f>VLOOKUP(A22,'The List'!B1:F665,5,FALSE)</f>
        <v>L.A</v>
      </c>
      <c r="E22" s="54">
        <f>VLOOKUP(A22,'The List'!B1:I665,8,FALSE)</f>
        <v>384.59140403900062</v>
      </c>
      <c r="F22" s="54">
        <f>IF(Settings!$E$15="POINTS",E22-VLOOKUP(B$2,C1:E152,3,FALSE),J22)</f>
        <v>3.529891736500872</v>
      </c>
      <c r="G22" s="54"/>
      <c r="H22" s="167">
        <f>RANK(I22,I3:I152)</f>
        <v>15</v>
      </c>
      <c r="I22" s="168">
        <f>VLOOKUP(A22,'Standard Deviations'!A1:C666,3,FALSE)</f>
        <v>6.7125754492529079</v>
      </c>
      <c r="J22" s="168">
        <f>I22-VLOOKUP(B$2,H1:J152,2,FALSE)</f>
        <v>0.6975065691919653</v>
      </c>
    </row>
    <row r="23" spans="1:10" ht="21.25" customHeight="1" x14ac:dyDescent="0.15">
      <c r="A23" s="9" t="s">
        <v>197</v>
      </c>
      <c r="B23" s="94" t="str">
        <f>VLOOKUP(A23,'The List'!B1:D665,3,FALSE)</f>
        <v>LW/RW</v>
      </c>
      <c r="C23" s="95">
        <f>IF(Settings!$E$15="POINTS",RANK(E23,E3:E152),H23)</f>
        <v>23</v>
      </c>
      <c r="D23" s="65" t="str">
        <f>VLOOKUP(A23,'The List'!B1:F665,5,FALSE)</f>
        <v>MIN</v>
      </c>
      <c r="E23" s="54">
        <f>VLOOKUP(A23,'The List'!B1:I665,8,FALSE)</f>
        <v>368.84772310629239</v>
      </c>
      <c r="F23" s="54">
        <f>IF(Settings!$E$15="POINTS",E23-VLOOKUP(B$2,C1:E152,3,FALSE),J23)</f>
        <v>-12.213789196207358</v>
      </c>
      <c r="G23" s="54"/>
      <c r="H23" s="167">
        <f>RANK(I23,I3:I152)</f>
        <v>20</v>
      </c>
      <c r="I23" s="168">
        <f>VLOOKUP(A23,'Standard Deviations'!A1:C666,3,FALSE)</f>
        <v>6.0150688800609426</v>
      </c>
      <c r="J23" s="168">
        <f>I23-VLOOKUP(B$2,H1:J152,2,FALSE)</f>
        <v>0</v>
      </c>
    </row>
    <row r="24" spans="1:10" ht="21.25" customHeight="1" x14ac:dyDescent="0.15">
      <c r="A24" s="9" t="s">
        <v>205</v>
      </c>
      <c r="B24" s="94" t="str">
        <f>VLOOKUP(A24,'The List'!B1:D665,3,FALSE)</f>
        <v>LW/RW</v>
      </c>
      <c r="C24" s="95">
        <f>IF(Settings!$E$15="POINTS",RANK(E24,E3:E152),H24)</f>
        <v>26</v>
      </c>
      <c r="D24" s="65" t="str">
        <f>VLOOKUP(A24,'The List'!B1:F665,5,FALSE)</f>
        <v>PHI</v>
      </c>
      <c r="E24" s="54">
        <f>VLOOKUP(A24,'The List'!B1:I665,8,FALSE)</f>
        <v>362.74314114827257</v>
      </c>
      <c r="F24" s="54">
        <f>IF(Settings!$E$15="POINTS",E24-VLOOKUP(B$2,C1:E152,3,FALSE),J24)</f>
        <v>-18.318371154227179</v>
      </c>
      <c r="G24" s="54"/>
      <c r="H24" s="167">
        <f>RANK(I24,I3:I152)</f>
        <v>37</v>
      </c>
      <c r="I24" s="168">
        <f>VLOOKUP(A24,'Standard Deviations'!A1:C666,3,FALSE)</f>
        <v>3.6833940457590009</v>
      </c>
      <c r="J24" s="168">
        <f>I24-VLOOKUP(B$2,H1:J152,2,FALSE)</f>
        <v>-2.3316748343019418</v>
      </c>
    </row>
    <row r="25" spans="1:10" ht="21.25" customHeight="1" x14ac:dyDescent="0.15">
      <c r="A25" s="9" t="s">
        <v>218</v>
      </c>
      <c r="B25" s="94" t="str">
        <f>VLOOKUP(A25,'The List'!B1:D665,3,FALSE)</f>
        <v>LW/RW</v>
      </c>
      <c r="C25" s="95">
        <f>IF(Settings!$E$15="POINTS",RANK(E25,E3:E152),H25)</f>
        <v>31</v>
      </c>
      <c r="D25" s="65" t="str">
        <f>VLOOKUP(A25,'The List'!B1:F665,5,FALSE)</f>
        <v>CAR</v>
      </c>
      <c r="E25" s="54">
        <f>VLOOKUP(A25,'The List'!B1:I665,8,FALSE)</f>
        <v>350.51278798656949</v>
      </c>
      <c r="F25" s="54">
        <f>IF(Settings!$E$15="POINTS",E25-VLOOKUP(B$2,C1:E152,3,FALSE),J25)</f>
        <v>-30.548724315930258</v>
      </c>
      <c r="G25" s="54"/>
      <c r="H25" s="167">
        <f>RANK(I25,I3:I152)</f>
        <v>21</v>
      </c>
      <c r="I25" s="168">
        <f>VLOOKUP(A25,'Standard Deviations'!A1:C666,3,FALSE)</f>
        <v>5.8995100982242885</v>
      </c>
      <c r="J25" s="168">
        <f>I25-VLOOKUP(B$2,H1:J152,2,FALSE)</f>
        <v>-0.11555878183665413</v>
      </c>
    </row>
    <row r="26" spans="1:10" ht="21.25" customHeight="1" x14ac:dyDescent="0.15">
      <c r="A26" s="9" t="s">
        <v>208</v>
      </c>
      <c r="B26" s="94" t="str">
        <f>VLOOKUP(A26,'The List'!B1:D665,3,FALSE)</f>
        <v>C/LW</v>
      </c>
      <c r="C26" s="95">
        <f>IF(Settings!$E$15="POINTS",RANK(E26,E3:E152),H26)</f>
        <v>21</v>
      </c>
      <c r="D26" s="65" t="str">
        <f>VLOOKUP(A26,'The List'!B1:F665,5,FALSE)</f>
        <v>EDM</v>
      </c>
      <c r="E26" s="54">
        <f>VLOOKUP(A26,'The List'!B1:I665,8,FALSE)</f>
        <v>371.86724816839626</v>
      </c>
      <c r="F26" s="54">
        <f>IF(Settings!$E$15="POINTS",E26-VLOOKUP(B$2,C1:E152,3,FALSE),J26)</f>
        <v>-9.1942641341034914</v>
      </c>
      <c r="G26" s="54"/>
      <c r="H26" s="167">
        <f>RANK(I26,I3:I152)</f>
        <v>13</v>
      </c>
      <c r="I26" s="168">
        <f>VLOOKUP(A26,'Standard Deviations'!A1:C666,3,FALSE)</f>
        <v>7.5290689202669752</v>
      </c>
      <c r="J26" s="168">
        <f>I26-VLOOKUP(B$2,H1:J152,2,FALSE)</f>
        <v>1.5140000402060325</v>
      </c>
    </row>
    <row r="27" spans="1:10" ht="21.25" customHeight="1" x14ac:dyDescent="0.15">
      <c r="A27" s="9" t="s">
        <v>211</v>
      </c>
      <c r="B27" s="94" t="str">
        <f>VLOOKUP(A27,'The List'!B1:D665,3,FALSE)</f>
        <v>C/LW</v>
      </c>
      <c r="C27" s="95">
        <f>IF(Settings!$E$15="POINTS",RANK(E27,E3:E152),H27)</f>
        <v>22</v>
      </c>
      <c r="D27" s="65" t="str">
        <f>VLOOKUP(A27,'The List'!B1:F665,5,FALSE)</f>
        <v>FLA</v>
      </c>
      <c r="E27" s="54">
        <f>VLOOKUP(A27,'The List'!B1:I665,8,FALSE)</f>
        <v>370.70924805714361</v>
      </c>
      <c r="F27" s="54">
        <f>IF(Settings!$E$15="POINTS",E27-VLOOKUP(B$2,C1:E152,3,FALSE),J27)</f>
        <v>-10.352264245356139</v>
      </c>
      <c r="G27" s="54"/>
      <c r="H27" s="167">
        <f>RANK(I27,I3:I152)</f>
        <v>16</v>
      </c>
      <c r="I27" s="168">
        <f>VLOOKUP(A27,'Standard Deviations'!A1:C666,3,FALSE)</f>
        <v>6.6777197351778064</v>
      </c>
      <c r="J27" s="168">
        <f>I27-VLOOKUP(B$2,H1:J152,2,FALSE)</f>
        <v>0.66265085511686372</v>
      </c>
    </row>
    <row r="28" spans="1:10" ht="21.25" customHeight="1" x14ac:dyDescent="0.15">
      <c r="A28" s="9" t="s">
        <v>295</v>
      </c>
      <c r="B28" s="94" t="str">
        <f>VLOOKUP(A28,'The List'!B1:D665,3,FALSE)</f>
        <v>LW</v>
      </c>
      <c r="C28" s="95">
        <f>IF(Settings!$E$15="POINTS",RANK(E28,E3:E152),H28)</f>
        <v>46</v>
      </c>
      <c r="D28" s="65" t="str">
        <f>VLOOKUP(A28,'The List'!B1:F665,5,FALSE)</f>
        <v>MTL</v>
      </c>
      <c r="E28" s="54">
        <f>VLOOKUP(A28,'The List'!B1:I665,8,FALSE)</f>
        <v>295.85403258294076</v>
      </c>
      <c r="F28" s="54">
        <f>IF(Settings!$E$15="POINTS",E28-VLOOKUP(B$2,C1:E152,3,FALSE),J28)</f>
        <v>-85.207479719558989</v>
      </c>
      <c r="G28" s="54"/>
      <c r="H28" s="167">
        <f>RANK(I28,I3:I152)</f>
        <v>58</v>
      </c>
      <c r="I28" s="168">
        <f>VLOOKUP(A28,'Standard Deviations'!A1:C666,3,FALSE)</f>
        <v>1.1421230603094681</v>
      </c>
      <c r="J28" s="168">
        <f>I28-VLOOKUP(B$2,H1:J152,2,FALSE)</f>
        <v>-4.8729458197514743</v>
      </c>
    </row>
    <row r="29" spans="1:10" ht="21.25" customHeight="1" x14ac:dyDescent="0.15">
      <c r="A29" s="9" t="s">
        <v>226</v>
      </c>
      <c r="B29" s="94" t="str">
        <f>VLOOKUP(A29,'The List'!B1:D665,3,FALSE)</f>
        <v>C/LW</v>
      </c>
      <c r="C29" s="95">
        <f>IF(Settings!$E$15="POINTS",RANK(E29,E3:E152),H29)</f>
        <v>28</v>
      </c>
      <c r="D29" s="65" t="str">
        <f>VLOOKUP(A29,'The List'!B1:F665,5,FALSE)</f>
        <v>STL</v>
      </c>
      <c r="E29" s="54">
        <f>VLOOKUP(A29,'The List'!B1:I665,8,FALSE)</f>
        <v>357.56680797817324</v>
      </c>
      <c r="F29" s="54">
        <f>IF(Settings!$E$15="POINTS",E29-VLOOKUP(B$2,C1:E152,3,FALSE),J29)</f>
        <v>-23.494704324326506</v>
      </c>
      <c r="G29" s="54"/>
      <c r="H29" s="167">
        <f>RANK(I29,I3:I152)</f>
        <v>32</v>
      </c>
      <c r="I29" s="168">
        <f>VLOOKUP(A29,'Standard Deviations'!A1:C666,3,FALSE)</f>
        <v>4.3868736379880158</v>
      </c>
      <c r="J29" s="168">
        <f>I29-VLOOKUP(B$2,H1:J152,2,FALSE)</f>
        <v>-1.6281952420729269</v>
      </c>
    </row>
    <row r="30" spans="1:10" ht="21.25" customHeight="1" x14ac:dyDescent="0.15">
      <c r="A30" s="9" t="s">
        <v>202</v>
      </c>
      <c r="B30" s="94" t="str">
        <f>VLOOKUP(A30,'The List'!B1:D665,3,FALSE)</f>
        <v>LW/RW</v>
      </c>
      <c r="C30" s="95">
        <f>IF(Settings!$E$15="POINTS",RANK(E30,E3:E152),H30)</f>
        <v>25</v>
      </c>
      <c r="D30" s="65" t="str">
        <f>VLOOKUP(A30,'The List'!B1:F665,5,FALSE)</f>
        <v>T.B</v>
      </c>
      <c r="E30" s="54">
        <f>VLOOKUP(A30,'The List'!B1:I665,8,FALSE)</f>
        <v>364.84454965051543</v>
      </c>
      <c r="F30" s="54">
        <f>IF(Settings!$E$15="POINTS",E30-VLOOKUP(B$2,C1:E152,3,FALSE),J30)</f>
        <v>-16.216962651984318</v>
      </c>
      <c r="G30" s="54"/>
      <c r="H30" s="167">
        <f>RANK(I30,I3:I152)</f>
        <v>24</v>
      </c>
      <c r="I30" s="168">
        <f>VLOOKUP(A30,'Standard Deviations'!A1:C666,3,FALSE)</f>
        <v>5.3580148670800494</v>
      </c>
      <c r="J30" s="168">
        <f>I30-VLOOKUP(B$2,H1:J152,2,FALSE)</f>
        <v>-0.65705401298089328</v>
      </c>
    </row>
    <row r="31" spans="1:10" ht="21.25" customHeight="1" x14ac:dyDescent="0.15">
      <c r="A31" s="9" t="s">
        <v>255</v>
      </c>
      <c r="B31" s="94" t="str">
        <f>VLOOKUP(A31,'The List'!B1:D665,3,FALSE)</f>
        <v>LW</v>
      </c>
      <c r="C31" s="95">
        <f>IF(Settings!$E$15="POINTS",RANK(E31,E3:E152),H31)</f>
        <v>35</v>
      </c>
      <c r="D31" s="65" t="str">
        <f>VLOOKUP(A31,'The List'!B1:F665,5,FALSE)</f>
        <v>WPG</v>
      </c>
      <c r="E31" s="54">
        <f>VLOOKUP(A31,'The List'!B1:I665,8,FALSE)</f>
        <v>335.52306528703303</v>
      </c>
      <c r="F31" s="54">
        <f>IF(Settings!$E$15="POINTS",E31-VLOOKUP(B$2,C1:E152,3,FALSE),J31)</f>
        <v>-45.538447015466716</v>
      </c>
      <c r="G31" s="54"/>
      <c r="H31" s="167">
        <f>RANK(I31,I3:I152)</f>
        <v>29</v>
      </c>
      <c r="I31" s="168">
        <f>VLOOKUP(A31,'Standard Deviations'!A1:C666,3,FALSE)</f>
        <v>4.8059502520906854</v>
      </c>
      <c r="J31" s="168">
        <f>I31-VLOOKUP(B$2,H1:J152,2,FALSE)</f>
        <v>-1.2091186279702573</v>
      </c>
    </row>
    <row r="32" spans="1:10" ht="21.25" customHeight="1" x14ac:dyDescent="0.15">
      <c r="A32" s="9" t="s">
        <v>201</v>
      </c>
      <c r="B32" s="94" t="str">
        <f>VLOOKUP(A32,'The List'!B1:D665,3,FALSE)</f>
        <v>LW/RW</v>
      </c>
      <c r="C32" s="95">
        <f>IF(Settings!$E$15="POINTS",RANK(E32,E3:E152),H32)</f>
        <v>24</v>
      </c>
      <c r="D32" s="65" t="str">
        <f>VLOOKUP(A32,'The List'!B1:F665,5,FALSE)</f>
        <v>DET</v>
      </c>
      <c r="E32" s="54">
        <f>VLOOKUP(A32,'The List'!B1:I665,8,FALSE)</f>
        <v>364.98364652555728</v>
      </c>
      <c r="F32" s="54">
        <f>IF(Settings!$E$15="POINTS",E32-VLOOKUP(B$2,C1:E152,3,FALSE),J32)</f>
        <v>-16.077865776942474</v>
      </c>
      <c r="G32" s="54"/>
      <c r="H32" s="167">
        <f>RANK(I32,I3:I152)</f>
        <v>31</v>
      </c>
      <c r="I32" s="168">
        <f>VLOOKUP(A32,'Standard Deviations'!A1:C666,3,FALSE)</f>
        <v>4.5238569924196446</v>
      </c>
      <c r="J32" s="168">
        <f>I32-VLOOKUP(B$2,H1:J152,2,FALSE)</f>
        <v>-1.4912118876412981</v>
      </c>
    </row>
    <row r="33" spans="1:10" ht="21.25" customHeight="1" x14ac:dyDescent="0.15">
      <c r="A33" s="9" t="s">
        <v>227</v>
      </c>
      <c r="B33" s="94" t="str">
        <f>VLOOKUP(A33,'The List'!B1:D665,3,FALSE)</f>
        <v>C/LW</v>
      </c>
      <c r="C33" s="95">
        <f>IF(Settings!$E$15="POINTS",RANK(E33,E3:E152),H33)</f>
        <v>29</v>
      </c>
      <c r="D33" s="65" t="str">
        <f>VLOOKUP(A33,'The List'!B1:F665,5,FALSE)</f>
        <v>SEA</v>
      </c>
      <c r="E33" s="54">
        <f>VLOOKUP(A33,'The List'!B1:I665,8,FALSE)</f>
        <v>354.57426983418583</v>
      </c>
      <c r="F33" s="54">
        <f>IF(Settings!$E$15="POINTS",E33-VLOOKUP(B$2,C1:E152,3,FALSE),J33)</f>
        <v>-26.487242468313923</v>
      </c>
      <c r="G33" s="54"/>
      <c r="H33" s="167">
        <f>RANK(I33,I3:I152)</f>
        <v>30</v>
      </c>
      <c r="I33" s="168">
        <f>VLOOKUP(A33,'Standard Deviations'!A1:C666,3,FALSE)</f>
        <v>4.5424847105712001</v>
      </c>
      <c r="J33" s="168">
        <f>I33-VLOOKUP(B$2,H1:J152,2,FALSE)</f>
        <v>-1.4725841694897426</v>
      </c>
    </row>
    <row r="34" spans="1:10" ht="21.25" customHeight="1" x14ac:dyDescent="0.15">
      <c r="A34" s="9" t="s">
        <v>225</v>
      </c>
      <c r="B34" s="94" t="str">
        <f>VLOOKUP(A34,'The List'!B1:D665,3,FALSE)</f>
        <v>LW</v>
      </c>
      <c r="C34" s="95">
        <f>IF(Settings!$E$15="POINTS",RANK(E34,E3:E152),H34)</f>
        <v>27</v>
      </c>
      <c r="D34" s="65" t="str">
        <f>VLOOKUP(A34,'The List'!B1:F665,5,FALSE)</f>
        <v>NYR</v>
      </c>
      <c r="E34" s="54">
        <f>VLOOKUP(A34,'The List'!B1:I665,8,FALSE)</f>
        <v>359.10332320269032</v>
      </c>
      <c r="F34" s="54">
        <f>IF(Settings!$E$15="POINTS",E34-VLOOKUP(B$2,C1:E152,3,FALSE),J34)</f>
        <v>-21.958189099809431</v>
      </c>
      <c r="G34" s="54"/>
      <c r="H34" s="167">
        <f>RANK(I34,I3:I152)</f>
        <v>19</v>
      </c>
      <c r="I34" s="168">
        <f>VLOOKUP(A34,'Standard Deviations'!A1:C666,3,FALSE)</f>
        <v>6.1953312374526543</v>
      </c>
      <c r="J34" s="168">
        <f>I34-VLOOKUP(B$2,H1:J152,2,FALSE)</f>
        <v>0.1802623573917117</v>
      </c>
    </row>
    <row r="35" spans="1:10" ht="21.25" customHeight="1" x14ac:dyDescent="0.15">
      <c r="A35" s="9" t="s">
        <v>259</v>
      </c>
      <c r="B35" s="94" t="str">
        <f>VLOOKUP(A35,'The List'!B1:D665,3,FALSE)</f>
        <v>LW</v>
      </c>
      <c r="C35" s="95">
        <f>IF(Settings!$E$15="POINTS",RANK(E35,E3:E152),H35)</f>
        <v>36</v>
      </c>
      <c r="D35" s="65" t="str">
        <f>VLOOKUP(A35,'The List'!B1:F665,5,FALSE)</f>
        <v>UTA</v>
      </c>
      <c r="E35" s="54">
        <f>VLOOKUP(A35,'The List'!B1:I665,8,FALSE)</f>
        <v>328.73202163470648</v>
      </c>
      <c r="F35" s="54">
        <f>IF(Settings!$E$15="POINTS",E35-VLOOKUP(B$2,C1:E152,3,FALSE),J35)</f>
        <v>-52.329490667793266</v>
      </c>
      <c r="G35" s="54"/>
      <c r="H35" s="167">
        <f>RANK(I35,I3:I152)</f>
        <v>34</v>
      </c>
      <c r="I35" s="168">
        <f>VLOOKUP(A35,'Standard Deviations'!A1:C666,3,FALSE)</f>
        <v>4.1890248373705932</v>
      </c>
      <c r="J35" s="168">
        <f>I35-VLOOKUP(B$2,H1:J152,2,FALSE)</f>
        <v>-1.8260440426903495</v>
      </c>
    </row>
    <row r="36" spans="1:10" ht="21.25" customHeight="1" x14ac:dyDescent="0.15">
      <c r="A36" s="9" t="s">
        <v>217</v>
      </c>
      <c r="B36" s="94" t="str">
        <f>VLOOKUP(A36,'The List'!B1:D665,3,FALSE)</f>
        <v>LW/RW</v>
      </c>
      <c r="C36" s="95">
        <f>IF(Settings!$E$15="POINTS",RANK(E36,E3:E152),H36)</f>
        <v>30</v>
      </c>
      <c r="D36" s="65" t="str">
        <f>VLOOKUP(A36,'The List'!B1:F665,5,FALSE)</f>
        <v>DET</v>
      </c>
      <c r="E36" s="54">
        <f>VLOOKUP(A36,'The List'!B1:I665,8,FALSE)</f>
        <v>351.0179088454758</v>
      </c>
      <c r="F36" s="54">
        <f>IF(Settings!$E$15="POINTS",E36-VLOOKUP(B$2,C1:E152,3,FALSE),J36)</f>
        <v>-30.043603457023949</v>
      </c>
      <c r="G36" s="54"/>
      <c r="H36" s="167">
        <f>RANK(I36,I3:I152)</f>
        <v>41</v>
      </c>
      <c r="I36" s="168">
        <f>VLOOKUP(A36,'Standard Deviations'!A1:C666,3,FALSE)</f>
        <v>3.1878863486318161</v>
      </c>
      <c r="J36" s="168">
        <f>I36-VLOOKUP(B$2,H1:J152,2,FALSE)</f>
        <v>-2.8271825314291266</v>
      </c>
    </row>
    <row r="37" spans="1:10" ht="21.25" customHeight="1" x14ac:dyDescent="0.15">
      <c r="A37" s="9" t="s">
        <v>231</v>
      </c>
      <c r="B37" s="94" t="str">
        <f>VLOOKUP(A37,'The List'!B1:D665,3,FALSE)</f>
        <v>LW/RW</v>
      </c>
      <c r="C37" s="95">
        <f>IF(Settings!$E$15="POINTS",RANK(E37,E3:E152),H37)</f>
        <v>33</v>
      </c>
      <c r="D37" s="65" t="str">
        <f>VLOOKUP(A37,'The List'!B1:F665,5,FALSE)</f>
        <v>PHI</v>
      </c>
      <c r="E37" s="54">
        <f>VLOOKUP(A37,'The List'!B1:I665,8,FALSE)</f>
        <v>338.79853884258853</v>
      </c>
      <c r="F37" s="54">
        <f>IF(Settings!$E$15="POINTS",E37-VLOOKUP(B$2,C1:E152,3,FALSE),J37)</f>
        <v>-42.262973459911223</v>
      </c>
      <c r="G37" s="54"/>
      <c r="H37" s="167">
        <f>RANK(I37,I3:I152)</f>
        <v>40</v>
      </c>
      <c r="I37" s="168">
        <f>VLOOKUP(A37,'Standard Deviations'!A1:C666,3,FALSE)</f>
        <v>3.1888434956215974</v>
      </c>
      <c r="J37" s="168">
        <f>I37-VLOOKUP(B$2,H1:J152,2,FALSE)</f>
        <v>-2.8262253844393452</v>
      </c>
    </row>
    <row r="38" spans="1:10" ht="21.25" customHeight="1" x14ac:dyDescent="0.15">
      <c r="A38" s="9" t="s">
        <v>238</v>
      </c>
      <c r="B38" s="94" t="str">
        <f>VLOOKUP(A38,'The List'!B1:D665,3,FALSE)</f>
        <v>LW</v>
      </c>
      <c r="C38" s="95">
        <f>IF(Settings!$E$15="POINTS",RANK(E38,E3:E152),H38)</f>
        <v>32</v>
      </c>
      <c r="D38" s="65" t="str">
        <f>VLOOKUP(A38,'The List'!B1:F665,5,FALSE)</f>
        <v>BOS</v>
      </c>
      <c r="E38" s="54">
        <f>VLOOKUP(A38,'The List'!B1:I665,8,FALSE)</f>
        <v>341.8917399973347</v>
      </c>
      <c r="F38" s="54">
        <f>IF(Settings!$E$15="POINTS",E38-VLOOKUP(B$2,C1:E152,3,FALSE),J38)</f>
        <v>-39.169772305165054</v>
      </c>
      <c r="G38" s="54"/>
      <c r="H38" s="167">
        <f>RANK(I38,I3:I152)</f>
        <v>26</v>
      </c>
      <c r="I38" s="168">
        <f>VLOOKUP(A38,'Standard Deviations'!A1:C666,3,FALSE)</f>
        <v>5.213668617688537</v>
      </c>
      <c r="J38" s="168">
        <f>I38-VLOOKUP(B$2,H1:J152,2,FALSE)</f>
        <v>-0.80140026237240569</v>
      </c>
    </row>
    <row r="39" spans="1:10" ht="21.25" customHeight="1" x14ac:dyDescent="0.15">
      <c r="A39" s="9" t="s">
        <v>260</v>
      </c>
      <c r="B39" s="94" t="str">
        <f>VLOOKUP(A39,'The List'!B1:D665,3,FALSE)</f>
        <v>LW</v>
      </c>
      <c r="C39" s="95">
        <f>IF(Settings!$E$15="POINTS",RANK(E39,E3:E152),H39)</f>
        <v>37</v>
      </c>
      <c r="D39" s="65" t="str">
        <f>VLOOKUP(A39,'The List'!B1:F665,5,FALSE)</f>
        <v>MTL</v>
      </c>
      <c r="E39" s="54">
        <f>VLOOKUP(A39,'The List'!B1:I665,8,FALSE)</f>
        <v>326.23499279001544</v>
      </c>
      <c r="F39" s="54">
        <f>IF(Settings!$E$15="POINTS",E39-VLOOKUP(B$2,C1:E152,3,FALSE),J39)</f>
        <v>-54.82651951248431</v>
      </c>
      <c r="G39" s="54"/>
      <c r="H39" s="167">
        <f>RANK(I39,I3:I152)</f>
        <v>42</v>
      </c>
      <c r="I39" s="168">
        <f>VLOOKUP(A39,'Standard Deviations'!A1:C666,3,FALSE)</f>
        <v>2.8315418102759828</v>
      </c>
      <c r="J39" s="168">
        <f>I39-VLOOKUP(B$2,H1:J152,2,FALSE)</f>
        <v>-3.1835270697849598</v>
      </c>
    </row>
    <row r="40" spans="1:10" ht="21.25" customHeight="1" x14ac:dyDescent="0.15">
      <c r="A40" s="9" t="s">
        <v>234</v>
      </c>
      <c r="B40" s="94" t="str">
        <f>VLOOKUP(A40,'The List'!B1:D665,3,FALSE)</f>
        <v>LW/RW</v>
      </c>
      <c r="C40" s="95">
        <f>IF(Settings!$E$15="POINTS",RANK(E40,E3:E152),H40)</f>
        <v>34</v>
      </c>
      <c r="D40" s="65" t="str">
        <f>VLOOKUP(A40,'The List'!B1:F665,5,FALSE)</f>
        <v>VAN</v>
      </c>
      <c r="E40" s="54">
        <f>VLOOKUP(A40,'The List'!B1:I665,8,FALSE)</f>
        <v>336.02426996003572</v>
      </c>
      <c r="F40" s="54">
        <f>IF(Settings!$E$15="POINTS",E40-VLOOKUP(B$2,C1:E152,3,FALSE),J40)</f>
        <v>-45.037242342464026</v>
      </c>
      <c r="G40" s="54"/>
      <c r="H40" s="167">
        <f>RANK(I40,I3:I152)</f>
        <v>27</v>
      </c>
      <c r="I40" s="168">
        <f>VLOOKUP(A40,'Standard Deviations'!A1:C666,3,FALSE)</f>
        <v>4.9279690609122611</v>
      </c>
      <c r="J40" s="168">
        <f>I40-VLOOKUP(B$2,H1:J152,2,FALSE)</f>
        <v>-1.0870998191486816</v>
      </c>
    </row>
    <row r="41" spans="1:10" ht="21.25" customHeight="1" x14ac:dyDescent="0.15">
      <c r="A41" s="9" t="s">
        <v>299</v>
      </c>
      <c r="B41" s="94" t="str">
        <f>VLOOKUP(A41,'The List'!B1:D665,3,FALSE)</f>
        <v>C/LW</v>
      </c>
      <c r="C41" s="95">
        <f>IF(Settings!$E$15="POINTS",RANK(E41,E3:E152),H41)</f>
        <v>47</v>
      </c>
      <c r="D41" s="65" t="str">
        <f>VLOOKUP(A41,'The List'!B1:F665,5,FALSE)</f>
        <v>CBJ</v>
      </c>
      <c r="E41" s="54">
        <f>VLOOKUP(A41,'The List'!B1:I665,8,FALSE)</f>
        <v>292.05147270563117</v>
      </c>
      <c r="F41" s="54">
        <f>IF(Settings!$E$15="POINTS",E41-VLOOKUP(B$2,C1:E152,3,FALSE),J41)</f>
        <v>-89.01003959686858</v>
      </c>
      <c r="G41" s="54"/>
      <c r="H41" s="167">
        <f>RANK(I41,I3:I152)</f>
        <v>60</v>
      </c>
      <c r="I41" s="168">
        <f>VLOOKUP(A41,'Standard Deviations'!A1:C666,3,FALSE)</f>
        <v>0.95832395621363253</v>
      </c>
      <c r="J41" s="168">
        <f>I41-VLOOKUP(B$2,H1:J152,2,FALSE)</f>
        <v>-5.0567449238473099</v>
      </c>
    </row>
    <row r="42" spans="1:10" ht="21.25" customHeight="1" x14ac:dyDescent="0.15">
      <c r="A42" s="9" t="s">
        <v>266</v>
      </c>
      <c r="B42" s="94" t="str">
        <f>VLOOKUP(A42,'The List'!B1:D665,3,FALSE)</f>
        <v>C/LW</v>
      </c>
      <c r="C42" s="95">
        <f>IF(Settings!$E$15="POINTS",RANK(E42,E3:E152),H42)</f>
        <v>38</v>
      </c>
      <c r="D42" s="65" t="str">
        <f>VLOOKUP(A42,'The List'!B1:F665,5,FALSE)</f>
        <v>CGY</v>
      </c>
      <c r="E42" s="54">
        <f>VLOOKUP(A42,'The List'!B1:I665,8,FALSE)</f>
        <v>320.48231207302712</v>
      </c>
      <c r="F42" s="54">
        <f>IF(Settings!$E$15="POINTS",E42-VLOOKUP(B$2,C1:E152,3,FALSE),J42)</f>
        <v>-60.579200229472633</v>
      </c>
      <c r="G42" s="54"/>
      <c r="H42" s="167">
        <f>RANK(I42,I3:I152)</f>
        <v>44</v>
      </c>
      <c r="I42" s="168">
        <f>VLOOKUP(A42,'Standard Deviations'!A1:C666,3,FALSE)</f>
        <v>2.6752724492476534</v>
      </c>
      <c r="J42" s="168">
        <f>I42-VLOOKUP(B$2,H1:J152,2,FALSE)</f>
        <v>-3.3397964308132893</v>
      </c>
    </row>
    <row r="43" spans="1:10" ht="21.25" customHeight="1" x14ac:dyDescent="0.15">
      <c r="A43" s="9" t="s">
        <v>271</v>
      </c>
      <c r="B43" s="94" t="str">
        <f>VLOOKUP(A43,'The List'!B1:D665,3,FALSE)</f>
        <v>C/LW</v>
      </c>
      <c r="C43" s="95">
        <f>IF(Settings!$E$15="POINTS",RANK(E43,E3:E152),H43)</f>
        <v>39</v>
      </c>
      <c r="D43" s="65" t="str">
        <f>VLOOKUP(A43,'The List'!B1:F665,5,FALSE)</f>
        <v>WSH</v>
      </c>
      <c r="E43" s="54">
        <f>VLOOKUP(A43,'The List'!B1:I665,8,FALSE)</f>
        <v>313.3564789996388</v>
      </c>
      <c r="F43" s="54">
        <f>IF(Settings!$E$15="POINTS",E43-VLOOKUP(B$2,C1:E152,3,FALSE),J43)</f>
        <v>-67.705033302860954</v>
      </c>
      <c r="G43" s="54"/>
      <c r="H43" s="167">
        <f>RANK(I43,I3:I152)</f>
        <v>36</v>
      </c>
      <c r="I43" s="168">
        <f>VLOOKUP(A43,'Standard Deviations'!A1:C666,3,FALSE)</f>
        <v>3.6936452878854547</v>
      </c>
      <c r="J43" s="168">
        <f>I43-VLOOKUP(B$2,H1:J152,2,FALSE)</f>
        <v>-2.321423592175488</v>
      </c>
    </row>
    <row r="44" spans="1:10" ht="21.25" customHeight="1" x14ac:dyDescent="0.15">
      <c r="A44" s="9" t="s">
        <v>261</v>
      </c>
      <c r="B44" s="94" t="str">
        <f>VLOOKUP(A44,'The List'!B1:D665,3,FALSE)</f>
        <v>LW/RW</v>
      </c>
      <c r="C44" s="95">
        <f>IF(Settings!$E$15="POINTS",RANK(E44,E3:E152),H44)</f>
        <v>40</v>
      </c>
      <c r="D44" s="65" t="str">
        <f>VLOOKUP(A44,'The List'!B1:F665,5,FALSE)</f>
        <v>S.J</v>
      </c>
      <c r="E44" s="54">
        <f>VLOOKUP(A44,'The List'!B1:I665,8,FALSE)</f>
        <v>312.84983177776769</v>
      </c>
      <c r="F44" s="54">
        <f>IF(Settings!$E$15="POINTS",E44-VLOOKUP(B$2,C1:E152,3,FALSE),J44)</f>
        <v>-68.21168052473206</v>
      </c>
      <c r="G44" s="54"/>
      <c r="H44" s="167">
        <f>RANK(I44,I3:I152)</f>
        <v>38</v>
      </c>
      <c r="I44" s="168">
        <f>VLOOKUP(A44,'Standard Deviations'!A1:C666,3,FALSE)</f>
        <v>3.419993548211687</v>
      </c>
      <c r="J44" s="168">
        <f>I44-VLOOKUP(B$2,H1:J152,2,FALSE)</f>
        <v>-2.5950753318492557</v>
      </c>
    </row>
    <row r="45" spans="1:10" ht="21.25" customHeight="1" x14ac:dyDescent="0.15">
      <c r="A45" s="9" t="s">
        <v>270</v>
      </c>
      <c r="B45" s="94" t="str">
        <f>VLOOKUP(A45,'The List'!B1:D665,3,FALSE)</f>
        <v>LW/RW</v>
      </c>
      <c r="C45" s="95">
        <f>IF(Settings!$E$15="POINTS",RANK(E45,E3:E152),H45)</f>
        <v>42</v>
      </c>
      <c r="D45" s="65" t="str">
        <f>VLOOKUP(A45,'The List'!B1:F665,5,FALSE)</f>
        <v>OTT</v>
      </c>
      <c r="E45" s="54">
        <f>VLOOKUP(A45,'The List'!B1:I665,8,FALSE)</f>
        <v>302.18187008004935</v>
      </c>
      <c r="F45" s="54">
        <f>IF(Settings!$E$15="POINTS",E45-VLOOKUP(B$2,C1:E152,3,FALSE),J45)</f>
        <v>-78.8796422224504</v>
      </c>
      <c r="G45" s="54"/>
      <c r="H45" s="167">
        <f>RANK(I45,I3:I152)</f>
        <v>48</v>
      </c>
      <c r="I45" s="168">
        <f>VLOOKUP(A45,'Standard Deviations'!A1:C666,3,FALSE)</f>
        <v>2.3674654476306349</v>
      </c>
      <c r="J45" s="168">
        <f>I45-VLOOKUP(B$2,H1:J152,2,FALSE)</f>
        <v>-3.6476034324303077</v>
      </c>
    </row>
    <row r="46" spans="1:10" ht="21.25" customHeight="1" x14ac:dyDescent="0.15">
      <c r="A46" s="9" t="s">
        <v>272</v>
      </c>
      <c r="B46" s="94" t="str">
        <f>VLOOKUP(A46,'The List'!B1:D665,3,FALSE)</f>
        <v>LW/RW</v>
      </c>
      <c r="C46" s="95">
        <f>IF(Settings!$E$15="POINTS",RANK(E46,E3:E152),H46)</f>
        <v>44</v>
      </c>
      <c r="D46" s="65" t="str">
        <f>VLOOKUP(A46,'The List'!B1:F665,5,FALSE)</f>
        <v>CHI</v>
      </c>
      <c r="E46" s="54">
        <f>VLOOKUP(A46,'The List'!B1:I665,8,FALSE)</f>
        <v>300.77951234858818</v>
      </c>
      <c r="F46" s="54">
        <f>IF(Settings!$E$15="POINTS",E46-VLOOKUP(B$2,C1:E152,3,FALSE),J46)</f>
        <v>-80.281999953911566</v>
      </c>
      <c r="G46" s="54"/>
      <c r="H46" s="167">
        <f>RANK(I46,I3:I152)</f>
        <v>35</v>
      </c>
      <c r="I46" s="168">
        <f>VLOOKUP(A46,'Standard Deviations'!A1:C666,3,FALSE)</f>
        <v>4.0837809381379886</v>
      </c>
      <c r="J46" s="168">
        <f>I46-VLOOKUP(B$2,H1:J152,2,FALSE)</f>
        <v>-1.9312879419229541</v>
      </c>
    </row>
    <row r="47" spans="1:10" ht="21.25" customHeight="1" x14ac:dyDescent="0.15">
      <c r="A47" s="9" t="s">
        <v>264</v>
      </c>
      <c r="B47" s="94" t="str">
        <f>VLOOKUP(A47,'The List'!B1:D665,3,FALSE)</f>
        <v>LW/RW</v>
      </c>
      <c r="C47" s="95">
        <f>IF(Settings!$E$15="POINTS",RANK(E47,E3:E152),H47)</f>
        <v>41</v>
      </c>
      <c r="D47" s="65" t="str">
        <f>VLOOKUP(A47,'The List'!B1:F665,5,FALSE)</f>
        <v>NYR</v>
      </c>
      <c r="E47" s="54">
        <f>VLOOKUP(A47,'The List'!B1:I665,8,FALSE)</f>
        <v>308.82845350902903</v>
      </c>
      <c r="F47" s="54">
        <f>IF(Settings!$E$15="POINTS",E47-VLOOKUP(B$2,C1:E152,3,FALSE),J47)</f>
        <v>-72.233058793470718</v>
      </c>
      <c r="G47" s="54"/>
      <c r="H47" s="167">
        <f>RANK(I47,I3:I152)</f>
        <v>39</v>
      </c>
      <c r="I47" s="168">
        <f>VLOOKUP(A47,'Standard Deviations'!A1:C666,3,FALSE)</f>
        <v>3.2369639719436734</v>
      </c>
      <c r="J47" s="168">
        <f>I47-VLOOKUP(B$2,H1:J152,2,FALSE)</f>
        <v>-2.7781049081172693</v>
      </c>
    </row>
    <row r="48" spans="1:10" ht="21.25" customHeight="1" x14ac:dyDescent="0.15">
      <c r="A48" s="9" t="s">
        <v>332</v>
      </c>
      <c r="B48" s="94" t="str">
        <f>VLOOKUP(A48,'The List'!B1:D665,3,FALSE)</f>
        <v>LW</v>
      </c>
      <c r="C48" s="95">
        <f>IF(Settings!$E$15="POINTS",RANK(E48,E3:E152),H48)</f>
        <v>54</v>
      </c>
      <c r="D48" s="65" t="str">
        <f>VLOOKUP(A48,'The List'!B1:F665,5,FALSE)</f>
        <v>COL</v>
      </c>
      <c r="E48" s="54">
        <f>VLOOKUP(A48,'The List'!B1:I665,8,FALSE)</f>
        <v>271.105013269023</v>
      </c>
      <c r="F48" s="54">
        <f>IF(Settings!$E$15="POINTS",E48-VLOOKUP(B$2,C1:E152,3,FALSE),J48)</f>
        <v>-109.95649903347675</v>
      </c>
      <c r="G48" s="54"/>
      <c r="H48" s="167">
        <f>RANK(I48,I3:I152)</f>
        <v>43</v>
      </c>
      <c r="I48" s="168">
        <f>VLOOKUP(A48,'Standard Deviations'!A1:C666,3,FALSE)</f>
        <v>2.8012813514233388</v>
      </c>
      <c r="J48" s="168">
        <f>I48-VLOOKUP(B$2,H1:J152,2,FALSE)</f>
        <v>-3.2137875286376039</v>
      </c>
    </row>
    <row r="49" spans="1:10" ht="21.25" customHeight="1" x14ac:dyDescent="0.15">
      <c r="A49" s="9" t="s">
        <v>306</v>
      </c>
      <c r="B49" s="94" t="str">
        <f>VLOOKUP(A49,'The List'!B1:D665,3,FALSE)</f>
        <v>LW</v>
      </c>
      <c r="C49" s="95">
        <f>IF(Settings!$E$15="POINTS",RANK(E49,E3:E152),H49)</f>
        <v>49</v>
      </c>
      <c r="D49" s="65" t="str">
        <f>VLOOKUP(A49,'The List'!B1:F665,5,FALSE)</f>
        <v>CHI</v>
      </c>
      <c r="E49" s="54">
        <f>VLOOKUP(A49,'The List'!B1:I665,8,FALSE)</f>
        <v>283.84522248669191</v>
      </c>
      <c r="F49" s="54">
        <f>IF(Settings!$E$15="POINTS",E49-VLOOKUP(B$2,C1:E152,3,FALSE),J49)</f>
        <v>-97.216289815807841</v>
      </c>
      <c r="G49" s="54"/>
      <c r="H49" s="167">
        <f>RANK(I49,I3:I152)</f>
        <v>47</v>
      </c>
      <c r="I49" s="168">
        <f>VLOOKUP(A49,'Standard Deviations'!A1:C666,3,FALSE)</f>
        <v>2.4330419985330338</v>
      </c>
      <c r="J49" s="168">
        <f>I49-VLOOKUP(B$2,H1:J152,2,FALSE)</f>
        <v>-3.5820268815279088</v>
      </c>
    </row>
    <row r="50" spans="1:10" ht="21.25" customHeight="1" x14ac:dyDescent="0.15">
      <c r="A50" s="9" t="s">
        <v>286</v>
      </c>
      <c r="B50" s="94" t="str">
        <f>VLOOKUP(A50,'The List'!B1:D665,3,FALSE)</f>
        <v>LW</v>
      </c>
      <c r="C50" s="95">
        <f>IF(Settings!$E$15="POINTS",RANK(E50,E3:E152),H50)</f>
        <v>43</v>
      </c>
      <c r="D50" s="65" t="str">
        <f>VLOOKUP(A50,'The List'!B1:F665,5,FALSE)</f>
        <v>DAL</v>
      </c>
      <c r="E50" s="54">
        <f>VLOOKUP(A50,'The List'!B1:I665,8,FALSE)</f>
        <v>302.17122199964376</v>
      </c>
      <c r="F50" s="54">
        <f>IF(Settings!$E$15="POINTS",E50-VLOOKUP(B$2,C1:E152,3,FALSE),J50)</f>
        <v>-78.890290302855988</v>
      </c>
      <c r="G50" s="54"/>
      <c r="H50" s="167">
        <f>RANK(I50,I3:I152)</f>
        <v>33</v>
      </c>
      <c r="I50" s="168">
        <f>VLOOKUP(A50,'Standard Deviations'!A1:C666,3,FALSE)</f>
        <v>4.3005870489617699</v>
      </c>
      <c r="J50" s="168">
        <f>I50-VLOOKUP(B$2,H1:J152,2,FALSE)</f>
        <v>-1.7144818310991727</v>
      </c>
    </row>
    <row r="51" spans="1:10" ht="21.25" customHeight="1" x14ac:dyDescent="0.15">
      <c r="A51" s="9" t="s">
        <v>293</v>
      </c>
      <c r="B51" s="94" t="str">
        <f>VLOOKUP(A51,'The List'!B1:D665,3,FALSE)</f>
        <v>C/LW</v>
      </c>
      <c r="C51" s="95">
        <f>IF(Settings!$E$15="POINTS",RANK(E51,E3:E152),H51)</f>
        <v>45</v>
      </c>
      <c r="D51" s="65" t="str">
        <f>VLOOKUP(A51,'The List'!B1:F665,5,FALSE)</f>
        <v>ANA</v>
      </c>
      <c r="E51" s="54">
        <f>VLOOKUP(A51,'The List'!B1:I665,8,FALSE)</f>
        <v>297.58783965303007</v>
      </c>
      <c r="F51" s="54">
        <f>IF(Settings!$E$15="POINTS",E51-VLOOKUP(B$2,C1:E152,3,FALSE),J51)</f>
        <v>-83.473672649469677</v>
      </c>
      <c r="G51" s="54"/>
      <c r="H51" s="167">
        <f>RANK(I51,I3:I152)</f>
        <v>66</v>
      </c>
      <c r="I51" s="168">
        <f>VLOOKUP(A51,'Standard Deviations'!A1:C666,3,FALSE)</f>
        <v>0.5250145497715315</v>
      </c>
      <c r="J51" s="168">
        <f>I51-VLOOKUP(B$2,H1:J152,2,FALSE)</f>
        <v>-5.4900543302894107</v>
      </c>
    </row>
    <row r="52" spans="1:10" ht="21.25" customHeight="1" x14ac:dyDescent="0.15">
      <c r="A52" s="9" t="s">
        <v>378</v>
      </c>
      <c r="B52" s="94" t="str">
        <f>VLOOKUP(A52,'The List'!B1:D665,3,FALSE)</f>
        <v>LW</v>
      </c>
      <c r="C52" s="95">
        <f>IF(Settings!$E$15="POINTS",RANK(E52,E3:E152),H52)</f>
        <v>60</v>
      </c>
      <c r="D52" s="65" t="str">
        <f>VLOOKUP(A52,'The List'!B1:F665,5,FALSE)</f>
        <v>EDM</v>
      </c>
      <c r="E52" s="54">
        <f>VLOOKUP(A52,'The List'!B1:I665,8,FALSE)</f>
        <v>248.30344742373464</v>
      </c>
      <c r="F52" s="54">
        <f>IF(Settings!$E$15="POINTS",E52-VLOOKUP(B$2,C1:E152,3,FALSE),J52)</f>
        <v>-132.75806487876511</v>
      </c>
      <c r="G52" s="54"/>
      <c r="H52" s="167">
        <f>RANK(I52,I3:I152)</f>
        <v>57</v>
      </c>
      <c r="I52" s="168">
        <f>VLOOKUP(A52,'Standard Deviations'!A1:C666,3,FALSE)</f>
        <v>1.1670874836919278</v>
      </c>
      <c r="J52" s="168">
        <f>I52-VLOOKUP(B$2,H1:J152,2,FALSE)</f>
        <v>-4.8479813963690148</v>
      </c>
    </row>
    <row r="53" spans="1:10" ht="21.25" customHeight="1" x14ac:dyDescent="0.15">
      <c r="A53" s="9" t="s">
        <v>309</v>
      </c>
      <c r="B53" s="94" t="str">
        <f>VLOOKUP(A53,'The List'!B1:D665,3,FALSE)</f>
        <v>LW/RW</v>
      </c>
      <c r="C53" s="95">
        <f>IF(Settings!$E$15="POINTS",RANK(E53,E3:E152),H53)</f>
        <v>55</v>
      </c>
      <c r="D53" s="65" t="str">
        <f>VLOOKUP(A53,'The List'!B1:F665,5,FALSE)</f>
        <v>STL</v>
      </c>
      <c r="E53" s="54">
        <f>VLOOKUP(A53,'The List'!B1:I665,8,FALSE)</f>
        <v>270.6727767167863</v>
      </c>
      <c r="F53" s="54">
        <f>IF(Settings!$E$15="POINTS",E53-VLOOKUP(B$2,C1:E152,3,FALSE),J53)</f>
        <v>-110.38873558571345</v>
      </c>
      <c r="G53" s="54"/>
      <c r="H53" s="167">
        <f>RANK(I53,I3:I152)</f>
        <v>62</v>
      </c>
      <c r="I53" s="168">
        <f>VLOOKUP(A53,'Standard Deviations'!A1:C666,3,FALSE)</f>
        <v>0.88808862255828669</v>
      </c>
      <c r="J53" s="168">
        <f>I53-VLOOKUP(B$2,H1:J152,2,FALSE)</f>
        <v>-5.1269802575026562</v>
      </c>
    </row>
    <row r="54" spans="1:10" ht="21.25" customHeight="1" x14ac:dyDescent="0.15">
      <c r="A54" s="9" t="s">
        <v>398</v>
      </c>
      <c r="B54" s="94" t="str">
        <f>VLOOKUP(A54,'The List'!B1:D665,3,FALSE)</f>
        <v>LW</v>
      </c>
      <c r="C54" s="95">
        <f>IF(Settings!$E$15="POINTS",RANK(E54,E3:E152),H54)</f>
        <v>65</v>
      </c>
      <c r="D54" s="65" t="str">
        <f>VLOOKUP(A54,'The List'!B1:F665,5,FALSE)</f>
        <v>CHI</v>
      </c>
      <c r="E54" s="54">
        <f>VLOOKUP(A54,'The List'!B1:I665,8,FALSE)</f>
        <v>238.77724080692923</v>
      </c>
      <c r="F54" s="54">
        <f>IF(Settings!$E$15="POINTS",E54-VLOOKUP(B$2,C1:E152,3,FALSE),J54)</f>
        <v>-142.28427149557052</v>
      </c>
      <c r="G54" s="54"/>
      <c r="H54" s="167">
        <f>RANK(I54,I3:I152)</f>
        <v>82</v>
      </c>
      <c r="I54" s="168">
        <f>VLOOKUP(A54,'Standard Deviations'!A1:C666,3,FALSE)</f>
        <v>-0.40568259377402904</v>
      </c>
      <c r="J54" s="168">
        <f>I54-VLOOKUP(B$2,H1:J152,2,FALSE)</f>
        <v>-6.4207514738349714</v>
      </c>
    </row>
    <row r="55" spans="1:10" ht="21.25" customHeight="1" x14ac:dyDescent="0.15">
      <c r="A55" s="9" t="s">
        <v>296</v>
      </c>
      <c r="B55" s="94" t="str">
        <f>VLOOKUP(A55,'The List'!B1:D665,3,FALSE)</f>
        <v>LW/RW</v>
      </c>
      <c r="C55" s="95">
        <f>IF(Settings!$E$15="POINTS",RANK(E55,E3:E152),H55)</f>
        <v>50</v>
      </c>
      <c r="D55" s="65" t="str">
        <f>VLOOKUP(A55,'The List'!B1:F665,5,FALSE)</f>
        <v>L.A</v>
      </c>
      <c r="E55" s="54">
        <f>VLOOKUP(A55,'The List'!B1:I665,8,FALSE)</f>
        <v>283.62556590770259</v>
      </c>
      <c r="F55" s="54">
        <f>IF(Settings!$E$15="POINTS",E55-VLOOKUP(B$2,C1:E152,3,FALSE),J55)</f>
        <v>-97.435946394797156</v>
      </c>
      <c r="G55" s="54"/>
      <c r="H55" s="167">
        <f>RANK(I55,I3:I152)</f>
        <v>46</v>
      </c>
      <c r="I55" s="168">
        <f>VLOOKUP(A55,'Standard Deviations'!A1:C666,3,FALSE)</f>
        <v>2.4876153539267287</v>
      </c>
      <c r="J55" s="168">
        <f>I55-VLOOKUP(B$2,H1:J152,2,FALSE)</f>
        <v>-3.5274535261342139</v>
      </c>
    </row>
    <row r="56" spans="1:10" ht="21.25" customHeight="1" x14ac:dyDescent="0.15">
      <c r="A56" s="9" t="s">
        <v>300</v>
      </c>
      <c r="B56" s="94" t="str">
        <f>VLOOKUP(A56,'The List'!B1:D665,3,FALSE)</f>
        <v>LW</v>
      </c>
      <c r="C56" s="95">
        <f>IF(Settings!$E$15="POINTS",RANK(E56,E3:E152),H56)</f>
        <v>48</v>
      </c>
      <c r="D56" s="65" t="str">
        <f>VLOOKUP(A56,'The List'!B1:F665,5,FALSE)</f>
        <v>PIT</v>
      </c>
      <c r="E56" s="54">
        <f>VLOOKUP(A56,'The List'!B1:I665,8,FALSE)</f>
        <v>290.67681727152728</v>
      </c>
      <c r="F56" s="54">
        <f>IF(Settings!$E$15="POINTS",E56-VLOOKUP(B$2,C1:E152,3,FALSE),J56)</f>
        <v>-90.384695030972466</v>
      </c>
      <c r="G56" s="54"/>
      <c r="H56" s="167">
        <f>RANK(I56,I3:I152)</f>
        <v>45</v>
      </c>
      <c r="I56" s="168">
        <f>VLOOKUP(A56,'Standard Deviations'!A1:C666,3,FALSE)</f>
        <v>2.6247847621562221</v>
      </c>
      <c r="J56" s="168">
        <f>I56-VLOOKUP(B$2,H1:J152,2,FALSE)</f>
        <v>-3.3902841179047205</v>
      </c>
    </row>
    <row r="57" spans="1:10" ht="21.25" customHeight="1" x14ac:dyDescent="0.15">
      <c r="A57" s="9" t="s">
        <v>383</v>
      </c>
      <c r="B57" s="94" t="str">
        <f>VLOOKUP(A57,'The List'!B1:D665,3,FALSE)</f>
        <v>LW</v>
      </c>
      <c r="C57" s="95">
        <f>IF(Settings!$E$15="POINTS",RANK(E57,E3:E152),H57)</f>
        <v>61</v>
      </c>
      <c r="D57" s="65" t="str">
        <f>VLOOKUP(A57,'The List'!B1:F665,5,FALSE)</f>
        <v>NYI</v>
      </c>
      <c r="E57" s="54">
        <f>VLOOKUP(A57,'The List'!B1:I665,8,FALSE)</f>
        <v>244.7209922159926</v>
      </c>
      <c r="F57" s="54">
        <f>IF(Settings!$E$15="POINTS",E57-VLOOKUP(B$2,C1:E152,3,FALSE),J57)</f>
        <v>-136.34052008650715</v>
      </c>
      <c r="G57" s="54"/>
      <c r="H57" s="167">
        <f>RANK(I57,I3:I152)</f>
        <v>55</v>
      </c>
      <c r="I57" s="168">
        <f>VLOOKUP(A57,'Standard Deviations'!A1:C666,3,FALSE)</f>
        <v>1.1872880205471681</v>
      </c>
      <c r="J57" s="168">
        <f>I57-VLOOKUP(B$2,H1:J152,2,FALSE)</f>
        <v>-4.8277808595137746</v>
      </c>
    </row>
    <row r="58" spans="1:10" ht="21.25" customHeight="1" x14ac:dyDescent="0.15">
      <c r="A58" s="9" t="s">
        <v>681</v>
      </c>
      <c r="B58" s="94" t="str">
        <f>VLOOKUP(A58,'The List'!B1:D665,3,FALSE)</f>
        <v>LW</v>
      </c>
      <c r="C58" s="95">
        <f>IF(Settings!$E$15="POINTS",RANK(E58,E3:E152),H58)</f>
        <v>127</v>
      </c>
      <c r="D58" s="65" t="str">
        <f>VLOOKUP(A58,'The List'!B1:F665,5,FALSE)</f>
        <v>COL</v>
      </c>
      <c r="E58" s="54">
        <f>VLOOKUP(A58,'The List'!B1:I665,8,FALSE)</f>
        <v>140.85144761486248</v>
      </c>
      <c r="F58" s="54">
        <f>IF(Settings!$E$15="POINTS",E58-VLOOKUP(B$2,C1:E152,3,FALSE),J58)</f>
        <v>-240.21006468763727</v>
      </c>
      <c r="G58" s="54"/>
      <c r="H58" s="167">
        <f>RANK(I58,I3:I152)</f>
        <v>121</v>
      </c>
      <c r="I58" s="168">
        <f>VLOOKUP(A58,'Standard Deviations'!A1:C666,3,FALSE)</f>
        <v>-2.9778723321068439</v>
      </c>
      <c r="J58" s="168">
        <f>I58-VLOOKUP(B$2,H1:J152,2,FALSE)</f>
        <v>-8.9929412121677856</v>
      </c>
    </row>
    <row r="59" spans="1:10" ht="21.25" customHeight="1" x14ac:dyDescent="0.15">
      <c r="A59" s="9" t="s">
        <v>325</v>
      </c>
      <c r="B59" s="94" t="str">
        <f>VLOOKUP(A59,'The List'!B1:D665,3,FALSE)</f>
        <v>C/LW</v>
      </c>
      <c r="C59" s="95">
        <f>IF(Settings!$E$15="POINTS",RANK(E59,E3:E152),H59)</f>
        <v>51</v>
      </c>
      <c r="D59" s="65" t="str">
        <f>VLOOKUP(A59,'The List'!B1:F665,5,FALSE)</f>
        <v>STL</v>
      </c>
      <c r="E59" s="54">
        <f>VLOOKUP(A59,'The List'!B1:I665,8,FALSE)</f>
        <v>274.06631304918903</v>
      </c>
      <c r="F59" s="54">
        <f>IF(Settings!$E$15="POINTS",E59-VLOOKUP(B$2,C1:E152,3,FALSE),J59)</f>
        <v>-106.99519925331072</v>
      </c>
      <c r="G59" s="54"/>
      <c r="H59" s="167">
        <f>RANK(I59,I3:I152)</f>
        <v>69</v>
      </c>
      <c r="I59" s="168">
        <f>VLOOKUP(A59,'Standard Deviations'!A1:C666,3,FALSE)</f>
        <v>0.46686530647678781</v>
      </c>
      <c r="J59" s="168">
        <f>I59-VLOOKUP(B$2,H1:J152,2,FALSE)</f>
        <v>-5.5482035735841553</v>
      </c>
    </row>
    <row r="60" spans="1:10" ht="21.25" customHeight="1" x14ac:dyDescent="0.15">
      <c r="A60" s="9" t="s">
        <v>327</v>
      </c>
      <c r="B60" s="94" t="str">
        <f>VLOOKUP(A60,'The List'!B1:D665,3,FALSE)</f>
        <v>LW</v>
      </c>
      <c r="C60" s="95">
        <f>IF(Settings!$E$15="POINTS",RANK(E60,E3:E152),H60)</f>
        <v>52</v>
      </c>
      <c r="D60" s="65" t="str">
        <f>VLOOKUP(A60,'The List'!B1:F665,5,FALSE)</f>
        <v>EDM</v>
      </c>
      <c r="E60" s="54">
        <f>VLOOKUP(A60,'The List'!B1:I665,8,FALSE)</f>
        <v>273.45037561658052</v>
      </c>
      <c r="F60" s="54">
        <f>IF(Settings!$E$15="POINTS",E60-VLOOKUP(B$2,C1:E152,3,FALSE),J60)</f>
        <v>-107.61113668591923</v>
      </c>
      <c r="G60" s="54"/>
      <c r="H60" s="167">
        <f>RANK(I60,I3:I152)</f>
        <v>56</v>
      </c>
      <c r="I60" s="168">
        <f>VLOOKUP(A60,'Standard Deviations'!A1:C666,3,FALSE)</f>
        <v>1.172910887468666</v>
      </c>
      <c r="J60" s="168">
        <f>I60-VLOOKUP(B$2,H1:J152,2,FALSE)</f>
        <v>-4.8421579925922771</v>
      </c>
    </row>
    <row r="61" spans="1:10" ht="21.25" customHeight="1" x14ac:dyDescent="0.15">
      <c r="A61" s="9" t="s">
        <v>307</v>
      </c>
      <c r="B61" s="94" t="str">
        <f>VLOOKUP(A61,'The List'!B1:D665,3,FALSE)</f>
        <v>LW/RW</v>
      </c>
      <c r="C61" s="95">
        <f>IF(Settings!$E$15="POINTS",RANK(E61,E3:E152),H61)</f>
        <v>53</v>
      </c>
      <c r="D61" s="65" t="str">
        <f>VLOOKUP(A61,'The List'!B1:F665,5,FALSE)</f>
        <v>CGY</v>
      </c>
      <c r="E61" s="54">
        <f>VLOOKUP(A61,'The List'!B1:I665,8,FALSE)</f>
        <v>271.55675827390883</v>
      </c>
      <c r="F61" s="54">
        <f>IF(Settings!$E$15="POINTS",E61-VLOOKUP(B$2,C1:E152,3,FALSE),J61)</f>
        <v>-109.50475402859092</v>
      </c>
      <c r="G61" s="54"/>
      <c r="H61" s="167">
        <f>RANK(I61,I3:I152)</f>
        <v>49</v>
      </c>
      <c r="I61" s="168">
        <f>VLOOKUP(A61,'Standard Deviations'!A1:C666,3,FALSE)</f>
        <v>2.0186182531529004</v>
      </c>
      <c r="J61" s="168">
        <f>I61-VLOOKUP(B$2,H1:J152,2,FALSE)</f>
        <v>-3.9964506269080422</v>
      </c>
    </row>
    <row r="62" spans="1:10" ht="21.25" customHeight="1" x14ac:dyDescent="0.15">
      <c r="A62" s="9" t="s">
        <v>377</v>
      </c>
      <c r="B62" s="94" t="str">
        <f>VLOOKUP(A62,'The List'!B1:D665,3,FALSE)</f>
        <v>LW</v>
      </c>
      <c r="C62" s="95">
        <f>IF(Settings!$E$15="POINTS",RANK(E62,E3:E152),H62)</f>
        <v>59</v>
      </c>
      <c r="D62" s="65" t="str">
        <f>VLOOKUP(A62,'The List'!B1:F665,5,FALSE)</f>
        <v>COL</v>
      </c>
      <c r="E62" s="54">
        <f>VLOOKUP(A62,'The List'!B1:I665,8,FALSE)</f>
        <v>248.82043562111244</v>
      </c>
      <c r="F62" s="54">
        <f>IF(Settings!$E$15="POINTS",E62-VLOOKUP(B$2,C1:E152,3,FALSE),J62)</f>
        <v>-132.24107668138731</v>
      </c>
      <c r="G62" s="54"/>
      <c r="H62" s="167">
        <f>RANK(I62,I3:I152)</f>
        <v>59</v>
      </c>
      <c r="I62" s="168">
        <f>VLOOKUP(A62,'Standard Deviations'!A1:C666,3,FALSE)</f>
        <v>1.0581369274314361</v>
      </c>
      <c r="J62" s="168">
        <f>I62-VLOOKUP(B$2,H1:J152,2,FALSE)</f>
        <v>-4.9569319526295068</v>
      </c>
    </row>
    <row r="63" spans="1:10" ht="21.25" customHeight="1" x14ac:dyDescent="0.15">
      <c r="A63" s="9" t="s">
        <v>349</v>
      </c>
      <c r="B63" s="94" t="str">
        <f>VLOOKUP(A63,'The List'!B1:D665,3,FALSE)</f>
        <v>LW</v>
      </c>
      <c r="C63" s="95">
        <f>IF(Settings!$E$15="POINTS",RANK(E63,E3:E152),H63)</f>
        <v>56</v>
      </c>
      <c r="D63" s="65" t="str">
        <f>VLOOKUP(A63,'The List'!B1:F665,5,FALSE)</f>
        <v>UTA</v>
      </c>
      <c r="E63" s="54">
        <f>VLOOKUP(A63,'The List'!B1:I665,8,FALSE)</f>
        <v>260.17304856515977</v>
      </c>
      <c r="F63" s="54">
        <f>IF(Settings!$E$15="POINTS",E63-VLOOKUP(B$2,C1:E152,3,FALSE),J63)</f>
        <v>-120.88846373733998</v>
      </c>
      <c r="G63" s="54"/>
      <c r="H63" s="167">
        <f>RANK(I63,I3:I152)</f>
        <v>53</v>
      </c>
      <c r="I63" s="168">
        <f>VLOOKUP(A63,'Standard Deviations'!A1:C666,3,FALSE)</f>
        <v>1.2488194629824925</v>
      </c>
      <c r="J63" s="168">
        <f>I63-VLOOKUP(B$2,H1:J152,2,FALSE)</f>
        <v>-4.7662494170784502</v>
      </c>
    </row>
    <row r="64" spans="1:10" ht="21.25" customHeight="1" x14ac:dyDescent="0.15">
      <c r="A64" s="9" t="s">
        <v>406</v>
      </c>
      <c r="B64" s="94" t="str">
        <f>VLOOKUP(A64,'The List'!B1:D665,3,FALSE)</f>
        <v>C/LW</v>
      </c>
      <c r="C64" s="95">
        <f>IF(Settings!$E$15="POINTS",RANK(E64,E3:E152),H64)</f>
        <v>67</v>
      </c>
      <c r="D64" s="65" t="str">
        <f>VLOOKUP(A64,'The List'!B1:F665,5,FALSE)</f>
        <v>WPG</v>
      </c>
      <c r="E64" s="54">
        <f>VLOOKUP(A64,'The List'!B1:I665,8,FALSE)</f>
        <v>237.23178060390947</v>
      </c>
      <c r="F64" s="54">
        <f>IF(Settings!$E$15="POINTS",E64-VLOOKUP(B$2,C1:E152,3,FALSE),J64)</f>
        <v>-143.82973169859028</v>
      </c>
      <c r="G64" s="54"/>
      <c r="H64" s="167">
        <f>RANK(I64,I3:I152)</f>
        <v>54</v>
      </c>
      <c r="I64" s="168">
        <f>VLOOKUP(A64,'Standard Deviations'!A1:C666,3,FALSE)</f>
        <v>1.246458230020782</v>
      </c>
      <c r="J64" s="168">
        <f>I64-VLOOKUP(B$2,H1:J152,2,FALSE)</f>
        <v>-4.768610650040161</v>
      </c>
    </row>
    <row r="65" spans="1:10" ht="21.25" customHeight="1" x14ac:dyDescent="0.15">
      <c r="A65" s="9" t="s">
        <v>342</v>
      </c>
      <c r="B65" s="94" t="str">
        <f>VLOOKUP(A65,'The List'!B1:D665,3,FALSE)</f>
        <v>LW/RW</v>
      </c>
      <c r="C65" s="95">
        <f>IF(Settings!$E$15="POINTS",RANK(E65,E3:E152),H65)</f>
        <v>58</v>
      </c>
      <c r="D65" s="65" t="str">
        <f>VLOOKUP(A65,'The List'!B1:F665,5,FALSE)</f>
        <v>DET</v>
      </c>
      <c r="E65" s="54">
        <f>VLOOKUP(A65,'The List'!B1:I665,8,FALSE)</f>
        <v>252.2596411316369</v>
      </c>
      <c r="F65" s="54">
        <f>IF(Settings!$E$15="POINTS",E65-VLOOKUP(B$2,C1:E152,3,FALSE),J65)</f>
        <v>-128.80187117086285</v>
      </c>
      <c r="G65" s="54"/>
      <c r="H65" s="167">
        <f>RANK(I65,I3:I152)</f>
        <v>63</v>
      </c>
      <c r="I65" s="168">
        <f>VLOOKUP(A65,'Standard Deviations'!A1:C666,3,FALSE)</f>
        <v>0.82526111785169343</v>
      </c>
      <c r="J65" s="168">
        <f>I65-VLOOKUP(B$2,H1:J152,2,FALSE)</f>
        <v>-5.1898077622092496</v>
      </c>
    </row>
    <row r="66" spans="1:10" ht="21.25" customHeight="1" x14ac:dyDescent="0.15">
      <c r="A66" s="9" t="s">
        <v>370</v>
      </c>
      <c r="B66" s="94" t="str">
        <f>VLOOKUP(A66,'The List'!B1:D665,3,FALSE)</f>
        <v>LW</v>
      </c>
      <c r="C66" s="95">
        <f>IF(Settings!$E$15="POINTS",RANK(E66,E3:E152),H66)</f>
        <v>57</v>
      </c>
      <c r="D66" s="65" t="str">
        <f>VLOOKUP(A66,'The List'!B1:F665,5,FALSE)</f>
        <v>TOR</v>
      </c>
      <c r="E66" s="54">
        <f>VLOOKUP(A66,'The List'!B1:I665,8,FALSE)</f>
        <v>252.30816238571435</v>
      </c>
      <c r="F66" s="54">
        <f>IF(Settings!$E$15="POINTS",E66-VLOOKUP(B$2,C1:E152,3,FALSE),J66)</f>
        <v>-128.7533499167854</v>
      </c>
      <c r="G66" s="54"/>
      <c r="H66" s="167">
        <f>RANK(I66,I3:I152)</f>
        <v>50</v>
      </c>
      <c r="I66" s="168">
        <f>VLOOKUP(A66,'Standard Deviations'!A1:C666,3,FALSE)</f>
        <v>1.9786279862742457</v>
      </c>
      <c r="J66" s="168">
        <f>I66-VLOOKUP(B$2,H1:J152,2,FALSE)</f>
        <v>-4.0364408937866969</v>
      </c>
    </row>
    <row r="67" spans="1:10" ht="21.25" customHeight="1" x14ac:dyDescent="0.15">
      <c r="A67" s="9" t="s">
        <v>390</v>
      </c>
      <c r="B67" s="94" t="str">
        <f>VLOOKUP(A67,'The List'!B1:D665,3,FALSE)</f>
        <v>LW</v>
      </c>
      <c r="C67" s="95">
        <f>IF(Settings!$E$15="POINTS",RANK(E67,E3:E152),H67)</f>
        <v>62</v>
      </c>
      <c r="D67" s="65" t="str">
        <f>VLOOKUP(A67,'The List'!B1:F665,5,FALSE)</f>
        <v>NSH</v>
      </c>
      <c r="E67" s="54">
        <f>VLOOKUP(A67,'The List'!B1:I665,8,FALSE)</f>
        <v>243.22248900790709</v>
      </c>
      <c r="F67" s="54">
        <f>IF(Settings!$E$15="POINTS",E67-VLOOKUP(B$2,C1:E152,3,FALSE),J67)</f>
        <v>-137.83902329459266</v>
      </c>
      <c r="G67" s="54"/>
      <c r="H67" s="167">
        <f>RANK(I67,I3:I152)</f>
        <v>61</v>
      </c>
      <c r="I67" s="168">
        <f>VLOOKUP(A67,'Standard Deviations'!A1:C666,3,FALSE)</f>
        <v>0.89367947337735676</v>
      </c>
      <c r="J67" s="168">
        <f>I67-VLOOKUP(B$2,H1:J152,2,FALSE)</f>
        <v>-5.1213894066835861</v>
      </c>
    </row>
    <row r="68" spans="1:10" ht="21.25" customHeight="1" x14ac:dyDescent="0.15">
      <c r="A68" s="9" t="s">
        <v>397</v>
      </c>
      <c r="B68" s="94" t="str">
        <f>VLOOKUP(A68,'The List'!B1:D665,3,FALSE)</f>
        <v>LW</v>
      </c>
      <c r="C68" s="95">
        <f>IF(Settings!$E$15="POINTS",RANK(E68,E3:E152),H68)</f>
        <v>64</v>
      </c>
      <c r="D68" s="65" t="str">
        <f>VLOOKUP(A68,'The List'!B1:F665,5,FALSE)</f>
        <v>DAL</v>
      </c>
      <c r="E68" s="54">
        <f>VLOOKUP(A68,'The List'!B1:I665,8,FALSE)</f>
        <v>239.28062387755335</v>
      </c>
      <c r="F68" s="54">
        <f>IF(Settings!$E$15="POINTS",E68-VLOOKUP(B$2,C1:E152,3,FALSE),J68)</f>
        <v>-141.7808884249464</v>
      </c>
      <c r="G68" s="54"/>
      <c r="H68" s="167">
        <f>RANK(I68,I3:I152)</f>
        <v>51</v>
      </c>
      <c r="I68" s="168">
        <f>VLOOKUP(A68,'Standard Deviations'!A1:C666,3,FALSE)</f>
        <v>1.4968802146094455</v>
      </c>
      <c r="J68" s="168">
        <f>I68-VLOOKUP(B$2,H1:J152,2,FALSE)</f>
        <v>-4.5181886654514969</v>
      </c>
    </row>
    <row r="69" spans="1:10" ht="21.25" customHeight="1" x14ac:dyDescent="0.15">
      <c r="A69" s="9" t="s">
        <v>506</v>
      </c>
      <c r="B69" s="94" t="str">
        <f>VLOOKUP(A69,'The List'!B1:D665,3,FALSE)</f>
        <v>LW</v>
      </c>
      <c r="C69" s="95">
        <f>IF(Settings!$E$15="POINTS",RANK(E69,E3:E152),H69)</f>
        <v>88</v>
      </c>
      <c r="D69" s="65" t="str">
        <f>VLOOKUP(A69,'The List'!B1:F665,5,FALSE)</f>
        <v>VGK</v>
      </c>
      <c r="E69" s="54">
        <f>VLOOKUP(A69,'The List'!B1:I665,8,FALSE)</f>
        <v>197.36666632035869</v>
      </c>
      <c r="F69" s="54">
        <f>IF(Settings!$E$15="POINTS",E69-VLOOKUP(B$2,C1:E152,3,FALSE),J69)</f>
        <v>-183.69484598214106</v>
      </c>
      <c r="G69" s="54"/>
      <c r="H69" s="167">
        <f>RANK(I69,I3:I152)</f>
        <v>85</v>
      </c>
      <c r="I69" s="168">
        <f>VLOOKUP(A69,'Standard Deviations'!A1:C666,3,FALSE)</f>
        <v>-0.55801671019412191</v>
      </c>
      <c r="J69" s="168">
        <f>I69-VLOOKUP(B$2,H1:J152,2,FALSE)</f>
        <v>-6.5730855902550642</v>
      </c>
    </row>
    <row r="70" spans="1:10" ht="21.25" customHeight="1" x14ac:dyDescent="0.15">
      <c r="A70" s="9" t="s">
        <v>408</v>
      </c>
      <c r="B70" s="94" t="str">
        <f>VLOOKUP(A70,'The List'!B1:D665,3,FALSE)</f>
        <v>C/LW</v>
      </c>
      <c r="C70" s="95">
        <f>IF(Settings!$E$15="POINTS",RANK(E70,E3:E152),H70)</f>
        <v>68</v>
      </c>
      <c r="D70" s="65" t="str">
        <f>VLOOKUP(A70,'The List'!B1:F665,5,FALSE)</f>
        <v>ANA</v>
      </c>
      <c r="E70" s="54">
        <f>VLOOKUP(A70,'The List'!B1:I665,8,FALSE)</f>
        <v>236.89469073998021</v>
      </c>
      <c r="F70" s="54">
        <f>IF(Settings!$E$15="POINTS",E70-VLOOKUP(B$2,C1:E152,3,FALSE),J70)</f>
        <v>-144.16682156251954</v>
      </c>
      <c r="G70" s="54"/>
      <c r="H70" s="167">
        <f>RANK(I70,I3:I152)</f>
        <v>97</v>
      </c>
      <c r="I70" s="168">
        <f>VLOOKUP(A70,'Standard Deviations'!A1:C666,3,FALSE)</f>
        <v>-1.3597461967729232</v>
      </c>
      <c r="J70" s="168">
        <f>I70-VLOOKUP(B$2,H1:J152,2,FALSE)</f>
        <v>-7.3748150768338654</v>
      </c>
    </row>
    <row r="71" spans="1:10" ht="21.25" customHeight="1" x14ac:dyDescent="0.15">
      <c r="A71" s="9" t="s">
        <v>384</v>
      </c>
      <c r="B71" s="94" t="str">
        <f>VLOOKUP(A71,'The List'!B1:D665,3,FALSE)</f>
        <v>LW/RW</v>
      </c>
      <c r="C71" s="95">
        <f>IF(Settings!$E$15="POINTS",RANK(E71,E3:E152),H71)</f>
        <v>71</v>
      </c>
      <c r="D71" s="65" t="str">
        <f>VLOOKUP(A71,'The List'!B1:F665,5,FALSE)</f>
        <v>SEA</v>
      </c>
      <c r="E71" s="54">
        <f>VLOOKUP(A71,'The List'!B1:I665,8,FALSE)</f>
        <v>232.12165932447283</v>
      </c>
      <c r="F71" s="54">
        <f>IF(Settings!$E$15="POINTS",E71-VLOOKUP(B$2,C1:E152,3,FALSE),J71)</f>
        <v>-148.93985297802692</v>
      </c>
      <c r="G71" s="54"/>
      <c r="H71" s="167">
        <f>RANK(I71,I3:I152)</f>
        <v>72</v>
      </c>
      <c r="I71" s="168">
        <f>VLOOKUP(A71,'Standard Deviations'!A1:C666,3,FALSE)</f>
        <v>8.1275613825809889E-2</v>
      </c>
      <c r="J71" s="168">
        <f>I71-VLOOKUP(B$2,H1:J152,2,FALSE)</f>
        <v>-5.9337932662351331</v>
      </c>
    </row>
    <row r="72" spans="1:10" ht="21.25" customHeight="1" x14ac:dyDescent="0.15">
      <c r="A72" s="9" t="s">
        <v>465</v>
      </c>
      <c r="B72" s="94" t="str">
        <f>VLOOKUP(A72,'The List'!B1:D665,3,FALSE)</f>
        <v>LW/RW</v>
      </c>
      <c r="C72" s="95">
        <f>IF(Settings!$E$15="POINTS",RANK(E72,E3:E152),H72)</f>
        <v>85</v>
      </c>
      <c r="D72" s="65" t="str">
        <f>VLOOKUP(A72,'The List'!B1:F665,5,FALSE)</f>
        <v>UTA</v>
      </c>
      <c r="E72" s="54">
        <f>VLOOKUP(A72,'The List'!B1:I665,8,FALSE)</f>
        <v>201.65756224576916</v>
      </c>
      <c r="F72" s="54">
        <f>IF(Settings!$E$15="POINTS",E72-VLOOKUP(B$2,C1:E152,3,FALSE),J72)</f>
        <v>-179.40395005673059</v>
      </c>
      <c r="G72" s="54"/>
      <c r="H72" s="167">
        <f>RANK(I72,I3:I152)</f>
        <v>93</v>
      </c>
      <c r="I72" s="168">
        <f>VLOOKUP(A72,'Standard Deviations'!A1:C666,3,FALSE)</f>
        <v>-0.87654081128663464</v>
      </c>
      <c r="J72" s="168">
        <f>I72-VLOOKUP(B$2,H1:J152,2,FALSE)</f>
        <v>-6.8916096913475773</v>
      </c>
    </row>
    <row r="73" spans="1:10" ht="21.25" customHeight="1" x14ac:dyDescent="0.15">
      <c r="A73" s="9" t="s">
        <v>402</v>
      </c>
      <c r="B73" s="94" t="str">
        <f>VLOOKUP(A73,'The List'!B1:D665,3,FALSE)</f>
        <v>LW</v>
      </c>
      <c r="C73" s="95">
        <f>IF(Settings!$E$15="POINTS",RANK(E73,E3:E152),H73)</f>
        <v>66</v>
      </c>
      <c r="D73" s="65" t="str">
        <f>VLOOKUP(A73,'The List'!B1:F665,5,FALSE)</f>
        <v>WSH</v>
      </c>
      <c r="E73" s="54">
        <f>VLOOKUP(A73,'The List'!B1:I665,8,FALSE)</f>
        <v>238.20121109047977</v>
      </c>
      <c r="F73" s="54">
        <f>IF(Settings!$E$15="POINTS",E73-VLOOKUP(B$2,C1:E152,3,FALSE),J73)</f>
        <v>-142.86030121201998</v>
      </c>
      <c r="G73" s="54"/>
      <c r="H73" s="167">
        <f>RANK(I73,I3:I152)</f>
        <v>74</v>
      </c>
      <c r="I73" s="168">
        <f>VLOOKUP(A73,'Standard Deviations'!A1:C666,3,FALSE)</f>
        <v>-0.14110477836364038</v>
      </c>
      <c r="J73" s="168">
        <f>I73-VLOOKUP(B$2,H1:J152,2,FALSE)</f>
        <v>-6.1561736584245832</v>
      </c>
    </row>
    <row r="74" spans="1:10" ht="21.25" customHeight="1" x14ac:dyDescent="0.15">
      <c r="A74" s="9" t="s">
        <v>379</v>
      </c>
      <c r="B74" s="94" t="str">
        <f>VLOOKUP(A74,'The List'!B1:D665,3,FALSE)</f>
        <v>LW/RW</v>
      </c>
      <c r="C74" s="95">
        <f>IF(Settings!$E$15="POINTS",RANK(E74,E3:E152),H74)</f>
        <v>69</v>
      </c>
      <c r="D74" s="65" t="str">
        <f>VLOOKUP(A74,'The List'!B1:F665,5,FALSE)</f>
        <v>PHI</v>
      </c>
      <c r="E74" s="54">
        <f>VLOOKUP(A74,'The List'!B1:I665,8,FALSE)</f>
        <v>235.8066256533011</v>
      </c>
      <c r="F74" s="54">
        <f>IF(Settings!$E$15="POINTS",E74-VLOOKUP(B$2,C1:E152,3,FALSE),J74)</f>
        <v>-145.25488664919865</v>
      </c>
      <c r="G74" s="54"/>
      <c r="H74" s="167">
        <f>RANK(I74,I3:I152)</f>
        <v>86</v>
      </c>
      <c r="I74" s="168">
        <f>VLOOKUP(A74,'Standard Deviations'!A1:C666,3,FALSE)</f>
        <v>-0.63270231504449681</v>
      </c>
      <c r="J74" s="168">
        <f>I74-VLOOKUP(B$2,H1:J152,2,FALSE)</f>
        <v>-6.6477711951054399</v>
      </c>
    </row>
    <row r="75" spans="1:10" ht="21.25" customHeight="1" x14ac:dyDescent="0.15">
      <c r="A75" s="9" t="s">
        <v>393</v>
      </c>
      <c r="B75" s="94" t="str">
        <f>VLOOKUP(A75,'The List'!B1:D665,3,FALSE)</f>
        <v>C/LW</v>
      </c>
      <c r="C75" s="95">
        <f>IF(Settings!$E$15="POINTS",RANK(E75,E3:E152),H75)</f>
        <v>63</v>
      </c>
      <c r="D75" s="65" t="str">
        <f>VLOOKUP(A75,'The List'!B1:F665,5,FALSE)</f>
        <v>CGY</v>
      </c>
      <c r="E75" s="54">
        <f>VLOOKUP(A75,'The List'!B1:I665,8,FALSE)</f>
        <v>240.90974346856629</v>
      </c>
      <c r="F75" s="54">
        <f>IF(Settings!$E$15="POINTS",E75-VLOOKUP(B$2,C1:E152,3,FALSE),J75)</f>
        <v>-140.15176883393346</v>
      </c>
      <c r="G75" s="54"/>
      <c r="H75" s="167">
        <f>RANK(I75,I3:I152)</f>
        <v>80</v>
      </c>
      <c r="I75" s="168">
        <f>VLOOKUP(A75,'Standard Deviations'!A1:C666,3,FALSE)</f>
        <v>-0.31226850788420274</v>
      </c>
      <c r="J75" s="168">
        <f>I75-VLOOKUP(B$2,H1:J152,2,FALSE)</f>
        <v>-6.3273373879451453</v>
      </c>
    </row>
    <row r="76" spans="1:10" ht="21.25" customHeight="1" x14ac:dyDescent="0.15">
      <c r="A76" s="9" t="s">
        <v>407</v>
      </c>
      <c r="B76" s="94" t="str">
        <f>VLOOKUP(A76,'The List'!B1:D665,3,FALSE)</f>
        <v>LW/RW</v>
      </c>
      <c r="C76" s="95">
        <f>IF(Settings!$E$15="POINTS",RANK(E76,E3:E152),H76)</f>
        <v>73</v>
      </c>
      <c r="D76" s="65" t="str">
        <f>VLOOKUP(A76,'The List'!B1:F665,5,FALSE)</f>
        <v>S.J</v>
      </c>
      <c r="E76" s="54">
        <f>VLOOKUP(A76,'The List'!B1:I665,8,FALSE)</f>
        <v>224.99640243912202</v>
      </c>
      <c r="F76" s="54">
        <f>IF(Settings!$E$15="POINTS",E76-VLOOKUP(B$2,C1:E152,3,FALSE),J76)</f>
        <v>-156.06510986337773</v>
      </c>
      <c r="G76" s="54"/>
      <c r="H76" s="167">
        <f>RANK(I76,I3:I152)</f>
        <v>107</v>
      </c>
      <c r="I76" s="168">
        <f>VLOOKUP(A76,'Standard Deviations'!A1:C666,3,FALSE)</f>
        <v>-2.0777636278457345</v>
      </c>
      <c r="J76" s="168">
        <f>I76-VLOOKUP(B$2,H1:J152,2,FALSE)</f>
        <v>-8.0928325079066781</v>
      </c>
    </row>
    <row r="77" spans="1:10" ht="21.25" customHeight="1" x14ac:dyDescent="0.15">
      <c r="A77" s="9" t="s">
        <v>524</v>
      </c>
      <c r="B77" s="94" t="str">
        <f>VLOOKUP(A77,'The List'!B1:D665,3,FALSE)</f>
        <v>LW</v>
      </c>
      <c r="C77" s="95">
        <f>IF(Settings!$E$15="POINTS",RANK(E77,E3:E152),H77)</f>
        <v>92</v>
      </c>
      <c r="D77" s="65" t="str">
        <f>VLOOKUP(A77,'The List'!B1:F665,5,FALSE)</f>
        <v>STL</v>
      </c>
      <c r="E77" s="54">
        <f>VLOOKUP(A77,'The List'!B1:I665,8,FALSE)</f>
        <v>193.66166146391362</v>
      </c>
      <c r="F77" s="54">
        <f>IF(Settings!$E$15="POINTS",E77-VLOOKUP(B$2,C1:E152,3,FALSE),J77)</f>
        <v>-187.39985083858613</v>
      </c>
      <c r="G77" s="54"/>
      <c r="H77" s="167">
        <f>RANK(I77,I3:I152)</f>
        <v>68</v>
      </c>
      <c r="I77" s="168">
        <f>VLOOKUP(A77,'Standard Deviations'!A1:C666,3,FALSE)</f>
        <v>0.49166961904138229</v>
      </c>
      <c r="J77" s="168">
        <f>I77-VLOOKUP(B$2,H1:J152,2,FALSE)</f>
        <v>-5.5233992610195601</v>
      </c>
    </row>
    <row r="78" spans="1:10" ht="21.25" customHeight="1" x14ac:dyDescent="0.15">
      <c r="A78" s="9" t="s">
        <v>419</v>
      </c>
      <c r="B78" s="94" t="str">
        <f>VLOOKUP(A78,'The List'!B1:D665,3,FALSE)</f>
        <v>C/LW</v>
      </c>
      <c r="C78" s="95">
        <f>IF(Settings!$E$15="POINTS",RANK(E78,E3:E152),H78)</f>
        <v>70</v>
      </c>
      <c r="D78" s="65" t="str">
        <f>VLOOKUP(A78,'The List'!B1:F665,5,FALSE)</f>
        <v>VGK</v>
      </c>
      <c r="E78" s="54">
        <f>VLOOKUP(A78,'The List'!B1:I665,8,FALSE)</f>
        <v>233.55694286905486</v>
      </c>
      <c r="F78" s="54">
        <f>IF(Settings!$E$15="POINTS",E78-VLOOKUP(B$2,C1:E152,3,FALSE),J78)</f>
        <v>-147.50456943344489</v>
      </c>
      <c r="G78" s="54"/>
      <c r="H78" s="167">
        <f>RANK(I78,I3:I152)</f>
        <v>67</v>
      </c>
      <c r="I78" s="168">
        <f>VLOOKUP(A78,'Standard Deviations'!A1:C666,3,FALSE)</f>
        <v>0.49419179327905288</v>
      </c>
      <c r="J78" s="168">
        <f>I78-VLOOKUP(B$2,H1:J152,2,FALSE)</f>
        <v>-5.5208770867818897</v>
      </c>
    </row>
    <row r="79" spans="1:10" ht="21.25" customHeight="1" x14ac:dyDescent="0.15">
      <c r="A79" s="9" t="s">
        <v>400</v>
      </c>
      <c r="B79" s="94" t="str">
        <f>VLOOKUP(A79,'The List'!B1:D665,3,FALSE)</f>
        <v>C/LW/RW</v>
      </c>
      <c r="C79" s="95">
        <f>IF(Settings!$E$15="POINTS",RANK(E79,E3:E152),H79)</f>
        <v>72</v>
      </c>
      <c r="D79" s="65" t="str">
        <f>VLOOKUP(A79,'The List'!B1:F665,5,FALSE)</f>
        <v>DET</v>
      </c>
      <c r="E79" s="54">
        <f>VLOOKUP(A79,'The List'!B1:I665,8,FALSE)</f>
        <v>226.4098307318113</v>
      </c>
      <c r="F79" s="54">
        <f>IF(Settings!$E$15="POINTS",E79-VLOOKUP(B$2,C1:E152,3,FALSE),J79)</f>
        <v>-154.65168157068845</v>
      </c>
      <c r="G79" s="54"/>
      <c r="H79" s="167">
        <f>RANK(I79,I3:I152)</f>
        <v>89</v>
      </c>
      <c r="I79" s="168">
        <f>VLOOKUP(A79,'Standard Deviations'!A1:C666,3,FALSE)</f>
        <v>-0.71264077041161278</v>
      </c>
      <c r="J79" s="168">
        <f>I79-VLOOKUP(B$2,H1:J152,2,FALSE)</f>
        <v>-6.7277096504725558</v>
      </c>
    </row>
    <row r="80" spans="1:10" ht="21.25" customHeight="1" x14ac:dyDescent="0.15">
      <c r="A80" s="9" t="s">
        <v>411</v>
      </c>
      <c r="B80" s="94" t="str">
        <f>VLOOKUP(A80,'The List'!B1:D665,3,FALSE)</f>
        <v>LW/RW</v>
      </c>
      <c r="C80" s="95">
        <f>IF(Settings!$E$15="POINTS",RANK(E80,E3:E152),H80)</f>
        <v>75</v>
      </c>
      <c r="D80" s="65" t="str">
        <f>VLOOKUP(A80,'The List'!B1:F665,5,FALSE)</f>
        <v>UTA</v>
      </c>
      <c r="E80" s="54">
        <f>VLOOKUP(A80,'The List'!B1:I665,8,FALSE)</f>
        <v>223.27547664728525</v>
      </c>
      <c r="F80" s="54">
        <f>IF(Settings!$E$15="POINTS",E80-VLOOKUP(B$2,C1:E152,3,FALSE),J80)</f>
        <v>-157.7860356552145</v>
      </c>
      <c r="G80" s="54"/>
      <c r="H80" s="167">
        <f>RANK(I80,I3:I152)</f>
        <v>75</v>
      </c>
      <c r="I80" s="168">
        <f>VLOOKUP(A80,'Standard Deviations'!A1:C666,3,FALSE)</f>
        <v>-0.16880573810616845</v>
      </c>
      <c r="J80" s="168">
        <f>I80-VLOOKUP(B$2,H1:J152,2,FALSE)</f>
        <v>-6.1838746181671107</v>
      </c>
    </row>
    <row r="81" spans="1:10" ht="21.25" customHeight="1" x14ac:dyDescent="0.15">
      <c r="A81" s="9" t="s">
        <v>493</v>
      </c>
      <c r="B81" s="94" t="str">
        <f>VLOOKUP(A81,'The List'!B1:D665,3,FALSE)</f>
        <v>LW</v>
      </c>
      <c r="C81" s="95">
        <f>IF(Settings!$E$15="POINTS",RANK(E81,E3:E152),H81)</f>
        <v>84</v>
      </c>
      <c r="D81" s="65" t="str">
        <f>VLOOKUP(A81,'The List'!B1:F665,5,FALSE)</f>
        <v>ANA</v>
      </c>
      <c r="E81" s="54">
        <f>VLOOKUP(A81,'The List'!B1:I665,8,FALSE)</f>
        <v>201.97628212547417</v>
      </c>
      <c r="F81" s="54">
        <f>IF(Settings!$E$15="POINTS",E81-VLOOKUP(B$2,C1:E152,3,FALSE),J81)</f>
        <v>-179.08523017702558</v>
      </c>
      <c r="G81" s="54"/>
      <c r="H81" s="167">
        <f>RANK(I81,I3:I152)</f>
        <v>109</v>
      </c>
      <c r="I81" s="168">
        <f>VLOOKUP(A81,'Standard Deviations'!A1:C666,3,FALSE)</f>
        <v>-2.2274177721579664</v>
      </c>
      <c r="J81" s="168">
        <f>I81-VLOOKUP(B$2,H1:J152,2,FALSE)</f>
        <v>-8.2424866522189095</v>
      </c>
    </row>
    <row r="82" spans="1:10" ht="21.25" customHeight="1" x14ac:dyDescent="0.15">
      <c r="A82" s="9" t="s">
        <v>442</v>
      </c>
      <c r="B82" s="94" t="str">
        <f>VLOOKUP(A82,'The List'!B1:D665,3,FALSE)</f>
        <v>C/LW</v>
      </c>
      <c r="C82" s="95">
        <f>IF(Settings!$E$15="POINTS",RANK(E82,E3:E152),H82)</f>
        <v>74</v>
      </c>
      <c r="D82" s="65" t="str">
        <f>VLOOKUP(A82,'The List'!B1:F665,5,FALSE)</f>
        <v>FLA</v>
      </c>
      <c r="E82" s="54">
        <f>VLOOKUP(A82,'The List'!B1:I665,8,FALSE)</f>
        <v>223.58496623127732</v>
      </c>
      <c r="F82" s="54">
        <f>IF(Settings!$E$15="POINTS",E82-VLOOKUP(B$2,C1:E152,3,FALSE),J82)</f>
        <v>-157.47654607122243</v>
      </c>
      <c r="G82" s="54"/>
      <c r="H82" s="167">
        <f>RANK(I82,I3:I152)</f>
        <v>52</v>
      </c>
      <c r="I82" s="168">
        <f>VLOOKUP(A82,'Standard Deviations'!A1:C666,3,FALSE)</f>
        <v>1.2803729544481706</v>
      </c>
      <c r="J82" s="168">
        <f>I82-VLOOKUP(B$2,H1:J152,2,FALSE)</f>
        <v>-4.7346959256127725</v>
      </c>
    </row>
    <row r="83" spans="1:10" ht="21.25" customHeight="1" x14ac:dyDescent="0.15">
      <c r="A83" s="9" t="s">
        <v>417</v>
      </c>
      <c r="B83" s="94" t="str">
        <f>VLOOKUP(A83,'The List'!B1:D665,3,FALSE)</f>
        <v>LW/RW</v>
      </c>
      <c r="C83" s="95">
        <f>IF(Settings!$E$15="POINTS",RANK(E83,E3:E152),H83)</f>
        <v>76</v>
      </c>
      <c r="D83" s="65" t="str">
        <f>VLOOKUP(A83,'The List'!B1:F665,5,FALSE)</f>
        <v>OTT</v>
      </c>
      <c r="E83" s="54">
        <f>VLOOKUP(A83,'The List'!B1:I665,8,FALSE)</f>
        <v>221.63327644624283</v>
      </c>
      <c r="F83" s="54">
        <f>IF(Settings!$E$15="POINTS",E83-VLOOKUP(B$2,C1:E152,3,FALSE),J83)</f>
        <v>-159.42823585625692</v>
      </c>
      <c r="G83" s="54"/>
      <c r="H83" s="167">
        <f>RANK(I83,I3:I152)</f>
        <v>76</v>
      </c>
      <c r="I83" s="168">
        <f>VLOOKUP(A83,'Standard Deviations'!A1:C666,3,FALSE)</f>
        <v>-0.17595335221692576</v>
      </c>
      <c r="J83" s="168">
        <f>I83-VLOOKUP(B$2,H1:J152,2,FALSE)</f>
        <v>-6.1910222322778683</v>
      </c>
    </row>
    <row r="84" spans="1:10" ht="21.25" customHeight="1" x14ac:dyDescent="0.15">
      <c r="A84" s="9" t="s">
        <v>464</v>
      </c>
      <c r="B84" s="94" t="str">
        <f>VLOOKUP(A84,'The List'!B1:D665,3,FALSE)</f>
        <v>C/LW</v>
      </c>
      <c r="C84" s="95">
        <f>IF(Settings!$E$15="POINTS",RANK(E84,E3:E152),H84)</f>
        <v>80</v>
      </c>
      <c r="D84" s="65" t="str">
        <f>VLOOKUP(A84,'The List'!B1:F665,5,FALSE)</f>
        <v>EDM</v>
      </c>
      <c r="E84" s="54">
        <f>VLOOKUP(A84,'The List'!B1:I665,8,FALSE)</f>
        <v>214.07090462123315</v>
      </c>
      <c r="F84" s="54">
        <f>IF(Settings!$E$15="POINTS",E84-VLOOKUP(B$2,C1:E152,3,FALSE),J84)</f>
        <v>-166.9906076812666</v>
      </c>
      <c r="G84" s="54"/>
      <c r="H84" s="167">
        <f>RANK(I84,I3:I152)</f>
        <v>79</v>
      </c>
      <c r="I84" s="168">
        <f>VLOOKUP(A84,'Standard Deviations'!A1:C666,3,FALSE)</f>
        <v>-0.27417154640498886</v>
      </c>
      <c r="J84" s="168">
        <f>I84-VLOOKUP(B$2,H1:J152,2,FALSE)</f>
        <v>-6.2892404264659314</v>
      </c>
    </row>
    <row r="85" spans="1:10" ht="21.25" customHeight="1" x14ac:dyDescent="0.15">
      <c r="A85" s="9" t="s">
        <v>528</v>
      </c>
      <c r="B85" s="94" t="str">
        <f>VLOOKUP(A85,'The List'!B1:D665,3,FALSE)</f>
        <v>LW</v>
      </c>
      <c r="C85" s="95">
        <f>IF(Settings!$E$15="POINTS",RANK(E85,E3:E152),H85)</f>
        <v>93</v>
      </c>
      <c r="D85" s="65" t="str">
        <f>VLOOKUP(A85,'The List'!B1:F665,5,FALSE)</f>
        <v>TOR</v>
      </c>
      <c r="E85" s="54">
        <f>VLOOKUP(A85,'The List'!B1:I665,8,FALSE)</f>
        <v>192.82447402367754</v>
      </c>
      <c r="F85" s="54">
        <f>IF(Settings!$E$15="POINTS",E85-VLOOKUP(B$2,C1:E152,3,FALSE),J85)</f>
        <v>-188.23703827882221</v>
      </c>
      <c r="G85" s="54"/>
      <c r="H85" s="167">
        <f>RANK(I85,I3:I152)</f>
        <v>78</v>
      </c>
      <c r="I85" s="168">
        <f>VLOOKUP(A85,'Standard Deviations'!A1:C666,3,FALSE)</f>
        <v>-0.26414939652630332</v>
      </c>
      <c r="J85" s="168">
        <f>I85-VLOOKUP(B$2,H1:J152,2,FALSE)</f>
        <v>-6.2792182765872457</v>
      </c>
    </row>
    <row r="86" spans="1:10" ht="21.25" customHeight="1" x14ac:dyDescent="0.15">
      <c r="A86" s="9" t="s">
        <v>523</v>
      </c>
      <c r="B86" s="94" t="str">
        <f>VLOOKUP(A86,'The List'!B1:D665,3,FALSE)</f>
        <v>LW</v>
      </c>
      <c r="C86" s="95">
        <f>IF(Settings!$E$15="POINTS",RANK(E86,E3:E152),H86)</f>
        <v>91</v>
      </c>
      <c r="D86" s="65" t="str">
        <f>VLOOKUP(A86,'The List'!B1:F665,5,FALSE)</f>
        <v>PIT</v>
      </c>
      <c r="E86" s="54">
        <f>VLOOKUP(A86,'The List'!B1:I665,8,FALSE)</f>
        <v>193.98930116988254</v>
      </c>
      <c r="F86" s="54">
        <f>IF(Settings!$E$15="POINTS",E86-VLOOKUP(B$2,C1:E152,3,FALSE),J86)</f>
        <v>-187.07221113261721</v>
      </c>
      <c r="G86" s="54"/>
      <c r="H86" s="167">
        <f>RANK(I86,I3:I152)</f>
        <v>98</v>
      </c>
      <c r="I86" s="168">
        <f>VLOOKUP(A86,'Standard Deviations'!A1:C666,3,FALSE)</f>
        <v>-1.4795595547710969</v>
      </c>
      <c r="J86" s="168">
        <f>I86-VLOOKUP(B$2,H1:J152,2,FALSE)</f>
        <v>-7.4946284348320393</v>
      </c>
    </row>
    <row r="87" spans="1:10" ht="21.25" customHeight="1" x14ac:dyDescent="0.15">
      <c r="A87" s="9" t="s">
        <v>468</v>
      </c>
      <c r="B87" s="94" t="str">
        <f>VLOOKUP(A87,'The List'!B1:D665,3,FALSE)</f>
        <v>LW</v>
      </c>
      <c r="C87" s="95">
        <f>IF(Settings!$E$15="POINTS",RANK(E87,E3:E152),H87)</f>
        <v>82</v>
      </c>
      <c r="D87" s="65" t="str">
        <f>VLOOKUP(A87,'The List'!B1:F665,5,FALSE)</f>
        <v>BUF</v>
      </c>
      <c r="E87" s="54">
        <f>VLOOKUP(A87,'The List'!B1:I665,8,FALSE)</f>
        <v>211.79045893320122</v>
      </c>
      <c r="F87" s="54">
        <f>IF(Settings!$E$15="POINTS",E87-VLOOKUP(B$2,C1:E152,3,FALSE),J87)</f>
        <v>-169.27105336929853</v>
      </c>
      <c r="G87" s="54"/>
      <c r="H87" s="167">
        <f>RANK(I87,I3:I152)</f>
        <v>94</v>
      </c>
      <c r="I87" s="168">
        <f>VLOOKUP(A87,'Standard Deviations'!A1:C666,3,FALSE)</f>
        <v>-0.92607705378104277</v>
      </c>
      <c r="J87" s="168">
        <f>I87-VLOOKUP(B$2,H1:J152,2,FALSE)</f>
        <v>-6.9411459338419856</v>
      </c>
    </row>
    <row r="88" spans="1:10" ht="21.25" customHeight="1" x14ac:dyDescent="0.15">
      <c r="A88" s="9" t="s">
        <v>517</v>
      </c>
      <c r="B88" s="94" t="str">
        <f>VLOOKUP(A88,'The List'!B1:D665,3,FALSE)</f>
        <v>LW</v>
      </c>
      <c r="C88" s="95">
        <f>IF(Settings!$E$15="POINTS",RANK(E88,E3:E152),H88)</f>
        <v>89</v>
      </c>
      <c r="D88" s="65" t="str">
        <f>VLOOKUP(A88,'The List'!B1:F665,5,FALSE)</f>
        <v>VAN</v>
      </c>
      <c r="E88" s="54">
        <f>VLOOKUP(A88,'The List'!B1:I665,8,FALSE)</f>
        <v>194.60909310774798</v>
      </c>
      <c r="F88" s="54">
        <f>IF(Settings!$E$15="POINTS",E88-VLOOKUP(B$2,C1:E152,3,FALSE),J88)</f>
        <v>-186.45241919475177</v>
      </c>
      <c r="G88" s="54"/>
      <c r="H88" s="167">
        <f>RANK(I88,I3:I152)</f>
        <v>73</v>
      </c>
      <c r="I88" s="168">
        <f>VLOOKUP(A88,'Standard Deviations'!A1:C666,3,FALSE)</f>
        <v>4.5156283971242051E-2</v>
      </c>
      <c r="J88" s="168">
        <f>I88-VLOOKUP(B$2,H1:J152,2,FALSE)</f>
        <v>-5.969912596089701</v>
      </c>
    </row>
    <row r="89" spans="1:10" ht="21.25" customHeight="1" x14ac:dyDescent="0.15">
      <c r="A89" s="9" t="s">
        <v>429</v>
      </c>
      <c r="B89" s="94" t="str">
        <f>VLOOKUP(A89,'The List'!B1:D665,3,FALSE)</f>
        <v>LW/RW</v>
      </c>
      <c r="C89" s="95">
        <f>IF(Settings!$E$15="POINTS",RANK(E89,E3:E152),H89)</f>
        <v>77</v>
      </c>
      <c r="D89" s="65" t="str">
        <f>VLOOKUP(A89,'The List'!B1:F665,5,FALSE)</f>
        <v>WPG</v>
      </c>
      <c r="E89" s="54">
        <f>VLOOKUP(A89,'The List'!B1:I665,8,FALSE)</f>
        <v>216.40650237008342</v>
      </c>
      <c r="F89" s="54">
        <f>IF(Settings!$E$15="POINTS",E89-VLOOKUP(B$2,C1:E152,3,FALSE),J89)</f>
        <v>-164.65500993241633</v>
      </c>
      <c r="G89" s="54"/>
      <c r="H89" s="167">
        <f>RANK(I89,I3:I152)</f>
        <v>64</v>
      </c>
      <c r="I89" s="168">
        <f>VLOOKUP(A89,'Standard Deviations'!A1:C666,3,FALSE)</f>
        <v>0.69214226095493614</v>
      </c>
      <c r="J89" s="168">
        <f>I89-VLOOKUP(B$2,H1:J152,2,FALSE)</f>
        <v>-5.3229266191060063</v>
      </c>
    </row>
    <row r="90" spans="1:10" ht="21.25" customHeight="1" x14ac:dyDescent="0.15">
      <c r="A90" s="9" t="s">
        <v>466</v>
      </c>
      <c r="B90" s="94" t="str">
        <f>VLOOKUP(A90,'The List'!B1:D665,3,FALSE)</f>
        <v>LW</v>
      </c>
      <c r="C90" s="95">
        <f>IF(Settings!$E$15="POINTS",RANK(E90,E3:E152),H90)</f>
        <v>81</v>
      </c>
      <c r="D90" s="65" t="str">
        <f>VLOOKUP(A90,'The List'!B1:F665,5,FALSE)</f>
        <v>CBJ</v>
      </c>
      <c r="E90" s="54">
        <f>VLOOKUP(A90,'The List'!B1:I665,8,FALSE)</f>
        <v>213.7926580212345</v>
      </c>
      <c r="F90" s="54">
        <f>IF(Settings!$E$15="POINTS",E90-VLOOKUP(B$2,C1:E152,3,FALSE),J90)</f>
        <v>-167.26885428126525</v>
      </c>
      <c r="G90" s="54"/>
      <c r="H90" s="167">
        <f>RANK(I90,I3:I152)</f>
        <v>101</v>
      </c>
      <c r="I90" s="168">
        <f>VLOOKUP(A90,'Standard Deviations'!A1:C666,3,FALSE)</f>
        <v>-1.7579425439187899</v>
      </c>
      <c r="J90" s="168">
        <f>I90-VLOOKUP(B$2,H1:J152,2,FALSE)</f>
        <v>-7.7730114239797325</v>
      </c>
    </row>
    <row r="91" spans="1:10" ht="21.25" customHeight="1" x14ac:dyDescent="0.15">
      <c r="A91" s="9" t="s">
        <v>547</v>
      </c>
      <c r="B91" s="94" t="str">
        <f>VLOOKUP(A91,'The List'!B1:D665,3,FALSE)</f>
        <v>LW</v>
      </c>
      <c r="C91" s="95">
        <f>IF(Settings!$E$15="POINTS",RANK(E91,E3:E152),H91)</f>
        <v>99</v>
      </c>
      <c r="D91" s="65" t="str">
        <f>VLOOKUP(A91,'The List'!B1:F665,5,FALSE)</f>
        <v>TOR</v>
      </c>
      <c r="E91" s="54">
        <f>VLOOKUP(A91,'The List'!B1:I665,8,FALSE)</f>
        <v>188.02039178485254</v>
      </c>
      <c r="F91" s="54">
        <f>IF(Settings!$E$15="POINTS",E91-VLOOKUP(B$2,C1:E152,3,FALSE),J91)</f>
        <v>-193.04112051764722</v>
      </c>
      <c r="G91" s="54"/>
      <c r="H91" s="167">
        <f>RANK(I91,I3:I152)</f>
        <v>81</v>
      </c>
      <c r="I91" s="168">
        <f>VLOOKUP(A91,'Standard Deviations'!A1:C666,3,FALSE)</f>
        <v>-0.35070188685568238</v>
      </c>
      <c r="J91" s="168">
        <f>I91-VLOOKUP(B$2,H1:J152,2,FALSE)</f>
        <v>-6.3657707669166248</v>
      </c>
    </row>
    <row r="92" spans="1:10" ht="21.25" customHeight="1" x14ac:dyDescent="0.15">
      <c r="A92" s="9" t="s">
        <v>457</v>
      </c>
      <c r="B92" s="94" t="str">
        <f>VLOOKUP(A92,'The List'!B1:D665,3,FALSE)</f>
        <v>LW</v>
      </c>
      <c r="C92" s="95">
        <f>IF(Settings!$E$15="POINTS",RANK(E92,E3:E152),H92)</f>
        <v>78</v>
      </c>
      <c r="D92" s="65" t="str">
        <f>VLOOKUP(A92,'The List'!B1:F665,5,FALSE)</f>
        <v>STL</v>
      </c>
      <c r="E92" s="54">
        <f>VLOOKUP(A92,'The List'!B1:I665,8,FALSE)</f>
        <v>215.44765408915742</v>
      </c>
      <c r="F92" s="54">
        <f>IF(Settings!$E$15="POINTS",E92-VLOOKUP(B$2,C1:E152,3,FALSE),J92)</f>
        <v>-165.61385821334233</v>
      </c>
      <c r="G92" s="54"/>
      <c r="H92" s="167">
        <f>RANK(I92,I3:I152)</f>
        <v>100</v>
      </c>
      <c r="I92" s="168">
        <f>VLOOKUP(A92,'Standard Deviations'!A1:C666,3,FALSE)</f>
        <v>-1.65041997386226</v>
      </c>
      <c r="J92" s="168">
        <f>I92-VLOOKUP(B$2,H1:J152,2,FALSE)</f>
        <v>-7.6654888539232022</v>
      </c>
    </row>
    <row r="93" spans="1:10" ht="21.25" customHeight="1" x14ac:dyDescent="0.15">
      <c r="A93" s="9" t="s">
        <v>535</v>
      </c>
      <c r="B93" s="94" t="str">
        <f>VLOOKUP(A93,'The List'!B1:D665,3,FALSE)</f>
        <v>LW</v>
      </c>
      <c r="C93" s="95">
        <f>IF(Settings!$E$15="POINTS",RANK(E93,E3:E152),H93)</f>
        <v>95</v>
      </c>
      <c r="D93" s="65" t="str">
        <f>VLOOKUP(A93,'The List'!B1:F665,5,FALSE)</f>
        <v>SEA</v>
      </c>
      <c r="E93" s="54">
        <f>VLOOKUP(A93,'The List'!B1:I665,8,FALSE)</f>
        <v>190.65960469722503</v>
      </c>
      <c r="F93" s="54">
        <f>IF(Settings!$E$15="POINTS",E93-VLOOKUP(B$2,C1:E152,3,FALSE),J93)</f>
        <v>-190.40190760527472</v>
      </c>
      <c r="G93" s="54"/>
      <c r="H93" s="167">
        <f>RANK(I93,I3:I152)</f>
        <v>99</v>
      </c>
      <c r="I93" s="168">
        <f>VLOOKUP(A93,'Standard Deviations'!A1:C666,3,FALSE)</f>
        <v>-1.6087801264295734</v>
      </c>
      <c r="J93" s="168">
        <f>I93-VLOOKUP(B$2,H1:J152,2,FALSE)</f>
        <v>-7.6238490064905164</v>
      </c>
    </row>
    <row r="94" spans="1:10" ht="21.25" customHeight="1" x14ac:dyDescent="0.15">
      <c r="A94" s="9" t="s">
        <v>538</v>
      </c>
      <c r="B94" s="94" t="str">
        <f>VLOOKUP(A94,'The List'!B1:D665,3,FALSE)</f>
        <v>LW</v>
      </c>
      <c r="C94" s="95">
        <f>IF(Settings!$E$15="POINTS",RANK(E94,E3:E152),H94)</f>
        <v>97</v>
      </c>
      <c r="D94" s="65" t="str">
        <f>VLOOKUP(A94,'The List'!B1:F665,5,FALSE)</f>
        <v>EDM</v>
      </c>
      <c r="E94" s="54">
        <f>VLOOKUP(A94,'The List'!B1:I665,8,FALSE)</f>
        <v>190.40007577684599</v>
      </c>
      <c r="F94" s="54">
        <f>IF(Settings!$E$15="POINTS",E94-VLOOKUP(B$2,C1:E152,3,FALSE),J94)</f>
        <v>-190.66143652565376</v>
      </c>
      <c r="G94" s="54"/>
      <c r="H94" s="167">
        <f>RANK(I94,I3:I152)</f>
        <v>83</v>
      </c>
      <c r="I94" s="168">
        <f>VLOOKUP(A94,'Standard Deviations'!A1:C666,3,FALSE)</f>
        <v>-0.45058699879999553</v>
      </c>
      <c r="J94" s="168">
        <f>I94-VLOOKUP(B$2,H1:J152,2,FALSE)</f>
        <v>-6.4656558788609377</v>
      </c>
    </row>
    <row r="95" spans="1:10" ht="21.25" customHeight="1" x14ac:dyDescent="0.15">
      <c r="A95" s="9" t="s">
        <v>463</v>
      </c>
      <c r="B95" s="94" t="str">
        <f>VLOOKUP(A95,'The List'!B1:D665,3,FALSE)</f>
        <v>LW</v>
      </c>
      <c r="C95" s="95">
        <f>IF(Settings!$E$15="POINTS",RANK(E95,E3:E152),H95)</f>
        <v>79</v>
      </c>
      <c r="D95" s="65" t="str">
        <f>VLOOKUP(A95,'The List'!B1:F665,5,FALSE)</f>
        <v>NYI</v>
      </c>
      <c r="E95" s="54">
        <f>VLOOKUP(A95,'The List'!B1:I665,8,FALSE)</f>
        <v>214.09980224262682</v>
      </c>
      <c r="F95" s="54">
        <f>IF(Settings!$E$15="POINTS",E95-VLOOKUP(B$2,C1:E152,3,FALSE),J95)</f>
        <v>-166.96171005987293</v>
      </c>
      <c r="G95" s="54"/>
      <c r="H95" s="167">
        <f>RANK(I95,I3:I152)</f>
        <v>65</v>
      </c>
      <c r="I95" s="168">
        <f>VLOOKUP(A95,'Standard Deviations'!A1:C666,3,FALSE)</f>
        <v>0.64295493100869727</v>
      </c>
      <c r="J95" s="168">
        <f>I95-VLOOKUP(B$2,H1:J152,2,FALSE)</f>
        <v>-5.3721139490522454</v>
      </c>
    </row>
    <row r="96" spans="1:10" ht="21.25" customHeight="1" x14ac:dyDescent="0.15">
      <c r="A96" s="9" t="s">
        <v>522</v>
      </c>
      <c r="B96" s="94" t="str">
        <f>VLOOKUP(A96,'The List'!B1:D665,3,FALSE)</f>
        <v>LW</v>
      </c>
      <c r="C96" s="95">
        <f>IF(Settings!$E$15="POINTS",RANK(E96,E3:E152),H96)</f>
        <v>90</v>
      </c>
      <c r="D96" s="65" t="str">
        <f>VLOOKUP(A96,'The List'!B1:F665,5,FALSE)</f>
        <v>N.J</v>
      </c>
      <c r="E96" s="54">
        <f>VLOOKUP(A96,'The List'!B1:I665,8,FALSE)</f>
        <v>194.08644905399692</v>
      </c>
      <c r="F96" s="54">
        <f>IF(Settings!$E$15="POINTS",E96-VLOOKUP(B$2,C1:E152,3,FALSE),J96)</f>
        <v>-186.97506324850283</v>
      </c>
      <c r="G96" s="54"/>
      <c r="H96" s="167">
        <f>RANK(I96,I3:I152)</f>
        <v>77</v>
      </c>
      <c r="I96" s="168">
        <f>VLOOKUP(A96,'Standard Deviations'!A1:C666,3,FALSE)</f>
        <v>-0.24118123217400578</v>
      </c>
      <c r="J96" s="168">
        <f>I96-VLOOKUP(B$2,H1:J152,2,FALSE)</f>
        <v>-6.2562501122349481</v>
      </c>
    </row>
    <row r="97" spans="1:10" ht="21.25" customHeight="1" x14ac:dyDescent="0.15">
      <c r="A97" s="9" t="s">
        <v>532</v>
      </c>
      <c r="B97" s="94" t="str">
        <f>VLOOKUP(A97,'The List'!B1:D665,3,FALSE)</f>
        <v>LW</v>
      </c>
      <c r="C97" s="95">
        <f>IF(Settings!$E$15="POINTS",RANK(E97,E3:E152),H97)</f>
        <v>94</v>
      </c>
      <c r="D97" s="65" t="str">
        <f>VLOOKUP(A97,'The List'!B1:F665,5,FALSE)</f>
        <v>BUF</v>
      </c>
      <c r="E97" s="54">
        <f>VLOOKUP(A97,'The List'!B1:I665,8,FALSE)</f>
        <v>192.28281544298369</v>
      </c>
      <c r="F97" s="54">
        <f>IF(Settings!$E$15="POINTS",E97-VLOOKUP(B$2,C1:E152,3,FALSE),J97)</f>
        <v>-188.77869685951606</v>
      </c>
      <c r="G97" s="54"/>
      <c r="H97" s="167">
        <f>RANK(I97,I3:I152)</f>
        <v>96</v>
      </c>
      <c r="I97" s="168">
        <f>VLOOKUP(A97,'Standard Deviations'!A1:C666,3,FALSE)</f>
        <v>-1.0793441923316514</v>
      </c>
      <c r="J97" s="168">
        <f>I97-VLOOKUP(B$2,H1:J152,2,FALSE)</f>
        <v>-7.0944130723925944</v>
      </c>
    </row>
    <row r="98" spans="1:10" ht="21.25" customHeight="1" x14ac:dyDescent="0.15">
      <c r="A98" s="9" t="s">
        <v>502</v>
      </c>
      <c r="B98" s="94" t="str">
        <f>VLOOKUP(A98,'The List'!B1:D665,3,FALSE)</f>
        <v>LW</v>
      </c>
      <c r="C98" s="95">
        <f>IF(Settings!$E$15="POINTS",RANK(E98,E3:E152),H98)</f>
        <v>87</v>
      </c>
      <c r="D98" s="65" t="str">
        <f>VLOOKUP(A98,'The List'!B1:F665,5,FALSE)</f>
        <v>VAN</v>
      </c>
      <c r="E98" s="54">
        <f>VLOOKUP(A98,'The List'!B1:I665,8,FALSE)</f>
        <v>198.73479093968027</v>
      </c>
      <c r="F98" s="54">
        <f>IF(Settings!$E$15="POINTS",E98-VLOOKUP(B$2,C1:E152,3,FALSE),J98)</f>
        <v>-182.32672136281948</v>
      </c>
      <c r="G98" s="54"/>
      <c r="H98" s="167">
        <f>RANK(I98,I3:I152)</f>
        <v>88</v>
      </c>
      <c r="I98" s="168">
        <f>VLOOKUP(A98,'Standard Deviations'!A1:C666,3,FALSE)</f>
        <v>-0.7092409975386863</v>
      </c>
      <c r="J98" s="168">
        <f>I98-VLOOKUP(B$2,H1:J152,2,FALSE)</f>
        <v>-6.7243098775996293</v>
      </c>
    </row>
    <row r="99" spans="1:10" ht="21.25" customHeight="1" x14ac:dyDescent="0.15">
      <c r="A99" s="9" t="s">
        <v>467</v>
      </c>
      <c r="B99" s="94" t="str">
        <f>VLOOKUP(A99,'The List'!B1:D665,3,FALSE)</f>
        <v>LW/RW</v>
      </c>
      <c r="C99" s="95">
        <f>IF(Settings!$E$15="POINTS",RANK(E99,E3:E152),H99)</f>
        <v>86</v>
      </c>
      <c r="D99" s="65" t="str">
        <f>VLOOKUP(A99,'The List'!B1:F665,5,FALSE)</f>
        <v>L.A</v>
      </c>
      <c r="E99" s="54">
        <f>VLOOKUP(A99,'The List'!B1:I665,8,FALSE)</f>
        <v>200.10505816891566</v>
      </c>
      <c r="F99" s="54">
        <f>IF(Settings!$E$15="POINTS",E99-VLOOKUP(B$2,C1:E152,3,FALSE),J99)</f>
        <v>-180.95645413358409</v>
      </c>
      <c r="G99" s="54"/>
      <c r="H99" s="167">
        <f>RANK(I99,I3:I152)</f>
        <v>70</v>
      </c>
      <c r="I99" s="168">
        <f>VLOOKUP(A99,'Standard Deviations'!A1:C666,3,FALSE)</f>
        <v>0.35309005756361533</v>
      </c>
      <c r="J99" s="168">
        <f>I99-VLOOKUP(B$2,H1:J152,2,FALSE)</f>
        <v>-5.6619788224973275</v>
      </c>
    </row>
    <row r="100" spans="1:10" ht="21.25" customHeight="1" x14ac:dyDescent="0.15">
      <c r="A100" s="9" t="s">
        <v>515</v>
      </c>
      <c r="B100" s="94" t="str">
        <f>VLOOKUP(A100,'The List'!B1:D665,3,FALSE)</f>
        <v>LW/RW</v>
      </c>
      <c r="C100" s="95">
        <f>IF(Settings!$E$15="POINTS",RANK(E100,E3:E152),H100)</f>
        <v>103</v>
      </c>
      <c r="D100" s="65" t="str">
        <f>VLOOKUP(A100,'The List'!B1:F665,5,FALSE)</f>
        <v>N.J</v>
      </c>
      <c r="E100" s="54">
        <f>VLOOKUP(A100,'The List'!B1:I665,8,FALSE)</f>
        <v>182.72801310430762</v>
      </c>
      <c r="F100" s="54">
        <f>IF(Settings!$E$15="POINTS",E100-VLOOKUP(B$2,C1:E152,3,FALSE),J100)</f>
        <v>-198.33349919819213</v>
      </c>
      <c r="G100" s="54"/>
      <c r="H100" s="167">
        <f>RANK(I100,I3:I152)</f>
        <v>71</v>
      </c>
      <c r="I100" s="168">
        <f>VLOOKUP(A100,'Standard Deviations'!A1:C666,3,FALSE)</f>
        <v>0.14153245513300439</v>
      </c>
      <c r="J100" s="168">
        <f>I100-VLOOKUP(B$2,H1:J152,2,FALSE)</f>
        <v>-5.8735364249279378</v>
      </c>
    </row>
    <row r="101" spans="1:10" ht="21.25" customHeight="1" x14ac:dyDescent="0.15">
      <c r="A101" s="9" t="s">
        <v>492</v>
      </c>
      <c r="B101" s="94" t="str">
        <f>VLOOKUP(A101,'The List'!B1:D665,3,FALSE)</f>
        <v>C/LW</v>
      </c>
      <c r="C101" s="95">
        <f>IF(Settings!$E$15="POINTS",RANK(E101,E3:E152),H101)</f>
        <v>83</v>
      </c>
      <c r="D101" s="65" t="str">
        <f>VLOOKUP(A101,'The List'!B1:F665,5,FALSE)</f>
        <v>T.B</v>
      </c>
      <c r="E101" s="54">
        <f>VLOOKUP(A101,'The List'!B1:I665,8,FALSE)</f>
        <v>202.27305733619326</v>
      </c>
      <c r="F101" s="54">
        <f>IF(Settings!$E$15="POINTS",E101-VLOOKUP(B$2,C1:E152,3,FALSE),J101)</f>
        <v>-178.78845496630649</v>
      </c>
      <c r="G101" s="54"/>
      <c r="H101" s="167">
        <f>RANK(I101,I3:I152)</f>
        <v>87</v>
      </c>
      <c r="I101" s="168">
        <f>VLOOKUP(A101,'Standard Deviations'!A1:C666,3,FALSE)</f>
        <v>-0.66863625616955524</v>
      </c>
      <c r="J101" s="168">
        <f>I101-VLOOKUP(B$2,H1:J152,2,FALSE)</f>
        <v>-6.6837051362304978</v>
      </c>
    </row>
    <row r="102" spans="1:10" ht="21.25" customHeight="1" x14ac:dyDescent="0.15">
      <c r="A102" s="9" t="s">
        <v>657</v>
      </c>
      <c r="B102" s="94" t="str">
        <f>VLOOKUP(A102,'The List'!B1:D665,3,FALSE)</f>
        <v>LW</v>
      </c>
      <c r="C102" s="95">
        <f>IF(Settings!$E$15="POINTS",RANK(E102,E3:E152),H102)</f>
        <v>117</v>
      </c>
      <c r="D102" s="65" t="str">
        <f>VLOOKUP(A102,'The List'!B1:F665,5,FALSE)</f>
        <v>CAR</v>
      </c>
      <c r="E102" s="54">
        <f>VLOOKUP(A102,'The List'!B1:I665,8,FALSE)</f>
        <v>147.76559891746672</v>
      </c>
      <c r="F102" s="54">
        <f>IF(Settings!$E$15="POINTS",E102-VLOOKUP(B$2,C1:E152,3,FALSE),J102)</f>
        <v>-233.29591338503303</v>
      </c>
      <c r="G102" s="54"/>
      <c r="H102" s="167">
        <f>RANK(I102,I3:I152)</f>
        <v>105</v>
      </c>
      <c r="I102" s="168">
        <f>VLOOKUP(A102,'Standard Deviations'!A1:C666,3,FALSE)</f>
        <v>-1.8980186384544981</v>
      </c>
      <c r="J102" s="168">
        <f>I102-VLOOKUP(B$2,H1:J152,2,FALSE)</f>
        <v>-7.9130875185154412</v>
      </c>
    </row>
    <row r="103" spans="1:10" ht="21.25" customHeight="1" x14ac:dyDescent="0.15">
      <c r="A103" s="9" t="s">
        <v>568</v>
      </c>
      <c r="B103" s="94" t="str">
        <f>VLOOKUP(A103,'The List'!B1:D665,3,FALSE)</f>
        <v>LW</v>
      </c>
      <c r="C103" s="95">
        <f>IF(Settings!$E$15="POINTS",RANK(E103,E3:E152),H103)</f>
        <v>104</v>
      </c>
      <c r="D103" s="65" t="str">
        <f>VLOOKUP(A103,'The List'!B1:F665,5,FALSE)</f>
        <v>VGK</v>
      </c>
      <c r="E103" s="54">
        <f>VLOOKUP(A103,'The List'!B1:I665,8,FALSE)</f>
        <v>182.14227813828055</v>
      </c>
      <c r="F103" s="54">
        <f>IF(Settings!$E$15="POINTS",E103-VLOOKUP(B$2,C1:E152,3,FALSE),J103)</f>
        <v>-198.9192341642192</v>
      </c>
      <c r="G103" s="54"/>
      <c r="H103" s="167">
        <f>RANK(I103,I3:I152)</f>
        <v>110</v>
      </c>
      <c r="I103" s="168">
        <f>VLOOKUP(A103,'Standard Deviations'!A1:C666,3,FALSE)</f>
        <v>-2.2934237960117225</v>
      </c>
      <c r="J103" s="168">
        <f>I103-VLOOKUP(B$2,H1:J152,2,FALSE)</f>
        <v>-8.3084926760726656</v>
      </c>
    </row>
    <row r="104" spans="1:10" ht="21.25" customHeight="1" x14ac:dyDescent="0.15">
      <c r="A104" s="9" t="s">
        <v>645</v>
      </c>
      <c r="B104" s="94" t="str">
        <f>VLOOKUP(A104,'The List'!B1:D665,3,FALSE)</f>
        <v>LW</v>
      </c>
      <c r="C104" s="95">
        <f>IF(Settings!$E$15="POINTS",RANK(E104,E3:E152),H104)</f>
        <v>115</v>
      </c>
      <c r="D104" s="65" t="str">
        <f>VLOOKUP(A104,'The List'!B1:F665,5,FALSE)</f>
        <v>DET</v>
      </c>
      <c r="E104" s="54">
        <f>VLOOKUP(A104,'The List'!B1:I665,8,FALSE)</f>
        <v>152.61529531913425</v>
      </c>
      <c r="F104" s="54">
        <f>IF(Settings!$E$15="POINTS",E104-VLOOKUP(B$2,C1:E152,3,FALSE),J104)</f>
        <v>-228.4462169833655</v>
      </c>
      <c r="G104" s="54"/>
      <c r="H104" s="167">
        <f>RANK(I104,I3:I152)</f>
        <v>122</v>
      </c>
      <c r="I104" s="168">
        <f>VLOOKUP(A104,'Standard Deviations'!A1:C666,3,FALSE)</f>
        <v>-2.9972465461825277</v>
      </c>
      <c r="J104" s="168">
        <f>I104-VLOOKUP(B$2,H1:J152,2,FALSE)</f>
        <v>-9.0123154262434699</v>
      </c>
    </row>
    <row r="105" spans="1:10" ht="21.25" customHeight="1" x14ac:dyDescent="0.15">
      <c r="A105" s="9" t="s">
        <v>539</v>
      </c>
      <c r="B105" s="94" t="str">
        <f>VLOOKUP(A105,'The List'!B1:D665,3,FALSE)</f>
        <v>C/LW</v>
      </c>
      <c r="C105" s="95">
        <f>IF(Settings!$E$15="POINTS",RANK(E105,E3:E152),H105)</f>
        <v>98</v>
      </c>
      <c r="D105" s="65" t="str">
        <f>VLOOKUP(A105,'The List'!B1:F665,5,FALSE)</f>
        <v>PHI</v>
      </c>
      <c r="E105" s="54">
        <f>VLOOKUP(A105,'The List'!B1:I665,8,FALSE)</f>
        <v>190.18284336215265</v>
      </c>
      <c r="F105" s="54">
        <f>IF(Settings!$E$15="POINTS",E105-VLOOKUP(B$2,C1:E152,3,FALSE),J105)</f>
        <v>-190.8786689403471</v>
      </c>
      <c r="G105" s="54"/>
      <c r="H105" s="167">
        <f>RANK(I105,I3:I152)</f>
        <v>119</v>
      </c>
      <c r="I105" s="168">
        <f>VLOOKUP(A105,'Standard Deviations'!A1:C666,3,FALSE)</f>
        <v>-2.8616310342395224</v>
      </c>
      <c r="J105" s="168">
        <f>I105-VLOOKUP(B$2,H1:J152,2,FALSE)</f>
        <v>-8.876699914300465</v>
      </c>
    </row>
    <row r="106" spans="1:10" ht="21.25" customHeight="1" x14ac:dyDescent="0.15">
      <c r="A106" s="9" t="s">
        <v>537</v>
      </c>
      <c r="B106" s="94" t="str">
        <f>VLOOKUP(A106,'The List'!B1:D665,3,FALSE)</f>
        <v>C/LW</v>
      </c>
      <c r="C106" s="95">
        <f>IF(Settings!$E$15="POINTS",RANK(E106,E3:E152),H106)</f>
        <v>96</v>
      </c>
      <c r="D106" s="65" t="str">
        <f>VLOOKUP(A106,'The List'!B1:F665,5,FALSE)</f>
        <v>N.J</v>
      </c>
      <c r="E106" s="54">
        <f>VLOOKUP(A106,'The List'!B1:I665,8,FALSE)</f>
        <v>190.56361971634468</v>
      </c>
      <c r="F106" s="54">
        <f>IF(Settings!$E$15="POINTS",E106-VLOOKUP(B$2,C1:E152,3,FALSE),J106)</f>
        <v>-190.49789258615507</v>
      </c>
      <c r="G106" s="54"/>
      <c r="H106" s="167">
        <f>RANK(I106,I3:I152)</f>
        <v>84</v>
      </c>
      <c r="I106" s="168">
        <f>VLOOKUP(A106,'Standard Deviations'!A1:C666,3,FALSE)</f>
        <v>-0.46973196608860435</v>
      </c>
      <c r="J106" s="168">
        <f>I106-VLOOKUP(B$2,H1:J152,2,FALSE)</f>
        <v>-6.4848008461495468</v>
      </c>
    </row>
    <row r="107" spans="1:10" ht="21.25" customHeight="1" x14ac:dyDescent="0.15">
      <c r="A107" s="9" t="s">
        <v>549</v>
      </c>
      <c r="B107" s="94" t="str">
        <f>VLOOKUP(A107,'The List'!B1:D665,3,FALSE)</f>
        <v>C/LW</v>
      </c>
      <c r="C107" s="95">
        <f>IF(Settings!$E$15="POINTS",RANK(E107,E3:E152),H107)</f>
        <v>100</v>
      </c>
      <c r="D107" s="65" t="str">
        <f>VLOOKUP(A107,'The List'!B1:F665,5,FALSE)</f>
        <v>DET</v>
      </c>
      <c r="E107" s="54">
        <f>VLOOKUP(A107,'The List'!B1:I665,8,FALSE)</f>
        <v>187.5993429432807</v>
      </c>
      <c r="F107" s="54">
        <f>IF(Settings!$E$15="POINTS",E107-VLOOKUP(B$2,C1:E152,3,FALSE),J107)</f>
        <v>-193.46216935921905</v>
      </c>
      <c r="G107" s="54"/>
      <c r="H107" s="167">
        <f>RANK(I107,I3:I152)</f>
        <v>111</v>
      </c>
      <c r="I107" s="168">
        <f>VLOOKUP(A107,'Standard Deviations'!A1:C666,3,FALSE)</f>
        <v>-2.3450889290595631</v>
      </c>
      <c r="J107" s="168">
        <f>I107-VLOOKUP(B$2,H1:J152,2,FALSE)</f>
        <v>-8.3601578091205049</v>
      </c>
    </row>
    <row r="108" spans="1:10" ht="21.25" customHeight="1" x14ac:dyDescent="0.15">
      <c r="A108" s="9" t="s">
        <v>596</v>
      </c>
      <c r="B108" s="94" t="str">
        <f>VLOOKUP(A108,'The List'!B1:D665,3,FALSE)</f>
        <v>C/LW</v>
      </c>
      <c r="C108" s="95">
        <f>IF(Settings!$E$15="POINTS",RANK(E108,E3:E152),H108)</f>
        <v>110</v>
      </c>
      <c r="D108" s="65" t="str">
        <f>VLOOKUP(A108,'The List'!B1:F665,5,FALSE)</f>
        <v>VAN</v>
      </c>
      <c r="E108" s="54">
        <f>VLOOKUP(A108,'The List'!B1:I665,8,FALSE)</f>
        <v>169.89961857443333</v>
      </c>
      <c r="F108" s="54">
        <f>IF(Settings!$E$15="POINTS",E108-VLOOKUP(B$2,C1:E152,3,FALSE),J108)</f>
        <v>-211.16189372806642</v>
      </c>
      <c r="G108" s="54"/>
      <c r="H108" s="167">
        <f>RANK(I108,I3:I152)</f>
        <v>95</v>
      </c>
      <c r="I108" s="168">
        <f>VLOOKUP(A108,'Standard Deviations'!A1:C666,3,FALSE)</f>
        <v>-0.9809851631853137</v>
      </c>
      <c r="J108" s="168">
        <f>I108-VLOOKUP(B$2,H1:J152,2,FALSE)</f>
        <v>-6.9960540432462563</v>
      </c>
    </row>
    <row r="109" spans="1:10" ht="21.25" customHeight="1" x14ac:dyDescent="0.15">
      <c r="A109" s="9" t="s">
        <v>588</v>
      </c>
      <c r="B109" s="94" t="str">
        <f>VLOOKUP(A109,'The List'!B1:D665,3,FALSE)</f>
        <v>LW</v>
      </c>
      <c r="C109" s="95">
        <f>IF(Settings!$E$15="POINTS",RANK(E109,E3:E152),H109)</f>
        <v>108</v>
      </c>
      <c r="D109" s="65" t="str">
        <f>VLOOKUP(A109,'The List'!B1:F665,5,FALSE)</f>
        <v>COL</v>
      </c>
      <c r="E109" s="54">
        <f>VLOOKUP(A109,'The List'!B1:I665,8,FALSE)</f>
        <v>174.08746490879267</v>
      </c>
      <c r="F109" s="54">
        <f>IF(Settings!$E$15="POINTS",E109-VLOOKUP(B$2,C1:E152,3,FALSE),J109)</f>
        <v>-206.97404739370708</v>
      </c>
      <c r="G109" s="54"/>
      <c r="H109" s="167">
        <f>RANK(I109,I3:I152)</f>
        <v>104</v>
      </c>
      <c r="I109" s="168">
        <f>VLOOKUP(A109,'Standard Deviations'!A1:C666,3,FALSE)</f>
        <v>-1.8902966661208718</v>
      </c>
      <c r="J109" s="168">
        <f>I109-VLOOKUP(B$2,H1:J152,2,FALSE)</f>
        <v>-7.9053655461818142</v>
      </c>
    </row>
    <row r="110" spans="1:10" ht="21.25" customHeight="1" x14ac:dyDescent="0.15">
      <c r="A110" s="9" t="s">
        <v>552</v>
      </c>
      <c r="B110" s="94" t="str">
        <f>VLOOKUP(A110,'The List'!B1:D665,3,FALSE)</f>
        <v>C/LW</v>
      </c>
      <c r="C110" s="95">
        <f>IF(Settings!$E$15="POINTS",RANK(E110,E3:E152),H110)</f>
        <v>101</v>
      </c>
      <c r="D110" s="65" t="str">
        <f>VLOOKUP(A110,'The List'!B1:F665,5,FALSE)</f>
        <v>ANA</v>
      </c>
      <c r="E110" s="54">
        <f>VLOOKUP(A110,'The List'!B1:I665,8,FALSE)</f>
        <v>185.67361955513027</v>
      </c>
      <c r="F110" s="54">
        <f>IF(Settings!$E$15="POINTS",E110-VLOOKUP(B$2,C1:E152,3,FALSE),J110)</f>
        <v>-195.38789274736948</v>
      </c>
      <c r="G110" s="54"/>
      <c r="H110" s="167">
        <f>RANK(I110,I3:I152)</f>
        <v>128</v>
      </c>
      <c r="I110" s="168">
        <f>VLOOKUP(A110,'Standard Deviations'!A1:C666,3,FALSE)</f>
        <v>-3.4778399496785588</v>
      </c>
      <c r="J110" s="168">
        <f>I110-VLOOKUP(B$2,H1:J152,2,FALSE)</f>
        <v>-9.4929088297395019</v>
      </c>
    </row>
    <row r="111" spans="1:10" ht="21.25" customHeight="1" x14ac:dyDescent="0.15">
      <c r="A111" s="9" t="s">
        <v>530</v>
      </c>
      <c r="B111" s="94" t="str">
        <f>VLOOKUP(A111,'The List'!B1:D665,3,FALSE)</f>
        <v>C/LW/RW</v>
      </c>
      <c r="C111" s="95">
        <f>IF(Settings!$E$15="POINTS",RANK(E111,E3:E152),H111)</f>
        <v>105</v>
      </c>
      <c r="D111" s="65" t="str">
        <f>VLOOKUP(A111,'The List'!B1:F665,5,FALSE)</f>
        <v>WPG</v>
      </c>
      <c r="E111" s="54">
        <f>VLOOKUP(A111,'The List'!B1:I665,8,FALSE)</f>
        <v>180.52883470564964</v>
      </c>
      <c r="F111" s="54">
        <f>IF(Settings!$E$15="POINTS",E111-VLOOKUP(B$2,C1:E152,3,FALSE),J111)</f>
        <v>-200.53267759685011</v>
      </c>
      <c r="G111" s="54"/>
      <c r="H111" s="167">
        <f>RANK(I111,I3:I152)</f>
        <v>91</v>
      </c>
      <c r="I111" s="168">
        <f>VLOOKUP(A111,'Standard Deviations'!A1:C666,3,FALSE)</f>
        <v>-0.8381272715785677</v>
      </c>
      <c r="J111" s="168">
        <f>I111-VLOOKUP(B$2,H1:J152,2,FALSE)</f>
        <v>-6.8531961516395103</v>
      </c>
    </row>
    <row r="112" spans="1:10" ht="21.25" customHeight="1" x14ac:dyDescent="0.15">
      <c r="A112" s="9" t="s">
        <v>565</v>
      </c>
      <c r="B112" s="94" t="str">
        <f>VLOOKUP(A112,'The List'!B1:D665,3,FALSE)</f>
        <v>C/LW</v>
      </c>
      <c r="C112" s="95">
        <f>IF(Settings!$E$15="POINTS",RANK(E112,E3:E152),H112)</f>
        <v>102</v>
      </c>
      <c r="D112" s="65" t="str">
        <f>VLOOKUP(A112,'The List'!B1:F665,5,FALSE)</f>
        <v>WPG</v>
      </c>
      <c r="E112" s="54">
        <f>VLOOKUP(A112,'The List'!B1:I665,8,FALSE)</f>
        <v>183.07589191046605</v>
      </c>
      <c r="F112" s="54">
        <f>IF(Settings!$E$15="POINTS",E112-VLOOKUP(B$2,C1:E152,3,FALSE),J112)</f>
        <v>-197.9856203920337</v>
      </c>
      <c r="G112" s="54"/>
      <c r="H112" s="167">
        <f>RANK(I112,I3:I152)</f>
        <v>90</v>
      </c>
      <c r="I112" s="168">
        <f>VLOOKUP(A112,'Standard Deviations'!A1:C666,3,FALSE)</f>
        <v>-0.78716171185310335</v>
      </c>
      <c r="J112" s="168">
        <f>I112-VLOOKUP(B$2,H1:J152,2,FALSE)</f>
        <v>-6.8022305919140464</v>
      </c>
    </row>
    <row r="113" spans="1:10" ht="21.25" customHeight="1" x14ac:dyDescent="0.15">
      <c r="A113" s="9" t="s">
        <v>594</v>
      </c>
      <c r="B113" s="94" t="str">
        <f>VLOOKUP(A113,'The List'!B1:D665,3,FALSE)</f>
        <v>LW</v>
      </c>
      <c r="C113" s="95">
        <f>IF(Settings!$E$15="POINTS",RANK(E113,E3:E152),H113)</f>
        <v>109</v>
      </c>
      <c r="D113" s="65" t="str">
        <f>VLOOKUP(A113,'The List'!B1:F665,5,FALSE)</f>
        <v>CHI</v>
      </c>
      <c r="E113" s="54">
        <f>VLOOKUP(A113,'The List'!B1:I665,8,FALSE)</f>
        <v>170.63060859729671</v>
      </c>
      <c r="F113" s="54">
        <f>IF(Settings!$E$15="POINTS",E113-VLOOKUP(B$2,C1:E152,3,FALSE),J113)</f>
        <v>-210.43090370520304</v>
      </c>
      <c r="G113" s="54"/>
      <c r="H113" s="167">
        <f>RANK(I113,I3:I152)</f>
        <v>127</v>
      </c>
      <c r="I113" s="168">
        <f>VLOOKUP(A113,'Standard Deviations'!A1:C666,3,FALSE)</f>
        <v>-3.344533537691619</v>
      </c>
      <c r="J113" s="168">
        <f>I113-VLOOKUP(B$2,H1:J152,2,FALSE)</f>
        <v>-9.3596024177525621</v>
      </c>
    </row>
    <row r="114" spans="1:10" ht="21.25" customHeight="1" x14ac:dyDescent="0.15">
      <c r="A114" s="9" t="s">
        <v>586</v>
      </c>
      <c r="B114" s="94" t="str">
        <f>VLOOKUP(A114,'The List'!B1:D665,3,FALSE)</f>
        <v>LW</v>
      </c>
      <c r="C114" s="95">
        <f>IF(Settings!$E$15="POINTS",RANK(E114,E3:E152),H114)</f>
        <v>107</v>
      </c>
      <c r="D114" s="65" t="str">
        <f>VLOOKUP(A114,'The List'!B1:F665,5,FALSE)</f>
        <v>CAR</v>
      </c>
      <c r="E114" s="54">
        <f>VLOOKUP(A114,'The List'!B1:I665,8,FALSE)</f>
        <v>174.85209680032315</v>
      </c>
      <c r="F114" s="54">
        <f>IF(Settings!$E$15="POINTS",E114-VLOOKUP(B$2,C1:E152,3,FALSE),J114)</f>
        <v>-206.2094155021766</v>
      </c>
      <c r="G114" s="54"/>
      <c r="H114" s="167">
        <f>RANK(I114,I3:I152)</f>
        <v>92</v>
      </c>
      <c r="I114" s="168">
        <f>VLOOKUP(A114,'Standard Deviations'!A1:C666,3,FALSE)</f>
        <v>-0.85585109372910906</v>
      </c>
      <c r="J114" s="168">
        <f>I114-VLOOKUP(B$2,H1:J152,2,FALSE)</f>
        <v>-6.8709199737900519</v>
      </c>
    </row>
    <row r="115" spans="1:10" ht="21.25" customHeight="1" x14ac:dyDescent="0.15">
      <c r="A115" s="9" t="s">
        <v>573</v>
      </c>
      <c r="B115" s="94" t="str">
        <f>VLOOKUP(A115,'The List'!B1:D665,3,FALSE)</f>
        <v>C/LW</v>
      </c>
      <c r="C115" s="95">
        <f>IF(Settings!$E$15="POINTS",RANK(E115,E3:E152),H115)</f>
        <v>106</v>
      </c>
      <c r="D115" s="65" t="str">
        <f>VLOOKUP(A115,'The List'!B1:F665,5,FALSE)</f>
        <v>UTA</v>
      </c>
      <c r="E115" s="54">
        <f>VLOOKUP(A115,'The List'!B1:I665,8,FALSE)</f>
        <v>179.79080107438014</v>
      </c>
      <c r="F115" s="54">
        <f>IF(Settings!$E$15="POINTS",E115-VLOOKUP(B$2,C1:E152,3,FALSE),J115)</f>
        <v>-201.27071122811961</v>
      </c>
      <c r="G115" s="54"/>
      <c r="H115" s="167">
        <f>RANK(I115,I3:I152)</f>
        <v>102</v>
      </c>
      <c r="I115" s="168">
        <f>VLOOKUP(A115,'Standard Deviations'!A1:C666,3,FALSE)</f>
        <v>-1.7622460496309191</v>
      </c>
      <c r="J115" s="168">
        <f>I115-VLOOKUP(B$2,H1:J152,2,FALSE)</f>
        <v>-7.7773149296918618</v>
      </c>
    </row>
    <row r="116" spans="1:10" ht="21.25" customHeight="1" x14ac:dyDescent="0.15">
      <c r="A116" s="9" t="s">
        <v>661</v>
      </c>
      <c r="B116" s="94" t="str">
        <f>VLOOKUP(A116,'The List'!B1:D665,3,FALSE)</f>
        <v>LW</v>
      </c>
      <c r="C116" s="95">
        <f>IF(Settings!$E$15="POINTS",RANK(E116,E3:E152),H116)</f>
        <v>120</v>
      </c>
      <c r="D116" s="65" t="str">
        <f>VLOOKUP(A116,'The List'!B1:F665,5,FALSE)</f>
        <v>CAR</v>
      </c>
      <c r="E116" s="54">
        <f>VLOOKUP(A116,'The List'!B1:I665,8,FALSE)</f>
        <v>147.17738721402088</v>
      </c>
      <c r="F116" s="54">
        <f>IF(Settings!$E$15="POINTS",E116-VLOOKUP(B$2,C1:E152,3,FALSE),J116)</f>
        <v>-233.88412508847887</v>
      </c>
      <c r="G116" s="54"/>
      <c r="H116" s="167">
        <f>RANK(I116,I3:I152)</f>
        <v>106</v>
      </c>
      <c r="I116" s="168">
        <f>VLOOKUP(A116,'Standard Deviations'!A1:C666,3,FALSE)</f>
        <v>-2.0349748640203105</v>
      </c>
      <c r="J116" s="168">
        <f>I116-VLOOKUP(B$2,H1:J152,2,FALSE)</f>
        <v>-8.050043744081254</v>
      </c>
    </row>
    <row r="117" spans="1:10" ht="21.25" customHeight="1" x14ac:dyDescent="0.15">
      <c r="A117" s="9" t="s">
        <v>624</v>
      </c>
      <c r="B117" s="94" t="str">
        <f>VLOOKUP(A117,'The List'!B1:D665,3,FALSE)</f>
        <v>LW</v>
      </c>
      <c r="C117" s="95">
        <f>IF(Settings!$E$15="POINTS",RANK(E117,E3:E152),H117)</f>
        <v>112</v>
      </c>
      <c r="D117" s="65" t="str">
        <f>VLOOKUP(A117,'The List'!B1:F665,5,FALSE)</f>
        <v>BUF</v>
      </c>
      <c r="E117" s="54">
        <f>VLOOKUP(A117,'The List'!B1:I665,8,FALSE)</f>
        <v>158.99573111552934</v>
      </c>
      <c r="F117" s="54">
        <f>IF(Settings!$E$15="POINTS",E117-VLOOKUP(B$2,C1:E152,3,FALSE),J117)</f>
        <v>-222.06578118697041</v>
      </c>
      <c r="G117" s="54"/>
      <c r="H117" s="167">
        <f>RANK(I117,I3:I152)</f>
        <v>112</v>
      </c>
      <c r="I117" s="168">
        <f>VLOOKUP(A117,'Standard Deviations'!A1:C666,3,FALSE)</f>
        <v>-2.5241253805852635</v>
      </c>
      <c r="J117" s="168">
        <f>I117-VLOOKUP(B$2,H1:J152,2,FALSE)</f>
        <v>-8.5391942606462052</v>
      </c>
    </row>
    <row r="118" spans="1:10" ht="21.25" customHeight="1" x14ac:dyDescent="0.15">
      <c r="A118" s="9" t="s">
        <v>599</v>
      </c>
      <c r="B118" s="94" t="str">
        <f>VLOOKUP(A118,'The List'!B1:D665,3,FALSE)</f>
        <v>LW</v>
      </c>
      <c r="C118" s="95">
        <f>IF(Settings!$E$15="POINTS",RANK(E118,E3:E152),H118)</f>
        <v>111</v>
      </c>
      <c r="D118" s="65" t="str">
        <f>VLOOKUP(A118,'The List'!B1:F665,5,FALSE)</f>
        <v>MIN</v>
      </c>
      <c r="E118" s="54">
        <f>VLOOKUP(A118,'The List'!B1:I665,8,FALSE)</f>
        <v>169.50300815995635</v>
      </c>
      <c r="F118" s="54">
        <f>IF(Settings!$E$15="POINTS",E118-VLOOKUP(B$2,C1:E152,3,FALSE),J118)</f>
        <v>-211.5585041425434</v>
      </c>
      <c r="G118" s="54"/>
      <c r="H118" s="167">
        <f>RANK(I118,I3:I152)</f>
        <v>108</v>
      </c>
      <c r="I118" s="168">
        <f>VLOOKUP(A118,'Standard Deviations'!A1:C666,3,FALSE)</f>
        <v>-2.0837082171998706</v>
      </c>
      <c r="J118" s="168">
        <f>I118-VLOOKUP(B$2,H1:J152,2,FALSE)</f>
        <v>-8.0987770972608129</v>
      </c>
    </row>
    <row r="119" spans="1:10" ht="21.25" customHeight="1" x14ac:dyDescent="0.15">
      <c r="A119" s="9" t="s">
        <v>680</v>
      </c>
      <c r="B119" s="94" t="str">
        <f>VLOOKUP(A119,'The List'!B1:D665,3,FALSE)</f>
        <v>LW</v>
      </c>
      <c r="C119" s="95">
        <f>IF(Settings!$E$15="POINTS",RANK(E119,E3:E152),H119)</f>
        <v>126</v>
      </c>
      <c r="D119" s="65" t="str">
        <f>VLOOKUP(A119,'The List'!B1:F665,5,FALSE)</f>
        <v>CHI</v>
      </c>
      <c r="E119" s="54">
        <f>VLOOKUP(A119,'The List'!B1:I665,8,FALSE)</f>
        <v>140.94002575311623</v>
      </c>
      <c r="F119" s="54">
        <f>IF(Settings!$E$15="POINTS",E119-VLOOKUP(B$2,C1:E152,3,FALSE),J119)</f>
        <v>-240.12148654938352</v>
      </c>
      <c r="G119" s="54"/>
      <c r="H119" s="167">
        <f>RANK(I119,I3:I152)</f>
        <v>143</v>
      </c>
      <c r="I119" s="168">
        <f>VLOOKUP(A119,'Standard Deviations'!A1:C666,3,FALSE)</f>
        <v>-4.876542114338549</v>
      </c>
      <c r="J119" s="168">
        <f>I119-VLOOKUP(B$2,H1:J152,2,FALSE)</f>
        <v>-10.891610994399493</v>
      </c>
    </row>
    <row r="120" spans="1:10" ht="21.25" customHeight="1" x14ac:dyDescent="0.15">
      <c r="A120" s="9" t="s">
        <v>667</v>
      </c>
      <c r="B120" s="94" t="str">
        <f>VLOOKUP(A120,'The List'!B1:D665,3,FALSE)</f>
        <v>LW</v>
      </c>
      <c r="C120" s="95">
        <f>IF(Settings!$E$15="POINTS",RANK(E120,E3:E152),H120)</f>
        <v>121</v>
      </c>
      <c r="D120" s="65" t="str">
        <f>VLOOKUP(A120,'The List'!B1:F665,5,FALSE)</f>
        <v>WSH</v>
      </c>
      <c r="E120" s="54">
        <f>VLOOKUP(A120,'The List'!B1:I665,8,FALSE)</f>
        <v>146.2673734166483</v>
      </c>
      <c r="F120" s="54">
        <f>IF(Settings!$E$15="POINTS",E120-VLOOKUP(B$2,C1:E152,3,FALSE),J120)</f>
        <v>-234.79413888585145</v>
      </c>
      <c r="G120" s="54"/>
      <c r="H120" s="167">
        <f>RANK(I120,I3:I152)</f>
        <v>120</v>
      </c>
      <c r="I120" s="168">
        <f>VLOOKUP(A120,'Standard Deviations'!A1:C666,3,FALSE)</f>
        <v>-2.9618636719857081</v>
      </c>
      <c r="J120" s="168">
        <f>I120-VLOOKUP(B$2,H1:J152,2,FALSE)</f>
        <v>-8.9769325520466516</v>
      </c>
    </row>
    <row r="121" spans="1:10" ht="21.25" customHeight="1" x14ac:dyDescent="0.15">
      <c r="A121" s="9" t="s">
        <v>646</v>
      </c>
      <c r="B121" s="94" t="str">
        <f>VLOOKUP(A121,'The List'!B1:D665,3,FALSE)</f>
        <v>LW</v>
      </c>
      <c r="C121" s="95">
        <f>IF(Settings!$E$15="POINTS",RANK(E121,E3:E152),H121)</f>
        <v>116</v>
      </c>
      <c r="D121" s="65" t="str">
        <f>VLOOKUP(A121,'The List'!B1:F665,5,FALSE)</f>
        <v>PHI</v>
      </c>
      <c r="E121" s="54">
        <f>VLOOKUP(A121,'The List'!B1:I665,8,FALSE)</f>
        <v>152.57222613205596</v>
      </c>
      <c r="F121" s="54">
        <f>IF(Settings!$E$15="POINTS",E121-VLOOKUP(B$2,C1:E152,3,FALSE),J121)</f>
        <v>-228.48928617044379</v>
      </c>
      <c r="G121" s="54"/>
      <c r="H121" s="167">
        <f>RANK(I121,I3:I152)</f>
        <v>125</v>
      </c>
      <c r="I121" s="168">
        <f>VLOOKUP(A121,'Standard Deviations'!A1:C666,3,FALSE)</f>
        <v>-3.1857678586053462</v>
      </c>
      <c r="J121" s="168">
        <f>I121-VLOOKUP(B$2,H1:J152,2,FALSE)</f>
        <v>-9.2008367386662897</v>
      </c>
    </row>
    <row r="122" spans="1:10" ht="21.25" customHeight="1" x14ac:dyDescent="0.15">
      <c r="A122" s="9" t="s">
        <v>621</v>
      </c>
      <c r="B122" s="94" t="str">
        <f>VLOOKUP(A122,'The List'!B1:D665,3,FALSE)</f>
        <v>LW/RW</v>
      </c>
      <c r="C122" s="95">
        <f>IF(Settings!$E$15="POINTS",RANK(E122,E3:E152),H122)</f>
        <v>119</v>
      </c>
      <c r="D122" s="65" t="str">
        <f>VLOOKUP(A122,'The List'!B1:F665,5,FALSE)</f>
        <v>STL</v>
      </c>
      <c r="E122" s="54">
        <f>VLOOKUP(A122,'The List'!B1:I665,8,FALSE)</f>
        <v>147.21908751931383</v>
      </c>
      <c r="F122" s="54">
        <f>IF(Settings!$E$15="POINTS",E122-VLOOKUP(B$2,C1:E152,3,FALSE),J122)</f>
        <v>-233.84242478318592</v>
      </c>
      <c r="G122" s="54"/>
      <c r="H122" s="167">
        <f>RANK(I122,I3:I152)</f>
        <v>144</v>
      </c>
      <c r="I122" s="168">
        <f>VLOOKUP(A122,'Standard Deviations'!A1:C666,3,FALSE)</f>
        <v>-4.8964696216031314</v>
      </c>
      <c r="J122" s="168">
        <f>I122-VLOOKUP(B$2,H1:J152,2,FALSE)</f>
        <v>-10.911538501664074</v>
      </c>
    </row>
    <row r="123" spans="1:10" ht="21.25" customHeight="1" x14ac:dyDescent="0.15">
      <c r="A123" s="9" t="s">
        <v>634</v>
      </c>
      <c r="B123" s="94" t="str">
        <f>VLOOKUP(A123,'The List'!B1:D665,3,FALSE)</f>
        <v>LW</v>
      </c>
      <c r="C123" s="95">
        <f>IF(Settings!$E$15="POINTS",RANK(E123,E3:E152),H123)</f>
        <v>113</v>
      </c>
      <c r="D123" s="65" t="str">
        <f>VLOOKUP(A123,'The List'!B1:F665,5,FALSE)</f>
        <v>PIT</v>
      </c>
      <c r="E123" s="54">
        <f>VLOOKUP(A123,'The List'!B1:I665,8,FALSE)</f>
        <v>154.92208278722021</v>
      </c>
      <c r="F123" s="54">
        <f>IF(Settings!$E$15="POINTS",E123-VLOOKUP(B$2,C1:E152,3,FALSE),J123)</f>
        <v>-226.13942951527955</v>
      </c>
      <c r="G123" s="54"/>
      <c r="H123" s="167">
        <f>RANK(I123,I3:I152)</f>
        <v>117</v>
      </c>
      <c r="I123" s="168">
        <f>VLOOKUP(A123,'Standard Deviations'!A1:C666,3,FALSE)</f>
        <v>-2.8331163376264121</v>
      </c>
      <c r="J123" s="168">
        <f>I123-VLOOKUP(B$2,H1:J152,2,FALSE)</f>
        <v>-8.8481852176873552</v>
      </c>
    </row>
    <row r="124" spans="1:10" ht="21.25" customHeight="1" x14ac:dyDescent="0.15">
      <c r="A124" s="9" t="s">
        <v>684</v>
      </c>
      <c r="B124" s="94" t="str">
        <f>VLOOKUP(A124,'The List'!B1:D665,3,FALSE)</f>
        <v>C/LW</v>
      </c>
      <c r="C124" s="95">
        <f>IF(Settings!$E$15="POINTS",RANK(E124,E3:E152),H124)</f>
        <v>128</v>
      </c>
      <c r="D124" s="65" t="str">
        <f>VLOOKUP(A124,'The List'!B1:F665,5,FALSE)</f>
        <v>ANA</v>
      </c>
      <c r="E124" s="54">
        <f>VLOOKUP(A124,'The List'!B1:I665,8,FALSE)</f>
        <v>138.79058816750558</v>
      </c>
      <c r="F124" s="54">
        <f>IF(Settings!$E$15="POINTS",E124-VLOOKUP(B$2,C1:E152,3,FALSE),J124)</f>
        <v>-242.27092413499417</v>
      </c>
      <c r="G124" s="54"/>
      <c r="H124" s="167">
        <f>RANK(I124,I3:I152)</f>
        <v>131</v>
      </c>
      <c r="I124" s="168">
        <f>VLOOKUP(A124,'Standard Deviations'!A1:C666,3,FALSE)</f>
        <v>-3.6718872347424236</v>
      </c>
      <c r="J124" s="168">
        <f>I124-VLOOKUP(B$2,H1:J152,2,FALSE)</f>
        <v>-9.6869561148033654</v>
      </c>
    </row>
    <row r="125" spans="1:10" ht="21.25" customHeight="1" x14ac:dyDescent="0.15">
      <c r="A125" s="9" t="s">
        <v>643</v>
      </c>
      <c r="B125" s="94" t="str">
        <f>VLOOKUP(A125,'The List'!B1:D665,3,FALSE)</f>
        <v>LW</v>
      </c>
      <c r="C125" s="95">
        <f>IF(Settings!$E$15="POINTS",RANK(E125,E3:E152),H125)</f>
        <v>114</v>
      </c>
      <c r="D125" s="65" t="str">
        <f>VLOOKUP(A125,'The List'!B1:F665,5,FALSE)</f>
        <v>NYI</v>
      </c>
      <c r="E125" s="54">
        <f>VLOOKUP(A125,'The List'!B1:I665,8,FALSE)</f>
        <v>153.74992262461927</v>
      </c>
      <c r="F125" s="54">
        <f>IF(Settings!$E$15="POINTS",E125-VLOOKUP(B$2,C1:E152,3,FALSE),J125)</f>
        <v>-227.31158967788048</v>
      </c>
      <c r="G125" s="54"/>
      <c r="H125" s="167">
        <f>RANK(I125,I3:I152)</f>
        <v>103</v>
      </c>
      <c r="I125" s="168">
        <f>VLOOKUP(A125,'Standard Deviations'!A1:C666,3,FALSE)</f>
        <v>-1.8491490690869707</v>
      </c>
      <c r="J125" s="168">
        <f>I125-VLOOKUP(B$2,H1:J152,2,FALSE)</f>
        <v>-7.8642179491479132</v>
      </c>
    </row>
    <row r="126" spans="1:10" ht="21.25" customHeight="1" x14ac:dyDescent="0.15">
      <c r="A126" s="9" t="s">
        <v>679</v>
      </c>
      <c r="B126" s="94" t="str">
        <f>VLOOKUP(A126,'The List'!B1:D665,3,FALSE)</f>
        <v>LW</v>
      </c>
      <c r="C126" s="95">
        <f>IF(Settings!$E$15="POINTS",RANK(E126,E3:E152),H126)</f>
        <v>125</v>
      </c>
      <c r="D126" s="65" t="str">
        <f>VLOOKUP(A126,'The List'!B1:F665,5,FALSE)</f>
        <v>SEA</v>
      </c>
      <c r="E126" s="54">
        <f>VLOOKUP(A126,'The List'!B1:I665,8,FALSE)</f>
        <v>141.03598966649247</v>
      </c>
      <c r="F126" s="54">
        <f>IF(Settings!$E$15="POINTS",E126-VLOOKUP(B$2,C1:E152,3,FALSE),J126)</f>
        <v>-240.02552263600728</v>
      </c>
      <c r="G126" s="54"/>
      <c r="H126" s="167">
        <f>RANK(I126,I3:I152)</f>
        <v>126</v>
      </c>
      <c r="I126" s="168">
        <f>VLOOKUP(A126,'Standard Deviations'!A1:C666,3,FALSE)</f>
        <v>-3.3030308739795045</v>
      </c>
      <c r="J126" s="168">
        <f>I126-VLOOKUP(B$2,H1:J152,2,FALSE)</f>
        <v>-9.3180997540404462</v>
      </c>
    </row>
    <row r="127" spans="1:10" ht="21.25" customHeight="1" x14ac:dyDescent="0.15">
      <c r="A127" s="9" t="s">
        <v>677</v>
      </c>
      <c r="B127" s="94" t="str">
        <f>VLOOKUP(A127,'The List'!B1:D665,3,FALSE)</f>
        <v>LW</v>
      </c>
      <c r="C127" s="95">
        <f>IF(Settings!$E$15="POINTS",RANK(E127,E3:E152),H127)</f>
        <v>123</v>
      </c>
      <c r="D127" s="65" t="str">
        <f>VLOOKUP(A127,'The List'!B1:F665,5,FALSE)</f>
        <v>L.A</v>
      </c>
      <c r="E127" s="54">
        <f>VLOOKUP(A127,'The List'!B1:I665,8,FALSE)</f>
        <v>142.03203341883673</v>
      </c>
      <c r="F127" s="54">
        <f>IF(Settings!$E$15="POINTS",E127-VLOOKUP(B$2,C1:E152,3,FALSE),J127)</f>
        <v>-239.02947888366302</v>
      </c>
      <c r="G127" s="54"/>
      <c r="H127" s="167">
        <f>RANK(I127,I3:I152)</f>
        <v>115</v>
      </c>
      <c r="I127" s="168">
        <f>VLOOKUP(A127,'Standard Deviations'!A1:C666,3,FALSE)</f>
        <v>-2.7119514273213197</v>
      </c>
      <c r="J127" s="168">
        <f>I127-VLOOKUP(B$2,H1:J152,2,FALSE)</f>
        <v>-8.7270203073822614</v>
      </c>
    </row>
    <row r="128" spans="1:10" ht="21.25" customHeight="1" x14ac:dyDescent="0.15">
      <c r="A128" s="9" t="s">
        <v>659</v>
      </c>
      <c r="B128" s="94" t="str">
        <f>VLOOKUP(A128,'The List'!B1:D665,3,FALSE)</f>
        <v>LW</v>
      </c>
      <c r="C128" s="95">
        <f>IF(Settings!$E$15="POINTS",RANK(E128,E3:E152),H128)</f>
        <v>118</v>
      </c>
      <c r="D128" s="65" t="str">
        <f>VLOOKUP(A128,'The List'!B1:F665,5,FALSE)</f>
        <v>N.J</v>
      </c>
      <c r="E128" s="54">
        <f>VLOOKUP(A128,'The List'!B1:I665,8,FALSE)</f>
        <v>147.52965474221415</v>
      </c>
      <c r="F128" s="54">
        <f>IF(Settings!$E$15="POINTS",E128-VLOOKUP(B$2,C1:E152,3,FALSE),J128)</f>
        <v>-233.5318575602856</v>
      </c>
      <c r="G128" s="54"/>
      <c r="H128" s="167">
        <f>RANK(I128,I3:I152)</f>
        <v>118</v>
      </c>
      <c r="I128" s="168">
        <f>VLOOKUP(A128,'Standard Deviations'!A1:C666,3,FALSE)</f>
        <v>-2.8480502731186901</v>
      </c>
      <c r="J128" s="168">
        <f>I128-VLOOKUP(B$2,H1:J152,2,FALSE)</f>
        <v>-8.8631191531796318</v>
      </c>
    </row>
    <row r="129" spans="1:10" ht="21.25" customHeight="1" x14ac:dyDescent="0.15">
      <c r="A129" s="9" t="s">
        <v>759</v>
      </c>
      <c r="B129" s="94" t="str">
        <f>VLOOKUP(A129,'The List'!B1:D665,3,FALSE)</f>
        <v>LW</v>
      </c>
      <c r="C129" s="95">
        <f>IF(Settings!$E$15="POINTS",RANK(E129,E3:E152),H129)</f>
        <v>141</v>
      </c>
      <c r="D129" s="65" t="str">
        <f>VLOOKUP(A129,'The List'!B1:F665,5,FALSE)</f>
        <v>WSH</v>
      </c>
      <c r="E129" s="54">
        <f>VLOOKUP(A129,'The List'!B1:I665,8,FALSE)</f>
        <v>103.52591536446353</v>
      </c>
      <c r="F129" s="54">
        <f>IF(Settings!$E$15="POINTS",E129-VLOOKUP(B$2,C1:E152,3,FALSE),J129)</f>
        <v>-277.53559693803624</v>
      </c>
      <c r="G129" s="54"/>
      <c r="H129" s="167">
        <f>RANK(I129,I3:I152)</f>
        <v>141</v>
      </c>
      <c r="I129" s="168">
        <f>VLOOKUP(A129,'Standard Deviations'!A1:C666,3,FALSE)</f>
        <v>-4.6908368263174891</v>
      </c>
      <c r="J129" s="168">
        <f>I129-VLOOKUP(B$2,H1:J152,2,FALSE)</f>
        <v>-10.705905706378431</v>
      </c>
    </row>
    <row r="130" spans="1:10" ht="21.25" customHeight="1" x14ac:dyDescent="0.15">
      <c r="A130" s="9" t="s">
        <v>678</v>
      </c>
      <c r="B130" s="94" t="str">
        <f>VLOOKUP(A130,'The List'!B1:D665,3,FALSE)</f>
        <v>LW</v>
      </c>
      <c r="C130" s="95">
        <f>IF(Settings!$E$15="POINTS",RANK(E130,E3:E152),H130)</f>
        <v>124</v>
      </c>
      <c r="D130" s="65" t="str">
        <f>VLOOKUP(A130,'The List'!B1:F665,5,FALSE)</f>
        <v>BUF</v>
      </c>
      <c r="E130" s="54">
        <f>VLOOKUP(A130,'The List'!B1:I665,8,FALSE)</f>
        <v>141.63742334045151</v>
      </c>
      <c r="F130" s="54">
        <f>IF(Settings!$E$15="POINTS",E130-VLOOKUP(B$2,C1:E152,3,FALSE),J130)</f>
        <v>-239.42408896204824</v>
      </c>
      <c r="G130" s="54"/>
      <c r="H130" s="167">
        <f>RANK(I130,I3:I152)</f>
        <v>129</v>
      </c>
      <c r="I130" s="168">
        <f>VLOOKUP(A130,'Standard Deviations'!A1:C666,3,FALSE)</f>
        <v>-3.5451756758601638</v>
      </c>
      <c r="J130" s="168">
        <f>I130-VLOOKUP(B$2,H1:J152,2,FALSE)</f>
        <v>-9.5602445559211056</v>
      </c>
    </row>
    <row r="131" spans="1:10" ht="21.25" customHeight="1" x14ac:dyDescent="0.15">
      <c r="A131" s="9" t="s">
        <v>664</v>
      </c>
      <c r="B131" s="94" t="str">
        <f>VLOOKUP(A131,'The List'!B1:D665,3,FALSE)</f>
        <v>LW/RW</v>
      </c>
      <c r="C131" s="95">
        <f>IF(Settings!$E$15="POINTS",RANK(E131,E3:E152),H131)</f>
        <v>130</v>
      </c>
      <c r="D131" s="65" t="str">
        <f>VLOOKUP(A131,'The List'!B1:F665,5,FALSE)</f>
        <v>MIN</v>
      </c>
      <c r="E131" s="54">
        <f>VLOOKUP(A131,'The List'!B1:I665,8,FALSE)</f>
        <v>134.63087707693344</v>
      </c>
      <c r="F131" s="54">
        <f>IF(Settings!$E$15="POINTS",E131-VLOOKUP(B$2,C1:E152,3,FALSE),J131)</f>
        <v>-246.43063522556631</v>
      </c>
      <c r="G131" s="54"/>
      <c r="H131" s="167">
        <f>RANK(I131,I3:I152)</f>
        <v>124</v>
      </c>
      <c r="I131" s="168">
        <f>VLOOKUP(A131,'Standard Deviations'!A1:C666,3,FALSE)</f>
        <v>-3.1509380390799087</v>
      </c>
      <c r="J131" s="168">
        <f>I131-VLOOKUP(B$2,H1:J152,2,FALSE)</f>
        <v>-9.1660069191408517</v>
      </c>
    </row>
    <row r="132" spans="1:10" ht="21.25" customHeight="1" x14ac:dyDescent="0.15">
      <c r="A132" s="9" t="s">
        <v>732</v>
      </c>
      <c r="B132" s="94" t="str">
        <f>VLOOKUP(A132,'The List'!B1:D665,3,FALSE)</f>
        <v>LW</v>
      </c>
      <c r="C132" s="95">
        <f>IF(Settings!$E$15="POINTS",RANK(E132,E3:E152),H132)</f>
        <v>135</v>
      </c>
      <c r="D132" s="65" t="str">
        <f>VLOOKUP(A132,'The List'!B1:F665,5,FALSE)</f>
        <v>UTA</v>
      </c>
      <c r="E132" s="54">
        <f>VLOOKUP(A132,'The List'!B1:I665,8,FALSE)</f>
        <v>116.59629169467428</v>
      </c>
      <c r="F132" s="54">
        <f>IF(Settings!$E$15="POINTS",E132-VLOOKUP(B$2,C1:E152,3,FALSE),J132)</f>
        <v>-264.46522060782547</v>
      </c>
      <c r="G132" s="54"/>
      <c r="H132" s="167">
        <f>RANK(I132,I3:I152)</f>
        <v>135</v>
      </c>
      <c r="I132" s="168">
        <f>VLOOKUP(A132,'Standard Deviations'!A1:C666,3,FALSE)</f>
        <v>-3.9855504229225249</v>
      </c>
      <c r="J132" s="168">
        <f>I132-VLOOKUP(B$2,H1:J152,2,FALSE)</f>
        <v>-10.000619302983468</v>
      </c>
    </row>
    <row r="133" spans="1:10" ht="21.25" customHeight="1" x14ac:dyDescent="0.15">
      <c r="A133" s="9" t="s">
        <v>745</v>
      </c>
      <c r="B133" s="94" t="str">
        <f>VLOOKUP(A133,'The List'!B1:D665,3,FALSE)</f>
        <v>LW</v>
      </c>
      <c r="C133" s="95">
        <f>IF(Settings!$E$15="POINTS",RANK(E133,E3:E152),H133)</f>
        <v>137</v>
      </c>
      <c r="D133" s="65" t="str">
        <f>VLOOKUP(A133,'The List'!B1:F665,5,FALSE)</f>
        <v>MTL</v>
      </c>
      <c r="E133" s="54">
        <f>VLOOKUP(A133,'The List'!B1:I665,8,FALSE)</f>
        <v>112.31383254736966</v>
      </c>
      <c r="F133" s="54">
        <f>IF(Settings!$E$15="POINTS",E133-VLOOKUP(B$2,C1:E152,3,FALSE),J133)</f>
        <v>-268.74767975513009</v>
      </c>
      <c r="G133" s="54"/>
      <c r="H133" s="167">
        <f>RANK(I133,I3:I152)</f>
        <v>137</v>
      </c>
      <c r="I133" s="168">
        <f>VLOOKUP(A133,'Standard Deviations'!A1:C666,3,FALSE)</f>
        <v>-4.5532012324505153</v>
      </c>
      <c r="J133" s="168">
        <f>I133-VLOOKUP(B$2,H1:J152,2,FALSE)</f>
        <v>-10.568270112511458</v>
      </c>
    </row>
    <row r="134" spans="1:10" ht="21.25" customHeight="1" x14ac:dyDescent="0.15">
      <c r="A134" s="9" t="s">
        <v>674</v>
      </c>
      <c r="B134" s="94" t="str">
        <f>VLOOKUP(A134,'The List'!B1:D665,3,FALSE)</f>
        <v>C/LW</v>
      </c>
      <c r="C134" s="95">
        <f>IF(Settings!$E$15="POINTS",RANK(E134,E3:E152),H134)</f>
        <v>122</v>
      </c>
      <c r="D134" s="65" t="str">
        <f>VLOOKUP(A134,'The List'!B1:F665,5,FALSE)</f>
        <v>NSH</v>
      </c>
      <c r="E134" s="54">
        <f>VLOOKUP(A134,'The List'!B1:I665,8,FALSE)</f>
        <v>143.11292293614355</v>
      </c>
      <c r="F134" s="54">
        <f>IF(Settings!$E$15="POINTS",E134-VLOOKUP(B$2,C1:E152,3,FALSE),J134)</f>
        <v>-237.9485893663562</v>
      </c>
      <c r="G134" s="54"/>
      <c r="H134" s="167">
        <f>RANK(I134,I3:I152)</f>
        <v>116</v>
      </c>
      <c r="I134" s="168">
        <f>VLOOKUP(A134,'Standard Deviations'!A1:C666,3,FALSE)</f>
        <v>-2.7155062616481791</v>
      </c>
      <c r="J134" s="168">
        <f>I134-VLOOKUP(B$2,H1:J152,2,FALSE)</f>
        <v>-8.7305751417091209</v>
      </c>
    </row>
    <row r="135" spans="1:10" ht="21.25" customHeight="1" x14ac:dyDescent="0.15">
      <c r="A135" s="9" t="s">
        <v>686</v>
      </c>
      <c r="B135" s="94" t="str">
        <f>VLOOKUP(A135,'The List'!B1:D665,3,FALSE)</f>
        <v>LW</v>
      </c>
      <c r="C135" s="95">
        <f>IF(Settings!$E$15="POINTS",RANK(E135,E3:E152),H135)</f>
        <v>129</v>
      </c>
      <c r="D135" s="65" t="str">
        <f>VLOOKUP(A135,'The List'!B1:F665,5,FALSE)</f>
        <v>NYR</v>
      </c>
      <c r="E135" s="54">
        <f>VLOOKUP(A135,'The List'!B1:I665,8,FALSE)</f>
        <v>138.60599509845125</v>
      </c>
      <c r="F135" s="54">
        <f>IF(Settings!$E$15="POINTS",E135-VLOOKUP(B$2,C1:E152,3,FALSE),J135)</f>
        <v>-242.4555172040485</v>
      </c>
      <c r="G135" s="54"/>
      <c r="H135" s="167">
        <f>RANK(I135,I3:I152)</f>
        <v>114</v>
      </c>
      <c r="I135" s="168">
        <f>VLOOKUP(A135,'Standard Deviations'!A1:C666,3,FALSE)</f>
        <v>-2.7058683046701484</v>
      </c>
      <c r="J135" s="168">
        <f>I135-VLOOKUP(B$2,H1:J152,2,FALSE)</f>
        <v>-8.7209371847310919</v>
      </c>
    </row>
    <row r="136" spans="1:10" ht="21.25" customHeight="1" x14ac:dyDescent="0.15">
      <c r="A136" s="9" t="s">
        <v>700</v>
      </c>
      <c r="B136" s="94" t="str">
        <f>VLOOKUP(A136,'The List'!B1:D665,3,FALSE)</f>
        <v>LW</v>
      </c>
      <c r="C136" s="95">
        <f>IF(Settings!$E$15="POINTS",RANK(E136,E3:E152),H136)</f>
        <v>131</v>
      </c>
      <c r="D136" s="65" t="str">
        <f>VLOOKUP(A136,'The List'!B1:F665,5,FALSE)</f>
        <v>T.B</v>
      </c>
      <c r="E136" s="54">
        <f>VLOOKUP(A136,'The List'!B1:I665,8,FALSE)</f>
        <v>132.04790514047983</v>
      </c>
      <c r="F136" s="54">
        <f>IF(Settings!$E$15="POINTS",E136-VLOOKUP(B$2,C1:E152,3,FALSE),J136)</f>
        <v>-249.01360716201992</v>
      </c>
      <c r="G136" s="54"/>
      <c r="H136" s="167">
        <f>RANK(I136,I3:I152)</f>
        <v>123</v>
      </c>
      <c r="I136" s="168">
        <f>VLOOKUP(A136,'Standard Deviations'!A1:C666,3,FALSE)</f>
        <v>-3.1453841695450548</v>
      </c>
      <c r="J136" s="168">
        <f>I136-VLOOKUP(B$2,H1:J152,2,FALSE)</f>
        <v>-9.1604530496059979</v>
      </c>
    </row>
    <row r="137" spans="1:10" ht="21.25" customHeight="1" x14ac:dyDescent="0.15">
      <c r="A137" s="9" t="s">
        <v>715</v>
      </c>
      <c r="B137" s="94" t="str">
        <f>VLOOKUP(A137,'The List'!B1:D665,3,FALSE)</f>
        <v>LW</v>
      </c>
      <c r="C137" s="95">
        <f>IF(Settings!$E$15="POINTS",RANK(E137,E3:E152),H137)</f>
        <v>133</v>
      </c>
      <c r="D137" s="65" t="str">
        <f>VLOOKUP(A137,'The List'!B1:F665,5,FALSE)</f>
        <v>SEA</v>
      </c>
      <c r="E137" s="54">
        <f>VLOOKUP(A137,'The List'!B1:I665,8,FALSE)</f>
        <v>125.69379837459259</v>
      </c>
      <c r="F137" s="54">
        <f>IF(Settings!$E$15="POINTS",E137-VLOOKUP(B$2,C1:E152,3,FALSE),J137)</f>
        <v>-255.36771392790718</v>
      </c>
      <c r="G137" s="54"/>
      <c r="H137" s="167">
        <f>RANK(I137,I3:I152)</f>
        <v>133</v>
      </c>
      <c r="I137" s="168">
        <f>VLOOKUP(A137,'Standard Deviations'!A1:C666,3,FALSE)</f>
        <v>-3.8949251083450163</v>
      </c>
      <c r="J137" s="168">
        <f>I137-VLOOKUP(B$2,H1:J152,2,FALSE)</f>
        <v>-9.909993988405958</v>
      </c>
    </row>
    <row r="138" spans="1:10" ht="21.25" customHeight="1" x14ac:dyDescent="0.15">
      <c r="A138" s="9" t="s">
        <v>701</v>
      </c>
      <c r="B138" s="94" t="str">
        <f>VLOOKUP(A138,'The List'!B1:D665,3,FALSE)</f>
        <v>LW</v>
      </c>
      <c r="C138" s="95">
        <f>IF(Settings!$E$15="POINTS",RANK(E138,E3:E152),H138)</f>
        <v>132</v>
      </c>
      <c r="D138" s="65" t="str">
        <f>VLOOKUP(A138,'The List'!B1:F665,5,FALSE)</f>
        <v>NYR</v>
      </c>
      <c r="E138" s="54">
        <f>VLOOKUP(A138,'The List'!B1:I665,8,FALSE)</f>
        <v>131.4056862602657</v>
      </c>
      <c r="F138" s="54">
        <f>IF(Settings!$E$15="POINTS",E138-VLOOKUP(B$2,C1:E152,3,FALSE),J138)</f>
        <v>-249.65582604223405</v>
      </c>
      <c r="G138" s="54"/>
      <c r="H138" s="167">
        <f>RANK(I138,I3:I152)</f>
        <v>113</v>
      </c>
      <c r="I138" s="168">
        <f>VLOOKUP(A138,'Standard Deviations'!A1:C666,3,FALSE)</f>
        <v>-2.683961876102321</v>
      </c>
      <c r="J138" s="168">
        <f>I138-VLOOKUP(B$2,H1:J152,2,FALSE)</f>
        <v>-8.699030756163264</v>
      </c>
    </row>
    <row r="139" spans="1:10" ht="21.25" customHeight="1" x14ac:dyDescent="0.15">
      <c r="A139" s="9" t="s">
        <v>722</v>
      </c>
      <c r="B139" s="94" t="str">
        <f>VLOOKUP(A139,'The List'!B1:D665,3,FALSE)</f>
        <v>LW</v>
      </c>
      <c r="C139" s="95">
        <f>IF(Settings!$E$15="POINTS",RANK(E139,E3:E152),H139)</f>
        <v>134</v>
      </c>
      <c r="D139" s="65" t="str">
        <f>VLOOKUP(A139,'The List'!B1:F665,5,FALSE)</f>
        <v>NSH</v>
      </c>
      <c r="E139" s="54">
        <f>VLOOKUP(A139,'The List'!B1:I665,8,FALSE)</f>
        <v>122.15946644492202</v>
      </c>
      <c r="F139" s="54">
        <f>IF(Settings!$E$15="POINTS",E139-VLOOKUP(B$2,C1:E152,3,FALSE),J139)</f>
        <v>-258.90204585757772</v>
      </c>
      <c r="G139" s="54"/>
      <c r="H139" s="167">
        <f>RANK(I139,I3:I152)</f>
        <v>130</v>
      </c>
      <c r="I139" s="168">
        <f>VLOOKUP(A139,'Standard Deviations'!A1:C666,3,FALSE)</f>
        <v>-3.5999095728919137</v>
      </c>
      <c r="J139" s="168">
        <f>I139-VLOOKUP(B$2,H1:J152,2,FALSE)</f>
        <v>-9.6149784529528564</v>
      </c>
    </row>
    <row r="140" spans="1:10" ht="21.25" customHeight="1" x14ac:dyDescent="0.15">
      <c r="A140" s="9" t="s">
        <v>733</v>
      </c>
      <c r="B140" s="94" t="str">
        <f>VLOOKUP(A140,'The List'!B1:D665,3,FALSE)</f>
        <v>LW</v>
      </c>
      <c r="C140" s="95">
        <f>IF(Settings!$E$15="POINTS",RANK(E140,E3:E152),H140)</f>
        <v>136</v>
      </c>
      <c r="D140" s="65" t="str">
        <f>VLOOKUP(A140,'The List'!B1:F665,5,FALSE)</f>
        <v>DET</v>
      </c>
      <c r="E140" s="54">
        <f>VLOOKUP(A140,'The List'!B1:I665,8,FALSE)</f>
        <v>116.59330380358381</v>
      </c>
      <c r="F140" s="54">
        <f>IF(Settings!$E$15="POINTS",E140-VLOOKUP(B$2,C1:E152,3,FALSE),J140)</f>
        <v>-264.46820849891594</v>
      </c>
      <c r="G140" s="54"/>
      <c r="H140" s="167">
        <f>RANK(I140,I3:I152)</f>
        <v>132</v>
      </c>
      <c r="I140" s="168">
        <f>VLOOKUP(A140,'Standard Deviations'!A1:C666,3,FALSE)</f>
        <v>-3.6980204158437546</v>
      </c>
      <c r="J140" s="168">
        <f>I140-VLOOKUP(B$2,H1:J152,2,FALSE)</f>
        <v>-9.7130892959046982</v>
      </c>
    </row>
    <row r="141" spans="1:10" ht="21.25" customHeight="1" x14ac:dyDescent="0.15">
      <c r="A141" s="9" t="s">
        <v>749</v>
      </c>
      <c r="B141" s="94" t="str">
        <f>VLOOKUP(A141,'The List'!B1:D665,3,FALSE)</f>
        <v>LW</v>
      </c>
      <c r="C141" s="95">
        <f>IF(Settings!$E$15="POINTS",RANK(E141,E3:E152),H141)</f>
        <v>138</v>
      </c>
      <c r="D141" s="65" t="str">
        <f>VLOOKUP(A141,'The List'!B1:F665,5,FALSE)</f>
        <v>MTL</v>
      </c>
      <c r="E141" s="54">
        <f>VLOOKUP(A141,'The List'!B1:I665,8,FALSE)</f>
        <v>108.73902885296502</v>
      </c>
      <c r="F141" s="54">
        <f>IF(Settings!$E$15="POINTS",E141-VLOOKUP(B$2,C1:E152,3,FALSE),J141)</f>
        <v>-272.32248344953473</v>
      </c>
      <c r="G141" s="54"/>
      <c r="H141" s="167">
        <f>RANK(I141,I3:I152)</f>
        <v>145</v>
      </c>
      <c r="I141" s="168">
        <f>VLOOKUP(A141,'Standard Deviations'!A1:C666,3,FALSE)</f>
        <v>-5.0633232430269794</v>
      </c>
      <c r="J141" s="168">
        <f>I141-VLOOKUP(B$2,H1:J152,2,FALSE)</f>
        <v>-11.078392123087923</v>
      </c>
    </row>
    <row r="142" spans="1:10" ht="21.25" customHeight="1" x14ac:dyDescent="0.15">
      <c r="A142" s="9" t="s">
        <v>752</v>
      </c>
      <c r="B142" s="94" t="str">
        <f>VLOOKUP(A142,'The List'!B1:D665,3,FALSE)</f>
        <v>LW</v>
      </c>
      <c r="C142" s="95">
        <f>IF(Settings!$E$15="POINTS",RANK(E142,E3:E152),H142)</f>
        <v>139</v>
      </c>
      <c r="D142" s="65" t="str">
        <f>VLOOKUP(A142,'The List'!B1:F665,5,FALSE)</f>
        <v>COL</v>
      </c>
      <c r="E142" s="54">
        <f>VLOOKUP(A142,'The List'!B1:I665,8,FALSE)</f>
        <v>107.65273482520008</v>
      </c>
      <c r="F142" s="54">
        <f>IF(Settings!$E$15="POINTS",E142-VLOOKUP(B$2,C1:E152,3,FALSE),J142)</f>
        <v>-273.40877747729968</v>
      </c>
      <c r="G142" s="54"/>
      <c r="H142" s="167">
        <f>RANK(I142,I3:I152)</f>
        <v>139</v>
      </c>
      <c r="I142" s="168">
        <f>VLOOKUP(A142,'Standard Deviations'!A1:C666,3,FALSE)</f>
        <v>-4.6516180477582276</v>
      </c>
      <c r="J142" s="168">
        <f>I142-VLOOKUP(B$2,H1:J152,2,FALSE)</f>
        <v>-10.666686927819171</v>
      </c>
    </row>
    <row r="143" spans="1:10" ht="21.25" customHeight="1" x14ac:dyDescent="0.15">
      <c r="A143" s="9" t="s">
        <v>753</v>
      </c>
      <c r="B143" s="94" t="str">
        <f>VLOOKUP(A143,'The List'!B1:D665,3,FALSE)</f>
        <v>LW</v>
      </c>
      <c r="C143" s="95">
        <f>IF(Settings!$E$15="POINTS",RANK(E143,E3:E152),H143)</f>
        <v>140</v>
      </c>
      <c r="D143" s="65" t="str">
        <f>VLOOKUP(A143,'The List'!B1:F665,5,FALSE)</f>
        <v>T.B</v>
      </c>
      <c r="E143" s="54">
        <f>VLOOKUP(A143,'The List'!B1:I665,8,FALSE)</f>
        <v>106.4836535878495</v>
      </c>
      <c r="F143" s="54">
        <f>IF(Settings!$E$15="POINTS",E143-VLOOKUP(B$2,C1:E152,3,FALSE),J143)</f>
        <v>-274.57785871465023</v>
      </c>
      <c r="G143" s="54"/>
      <c r="H143" s="167">
        <f>RANK(I143,I3:I152)</f>
        <v>136</v>
      </c>
      <c r="I143" s="168">
        <f>VLOOKUP(A143,'Standard Deviations'!A1:C666,3,FALSE)</f>
        <v>-4.485967016486768</v>
      </c>
      <c r="J143" s="168">
        <f>I143-VLOOKUP(B$2,H1:J152,2,FALSE)</f>
        <v>-10.501035896547711</v>
      </c>
    </row>
    <row r="144" spans="1:10" ht="21.25" customHeight="1" x14ac:dyDescent="0.15">
      <c r="A144" s="9" t="s">
        <v>765</v>
      </c>
      <c r="B144" s="94" t="str">
        <f>VLOOKUP(A144,'The List'!B1:D665,3,FALSE)</f>
        <v>LW</v>
      </c>
      <c r="C144" s="95">
        <f>IF(Settings!$E$15="POINTS",RANK(E144,E3:E152),H144)</f>
        <v>143</v>
      </c>
      <c r="D144" s="65" t="str">
        <f>VLOOKUP(A144,'The List'!B1:F665,5,FALSE)</f>
        <v>ANA</v>
      </c>
      <c r="E144" s="54">
        <f>VLOOKUP(A144,'The List'!B1:I665,8,FALSE)</f>
        <v>96.315806075660461</v>
      </c>
      <c r="F144" s="54">
        <f>IF(Settings!$E$15="POINTS",E144-VLOOKUP(B$2,C1:E152,3,FALSE),J144)</f>
        <v>-284.74570622683927</v>
      </c>
      <c r="G144" s="54"/>
      <c r="H144" s="167">
        <f>RANK(I144,I3:I152)</f>
        <v>149</v>
      </c>
      <c r="I144" s="168">
        <f>VLOOKUP(A144,'Standard Deviations'!A1:C666,3,FALSE)</f>
        <v>-5.9338682737662252</v>
      </c>
      <c r="J144" s="168">
        <f>I144-VLOOKUP(B$2,H1:J152,2,FALSE)</f>
        <v>-11.948937153827167</v>
      </c>
    </row>
    <row r="145" spans="1:10" ht="21.25" customHeight="1" x14ac:dyDescent="0.15">
      <c r="A145" s="9" t="s">
        <v>771</v>
      </c>
      <c r="B145" s="94" t="str">
        <f>VLOOKUP(A145,'The List'!B1:D665,3,FALSE)</f>
        <v>LW</v>
      </c>
      <c r="C145" s="95">
        <f>IF(Settings!$E$15="POINTS",RANK(E145,E3:E152),H145)</f>
        <v>145</v>
      </c>
      <c r="D145" s="65" t="str">
        <f>VLOOKUP(A145,'The List'!B1:F665,5,FALSE)</f>
        <v>BOS</v>
      </c>
      <c r="E145" s="54">
        <f>VLOOKUP(A145,'The List'!B1:I665,8,FALSE)</f>
        <v>92.162181960716353</v>
      </c>
      <c r="F145" s="54">
        <f>IF(Settings!$E$15="POINTS",E145-VLOOKUP(B$2,C1:E152,3,FALSE),J145)</f>
        <v>-288.89933034178341</v>
      </c>
      <c r="G145" s="54"/>
      <c r="H145" s="167">
        <f>RANK(I145,I3:I152)</f>
        <v>150</v>
      </c>
      <c r="I145" s="168">
        <f>VLOOKUP(A145,'Standard Deviations'!A1:C666,3,FALSE)</f>
        <v>-6.1351110972197223</v>
      </c>
      <c r="J145" s="168">
        <f>I145-VLOOKUP(B$2,H1:J152,2,FALSE)</f>
        <v>-12.150179977280665</v>
      </c>
    </row>
    <row r="146" spans="1:10" ht="21.25" customHeight="1" x14ac:dyDescent="0.15">
      <c r="A146" s="9" t="s">
        <v>764</v>
      </c>
      <c r="B146" s="94" t="str">
        <f>VLOOKUP(A146,'The List'!B1:D665,3,FALSE)</f>
        <v>LW</v>
      </c>
      <c r="C146" s="95">
        <f>IF(Settings!$E$15="POINTS",RANK(E146,E3:E152),H146)</f>
        <v>142</v>
      </c>
      <c r="D146" s="65" t="str">
        <f>VLOOKUP(A146,'The List'!B1:F665,5,FALSE)</f>
        <v>FLA</v>
      </c>
      <c r="E146" s="54">
        <f>VLOOKUP(A146,'The List'!B1:I665,8,FALSE)</f>
        <v>97.887005838206335</v>
      </c>
      <c r="F146" s="54">
        <f>IF(Settings!$E$15="POINTS",E146-VLOOKUP(B$2,C1:E152,3,FALSE),J146)</f>
        <v>-283.17450646429342</v>
      </c>
      <c r="G146" s="54"/>
      <c r="H146" s="167">
        <f>RANK(I146,I3:I152)</f>
        <v>146</v>
      </c>
      <c r="I146" s="168">
        <f>VLOOKUP(A146,'Standard Deviations'!A1:C666,3,FALSE)</f>
        <v>-5.174829742049452</v>
      </c>
      <c r="J146" s="168">
        <f>I146-VLOOKUP(B$2,H1:J152,2,FALSE)</f>
        <v>-11.189898622110395</v>
      </c>
    </row>
    <row r="147" spans="1:10" ht="21.25" customHeight="1" x14ac:dyDescent="0.15">
      <c r="A147" s="9" t="s">
        <v>770</v>
      </c>
      <c r="B147" s="94" t="str">
        <f>VLOOKUP(A147,'The List'!B1:D665,3,FALSE)</f>
        <v>LW</v>
      </c>
      <c r="C147" s="95">
        <f>IF(Settings!$E$15="POINTS",RANK(E147,E3:E152),H147)</f>
        <v>144</v>
      </c>
      <c r="D147" s="65" t="str">
        <f>VLOOKUP(A147,'The List'!B1:F665,5,FALSE)</f>
        <v>FLA</v>
      </c>
      <c r="E147" s="54">
        <f>VLOOKUP(A147,'The List'!B1:I665,8,FALSE)</f>
        <v>92.916488134122005</v>
      </c>
      <c r="F147" s="54">
        <f>IF(Settings!$E$15="POINTS",E147-VLOOKUP(B$2,C1:E152,3,FALSE),J147)</f>
        <v>-288.14502416837774</v>
      </c>
      <c r="G147" s="54"/>
      <c r="H147" s="167">
        <f>RANK(I147,I3:I152)</f>
        <v>138</v>
      </c>
      <c r="I147" s="168">
        <f>VLOOKUP(A147,'Standard Deviations'!A1:C666,3,FALSE)</f>
        <v>-4.5539973626474364</v>
      </c>
      <c r="J147" s="168">
        <f>I147-VLOOKUP(B$2,H1:J152,2,FALSE)</f>
        <v>-10.569066242708379</v>
      </c>
    </row>
    <row r="148" spans="1:10" ht="21.25" customHeight="1" x14ac:dyDescent="0.15">
      <c r="A148" s="9" t="s">
        <v>785</v>
      </c>
      <c r="B148" s="94" t="str">
        <f>VLOOKUP(A148,'The List'!B1:D665,3,FALSE)</f>
        <v>C/LW</v>
      </c>
      <c r="C148" s="95">
        <f>IF(Settings!$E$15="POINTS",RANK(E148,E3:E152),H148)</f>
        <v>149</v>
      </c>
      <c r="D148" s="65" t="str">
        <f>VLOOKUP(A148,'The List'!B1:F665,5,FALSE)</f>
        <v>CGY</v>
      </c>
      <c r="E148" s="54">
        <f>VLOOKUP(A148,'The List'!B1:I665,8,FALSE)</f>
        <v>75.982210681361281</v>
      </c>
      <c r="F148" s="54">
        <f>IF(Settings!$E$15="POINTS",E148-VLOOKUP(B$2,C1:E152,3,FALSE),J148)</f>
        <v>-305.07930162113848</v>
      </c>
      <c r="G148" s="54"/>
      <c r="H148" s="167">
        <f>RANK(I148,I3:I152)</f>
        <v>148</v>
      </c>
      <c r="I148" s="168">
        <f>VLOOKUP(A148,'Standard Deviations'!A1:C666,3,FALSE)</f>
        <v>-5.6626339880687961</v>
      </c>
      <c r="J148" s="168">
        <f>I148-VLOOKUP(B$2,H1:J152,2,FALSE)</f>
        <v>-11.677702868129739</v>
      </c>
    </row>
    <row r="149" spans="1:10" ht="21.25" customHeight="1" x14ac:dyDescent="0.15">
      <c r="A149" s="9" t="s">
        <v>774</v>
      </c>
      <c r="B149" s="94" t="str">
        <f>VLOOKUP(A149,'The List'!B1:D665,3,FALSE)</f>
        <v>LW</v>
      </c>
      <c r="C149" s="95">
        <f>IF(Settings!$E$15="POINTS",RANK(E149,E3:E152),H149)</f>
        <v>146</v>
      </c>
      <c r="D149" s="65" t="str">
        <f>VLOOKUP(A149,'The List'!B1:F665,5,FALSE)</f>
        <v>CGY</v>
      </c>
      <c r="E149" s="54">
        <f>VLOOKUP(A149,'The List'!B1:I665,8,FALSE)</f>
        <v>90.763433857421902</v>
      </c>
      <c r="F149" s="54">
        <f>IF(Settings!$E$15="POINTS",E149-VLOOKUP(B$2,C1:E152,3,FALSE),J149)</f>
        <v>-290.29807844507786</v>
      </c>
      <c r="G149" s="54"/>
      <c r="H149" s="167">
        <f>RANK(I149,I3:I152)</f>
        <v>134</v>
      </c>
      <c r="I149" s="168">
        <f>VLOOKUP(A149,'Standard Deviations'!A1:C666,3,FALSE)</f>
        <v>-3.8971607773328092</v>
      </c>
      <c r="J149" s="168">
        <f>I149-VLOOKUP(B$2,H1:J152,2,FALSE)</f>
        <v>-9.9122296573937518</v>
      </c>
    </row>
    <row r="150" spans="1:10" ht="21.25" customHeight="1" x14ac:dyDescent="0.15">
      <c r="A150" s="9" t="s">
        <v>783</v>
      </c>
      <c r="B150" s="94" t="str">
        <f>VLOOKUP(A150,'The List'!B1:D665,3,FALSE)</f>
        <v>LW</v>
      </c>
      <c r="C150" s="95">
        <f>IF(Settings!$E$15="POINTS",RANK(E150,E3:E152),H150)</f>
        <v>148</v>
      </c>
      <c r="D150" s="65" t="str">
        <f>VLOOKUP(A150,'The List'!B1:F665,5,FALSE)</f>
        <v>COL</v>
      </c>
      <c r="E150" s="54">
        <f>VLOOKUP(A150,'The List'!B1:I665,8,FALSE)</f>
        <v>79.586211178357658</v>
      </c>
      <c r="F150" s="54">
        <f>IF(Settings!$E$15="POINTS",E150-VLOOKUP(B$2,C1:E152,3,FALSE),J150)</f>
        <v>-301.47530112414211</v>
      </c>
      <c r="G150" s="54"/>
      <c r="H150" s="167">
        <f>RANK(I150,I3:I152)</f>
        <v>140</v>
      </c>
      <c r="I150" s="168">
        <f>VLOOKUP(A150,'Standard Deviations'!A1:C666,3,FALSE)</f>
        <v>-4.6641932456339621</v>
      </c>
      <c r="J150" s="168">
        <f>I150-VLOOKUP(B$2,H1:J152,2,FALSE)</f>
        <v>-10.679262125694905</v>
      </c>
    </row>
    <row r="151" spans="1:10" ht="21.25" customHeight="1" x14ac:dyDescent="0.15">
      <c r="A151" s="9" t="s">
        <v>782</v>
      </c>
      <c r="B151" s="94" t="str">
        <f>VLOOKUP(A151,'The List'!B1:D665,3,FALSE)</f>
        <v>LW</v>
      </c>
      <c r="C151" s="95">
        <f>IF(Settings!$E$15="POINTS",RANK(E151,E3:E152),H151)</f>
        <v>147</v>
      </c>
      <c r="D151" s="65" t="str">
        <f>VLOOKUP(A151,'The List'!B1:F665,5,FALSE)</f>
        <v>CHI</v>
      </c>
      <c r="E151" s="54">
        <f>VLOOKUP(A151,'The List'!B1:I665,8,FALSE)</f>
        <v>81.475835608360939</v>
      </c>
      <c r="F151" s="54">
        <f>IF(Settings!$E$15="POINTS",E151-VLOOKUP(B$2,C1:E152,3,FALSE),J151)</f>
        <v>-299.58567669413878</v>
      </c>
      <c r="G151" s="54"/>
      <c r="H151" s="167">
        <f>RANK(I151,I3:I152)</f>
        <v>147</v>
      </c>
      <c r="I151" s="168">
        <f>VLOOKUP(A151,'Standard Deviations'!A1:C666,3,FALSE)</f>
        <v>-5.2397502356986978</v>
      </c>
      <c r="J151" s="168">
        <f>I151-VLOOKUP(B$2,H1:J152,2,FALSE)</f>
        <v>-11.254819115759641</v>
      </c>
    </row>
    <row r="152" spans="1:10" ht="21.25" customHeight="1" x14ac:dyDescent="0.15">
      <c r="A152" s="9" t="s">
        <v>788</v>
      </c>
      <c r="B152" s="94" t="str">
        <f>VLOOKUP(A152,'The List'!B1:D665,3,FALSE)</f>
        <v>LW</v>
      </c>
      <c r="C152" s="95">
        <f>IF(Settings!$E$15="POINTS",RANK(E152,E3:E152),H152)</f>
        <v>150</v>
      </c>
      <c r="D152" s="65" t="str">
        <f>VLOOKUP(A152,'The List'!B1:F665,5,FALSE)</f>
        <v>FLA</v>
      </c>
      <c r="E152" s="54">
        <f>VLOOKUP(A152,'The List'!B1:I665,8,FALSE)</f>
        <v>66.334555102611958</v>
      </c>
      <c r="F152" s="54">
        <f>IF(Settings!$E$15="POINTS",E152-VLOOKUP(B$2,C1:E152,3,FALSE),J152)</f>
        <v>-314.72695719988781</v>
      </c>
      <c r="G152" s="54"/>
      <c r="H152" s="167">
        <f>RANK(I152,I3:I152)</f>
        <v>142</v>
      </c>
      <c r="I152" s="168">
        <f>VLOOKUP(A152,'Standard Deviations'!A1:C666,3,FALSE)</f>
        <v>-4.8567492780533463</v>
      </c>
      <c r="J152" s="168">
        <f>I152-VLOOKUP(B$2,H1:J152,2,FALSE)</f>
        <v>-10.871818158114289</v>
      </c>
    </row>
  </sheetData>
  <conditionalFormatting sqref="C3:C152 H3:H152">
    <cfRule type="containsText" dxfId="23" priority="1" stopIfTrue="1" operator="containsText" text="/">
      <formula>NOT(ISERROR(FIND(UPPER("/"),UPPER(C3))))</formula>
      <formula>"/"</formula>
    </cfRule>
    <cfRule type="containsText" dxfId="22" priority="2" stopIfTrue="1" operator="containsText" text="C">
      <formula>NOT(ISERROR(FIND(UPPER("C"),UPPER(C3))))</formula>
      <formula>"C"</formula>
    </cfRule>
    <cfRule type="containsText" dxfId="21" priority="3" stopIfTrue="1" operator="containsText" text="D">
      <formula>NOT(ISERROR(FIND(UPPER("D"),UPPER(C3))))</formula>
      <formula>"D"</formula>
    </cfRule>
    <cfRule type="containsText" dxfId="20" priority="4" stopIfTrue="1" operator="containsText" text="LW">
      <formula>NOT(ISERROR(FIND(UPPER("LW"),UPPER(C3))))</formula>
      <formula>"LW"</formula>
    </cfRule>
    <cfRule type="containsText" dxfId="19" priority="5" stopIfTrue="1" operator="containsText" text="RW">
      <formula>NOT(ISERROR(FIND(UPPER("RW"),UPPER(C3))))</formula>
      <formula>"RW"</formula>
    </cfRule>
    <cfRule type="containsText" dxfId="18" priority="6" stopIfTrue="1" operator="containsText" text="G">
      <formula>NOT(ISERROR(FIND(UPPER("G"),UPPER(C3))))</formula>
      <formula>"G"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36"/>
  <sheetViews>
    <sheetView showGridLines="0" workbookViewId="0">
      <pane ySplit="2" topLeftCell="A3" activePane="bottomLeft" state="frozen"/>
      <selection pane="bottomLeft"/>
    </sheetView>
  </sheetViews>
  <sheetFormatPr baseColWidth="10" defaultColWidth="8" defaultRowHeight="16.25" customHeight="1" x14ac:dyDescent="0.15"/>
  <cols>
    <col min="1" max="1" width="33" style="1" customWidth="1"/>
    <col min="2" max="2" width="7.1640625" style="1" customWidth="1"/>
    <col min="3" max="3" width="6" style="1" customWidth="1"/>
    <col min="4" max="6" width="8.33203125" style="1" customWidth="1"/>
    <col min="7" max="10" width="1.33203125" style="1" customWidth="1"/>
    <col min="11" max="11" width="8" style="1" customWidth="1"/>
    <col min="12" max="16384" width="8" style="1"/>
  </cols>
  <sheetData>
    <row r="1" spans="1:10" ht="28.25" customHeight="1" x14ac:dyDescent="0.15">
      <c r="A1" s="151" t="s">
        <v>811</v>
      </c>
      <c r="B1" s="152" t="s">
        <v>817</v>
      </c>
      <c r="C1" s="153"/>
      <c r="D1" s="4" t="s">
        <v>12</v>
      </c>
      <c r="E1" s="154" t="s">
        <v>813</v>
      </c>
      <c r="F1" s="152" t="s">
        <v>97</v>
      </c>
      <c r="G1" s="155"/>
      <c r="H1" s="156"/>
      <c r="I1" s="157" t="s">
        <v>814</v>
      </c>
      <c r="J1" s="158" t="s">
        <v>97</v>
      </c>
    </row>
    <row r="2" spans="1:10" ht="28.25" customHeight="1" x14ac:dyDescent="0.15">
      <c r="A2" s="159" t="s">
        <v>61</v>
      </c>
      <c r="B2" s="160">
        <f>Settings!F4</f>
        <v>20</v>
      </c>
      <c r="C2" s="161"/>
      <c r="D2" s="162"/>
      <c r="E2" s="163"/>
      <c r="F2" s="163"/>
      <c r="G2" s="163"/>
      <c r="H2" s="169"/>
      <c r="I2" s="170"/>
      <c r="J2" s="170"/>
    </row>
    <row r="3" spans="1:10" ht="21.25" customHeight="1" x14ac:dyDescent="0.15">
      <c r="A3" s="9" t="s">
        <v>129</v>
      </c>
      <c r="B3" s="97" t="str">
        <f>VLOOKUP(A3,'The List'!B1:D665,3,FALSE)</f>
        <v>RW</v>
      </c>
      <c r="C3" s="98">
        <f>IF(Settings!$E$15="POINTS",RANK(E3,E3:E136),H3)</f>
        <v>1</v>
      </c>
      <c r="D3" s="65" t="str">
        <f>VLOOKUP(A3,'The List'!B1:F665,5,FALSE)</f>
        <v>T.B</v>
      </c>
      <c r="E3" s="54">
        <f>VLOOKUP(A3,'The List'!B1:I665,8,FALSE)</f>
        <v>572.95622430556693</v>
      </c>
      <c r="F3" s="54">
        <f>IF(Settings!$E$15="POINTS",E3-VLOOKUP(B$2,C1:E136,3,FALSE),J3)</f>
        <v>204.10850119927454</v>
      </c>
      <c r="G3" s="54"/>
      <c r="H3" s="171">
        <f>RANK(I3,I3:I136)</f>
        <v>1</v>
      </c>
      <c r="I3" s="172">
        <f>VLOOKUP(A3,'Standard Deviations'!A1:C666,3,FALSE)</f>
        <v>13.21377483414707</v>
      </c>
      <c r="J3" s="172">
        <f>I3-VLOOKUP(B$2,H1:J136,2,FALSE)</f>
        <v>7.7647411598912148</v>
      </c>
    </row>
    <row r="4" spans="1:10" ht="21.25" customHeight="1" x14ac:dyDescent="0.15">
      <c r="A4" s="9" t="s">
        <v>131</v>
      </c>
      <c r="B4" s="97" t="str">
        <f>VLOOKUP(A4,'The List'!B1:D665,3,FALSE)</f>
        <v>RW</v>
      </c>
      <c r="C4" s="98">
        <f>IF(Settings!$E$15="POINTS",RANK(E4,E3:E136),H4)</f>
        <v>2</v>
      </c>
      <c r="D4" s="65" t="str">
        <f>VLOOKUP(A4,'The List'!B1:F665,5,FALSE)</f>
        <v>BOS</v>
      </c>
      <c r="E4" s="54">
        <f>VLOOKUP(A4,'The List'!B1:I665,8,FALSE)</f>
        <v>550.83562312951994</v>
      </c>
      <c r="F4" s="54">
        <f>IF(Settings!$E$15="POINTS",E4-VLOOKUP(B$2,C1:E136,3,FALSE),J4)</f>
        <v>181.98790002322755</v>
      </c>
      <c r="G4" s="54"/>
      <c r="H4" s="167">
        <f>RANK(I4,I3:I136)</f>
        <v>2</v>
      </c>
      <c r="I4" s="168">
        <f>VLOOKUP(A4,'Standard Deviations'!A1:C666,3,FALSE)</f>
        <v>12.755716494861755</v>
      </c>
      <c r="J4" s="168">
        <f>I4-VLOOKUP(B$2,H1:J136,2,FALSE)</f>
        <v>7.3066828206058991</v>
      </c>
    </row>
    <row r="5" spans="1:10" ht="21.25" customHeight="1" x14ac:dyDescent="0.15">
      <c r="A5" s="9" t="s">
        <v>133</v>
      </c>
      <c r="B5" s="97" t="str">
        <f>VLOOKUP(A5,'The List'!B1:D665,3,FALSE)</f>
        <v>RW</v>
      </c>
      <c r="C5" s="98">
        <f>IF(Settings!$E$15="POINTS",RANK(E5,E3:E136),H5)</f>
        <v>3</v>
      </c>
      <c r="D5" s="65" t="str">
        <f>VLOOKUP(A5,'The List'!B1:F665,5,FALSE)</f>
        <v>COL</v>
      </c>
      <c r="E5" s="54">
        <f>VLOOKUP(A5,'The List'!B1:I665,8,FALSE)</f>
        <v>512.09738528432251</v>
      </c>
      <c r="F5" s="54">
        <f>IF(Settings!$E$15="POINTS",E5-VLOOKUP(B$2,C1:E136,3,FALSE),J5)</f>
        <v>143.24966217803012</v>
      </c>
      <c r="G5" s="54"/>
      <c r="H5" s="167">
        <f>RANK(I5,I3:I136)</f>
        <v>3</v>
      </c>
      <c r="I5" s="168">
        <f>VLOOKUP(A5,'Standard Deviations'!A1:C666,3,FALSE)</f>
        <v>11.973052277409655</v>
      </c>
      <c r="J5" s="168">
        <f>I5-VLOOKUP(B$2,H1:J136,2,FALSE)</f>
        <v>6.5240186031537997</v>
      </c>
    </row>
    <row r="6" spans="1:10" ht="21.25" customHeight="1" x14ac:dyDescent="0.15">
      <c r="A6" s="9" t="s">
        <v>139</v>
      </c>
      <c r="B6" s="97" t="str">
        <f>VLOOKUP(A6,'The List'!B1:D665,3,FALSE)</f>
        <v>RW</v>
      </c>
      <c r="C6" s="98">
        <f>IF(Settings!$E$15="POINTS",RANK(E6,E3:E136),H6)</f>
        <v>6</v>
      </c>
      <c r="D6" s="65" t="str">
        <f>VLOOKUP(A6,'The List'!B1:F665,5,FALSE)</f>
        <v>TOR</v>
      </c>
      <c r="E6" s="54">
        <f>VLOOKUP(A6,'The List'!B1:I665,8,FALSE)</f>
        <v>486.67981722404403</v>
      </c>
      <c r="F6" s="54">
        <f>IF(Settings!$E$15="POINTS",E6-VLOOKUP(B$2,C1:E136,3,FALSE),J6)</f>
        <v>117.83209411775164</v>
      </c>
      <c r="G6" s="54"/>
      <c r="H6" s="167">
        <f>RANK(I6,I3:I136)</f>
        <v>5</v>
      </c>
      <c r="I6" s="168">
        <f>VLOOKUP(A6,'Standard Deviations'!A1:C666,3,FALSE)</f>
        <v>11.325545175332017</v>
      </c>
      <c r="J6" s="168">
        <f>I6-VLOOKUP(B$2,H1:J136,2,FALSE)</f>
        <v>5.8765115010761617</v>
      </c>
    </row>
    <row r="7" spans="1:10" ht="21.25" customHeight="1" x14ac:dyDescent="0.15">
      <c r="A7" s="9" t="s">
        <v>135</v>
      </c>
      <c r="B7" s="97" t="str">
        <f>VLOOKUP(A7,'The List'!B1:D665,3,FALSE)</f>
        <v>LW/RW</v>
      </c>
      <c r="C7" s="98">
        <f>IF(Settings!$E$15="POINTS",RANK(E7,E3:E136),H7)</f>
        <v>4</v>
      </c>
      <c r="D7" s="65" t="str">
        <f>VLOOKUP(A7,'The List'!B1:F665,5,FALSE)</f>
        <v>FLA</v>
      </c>
      <c r="E7" s="54">
        <f>VLOOKUP(A7,'The List'!B1:I665,8,FALSE)</f>
        <v>502.60098680363058</v>
      </c>
      <c r="F7" s="54">
        <f>IF(Settings!$E$15="POINTS",E7-VLOOKUP(B$2,C1:E136,3,FALSE),J7)</f>
        <v>133.75326369733818</v>
      </c>
      <c r="G7" s="54"/>
      <c r="H7" s="167">
        <f>RANK(I7,I3:I136)</f>
        <v>4</v>
      </c>
      <c r="I7" s="168">
        <f>VLOOKUP(A7,'Standard Deviations'!A1:C666,3,FALSE)</f>
        <v>11.917408131329637</v>
      </c>
      <c r="J7" s="168">
        <f>I7-VLOOKUP(B$2,H1:J136,2,FALSE)</f>
        <v>6.4683744570737813</v>
      </c>
    </row>
    <row r="8" spans="1:10" ht="21.25" customHeight="1" x14ac:dyDescent="0.15">
      <c r="A8" s="9" t="s">
        <v>138</v>
      </c>
      <c r="B8" s="97" t="str">
        <f>VLOOKUP(A8,'The List'!B1:D665,3,FALSE)</f>
        <v>RW</v>
      </c>
      <c r="C8" s="98">
        <f>IF(Settings!$E$15="POINTS",RANK(E8,E3:E136),H8)</f>
        <v>5</v>
      </c>
      <c r="D8" s="65" t="str">
        <f>VLOOKUP(A8,'The List'!B1:F665,5,FALSE)</f>
        <v>TOR</v>
      </c>
      <c r="E8" s="54">
        <f>VLOOKUP(A8,'The List'!B1:I665,8,FALSE)</f>
        <v>499.22420119653725</v>
      </c>
      <c r="F8" s="54">
        <f>IF(Settings!$E$15="POINTS",E8-VLOOKUP(B$2,C1:E136,3,FALSE),J8)</f>
        <v>130.37647809024486</v>
      </c>
      <c r="G8" s="54"/>
      <c r="H8" s="167">
        <f>RANK(I8,I3:I136)</f>
        <v>6</v>
      </c>
      <c r="I8" s="168">
        <f>VLOOKUP(A8,'Standard Deviations'!A1:C666,3,FALSE)</f>
        <v>11.102244675177669</v>
      </c>
      <c r="J8" s="168">
        <f>I8-VLOOKUP(B$2,H1:J136,2,FALSE)</f>
        <v>5.6532110009218135</v>
      </c>
    </row>
    <row r="9" spans="1:10" ht="21.25" customHeight="1" x14ac:dyDescent="0.15">
      <c r="A9" s="9" t="s">
        <v>154</v>
      </c>
      <c r="B9" s="97" t="str">
        <f>VLOOKUP(A9,'The List'!B1:D665,3,FALSE)</f>
        <v>C/RW</v>
      </c>
      <c r="C9" s="98">
        <f>IF(Settings!$E$15="POINTS",RANK(E9,E3:E136),H9)</f>
        <v>7</v>
      </c>
      <c r="D9" s="65" t="str">
        <f>VLOOKUP(A9,'The List'!B1:F665,5,FALSE)</f>
        <v>BUF</v>
      </c>
      <c r="E9" s="54">
        <f>VLOOKUP(A9,'The List'!B1:I665,8,FALSE)</f>
        <v>427.87655378659758</v>
      </c>
      <c r="F9" s="54">
        <f>IF(Settings!$E$15="POINTS",E9-VLOOKUP(B$2,C1:E136,3,FALSE),J9)</f>
        <v>59.028830680305191</v>
      </c>
      <c r="G9" s="54"/>
      <c r="H9" s="167">
        <f>RANK(I9,I3:I136)</f>
        <v>12</v>
      </c>
      <c r="I9" s="168">
        <f>VLOOKUP(A9,'Standard Deviations'!A1:C666,3,FALSE)</f>
        <v>7.5017759379738926</v>
      </c>
      <c r="J9" s="168">
        <f>I9-VLOOKUP(B$2,H1:J136,2,FALSE)</f>
        <v>2.052742263718037</v>
      </c>
    </row>
    <row r="10" spans="1:10" ht="21.25" customHeight="1" x14ac:dyDescent="0.15">
      <c r="A10" s="9" t="s">
        <v>160</v>
      </c>
      <c r="B10" s="97" t="str">
        <f>VLOOKUP(A10,'The List'!B1:D665,3,FALSE)</f>
        <v>C/RW</v>
      </c>
      <c r="C10" s="98">
        <f>IF(Settings!$E$15="POINTS",RANK(E10,E3:E136),H10)</f>
        <v>10</v>
      </c>
      <c r="D10" s="65" t="str">
        <f>VLOOKUP(A10,'The List'!B1:F665,5,FALSE)</f>
        <v>NYI</v>
      </c>
      <c r="E10" s="54">
        <f>VLOOKUP(A10,'The List'!B1:I665,8,FALSE)</f>
        <v>411.44727543727822</v>
      </c>
      <c r="F10" s="54">
        <f>IF(Settings!$E$15="POINTS",E10-VLOOKUP(B$2,C1:E136,3,FALSE),J10)</f>
        <v>42.59955233098583</v>
      </c>
      <c r="G10" s="54"/>
      <c r="H10" s="167">
        <f>RANK(I10,I3:I136)</f>
        <v>13</v>
      </c>
      <c r="I10" s="168">
        <f>VLOOKUP(A10,'Standard Deviations'!A1:C666,3,FALSE)</f>
        <v>7.3080163776890972</v>
      </c>
      <c r="J10" s="168">
        <f>I10-VLOOKUP(B$2,H1:J136,2,FALSE)</f>
        <v>1.8589827034332416</v>
      </c>
    </row>
    <row r="11" spans="1:10" ht="21.25" customHeight="1" x14ac:dyDescent="0.15">
      <c r="A11" s="9" t="s">
        <v>162</v>
      </c>
      <c r="B11" s="97" t="str">
        <f>VLOOKUP(A11,'The List'!B1:D665,3,FALSE)</f>
        <v>LW/RW</v>
      </c>
      <c r="C11" s="98">
        <f>IF(Settings!$E$15="POINTS",RANK(E11,E3:E136),H11)</f>
        <v>11</v>
      </c>
      <c r="D11" s="65" t="str">
        <f>VLOOKUP(A11,'The List'!B1:F665,5,FALSE)</f>
        <v>N.J</v>
      </c>
      <c r="E11" s="54">
        <f>VLOOKUP(A11,'The List'!B1:I665,8,FALSE)</f>
        <v>409.64135000545872</v>
      </c>
      <c r="F11" s="54">
        <f>IF(Settings!$E$15="POINTS",E11-VLOOKUP(B$2,C1:E136,3,FALSE),J11)</f>
        <v>40.793626899166327</v>
      </c>
      <c r="G11" s="54"/>
      <c r="H11" s="167">
        <f>RANK(I11,I3:I136)</f>
        <v>10</v>
      </c>
      <c r="I11" s="168">
        <f>VLOOKUP(A11,'Standard Deviations'!A1:C666,3,FALSE)</f>
        <v>7.7904000164591185</v>
      </c>
      <c r="J11" s="168">
        <f>I11-VLOOKUP(B$2,H1:J136,2,FALSE)</f>
        <v>2.3413663422032629</v>
      </c>
    </row>
    <row r="12" spans="1:10" ht="21.25" customHeight="1" x14ac:dyDescent="0.15">
      <c r="A12" s="9" t="s">
        <v>157</v>
      </c>
      <c r="B12" s="97" t="str">
        <f>VLOOKUP(A12,'The List'!B1:D665,3,FALSE)</f>
        <v>C/RW</v>
      </c>
      <c r="C12" s="98">
        <f>IF(Settings!$E$15="POINTS",RANK(E12,E3:E136),H12)</f>
        <v>8</v>
      </c>
      <c r="D12" s="65" t="str">
        <f>VLOOKUP(A12,'The List'!B1:F665,5,FALSE)</f>
        <v>VAN</v>
      </c>
      <c r="E12" s="54">
        <f>VLOOKUP(A12,'The List'!B1:I665,8,FALSE)</f>
        <v>421.74729464787481</v>
      </c>
      <c r="F12" s="54">
        <f>IF(Settings!$E$15="POINTS",E12-VLOOKUP(B$2,C1:E136,3,FALSE),J12)</f>
        <v>52.899571541582418</v>
      </c>
      <c r="G12" s="54"/>
      <c r="H12" s="167">
        <f>RANK(I12,I3:I136)</f>
        <v>8</v>
      </c>
      <c r="I12" s="168">
        <f>VLOOKUP(A12,'Standard Deviations'!A1:C666,3,FALSE)</f>
        <v>8.4719956528963074</v>
      </c>
      <c r="J12" s="168">
        <f>I12-VLOOKUP(B$2,H1:J136,2,FALSE)</f>
        <v>3.0229619786404518</v>
      </c>
    </row>
    <row r="13" spans="1:10" ht="21.25" customHeight="1" x14ac:dyDescent="0.15">
      <c r="A13" s="9" t="s">
        <v>158</v>
      </c>
      <c r="B13" s="97" t="str">
        <f>VLOOKUP(A13,'The List'!B1:D665,3,FALSE)</f>
        <v>C/RW</v>
      </c>
      <c r="C13" s="98">
        <f>IF(Settings!$E$15="POINTS",RANK(E13,E3:E136),H13)</f>
        <v>9</v>
      </c>
      <c r="D13" s="65" t="str">
        <f>VLOOKUP(A13,'The List'!B1:F665,5,FALSE)</f>
        <v>FLA</v>
      </c>
      <c r="E13" s="54">
        <f>VLOOKUP(A13,'The List'!B1:I665,8,FALSE)</f>
        <v>419.82966814680043</v>
      </c>
      <c r="F13" s="54">
        <f>IF(Settings!$E$15="POINTS",E13-VLOOKUP(B$2,C1:E136,3,FALSE),J13)</f>
        <v>50.981945040508037</v>
      </c>
      <c r="G13" s="54"/>
      <c r="H13" s="167">
        <f>RANK(I13,I3:I136)</f>
        <v>11</v>
      </c>
      <c r="I13" s="168">
        <f>VLOOKUP(A13,'Standard Deviations'!A1:C666,3,FALSE)</f>
        <v>7.7400822305907244</v>
      </c>
      <c r="J13" s="168">
        <f>I13-VLOOKUP(B$2,H1:J136,2,FALSE)</f>
        <v>2.2910485563348688</v>
      </c>
    </row>
    <row r="14" spans="1:10" ht="21.25" customHeight="1" x14ac:dyDescent="0.15">
      <c r="A14" s="9" t="s">
        <v>185</v>
      </c>
      <c r="B14" s="97" t="str">
        <f>VLOOKUP(A14,'The List'!B1:D665,3,FALSE)</f>
        <v>LW/RW</v>
      </c>
      <c r="C14" s="98">
        <f>IF(Settings!$E$15="POINTS",RANK(E14,E3:E136),H14)</f>
        <v>17</v>
      </c>
      <c r="D14" s="65" t="str">
        <f>VLOOKUP(A14,'The List'!B1:F665,5,FALSE)</f>
        <v>MTL</v>
      </c>
      <c r="E14" s="54">
        <f>VLOOKUP(A14,'The List'!B1:I665,8,FALSE)</f>
        <v>381.06151230249975</v>
      </c>
      <c r="F14" s="54">
        <f>IF(Settings!$E$15="POINTS",E14-VLOOKUP(B$2,C1:E136,3,FALSE),J14)</f>
        <v>12.213789196207358</v>
      </c>
      <c r="G14" s="54"/>
      <c r="H14" s="167">
        <f>RANK(I14,I3:I136)</f>
        <v>25</v>
      </c>
      <c r="I14" s="168">
        <f>VLOOKUP(A14,'Standard Deviations'!A1:C666,3,FALSE)</f>
        <v>4.9069407822545914</v>
      </c>
      <c r="J14" s="168">
        <f>I14-VLOOKUP(B$2,H1:J136,2,FALSE)</f>
        <v>-0.5420928920012642</v>
      </c>
    </row>
    <row r="15" spans="1:10" ht="21.25" customHeight="1" x14ac:dyDescent="0.15">
      <c r="A15" s="9" t="s">
        <v>164</v>
      </c>
      <c r="B15" s="97" t="str">
        <f>VLOOKUP(A15,'The List'!B1:D665,3,FALSE)</f>
        <v>LW/RW</v>
      </c>
      <c r="C15" s="98">
        <f>IF(Settings!$E$15="POINTS",RANK(E15,E3:E136),H15)</f>
        <v>12</v>
      </c>
      <c r="D15" s="65" t="str">
        <f>VLOOKUP(A15,'The List'!B1:F665,5,FALSE)</f>
        <v>N.J</v>
      </c>
      <c r="E15" s="54">
        <f>VLOOKUP(A15,'The List'!B1:I665,8,FALSE)</f>
        <v>407.26161535484397</v>
      </c>
      <c r="F15" s="54">
        <f>IF(Settings!$E$15="POINTS",E15-VLOOKUP(B$2,C1:E136,3,FALSE),J15)</f>
        <v>38.413892248551576</v>
      </c>
      <c r="G15" s="54"/>
      <c r="H15" s="167">
        <f>RANK(I15,I3:I136)</f>
        <v>9</v>
      </c>
      <c r="I15" s="168">
        <f>VLOOKUP(A15,'Standard Deviations'!A1:C666,3,FALSE)</f>
        <v>7.8149989436829843</v>
      </c>
      <c r="J15" s="168">
        <f>I15-VLOOKUP(B$2,H1:J136,2,FALSE)</f>
        <v>2.3659652694271287</v>
      </c>
    </row>
    <row r="16" spans="1:10" ht="21.25" customHeight="1" x14ac:dyDescent="0.15">
      <c r="A16" s="9" t="s">
        <v>168</v>
      </c>
      <c r="B16" s="97" t="str">
        <f>VLOOKUP(A16,'The List'!B1:D665,3,FALSE)</f>
        <v>LW/RW</v>
      </c>
      <c r="C16" s="98">
        <f>IF(Settings!$E$15="POINTS",RANK(E16,E3:E136),H16)</f>
        <v>13</v>
      </c>
      <c r="D16" s="65" t="str">
        <f>VLOOKUP(A16,'The List'!B1:F665,5,FALSE)</f>
        <v>EDM</v>
      </c>
      <c r="E16" s="54">
        <f>VLOOKUP(A16,'The List'!B1:I665,8,FALSE)</f>
        <v>403.08338216102635</v>
      </c>
      <c r="F16" s="54">
        <f>IF(Settings!$E$15="POINTS",E16-VLOOKUP(B$2,C1:E136,3,FALSE),J16)</f>
        <v>34.235659054733958</v>
      </c>
      <c r="G16" s="54"/>
      <c r="H16" s="167">
        <f>RANK(I16,I3:I136)</f>
        <v>7</v>
      </c>
      <c r="I16" s="168">
        <f>VLOOKUP(A16,'Standard Deviations'!A1:C666,3,FALSE)</f>
        <v>9.1352621291551408</v>
      </c>
      <c r="J16" s="168">
        <f>I16-VLOOKUP(B$2,H1:J136,2,FALSE)</f>
        <v>3.6862284548992852</v>
      </c>
    </row>
    <row r="17" spans="1:10" ht="21.25" customHeight="1" x14ac:dyDescent="0.15">
      <c r="A17" s="9" t="s">
        <v>175</v>
      </c>
      <c r="B17" s="97" t="str">
        <f>VLOOKUP(A17,'The List'!B1:D665,3,FALSE)</f>
        <v>LW/RW</v>
      </c>
      <c r="C17" s="98">
        <f>IF(Settings!$E$15="POINTS",RANK(E17,E3:E136),H17)</f>
        <v>15</v>
      </c>
      <c r="D17" s="65" t="str">
        <f>VLOOKUP(A17,'The List'!B1:F665,5,FALSE)</f>
        <v>UTA</v>
      </c>
      <c r="E17" s="54">
        <f>VLOOKUP(A17,'The List'!B1:I665,8,FALSE)</f>
        <v>393.59469836051431</v>
      </c>
      <c r="F17" s="54">
        <f>IF(Settings!$E$15="POINTS",E17-VLOOKUP(B$2,C1:E136,3,FALSE),J17)</f>
        <v>24.746975254221923</v>
      </c>
      <c r="G17" s="54"/>
      <c r="H17" s="167">
        <f>RANK(I17,I3:I136)</f>
        <v>18</v>
      </c>
      <c r="I17" s="168">
        <f>VLOOKUP(A17,'Standard Deviations'!A1:C666,3,FALSE)</f>
        <v>5.7894817417889595</v>
      </c>
      <c r="J17" s="168">
        <f>I17-VLOOKUP(B$2,H1:J136,2,FALSE)</f>
        <v>0.34044806753310386</v>
      </c>
    </row>
    <row r="18" spans="1:10" ht="21.25" customHeight="1" x14ac:dyDescent="0.15">
      <c r="A18" s="9" t="s">
        <v>171</v>
      </c>
      <c r="B18" s="97" t="str">
        <f>VLOOKUP(A18,'The List'!B1:D665,3,FALSE)</f>
        <v>C/RW</v>
      </c>
      <c r="C18" s="98">
        <f>IF(Settings!$E$15="POINTS",RANK(E18,E3:E136),H18)</f>
        <v>14</v>
      </c>
      <c r="D18" s="65" t="str">
        <f>VLOOKUP(A18,'The List'!B1:F665,5,FALSE)</f>
        <v>STL</v>
      </c>
      <c r="E18" s="54">
        <f>VLOOKUP(A18,'The List'!B1:I665,8,FALSE)</f>
        <v>396.87998339052638</v>
      </c>
      <c r="F18" s="54">
        <f>IF(Settings!$E$15="POINTS",E18-VLOOKUP(B$2,C1:E136,3,FALSE),J18)</f>
        <v>28.032260284233985</v>
      </c>
      <c r="G18" s="54"/>
      <c r="H18" s="167">
        <f>RANK(I18,I3:I136)</f>
        <v>20</v>
      </c>
      <c r="I18" s="168">
        <f>VLOOKUP(A18,'Standard Deviations'!A1:C666,3,FALSE)</f>
        <v>5.4490336742558556</v>
      </c>
      <c r="J18" s="168">
        <f>I18-VLOOKUP(B$2,H1:J136,2,FALSE)</f>
        <v>0</v>
      </c>
    </row>
    <row r="19" spans="1:10" ht="21.25" customHeight="1" x14ac:dyDescent="0.15">
      <c r="A19" s="9" t="s">
        <v>195</v>
      </c>
      <c r="B19" s="97" t="str">
        <f>VLOOKUP(A19,'The List'!B1:D665,3,FALSE)</f>
        <v>RW</v>
      </c>
      <c r="C19" s="98">
        <f>IF(Settings!$E$15="POINTS",RANK(E19,E3:E136),H19)</f>
        <v>19</v>
      </c>
      <c r="D19" s="65" t="str">
        <f>VLOOKUP(A19,'The List'!B1:F665,5,FALSE)</f>
        <v>BUF</v>
      </c>
      <c r="E19" s="54">
        <f>VLOOKUP(A19,'The List'!B1:I665,8,FALSE)</f>
        <v>369.53624935224798</v>
      </c>
      <c r="F19" s="54">
        <f>IF(Settings!$E$15="POINTS",E19-VLOOKUP(B$2,C1:E136,3,FALSE),J19)</f>
        <v>0.68852624595558609</v>
      </c>
      <c r="G19" s="54"/>
      <c r="H19" s="167">
        <f>RANK(I19,I3:I136)</f>
        <v>22</v>
      </c>
      <c r="I19" s="168">
        <f>VLOOKUP(A19,'Standard Deviations'!A1:C666,3,FALSE)</f>
        <v>5.1174156636253132</v>
      </c>
      <c r="J19" s="168">
        <f>I19-VLOOKUP(B$2,H1:J136,2,FALSE)</f>
        <v>-0.33161801063054241</v>
      </c>
    </row>
    <row r="20" spans="1:10" ht="21.25" customHeight="1" x14ac:dyDescent="0.15">
      <c r="A20" s="9" t="s">
        <v>197</v>
      </c>
      <c r="B20" s="97" t="str">
        <f>VLOOKUP(A20,'The List'!B1:D665,3,FALSE)</f>
        <v>LW/RW</v>
      </c>
      <c r="C20" s="98">
        <f>IF(Settings!$E$15="POINTS",RANK(E20,E3:E136),H20)</f>
        <v>20</v>
      </c>
      <c r="D20" s="65" t="str">
        <f>VLOOKUP(A20,'The List'!B1:F665,5,FALSE)</f>
        <v>MIN</v>
      </c>
      <c r="E20" s="54">
        <f>VLOOKUP(A20,'The List'!B1:I665,8,FALSE)</f>
        <v>368.84772310629239</v>
      </c>
      <c r="F20" s="54">
        <f>IF(Settings!$E$15="POINTS",E20-VLOOKUP(B$2,C1:E136,3,FALSE),J20)</f>
        <v>0</v>
      </c>
      <c r="G20" s="54"/>
      <c r="H20" s="167">
        <f>RANK(I20,I3:I136)</f>
        <v>16</v>
      </c>
      <c r="I20" s="168">
        <f>VLOOKUP(A20,'Standard Deviations'!A1:C666,3,FALSE)</f>
        <v>6.0150688800609426</v>
      </c>
      <c r="J20" s="168">
        <f>I20-VLOOKUP(B$2,H1:J136,2,FALSE)</f>
        <v>0.56603520580508704</v>
      </c>
    </row>
    <row r="21" spans="1:10" ht="21.25" customHeight="1" x14ac:dyDescent="0.15">
      <c r="A21" s="9" t="s">
        <v>179</v>
      </c>
      <c r="B21" s="97" t="str">
        <f>VLOOKUP(A21,'The List'!B1:D665,3,FALSE)</f>
        <v>C/RW</v>
      </c>
      <c r="C21" s="98">
        <f>IF(Settings!$E$15="POINTS",RANK(E21,E3:E136),H21)</f>
        <v>16</v>
      </c>
      <c r="D21" s="65" t="str">
        <f>VLOOKUP(A21,'The List'!B1:F665,5,FALSE)</f>
        <v>DAL</v>
      </c>
      <c r="E21" s="54">
        <f>VLOOKUP(A21,'The List'!B1:I665,8,FALSE)</f>
        <v>389.91842521397439</v>
      </c>
      <c r="F21" s="54">
        <f>IF(Settings!$E$15="POINTS",E21-VLOOKUP(B$2,C1:E136,3,FALSE),J21)</f>
        <v>21.070702107681996</v>
      </c>
      <c r="G21" s="54"/>
      <c r="H21" s="167">
        <f>RANK(I21,I3:I136)</f>
        <v>14</v>
      </c>
      <c r="I21" s="168">
        <f>VLOOKUP(A21,'Standard Deviations'!A1:C666,3,FALSE)</f>
        <v>7.1807004913375918</v>
      </c>
      <c r="J21" s="168">
        <f>I21-VLOOKUP(B$2,H1:J136,2,FALSE)</f>
        <v>1.7316668170817362</v>
      </c>
    </row>
    <row r="22" spans="1:10" ht="21.25" customHeight="1" x14ac:dyDescent="0.15">
      <c r="A22" s="9" t="s">
        <v>205</v>
      </c>
      <c r="B22" s="97" t="str">
        <f>VLOOKUP(A22,'The List'!B1:D665,3,FALSE)</f>
        <v>LW/RW</v>
      </c>
      <c r="C22" s="98">
        <f>IF(Settings!$E$15="POINTS",RANK(E22,E3:E136),H22)</f>
        <v>23</v>
      </c>
      <c r="D22" s="65" t="str">
        <f>VLOOKUP(A22,'The List'!B1:F665,5,FALSE)</f>
        <v>PHI</v>
      </c>
      <c r="E22" s="54">
        <f>VLOOKUP(A22,'The List'!B1:I665,8,FALSE)</f>
        <v>362.74314114827257</v>
      </c>
      <c r="F22" s="54">
        <f>IF(Settings!$E$15="POINTS",E22-VLOOKUP(B$2,C1:E136,3,FALSE),J22)</f>
        <v>-6.1045819580198213</v>
      </c>
      <c r="G22" s="54"/>
      <c r="H22" s="167">
        <f>RANK(I22,I3:I136)</f>
        <v>31</v>
      </c>
      <c r="I22" s="168">
        <f>VLOOKUP(A22,'Standard Deviations'!A1:C666,3,FALSE)</f>
        <v>3.6833940457590009</v>
      </c>
      <c r="J22" s="168">
        <f>I22-VLOOKUP(B$2,H1:J136,2,FALSE)</f>
        <v>-1.7656396284968547</v>
      </c>
    </row>
    <row r="23" spans="1:10" ht="21.25" customHeight="1" x14ac:dyDescent="0.15">
      <c r="A23" s="9" t="s">
        <v>218</v>
      </c>
      <c r="B23" s="97" t="str">
        <f>VLOOKUP(A23,'The List'!B1:D665,3,FALSE)</f>
        <v>LW/RW</v>
      </c>
      <c r="C23" s="98">
        <f>IF(Settings!$E$15="POINTS",RANK(E23,E3:E136),H23)</f>
        <v>26</v>
      </c>
      <c r="D23" s="65" t="str">
        <f>VLOOKUP(A23,'The List'!B1:F665,5,FALSE)</f>
        <v>CAR</v>
      </c>
      <c r="E23" s="54">
        <f>VLOOKUP(A23,'The List'!B1:I665,8,FALSE)</f>
        <v>350.51278798656949</v>
      </c>
      <c r="F23" s="54">
        <f>IF(Settings!$E$15="POINTS",E23-VLOOKUP(B$2,C1:E136,3,FALSE),J23)</f>
        <v>-18.3349351197229</v>
      </c>
      <c r="G23" s="54"/>
      <c r="H23" s="167">
        <f>RANK(I23,I3:I136)</f>
        <v>17</v>
      </c>
      <c r="I23" s="168">
        <f>VLOOKUP(A23,'Standard Deviations'!A1:C666,3,FALSE)</f>
        <v>5.8995100982242885</v>
      </c>
      <c r="J23" s="168">
        <f>I23-VLOOKUP(B$2,H1:J136,2,FALSE)</f>
        <v>0.4504764239684329</v>
      </c>
    </row>
    <row r="24" spans="1:10" ht="21.25" customHeight="1" x14ac:dyDescent="0.15">
      <c r="A24" s="9" t="s">
        <v>190</v>
      </c>
      <c r="B24" s="97" t="str">
        <f>VLOOKUP(A24,'The List'!B1:D665,3,FALSE)</f>
        <v>C/RW</v>
      </c>
      <c r="C24" s="98">
        <f>IF(Settings!$E$15="POINTS",RANK(E24,E3:E136),H24)</f>
        <v>18</v>
      </c>
      <c r="D24" s="65" t="str">
        <f>VLOOKUP(A24,'The List'!B1:F665,5,FALSE)</f>
        <v>L.A</v>
      </c>
      <c r="E24" s="54">
        <f>VLOOKUP(A24,'The List'!B1:I665,8,FALSE)</f>
        <v>373.76546519730982</v>
      </c>
      <c r="F24" s="54">
        <f>IF(Settings!$E$15="POINTS",E24-VLOOKUP(B$2,C1:E136,3,FALSE),J24)</f>
        <v>4.9177420910174305</v>
      </c>
      <c r="G24" s="54"/>
      <c r="H24" s="167">
        <f>RANK(I24,I3:I136)</f>
        <v>19</v>
      </c>
      <c r="I24" s="168">
        <f>VLOOKUP(A24,'Standard Deviations'!A1:C666,3,FALSE)</f>
        <v>5.7660648085563313</v>
      </c>
      <c r="J24" s="168">
        <f>I24-VLOOKUP(B$2,H1:J136,2,FALSE)</f>
        <v>0.31703113430047569</v>
      </c>
    </row>
    <row r="25" spans="1:10" ht="21.25" customHeight="1" x14ac:dyDescent="0.15">
      <c r="A25" s="9" t="s">
        <v>223</v>
      </c>
      <c r="B25" s="97" t="str">
        <f>VLOOKUP(A25,'The List'!B1:D665,3,FALSE)</f>
        <v>RW</v>
      </c>
      <c r="C25" s="98">
        <f>IF(Settings!$E$15="POINTS",RANK(E25,E3:E136),H25)</f>
        <v>28</v>
      </c>
      <c r="D25" s="65" t="str">
        <f>VLOOKUP(A25,'The List'!B1:F665,5,FALSE)</f>
        <v>PIT</v>
      </c>
      <c r="E25" s="54">
        <f>VLOOKUP(A25,'The List'!B1:I665,8,FALSE)</f>
        <v>347.44960190592195</v>
      </c>
      <c r="F25" s="54">
        <f>IF(Settings!$E$15="POINTS",E25-VLOOKUP(B$2,C1:E136,3,FALSE),J25)</f>
        <v>-21.39812120037044</v>
      </c>
      <c r="G25" s="54"/>
      <c r="H25" s="167">
        <f>RANK(I25,I3:I136)</f>
        <v>26</v>
      </c>
      <c r="I25" s="168">
        <f>VLOOKUP(A25,'Standard Deviations'!A1:C666,3,FALSE)</f>
        <v>4.8910898239575085</v>
      </c>
      <c r="J25" s="168">
        <f>I25-VLOOKUP(B$2,H1:J136,2,FALSE)</f>
        <v>-0.55794385029834714</v>
      </c>
    </row>
    <row r="26" spans="1:10" ht="21.25" customHeight="1" x14ac:dyDescent="0.15">
      <c r="A26" s="9" t="s">
        <v>202</v>
      </c>
      <c r="B26" s="97" t="str">
        <f>VLOOKUP(A26,'The List'!B1:D665,3,FALSE)</f>
        <v>LW/RW</v>
      </c>
      <c r="C26" s="98">
        <f>IF(Settings!$E$15="POINTS",RANK(E26,E3:E136),H26)</f>
        <v>22</v>
      </c>
      <c r="D26" s="65" t="str">
        <f>VLOOKUP(A26,'The List'!B1:F665,5,FALSE)</f>
        <v>T.B</v>
      </c>
      <c r="E26" s="54">
        <f>VLOOKUP(A26,'The List'!B1:I665,8,FALSE)</f>
        <v>364.84454965051543</v>
      </c>
      <c r="F26" s="54">
        <f>IF(Settings!$E$15="POINTS",E26-VLOOKUP(B$2,C1:E136,3,FALSE),J26)</f>
        <v>-4.0031734557769596</v>
      </c>
      <c r="G26" s="54"/>
      <c r="H26" s="167">
        <f>RANK(I26,I3:I136)</f>
        <v>21</v>
      </c>
      <c r="I26" s="168">
        <f>VLOOKUP(A26,'Standard Deviations'!A1:C666,3,FALSE)</f>
        <v>5.3580148670800494</v>
      </c>
      <c r="J26" s="168">
        <f>I26-VLOOKUP(B$2,H1:J136,2,FALSE)</f>
        <v>-9.1018807175806238E-2</v>
      </c>
    </row>
    <row r="27" spans="1:10" ht="21.25" customHeight="1" x14ac:dyDescent="0.15">
      <c r="A27" s="9" t="s">
        <v>201</v>
      </c>
      <c r="B27" s="97" t="str">
        <f>VLOOKUP(A27,'The List'!B1:D665,3,FALSE)</f>
        <v>LW/RW</v>
      </c>
      <c r="C27" s="98">
        <f>IF(Settings!$E$15="POINTS",RANK(E27,E3:E136),H27)</f>
        <v>21</v>
      </c>
      <c r="D27" s="65" t="str">
        <f>VLOOKUP(A27,'The List'!B1:F665,5,FALSE)</f>
        <v>DET</v>
      </c>
      <c r="E27" s="54">
        <f>VLOOKUP(A27,'The List'!B1:I665,8,FALSE)</f>
        <v>364.98364652555728</v>
      </c>
      <c r="F27" s="54">
        <f>IF(Settings!$E$15="POINTS",E27-VLOOKUP(B$2,C1:E136,3,FALSE),J27)</f>
        <v>-3.8640765807351158</v>
      </c>
      <c r="G27" s="54"/>
      <c r="H27" s="167">
        <f>RANK(I27,I3:I136)</f>
        <v>28</v>
      </c>
      <c r="I27" s="168">
        <f>VLOOKUP(A27,'Standard Deviations'!A1:C666,3,FALSE)</f>
        <v>4.5238569924196446</v>
      </c>
      <c r="J27" s="168">
        <f>I27-VLOOKUP(B$2,H1:J136,2,FALSE)</f>
        <v>-0.92517668183621105</v>
      </c>
    </row>
    <row r="28" spans="1:10" ht="21.25" customHeight="1" x14ac:dyDescent="0.15">
      <c r="A28" s="9" t="s">
        <v>213</v>
      </c>
      <c r="B28" s="97" t="str">
        <f>VLOOKUP(A28,'The List'!B1:D665,3,FALSE)</f>
        <v>C/RW</v>
      </c>
      <c r="C28" s="98">
        <f>IF(Settings!$E$15="POINTS",RANK(E28,E3:E136),H28)</f>
        <v>24</v>
      </c>
      <c r="D28" s="65" t="str">
        <f>VLOOKUP(A28,'The List'!B1:F665,5,FALSE)</f>
        <v>CAR</v>
      </c>
      <c r="E28" s="54">
        <f>VLOOKUP(A28,'The List'!B1:I665,8,FALSE)</f>
        <v>353.34076548583994</v>
      </c>
      <c r="F28" s="54">
        <f>IF(Settings!$E$15="POINTS",E28-VLOOKUP(B$2,C1:E136,3,FALSE),J28)</f>
        <v>-15.506957620452454</v>
      </c>
      <c r="G28" s="54"/>
      <c r="H28" s="167">
        <f>RANK(I28,I3:I136)</f>
        <v>15</v>
      </c>
      <c r="I28" s="168">
        <f>VLOOKUP(A28,'Standard Deviations'!A1:C666,3,FALSE)</f>
        <v>6.4987790273516417</v>
      </c>
      <c r="J28" s="168">
        <f>I28-VLOOKUP(B$2,H1:J136,2,FALSE)</f>
        <v>1.0497453530957861</v>
      </c>
    </row>
    <row r="29" spans="1:10" ht="21.25" customHeight="1" x14ac:dyDescent="0.15">
      <c r="A29" s="9" t="s">
        <v>217</v>
      </c>
      <c r="B29" s="97" t="str">
        <f>VLOOKUP(A29,'The List'!B1:D665,3,FALSE)</f>
        <v>LW/RW</v>
      </c>
      <c r="C29" s="98">
        <f>IF(Settings!$E$15="POINTS",RANK(E29,E3:E136),H29)</f>
        <v>25</v>
      </c>
      <c r="D29" s="65" t="str">
        <f>VLOOKUP(A29,'The List'!B1:F665,5,FALSE)</f>
        <v>DET</v>
      </c>
      <c r="E29" s="54">
        <f>VLOOKUP(A29,'The List'!B1:I665,8,FALSE)</f>
        <v>351.0179088454758</v>
      </c>
      <c r="F29" s="54">
        <f>IF(Settings!$E$15="POINTS",E29-VLOOKUP(B$2,C1:E136,3,FALSE),J29)</f>
        <v>-17.82981426081659</v>
      </c>
      <c r="G29" s="54"/>
      <c r="H29" s="167">
        <f>RANK(I29,I3:I136)</f>
        <v>37</v>
      </c>
      <c r="I29" s="168">
        <f>VLOOKUP(A29,'Standard Deviations'!A1:C666,3,FALSE)</f>
        <v>3.1878863486318161</v>
      </c>
      <c r="J29" s="168">
        <f>I29-VLOOKUP(B$2,H1:J136,2,FALSE)</f>
        <v>-2.2611473256240395</v>
      </c>
    </row>
    <row r="30" spans="1:10" ht="21.25" customHeight="1" x14ac:dyDescent="0.15">
      <c r="A30" s="9" t="s">
        <v>222</v>
      </c>
      <c r="B30" s="97" t="str">
        <f>VLOOKUP(A30,'The List'!B1:D665,3,FALSE)</f>
        <v>RW</v>
      </c>
      <c r="C30" s="98">
        <f>IF(Settings!$E$15="POINTS",RANK(E30,E3:E136),H30)</f>
        <v>27</v>
      </c>
      <c r="D30" s="65" t="str">
        <f>VLOOKUP(A30,'The List'!B1:F665,5,FALSE)</f>
        <v>NSH</v>
      </c>
      <c r="E30" s="54">
        <f>VLOOKUP(A30,'The List'!B1:I665,8,FALSE)</f>
        <v>347.4875879832552</v>
      </c>
      <c r="F30" s="54">
        <f>IF(Settings!$E$15="POINTS",E30-VLOOKUP(B$2,C1:E136,3,FALSE),J30)</f>
        <v>-21.360135123037196</v>
      </c>
      <c r="G30" s="54"/>
      <c r="H30" s="167">
        <f>RANK(I30,I3:I136)</f>
        <v>29</v>
      </c>
      <c r="I30" s="168">
        <f>VLOOKUP(A30,'Standard Deviations'!A1:C666,3,FALSE)</f>
        <v>4.4848331879568875</v>
      </c>
      <c r="J30" s="168">
        <f>I30-VLOOKUP(B$2,H1:J136,2,FALSE)</f>
        <v>-0.96420048629896815</v>
      </c>
    </row>
    <row r="31" spans="1:10" ht="21.25" customHeight="1" x14ac:dyDescent="0.15">
      <c r="A31" s="9" t="s">
        <v>231</v>
      </c>
      <c r="B31" s="97" t="str">
        <f>VLOOKUP(A31,'The List'!B1:D665,3,FALSE)</f>
        <v>LW/RW</v>
      </c>
      <c r="C31" s="98">
        <f>IF(Settings!$E$15="POINTS",RANK(E31,E3:E136),H31)</f>
        <v>29</v>
      </c>
      <c r="D31" s="65" t="str">
        <f>VLOOKUP(A31,'The List'!B1:F665,5,FALSE)</f>
        <v>PHI</v>
      </c>
      <c r="E31" s="54">
        <f>VLOOKUP(A31,'The List'!B1:I665,8,FALSE)</f>
        <v>338.79853884258853</v>
      </c>
      <c r="F31" s="54">
        <f>IF(Settings!$E$15="POINTS",E31-VLOOKUP(B$2,C1:E136,3,FALSE),J31)</f>
        <v>-30.049184263703864</v>
      </c>
      <c r="G31" s="54"/>
      <c r="H31" s="167">
        <f>RANK(I31,I3:I136)</f>
        <v>36</v>
      </c>
      <c r="I31" s="168">
        <f>VLOOKUP(A31,'Standard Deviations'!A1:C666,3,FALSE)</f>
        <v>3.1888434956215974</v>
      </c>
      <c r="J31" s="168">
        <f>I31-VLOOKUP(B$2,H1:J136,2,FALSE)</f>
        <v>-2.2601901786342582</v>
      </c>
    </row>
    <row r="32" spans="1:10" ht="21.25" customHeight="1" x14ac:dyDescent="0.15">
      <c r="A32" s="9" t="s">
        <v>234</v>
      </c>
      <c r="B32" s="97" t="str">
        <f>VLOOKUP(A32,'The List'!B1:D665,3,FALSE)</f>
        <v>LW/RW</v>
      </c>
      <c r="C32" s="98">
        <f>IF(Settings!$E$15="POINTS",RANK(E32,E3:E136),H32)</f>
        <v>30</v>
      </c>
      <c r="D32" s="65" t="str">
        <f>VLOOKUP(A32,'The List'!B1:F665,5,FALSE)</f>
        <v>VAN</v>
      </c>
      <c r="E32" s="54">
        <f>VLOOKUP(A32,'The List'!B1:I665,8,FALSE)</f>
        <v>336.02426996003572</v>
      </c>
      <c r="F32" s="54">
        <f>IF(Settings!$E$15="POINTS",E32-VLOOKUP(B$2,C1:E136,3,FALSE),J32)</f>
        <v>-32.823453146256668</v>
      </c>
      <c r="G32" s="54"/>
      <c r="H32" s="167">
        <f>RANK(I32,I3:I136)</f>
        <v>24</v>
      </c>
      <c r="I32" s="168">
        <f>VLOOKUP(A32,'Standard Deviations'!A1:C666,3,FALSE)</f>
        <v>4.9279690609122611</v>
      </c>
      <c r="J32" s="168">
        <f>I32-VLOOKUP(B$2,H1:J136,2,FALSE)</f>
        <v>-0.52106461334359455</v>
      </c>
    </row>
    <row r="33" spans="1:10" ht="21.25" customHeight="1" x14ac:dyDescent="0.15">
      <c r="A33" s="9" t="s">
        <v>256</v>
      </c>
      <c r="B33" s="97" t="str">
        <f>VLOOKUP(A33,'The List'!B1:D665,3,FALSE)</f>
        <v>RW</v>
      </c>
      <c r="C33" s="98">
        <f>IF(Settings!$E$15="POINTS",RANK(E33,E3:E136),H33)</f>
        <v>36</v>
      </c>
      <c r="D33" s="65" t="str">
        <f>VLOOKUP(A33,'The List'!B1:F665,5,FALSE)</f>
        <v>DET</v>
      </c>
      <c r="E33" s="54">
        <f>VLOOKUP(A33,'The List'!B1:I665,8,FALSE)</f>
        <v>318.79169757083247</v>
      </c>
      <c r="F33" s="54">
        <f>IF(Settings!$E$15="POINTS",E33-VLOOKUP(B$2,C1:E136,3,FALSE),J33)</f>
        <v>-50.056025535459924</v>
      </c>
      <c r="G33" s="54"/>
      <c r="H33" s="167">
        <f>RANK(I33,I3:I136)</f>
        <v>41</v>
      </c>
      <c r="I33" s="168">
        <f>VLOOKUP(A33,'Standard Deviations'!A1:C666,3,FALSE)</f>
        <v>2.6586913573416089</v>
      </c>
      <c r="J33" s="168">
        <f>I33-VLOOKUP(B$2,H1:J136,2,FALSE)</f>
        <v>-2.7903423169142467</v>
      </c>
    </row>
    <row r="34" spans="1:10" ht="21.25" customHeight="1" x14ac:dyDescent="0.15">
      <c r="A34" s="9" t="s">
        <v>288</v>
      </c>
      <c r="B34" s="97" t="str">
        <f>VLOOKUP(A34,'The List'!B1:D665,3,FALSE)</f>
        <v>RW</v>
      </c>
      <c r="C34" s="98">
        <f>IF(Settings!$E$15="POINTS",RANK(E34,E3:E136),H34)</f>
        <v>43</v>
      </c>
      <c r="D34" s="65" t="str">
        <f>VLOOKUP(A34,'The List'!B1:F665,5,FALSE)</f>
        <v>VGK</v>
      </c>
      <c r="E34" s="54">
        <f>VLOOKUP(A34,'The List'!B1:I665,8,FALSE)</f>
        <v>287.15713062205958</v>
      </c>
      <c r="F34" s="54">
        <f>IF(Settings!$E$15="POINTS",E34-VLOOKUP(B$2,C1:E136,3,FALSE),J34)</f>
        <v>-81.690592484232809</v>
      </c>
      <c r="G34" s="54"/>
      <c r="H34" s="167">
        <f>RANK(I34,I3:I136)</f>
        <v>40</v>
      </c>
      <c r="I34" s="168">
        <f>VLOOKUP(A34,'Standard Deviations'!A1:C666,3,FALSE)</f>
        <v>2.7258808049818457</v>
      </c>
      <c r="J34" s="168">
        <f>I34-VLOOKUP(B$2,H1:J136,2,FALSE)</f>
        <v>-2.7231528692740099</v>
      </c>
    </row>
    <row r="35" spans="1:10" ht="21.25" customHeight="1" x14ac:dyDescent="0.15">
      <c r="A35" s="9" t="s">
        <v>243</v>
      </c>
      <c r="B35" s="97" t="str">
        <f>VLOOKUP(A35,'The List'!B1:D665,3,FALSE)</f>
        <v>C/RW</v>
      </c>
      <c r="C35" s="98">
        <f>IF(Settings!$E$15="POINTS",RANK(E35,E3:E136),H35)</f>
        <v>33</v>
      </c>
      <c r="D35" s="65" t="str">
        <f>VLOOKUP(A35,'The List'!B1:F665,5,FALSE)</f>
        <v>ANA</v>
      </c>
      <c r="E35" s="54">
        <f>VLOOKUP(A35,'The List'!B1:I665,8,FALSE)</f>
        <v>328.29973884741958</v>
      </c>
      <c r="F35" s="54">
        <f>IF(Settings!$E$15="POINTS",E35-VLOOKUP(B$2,C1:E136,3,FALSE),J35)</f>
        <v>-40.547984258872816</v>
      </c>
      <c r="G35" s="54"/>
      <c r="H35" s="167">
        <f>RANK(I35,I3:I136)</f>
        <v>51</v>
      </c>
      <c r="I35" s="168">
        <f>VLOOKUP(A35,'Standard Deviations'!A1:C666,3,FALSE)</f>
        <v>1.9358371779552817</v>
      </c>
      <c r="J35" s="168">
        <f>I35-VLOOKUP(B$2,H1:J136,2,FALSE)</f>
        <v>-3.5131964963005737</v>
      </c>
    </row>
    <row r="36" spans="1:10" ht="21.25" customHeight="1" x14ac:dyDescent="0.15">
      <c r="A36" s="9" t="s">
        <v>432</v>
      </c>
      <c r="B36" s="97" t="str">
        <f>VLOOKUP(A36,'The List'!B1:D665,3,FALSE)</f>
        <v>RW</v>
      </c>
      <c r="C36" s="98">
        <f>IF(Settings!$E$15="POINTS",RANK(E36,E3:E136),H36)</f>
        <v>75</v>
      </c>
      <c r="D36" s="65" t="str">
        <f>VLOOKUP(A36,'The List'!B1:F665,5,FALSE)</f>
        <v>COL</v>
      </c>
      <c r="E36" s="54">
        <f>VLOOKUP(A36,'The List'!B1:I665,8,FALSE)</f>
        <v>215.45343983853476</v>
      </c>
      <c r="F36" s="54">
        <f>IF(Settings!$E$15="POINTS",E36-VLOOKUP(B$2,C1:E136,3,FALSE),J36)</f>
        <v>-153.39428326775763</v>
      </c>
      <c r="G36" s="54"/>
      <c r="H36" s="167">
        <f>RANK(I36,I3:I136)</f>
        <v>63</v>
      </c>
      <c r="I36" s="168">
        <f>VLOOKUP(A36,'Standard Deviations'!A1:C666,3,FALSE)</f>
        <v>0.45651513668057242</v>
      </c>
      <c r="J36" s="168">
        <f>I36-VLOOKUP(B$2,H1:J136,2,FALSE)</f>
        <v>-4.9925185375752834</v>
      </c>
    </row>
    <row r="37" spans="1:10" ht="21.25" customHeight="1" x14ac:dyDescent="0.15">
      <c r="A37" s="9" t="s">
        <v>241</v>
      </c>
      <c r="B37" s="97" t="str">
        <f>VLOOKUP(A37,'The List'!B1:D665,3,FALSE)</f>
        <v>RW</v>
      </c>
      <c r="C37" s="98">
        <f>IF(Settings!$E$15="POINTS",RANK(E37,E3:E136),H37)</f>
        <v>32</v>
      </c>
      <c r="D37" s="65" t="str">
        <f>VLOOKUP(A37,'The List'!B1:F665,5,FALSE)</f>
        <v>VAN</v>
      </c>
      <c r="E37" s="54">
        <f>VLOOKUP(A37,'The List'!B1:I665,8,FALSE)</f>
        <v>328.59762492795909</v>
      </c>
      <c r="F37" s="54">
        <f>IF(Settings!$E$15="POINTS",E37-VLOOKUP(B$2,C1:E136,3,FALSE),J37)</f>
        <v>-40.250098178333303</v>
      </c>
      <c r="G37" s="54"/>
      <c r="H37" s="167">
        <f>RANK(I37,I3:I136)</f>
        <v>23</v>
      </c>
      <c r="I37" s="168">
        <f>VLOOKUP(A37,'Standard Deviations'!A1:C666,3,FALSE)</f>
        <v>4.9517262490560618</v>
      </c>
      <c r="J37" s="168">
        <f>I37-VLOOKUP(B$2,H1:J136,2,FALSE)</f>
        <v>-0.49730742519979376</v>
      </c>
    </row>
    <row r="38" spans="1:10" ht="21.25" customHeight="1" x14ac:dyDescent="0.15">
      <c r="A38" s="9" t="s">
        <v>236</v>
      </c>
      <c r="B38" s="97" t="str">
        <f>VLOOKUP(A38,'The List'!B1:D665,3,FALSE)</f>
        <v>C/RW</v>
      </c>
      <c r="C38" s="98">
        <f>IF(Settings!$E$15="POINTS",RANK(E38,E3:E136),H38)</f>
        <v>31</v>
      </c>
      <c r="D38" s="65" t="str">
        <f>VLOOKUP(A38,'The List'!B1:F665,5,FALSE)</f>
        <v>CAR</v>
      </c>
      <c r="E38" s="54">
        <f>VLOOKUP(A38,'The List'!B1:I665,8,FALSE)</f>
        <v>332.60632585145726</v>
      </c>
      <c r="F38" s="54">
        <f>IF(Settings!$E$15="POINTS",E38-VLOOKUP(B$2,C1:E136,3,FALSE),J38)</f>
        <v>-36.241397254835135</v>
      </c>
      <c r="G38" s="54"/>
      <c r="H38" s="167">
        <f>RANK(I38,I3:I136)</f>
        <v>27</v>
      </c>
      <c r="I38" s="168">
        <f>VLOOKUP(A38,'Standard Deviations'!A1:C666,3,FALSE)</f>
        <v>4.6396819903075475</v>
      </c>
      <c r="J38" s="168">
        <f>I38-VLOOKUP(B$2,H1:J136,2,FALSE)</f>
        <v>-0.80935168394830814</v>
      </c>
    </row>
    <row r="39" spans="1:10" ht="21.25" customHeight="1" x14ac:dyDescent="0.15">
      <c r="A39" s="9" t="s">
        <v>245</v>
      </c>
      <c r="B39" s="97" t="str">
        <f>VLOOKUP(A39,'The List'!B1:D665,3,FALSE)</f>
        <v>RW</v>
      </c>
      <c r="C39" s="98">
        <f>IF(Settings!$E$15="POINTS",RANK(E39,E3:E136),H39)</f>
        <v>34</v>
      </c>
      <c r="D39" s="65" t="str">
        <f>VLOOKUP(A39,'The List'!B1:F665,5,FALSE)</f>
        <v>BUF</v>
      </c>
      <c r="E39" s="54">
        <f>VLOOKUP(A39,'The List'!B1:I665,8,FALSE)</f>
        <v>327.29068573031645</v>
      </c>
      <c r="F39" s="54">
        <f>IF(Settings!$E$15="POINTS",E39-VLOOKUP(B$2,C1:E136,3,FALSE),J39)</f>
        <v>-41.557037375975938</v>
      </c>
      <c r="G39" s="54"/>
      <c r="H39" s="167">
        <f>RANK(I39,I3:I136)</f>
        <v>33</v>
      </c>
      <c r="I39" s="168">
        <f>VLOOKUP(A39,'Standard Deviations'!A1:C666,3,FALSE)</f>
        <v>3.3579003618020913</v>
      </c>
      <c r="J39" s="168">
        <f>I39-VLOOKUP(B$2,H1:J136,2,FALSE)</f>
        <v>-2.0911333124537643</v>
      </c>
    </row>
    <row r="40" spans="1:10" ht="21.25" customHeight="1" x14ac:dyDescent="0.15">
      <c r="A40" s="9" t="s">
        <v>251</v>
      </c>
      <c r="B40" s="97" t="str">
        <f>VLOOKUP(A40,'The List'!B1:D665,3,FALSE)</f>
        <v>C/RW</v>
      </c>
      <c r="C40" s="98">
        <f>IF(Settings!$E$15="POINTS",RANK(E40,E3:E136),H40)</f>
        <v>35</v>
      </c>
      <c r="D40" s="65" t="str">
        <f>VLOOKUP(A40,'The List'!B1:F665,5,FALSE)</f>
        <v>CGY</v>
      </c>
      <c r="E40" s="54">
        <f>VLOOKUP(A40,'The List'!B1:I665,8,FALSE)</f>
        <v>324.7167796629285</v>
      </c>
      <c r="F40" s="54">
        <f>IF(Settings!$E$15="POINTS",E40-VLOOKUP(B$2,C1:E136,3,FALSE),J40)</f>
        <v>-44.13094344336389</v>
      </c>
      <c r="G40" s="54"/>
      <c r="H40" s="167">
        <f>RANK(I40,I3:I136)</f>
        <v>46</v>
      </c>
      <c r="I40" s="168">
        <f>VLOOKUP(A40,'Standard Deviations'!A1:C666,3,FALSE)</f>
        <v>2.2861546248777014</v>
      </c>
      <c r="J40" s="168">
        <f>I40-VLOOKUP(B$2,H1:J136,2,FALSE)</f>
        <v>-3.1628790493781542</v>
      </c>
    </row>
    <row r="41" spans="1:10" ht="21.25" customHeight="1" x14ac:dyDescent="0.15">
      <c r="A41" s="9" t="s">
        <v>263</v>
      </c>
      <c r="B41" s="97" t="str">
        <f>VLOOKUP(A41,'The List'!B1:D665,3,FALSE)</f>
        <v>C/RW</v>
      </c>
      <c r="C41" s="98">
        <f>IF(Settings!$E$15="POINTS",RANK(E41,E3:E136),H41)</f>
        <v>38</v>
      </c>
      <c r="D41" s="65" t="str">
        <f>VLOOKUP(A41,'The List'!B1:F665,5,FALSE)</f>
        <v>UTA</v>
      </c>
      <c r="E41" s="54">
        <f>VLOOKUP(A41,'The List'!B1:I665,8,FALSE)</f>
        <v>309.11075443473175</v>
      </c>
      <c r="F41" s="54">
        <f>IF(Settings!$E$15="POINTS",E41-VLOOKUP(B$2,C1:E136,3,FALSE),J41)</f>
        <v>-59.736968671560646</v>
      </c>
      <c r="G41" s="54"/>
      <c r="H41" s="167">
        <f>RANK(I41,I3:I136)</f>
        <v>38</v>
      </c>
      <c r="I41" s="168">
        <f>VLOOKUP(A41,'Standard Deviations'!A1:C666,3,FALSE)</f>
        <v>2.9378643738990307</v>
      </c>
      <c r="J41" s="168">
        <f>I41-VLOOKUP(B$2,H1:J136,2,FALSE)</f>
        <v>-2.511169300356825</v>
      </c>
    </row>
    <row r="42" spans="1:10" ht="21.25" customHeight="1" x14ac:dyDescent="0.15">
      <c r="A42" s="9" t="s">
        <v>261</v>
      </c>
      <c r="B42" s="97" t="str">
        <f>VLOOKUP(A42,'The List'!B1:D665,3,FALSE)</f>
        <v>LW/RW</v>
      </c>
      <c r="C42" s="98">
        <f>IF(Settings!$E$15="POINTS",RANK(E42,E3:E136),H42)</f>
        <v>37</v>
      </c>
      <c r="D42" s="65" t="str">
        <f>VLOOKUP(A42,'The List'!B1:F665,5,FALSE)</f>
        <v>S.J</v>
      </c>
      <c r="E42" s="54">
        <f>VLOOKUP(A42,'The List'!B1:I665,8,FALSE)</f>
        <v>312.84983177776769</v>
      </c>
      <c r="F42" s="54">
        <f>IF(Settings!$E$15="POINTS",E42-VLOOKUP(B$2,C1:E136,3,FALSE),J42)</f>
        <v>-55.997891328524702</v>
      </c>
      <c r="G42" s="54"/>
      <c r="H42" s="167">
        <f>RANK(I42,I3:I136)</f>
        <v>32</v>
      </c>
      <c r="I42" s="168">
        <f>VLOOKUP(A42,'Standard Deviations'!A1:C666,3,FALSE)</f>
        <v>3.419993548211687</v>
      </c>
      <c r="J42" s="168">
        <f>I42-VLOOKUP(B$2,H1:J136,2,FALSE)</f>
        <v>-2.0290401260441686</v>
      </c>
    </row>
    <row r="43" spans="1:10" ht="21.25" customHeight="1" x14ac:dyDescent="0.15">
      <c r="A43" s="9" t="s">
        <v>270</v>
      </c>
      <c r="B43" s="97" t="str">
        <f>VLOOKUP(A43,'The List'!B1:D665,3,FALSE)</f>
        <v>LW/RW</v>
      </c>
      <c r="C43" s="98">
        <f>IF(Settings!$E$15="POINTS",RANK(E43,E3:E136),H43)</f>
        <v>41</v>
      </c>
      <c r="D43" s="65" t="str">
        <f>VLOOKUP(A43,'The List'!B1:F665,5,FALSE)</f>
        <v>OTT</v>
      </c>
      <c r="E43" s="54">
        <f>VLOOKUP(A43,'The List'!B1:I665,8,FALSE)</f>
        <v>302.18187008004935</v>
      </c>
      <c r="F43" s="54">
        <f>IF(Settings!$E$15="POINTS",E43-VLOOKUP(B$2,C1:E136,3,FALSE),J43)</f>
        <v>-66.665853026243042</v>
      </c>
      <c r="G43" s="54"/>
      <c r="H43" s="167">
        <f>RANK(I43,I3:I136)</f>
        <v>45</v>
      </c>
      <c r="I43" s="168">
        <f>VLOOKUP(A43,'Standard Deviations'!A1:C666,3,FALSE)</f>
        <v>2.3674654476306349</v>
      </c>
      <c r="J43" s="168">
        <f>I43-VLOOKUP(B$2,H1:J136,2,FALSE)</f>
        <v>-3.0815682266252207</v>
      </c>
    </row>
    <row r="44" spans="1:10" ht="21.25" customHeight="1" x14ac:dyDescent="0.15">
      <c r="A44" s="9" t="s">
        <v>329</v>
      </c>
      <c r="B44" s="97" t="str">
        <f>VLOOKUP(A44,'The List'!B1:D665,3,FALSE)</f>
        <v>C/RW</v>
      </c>
      <c r="C44" s="98">
        <f>IF(Settings!$E$15="POINTS",RANK(E44,E3:E136),H44)</f>
        <v>52</v>
      </c>
      <c r="D44" s="65" t="str">
        <f>VLOOKUP(A44,'The List'!B1:F665,5,FALSE)</f>
        <v>WPG</v>
      </c>
      <c r="E44" s="54">
        <f>VLOOKUP(A44,'The List'!B1:I665,8,FALSE)</f>
        <v>259.62903323515349</v>
      </c>
      <c r="F44" s="54">
        <f>IF(Settings!$E$15="POINTS",E44-VLOOKUP(B$2,C1:E136,3,FALSE),J44)</f>
        <v>-109.21868987113891</v>
      </c>
      <c r="G44" s="54"/>
      <c r="H44" s="167">
        <f>RANK(I44,I3:I136)</f>
        <v>48</v>
      </c>
      <c r="I44" s="168">
        <f>VLOOKUP(A44,'Standard Deviations'!A1:C666,3,FALSE)</f>
        <v>2.1667662987696272</v>
      </c>
      <c r="J44" s="168">
        <f>I44-VLOOKUP(B$2,H1:J136,2,FALSE)</f>
        <v>-3.2822673754862284</v>
      </c>
    </row>
    <row r="45" spans="1:10" ht="21.25" customHeight="1" x14ac:dyDescent="0.15">
      <c r="A45" s="9" t="s">
        <v>272</v>
      </c>
      <c r="B45" s="97" t="str">
        <f>VLOOKUP(A45,'The List'!B1:D665,3,FALSE)</f>
        <v>LW/RW</v>
      </c>
      <c r="C45" s="98">
        <f>IF(Settings!$E$15="POINTS",RANK(E45,E3:E136),H45)</f>
        <v>42</v>
      </c>
      <c r="D45" s="65" t="str">
        <f>VLOOKUP(A45,'The List'!B1:F665,5,FALSE)</f>
        <v>CHI</v>
      </c>
      <c r="E45" s="54">
        <f>VLOOKUP(A45,'The List'!B1:I665,8,FALSE)</f>
        <v>300.77951234858818</v>
      </c>
      <c r="F45" s="54">
        <f>IF(Settings!$E$15="POINTS",E45-VLOOKUP(B$2,C1:E136,3,FALSE),J45)</f>
        <v>-68.068210757704207</v>
      </c>
      <c r="G45" s="54"/>
      <c r="H45" s="167">
        <f>RANK(I45,I3:I136)</f>
        <v>30</v>
      </c>
      <c r="I45" s="168">
        <f>VLOOKUP(A45,'Standard Deviations'!A1:C666,3,FALSE)</f>
        <v>4.0837809381379886</v>
      </c>
      <c r="J45" s="168">
        <f>I45-VLOOKUP(B$2,H1:J136,2,FALSE)</f>
        <v>-1.365252736117867</v>
      </c>
    </row>
    <row r="46" spans="1:10" ht="21.25" customHeight="1" x14ac:dyDescent="0.15">
      <c r="A46" s="9" t="s">
        <v>265</v>
      </c>
      <c r="B46" s="97" t="str">
        <f>VLOOKUP(A46,'The List'!B1:D665,3,FALSE)</f>
        <v>RW</v>
      </c>
      <c r="C46" s="98">
        <f>IF(Settings!$E$15="POINTS",RANK(E46,E3:E136),H46)</f>
        <v>40</v>
      </c>
      <c r="D46" s="65" t="str">
        <f>VLOOKUP(A46,'The List'!B1:F665,5,FALSE)</f>
        <v>OTT</v>
      </c>
      <c r="E46" s="54">
        <f>VLOOKUP(A46,'The List'!B1:I665,8,FALSE)</f>
        <v>308.3794654198133</v>
      </c>
      <c r="F46" s="54">
        <f>IF(Settings!$E$15="POINTS",E46-VLOOKUP(B$2,C1:E136,3,FALSE),J46)</f>
        <v>-60.468257686479092</v>
      </c>
      <c r="G46" s="54"/>
      <c r="H46" s="167">
        <f>RANK(I46,I3:I136)</f>
        <v>43</v>
      </c>
      <c r="I46" s="168">
        <f>VLOOKUP(A46,'Standard Deviations'!A1:C666,3,FALSE)</f>
        <v>2.5507572314475628</v>
      </c>
      <c r="J46" s="168">
        <f>I46-VLOOKUP(B$2,H1:J136,2,FALSE)</f>
        <v>-2.8982764428082928</v>
      </c>
    </row>
    <row r="47" spans="1:10" ht="21.25" customHeight="1" x14ac:dyDescent="0.15">
      <c r="A47" s="9" t="s">
        <v>264</v>
      </c>
      <c r="B47" s="97" t="str">
        <f>VLOOKUP(A47,'The List'!B1:D665,3,FALSE)</f>
        <v>LW/RW</v>
      </c>
      <c r="C47" s="98">
        <f>IF(Settings!$E$15="POINTS",RANK(E47,E3:E136),H47)</f>
        <v>39</v>
      </c>
      <c r="D47" s="65" t="str">
        <f>VLOOKUP(A47,'The List'!B1:F665,5,FALSE)</f>
        <v>NYR</v>
      </c>
      <c r="E47" s="54">
        <f>VLOOKUP(A47,'The List'!B1:I665,8,FALSE)</f>
        <v>308.82845350902903</v>
      </c>
      <c r="F47" s="54">
        <f>IF(Settings!$E$15="POINTS",E47-VLOOKUP(B$2,C1:E136,3,FALSE),J47)</f>
        <v>-60.01926959726336</v>
      </c>
      <c r="G47" s="54"/>
      <c r="H47" s="167">
        <f>RANK(I47,I3:I136)</f>
        <v>35</v>
      </c>
      <c r="I47" s="168">
        <f>VLOOKUP(A47,'Standard Deviations'!A1:C666,3,FALSE)</f>
        <v>3.2369639719436734</v>
      </c>
      <c r="J47" s="168">
        <f>I47-VLOOKUP(B$2,H1:J136,2,FALSE)</f>
        <v>-2.2120697023121823</v>
      </c>
    </row>
    <row r="48" spans="1:10" ht="21.25" customHeight="1" x14ac:dyDescent="0.15">
      <c r="A48" s="9" t="s">
        <v>289</v>
      </c>
      <c r="B48" s="97" t="str">
        <f>VLOOKUP(A48,'The List'!B1:D665,3,FALSE)</f>
        <v>RW</v>
      </c>
      <c r="C48" s="98">
        <f>IF(Settings!$E$15="POINTS",RANK(E48,E3:E136),H48)</f>
        <v>44</v>
      </c>
      <c r="D48" s="65" t="str">
        <f>VLOOKUP(A48,'The List'!B1:F665,5,FALSE)</f>
        <v>MIN</v>
      </c>
      <c r="E48" s="54">
        <f>VLOOKUP(A48,'The List'!B1:I665,8,FALSE)</f>
        <v>286.82722316224573</v>
      </c>
      <c r="F48" s="54">
        <f>IF(Settings!$E$15="POINTS",E48-VLOOKUP(B$2,C1:E136,3,FALSE),J48)</f>
        <v>-82.020499944046662</v>
      </c>
      <c r="G48" s="54"/>
      <c r="H48" s="167">
        <f>RANK(I48,I3:I136)</f>
        <v>42</v>
      </c>
      <c r="I48" s="168">
        <f>VLOOKUP(A48,'Standard Deviations'!A1:C666,3,FALSE)</f>
        <v>2.6542178331785822</v>
      </c>
      <c r="J48" s="168">
        <f>I48-VLOOKUP(B$2,H1:J136,2,FALSE)</f>
        <v>-2.7948158410772734</v>
      </c>
    </row>
    <row r="49" spans="1:10" ht="21.25" customHeight="1" x14ac:dyDescent="0.15">
      <c r="A49" s="9" t="s">
        <v>309</v>
      </c>
      <c r="B49" s="97" t="str">
        <f>VLOOKUP(A49,'The List'!B1:D665,3,FALSE)</f>
        <v>LW/RW</v>
      </c>
      <c r="C49" s="98">
        <f>IF(Settings!$E$15="POINTS",RANK(E49,E3:E136),H49)</f>
        <v>48</v>
      </c>
      <c r="D49" s="65" t="str">
        <f>VLOOKUP(A49,'The List'!B1:F665,5,FALSE)</f>
        <v>STL</v>
      </c>
      <c r="E49" s="54">
        <f>VLOOKUP(A49,'The List'!B1:I665,8,FALSE)</f>
        <v>270.6727767167863</v>
      </c>
      <c r="F49" s="54">
        <f>IF(Settings!$E$15="POINTS",E49-VLOOKUP(B$2,C1:E136,3,FALSE),J49)</f>
        <v>-98.17494638950609</v>
      </c>
      <c r="G49" s="54"/>
      <c r="H49" s="167">
        <f>RANK(I49,I3:I136)</f>
        <v>55</v>
      </c>
      <c r="I49" s="168">
        <f>VLOOKUP(A49,'Standard Deviations'!A1:C666,3,FALSE)</f>
        <v>0.88808862255828669</v>
      </c>
      <c r="J49" s="168">
        <f>I49-VLOOKUP(B$2,H1:J136,2,FALSE)</f>
        <v>-4.5609450516975691</v>
      </c>
    </row>
    <row r="50" spans="1:10" ht="21.25" customHeight="1" x14ac:dyDescent="0.15">
      <c r="A50" s="9" t="s">
        <v>296</v>
      </c>
      <c r="B50" s="97" t="str">
        <f>VLOOKUP(A50,'The List'!B1:D665,3,FALSE)</f>
        <v>LW/RW</v>
      </c>
      <c r="C50" s="98">
        <f>IF(Settings!$E$15="POINTS",RANK(E50,E3:E136),H50)</f>
        <v>46</v>
      </c>
      <c r="D50" s="65" t="str">
        <f>VLOOKUP(A50,'The List'!B1:F665,5,FALSE)</f>
        <v>L.A</v>
      </c>
      <c r="E50" s="54">
        <f>VLOOKUP(A50,'The List'!B1:I665,8,FALSE)</f>
        <v>283.62556590770259</v>
      </c>
      <c r="F50" s="54">
        <f>IF(Settings!$E$15="POINTS",E50-VLOOKUP(B$2,C1:E136,3,FALSE),J50)</f>
        <v>-85.222157198589798</v>
      </c>
      <c r="G50" s="54"/>
      <c r="H50" s="167">
        <f>RANK(I50,I3:I136)</f>
        <v>44</v>
      </c>
      <c r="I50" s="168">
        <f>VLOOKUP(A50,'Standard Deviations'!A1:C666,3,FALSE)</f>
        <v>2.4876153539267287</v>
      </c>
      <c r="J50" s="168">
        <f>I50-VLOOKUP(B$2,H1:J136,2,FALSE)</f>
        <v>-2.9614183203291269</v>
      </c>
    </row>
    <row r="51" spans="1:10" ht="21.25" customHeight="1" x14ac:dyDescent="0.15">
      <c r="A51" s="9" t="s">
        <v>294</v>
      </c>
      <c r="B51" s="97" t="str">
        <f>VLOOKUP(A51,'The List'!B1:D665,3,FALSE)</f>
        <v>C/RW</v>
      </c>
      <c r="C51" s="98">
        <f>IF(Settings!$E$15="POINTS",RANK(E51,E3:E136),H51)</f>
        <v>45</v>
      </c>
      <c r="D51" s="65" t="str">
        <f>VLOOKUP(A51,'The List'!B1:F665,5,FALSE)</f>
        <v>DAL</v>
      </c>
      <c r="E51" s="54">
        <f>VLOOKUP(A51,'The List'!B1:I665,8,FALSE)</f>
        <v>285.0725543643324</v>
      </c>
      <c r="F51" s="54">
        <f>IF(Settings!$E$15="POINTS",E51-VLOOKUP(B$2,C1:E136,3,FALSE),J51)</f>
        <v>-83.775168741959988</v>
      </c>
      <c r="G51" s="54"/>
      <c r="H51" s="167">
        <f>RANK(I51,I3:I136)</f>
        <v>34</v>
      </c>
      <c r="I51" s="168">
        <f>VLOOKUP(A51,'Standard Deviations'!A1:C666,3,FALSE)</f>
        <v>3.2584222978080772</v>
      </c>
      <c r="J51" s="168">
        <f>I51-VLOOKUP(B$2,H1:J136,2,FALSE)</f>
        <v>-2.1906113764477784</v>
      </c>
    </row>
    <row r="52" spans="1:10" ht="21.25" customHeight="1" x14ac:dyDescent="0.15">
      <c r="A52" s="9" t="s">
        <v>360</v>
      </c>
      <c r="B52" s="97" t="str">
        <f>VLOOKUP(A52,'The List'!B1:D665,3,FALSE)</f>
        <v>RW</v>
      </c>
      <c r="C52" s="98">
        <f>IF(Settings!$E$15="POINTS",RANK(E52,E3:E136),H52)</f>
        <v>60</v>
      </c>
      <c r="D52" s="65" t="str">
        <f>VLOOKUP(A52,'The List'!B1:F665,5,FALSE)</f>
        <v>BUF</v>
      </c>
      <c r="E52" s="54">
        <f>VLOOKUP(A52,'The List'!B1:I665,8,FALSE)</f>
        <v>243.45736444337584</v>
      </c>
      <c r="F52" s="54">
        <f>IF(Settings!$E$15="POINTS",E52-VLOOKUP(B$2,C1:E136,3,FALSE),J52)</f>
        <v>-125.39035866291655</v>
      </c>
      <c r="G52" s="54"/>
      <c r="H52" s="167">
        <f>RANK(I52,I3:I136)</f>
        <v>65</v>
      </c>
      <c r="I52" s="168">
        <f>VLOOKUP(A52,'Standard Deviations'!A1:C666,3,FALSE)</f>
        <v>0.33128872014923388</v>
      </c>
      <c r="J52" s="168">
        <f>I52-VLOOKUP(B$2,H1:J136,2,FALSE)</f>
        <v>-5.1177449541066213</v>
      </c>
    </row>
    <row r="53" spans="1:10" ht="21.25" customHeight="1" x14ac:dyDescent="0.15">
      <c r="A53" s="9" t="s">
        <v>331</v>
      </c>
      <c r="B53" s="97" t="str">
        <f>VLOOKUP(A53,'The List'!B1:D665,3,FALSE)</f>
        <v>RW</v>
      </c>
      <c r="C53" s="98">
        <f>IF(Settings!$E$15="POINTS",RANK(E53,E3:E136),H53)</f>
        <v>54</v>
      </c>
      <c r="D53" s="65" t="str">
        <f>VLOOKUP(A53,'The List'!B1:F665,5,FALSE)</f>
        <v>WSH</v>
      </c>
      <c r="E53" s="54">
        <f>VLOOKUP(A53,'The List'!B1:I665,8,FALSE)</f>
        <v>259.03871305727262</v>
      </c>
      <c r="F53" s="54">
        <f>IF(Settings!$E$15="POINTS",E53-VLOOKUP(B$2,C1:E136,3,FALSE),J53)</f>
        <v>-109.80901004901978</v>
      </c>
      <c r="G53" s="54"/>
      <c r="H53" s="167">
        <f>RANK(I53,I3:I136)</f>
        <v>60</v>
      </c>
      <c r="I53" s="168">
        <f>VLOOKUP(A53,'Standard Deviations'!A1:C666,3,FALSE)</f>
        <v>0.75904554732348395</v>
      </c>
      <c r="J53" s="168">
        <f>I53-VLOOKUP(B$2,H1:J136,2,FALSE)</f>
        <v>-4.6899881269323718</v>
      </c>
    </row>
    <row r="54" spans="1:10" ht="21.25" customHeight="1" x14ac:dyDescent="0.15">
      <c r="A54" s="9" t="s">
        <v>330</v>
      </c>
      <c r="B54" s="97" t="str">
        <f>VLOOKUP(A54,'The List'!B1:D665,3,FALSE)</f>
        <v>RW</v>
      </c>
      <c r="C54" s="98">
        <f>IF(Settings!$E$15="POINTS",RANK(E54,E3:E136),H54)</f>
        <v>53</v>
      </c>
      <c r="D54" s="65" t="str">
        <f>VLOOKUP(A54,'The List'!B1:F665,5,FALSE)</f>
        <v>PHI</v>
      </c>
      <c r="E54" s="54">
        <f>VLOOKUP(A54,'The List'!B1:I665,8,FALSE)</f>
        <v>259.58408010013619</v>
      </c>
      <c r="F54" s="54">
        <f>IF(Settings!$E$15="POINTS",E54-VLOOKUP(B$2,C1:E136,3,FALSE),J54)</f>
        <v>-109.2636430061562</v>
      </c>
      <c r="G54" s="54"/>
      <c r="H54" s="167">
        <f>RANK(I54,I3:I136)</f>
        <v>62</v>
      </c>
      <c r="I54" s="168">
        <f>VLOOKUP(A54,'Standard Deviations'!A1:C666,3,FALSE)</f>
        <v>0.6560762621968752</v>
      </c>
      <c r="J54" s="168">
        <f>I54-VLOOKUP(B$2,H1:J136,2,FALSE)</f>
        <v>-4.7929574120589802</v>
      </c>
    </row>
    <row r="55" spans="1:10" ht="21.25" customHeight="1" x14ac:dyDescent="0.15">
      <c r="A55" s="9" t="s">
        <v>307</v>
      </c>
      <c r="B55" s="97" t="str">
        <f>VLOOKUP(A55,'The List'!B1:D665,3,FALSE)</f>
        <v>LW/RW</v>
      </c>
      <c r="C55" s="98">
        <f>IF(Settings!$E$15="POINTS",RANK(E55,E3:E136),H55)</f>
        <v>47</v>
      </c>
      <c r="D55" s="65" t="str">
        <f>VLOOKUP(A55,'The List'!B1:F665,5,FALSE)</f>
        <v>CGY</v>
      </c>
      <c r="E55" s="54">
        <f>VLOOKUP(A55,'The List'!B1:I665,8,FALSE)</f>
        <v>271.55675827390883</v>
      </c>
      <c r="F55" s="54">
        <f>IF(Settings!$E$15="POINTS",E55-VLOOKUP(B$2,C1:E136,3,FALSE),J55)</f>
        <v>-97.290964832383565</v>
      </c>
      <c r="G55" s="54"/>
      <c r="H55" s="167">
        <f>RANK(I55,I3:I136)</f>
        <v>50</v>
      </c>
      <c r="I55" s="168">
        <f>VLOOKUP(A55,'Standard Deviations'!A1:C666,3,FALSE)</f>
        <v>2.0186182531529004</v>
      </c>
      <c r="J55" s="168">
        <f>I55-VLOOKUP(B$2,H1:J136,2,FALSE)</f>
        <v>-3.4304154211029552</v>
      </c>
    </row>
    <row r="56" spans="1:10" ht="21.25" customHeight="1" x14ac:dyDescent="0.15">
      <c r="A56" s="9" t="s">
        <v>314</v>
      </c>
      <c r="B56" s="97" t="str">
        <f>VLOOKUP(A56,'The List'!B1:D665,3,FALSE)</f>
        <v>C/RW</v>
      </c>
      <c r="C56" s="98">
        <f>IF(Settings!$E$15="POINTS",RANK(E56,E3:E136),H56)</f>
        <v>49</v>
      </c>
      <c r="D56" s="65" t="str">
        <f>VLOOKUP(A56,'The List'!B1:F665,5,FALSE)</f>
        <v>DAL</v>
      </c>
      <c r="E56" s="54">
        <f>VLOOKUP(A56,'The List'!B1:I665,8,FALSE)</f>
        <v>266.61516325373469</v>
      </c>
      <c r="F56" s="54">
        <f>IF(Settings!$E$15="POINTS",E56-VLOOKUP(B$2,C1:E136,3,FALSE),J56)</f>
        <v>-102.2325598525577</v>
      </c>
      <c r="G56" s="54"/>
      <c r="H56" s="167">
        <f>RANK(I56,I3:I136)</f>
        <v>49</v>
      </c>
      <c r="I56" s="168">
        <f>VLOOKUP(A56,'Standard Deviations'!A1:C666,3,FALSE)</f>
        <v>2.1460392235091388</v>
      </c>
      <c r="J56" s="168">
        <f>I56-VLOOKUP(B$2,H1:J136,2,FALSE)</f>
        <v>-3.3029944507467168</v>
      </c>
    </row>
    <row r="57" spans="1:10" ht="21.25" customHeight="1" x14ac:dyDescent="0.15">
      <c r="A57" s="9" t="s">
        <v>328</v>
      </c>
      <c r="B57" s="97" t="str">
        <f>VLOOKUP(A57,'The List'!B1:D665,3,FALSE)</f>
        <v>RW</v>
      </c>
      <c r="C57" s="98">
        <f>IF(Settings!$E$15="POINTS",RANK(E57,E3:E136),H57)</f>
        <v>51</v>
      </c>
      <c r="D57" s="65" t="str">
        <f>VLOOKUP(A57,'The List'!B1:F665,5,FALSE)</f>
        <v>NYI</v>
      </c>
      <c r="E57" s="54">
        <f>VLOOKUP(A57,'The List'!B1:I665,8,FALSE)</f>
        <v>259.81665799720372</v>
      </c>
      <c r="F57" s="54">
        <f>IF(Settings!$E$15="POINTS",E57-VLOOKUP(B$2,C1:E136,3,FALSE),J57)</f>
        <v>-109.03106510908867</v>
      </c>
      <c r="G57" s="54"/>
      <c r="H57" s="167">
        <f>RANK(I57,I3:I136)</f>
        <v>47</v>
      </c>
      <c r="I57" s="168">
        <f>VLOOKUP(A57,'Standard Deviations'!A1:C666,3,FALSE)</f>
        <v>2.1857738985783604</v>
      </c>
      <c r="J57" s="168">
        <f>I57-VLOOKUP(B$2,H1:J136,2,FALSE)</f>
        <v>-3.2632597756774953</v>
      </c>
    </row>
    <row r="58" spans="1:10" ht="21.25" customHeight="1" x14ac:dyDescent="0.15">
      <c r="A58" s="9" t="s">
        <v>322</v>
      </c>
      <c r="B58" s="97" t="str">
        <f>VLOOKUP(A58,'The List'!B1:D665,3,FALSE)</f>
        <v>RW</v>
      </c>
      <c r="C58" s="98">
        <f>IF(Settings!$E$15="POINTS",RANK(E58,E3:E136),H58)</f>
        <v>50</v>
      </c>
      <c r="D58" s="65" t="str">
        <f>VLOOKUP(A58,'The List'!B1:F665,5,FALSE)</f>
        <v>VAN</v>
      </c>
      <c r="E58" s="54">
        <f>VLOOKUP(A58,'The List'!B1:I665,8,FALSE)</f>
        <v>263.17471593958203</v>
      </c>
      <c r="F58" s="54">
        <f>IF(Settings!$E$15="POINTS",E58-VLOOKUP(B$2,C1:E136,3,FALSE),J58)</f>
        <v>-105.67300716671036</v>
      </c>
      <c r="G58" s="54"/>
      <c r="H58" s="167">
        <f>RANK(I58,I3:I136)</f>
        <v>39</v>
      </c>
      <c r="I58" s="168">
        <f>VLOOKUP(A58,'Standard Deviations'!A1:C666,3,FALSE)</f>
        <v>2.7997546364553427</v>
      </c>
      <c r="J58" s="168">
        <f>I58-VLOOKUP(B$2,H1:J136,2,FALSE)</f>
        <v>-2.6492790378005129</v>
      </c>
    </row>
    <row r="59" spans="1:10" ht="21.25" customHeight="1" x14ac:dyDescent="0.15">
      <c r="A59" s="9" t="s">
        <v>342</v>
      </c>
      <c r="B59" s="97" t="str">
        <f>VLOOKUP(A59,'The List'!B1:D665,3,FALSE)</f>
        <v>LW/RW</v>
      </c>
      <c r="C59" s="98">
        <f>IF(Settings!$E$15="POINTS",RANK(E59,E3:E136),H59)</f>
        <v>58</v>
      </c>
      <c r="D59" s="65" t="str">
        <f>VLOOKUP(A59,'The List'!B1:F665,5,FALSE)</f>
        <v>DET</v>
      </c>
      <c r="E59" s="54">
        <f>VLOOKUP(A59,'The List'!B1:I665,8,FALSE)</f>
        <v>252.2596411316369</v>
      </c>
      <c r="F59" s="54">
        <f>IF(Settings!$E$15="POINTS",E59-VLOOKUP(B$2,C1:E136,3,FALSE),J59)</f>
        <v>-116.58808197465549</v>
      </c>
      <c r="G59" s="54"/>
      <c r="H59" s="167">
        <f>RANK(I59,I3:I136)</f>
        <v>57</v>
      </c>
      <c r="I59" s="168">
        <f>VLOOKUP(A59,'Standard Deviations'!A1:C666,3,FALSE)</f>
        <v>0.82526111785169343</v>
      </c>
      <c r="J59" s="168">
        <f>I59-VLOOKUP(B$2,H1:J136,2,FALSE)</f>
        <v>-4.6237725564041625</v>
      </c>
    </row>
    <row r="60" spans="1:10" ht="21.25" customHeight="1" x14ac:dyDescent="0.15">
      <c r="A60" s="9" t="s">
        <v>362</v>
      </c>
      <c r="B60" s="97" t="str">
        <f>VLOOKUP(A60,'The List'!B1:D665,3,FALSE)</f>
        <v>RW</v>
      </c>
      <c r="C60" s="98">
        <f>IF(Settings!$E$15="POINTS",RANK(E60,E3:E136),H60)</f>
        <v>62</v>
      </c>
      <c r="D60" s="65" t="str">
        <f>VLOOKUP(A60,'The List'!B1:F665,5,FALSE)</f>
        <v>CBJ</v>
      </c>
      <c r="E60" s="54">
        <f>VLOOKUP(A60,'The List'!B1:I665,8,FALSE)</f>
        <v>241.94554558805197</v>
      </c>
      <c r="F60" s="54">
        <f>IF(Settings!$E$15="POINTS",E60-VLOOKUP(B$2,C1:E136,3,FALSE),J60)</f>
        <v>-126.90217751824042</v>
      </c>
      <c r="G60" s="54"/>
      <c r="H60" s="167">
        <f>RANK(I60,I3:I136)</f>
        <v>78</v>
      </c>
      <c r="I60" s="168">
        <f>VLOOKUP(A60,'Standard Deviations'!A1:C666,3,FALSE)</f>
        <v>-0.73046737738088185</v>
      </c>
      <c r="J60" s="168">
        <f>I60-VLOOKUP(B$2,H1:J136,2,FALSE)</f>
        <v>-6.1795010516367377</v>
      </c>
    </row>
    <row r="61" spans="1:10" ht="21.25" customHeight="1" x14ac:dyDescent="0.15">
      <c r="A61" s="9" t="s">
        <v>338</v>
      </c>
      <c r="B61" s="97" t="str">
        <f>VLOOKUP(A61,'The List'!B1:D665,3,FALSE)</f>
        <v>RW</v>
      </c>
      <c r="C61" s="98">
        <f>IF(Settings!$E$15="POINTS",RANK(E61,E3:E136),H61)</f>
        <v>57</v>
      </c>
      <c r="D61" s="65" t="str">
        <f>VLOOKUP(A61,'The List'!B1:F665,5,FALSE)</f>
        <v>SEA</v>
      </c>
      <c r="E61" s="54">
        <f>VLOOKUP(A61,'The List'!B1:I665,8,FALSE)</f>
        <v>257.24626844948506</v>
      </c>
      <c r="F61" s="54">
        <f>IF(Settings!$E$15="POINTS",E61-VLOOKUP(B$2,C1:E136,3,FALSE),J61)</f>
        <v>-111.60145465680733</v>
      </c>
      <c r="G61" s="54"/>
      <c r="H61" s="167">
        <f>RANK(I61,I3:I136)</f>
        <v>53</v>
      </c>
      <c r="I61" s="168">
        <f>VLOOKUP(A61,'Standard Deviations'!A1:C666,3,FALSE)</f>
        <v>1.1149460985860089</v>
      </c>
      <c r="J61" s="168">
        <f>I61-VLOOKUP(B$2,H1:J136,2,FALSE)</f>
        <v>-4.3340875756698463</v>
      </c>
    </row>
    <row r="62" spans="1:10" ht="21.25" customHeight="1" x14ac:dyDescent="0.15">
      <c r="A62" s="9" t="s">
        <v>336</v>
      </c>
      <c r="B62" s="97" t="str">
        <f>VLOOKUP(A62,'The List'!B1:D665,3,FALSE)</f>
        <v>C/RW</v>
      </c>
      <c r="C62" s="98">
        <f>IF(Settings!$E$15="POINTS",RANK(E62,E3:E136),H62)</f>
        <v>55</v>
      </c>
      <c r="D62" s="65" t="str">
        <f>VLOOKUP(A62,'The List'!B1:F665,5,FALSE)</f>
        <v>CGY</v>
      </c>
      <c r="E62" s="54">
        <f>VLOOKUP(A62,'The List'!B1:I665,8,FALSE)</f>
        <v>257.56503284482852</v>
      </c>
      <c r="F62" s="54">
        <f>IF(Settings!$E$15="POINTS",E62-VLOOKUP(B$2,C1:E136,3,FALSE),J62)</f>
        <v>-111.28269026146387</v>
      </c>
      <c r="G62" s="54"/>
      <c r="H62" s="167">
        <f>RANK(I62,I3:I136)</f>
        <v>66</v>
      </c>
      <c r="I62" s="168">
        <f>VLOOKUP(A62,'Standard Deviations'!A1:C666,3,FALSE)</f>
        <v>0.27581813531274035</v>
      </c>
      <c r="J62" s="168">
        <f>I62-VLOOKUP(B$2,H1:J136,2,FALSE)</f>
        <v>-5.1732155389431149</v>
      </c>
    </row>
    <row r="63" spans="1:10" ht="21.25" customHeight="1" x14ac:dyDescent="0.15">
      <c r="A63" s="9" t="s">
        <v>355</v>
      </c>
      <c r="B63" s="97" t="str">
        <f>VLOOKUP(A63,'The List'!B1:D665,3,FALSE)</f>
        <v>C/RW</v>
      </c>
      <c r="C63" s="98">
        <f>IF(Settings!$E$15="POINTS",RANK(E63,E3:E136),H63)</f>
        <v>59</v>
      </c>
      <c r="D63" s="65" t="str">
        <f>VLOOKUP(A63,'The List'!B1:F665,5,FALSE)</f>
        <v>MIN</v>
      </c>
      <c r="E63" s="54">
        <f>VLOOKUP(A63,'The List'!B1:I665,8,FALSE)</f>
        <v>244.71474061035767</v>
      </c>
      <c r="F63" s="54">
        <f>IF(Settings!$E$15="POINTS",E63-VLOOKUP(B$2,C1:E136,3,FALSE),J63)</f>
        <v>-124.13298249593473</v>
      </c>
      <c r="G63" s="54"/>
      <c r="H63" s="167">
        <f>RANK(I63,I3:I136)</f>
        <v>58</v>
      </c>
      <c r="I63" s="168">
        <f>VLOOKUP(A63,'Standard Deviations'!A1:C666,3,FALSE)</f>
        <v>0.8196395980386556</v>
      </c>
      <c r="J63" s="168">
        <f>I63-VLOOKUP(B$2,H1:J136,2,FALSE)</f>
        <v>-4.6293940762172001</v>
      </c>
    </row>
    <row r="64" spans="1:10" ht="21.25" customHeight="1" x14ac:dyDescent="0.15">
      <c r="A64" s="9" t="s">
        <v>337</v>
      </c>
      <c r="B64" s="97" t="str">
        <f>VLOOKUP(A64,'The List'!B1:D665,3,FALSE)</f>
        <v>RW</v>
      </c>
      <c r="C64" s="98">
        <f>IF(Settings!$E$15="POINTS",RANK(E64,E3:E136),H64)</f>
        <v>56</v>
      </c>
      <c r="D64" s="65" t="str">
        <f>VLOOKUP(A64,'The List'!B1:F665,5,FALSE)</f>
        <v>SEA</v>
      </c>
      <c r="E64" s="54">
        <f>VLOOKUP(A64,'The List'!B1:I665,8,FALSE)</f>
        <v>257.31362298924017</v>
      </c>
      <c r="F64" s="54">
        <f>IF(Settings!$E$15="POINTS",E64-VLOOKUP(B$2,C1:E136,3,FALSE),J64)</f>
        <v>-111.53410011705222</v>
      </c>
      <c r="G64" s="54"/>
      <c r="H64" s="167">
        <f>RANK(I64,I3:I136)</f>
        <v>56</v>
      </c>
      <c r="I64" s="168">
        <f>VLOOKUP(A64,'Standard Deviations'!A1:C666,3,FALSE)</f>
        <v>0.8864465057071208</v>
      </c>
      <c r="J64" s="168">
        <f>I64-VLOOKUP(B$2,H1:J136,2,FALSE)</f>
        <v>-4.5625871685487347</v>
      </c>
    </row>
    <row r="65" spans="1:10" ht="21.25" customHeight="1" x14ac:dyDescent="0.15">
      <c r="A65" s="9" t="s">
        <v>361</v>
      </c>
      <c r="B65" s="97" t="str">
        <f>VLOOKUP(A65,'The List'!B1:D665,3,FALSE)</f>
        <v>C/RW</v>
      </c>
      <c r="C65" s="98">
        <f>IF(Settings!$E$15="POINTS",RANK(E65,E3:E136),H65)</f>
        <v>61</v>
      </c>
      <c r="D65" s="65" t="str">
        <f>VLOOKUP(A65,'The List'!B1:F665,5,FALSE)</f>
        <v>FLA</v>
      </c>
      <c r="E65" s="54">
        <f>VLOOKUP(A65,'The List'!B1:I665,8,FALSE)</f>
        <v>242.12242999929035</v>
      </c>
      <c r="F65" s="54">
        <f>IF(Settings!$E$15="POINTS",E65-VLOOKUP(B$2,C1:E136,3,FALSE),J65)</f>
        <v>-126.72529310700205</v>
      </c>
      <c r="G65" s="54"/>
      <c r="H65" s="167">
        <f>RANK(I65,I3:I136)</f>
        <v>52</v>
      </c>
      <c r="I65" s="168">
        <f>VLOOKUP(A65,'Standard Deviations'!A1:C666,3,FALSE)</f>
        <v>1.4588668352971839</v>
      </c>
      <c r="J65" s="168">
        <f>I65-VLOOKUP(B$2,H1:J136,2,FALSE)</f>
        <v>-3.9901668389586717</v>
      </c>
    </row>
    <row r="66" spans="1:10" ht="21.25" customHeight="1" x14ac:dyDescent="0.15">
      <c r="A66" s="9" t="s">
        <v>364</v>
      </c>
      <c r="B66" s="97" t="str">
        <f>VLOOKUP(A66,'The List'!B1:D665,3,FALSE)</f>
        <v>C/RW</v>
      </c>
      <c r="C66" s="98">
        <f>IF(Settings!$E$15="POINTS",RANK(E66,E3:E136),H66)</f>
        <v>63</v>
      </c>
      <c r="D66" s="65" t="str">
        <f>VLOOKUP(A66,'The List'!B1:F665,5,FALSE)</f>
        <v>PIT</v>
      </c>
      <c r="E66" s="54">
        <f>VLOOKUP(A66,'The List'!B1:I665,8,FALSE)</f>
        <v>241.78304192646573</v>
      </c>
      <c r="F66" s="54">
        <f>IF(Settings!$E$15="POINTS",E66-VLOOKUP(B$2,C1:E136,3,FALSE),J66)</f>
        <v>-127.06468117982666</v>
      </c>
      <c r="G66" s="54"/>
      <c r="H66" s="167">
        <f>RANK(I66,I3:I136)</f>
        <v>54</v>
      </c>
      <c r="I66" s="168">
        <f>VLOOKUP(A66,'Standard Deviations'!A1:C666,3,FALSE)</f>
        <v>0.95733652029875016</v>
      </c>
      <c r="J66" s="168">
        <f>I66-VLOOKUP(B$2,H1:J136,2,FALSE)</f>
        <v>-4.4916971539571051</v>
      </c>
    </row>
    <row r="67" spans="1:10" ht="21.25" customHeight="1" x14ac:dyDescent="0.15">
      <c r="A67" s="9" t="s">
        <v>366</v>
      </c>
      <c r="B67" s="97" t="str">
        <f>VLOOKUP(A67,'The List'!B1:D665,3,FALSE)</f>
        <v>C/RW</v>
      </c>
      <c r="C67" s="98">
        <f>IF(Settings!$E$15="POINTS",RANK(E67,E3:E136),H67)</f>
        <v>64</v>
      </c>
      <c r="D67" s="65" t="str">
        <f>VLOOKUP(A67,'The List'!B1:F665,5,FALSE)</f>
        <v>S.J</v>
      </c>
      <c r="E67" s="54">
        <f>VLOOKUP(A67,'The List'!B1:I665,8,FALSE)</f>
        <v>241.58395498787027</v>
      </c>
      <c r="F67" s="54">
        <f>IF(Settings!$E$15="POINTS",E67-VLOOKUP(B$2,C1:E136,3,FALSE),J67)</f>
        <v>-127.26376811842212</v>
      </c>
      <c r="G67" s="54"/>
      <c r="H67" s="167">
        <f>RANK(I67,I3:I136)</f>
        <v>89</v>
      </c>
      <c r="I67" s="168">
        <f>VLOOKUP(A67,'Standard Deviations'!A1:C666,3,FALSE)</f>
        <v>-1.6710610074192573</v>
      </c>
      <c r="J67" s="168">
        <f>I67-VLOOKUP(B$2,H1:J136,2,FALSE)</f>
        <v>-7.1200946816751127</v>
      </c>
    </row>
    <row r="68" spans="1:10" ht="21.25" customHeight="1" x14ac:dyDescent="0.15">
      <c r="A68" s="9" t="s">
        <v>371</v>
      </c>
      <c r="B68" s="97" t="str">
        <f>VLOOKUP(A68,'The List'!B1:D665,3,FALSE)</f>
        <v>C/RW</v>
      </c>
      <c r="C68" s="98">
        <f>IF(Settings!$E$15="POINTS",RANK(E68,E3:E136),H68)</f>
        <v>65</v>
      </c>
      <c r="D68" s="65" t="str">
        <f>VLOOKUP(A68,'The List'!B1:F665,5,FALSE)</f>
        <v>PHI</v>
      </c>
      <c r="E68" s="54">
        <f>VLOOKUP(A68,'The List'!B1:I665,8,FALSE)</f>
        <v>239.74574917941194</v>
      </c>
      <c r="F68" s="54">
        <f>IF(Settings!$E$15="POINTS",E68-VLOOKUP(B$2,C1:E136,3,FALSE),J68)</f>
        <v>-129.10197392688045</v>
      </c>
      <c r="G68" s="54"/>
      <c r="H68" s="167">
        <f>RANK(I68,I3:I136)</f>
        <v>67</v>
      </c>
      <c r="I68" s="168">
        <f>VLOOKUP(A68,'Standard Deviations'!A1:C666,3,FALSE)</f>
        <v>0.23165420376082674</v>
      </c>
      <c r="J68" s="168">
        <f>I68-VLOOKUP(B$2,H1:J136,2,FALSE)</f>
        <v>-5.2173794704950289</v>
      </c>
    </row>
    <row r="69" spans="1:10" ht="21.25" customHeight="1" x14ac:dyDescent="0.15">
      <c r="A69" s="9" t="s">
        <v>384</v>
      </c>
      <c r="B69" s="97" t="str">
        <f>VLOOKUP(A69,'The List'!B1:D665,3,FALSE)</f>
        <v>LW/RW</v>
      </c>
      <c r="C69" s="98">
        <f>IF(Settings!$E$15="POINTS",RANK(E69,E3:E136),H69)</f>
        <v>67</v>
      </c>
      <c r="D69" s="65" t="str">
        <f>VLOOKUP(A69,'The List'!B1:F665,5,FALSE)</f>
        <v>SEA</v>
      </c>
      <c r="E69" s="54">
        <f>VLOOKUP(A69,'The List'!B1:I665,8,FALSE)</f>
        <v>232.12165932447283</v>
      </c>
      <c r="F69" s="54">
        <f>IF(Settings!$E$15="POINTS",E69-VLOOKUP(B$2,C1:E136,3,FALSE),J69)</f>
        <v>-136.72606378181956</v>
      </c>
      <c r="G69" s="54"/>
      <c r="H69" s="167">
        <f>RANK(I69,I3:I136)</f>
        <v>69</v>
      </c>
      <c r="I69" s="168">
        <f>VLOOKUP(A69,'Standard Deviations'!A1:C666,3,FALSE)</f>
        <v>8.1275613825809889E-2</v>
      </c>
      <c r="J69" s="168">
        <f>I69-VLOOKUP(B$2,H1:J136,2,FALSE)</f>
        <v>-5.3677580604300461</v>
      </c>
    </row>
    <row r="70" spans="1:10" ht="21.25" customHeight="1" x14ac:dyDescent="0.15">
      <c r="A70" s="9" t="s">
        <v>465</v>
      </c>
      <c r="B70" s="97" t="str">
        <f>VLOOKUP(A70,'The List'!B1:D665,3,FALSE)</f>
        <v>LW/RW</v>
      </c>
      <c r="C70" s="98">
        <f>IF(Settings!$E$15="POINTS",RANK(E70,E3:E136),H70)</f>
        <v>81</v>
      </c>
      <c r="D70" s="65" t="str">
        <f>VLOOKUP(A70,'The List'!B1:F665,5,FALSE)</f>
        <v>UTA</v>
      </c>
      <c r="E70" s="54">
        <f>VLOOKUP(A70,'The List'!B1:I665,8,FALSE)</f>
        <v>201.65756224576916</v>
      </c>
      <c r="F70" s="54">
        <f>IF(Settings!$E$15="POINTS",E70-VLOOKUP(B$2,C1:E136,3,FALSE),J70)</f>
        <v>-167.19016086052324</v>
      </c>
      <c r="G70" s="54"/>
      <c r="H70" s="167">
        <f>RANK(I70,I3:I136)</f>
        <v>81</v>
      </c>
      <c r="I70" s="168">
        <f>VLOOKUP(A70,'Standard Deviations'!A1:C666,3,FALSE)</f>
        <v>-0.87654081128663464</v>
      </c>
      <c r="J70" s="168">
        <f>I70-VLOOKUP(B$2,H1:J136,2,FALSE)</f>
        <v>-6.3255744855424902</v>
      </c>
    </row>
    <row r="71" spans="1:10" ht="21.25" customHeight="1" x14ac:dyDescent="0.15">
      <c r="A71" s="9" t="s">
        <v>387</v>
      </c>
      <c r="B71" s="97" t="str">
        <f>VLOOKUP(A71,'The List'!B1:D665,3,FALSE)</f>
        <v>C/RW</v>
      </c>
      <c r="C71" s="98">
        <f>IF(Settings!$E$15="POINTS",RANK(E71,E3:E136),H71)</f>
        <v>68</v>
      </c>
      <c r="D71" s="65" t="str">
        <f>VLOOKUP(A71,'The List'!B1:F665,5,FALSE)</f>
        <v>BOS</v>
      </c>
      <c r="E71" s="54">
        <f>VLOOKUP(A71,'The List'!B1:I665,8,FALSE)</f>
        <v>231.17535494287026</v>
      </c>
      <c r="F71" s="54">
        <f>IF(Settings!$E$15="POINTS",E71-VLOOKUP(B$2,C1:E136,3,FALSE),J71)</f>
        <v>-137.67236816342214</v>
      </c>
      <c r="G71" s="54"/>
      <c r="H71" s="167">
        <f>RANK(I71,I3:I136)</f>
        <v>59</v>
      </c>
      <c r="I71" s="168">
        <f>VLOOKUP(A71,'Standard Deviations'!A1:C666,3,FALSE)</f>
        <v>0.76250654076572089</v>
      </c>
      <c r="J71" s="168">
        <f>I71-VLOOKUP(B$2,H1:J136,2,FALSE)</f>
        <v>-4.6865271334901344</v>
      </c>
    </row>
    <row r="72" spans="1:10" ht="21.25" customHeight="1" x14ac:dyDescent="0.15">
      <c r="A72" s="9" t="s">
        <v>379</v>
      </c>
      <c r="B72" s="97" t="str">
        <f>VLOOKUP(A72,'The List'!B1:D665,3,FALSE)</f>
        <v>LW/RW</v>
      </c>
      <c r="C72" s="98">
        <f>IF(Settings!$E$15="POINTS",RANK(E72,E3:E136),H72)</f>
        <v>66</v>
      </c>
      <c r="D72" s="65" t="str">
        <f>VLOOKUP(A72,'The List'!B1:F665,5,FALSE)</f>
        <v>PHI</v>
      </c>
      <c r="E72" s="54">
        <f>VLOOKUP(A72,'The List'!B1:I665,8,FALSE)</f>
        <v>235.8066256533011</v>
      </c>
      <c r="F72" s="54">
        <f>IF(Settings!$E$15="POINTS",E72-VLOOKUP(B$2,C1:E136,3,FALSE),J72)</f>
        <v>-133.04109745299129</v>
      </c>
      <c r="G72" s="54"/>
      <c r="H72" s="167">
        <f>RANK(I72,I3:I136)</f>
        <v>74</v>
      </c>
      <c r="I72" s="168">
        <f>VLOOKUP(A72,'Standard Deviations'!A1:C666,3,FALSE)</f>
        <v>-0.63270231504449681</v>
      </c>
      <c r="J72" s="168">
        <f>I72-VLOOKUP(B$2,H1:J136,2,FALSE)</f>
        <v>-6.081735989300352</v>
      </c>
    </row>
    <row r="73" spans="1:10" ht="21.25" customHeight="1" x14ac:dyDescent="0.15">
      <c r="A73" s="9" t="s">
        <v>407</v>
      </c>
      <c r="B73" s="97" t="str">
        <f>VLOOKUP(A73,'The List'!B1:D665,3,FALSE)</f>
        <v>LW/RW</v>
      </c>
      <c r="C73" s="98">
        <f>IF(Settings!$E$15="POINTS",RANK(E73,E3:E136),H73)</f>
        <v>70</v>
      </c>
      <c r="D73" s="65" t="str">
        <f>VLOOKUP(A73,'The List'!B1:F665,5,FALSE)</f>
        <v>S.J</v>
      </c>
      <c r="E73" s="54">
        <f>VLOOKUP(A73,'The List'!B1:I665,8,FALSE)</f>
        <v>224.99640243912202</v>
      </c>
      <c r="F73" s="54">
        <f>IF(Settings!$E$15="POINTS",E73-VLOOKUP(B$2,C1:E136,3,FALSE),J73)</f>
        <v>-143.85132066717037</v>
      </c>
      <c r="G73" s="54"/>
      <c r="H73" s="167">
        <f>RANK(I73,I3:I136)</f>
        <v>94</v>
      </c>
      <c r="I73" s="168">
        <f>VLOOKUP(A73,'Standard Deviations'!A1:C666,3,FALSE)</f>
        <v>-2.0777636278457345</v>
      </c>
      <c r="J73" s="168">
        <f>I73-VLOOKUP(B$2,H1:J136,2,FALSE)</f>
        <v>-7.5267973021015901</v>
      </c>
    </row>
    <row r="74" spans="1:10" ht="21.25" customHeight="1" x14ac:dyDescent="0.15">
      <c r="A74" s="9" t="s">
        <v>415</v>
      </c>
      <c r="B74" s="97" t="str">
        <f>VLOOKUP(A74,'The List'!B1:D665,3,FALSE)</f>
        <v>RW</v>
      </c>
      <c r="C74" s="98">
        <f>IF(Settings!$E$15="POINTS",RANK(E74,E3:E136),H74)</f>
        <v>72</v>
      </c>
      <c r="D74" s="65" t="str">
        <f>VLOOKUP(A74,'The List'!B1:F665,5,FALSE)</f>
        <v>NYR</v>
      </c>
      <c r="E74" s="54">
        <f>VLOOKUP(A74,'The List'!B1:I665,8,FALSE)</f>
        <v>222.06503812983757</v>
      </c>
      <c r="F74" s="54">
        <f>IF(Settings!$E$15="POINTS",E74-VLOOKUP(B$2,C1:E136,3,FALSE),J74)</f>
        <v>-146.78268497645482</v>
      </c>
      <c r="G74" s="54"/>
      <c r="H74" s="167">
        <f>RANK(I74,I3:I136)</f>
        <v>73</v>
      </c>
      <c r="I74" s="168">
        <f>VLOOKUP(A74,'Standard Deviations'!A1:C666,3,FALSE)</f>
        <v>-0.32676332374038553</v>
      </c>
      <c r="J74" s="168">
        <f>I74-VLOOKUP(B$2,H1:J136,2,FALSE)</f>
        <v>-5.7757969979962409</v>
      </c>
    </row>
    <row r="75" spans="1:10" ht="21.25" customHeight="1" x14ac:dyDescent="0.15">
      <c r="A75" s="9" t="s">
        <v>453</v>
      </c>
      <c r="B75" s="97" t="str">
        <f>VLOOKUP(A75,'The List'!B1:D665,3,FALSE)</f>
        <v>RW</v>
      </c>
      <c r="C75" s="98">
        <f>IF(Settings!$E$15="POINTS",RANK(E75,E3:E136),H75)</f>
        <v>80</v>
      </c>
      <c r="D75" s="65" t="str">
        <f>VLOOKUP(A75,'The List'!B1:F665,5,FALSE)</f>
        <v>NSH</v>
      </c>
      <c r="E75" s="54">
        <f>VLOOKUP(A75,'The List'!B1:I665,8,FALSE)</f>
        <v>204.59759719813539</v>
      </c>
      <c r="F75" s="54">
        <f>IF(Settings!$E$15="POINTS",E75-VLOOKUP(B$2,C1:E136,3,FALSE),J75)</f>
        <v>-164.250125908157</v>
      </c>
      <c r="G75" s="54"/>
      <c r="H75" s="167">
        <f>RANK(I75,I3:I136)</f>
        <v>72</v>
      </c>
      <c r="I75" s="168">
        <f>VLOOKUP(A75,'Standard Deviations'!A1:C666,3,FALSE)</f>
        <v>-0.23203193080323248</v>
      </c>
      <c r="J75" s="168">
        <f>I75-VLOOKUP(B$2,H1:J136,2,FALSE)</f>
        <v>-5.6810656050590884</v>
      </c>
    </row>
    <row r="76" spans="1:10" ht="21.25" customHeight="1" x14ac:dyDescent="0.15">
      <c r="A76" s="9" t="s">
        <v>400</v>
      </c>
      <c r="B76" s="97" t="str">
        <f>VLOOKUP(A76,'The List'!B1:D665,3,FALSE)</f>
        <v>C/LW/RW</v>
      </c>
      <c r="C76" s="98">
        <f>IF(Settings!$E$15="POINTS",RANK(E76,E3:E136),H76)</f>
        <v>69</v>
      </c>
      <c r="D76" s="65" t="str">
        <f>VLOOKUP(A76,'The List'!B1:F665,5,FALSE)</f>
        <v>DET</v>
      </c>
      <c r="E76" s="54">
        <f>VLOOKUP(A76,'The List'!B1:I665,8,FALSE)</f>
        <v>226.4098307318113</v>
      </c>
      <c r="F76" s="54">
        <f>IF(Settings!$E$15="POINTS",E76-VLOOKUP(B$2,C1:E136,3,FALSE),J76)</f>
        <v>-142.43789237448109</v>
      </c>
      <c r="G76" s="54"/>
      <c r="H76" s="167">
        <f>RANK(I76,I3:I136)</f>
        <v>76</v>
      </c>
      <c r="I76" s="168">
        <f>VLOOKUP(A76,'Standard Deviations'!A1:C666,3,FALSE)</f>
        <v>-0.71264077041161278</v>
      </c>
      <c r="J76" s="168">
        <f>I76-VLOOKUP(B$2,H1:J136,2,FALSE)</f>
        <v>-6.1616744446674687</v>
      </c>
    </row>
    <row r="77" spans="1:10" ht="21.25" customHeight="1" x14ac:dyDescent="0.15">
      <c r="A77" s="9" t="s">
        <v>411</v>
      </c>
      <c r="B77" s="97" t="str">
        <f>VLOOKUP(A77,'The List'!B1:D665,3,FALSE)</f>
        <v>LW/RW</v>
      </c>
      <c r="C77" s="98">
        <f>IF(Settings!$E$15="POINTS",RANK(E77,E3:E136),H77)</f>
        <v>71</v>
      </c>
      <c r="D77" s="65" t="str">
        <f>VLOOKUP(A77,'The List'!B1:F665,5,FALSE)</f>
        <v>UTA</v>
      </c>
      <c r="E77" s="54">
        <f>VLOOKUP(A77,'The List'!B1:I665,8,FALSE)</f>
        <v>223.27547664728525</v>
      </c>
      <c r="F77" s="54">
        <f>IF(Settings!$E$15="POINTS",E77-VLOOKUP(B$2,C1:E136,3,FALSE),J77)</f>
        <v>-145.57224645900715</v>
      </c>
      <c r="G77" s="54"/>
      <c r="H77" s="167">
        <f>RANK(I77,I3:I136)</f>
        <v>70</v>
      </c>
      <c r="I77" s="168">
        <f>VLOOKUP(A77,'Standard Deviations'!A1:C666,3,FALSE)</f>
        <v>-0.16880573810616845</v>
      </c>
      <c r="J77" s="168">
        <f>I77-VLOOKUP(B$2,H1:J136,2,FALSE)</f>
        <v>-5.6178394123620237</v>
      </c>
    </row>
    <row r="78" spans="1:10" ht="21.25" customHeight="1" x14ac:dyDescent="0.15">
      <c r="A78" s="9" t="s">
        <v>434</v>
      </c>
      <c r="B78" s="97" t="str">
        <f>VLOOKUP(A78,'The List'!B1:D665,3,FALSE)</f>
        <v>RW</v>
      </c>
      <c r="C78" s="98">
        <f>IF(Settings!$E$15="POINTS",RANK(E78,E3:E136),H78)</f>
        <v>77</v>
      </c>
      <c r="D78" s="65" t="str">
        <f>VLOOKUP(A78,'The List'!B1:F665,5,FALSE)</f>
        <v>VAN</v>
      </c>
      <c r="E78" s="54">
        <f>VLOOKUP(A78,'The List'!B1:I665,8,FALSE)</f>
        <v>215.01081741753075</v>
      </c>
      <c r="F78" s="54">
        <f>IF(Settings!$E$15="POINTS",E78-VLOOKUP(B$2,C1:E136,3,FALSE),J78)</f>
        <v>-153.83690568876165</v>
      </c>
      <c r="G78" s="54"/>
      <c r="H78" s="167">
        <f>RANK(I78,I3:I136)</f>
        <v>83</v>
      </c>
      <c r="I78" s="168">
        <f>VLOOKUP(A78,'Standard Deviations'!A1:C666,3,FALSE)</f>
        <v>-0.9392460818936168</v>
      </c>
      <c r="J78" s="168">
        <f>I78-VLOOKUP(B$2,H1:J136,2,FALSE)</f>
        <v>-6.3882797561494726</v>
      </c>
    </row>
    <row r="79" spans="1:10" ht="21.25" customHeight="1" x14ac:dyDescent="0.15">
      <c r="A79" s="9" t="s">
        <v>436</v>
      </c>
      <c r="B79" s="97" t="str">
        <f>VLOOKUP(A79,'The List'!B1:D665,3,FALSE)</f>
        <v>RW</v>
      </c>
      <c r="C79" s="98">
        <f>IF(Settings!$E$15="POINTS",RANK(E79,E3:E136),H79)</f>
        <v>78</v>
      </c>
      <c r="D79" s="65" t="str">
        <f>VLOOKUP(A79,'The List'!B1:F665,5,FALSE)</f>
        <v>VGK</v>
      </c>
      <c r="E79" s="54">
        <f>VLOOKUP(A79,'The List'!B1:I665,8,FALSE)</f>
        <v>214.65069947853513</v>
      </c>
      <c r="F79" s="54">
        <f>IF(Settings!$E$15="POINTS",E79-VLOOKUP(B$2,C1:E136,3,FALSE),J79)</f>
        <v>-154.19702362775726</v>
      </c>
      <c r="G79" s="54"/>
      <c r="H79" s="167">
        <f>RANK(I79,I3:I136)</f>
        <v>75</v>
      </c>
      <c r="I79" s="168">
        <f>VLOOKUP(A79,'Standard Deviations'!A1:C666,3,FALSE)</f>
        <v>-0.67190538985265402</v>
      </c>
      <c r="J79" s="168">
        <f>I79-VLOOKUP(B$2,H1:J136,2,FALSE)</f>
        <v>-6.1209390641085095</v>
      </c>
    </row>
    <row r="80" spans="1:10" ht="21.25" customHeight="1" x14ac:dyDescent="0.15">
      <c r="A80" s="9" t="s">
        <v>417</v>
      </c>
      <c r="B80" s="97" t="str">
        <f>VLOOKUP(A80,'The List'!B1:D665,3,FALSE)</f>
        <v>LW/RW</v>
      </c>
      <c r="C80" s="98">
        <f>IF(Settings!$E$15="POINTS",RANK(E80,E3:E136),H80)</f>
        <v>73</v>
      </c>
      <c r="D80" s="65" t="str">
        <f>VLOOKUP(A80,'The List'!B1:F665,5,FALSE)</f>
        <v>OTT</v>
      </c>
      <c r="E80" s="54">
        <f>VLOOKUP(A80,'The List'!B1:I665,8,FALSE)</f>
        <v>221.63327644624283</v>
      </c>
      <c r="F80" s="54">
        <f>IF(Settings!$E$15="POINTS",E80-VLOOKUP(B$2,C1:E136,3,FALSE),J80)</f>
        <v>-147.21444666004956</v>
      </c>
      <c r="G80" s="54"/>
      <c r="H80" s="167">
        <f>RANK(I80,I3:I136)</f>
        <v>71</v>
      </c>
      <c r="I80" s="168">
        <f>VLOOKUP(A80,'Standard Deviations'!A1:C666,3,FALSE)</f>
        <v>-0.17595335221692576</v>
      </c>
      <c r="J80" s="168">
        <f>I80-VLOOKUP(B$2,H1:J136,2,FALSE)</f>
        <v>-5.6249870264727813</v>
      </c>
    </row>
    <row r="81" spans="1:10" ht="21.25" customHeight="1" x14ac:dyDescent="0.15">
      <c r="A81" s="9" t="s">
        <v>500</v>
      </c>
      <c r="B81" s="97" t="str">
        <f>VLOOKUP(A81,'The List'!B1:D665,3,FALSE)</f>
        <v>RW</v>
      </c>
      <c r="C81" s="98">
        <f>IF(Settings!$E$15="POINTS",RANK(E81,E3:E136),H81)</f>
        <v>87</v>
      </c>
      <c r="D81" s="65" t="str">
        <f>VLOOKUP(A81,'The List'!B1:F665,5,FALSE)</f>
        <v>CBJ</v>
      </c>
      <c r="E81" s="54">
        <f>VLOOKUP(A81,'The List'!B1:I665,8,FALSE)</f>
        <v>187.94516285727246</v>
      </c>
      <c r="F81" s="54">
        <f>IF(Settings!$E$15="POINTS",E81-VLOOKUP(B$2,C1:E136,3,FALSE),J81)</f>
        <v>-180.90256024901993</v>
      </c>
      <c r="G81" s="54"/>
      <c r="H81" s="167">
        <f>RANK(I81,I3:I136)</f>
        <v>109</v>
      </c>
      <c r="I81" s="168">
        <f>VLOOKUP(A81,'Standard Deviations'!A1:C666,3,FALSE)</f>
        <v>-3.2598575399060357</v>
      </c>
      <c r="J81" s="168">
        <f>I81-VLOOKUP(B$2,H1:J136,2,FALSE)</f>
        <v>-8.7088912141618913</v>
      </c>
    </row>
    <row r="82" spans="1:10" ht="21.25" customHeight="1" x14ac:dyDescent="0.15">
      <c r="A82" s="9" t="s">
        <v>433</v>
      </c>
      <c r="B82" s="97" t="str">
        <f>VLOOKUP(A82,'The List'!B1:D665,3,FALSE)</f>
        <v>C/RW</v>
      </c>
      <c r="C82" s="98">
        <f>IF(Settings!$E$15="POINTS",RANK(E82,E3:E136),H82)</f>
        <v>76</v>
      </c>
      <c r="D82" s="65" t="str">
        <f>VLOOKUP(A82,'The List'!B1:F665,5,FALSE)</f>
        <v>CHI</v>
      </c>
      <c r="E82" s="54">
        <f>VLOOKUP(A82,'The List'!B1:I665,8,FALSE)</f>
        <v>215.22441208905792</v>
      </c>
      <c r="F82" s="54">
        <f>IF(Settings!$E$15="POINTS",E82-VLOOKUP(B$2,C1:E136,3,FALSE),J82)</f>
        <v>-153.62331101723447</v>
      </c>
      <c r="G82" s="54"/>
      <c r="H82" s="167">
        <f>RANK(I82,I3:I136)</f>
        <v>99</v>
      </c>
      <c r="I82" s="168">
        <f>VLOOKUP(A82,'Standard Deviations'!A1:C666,3,FALSE)</f>
        <v>-2.6765729709752124</v>
      </c>
      <c r="J82" s="168">
        <f>I82-VLOOKUP(B$2,H1:J136,2,FALSE)</f>
        <v>-8.125606645231068</v>
      </c>
    </row>
    <row r="83" spans="1:10" ht="21.25" customHeight="1" x14ac:dyDescent="0.15">
      <c r="A83" s="9" t="s">
        <v>429</v>
      </c>
      <c r="B83" s="97" t="str">
        <f>VLOOKUP(A83,'The List'!B1:D665,3,FALSE)</f>
        <v>LW/RW</v>
      </c>
      <c r="C83" s="98">
        <f>IF(Settings!$E$15="POINTS",RANK(E83,E3:E136),H83)</f>
        <v>74</v>
      </c>
      <c r="D83" s="65" t="str">
        <f>VLOOKUP(A83,'The List'!B1:F665,5,FALSE)</f>
        <v>WPG</v>
      </c>
      <c r="E83" s="54">
        <f>VLOOKUP(A83,'The List'!B1:I665,8,FALSE)</f>
        <v>216.40650237008342</v>
      </c>
      <c r="F83" s="54">
        <f>IF(Settings!$E$15="POINTS",E83-VLOOKUP(B$2,C1:E136,3,FALSE),J83)</f>
        <v>-152.44122073620898</v>
      </c>
      <c r="G83" s="54"/>
      <c r="H83" s="167">
        <f>RANK(I83,I3:I136)</f>
        <v>61</v>
      </c>
      <c r="I83" s="168">
        <f>VLOOKUP(A83,'Standard Deviations'!A1:C666,3,FALSE)</f>
        <v>0.69214226095493614</v>
      </c>
      <c r="J83" s="168">
        <f>I83-VLOOKUP(B$2,H1:J136,2,FALSE)</f>
        <v>-4.7568914133009192</v>
      </c>
    </row>
    <row r="84" spans="1:10" ht="21.25" customHeight="1" x14ac:dyDescent="0.15">
      <c r="A84" s="9" t="s">
        <v>448</v>
      </c>
      <c r="B84" s="97" t="str">
        <f>VLOOKUP(A84,'The List'!B1:D665,3,FALSE)</f>
        <v>RW</v>
      </c>
      <c r="C84" s="98">
        <f>IF(Settings!$E$15="POINTS",RANK(E84,E3:E136),H84)</f>
        <v>79</v>
      </c>
      <c r="D84" s="65" t="str">
        <f>VLOOKUP(A84,'The List'!B1:F665,5,FALSE)</f>
        <v>CAR</v>
      </c>
      <c r="E84" s="54">
        <f>VLOOKUP(A84,'The List'!B1:I665,8,FALSE)</f>
        <v>207.14970013963574</v>
      </c>
      <c r="F84" s="54">
        <f>IF(Settings!$E$15="POINTS",E84-VLOOKUP(B$2,C1:E136,3,FALSE),J84)</f>
        <v>-161.69802296665665</v>
      </c>
      <c r="G84" s="54"/>
      <c r="H84" s="167">
        <f>RANK(I84,I3:I136)</f>
        <v>80</v>
      </c>
      <c r="I84" s="168">
        <f>VLOOKUP(A84,'Standard Deviations'!A1:C666,3,FALSE)</f>
        <v>-0.86510299107699107</v>
      </c>
      <c r="J84" s="168">
        <f>I84-VLOOKUP(B$2,H1:J136,2,FALSE)</f>
        <v>-6.314136665332847</v>
      </c>
    </row>
    <row r="85" spans="1:10" ht="21.25" customHeight="1" x14ac:dyDescent="0.15">
      <c r="A85" s="9" t="s">
        <v>474</v>
      </c>
      <c r="B85" s="97" t="str">
        <f>VLOOKUP(A85,'The List'!B1:D665,3,FALSE)</f>
        <v>C/RW</v>
      </c>
      <c r="C85" s="98">
        <f>IF(Settings!$E$15="POINTS",RANK(E85,E3:E136),H85)</f>
        <v>83</v>
      </c>
      <c r="D85" s="65" t="str">
        <f>VLOOKUP(A85,'The List'!B1:F665,5,FALSE)</f>
        <v>CGY</v>
      </c>
      <c r="E85" s="54">
        <f>VLOOKUP(A85,'The List'!B1:I665,8,FALSE)</f>
        <v>196.50186182487352</v>
      </c>
      <c r="F85" s="54">
        <f>IF(Settings!$E$15="POINTS",E85-VLOOKUP(B$2,C1:E136,3,FALSE),J85)</f>
        <v>-172.34586128141888</v>
      </c>
      <c r="G85" s="54"/>
      <c r="H85" s="167">
        <f>RANK(I85,I3:I136)</f>
        <v>87</v>
      </c>
      <c r="I85" s="168">
        <f>VLOOKUP(A85,'Standard Deviations'!A1:C666,3,FALSE)</f>
        <v>-1.3677648427083873</v>
      </c>
      <c r="J85" s="168">
        <f>I85-VLOOKUP(B$2,H1:J136,2,FALSE)</f>
        <v>-6.8167985169642424</v>
      </c>
    </row>
    <row r="86" spans="1:10" ht="21.25" customHeight="1" x14ac:dyDescent="0.15">
      <c r="A86" s="9" t="s">
        <v>488</v>
      </c>
      <c r="B86" s="97" t="str">
        <f>VLOOKUP(A86,'The List'!B1:D665,3,FALSE)</f>
        <v>RW</v>
      </c>
      <c r="C86" s="98">
        <f>IF(Settings!$E$15="POINTS",RANK(E86,E3:E136),H86)</f>
        <v>85</v>
      </c>
      <c r="D86" s="65" t="str">
        <f>VLOOKUP(A86,'The List'!B1:F665,5,FALSE)</f>
        <v>PIT</v>
      </c>
      <c r="E86" s="54">
        <f>VLOOKUP(A86,'The List'!B1:I665,8,FALSE)</f>
        <v>193.05789367640895</v>
      </c>
      <c r="F86" s="54">
        <f>IF(Settings!$E$15="POINTS",E86-VLOOKUP(B$2,C1:E136,3,FALSE),J86)</f>
        <v>-175.78982942988344</v>
      </c>
      <c r="G86" s="54"/>
      <c r="H86" s="167">
        <f>RANK(I86,I3:I136)</f>
        <v>85</v>
      </c>
      <c r="I86" s="168">
        <f>VLOOKUP(A86,'Standard Deviations'!A1:C666,3,FALSE)</f>
        <v>-1.0349920668379098</v>
      </c>
      <c r="J86" s="168">
        <f>I86-VLOOKUP(B$2,H1:J136,2,FALSE)</f>
        <v>-6.4840257410937649</v>
      </c>
    </row>
    <row r="87" spans="1:10" ht="21.25" customHeight="1" x14ac:dyDescent="0.15">
      <c r="A87" s="9" t="s">
        <v>632</v>
      </c>
      <c r="B87" s="97" t="str">
        <f>VLOOKUP(A87,'The List'!B1:D665,3,FALSE)</f>
        <v>RW</v>
      </c>
      <c r="C87" s="98">
        <f>IF(Settings!$E$15="POINTS",RANK(E87,E3:E136),H87)</f>
        <v>105</v>
      </c>
      <c r="D87" s="65" t="str">
        <f>VLOOKUP(A87,'The List'!B1:F665,5,FALSE)</f>
        <v>BOS</v>
      </c>
      <c r="E87" s="54">
        <f>VLOOKUP(A87,'The List'!B1:I665,8,FALSE)</f>
        <v>143.25990504320984</v>
      </c>
      <c r="F87" s="54">
        <f>IF(Settings!$E$15="POINTS",E87-VLOOKUP(B$2,C1:E136,3,FALSE),J87)</f>
        <v>-225.58781806308255</v>
      </c>
      <c r="G87" s="54"/>
      <c r="H87" s="167">
        <f>RANK(I87,I3:I136)</f>
        <v>96</v>
      </c>
      <c r="I87" s="168">
        <f>VLOOKUP(A87,'Standard Deviations'!A1:C666,3,FALSE)</f>
        <v>-2.3989784436740935</v>
      </c>
      <c r="J87" s="168">
        <f>I87-VLOOKUP(B$2,H1:J136,2,FALSE)</f>
        <v>-7.8480121179299491</v>
      </c>
    </row>
    <row r="88" spans="1:10" ht="21.25" customHeight="1" x14ac:dyDescent="0.15">
      <c r="A88" s="9" t="s">
        <v>467</v>
      </c>
      <c r="B88" s="97" t="str">
        <f>VLOOKUP(A88,'The List'!B1:D665,3,FALSE)</f>
        <v>LW/RW</v>
      </c>
      <c r="C88" s="98">
        <f>IF(Settings!$E$15="POINTS",RANK(E88,E3:E136),H88)</f>
        <v>82</v>
      </c>
      <c r="D88" s="65" t="str">
        <f>VLOOKUP(A88,'The List'!B1:F665,5,FALSE)</f>
        <v>L.A</v>
      </c>
      <c r="E88" s="54">
        <f>VLOOKUP(A88,'The List'!B1:I665,8,FALSE)</f>
        <v>200.10505816891566</v>
      </c>
      <c r="F88" s="54">
        <f>IF(Settings!$E$15="POINTS",E88-VLOOKUP(B$2,C1:E136,3,FALSE),J88)</f>
        <v>-168.74266493737673</v>
      </c>
      <c r="G88" s="54"/>
      <c r="H88" s="167">
        <f>RANK(I88,I3:I136)</f>
        <v>64</v>
      </c>
      <c r="I88" s="168">
        <f>VLOOKUP(A88,'Standard Deviations'!A1:C666,3,FALSE)</f>
        <v>0.35309005756361533</v>
      </c>
      <c r="J88" s="168">
        <f>I88-VLOOKUP(B$2,H1:J136,2,FALSE)</f>
        <v>-5.0959436166922405</v>
      </c>
    </row>
    <row r="89" spans="1:10" ht="21.25" customHeight="1" x14ac:dyDescent="0.15">
      <c r="A89" s="9" t="s">
        <v>515</v>
      </c>
      <c r="B89" s="97" t="str">
        <f>VLOOKUP(A89,'The List'!B1:D665,3,FALSE)</f>
        <v>LW/RW</v>
      </c>
      <c r="C89" s="98">
        <f>IF(Settings!$E$15="POINTS",RANK(E89,E3:E136),H89)</f>
        <v>88</v>
      </c>
      <c r="D89" s="65" t="str">
        <f>VLOOKUP(A89,'The List'!B1:F665,5,FALSE)</f>
        <v>N.J</v>
      </c>
      <c r="E89" s="54">
        <f>VLOOKUP(A89,'The List'!B1:I665,8,FALSE)</f>
        <v>182.72801310430762</v>
      </c>
      <c r="F89" s="54">
        <f>IF(Settings!$E$15="POINTS",E89-VLOOKUP(B$2,C1:E136,3,FALSE),J89)</f>
        <v>-186.11971000198477</v>
      </c>
      <c r="G89" s="54"/>
      <c r="H89" s="167">
        <f>RANK(I89,I3:I136)</f>
        <v>68</v>
      </c>
      <c r="I89" s="168">
        <f>VLOOKUP(A89,'Standard Deviations'!A1:C666,3,FALSE)</f>
        <v>0.14153245513300439</v>
      </c>
      <c r="J89" s="168">
        <f>I89-VLOOKUP(B$2,H1:J136,2,FALSE)</f>
        <v>-5.3075012191228517</v>
      </c>
    </row>
    <row r="90" spans="1:10" ht="21.25" customHeight="1" x14ac:dyDescent="0.15">
      <c r="A90" s="9" t="s">
        <v>516</v>
      </c>
      <c r="B90" s="97" t="str">
        <f>VLOOKUP(A90,'The List'!B1:D665,3,FALSE)</f>
        <v>RW</v>
      </c>
      <c r="C90" s="98">
        <f>IF(Settings!$E$15="POINTS",RANK(E90,E3:E136),H90)</f>
        <v>89</v>
      </c>
      <c r="D90" s="65" t="str">
        <f>VLOOKUP(A90,'The List'!B1:F665,5,FALSE)</f>
        <v>CGY</v>
      </c>
      <c r="E90" s="54">
        <f>VLOOKUP(A90,'The List'!B1:I665,8,FALSE)</f>
        <v>182.62694465390925</v>
      </c>
      <c r="F90" s="54">
        <f>IF(Settings!$E$15="POINTS",E90-VLOOKUP(B$2,C1:E136,3,FALSE),J90)</f>
        <v>-186.22077845238314</v>
      </c>
      <c r="G90" s="54"/>
      <c r="H90" s="167">
        <f>RANK(I90,I3:I136)</f>
        <v>86</v>
      </c>
      <c r="I90" s="168">
        <f>VLOOKUP(A90,'Standard Deviations'!A1:C666,3,FALSE)</f>
        <v>-1.3619252919749008</v>
      </c>
      <c r="J90" s="168">
        <f>I90-VLOOKUP(B$2,H1:J136,2,FALSE)</f>
        <v>-6.8109589662307561</v>
      </c>
    </row>
    <row r="91" spans="1:10" ht="21.25" customHeight="1" x14ac:dyDescent="0.15">
      <c r="A91" s="9" t="s">
        <v>491</v>
      </c>
      <c r="B91" s="97" t="str">
        <f>VLOOKUP(A91,'The List'!B1:D665,3,FALSE)</f>
        <v>C/RW</v>
      </c>
      <c r="C91" s="98">
        <f>IF(Settings!$E$15="POINTS",RANK(E91,E3:E136),H91)</f>
        <v>86</v>
      </c>
      <c r="D91" s="65" t="str">
        <f>VLOOKUP(A91,'The List'!B1:F665,5,FALSE)</f>
        <v>VGK</v>
      </c>
      <c r="E91" s="54">
        <f>VLOOKUP(A91,'The List'!B1:I665,8,FALSE)</f>
        <v>190.08164207359994</v>
      </c>
      <c r="F91" s="54">
        <f>IF(Settings!$E$15="POINTS",E91-VLOOKUP(B$2,C1:E136,3,FALSE),J91)</f>
        <v>-178.76608103269245</v>
      </c>
      <c r="G91" s="54"/>
      <c r="H91" s="167">
        <f>RANK(I91,I3:I136)</f>
        <v>82</v>
      </c>
      <c r="I91" s="168">
        <f>VLOOKUP(A91,'Standard Deviations'!A1:C666,3,FALSE)</f>
        <v>-0.91305216269585288</v>
      </c>
      <c r="J91" s="168">
        <f>I91-VLOOKUP(B$2,H1:J136,2,FALSE)</f>
        <v>-6.3620858369517084</v>
      </c>
    </row>
    <row r="92" spans="1:10" ht="21.25" customHeight="1" x14ac:dyDescent="0.15">
      <c r="A92" s="9" t="s">
        <v>487</v>
      </c>
      <c r="B92" s="97" t="str">
        <f>VLOOKUP(A92,'The List'!B1:D665,3,FALSE)</f>
        <v>C/RW</v>
      </c>
      <c r="C92" s="98">
        <f>IF(Settings!$E$15="POINTS",RANK(E92,E3:E136),H92)</f>
        <v>84</v>
      </c>
      <c r="D92" s="65" t="str">
        <f>VLOOKUP(A92,'The List'!B1:F665,5,FALSE)</f>
        <v>BOS</v>
      </c>
      <c r="E92" s="54">
        <f>VLOOKUP(A92,'The List'!B1:I665,8,FALSE)</f>
        <v>193.26650481507252</v>
      </c>
      <c r="F92" s="54">
        <f>IF(Settings!$E$15="POINTS",E92-VLOOKUP(B$2,C1:E136,3,FALSE),J92)</f>
        <v>-175.58121829121987</v>
      </c>
      <c r="G92" s="54"/>
      <c r="H92" s="167">
        <f>RANK(I92,I3:I136)</f>
        <v>77</v>
      </c>
      <c r="I92" s="168">
        <f>VLOOKUP(A92,'Standard Deviations'!A1:C666,3,FALSE)</f>
        <v>-0.71488338848390154</v>
      </c>
      <c r="J92" s="168">
        <f>I92-VLOOKUP(B$2,H1:J136,2,FALSE)</f>
        <v>-6.163917062739757</v>
      </c>
    </row>
    <row r="93" spans="1:10" ht="21.25" customHeight="1" x14ac:dyDescent="0.15">
      <c r="A93" s="9" t="s">
        <v>526</v>
      </c>
      <c r="B93" s="97" t="str">
        <f>VLOOKUP(A93,'The List'!B1:D665,3,FALSE)</f>
        <v>RW</v>
      </c>
      <c r="C93" s="98">
        <f>IF(Settings!$E$15="POINTS",RANK(E93,E3:E136),H93)</f>
        <v>90</v>
      </c>
      <c r="D93" s="65" t="str">
        <f>VLOOKUP(A93,'The List'!B1:F665,5,FALSE)</f>
        <v>NYR</v>
      </c>
      <c r="E93" s="54">
        <f>VLOOKUP(A93,'The List'!B1:I665,8,FALSE)</f>
        <v>180.79215700496252</v>
      </c>
      <c r="F93" s="54">
        <f>IF(Settings!$E$15="POINTS",E93-VLOOKUP(B$2,C1:E136,3,FALSE),J93)</f>
        <v>-188.05556610132987</v>
      </c>
      <c r="G93" s="54"/>
      <c r="H93" s="167">
        <f>RANK(I93,I3:I136)</f>
        <v>84</v>
      </c>
      <c r="I93" s="168">
        <f>VLOOKUP(A93,'Standard Deviations'!A1:C666,3,FALSE)</f>
        <v>-1.0023845917165448</v>
      </c>
      <c r="J93" s="168">
        <f>I93-VLOOKUP(B$2,H1:J136,2,FALSE)</f>
        <v>-6.4514182659724</v>
      </c>
    </row>
    <row r="94" spans="1:10" ht="21.25" customHeight="1" x14ac:dyDescent="0.15">
      <c r="A94" s="9" t="s">
        <v>603</v>
      </c>
      <c r="B94" s="97" t="str">
        <f>VLOOKUP(A94,'The List'!B1:D665,3,FALSE)</f>
        <v>RW</v>
      </c>
      <c r="C94" s="98">
        <f>IF(Settings!$E$15="POINTS",RANK(E94,E3:E136),H94)</f>
        <v>99</v>
      </c>
      <c r="D94" s="65" t="str">
        <f>VLOOKUP(A94,'The List'!B1:F665,5,FALSE)</f>
        <v>PHI</v>
      </c>
      <c r="E94" s="54">
        <f>VLOOKUP(A94,'The List'!B1:I665,8,FALSE)</f>
        <v>155.04454421178511</v>
      </c>
      <c r="F94" s="54">
        <f>IF(Settings!$E$15="POINTS",E94-VLOOKUP(B$2,C1:E136,3,FALSE),J94)</f>
        <v>-213.80317889450728</v>
      </c>
      <c r="G94" s="54"/>
      <c r="H94" s="167">
        <f>RANK(I94,I3:I136)</f>
        <v>105</v>
      </c>
      <c r="I94" s="168">
        <f>VLOOKUP(A94,'Standard Deviations'!A1:C666,3,FALSE)</f>
        <v>-2.9781199650737262</v>
      </c>
      <c r="J94" s="168">
        <f>I94-VLOOKUP(B$2,H1:J136,2,FALSE)</f>
        <v>-8.4271536393295818</v>
      </c>
    </row>
    <row r="95" spans="1:10" ht="21.25" customHeight="1" x14ac:dyDescent="0.15">
      <c r="A95" s="9" t="s">
        <v>584</v>
      </c>
      <c r="B95" s="97" t="str">
        <f>VLOOKUP(A95,'The List'!B1:D665,3,FALSE)</f>
        <v>RW</v>
      </c>
      <c r="C95" s="98">
        <f>IF(Settings!$E$15="POINTS",RANK(E95,E3:E136),H95)</f>
        <v>96</v>
      </c>
      <c r="D95" s="65" t="str">
        <f>VLOOKUP(A95,'The List'!B1:F665,5,FALSE)</f>
        <v>PIT</v>
      </c>
      <c r="E95" s="54">
        <f>VLOOKUP(A95,'The List'!B1:I665,8,FALSE)</f>
        <v>163.88944685258298</v>
      </c>
      <c r="F95" s="54">
        <f>IF(Settings!$E$15="POINTS",E95-VLOOKUP(B$2,C1:E136,3,FALSE),J95)</f>
        <v>-204.95827625370941</v>
      </c>
      <c r="G95" s="54"/>
      <c r="H95" s="167">
        <f>RANK(I95,I3:I136)</f>
        <v>93</v>
      </c>
      <c r="I95" s="168">
        <f>VLOOKUP(A95,'Standard Deviations'!A1:C666,3,FALSE)</f>
        <v>-2.0611939744517542</v>
      </c>
      <c r="J95" s="168">
        <f>I95-VLOOKUP(B$2,H1:J136,2,FALSE)</f>
        <v>-7.5102276487076098</v>
      </c>
    </row>
    <row r="96" spans="1:10" ht="21.25" customHeight="1" x14ac:dyDescent="0.15">
      <c r="A96" s="9" t="s">
        <v>571</v>
      </c>
      <c r="B96" s="97" t="str">
        <f>VLOOKUP(A96,'The List'!B1:D665,3,FALSE)</f>
        <v>RW</v>
      </c>
      <c r="C96" s="98">
        <f>IF(Settings!$E$15="POINTS",RANK(E96,E3:E136),H96)</f>
        <v>94</v>
      </c>
      <c r="D96" s="65" t="str">
        <f>VLOOKUP(A96,'The List'!B1:F665,5,FALSE)</f>
        <v>MTL</v>
      </c>
      <c r="E96" s="54">
        <f>VLOOKUP(A96,'The List'!B1:I665,8,FALSE)</f>
        <v>168.67126668374587</v>
      </c>
      <c r="F96" s="54">
        <f>IF(Settings!$E$15="POINTS",E96-VLOOKUP(B$2,C1:E136,3,FALSE),J96)</f>
        <v>-200.17645642254652</v>
      </c>
      <c r="G96" s="54"/>
      <c r="H96" s="167">
        <f>RANK(I96,I3:I136)</f>
        <v>101</v>
      </c>
      <c r="I96" s="168">
        <f>VLOOKUP(A96,'Standard Deviations'!A1:C666,3,FALSE)</f>
        <v>-2.783199358578833</v>
      </c>
      <c r="J96" s="168">
        <f>I96-VLOOKUP(B$2,H1:J136,2,FALSE)</f>
        <v>-8.2322330328346887</v>
      </c>
    </row>
    <row r="97" spans="1:10" ht="21.25" customHeight="1" x14ac:dyDescent="0.15">
      <c r="A97" s="9" t="s">
        <v>530</v>
      </c>
      <c r="B97" s="97" t="str">
        <f>VLOOKUP(A97,'The List'!B1:D665,3,FALSE)</f>
        <v>C/LW/RW</v>
      </c>
      <c r="C97" s="98">
        <f>IF(Settings!$E$15="POINTS",RANK(E97,E3:E136),H97)</f>
        <v>91</v>
      </c>
      <c r="D97" s="65" t="str">
        <f>VLOOKUP(A97,'The List'!B1:F665,5,FALSE)</f>
        <v>WPG</v>
      </c>
      <c r="E97" s="54">
        <f>VLOOKUP(A97,'The List'!B1:I665,8,FALSE)</f>
        <v>180.52883470564964</v>
      </c>
      <c r="F97" s="54">
        <f>IF(Settings!$E$15="POINTS",E97-VLOOKUP(B$2,C1:E136,3,FALSE),J97)</f>
        <v>-188.31888840064275</v>
      </c>
      <c r="G97" s="54"/>
      <c r="H97" s="167">
        <f>RANK(I97,I3:I136)</f>
        <v>79</v>
      </c>
      <c r="I97" s="168">
        <f>VLOOKUP(A97,'Standard Deviations'!A1:C666,3,FALSE)</f>
        <v>-0.8381272715785677</v>
      </c>
      <c r="J97" s="168">
        <f>I97-VLOOKUP(B$2,H1:J136,2,FALSE)</f>
        <v>-6.2871609458344233</v>
      </c>
    </row>
    <row r="98" spans="1:10" ht="21.25" customHeight="1" x14ac:dyDescent="0.15">
      <c r="A98" s="9" t="s">
        <v>558</v>
      </c>
      <c r="B98" s="97" t="str">
        <f>VLOOKUP(A98,'The List'!B1:D665,3,FALSE)</f>
        <v>RW</v>
      </c>
      <c r="C98" s="98">
        <f>IF(Settings!$E$15="POINTS",RANK(E98,E3:E136),H98)</f>
        <v>92</v>
      </c>
      <c r="D98" s="65" t="str">
        <f>VLOOKUP(A98,'The List'!B1:F665,5,FALSE)</f>
        <v>STL</v>
      </c>
      <c r="E98" s="54">
        <f>VLOOKUP(A98,'The List'!B1:I665,8,FALSE)</f>
        <v>172.04445360810902</v>
      </c>
      <c r="F98" s="54">
        <f>IF(Settings!$E$15="POINTS",E98-VLOOKUP(B$2,C1:E136,3,FALSE),J98)</f>
        <v>-196.80326949818337</v>
      </c>
      <c r="G98" s="54"/>
      <c r="H98" s="167">
        <f>RANK(I98,I3:I136)</f>
        <v>97</v>
      </c>
      <c r="I98" s="168">
        <f>VLOOKUP(A98,'Standard Deviations'!A1:C666,3,FALSE)</f>
        <v>-2.5434325053173068</v>
      </c>
      <c r="J98" s="168">
        <f>I98-VLOOKUP(B$2,H1:J136,2,FALSE)</f>
        <v>-7.992466179573162</v>
      </c>
    </row>
    <row r="99" spans="1:10" ht="21.25" customHeight="1" x14ac:dyDescent="0.15">
      <c r="A99" s="9" t="s">
        <v>665</v>
      </c>
      <c r="B99" s="97" t="str">
        <f>VLOOKUP(A99,'The List'!B1:D665,3,FALSE)</f>
        <v>RW</v>
      </c>
      <c r="C99" s="98">
        <f>IF(Settings!$E$15="POINTS",RANK(E99,E3:E136),H99)</f>
        <v>109</v>
      </c>
      <c r="D99" s="65" t="str">
        <f>VLOOKUP(A99,'The List'!B1:F665,5,FALSE)</f>
        <v>MTL</v>
      </c>
      <c r="E99" s="54">
        <f>VLOOKUP(A99,'The List'!B1:I665,8,FALSE)</f>
        <v>134.57393912636479</v>
      </c>
      <c r="F99" s="54">
        <f>IF(Settings!$E$15="POINTS",E99-VLOOKUP(B$2,C1:E136,3,FALSE),J99)</f>
        <v>-234.2737839799276</v>
      </c>
      <c r="G99" s="54"/>
      <c r="H99" s="167">
        <f>RANK(I99,I3:I136)</f>
        <v>120</v>
      </c>
      <c r="I99" s="168">
        <f>VLOOKUP(A99,'Standard Deviations'!A1:C666,3,FALSE)</f>
        <v>-3.8624124938320614</v>
      </c>
      <c r="J99" s="168">
        <f>I99-VLOOKUP(B$2,H1:J136,2,FALSE)</f>
        <v>-9.311446168087917</v>
      </c>
    </row>
    <row r="100" spans="1:10" ht="21.25" customHeight="1" x14ac:dyDescent="0.15">
      <c r="A100" s="9" t="s">
        <v>561</v>
      </c>
      <c r="B100" s="97" t="str">
        <f>VLOOKUP(A100,'The List'!B1:D665,3,FALSE)</f>
        <v>RW</v>
      </c>
      <c r="C100" s="98">
        <f>IF(Settings!$E$15="POINTS",RANK(E100,E3:E136),H100)</f>
        <v>93</v>
      </c>
      <c r="D100" s="65" t="str">
        <f>VLOOKUP(A100,'The List'!B1:F665,5,FALSE)</f>
        <v>COL</v>
      </c>
      <c r="E100" s="54">
        <f>VLOOKUP(A100,'The List'!B1:I665,8,FALSE)</f>
        <v>171.14312848540968</v>
      </c>
      <c r="F100" s="54">
        <f>IF(Settings!$E$15="POINTS",E100-VLOOKUP(B$2,C1:E136,3,FALSE),J100)</f>
        <v>-197.70459462088272</v>
      </c>
      <c r="G100" s="54"/>
      <c r="H100" s="167">
        <f>RANK(I100,I3:I136)</f>
        <v>88</v>
      </c>
      <c r="I100" s="168">
        <f>VLOOKUP(A100,'Standard Deviations'!A1:C666,3,FALSE)</f>
        <v>-1.552419682047772</v>
      </c>
      <c r="J100" s="168">
        <f>I100-VLOOKUP(B$2,H1:J136,2,FALSE)</f>
        <v>-7.0014533563036281</v>
      </c>
    </row>
    <row r="101" spans="1:10" ht="21.25" customHeight="1" x14ac:dyDescent="0.15">
      <c r="A101" s="9" t="s">
        <v>676</v>
      </c>
      <c r="B101" s="97" t="str">
        <f>VLOOKUP(A101,'The List'!B1:D665,3,FALSE)</f>
        <v>RW</v>
      </c>
      <c r="C101" s="98">
        <f>IF(Settings!$E$15="POINTS",RANK(E101,E3:E136),H101)</f>
        <v>111</v>
      </c>
      <c r="D101" s="65" t="str">
        <f>VLOOKUP(A101,'The List'!B1:F665,5,FALSE)</f>
        <v>NYI</v>
      </c>
      <c r="E101" s="54">
        <f>VLOOKUP(A101,'The List'!B1:I665,8,FALSE)</f>
        <v>130.02220151438976</v>
      </c>
      <c r="F101" s="54">
        <f>IF(Settings!$E$15="POINTS",E101-VLOOKUP(B$2,C1:E136,3,FALSE),J101)</f>
        <v>-238.82552159190263</v>
      </c>
      <c r="G101" s="54"/>
      <c r="H101" s="167">
        <f>RANK(I101,I3:I136)</f>
        <v>103</v>
      </c>
      <c r="I101" s="168">
        <f>VLOOKUP(A101,'Standard Deviations'!A1:C666,3,FALSE)</f>
        <v>-2.876586970926458</v>
      </c>
      <c r="J101" s="168">
        <f>I101-VLOOKUP(B$2,H1:J136,2,FALSE)</f>
        <v>-8.3256206451823136</v>
      </c>
    </row>
    <row r="102" spans="1:10" ht="21.25" customHeight="1" x14ac:dyDescent="0.15">
      <c r="A102" s="9" t="s">
        <v>579</v>
      </c>
      <c r="B102" s="97" t="str">
        <f>VLOOKUP(A102,'The List'!B1:D665,3,FALSE)</f>
        <v>RW</v>
      </c>
      <c r="C102" s="98">
        <f>IF(Settings!$E$15="POINTS",RANK(E102,E3:E136),H102)</f>
        <v>95</v>
      </c>
      <c r="D102" s="65" t="str">
        <f>VLOOKUP(A102,'The List'!B1:F665,5,FALSE)</f>
        <v>T.B</v>
      </c>
      <c r="E102" s="54">
        <f>VLOOKUP(A102,'The List'!B1:I665,8,FALSE)</f>
        <v>165.82612193804221</v>
      </c>
      <c r="F102" s="54">
        <f>IF(Settings!$E$15="POINTS",E102-VLOOKUP(B$2,C1:E136,3,FALSE),J102)</f>
        <v>-203.02160116825019</v>
      </c>
      <c r="G102" s="54"/>
      <c r="H102" s="167">
        <f>RANK(I102,I3:I136)</f>
        <v>106</v>
      </c>
      <c r="I102" s="168">
        <f>VLOOKUP(A102,'Standard Deviations'!A1:C666,3,FALSE)</f>
        <v>-3.0633456969307535</v>
      </c>
      <c r="J102" s="168">
        <f>I102-VLOOKUP(B$2,H1:J136,2,FALSE)</f>
        <v>-8.5123793711866096</v>
      </c>
    </row>
    <row r="103" spans="1:10" ht="21.25" customHeight="1" x14ac:dyDescent="0.15">
      <c r="A103" s="9" t="s">
        <v>598</v>
      </c>
      <c r="B103" s="97" t="str">
        <f>VLOOKUP(A103,'The List'!B1:D665,3,FALSE)</f>
        <v>RW</v>
      </c>
      <c r="C103" s="98">
        <f>IF(Settings!$E$15="POINTS",RANK(E103,E3:E136),H103)</f>
        <v>98</v>
      </c>
      <c r="D103" s="65" t="str">
        <f>VLOOKUP(A103,'The List'!B1:F665,5,FALSE)</f>
        <v>L.A</v>
      </c>
      <c r="E103" s="54">
        <f>VLOOKUP(A103,'The List'!B1:I665,8,FALSE)</f>
        <v>157.31618519136515</v>
      </c>
      <c r="F103" s="54">
        <f>IF(Settings!$E$15="POINTS",E103-VLOOKUP(B$2,C1:E136,3,FALSE),J103)</f>
        <v>-211.53153791492724</v>
      </c>
      <c r="G103" s="54"/>
      <c r="H103" s="167">
        <f>RANK(I103,I3:I136)</f>
        <v>91</v>
      </c>
      <c r="I103" s="168">
        <f>VLOOKUP(A103,'Standard Deviations'!A1:C666,3,FALSE)</f>
        <v>-1.8564238641171849</v>
      </c>
      <c r="J103" s="168">
        <f>I103-VLOOKUP(B$2,H1:J136,2,FALSE)</f>
        <v>-7.3054575383730409</v>
      </c>
    </row>
    <row r="104" spans="1:10" ht="21.25" customHeight="1" x14ac:dyDescent="0.15">
      <c r="A104" s="9" t="s">
        <v>593</v>
      </c>
      <c r="B104" s="97" t="str">
        <f>VLOOKUP(A104,'The List'!B1:D665,3,FALSE)</f>
        <v>C/RW</v>
      </c>
      <c r="C104" s="98">
        <f>IF(Settings!$E$15="POINTS",RANK(E104,E3:E136),H104)</f>
        <v>97</v>
      </c>
      <c r="D104" s="65" t="str">
        <f>VLOOKUP(A104,'The List'!B1:F665,5,FALSE)</f>
        <v>CGY</v>
      </c>
      <c r="E104" s="54">
        <f>VLOOKUP(A104,'The List'!B1:I665,8,FALSE)</f>
        <v>159.51778843907746</v>
      </c>
      <c r="F104" s="54">
        <f>IF(Settings!$E$15="POINTS",E104-VLOOKUP(B$2,C1:E136,3,FALSE),J104)</f>
        <v>-209.32993466721493</v>
      </c>
      <c r="G104" s="54"/>
      <c r="H104" s="167">
        <f>RANK(I104,I3:I136)</f>
        <v>104</v>
      </c>
      <c r="I104" s="168">
        <f>VLOOKUP(A104,'Standard Deviations'!A1:C666,3,FALSE)</f>
        <v>-2.8926012713382541</v>
      </c>
      <c r="J104" s="168">
        <f>I104-VLOOKUP(B$2,H1:J136,2,FALSE)</f>
        <v>-8.3416349455941088</v>
      </c>
    </row>
    <row r="105" spans="1:10" ht="21.25" customHeight="1" x14ac:dyDescent="0.15">
      <c r="A105" s="9" t="s">
        <v>607</v>
      </c>
      <c r="B105" s="97" t="str">
        <f>VLOOKUP(A105,'The List'!B1:D665,3,FALSE)</f>
        <v>RW</v>
      </c>
      <c r="C105" s="98">
        <f>IF(Settings!$E$15="POINTS",RANK(E105,E3:E136),H105)</f>
        <v>101</v>
      </c>
      <c r="D105" s="65" t="str">
        <f>VLOOKUP(A105,'The List'!B1:F665,5,FALSE)</f>
        <v>CHI</v>
      </c>
      <c r="E105" s="54">
        <f>VLOOKUP(A105,'The List'!B1:I665,8,FALSE)</f>
        <v>152.22079854498756</v>
      </c>
      <c r="F105" s="54">
        <f>IF(Settings!$E$15="POINTS",E105-VLOOKUP(B$2,C1:E136,3,FALSE),J105)</f>
        <v>-216.62692456130483</v>
      </c>
      <c r="G105" s="54"/>
      <c r="H105" s="167">
        <f>RANK(I105,I3:I136)</f>
        <v>90</v>
      </c>
      <c r="I105" s="168">
        <f>VLOOKUP(A105,'Standard Deviations'!A1:C666,3,FALSE)</f>
        <v>-1.7615489380662392</v>
      </c>
      <c r="J105" s="168">
        <f>I105-VLOOKUP(B$2,H1:J136,2,FALSE)</f>
        <v>-7.2105826123220949</v>
      </c>
    </row>
    <row r="106" spans="1:10" ht="21.25" customHeight="1" x14ac:dyDescent="0.15">
      <c r="A106" s="9" t="s">
        <v>605</v>
      </c>
      <c r="B106" s="97" t="str">
        <f>VLOOKUP(A106,'The List'!B1:D665,3,FALSE)</f>
        <v>C/RW</v>
      </c>
      <c r="C106" s="98">
        <f>IF(Settings!$E$15="POINTS",RANK(E106,E3:E136),H106)</f>
        <v>100</v>
      </c>
      <c r="D106" s="65" t="str">
        <f>VLOOKUP(A106,'The List'!B1:F665,5,FALSE)</f>
        <v>WPG</v>
      </c>
      <c r="E106" s="54">
        <f>VLOOKUP(A106,'The List'!B1:I665,8,FALSE)</f>
        <v>152.79064533224144</v>
      </c>
      <c r="F106" s="54">
        <f>IF(Settings!$E$15="POINTS",E106-VLOOKUP(B$2,C1:E136,3,FALSE),J106)</f>
        <v>-216.05707777405095</v>
      </c>
      <c r="G106" s="54"/>
      <c r="H106" s="167">
        <f>RANK(I106,I3:I136)</f>
        <v>95</v>
      </c>
      <c r="I106" s="168">
        <f>VLOOKUP(A106,'Standard Deviations'!A1:C666,3,FALSE)</f>
        <v>-2.287694077212524</v>
      </c>
      <c r="J106" s="168">
        <f>I106-VLOOKUP(B$2,H1:J136,2,FALSE)</f>
        <v>-7.7367277514683792</v>
      </c>
    </row>
    <row r="107" spans="1:10" ht="21.25" customHeight="1" x14ac:dyDescent="0.15">
      <c r="A107" s="9" t="s">
        <v>611</v>
      </c>
      <c r="B107" s="97" t="str">
        <f>VLOOKUP(A107,'The List'!B1:D665,3,FALSE)</f>
        <v>RW</v>
      </c>
      <c r="C107" s="98">
        <f>IF(Settings!$E$15="POINTS",RANK(E107,E3:E136),H107)</f>
        <v>102</v>
      </c>
      <c r="D107" s="65" t="str">
        <f>VLOOKUP(A107,'The List'!B1:F665,5,FALSE)</f>
        <v>DAL</v>
      </c>
      <c r="E107" s="54">
        <f>VLOOKUP(A107,'The List'!B1:I665,8,FALSE)</f>
        <v>151.89374177257309</v>
      </c>
      <c r="F107" s="54">
        <f>IF(Settings!$E$15="POINTS",E107-VLOOKUP(B$2,C1:E136,3,FALSE),J107)</f>
        <v>-216.9539813337193</v>
      </c>
      <c r="G107" s="54"/>
      <c r="H107" s="167">
        <f>RANK(I107,I3:I136)</f>
        <v>92</v>
      </c>
      <c r="I107" s="168">
        <f>VLOOKUP(A107,'Standard Deviations'!A1:C666,3,FALSE)</f>
        <v>-1.929465735894675</v>
      </c>
      <c r="J107" s="168">
        <f>I107-VLOOKUP(B$2,H1:J136,2,FALSE)</f>
        <v>-7.3784994101505301</v>
      </c>
    </row>
    <row r="108" spans="1:10" ht="21.25" customHeight="1" x14ac:dyDescent="0.15">
      <c r="A108" s="9" t="s">
        <v>621</v>
      </c>
      <c r="B108" s="97" t="str">
        <f>VLOOKUP(A108,'The List'!B1:D665,3,FALSE)</f>
        <v>LW/RW</v>
      </c>
      <c r="C108" s="98">
        <f>IF(Settings!$E$15="POINTS",RANK(E108,E3:E136),H108)</f>
        <v>104</v>
      </c>
      <c r="D108" s="65" t="str">
        <f>VLOOKUP(A108,'The List'!B1:F665,5,FALSE)</f>
        <v>STL</v>
      </c>
      <c r="E108" s="54">
        <f>VLOOKUP(A108,'The List'!B1:I665,8,FALSE)</f>
        <v>147.21908751931383</v>
      </c>
      <c r="F108" s="54">
        <f>IF(Settings!$E$15="POINTS",E108-VLOOKUP(B$2,C1:E136,3,FALSE),J108)</f>
        <v>-221.62863558697856</v>
      </c>
      <c r="G108" s="54"/>
      <c r="H108" s="167">
        <f>RANK(I108,I3:I136)</f>
        <v>128</v>
      </c>
      <c r="I108" s="168">
        <f>VLOOKUP(A108,'Standard Deviations'!A1:C666,3,FALSE)</f>
        <v>-4.8964696216031314</v>
      </c>
      <c r="J108" s="168">
        <f>I108-VLOOKUP(B$2,H1:J136,2,FALSE)</f>
        <v>-10.345503295858986</v>
      </c>
    </row>
    <row r="109" spans="1:10" ht="21.25" customHeight="1" x14ac:dyDescent="0.15">
      <c r="A109" s="9" t="s">
        <v>688</v>
      </c>
      <c r="B109" s="97" t="str">
        <f>VLOOKUP(A109,'The List'!B1:D665,3,FALSE)</f>
        <v>RW</v>
      </c>
      <c r="C109" s="98">
        <f>IF(Settings!$E$15="POINTS",RANK(E109,E3:E136),H109)</f>
        <v>113</v>
      </c>
      <c r="D109" s="65" t="str">
        <f>VLOOKUP(A109,'The List'!B1:F665,5,FALSE)</f>
        <v>CBJ</v>
      </c>
      <c r="E109" s="54">
        <f>VLOOKUP(A109,'The List'!B1:I665,8,FALSE)</f>
        <v>126.25859527639115</v>
      </c>
      <c r="F109" s="54">
        <f>IF(Settings!$E$15="POINTS",E109-VLOOKUP(B$2,C1:E136,3,FALSE),J109)</f>
        <v>-242.58912782990126</v>
      </c>
      <c r="G109" s="54"/>
      <c r="H109" s="167">
        <f>RANK(I109,I3:I136)</f>
        <v>129</v>
      </c>
      <c r="I109" s="168">
        <f>VLOOKUP(A109,'Standard Deviations'!A1:C666,3,FALSE)</f>
        <v>-4.9409774327578635</v>
      </c>
      <c r="J109" s="168">
        <f>I109-VLOOKUP(B$2,H1:J136,2,FALSE)</f>
        <v>-10.39001110701372</v>
      </c>
    </row>
    <row r="110" spans="1:10" ht="21.25" customHeight="1" x14ac:dyDescent="0.15">
      <c r="A110" s="9" t="s">
        <v>612</v>
      </c>
      <c r="B110" s="97" t="str">
        <f>VLOOKUP(A110,'The List'!B1:D665,3,FALSE)</f>
        <v>RW</v>
      </c>
      <c r="C110" s="98">
        <f>IF(Settings!$E$15="POINTS",RANK(E110,E3:E136),H110)</f>
        <v>103</v>
      </c>
      <c r="D110" s="65" t="str">
        <f>VLOOKUP(A110,'The List'!B1:F665,5,FALSE)</f>
        <v>L.A</v>
      </c>
      <c r="E110" s="54">
        <f>VLOOKUP(A110,'The List'!B1:I665,8,FALSE)</f>
        <v>151.09188628155823</v>
      </c>
      <c r="F110" s="54">
        <f>IF(Settings!$E$15="POINTS",E110-VLOOKUP(B$2,C1:E136,3,FALSE),J110)</f>
        <v>-217.75583682473416</v>
      </c>
      <c r="G110" s="54"/>
      <c r="H110" s="167">
        <f>RANK(I110,I3:I136)</f>
        <v>102</v>
      </c>
      <c r="I110" s="168">
        <f>VLOOKUP(A110,'Standard Deviations'!A1:C666,3,FALSE)</f>
        <v>-2.8005657732798728</v>
      </c>
      <c r="J110" s="168">
        <f>I110-VLOOKUP(B$2,H1:J136,2,FALSE)</f>
        <v>-8.2495994475357293</v>
      </c>
    </row>
    <row r="111" spans="1:10" ht="21.25" customHeight="1" x14ac:dyDescent="0.15">
      <c r="A111" s="9" t="s">
        <v>639</v>
      </c>
      <c r="B111" s="97" t="str">
        <f>VLOOKUP(A111,'The List'!B1:D665,3,FALSE)</f>
        <v>RW</v>
      </c>
      <c r="C111" s="98">
        <f>IF(Settings!$E$15="POINTS",RANK(E111,E3:E136),H111)</f>
        <v>106</v>
      </c>
      <c r="D111" s="65" t="str">
        <f>VLOOKUP(A111,'The List'!B1:F665,5,FALSE)</f>
        <v>MTL</v>
      </c>
      <c r="E111" s="54">
        <f>VLOOKUP(A111,'The List'!B1:I665,8,FALSE)</f>
        <v>142.41041185107616</v>
      </c>
      <c r="F111" s="54">
        <f>IF(Settings!$E$15="POINTS",E111-VLOOKUP(B$2,C1:E136,3,FALSE),J111)</f>
        <v>-226.43731125521623</v>
      </c>
      <c r="G111" s="54"/>
      <c r="H111" s="167">
        <f>RANK(I111,I3:I136)</f>
        <v>122</v>
      </c>
      <c r="I111" s="168">
        <f>VLOOKUP(A111,'Standard Deviations'!A1:C666,3,FALSE)</f>
        <v>-4.2229205280067577</v>
      </c>
      <c r="J111" s="168">
        <f>I111-VLOOKUP(B$2,H1:J136,2,FALSE)</f>
        <v>-9.6719542022626133</v>
      </c>
    </row>
    <row r="112" spans="1:10" ht="21.25" customHeight="1" x14ac:dyDescent="0.15">
      <c r="A112" s="9" t="s">
        <v>664</v>
      </c>
      <c r="B112" s="97" t="str">
        <f>VLOOKUP(A112,'The List'!B1:D665,3,FALSE)</f>
        <v>LW/RW</v>
      </c>
      <c r="C112" s="98">
        <f>IF(Settings!$E$15="POINTS",RANK(E112,E3:E136),H112)</f>
        <v>108</v>
      </c>
      <c r="D112" s="65" t="str">
        <f>VLOOKUP(A112,'The List'!B1:F665,5,FALSE)</f>
        <v>MIN</v>
      </c>
      <c r="E112" s="54">
        <f>VLOOKUP(A112,'The List'!B1:I665,8,FALSE)</f>
        <v>134.63087707693344</v>
      </c>
      <c r="F112" s="54">
        <f>IF(Settings!$E$15="POINTS",E112-VLOOKUP(B$2,C1:E136,3,FALSE),J112)</f>
        <v>-234.21684602935895</v>
      </c>
      <c r="G112" s="54"/>
      <c r="H112" s="167">
        <f>RANK(I112,I3:I136)</f>
        <v>107</v>
      </c>
      <c r="I112" s="168">
        <f>VLOOKUP(A112,'Standard Deviations'!A1:C666,3,FALSE)</f>
        <v>-3.1509380390799087</v>
      </c>
      <c r="J112" s="168">
        <f>I112-VLOOKUP(B$2,H1:J136,2,FALSE)</f>
        <v>-8.5999717133357638</v>
      </c>
    </row>
    <row r="113" spans="1:10" ht="21.25" customHeight="1" x14ac:dyDescent="0.15">
      <c r="A113" s="9" t="s">
        <v>682</v>
      </c>
      <c r="B113" s="97" t="str">
        <f>VLOOKUP(A113,'The List'!B1:D665,3,FALSE)</f>
        <v>RW</v>
      </c>
      <c r="C113" s="98">
        <f>IF(Settings!$E$15="POINTS",RANK(E113,E3:E136),H113)</f>
        <v>112</v>
      </c>
      <c r="D113" s="65" t="str">
        <f>VLOOKUP(A113,'The List'!B1:F665,5,FALSE)</f>
        <v>MTL</v>
      </c>
      <c r="E113" s="54">
        <f>VLOOKUP(A113,'The List'!B1:I665,8,FALSE)</f>
        <v>127.75332011987439</v>
      </c>
      <c r="F113" s="54">
        <f>IF(Settings!$E$15="POINTS",E113-VLOOKUP(B$2,C1:E136,3,FALSE),J113)</f>
        <v>-241.094402986418</v>
      </c>
      <c r="G113" s="54"/>
      <c r="H113" s="167">
        <f>RANK(I113,I3:I136)</f>
        <v>124</v>
      </c>
      <c r="I113" s="168">
        <f>VLOOKUP(A113,'Standard Deviations'!A1:C666,3,FALSE)</f>
        <v>-4.3548838273651072</v>
      </c>
      <c r="J113" s="168">
        <f>I113-VLOOKUP(B$2,H1:J136,2,FALSE)</f>
        <v>-9.8039175016209619</v>
      </c>
    </row>
    <row r="114" spans="1:10" ht="21.25" customHeight="1" x14ac:dyDescent="0.15">
      <c r="A114" s="9" t="s">
        <v>697</v>
      </c>
      <c r="B114" s="97" t="str">
        <f>VLOOKUP(A114,'The List'!B1:D665,3,FALSE)</f>
        <v>RW</v>
      </c>
      <c r="C114" s="98">
        <f>IF(Settings!$E$15="POINTS",RANK(E114,E3:E136),H114)</f>
        <v>116</v>
      </c>
      <c r="D114" s="65" t="str">
        <f>VLOOKUP(A114,'The List'!B1:F665,5,FALSE)</f>
        <v>NSH</v>
      </c>
      <c r="E114" s="54">
        <f>VLOOKUP(A114,'The List'!B1:I665,8,FALSE)</f>
        <v>122.4031704339334</v>
      </c>
      <c r="F114" s="54">
        <f>IF(Settings!$E$15="POINTS",E114-VLOOKUP(B$2,C1:E136,3,FALSE),J114)</f>
        <v>-246.44455267235901</v>
      </c>
      <c r="G114" s="54"/>
      <c r="H114" s="167">
        <f>RANK(I114,I3:I136)</f>
        <v>108</v>
      </c>
      <c r="I114" s="168">
        <f>VLOOKUP(A114,'Standard Deviations'!A1:C666,3,FALSE)</f>
        <v>-3.2222459869655062</v>
      </c>
      <c r="J114" s="168">
        <f>I114-VLOOKUP(B$2,H1:J136,2,FALSE)</f>
        <v>-8.6712796612213623</v>
      </c>
    </row>
    <row r="115" spans="1:10" ht="21.25" customHeight="1" x14ac:dyDescent="0.15">
      <c r="A115" s="9" t="s">
        <v>693</v>
      </c>
      <c r="B115" s="97" t="str">
        <f>VLOOKUP(A115,'The List'!B1:D665,3,FALSE)</f>
        <v>RW</v>
      </c>
      <c r="C115" s="98">
        <f>IF(Settings!$E$15="POINTS",RANK(E115,E3:E136),H115)</f>
        <v>115</v>
      </c>
      <c r="D115" s="65" t="str">
        <f>VLOOKUP(A115,'The List'!B1:F665,5,FALSE)</f>
        <v>ANA</v>
      </c>
      <c r="E115" s="54">
        <f>VLOOKUP(A115,'The List'!B1:I665,8,FALSE)</f>
        <v>124.01983851887704</v>
      </c>
      <c r="F115" s="54">
        <f>IF(Settings!$E$15="POINTS",E115-VLOOKUP(B$2,C1:E136,3,FALSE),J115)</f>
        <v>-244.82788458741535</v>
      </c>
      <c r="G115" s="54"/>
      <c r="H115" s="167">
        <f>RANK(I115,I3:I136)</f>
        <v>133</v>
      </c>
      <c r="I115" s="168">
        <f>VLOOKUP(A115,'Standard Deviations'!A1:C666,3,FALSE)</f>
        <v>-5.215457537587012</v>
      </c>
      <c r="J115" s="168">
        <f>I115-VLOOKUP(B$2,H1:J136,2,FALSE)</f>
        <v>-10.664491211842869</v>
      </c>
    </row>
    <row r="116" spans="1:10" ht="21.25" customHeight="1" x14ac:dyDescent="0.15">
      <c r="A116" s="9" t="s">
        <v>698</v>
      </c>
      <c r="B116" s="97" t="str">
        <f>VLOOKUP(A116,'The List'!B1:D665,3,FALSE)</f>
        <v>RW</v>
      </c>
      <c r="C116" s="98">
        <f>IF(Settings!$E$15="POINTS",RANK(E116,E3:E136),H116)</f>
        <v>117</v>
      </c>
      <c r="D116" s="65" t="str">
        <f>VLOOKUP(A116,'The List'!B1:F665,5,FALSE)</f>
        <v>S.J</v>
      </c>
      <c r="E116" s="54">
        <f>VLOOKUP(A116,'The List'!B1:I665,8,FALSE)</f>
        <v>122.21354406324278</v>
      </c>
      <c r="F116" s="54">
        <f>IF(Settings!$E$15="POINTS",E116-VLOOKUP(B$2,C1:E136,3,FALSE),J116)</f>
        <v>-246.63417904304961</v>
      </c>
      <c r="G116" s="54"/>
      <c r="H116" s="167">
        <f>RANK(I116,I3:I136)</f>
        <v>110</v>
      </c>
      <c r="I116" s="168">
        <f>VLOOKUP(A116,'Standard Deviations'!A1:C666,3,FALSE)</f>
        <v>-3.4166555835854875</v>
      </c>
      <c r="J116" s="168">
        <f>I116-VLOOKUP(B$2,H1:J136,2,FALSE)</f>
        <v>-8.8656892578413427</v>
      </c>
    </row>
    <row r="117" spans="1:10" ht="21.25" customHeight="1" x14ac:dyDescent="0.15">
      <c r="A117" s="9" t="s">
        <v>724</v>
      </c>
      <c r="B117" s="97" t="str">
        <f>VLOOKUP(A117,'The List'!B1:D665,3,FALSE)</f>
        <v>RW</v>
      </c>
      <c r="C117" s="98">
        <f>IF(Settings!$E$15="POINTS",RANK(E117,E3:E136),H117)</f>
        <v>125</v>
      </c>
      <c r="D117" s="65" t="str">
        <f>VLOOKUP(A117,'The List'!B1:F665,5,FALSE)</f>
        <v>CGY</v>
      </c>
      <c r="E117" s="54">
        <f>VLOOKUP(A117,'The List'!B1:I665,8,FALSE)</f>
        <v>108.09838857994323</v>
      </c>
      <c r="F117" s="54">
        <f>IF(Settings!$E$15="POINTS",E117-VLOOKUP(B$2,C1:E136,3,FALSE),J117)</f>
        <v>-260.74933452634917</v>
      </c>
      <c r="G117" s="54"/>
      <c r="H117" s="167">
        <f>RANK(I117,I3:I136)</f>
        <v>130</v>
      </c>
      <c r="I117" s="168">
        <f>VLOOKUP(A117,'Standard Deviations'!A1:C666,3,FALSE)</f>
        <v>-4.9439397709957795</v>
      </c>
      <c r="J117" s="168">
        <f>I117-VLOOKUP(B$2,H1:J136,2,FALSE)</f>
        <v>-10.392973445251634</v>
      </c>
    </row>
    <row r="118" spans="1:10" ht="21.25" customHeight="1" x14ac:dyDescent="0.15">
      <c r="A118" s="9" t="s">
        <v>713</v>
      </c>
      <c r="B118" s="97" t="str">
        <f>VLOOKUP(A118,'The List'!B1:D665,3,FALSE)</f>
        <v>RW</v>
      </c>
      <c r="C118" s="98">
        <f>IF(Settings!$E$15="POINTS",RANK(E118,E3:E136),H118)</f>
        <v>122</v>
      </c>
      <c r="D118" s="65" t="str">
        <f>VLOOKUP(A118,'The List'!B1:F665,5,FALSE)</f>
        <v>VAN</v>
      </c>
      <c r="E118" s="54">
        <f>VLOOKUP(A118,'The List'!B1:I665,8,FALSE)</f>
        <v>113.87432429308511</v>
      </c>
      <c r="F118" s="54">
        <f>IF(Settings!$E$15="POINTS",E118-VLOOKUP(B$2,C1:E136,3,FALSE),J118)</f>
        <v>-254.97339881320727</v>
      </c>
      <c r="G118" s="54"/>
      <c r="H118" s="167">
        <f>RANK(I118,I3:I136)</f>
        <v>111</v>
      </c>
      <c r="I118" s="168">
        <f>VLOOKUP(A118,'Standard Deviations'!A1:C666,3,FALSE)</f>
        <v>-3.467167206361049</v>
      </c>
      <c r="J118" s="168">
        <f>I118-VLOOKUP(B$2,H1:J136,2,FALSE)</f>
        <v>-8.9162008806169055</v>
      </c>
    </row>
    <row r="119" spans="1:10" ht="21.25" customHeight="1" x14ac:dyDescent="0.15">
      <c r="A119" s="9" t="s">
        <v>663</v>
      </c>
      <c r="B119" s="97" t="str">
        <f>VLOOKUP(A119,'The List'!B1:D665,3,FALSE)</f>
        <v>RW</v>
      </c>
      <c r="C119" s="98">
        <f>IF(Settings!$E$15="POINTS",RANK(E119,E3:E136),H119)</f>
        <v>107</v>
      </c>
      <c r="D119" s="65" t="str">
        <f>VLOOKUP(A119,'The List'!B1:F665,5,FALSE)</f>
        <v>STL</v>
      </c>
      <c r="E119" s="54">
        <f>VLOOKUP(A119,'The List'!B1:I665,8,FALSE)</f>
        <v>134.87939529381953</v>
      </c>
      <c r="F119" s="54">
        <f>IF(Settings!$E$15="POINTS",E119-VLOOKUP(B$2,C1:E136,3,FALSE),J119)</f>
        <v>-233.96832781247286</v>
      </c>
      <c r="G119" s="54"/>
      <c r="H119" s="167">
        <f>RANK(I119,I3:I136)</f>
        <v>125</v>
      </c>
      <c r="I119" s="168">
        <f>VLOOKUP(A119,'Standard Deviations'!A1:C666,3,FALSE)</f>
        <v>-4.53937977253476</v>
      </c>
      <c r="J119" s="168">
        <f>I119-VLOOKUP(B$2,H1:J136,2,FALSE)</f>
        <v>-9.9884134467906165</v>
      </c>
    </row>
    <row r="120" spans="1:10" ht="21.25" customHeight="1" x14ac:dyDescent="0.15">
      <c r="A120" s="9" t="s">
        <v>690</v>
      </c>
      <c r="B120" s="97" t="str">
        <f>VLOOKUP(A120,'The List'!B1:D665,3,FALSE)</f>
        <v>RW</v>
      </c>
      <c r="C120" s="98">
        <f>IF(Settings!$E$15="POINTS",RANK(E120,E3:E136),H120)</f>
        <v>114</v>
      </c>
      <c r="D120" s="65" t="str">
        <f>VLOOKUP(A120,'The List'!B1:F665,5,FALSE)</f>
        <v>NYI</v>
      </c>
      <c r="E120" s="54">
        <f>VLOOKUP(A120,'The List'!B1:I665,8,FALSE)</f>
        <v>125.65374754645173</v>
      </c>
      <c r="F120" s="54">
        <f>IF(Settings!$E$15="POINTS",E120-VLOOKUP(B$2,C1:E136,3,FALSE),J120)</f>
        <v>-243.19397555984068</v>
      </c>
      <c r="G120" s="54"/>
      <c r="H120" s="167">
        <f>RANK(I120,I3:I136)</f>
        <v>115</v>
      </c>
      <c r="I120" s="168">
        <f>VLOOKUP(A120,'Standard Deviations'!A1:C666,3,FALSE)</f>
        <v>-3.7024090636045597</v>
      </c>
      <c r="J120" s="168">
        <f>I120-VLOOKUP(B$2,H1:J136,2,FALSE)</f>
        <v>-9.1514427378604157</v>
      </c>
    </row>
    <row r="121" spans="1:10" ht="21.25" customHeight="1" x14ac:dyDescent="0.15">
      <c r="A121" s="9" t="s">
        <v>714</v>
      </c>
      <c r="B121" s="97" t="str">
        <f>VLOOKUP(A121,'The List'!B1:D665,3,FALSE)</f>
        <v>RW</v>
      </c>
      <c r="C121" s="98">
        <f>IF(Settings!$E$15="POINTS",RANK(E121,E3:E136),H121)</f>
        <v>123</v>
      </c>
      <c r="D121" s="65" t="str">
        <f>VLOOKUP(A121,'The List'!B1:F665,5,FALSE)</f>
        <v>CHI</v>
      </c>
      <c r="E121" s="54">
        <f>VLOOKUP(A121,'The List'!B1:I665,8,FALSE)</f>
        <v>113.50296398129623</v>
      </c>
      <c r="F121" s="54">
        <f>IF(Settings!$E$15="POINTS",E121-VLOOKUP(B$2,C1:E136,3,FALSE),J121)</f>
        <v>-255.34475912499616</v>
      </c>
      <c r="G121" s="54"/>
      <c r="H121" s="167">
        <f>RANK(I121,I3:I136)</f>
        <v>132</v>
      </c>
      <c r="I121" s="168">
        <f>VLOOKUP(A121,'Standard Deviations'!A1:C666,3,FALSE)</f>
        <v>-5.1161140960871334</v>
      </c>
      <c r="J121" s="168">
        <f>I121-VLOOKUP(B$2,H1:J136,2,FALSE)</f>
        <v>-10.565147770342989</v>
      </c>
    </row>
    <row r="122" spans="1:10" ht="21.25" customHeight="1" x14ac:dyDescent="0.15">
      <c r="A122" s="9" t="s">
        <v>729</v>
      </c>
      <c r="B122" s="97" t="str">
        <f>VLOOKUP(A122,'The List'!B1:D665,3,FALSE)</f>
        <v>RW</v>
      </c>
      <c r="C122" s="98">
        <f>IF(Settings!$E$15="POINTS",RANK(E122,E3:E136),H122)</f>
        <v>127</v>
      </c>
      <c r="D122" s="65" t="str">
        <f>VLOOKUP(A122,'The List'!B1:F665,5,FALSE)</f>
        <v>EDM</v>
      </c>
      <c r="E122" s="54">
        <f>VLOOKUP(A122,'The List'!B1:I665,8,FALSE)</f>
        <v>105.25940782637491</v>
      </c>
      <c r="F122" s="54">
        <f>IF(Settings!$E$15="POINTS",E122-VLOOKUP(B$2,C1:E136,3,FALSE),J122)</f>
        <v>-263.58831527991748</v>
      </c>
      <c r="G122" s="54"/>
      <c r="H122" s="167">
        <f>RANK(I122,I3:I136)</f>
        <v>112</v>
      </c>
      <c r="I122" s="168">
        <f>VLOOKUP(A122,'Standard Deviations'!A1:C666,3,FALSE)</f>
        <v>-3.5761825910062117</v>
      </c>
      <c r="J122" s="168">
        <f>I122-VLOOKUP(B$2,H1:J136,2,FALSE)</f>
        <v>-9.0252162652620669</v>
      </c>
    </row>
    <row r="123" spans="1:10" ht="21.25" customHeight="1" x14ac:dyDescent="0.15">
      <c r="A123" s="9" t="s">
        <v>718</v>
      </c>
      <c r="B123" s="97" t="str">
        <f>VLOOKUP(A123,'The List'!B1:D665,3,FALSE)</f>
        <v>RW</v>
      </c>
      <c r="C123" s="98">
        <f>IF(Settings!$E$15="POINTS",RANK(E123,E3:E136),H123)</f>
        <v>124</v>
      </c>
      <c r="D123" s="65" t="str">
        <f>VLOOKUP(A123,'The List'!B1:F665,5,FALSE)</f>
        <v>TOR</v>
      </c>
      <c r="E123" s="54">
        <f>VLOOKUP(A123,'The List'!B1:I665,8,FALSE)</f>
        <v>112.38433887312975</v>
      </c>
      <c r="F123" s="54">
        <f>IF(Settings!$E$15="POINTS",E123-VLOOKUP(B$2,C1:E136,3,FALSE),J123)</f>
        <v>-256.46338423316263</v>
      </c>
      <c r="G123" s="54"/>
      <c r="H123" s="167">
        <f>RANK(I123,I3:I136)</f>
        <v>100</v>
      </c>
      <c r="I123" s="168">
        <f>VLOOKUP(A123,'Standard Deviations'!A1:C666,3,FALSE)</f>
        <v>-2.7389585517916695</v>
      </c>
      <c r="J123" s="168">
        <f>I123-VLOOKUP(B$2,H1:J136,2,FALSE)</f>
        <v>-8.1879922260475251</v>
      </c>
    </row>
    <row r="124" spans="1:10" ht="21.25" customHeight="1" x14ac:dyDescent="0.15">
      <c r="A124" s="9" t="s">
        <v>673</v>
      </c>
      <c r="B124" s="97" t="str">
        <f>VLOOKUP(A124,'The List'!B1:D665,3,FALSE)</f>
        <v>RW</v>
      </c>
      <c r="C124" s="98">
        <f>IF(Settings!$E$15="POINTS",RANK(E124,E3:E136),H124)</f>
        <v>110</v>
      </c>
      <c r="D124" s="65" t="str">
        <f>VLOOKUP(A124,'The List'!B1:F665,5,FALSE)</f>
        <v>PHI</v>
      </c>
      <c r="E124" s="54">
        <f>VLOOKUP(A124,'The List'!B1:I665,8,FALSE)</f>
        <v>131.2552429609822</v>
      </c>
      <c r="F124" s="54">
        <f>IF(Settings!$E$15="POINTS",E124-VLOOKUP(B$2,C1:E136,3,FALSE),J124)</f>
        <v>-237.59248014531019</v>
      </c>
      <c r="G124" s="54"/>
      <c r="H124" s="167">
        <f>RANK(I124,I3:I136)</f>
        <v>114</v>
      </c>
      <c r="I124" s="168">
        <f>VLOOKUP(A124,'Standard Deviations'!A1:C666,3,FALSE)</f>
        <v>-3.6810984283043156</v>
      </c>
      <c r="J124" s="168">
        <f>I124-VLOOKUP(B$2,H1:J136,2,FALSE)</f>
        <v>-9.1301321025601716</v>
      </c>
    </row>
    <row r="125" spans="1:10" ht="21.25" customHeight="1" x14ac:dyDescent="0.15">
      <c r="A125" s="9" t="s">
        <v>739</v>
      </c>
      <c r="B125" s="97" t="str">
        <f>VLOOKUP(A125,'The List'!B1:D665,3,FALSE)</f>
        <v>RW</v>
      </c>
      <c r="C125" s="98">
        <f>IF(Settings!$E$15="POINTS",RANK(E125,E3:E136),H125)</f>
        <v>130</v>
      </c>
      <c r="D125" s="65" t="str">
        <f>VLOOKUP(A125,'The List'!B1:F665,5,FALSE)</f>
        <v>NYI</v>
      </c>
      <c r="E125" s="54">
        <f>VLOOKUP(A125,'The List'!B1:I665,8,FALSE)</f>
        <v>102.40374049134741</v>
      </c>
      <c r="F125" s="54">
        <f>IF(Settings!$E$15="POINTS",E125-VLOOKUP(B$2,C1:E136,3,FALSE),J125)</f>
        <v>-266.44398261494496</v>
      </c>
      <c r="G125" s="54"/>
      <c r="H125" s="167">
        <f>RANK(I125,I3:I136)</f>
        <v>121</v>
      </c>
      <c r="I125" s="168">
        <f>VLOOKUP(A125,'Standard Deviations'!A1:C666,3,FALSE)</f>
        <v>-4.0087285205557048</v>
      </c>
      <c r="J125" s="168">
        <f>I125-VLOOKUP(B$2,H1:J136,2,FALSE)</f>
        <v>-9.4577621948115613</v>
      </c>
    </row>
    <row r="126" spans="1:10" ht="21.25" customHeight="1" x14ac:dyDescent="0.15">
      <c r="A126" s="9" t="s">
        <v>704</v>
      </c>
      <c r="B126" s="97" t="str">
        <f>VLOOKUP(A126,'The List'!B1:D665,3,FALSE)</f>
        <v>RW</v>
      </c>
      <c r="C126" s="98">
        <f>IF(Settings!$E$15="POINTS",RANK(E126,E3:E136),H126)</f>
        <v>119</v>
      </c>
      <c r="D126" s="65" t="str">
        <f>VLOOKUP(A126,'The List'!B1:F665,5,FALSE)</f>
        <v>EDM</v>
      </c>
      <c r="E126" s="54">
        <f>VLOOKUP(A126,'The List'!B1:I665,8,FALSE)</f>
        <v>117.96632521358389</v>
      </c>
      <c r="F126" s="54">
        <f>IF(Settings!$E$15="POINTS",E126-VLOOKUP(B$2,C1:E136,3,FALSE),J126)</f>
        <v>-250.88139789270849</v>
      </c>
      <c r="G126" s="54"/>
      <c r="H126" s="167">
        <f>RANK(I126,I3:I136)</f>
        <v>119</v>
      </c>
      <c r="I126" s="168">
        <f>VLOOKUP(A126,'Standard Deviations'!A1:C666,3,FALSE)</f>
        <v>-3.7999811482212444</v>
      </c>
      <c r="J126" s="168">
        <f>I126-VLOOKUP(B$2,H1:J136,2,FALSE)</f>
        <v>-9.2490148224771005</v>
      </c>
    </row>
    <row r="127" spans="1:10" ht="21.25" customHeight="1" x14ac:dyDescent="0.15">
      <c r="A127" s="9" t="s">
        <v>707</v>
      </c>
      <c r="B127" s="97" t="str">
        <f>VLOOKUP(A127,'The List'!B1:D665,3,FALSE)</f>
        <v>RW</v>
      </c>
      <c r="C127" s="98">
        <f>IF(Settings!$E$15="POINTS",RANK(E127,E3:E136),H127)</f>
        <v>120</v>
      </c>
      <c r="D127" s="65" t="str">
        <f>VLOOKUP(A127,'The List'!B1:F665,5,FALSE)</f>
        <v>DET</v>
      </c>
      <c r="E127" s="54">
        <f>VLOOKUP(A127,'The List'!B1:I665,8,FALSE)</f>
        <v>117.41235670265701</v>
      </c>
      <c r="F127" s="54">
        <f>IF(Settings!$E$15="POINTS",E127-VLOOKUP(B$2,C1:E136,3,FALSE),J127)</f>
        <v>-251.43536640363538</v>
      </c>
      <c r="G127" s="54"/>
      <c r="H127" s="167">
        <f>RANK(I127,I3:I136)</f>
        <v>126</v>
      </c>
      <c r="I127" s="168">
        <f>VLOOKUP(A127,'Standard Deviations'!A1:C666,3,FALSE)</f>
        <v>-4.6467128558687412</v>
      </c>
      <c r="J127" s="168">
        <f>I127-VLOOKUP(B$2,H1:J136,2,FALSE)</f>
        <v>-10.095746530124597</v>
      </c>
    </row>
    <row r="128" spans="1:10" ht="21.25" customHeight="1" x14ac:dyDescent="0.15">
      <c r="A128" s="9" t="s">
        <v>727</v>
      </c>
      <c r="B128" s="97" t="str">
        <f>VLOOKUP(A128,'The List'!B1:D665,3,FALSE)</f>
        <v>RW</v>
      </c>
      <c r="C128" s="98">
        <f>IF(Settings!$E$15="POINTS",RANK(E128,E3:E136),H128)</f>
        <v>126</v>
      </c>
      <c r="D128" s="65" t="str">
        <f>VLOOKUP(A128,'The List'!B1:F665,5,FALSE)</f>
        <v>N.J</v>
      </c>
      <c r="E128" s="54">
        <f>VLOOKUP(A128,'The List'!B1:I665,8,FALSE)</f>
        <v>105.66128644418626</v>
      </c>
      <c r="F128" s="54">
        <f>IF(Settings!$E$15="POINTS",E128-VLOOKUP(B$2,C1:E136,3,FALSE),J128)</f>
        <v>-263.18643666210613</v>
      </c>
      <c r="G128" s="54"/>
      <c r="H128" s="167">
        <f>RANK(I128,I3:I136)</f>
        <v>118</v>
      </c>
      <c r="I128" s="168">
        <f>VLOOKUP(A128,'Standard Deviations'!A1:C666,3,FALSE)</f>
        <v>-3.7909802294555601</v>
      </c>
      <c r="J128" s="168">
        <f>I128-VLOOKUP(B$2,H1:J136,2,FALSE)</f>
        <v>-9.2400139037114162</v>
      </c>
    </row>
    <row r="129" spans="1:10" ht="21.25" customHeight="1" x14ac:dyDescent="0.15">
      <c r="A129" s="9" t="s">
        <v>703</v>
      </c>
      <c r="B129" s="97" t="str">
        <f>VLOOKUP(A129,'The List'!B1:D665,3,FALSE)</f>
        <v>RW</v>
      </c>
      <c r="C129" s="98">
        <f>IF(Settings!$E$15="POINTS",RANK(E129,E3:E136),H129)</f>
        <v>118</v>
      </c>
      <c r="D129" s="65" t="str">
        <f>VLOOKUP(A129,'The List'!B1:F665,5,FALSE)</f>
        <v>CAR</v>
      </c>
      <c r="E129" s="54">
        <f>VLOOKUP(A129,'The List'!B1:I665,8,FALSE)</f>
        <v>118.06068356356694</v>
      </c>
      <c r="F129" s="54">
        <f>IF(Settings!$E$15="POINTS",E129-VLOOKUP(B$2,C1:E136,3,FALSE),J129)</f>
        <v>-250.78703954272544</v>
      </c>
      <c r="G129" s="54"/>
      <c r="H129" s="167">
        <f>RANK(I129,I3:I136)</f>
        <v>98</v>
      </c>
      <c r="I129" s="168">
        <f>VLOOKUP(A129,'Standard Deviations'!A1:C666,3,FALSE)</f>
        <v>-2.6004503497479776</v>
      </c>
      <c r="J129" s="168">
        <f>I129-VLOOKUP(B$2,H1:J136,2,FALSE)</f>
        <v>-8.0494840240038332</v>
      </c>
    </row>
    <row r="130" spans="1:10" ht="21.25" customHeight="1" x14ac:dyDescent="0.15">
      <c r="A130" s="9" t="s">
        <v>709</v>
      </c>
      <c r="B130" s="97" t="str">
        <f>VLOOKUP(A130,'The List'!B1:D665,3,FALSE)</f>
        <v>RW</v>
      </c>
      <c r="C130" s="98">
        <f>IF(Settings!$E$15="POINTS",RANK(E130,E3:E136),H130)</f>
        <v>121</v>
      </c>
      <c r="D130" s="65" t="str">
        <f>VLOOKUP(A130,'The List'!B1:F665,5,FALSE)</f>
        <v>VGK</v>
      </c>
      <c r="E130" s="54">
        <f>VLOOKUP(A130,'The List'!B1:I665,8,FALSE)</f>
        <v>115.76464762065741</v>
      </c>
      <c r="F130" s="54">
        <f>IF(Settings!$E$15="POINTS",E130-VLOOKUP(B$2,C1:E136,3,FALSE),J130)</f>
        <v>-253.08307548563499</v>
      </c>
      <c r="G130" s="54"/>
      <c r="H130" s="167">
        <f>RANK(I130,I3:I136)</f>
        <v>117</v>
      </c>
      <c r="I130" s="168">
        <f>VLOOKUP(A130,'Standard Deviations'!A1:C666,3,FALSE)</f>
        <v>-3.7679796199079063</v>
      </c>
      <c r="J130" s="168">
        <f>I130-VLOOKUP(B$2,H1:J136,2,FALSE)</f>
        <v>-9.2170132941637615</v>
      </c>
    </row>
    <row r="131" spans="1:10" ht="21.25" customHeight="1" x14ac:dyDescent="0.15">
      <c r="A131" s="9" t="s">
        <v>758</v>
      </c>
      <c r="B131" s="97" t="str">
        <f>VLOOKUP(A131,'The List'!B1:D665,3,FALSE)</f>
        <v>RW</v>
      </c>
      <c r="C131" s="98">
        <f>IF(Settings!$E$15="POINTS",RANK(E131,E3:E136),H131)</f>
        <v>132</v>
      </c>
      <c r="D131" s="65" t="str">
        <f>VLOOKUP(A131,'The List'!B1:F665,5,FALSE)</f>
        <v>EDM</v>
      </c>
      <c r="E131" s="54">
        <f>VLOOKUP(A131,'The List'!B1:I665,8,FALSE)</f>
        <v>91.721845872418371</v>
      </c>
      <c r="F131" s="54">
        <f>IF(Settings!$E$15="POINTS",E131-VLOOKUP(B$2,C1:E136,3,FALSE),J131)</f>
        <v>-277.12587723387401</v>
      </c>
      <c r="G131" s="54"/>
      <c r="H131" s="167">
        <f>RANK(I131,I3:I136)</f>
        <v>116</v>
      </c>
      <c r="I131" s="168">
        <f>VLOOKUP(A131,'Standard Deviations'!A1:C666,3,FALSE)</f>
        <v>-3.7678972185404196</v>
      </c>
      <c r="J131" s="168">
        <f>I131-VLOOKUP(B$2,H1:J136,2,FALSE)</f>
        <v>-9.2169308927962756</v>
      </c>
    </row>
    <row r="132" spans="1:10" ht="21.25" customHeight="1" x14ac:dyDescent="0.15">
      <c r="A132" s="9" t="s">
        <v>730</v>
      </c>
      <c r="B132" s="97" t="str">
        <f>VLOOKUP(A132,'The List'!B1:D665,3,FALSE)</f>
        <v>RW</v>
      </c>
      <c r="C132" s="98">
        <f>IF(Settings!$E$15="POINTS",RANK(E132,E3:E136),H132)</f>
        <v>128</v>
      </c>
      <c r="D132" s="65" t="str">
        <f>VLOOKUP(A132,'The List'!B1:F665,5,FALSE)</f>
        <v>WSH</v>
      </c>
      <c r="E132" s="54">
        <f>VLOOKUP(A132,'The List'!B1:I665,8,FALSE)</f>
        <v>104.64401330887074</v>
      </c>
      <c r="F132" s="54">
        <f>IF(Settings!$E$15="POINTS",E132-VLOOKUP(B$2,C1:E136,3,FALSE),J132)</f>
        <v>-264.20370979742165</v>
      </c>
      <c r="G132" s="54"/>
      <c r="H132" s="167">
        <f>RANK(I132,I3:I136)</f>
        <v>123</v>
      </c>
      <c r="I132" s="168">
        <f>VLOOKUP(A132,'Standard Deviations'!A1:C666,3,FALSE)</f>
        <v>-4.3237343191197191</v>
      </c>
      <c r="J132" s="168">
        <f>I132-VLOOKUP(B$2,H1:J136,2,FALSE)</f>
        <v>-9.7727679933755738</v>
      </c>
    </row>
    <row r="133" spans="1:10" ht="21.25" customHeight="1" x14ac:dyDescent="0.15">
      <c r="A133" s="9" t="s">
        <v>768</v>
      </c>
      <c r="B133" s="97" t="str">
        <f>VLOOKUP(A133,'The List'!B1:D665,3,FALSE)</f>
        <v>RW</v>
      </c>
      <c r="C133" s="98">
        <f>IF(Settings!$E$15="POINTS",RANK(E133,E3:E136),H133)</f>
        <v>134</v>
      </c>
      <c r="D133" s="65" t="str">
        <f>VLOOKUP(A133,'The List'!B1:F665,5,FALSE)</f>
        <v>T.B</v>
      </c>
      <c r="E133" s="54">
        <f>VLOOKUP(A133,'The List'!B1:I665,8,FALSE)</f>
        <v>81.548155923864257</v>
      </c>
      <c r="F133" s="54">
        <f>IF(Settings!$E$15="POINTS",E133-VLOOKUP(B$2,C1:E136,3,FALSE),J133)</f>
        <v>-287.29956718242812</v>
      </c>
      <c r="G133" s="54"/>
      <c r="H133" s="167">
        <f>RANK(I133,I3:I136)</f>
        <v>127</v>
      </c>
      <c r="I133" s="168">
        <f>VLOOKUP(A133,'Standard Deviations'!A1:C666,3,FALSE)</f>
        <v>-4.7887702341387017</v>
      </c>
      <c r="J133" s="168">
        <f>I133-VLOOKUP(B$2,H1:J136,2,FALSE)</f>
        <v>-10.237803908394557</v>
      </c>
    </row>
    <row r="134" spans="1:10" ht="21.25" customHeight="1" x14ac:dyDescent="0.15">
      <c r="A134" s="9" t="s">
        <v>761</v>
      </c>
      <c r="B134" s="97" t="str">
        <f>VLOOKUP(A134,'The List'!B1:D665,3,FALSE)</f>
        <v>RW</v>
      </c>
      <c r="C134" s="98">
        <f>IF(Settings!$E$15="POINTS",RANK(E134,E3:E136),H134)</f>
        <v>133</v>
      </c>
      <c r="D134" s="65" t="str">
        <f>VLOOKUP(A134,'The List'!B1:F665,5,FALSE)</f>
        <v>CBJ</v>
      </c>
      <c r="E134" s="54">
        <f>VLOOKUP(A134,'The List'!B1:I665,8,FALSE)</f>
        <v>90.829584684478633</v>
      </c>
      <c r="F134" s="54">
        <f>IF(Settings!$E$15="POINTS",E134-VLOOKUP(B$2,C1:E136,3,FALSE),J134)</f>
        <v>-278.01813842181377</v>
      </c>
      <c r="G134" s="54"/>
      <c r="H134" s="167">
        <f>RANK(I134,I3:I136)</f>
        <v>134</v>
      </c>
      <c r="I134" s="168">
        <f>VLOOKUP(A134,'Standard Deviations'!A1:C666,3,FALSE)</f>
        <v>-6.1714073919264605</v>
      </c>
      <c r="J134" s="168">
        <f>I134-VLOOKUP(B$2,H1:J136,2,FALSE)</f>
        <v>-11.620441066182316</v>
      </c>
    </row>
    <row r="135" spans="1:10" ht="21.25" customHeight="1" x14ac:dyDescent="0.15">
      <c r="A135" s="9" t="s">
        <v>735</v>
      </c>
      <c r="B135" s="97" t="str">
        <f>VLOOKUP(A135,'The List'!B1:D665,3,FALSE)</f>
        <v>C/RW</v>
      </c>
      <c r="C135" s="98">
        <f>IF(Settings!$E$15="POINTS",RANK(E135,E3:E136),H135)</f>
        <v>129</v>
      </c>
      <c r="D135" s="65" t="str">
        <f>VLOOKUP(A135,'The List'!B1:F665,5,FALSE)</f>
        <v>BUF</v>
      </c>
      <c r="E135" s="54">
        <f>VLOOKUP(A135,'The List'!B1:I665,8,FALSE)</f>
        <v>103.64159898041099</v>
      </c>
      <c r="F135" s="54">
        <f>IF(Settings!$E$15="POINTS",E135-VLOOKUP(B$2,C1:E136,3,FALSE),J135)</f>
        <v>-265.20612412588139</v>
      </c>
      <c r="G135" s="54"/>
      <c r="H135" s="167">
        <f>RANK(I135,I3:I136)</f>
        <v>113</v>
      </c>
      <c r="I135" s="168">
        <f>VLOOKUP(A135,'Standard Deviations'!A1:C666,3,FALSE)</f>
        <v>-3.6392595927483846</v>
      </c>
      <c r="J135" s="168">
        <f>I135-VLOOKUP(B$2,H1:J136,2,FALSE)</f>
        <v>-9.0882932670042393</v>
      </c>
    </row>
    <row r="136" spans="1:10" ht="21.25" customHeight="1" x14ac:dyDescent="0.15">
      <c r="A136" s="9" t="s">
        <v>751</v>
      </c>
      <c r="B136" s="97" t="str">
        <f>VLOOKUP(A136,'The List'!B1:D665,3,FALSE)</f>
        <v>RW</v>
      </c>
      <c r="C136" s="98">
        <f>IF(Settings!$E$15="POINTS",RANK(E136,E3:E136),H136)</f>
        <v>131</v>
      </c>
      <c r="D136" s="65" t="str">
        <f>VLOOKUP(A136,'The List'!B1:F665,5,FALSE)</f>
        <v>BUF</v>
      </c>
      <c r="E136" s="54">
        <f>VLOOKUP(A136,'The List'!B1:I665,8,FALSE)</f>
        <v>95.603153539379846</v>
      </c>
      <c r="F136" s="54">
        <f>IF(Settings!$E$15="POINTS",E136-VLOOKUP(B$2,C1:E136,3,FALSE),J136)</f>
        <v>-273.24456956691256</v>
      </c>
      <c r="G136" s="54"/>
      <c r="H136" s="167">
        <f>RANK(I136,I3:I136)</f>
        <v>131</v>
      </c>
      <c r="I136" s="168">
        <f>VLOOKUP(A136,'Standard Deviations'!A1:C666,3,FALSE)</f>
        <v>-4.947657465572318</v>
      </c>
      <c r="J136" s="168">
        <f>I136-VLOOKUP(B$2,H1:J136,2,FALSE)</f>
        <v>-10.396691139828174</v>
      </c>
    </row>
  </sheetData>
  <conditionalFormatting sqref="C3:C136 H3:H136">
    <cfRule type="containsText" dxfId="17" priority="1" stopIfTrue="1" operator="containsText" text="/">
      <formula>NOT(ISERROR(FIND(UPPER("/"),UPPER(C3))))</formula>
      <formula>"/"</formula>
    </cfRule>
    <cfRule type="containsText" dxfId="16" priority="2" stopIfTrue="1" operator="containsText" text="C">
      <formula>NOT(ISERROR(FIND(UPPER("C"),UPPER(C3))))</formula>
      <formula>"C"</formula>
    </cfRule>
    <cfRule type="containsText" dxfId="15" priority="3" stopIfTrue="1" operator="containsText" text="D">
      <formula>NOT(ISERROR(FIND(UPPER("D"),UPPER(C3))))</formula>
      <formula>"D"</formula>
    </cfRule>
    <cfRule type="containsText" dxfId="14" priority="4" stopIfTrue="1" operator="containsText" text="LW">
      <formula>NOT(ISERROR(FIND(UPPER("LW"),UPPER(C3))))</formula>
      <formula>"LW"</formula>
    </cfRule>
    <cfRule type="containsText" dxfId="13" priority="5" stopIfTrue="1" operator="containsText" text="RW">
      <formula>NOT(ISERROR(FIND(UPPER("RW"),UPPER(C3))))</formula>
      <formula>"RW"</formula>
    </cfRule>
    <cfRule type="containsText" dxfId="12" priority="6" stopIfTrue="1" operator="containsText" text="G">
      <formula>NOT(ISERROR(FIND(UPPER("G"),UPPER(C3))))</formula>
      <formula>"G"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213"/>
  <sheetViews>
    <sheetView showGridLines="0" workbookViewId="0">
      <pane ySplit="2" topLeftCell="A3" activePane="bottomLeft" state="frozen"/>
      <selection pane="bottomLeft"/>
    </sheetView>
  </sheetViews>
  <sheetFormatPr baseColWidth="10" defaultColWidth="8" defaultRowHeight="16.25" customHeight="1" x14ac:dyDescent="0.15"/>
  <cols>
    <col min="1" max="1" width="33" style="1" customWidth="1"/>
    <col min="2" max="2" width="7.1640625" style="1" customWidth="1"/>
    <col min="3" max="3" width="6" style="1" customWidth="1"/>
    <col min="4" max="6" width="8.33203125" style="1" customWidth="1"/>
    <col min="7" max="10" width="1.33203125" style="1" customWidth="1"/>
    <col min="11" max="11" width="8" style="1" customWidth="1"/>
    <col min="12" max="16384" width="8" style="1"/>
  </cols>
  <sheetData>
    <row r="1" spans="1:10" ht="28.25" customHeight="1" x14ac:dyDescent="0.15">
      <c r="A1" s="151" t="s">
        <v>811</v>
      </c>
      <c r="B1" s="152" t="s">
        <v>818</v>
      </c>
      <c r="C1" s="153"/>
      <c r="D1" s="4" t="s">
        <v>12</v>
      </c>
      <c r="E1" s="154" t="s">
        <v>813</v>
      </c>
      <c r="F1" s="152" t="s">
        <v>97</v>
      </c>
      <c r="G1" s="155"/>
      <c r="H1" s="156"/>
      <c r="I1" s="157" t="s">
        <v>814</v>
      </c>
      <c r="J1" s="158" t="s">
        <v>97</v>
      </c>
    </row>
    <row r="2" spans="1:10" ht="28.25" customHeight="1" x14ac:dyDescent="0.15">
      <c r="A2" s="159" t="s">
        <v>61</v>
      </c>
      <c r="B2" s="160">
        <f>Settings!F5</f>
        <v>18</v>
      </c>
      <c r="C2" s="161"/>
      <c r="D2" s="162"/>
      <c r="E2" s="163"/>
      <c r="F2" s="163"/>
      <c r="G2" s="163"/>
      <c r="H2" s="169"/>
      <c r="I2" s="170"/>
      <c r="J2" s="170"/>
    </row>
    <row r="3" spans="1:10" ht="21.25" customHeight="1" x14ac:dyDescent="0.15">
      <c r="A3" s="9" t="s">
        <v>132</v>
      </c>
      <c r="B3" s="173" t="str">
        <f>VLOOKUP(A3,'The List'!B1:D665,3,FALSE)</f>
        <v>D</v>
      </c>
      <c r="C3" s="174">
        <f>IF(Settings!$E$15="POINTS",RANK(E3,E3:E213),H3)</f>
        <v>1</v>
      </c>
      <c r="D3" s="65" t="str">
        <f>VLOOKUP(A3,'The List'!B1:F665,5,FALSE)</f>
        <v>COL</v>
      </c>
      <c r="E3" s="54">
        <f>VLOOKUP(A3,'The List'!B1:I665,8,FALSE)</f>
        <v>488.28538030647155</v>
      </c>
      <c r="F3" s="54">
        <f>IF(Settings!$E$15="POINTS",E3-VLOOKUP(B$2,C1:E213,3,FALSE),J3)</f>
        <v>152.05125526087664</v>
      </c>
      <c r="G3" s="54"/>
      <c r="H3" s="171">
        <f>RANK(I3,I3:I213)</f>
        <v>2</v>
      </c>
      <c r="I3" s="172">
        <f>VLOOKUP(A3,'Standard Deviations'!A1:C666,3,FALSE)</f>
        <v>11.258041156036782</v>
      </c>
      <c r="J3" s="172">
        <f>I3-VLOOKUP(B$2,H1:J213,2,FALSE)</f>
        <v>6.551382399435747</v>
      </c>
    </row>
    <row r="4" spans="1:10" ht="21.25" customHeight="1" x14ac:dyDescent="0.15">
      <c r="A4" s="9" t="s">
        <v>137</v>
      </c>
      <c r="B4" s="173" t="str">
        <f>VLOOKUP(A4,'The List'!B1:D665,3,FALSE)</f>
        <v>D</v>
      </c>
      <c r="C4" s="174">
        <f>IF(Settings!$E$15="POINTS",RANK(E4,E3:E213),H4)</f>
        <v>2</v>
      </c>
      <c r="D4" s="65" t="str">
        <f>VLOOKUP(A4,'The List'!B1:F665,5,FALSE)</f>
        <v>NSH</v>
      </c>
      <c r="E4" s="54">
        <f>VLOOKUP(A4,'The List'!B1:I665,8,FALSE)</f>
        <v>468.79176078659765</v>
      </c>
      <c r="F4" s="54">
        <f>IF(Settings!$E$15="POINTS",E4-VLOOKUP(B$2,C1:E213,3,FALSE),J4)</f>
        <v>132.55763574100274</v>
      </c>
      <c r="G4" s="54"/>
      <c r="H4" s="167">
        <f>RANK(I4,I3:I213)</f>
        <v>3</v>
      </c>
      <c r="I4" s="168">
        <f>VLOOKUP(A4,'Standard Deviations'!A1:C666,3,FALSE)</f>
        <v>10.514744695233913</v>
      </c>
      <c r="J4" s="168">
        <f>I4-VLOOKUP(B$2,H1:J213,2,FALSE)</f>
        <v>5.8080859386328783</v>
      </c>
    </row>
    <row r="5" spans="1:10" ht="21.25" customHeight="1" x14ac:dyDescent="0.15">
      <c r="A5" s="9" t="s">
        <v>141</v>
      </c>
      <c r="B5" s="173" t="str">
        <f>VLOOKUP(A5,'The List'!B1:D665,3,FALSE)</f>
        <v>D</v>
      </c>
      <c r="C5" s="174">
        <f>IF(Settings!$E$15="POINTS",RANK(E5,E3:E213),H5)</f>
        <v>3</v>
      </c>
      <c r="D5" s="65" t="str">
        <f>VLOOKUP(A5,'The List'!B1:F665,5,FALSE)</f>
        <v>EDM</v>
      </c>
      <c r="E5" s="54">
        <f>VLOOKUP(A5,'The List'!B1:I665,8,FALSE)</f>
        <v>444.80333202860896</v>
      </c>
      <c r="F5" s="54">
        <f>IF(Settings!$E$15="POINTS",E5-VLOOKUP(B$2,C1:E213,3,FALSE),J5)</f>
        <v>108.56920698301406</v>
      </c>
      <c r="G5" s="54"/>
      <c r="H5" s="167">
        <f>RANK(I5,I3:I213)</f>
        <v>1</v>
      </c>
      <c r="I5" s="168">
        <f>VLOOKUP(A5,'Standard Deviations'!A1:C666,3,FALSE)</f>
        <v>11.380681054295025</v>
      </c>
      <c r="J5" s="168">
        <f>I5-VLOOKUP(B$2,H1:J213,2,FALSE)</f>
        <v>6.6740222976939894</v>
      </c>
    </row>
    <row r="6" spans="1:10" ht="21.25" customHeight="1" x14ac:dyDescent="0.15">
      <c r="A6" s="9" t="s">
        <v>142</v>
      </c>
      <c r="B6" s="173" t="str">
        <f>VLOOKUP(A6,'The List'!B1:D665,3,FALSE)</f>
        <v>D</v>
      </c>
      <c r="C6" s="174">
        <f>IF(Settings!$E$15="POINTS",RANK(E6,E3:E213),H6)</f>
        <v>4</v>
      </c>
      <c r="D6" s="65" t="str">
        <f>VLOOKUP(A6,'The List'!B1:F665,5,FALSE)</f>
        <v>BUF</v>
      </c>
      <c r="E6" s="54">
        <f>VLOOKUP(A6,'The List'!B1:I665,8,FALSE)</f>
        <v>431.61740346272694</v>
      </c>
      <c r="F6" s="54">
        <f>IF(Settings!$E$15="POINTS",E6-VLOOKUP(B$2,C1:E213,3,FALSE),J6)</f>
        <v>95.383278417132033</v>
      </c>
      <c r="G6" s="54"/>
      <c r="H6" s="167">
        <f>RANK(I6,I3:I213)</f>
        <v>8</v>
      </c>
      <c r="I6" s="168">
        <f>VLOOKUP(A6,'Standard Deviations'!A1:C666,3,FALSE)</f>
        <v>7.8604480431446113</v>
      </c>
      <c r="J6" s="168">
        <f>I6-VLOOKUP(B$2,H1:J213,2,FALSE)</f>
        <v>3.1537892865435762</v>
      </c>
    </row>
    <row r="7" spans="1:10" ht="21.25" customHeight="1" x14ac:dyDescent="0.15">
      <c r="A7" s="9" t="s">
        <v>144</v>
      </c>
      <c r="B7" s="173" t="str">
        <f>VLOOKUP(A7,'The List'!B1:D665,3,FALSE)</f>
        <v>D</v>
      </c>
      <c r="C7" s="174">
        <f>IF(Settings!$E$15="POINTS",RANK(E7,E3:E213),H7)</f>
        <v>5</v>
      </c>
      <c r="D7" s="65" t="str">
        <f>VLOOKUP(A7,'The List'!B1:F665,5,FALSE)</f>
        <v>VAN</v>
      </c>
      <c r="E7" s="54">
        <f>VLOOKUP(A7,'The List'!B1:I665,8,FALSE)</f>
        <v>423.66902259874269</v>
      </c>
      <c r="F7" s="54">
        <f>IF(Settings!$E$15="POINTS",E7-VLOOKUP(B$2,C1:E213,3,FALSE),J7)</f>
        <v>87.434897553147778</v>
      </c>
      <c r="G7" s="54"/>
      <c r="H7" s="167">
        <f>RANK(I7,I3:I213)</f>
        <v>4</v>
      </c>
      <c r="I7" s="168">
        <f>VLOOKUP(A7,'Standard Deviations'!A1:C666,3,FALSE)</f>
        <v>9.4876815302375412</v>
      </c>
      <c r="J7" s="168">
        <f>I7-VLOOKUP(B$2,H1:J213,2,FALSE)</f>
        <v>4.7810227736365061</v>
      </c>
    </row>
    <row r="8" spans="1:10" ht="21.25" customHeight="1" x14ac:dyDescent="0.15">
      <c r="A8" s="9" t="s">
        <v>146</v>
      </c>
      <c r="B8" s="173" t="str">
        <f>VLOOKUP(A8,'The List'!B1:D665,3,FALSE)</f>
        <v>D</v>
      </c>
      <c r="C8" s="174">
        <f>IF(Settings!$E$15="POINTS",RANK(E8,E3:E213),H8)</f>
        <v>6</v>
      </c>
      <c r="D8" s="65" t="str">
        <f>VLOOKUP(A8,'The List'!B1:F665,5,FALSE)</f>
        <v>NYI</v>
      </c>
      <c r="E8" s="54">
        <f>VLOOKUP(A8,'The List'!B1:I665,8,FALSE)</f>
        <v>413.69739316417707</v>
      </c>
      <c r="F8" s="54">
        <f>IF(Settings!$E$15="POINTS",E8-VLOOKUP(B$2,C1:E213,3,FALSE),J8)</f>
        <v>77.463268118582164</v>
      </c>
      <c r="G8" s="54"/>
      <c r="H8" s="167">
        <f>RANK(I8,I3:I213)</f>
        <v>7</v>
      </c>
      <c r="I8" s="168">
        <f>VLOOKUP(A8,'Standard Deviations'!A1:C666,3,FALSE)</f>
        <v>8.0849438852653073</v>
      </c>
      <c r="J8" s="168">
        <f>I8-VLOOKUP(B$2,H1:J213,2,FALSE)</f>
        <v>3.3782851286642721</v>
      </c>
    </row>
    <row r="9" spans="1:10" ht="21.25" customHeight="1" x14ac:dyDescent="0.15">
      <c r="A9" s="9" t="s">
        <v>151</v>
      </c>
      <c r="B9" s="173" t="str">
        <f>VLOOKUP(A9,'The List'!B1:D665,3,FALSE)</f>
        <v>D</v>
      </c>
      <c r="C9" s="174">
        <f>IF(Settings!$E$15="POINTS",RANK(E9,E3:E213),H9)</f>
        <v>7</v>
      </c>
      <c r="D9" s="65" t="str">
        <f>VLOOKUP(A9,'The List'!B1:F665,5,FALSE)</f>
        <v>NYR</v>
      </c>
      <c r="E9" s="54">
        <f>VLOOKUP(A9,'The List'!B1:I665,8,FALSE)</f>
        <v>400.78927695763304</v>
      </c>
      <c r="F9" s="54">
        <f>IF(Settings!$E$15="POINTS",E9-VLOOKUP(B$2,C1:E213,3,FALSE),J9)</f>
        <v>64.555151912038127</v>
      </c>
      <c r="G9" s="54"/>
      <c r="H9" s="167">
        <f>RANK(I9,I3:I213)</f>
        <v>5</v>
      </c>
      <c r="I9" s="168">
        <f>VLOOKUP(A9,'Standard Deviations'!A1:C666,3,FALSE)</f>
        <v>8.4302579570877576</v>
      </c>
      <c r="J9" s="168">
        <f>I9-VLOOKUP(B$2,H1:J213,2,FALSE)</f>
        <v>3.7235992004867224</v>
      </c>
    </row>
    <row r="10" spans="1:10" ht="21.25" customHeight="1" x14ac:dyDescent="0.15">
      <c r="A10" s="9" t="s">
        <v>153</v>
      </c>
      <c r="B10" s="173" t="str">
        <f>VLOOKUP(A10,'The List'!B1:D665,3,FALSE)</f>
        <v>D</v>
      </c>
      <c r="C10" s="174">
        <f>IF(Settings!$E$15="POINTS",RANK(E10,E3:E213),H10)</f>
        <v>8</v>
      </c>
      <c r="D10" s="65" t="str">
        <f>VLOOKUP(A10,'The List'!B1:F665,5,FALSE)</f>
        <v>T.B</v>
      </c>
      <c r="E10" s="54">
        <f>VLOOKUP(A10,'The List'!B1:I665,8,FALSE)</f>
        <v>396.67357273487642</v>
      </c>
      <c r="F10" s="54">
        <f>IF(Settings!$E$15="POINTS",E10-VLOOKUP(B$2,C1:E213,3,FALSE),J10)</f>
        <v>60.439447689281508</v>
      </c>
      <c r="G10" s="54"/>
      <c r="H10" s="167">
        <f>RANK(I10,I3:I213)</f>
        <v>9</v>
      </c>
      <c r="I10" s="168">
        <f>VLOOKUP(A10,'Standard Deviations'!A1:C666,3,FALSE)</f>
        <v>7.269038308100769</v>
      </c>
      <c r="J10" s="168">
        <f>I10-VLOOKUP(B$2,H1:J213,2,FALSE)</f>
        <v>2.5623795514997338</v>
      </c>
    </row>
    <row r="11" spans="1:10" ht="21.25" customHeight="1" x14ac:dyDescent="0.15">
      <c r="A11" s="9" t="s">
        <v>159</v>
      </c>
      <c r="B11" s="173" t="str">
        <f>VLOOKUP(A11,'The List'!B1:D665,3,FALSE)</f>
        <v>D</v>
      </c>
      <c r="C11" s="174">
        <f>IF(Settings!$E$15="POINTS",RANK(E11,E3:E213),H11)</f>
        <v>9</v>
      </c>
      <c r="D11" s="65" t="str">
        <f>VLOOKUP(A11,'The List'!B1:F665,5,FALSE)</f>
        <v>DAL</v>
      </c>
      <c r="E11" s="54">
        <f>VLOOKUP(A11,'The List'!B1:I665,8,FALSE)</f>
        <v>384.92960333927277</v>
      </c>
      <c r="F11" s="54">
        <f>IF(Settings!$E$15="POINTS",E11-VLOOKUP(B$2,C1:E213,3,FALSE),J11)</f>
        <v>48.695478293677866</v>
      </c>
      <c r="G11" s="54"/>
      <c r="H11" s="167">
        <f>RANK(I11,I3:I213)</f>
        <v>6</v>
      </c>
      <c r="I11" s="168">
        <f>VLOOKUP(A11,'Standard Deviations'!A1:C666,3,FALSE)</f>
        <v>8.1036561012977142</v>
      </c>
      <c r="J11" s="168">
        <f>I11-VLOOKUP(B$2,H1:J213,2,FALSE)</f>
        <v>3.396997344696679</v>
      </c>
    </row>
    <row r="12" spans="1:10" ht="21.25" customHeight="1" x14ac:dyDescent="0.15">
      <c r="A12" s="9" t="s">
        <v>193</v>
      </c>
      <c r="B12" s="173" t="str">
        <f>VLOOKUP(A12,'The List'!B1:D665,3,FALSE)</f>
        <v>D</v>
      </c>
      <c r="C12" s="174">
        <f>IF(Settings!$E$15="POINTS",RANK(E12,E3:E213),H12)</f>
        <v>17</v>
      </c>
      <c r="D12" s="65" t="str">
        <f>VLOOKUP(A12,'The List'!B1:F665,5,FALSE)</f>
        <v>CBJ</v>
      </c>
      <c r="E12" s="54">
        <f>VLOOKUP(A12,'The List'!B1:I665,8,FALSE)</f>
        <v>338.17357395683433</v>
      </c>
      <c r="F12" s="54">
        <f>IF(Settings!$E$15="POINTS",E12-VLOOKUP(B$2,C1:E213,3,FALSE),J12)</f>
        <v>1.939448911239424</v>
      </c>
      <c r="G12" s="54"/>
      <c r="H12" s="167">
        <f>RANK(I12,I3:I213)</f>
        <v>36</v>
      </c>
      <c r="I12" s="168">
        <f>VLOOKUP(A12,'Standard Deviations'!A1:C666,3,FALSE)</f>
        <v>2.6858529919378364</v>
      </c>
      <c r="J12" s="168">
        <f>I12-VLOOKUP(B$2,H1:J213,2,FALSE)</f>
        <v>-2.0208057646631987</v>
      </c>
    </row>
    <row r="13" spans="1:10" ht="21.25" customHeight="1" x14ac:dyDescent="0.15">
      <c r="A13" s="9" t="s">
        <v>163</v>
      </c>
      <c r="B13" s="173" t="str">
        <f>VLOOKUP(A13,'The List'!B1:D665,3,FALSE)</f>
        <v>D</v>
      </c>
      <c r="C13" s="174">
        <f>IF(Settings!$E$15="POINTS",RANK(E13,E3:E213),H13)</f>
        <v>10</v>
      </c>
      <c r="D13" s="65" t="str">
        <f>VLOOKUP(A13,'The List'!B1:F665,5,FALSE)</f>
        <v>TOR</v>
      </c>
      <c r="E13" s="54">
        <f>VLOOKUP(A13,'The List'!B1:I665,8,FALSE)</f>
        <v>375.5918797680817</v>
      </c>
      <c r="F13" s="54">
        <f>IF(Settings!$E$15="POINTS",E13-VLOOKUP(B$2,C1:E213,3,FALSE),J13)</f>
        <v>39.357754722486789</v>
      </c>
      <c r="G13" s="54"/>
      <c r="H13" s="167">
        <f>RANK(I13,I3:I213)</f>
        <v>10</v>
      </c>
      <c r="I13" s="168">
        <f>VLOOKUP(A13,'Standard Deviations'!A1:C666,3,FALSE)</f>
        <v>7.0010267210841191</v>
      </c>
      <c r="J13" s="168">
        <f>I13-VLOOKUP(B$2,H1:J213,2,FALSE)</f>
        <v>2.2943679644830839</v>
      </c>
    </row>
    <row r="14" spans="1:10" ht="21.25" customHeight="1" x14ac:dyDescent="0.15">
      <c r="A14" s="9" t="s">
        <v>167</v>
      </c>
      <c r="B14" s="173" t="str">
        <f>VLOOKUP(A14,'The List'!B1:D665,3,FALSE)</f>
        <v>D</v>
      </c>
      <c r="C14" s="174">
        <f>IF(Settings!$E$15="POINTS",RANK(E14,E3:E213),H14)</f>
        <v>11</v>
      </c>
      <c r="D14" s="65" t="str">
        <f>VLOOKUP(A14,'The List'!B1:F665,5,FALSE)</f>
        <v>PIT</v>
      </c>
      <c r="E14" s="54">
        <f>VLOOKUP(A14,'The List'!B1:I665,8,FALSE)</f>
        <v>372.18801865202892</v>
      </c>
      <c r="F14" s="54">
        <f>IF(Settings!$E$15="POINTS",E14-VLOOKUP(B$2,C1:E213,3,FALSE),J14)</f>
        <v>35.953893606434008</v>
      </c>
      <c r="G14" s="54"/>
      <c r="H14" s="167">
        <f>RANK(I14,I3:I213)</f>
        <v>13</v>
      </c>
      <c r="I14" s="168">
        <f>VLOOKUP(A14,'Standard Deviations'!A1:C666,3,FALSE)</f>
        <v>5.7034628034883657</v>
      </c>
      <c r="J14" s="168">
        <f>I14-VLOOKUP(B$2,H1:J213,2,FALSE)</f>
        <v>0.99680404688733049</v>
      </c>
    </row>
    <row r="15" spans="1:10" ht="21.25" customHeight="1" x14ac:dyDescent="0.15">
      <c r="A15" s="9" t="s">
        <v>178</v>
      </c>
      <c r="B15" s="173" t="str">
        <f>VLOOKUP(A15,'The List'!B1:D665,3,FALSE)</f>
        <v>D</v>
      </c>
      <c r="C15" s="174">
        <f>IF(Settings!$E$15="POINTS",RANK(E15,E3:E213),H15)</f>
        <v>15</v>
      </c>
      <c r="D15" s="65" t="str">
        <f>VLOOKUP(A15,'The List'!B1:F665,5,FALSE)</f>
        <v>WSH</v>
      </c>
      <c r="E15" s="54">
        <f>VLOOKUP(A15,'The List'!B1:I665,8,FALSE)</f>
        <v>357.50344288944842</v>
      </c>
      <c r="F15" s="54">
        <f>IF(Settings!$E$15="POINTS",E15-VLOOKUP(B$2,C1:E213,3,FALSE),J15)</f>
        <v>21.269317843853514</v>
      </c>
      <c r="G15" s="54"/>
      <c r="H15" s="167">
        <f>RANK(I15,I3:I213)</f>
        <v>16</v>
      </c>
      <c r="I15" s="168">
        <f>VLOOKUP(A15,'Standard Deviations'!A1:C666,3,FALSE)</f>
        <v>4.8294514263240789</v>
      </c>
      <c r="J15" s="168">
        <f>I15-VLOOKUP(B$2,H1:J213,2,FALSE)</f>
        <v>0.1227926697230437</v>
      </c>
    </row>
    <row r="16" spans="1:10" ht="21.25" customHeight="1" x14ac:dyDescent="0.15">
      <c r="A16" s="9" t="s">
        <v>215</v>
      </c>
      <c r="B16" s="173" t="str">
        <f>VLOOKUP(A16,'The List'!B1:D665,3,FALSE)</f>
        <v>D</v>
      </c>
      <c r="C16" s="174">
        <f>IF(Settings!$E$15="POINTS",RANK(E16,E3:E213),H16)</f>
        <v>22</v>
      </c>
      <c r="D16" s="65" t="str">
        <f>VLOOKUP(A16,'The List'!B1:F665,5,FALSE)</f>
        <v>N.J</v>
      </c>
      <c r="E16" s="54">
        <f>VLOOKUP(A16,'The List'!B1:I665,8,FALSE)</f>
        <v>319.62808409504555</v>
      </c>
      <c r="F16" s="54">
        <f>IF(Settings!$E$15="POINTS",E16-VLOOKUP(B$2,C1:E213,3,FALSE),J16)</f>
        <v>-16.606040950549357</v>
      </c>
      <c r="G16" s="54"/>
      <c r="H16" s="167">
        <f>RANK(I16,I3:I213)</f>
        <v>20</v>
      </c>
      <c r="I16" s="168">
        <f>VLOOKUP(A16,'Standard Deviations'!A1:C666,3,FALSE)</f>
        <v>4.4169133005511618</v>
      </c>
      <c r="J16" s="168">
        <f>I16-VLOOKUP(B$2,H1:J213,2,FALSE)</f>
        <v>-0.28974545604987334</v>
      </c>
    </row>
    <row r="17" spans="1:10" ht="21.25" customHeight="1" x14ac:dyDescent="0.15">
      <c r="A17" s="9" t="s">
        <v>200</v>
      </c>
      <c r="B17" s="173" t="str">
        <f>VLOOKUP(A17,'The List'!B1:D665,3,FALSE)</f>
        <v>D</v>
      </c>
      <c r="C17" s="174">
        <f>IF(Settings!$E$15="POINTS",RANK(E17,E3:E213),H17)</f>
        <v>18</v>
      </c>
      <c r="D17" s="65" t="str">
        <f>VLOOKUP(A17,'The List'!B1:F665,5,FALSE)</f>
        <v>UTA</v>
      </c>
      <c r="E17" s="54">
        <f>VLOOKUP(A17,'The List'!B1:I665,8,FALSE)</f>
        <v>336.23412504559491</v>
      </c>
      <c r="F17" s="54">
        <f>IF(Settings!$E$15="POINTS",E17-VLOOKUP(B$2,C1:E213,3,FALSE),J17)</f>
        <v>0</v>
      </c>
      <c r="G17" s="54"/>
      <c r="H17" s="167">
        <f>RANK(I17,I3:I213)</f>
        <v>15</v>
      </c>
      <c r="I17" s="168">
        <f>VLOOKUP(A17,'Standard Deviations'!A1:C666,3,FALSE)</f>
        <v>4.9131578262993951</v>
      </c>
      <c r="J17" s="168">
        <f>I17-VLOOKUP(B$2,H1:J213,2,FALSE)</f>
        <v>0.20649906969835996</v>
      </c>
    </row>
    <row r="18" spans="1:10" ht="21.25" customHeight="1" x14ac:dyDescent="0.15">
      <c r="A18" s="9" t="s">
        <v>210</v>
      </c>
      <c r="B18" s="173" t="str">
        <f>VLOOKUP(A18,'The List'!B1:D665,3,FALSE)</f>
        <v>D</v>
      </c>
      <c r="C18" s="174">
        <f>IF(Settings!$E$15="POINTS",RANK(E18,E3:E213),H18)</f>
        <v>20</v>
      </c>
      <c r="D18" s="65" t="str">
        <f>VLOOKUP(A18,'The List'!B1:F665,5,FALSE)</f>
        <v>VGK</v>
      </c>
      <c r="E18" s="54">
        <f>VLOOKUP(A18,'The List'!B1:I665,8,FALSE)</f>
        <v>326.04333273919173</v>
      </c>
      <c r="F18" s="54">
        <f>IF(Settings!$E$15="POINTS",E18-VLOOKUP(B$2,C1:E213,3,FALSE),J18)</f>
        <v>-10.190792306403182</v>
      </c>
      <c r="G18" s="54"/>
      <c r="H18" s="167">
        <f>RANK(I18,I3:I213)</f>
        <v>18</v>
      </c>
      <c r="I18" s="168">
        <f>VLOOKUP(A18,'Standard Deviations'!A1:C666,3,FALSE)</f>
        <v>4.7066587566010352</v>
      </c>
      <c r="J18" s="168">
        <f>I18-VLOOKUP(B$2,H1:J213,2,FALSE)</f>
        <v>0</v>
      </c>
    </row>
    <row r="19" spans="1:10" ht="21.25" customHeight="1" x14ac:dyDescent="0.15">
      <c r="A19" s="9" t="s">
        <v>182</v>
      </c>
      <c r="B19" s="173" t="str">
        <f>VLOOKUP(A19,'The List'!B1:D665,3,FALSE)</f>
        <v>D</v>
      </c>
      <c r="C19" s="174">
        <f>IF(Settings!$E$15="POINTS",RANK(E19,E3:E213),H19)</f>
        <v>16</v>
      </c>
      <c r="D19" s="65" t="str">
        <f>VLOOKUP(A19,'The List'!B1:F665,5,FALSE)</f>
        <v>BOS</v>
      </c>
      <c r="E19" s="54">
        <f>VLOOKUP(A19,'The List'!B1:I665,8,FALSE)</f>
        <v>352.118321547439</v>
      </c>
      <c r="F19" s="54">
        <f>IF(Settings!$E$15="POINTS",E19-VLOOKUP(B$2,C1:E213,3,FALSE),J19)</f>
        <v>15.884196501844087</v>
      </c>
      <c r="G19" s="54"/>
      <c r="H19" s="167">
        <f>RANK(I19,I3:I213)</f>
        <v>12</v>
      </c>
      <c r="I19" s="168">
        <f>VLOOKUP(A19,'Standard Deviations'!A1:C666,3,FALSE)</f>
        <v>6.1747533023781171</v>
      </c>
      <c r="J19" s="168">
        <f>I19-VLOOKUP(B$2,H1:J213,2,FALSE)</f>
        <v>1.468094545777082</v>
      </c>
    </row>
    <row r="20" spans="1:10" ht="21.25" customHeight="1" x14ac:dyDescent="0.15">
      <c r="A20" s="9" t="s">
        <v>172</v>
      </c>
      <c r="B20" s="173" t="str">
        <f>VLOOKUP(A20,'The List'!B1:D665,3,FALSE)</f>
        <v>D</v>
      </c>
      <c r="C20" s="174">
        <f>IF(Settings!$E$15="POINTS",RANK(E20,E3:E213),H20)</f>
        <v>13</v>
      </c>
      <c r="D20" s="65" t="str">
        <f>VLOOKUP(A20,'The List'!B1:F665,5,FALSE)</f>
        <v>WPG</v>
      </c>
      <c r="E20" s="54">
        <f>VLOOKUP(A20,'The List'!B1:I665,8,FALSE)</f>
        <v>362.85993128112483</v>
      </c>
      <c r="F20" s="54">
        <f>IF(Settings!$E$15="POINTS",E20-VLOOKUP(B$2,C1:E213,3,FALSE),J20)</f>
        <v>26.625806235529922</v>
      </c>
      <c r="G20" s="54"/>
      <c r="H20" s="167">
        <f>RANK(I20,I3:I213)</f>
        <v>11</v>
      </c>
      <c r="I20" s="168">
        <f>VLOOKUP(A20,'Standard Deviations'!A1:C666,3,FALSE)</f>
        <v>6.4213735645775856</v>
      </c>
      <c r="J20" s="168">
        <f>I20-VLOOKUP(B$2,H1:J213,2,FALSE)</f>
        <v>1.7147148079765504</v>
      </c>
    </row>
    <row r="21" spans="1:10" ht="21.25" customHeight="1" x14ac:dyDescent="0.15">
      <c r="A21" s="9" t="s">
        <v>169</v>
      </c>
      <c r="B21" s="173" t="str">
        <f>VLOOKUP(A21,'The List'!B1:D665,3,FALSE)</f>
        <v>D</v>
      </c>
      <c r="C21" s="174">
        <f>IF(Settings!$E$15="POINTS",RANK(E21,E3:E213),H21)</f>
        <v>12</v>
      </c>
      <c r="D21" s="65" t="str">
        <f>VLOOKUP(A21,'The List'!B1:F665,5,FALSE)</f>
        <v>DET</v>
      </c>
      <c r="E21" s="54">
        <f>VLOOKUP(A21,'The List'!B1:I665,8,FALSE)</f>
        <v>367.08097395024606</v>
      </c>
      <c r="F21" s="54">
        <f>IF(Settings!$E$15="POINTS",E21-VLOOKUP(B$2,C1:E213,3,FALSE),J21)</f>
        <v>30.846848904651154</v>
      </c>
      <c r="G21" s="54"/>
      <c r="H21" s="167">
        <f>RANK(I21,I3:I213)</f>
        <v>17</v>
      </c>
      <c r="I21" s="168">
        <f>VLOOKUP(A21,'Standard Deviations'!A1:C666,3,FALSE)</f>
        <v>4.7527940934766502</v>
      </c>
      <c r="J21" s="168">
        <f>I21-VLOOKUP(B$2,H1:J213,2,FALSE)</f>
        <v>4.6135336875614996E-2</v>
      </c>
    </row>
    <row r="22" spans="1:10" ht="21.25" customHeight="1" x14ac:dyDescent="0.15">
      <c r="A22" s="9" t="s">
        <v>173</v>
      </c>
      <c r="B22" s="173" t="str">
        <f>VLOOKUP(A22,'The List'!B1:D665,3,FALSE)</f>
        <v>D</v>
      </c>
      <c r="C22" s="174">
        <f>IF(Settings!$E$15="POINTS",RANK(E22,E3:E213),H22)</f>
        <v>14</v>
      </c>
      <c r="D22" s="65" t="str">
        <f>VLOOKUP(A22,'The List'!B1:F665,5,FALSE)</f>
        <v>CGY</v>
      </c>
      <c r="E22" s="54">
        <f>VLOOKUP(A22,'The List'!B1:I665,8,FALSE)</f>
        <v>362.26999672478962</v>
      </c>
      <c r="F22" s="54">
        <f>IF(Settings!$E$15="POINTS",E22-VLOOKUP(B$2,C1:E213,3,FALSE),J22)</f>
        <v>26.035871679194713</v>
      </c>
      <c r="G22" s="54"/>
      <c r="H22" s="167">
        <f>RANK(I22,I3:I213)</f>
        <v>14</v>
      </c>
      <c r="I22" s="168">
        <f>VLOOKUP(A22,'Standard Deviations'!A1:C666,3,FALSE)</f>
        <v>5.0232485794818071</v>
      </c>
      <c r="J22" s="168">
        <f>I22-VLOOKUP(B$2,H1:J213,2,FALSE)</f>
        <v>0.31658982288077198</v>
      </c>
    </row>
    <row r="23" spans="1:10" ht="21.25" customHeight="1" x14ac:dyDescent="0.15">
      <c r="A23" s="9" t="s">
        <v>209</v>
      </c>
      <c r="B23" s="173" t="str">
        <f>VLOOKUP(A23,'The List'!B1:D665,3,FALSE)</f>
        <v>D</v>
      </c>
      <c r="C23" s="174">
        <f>IF(Settings!$E$15="POINTS",RANK(E23,E3:E213),H23)</f>
        <v>19</v>
      </c>
      <c r="D23" s="65" t="str">
        <f>VLOOKUP(A23,'The List'!B1:F665,5,FALSE)</f>
        <v>MTL</v>
      </c>
      <c r="E23" s="54">
        <f>VLOOKUP(A23,'The List'!B1:I665,8,FALSE)</f>
        <v>326.91800508372557</v>
      </c>
      <c r="F23" s="54">
        <f>IF(Settings!$E$15="POINTS",E23-VLOOKUP(B$2,C1:E213,3,FALSE),J23)</f>
        <v>-9.3161199618693331</v>
      </c>
      <c r="G23" s="54"/>
      <c r="H23" s="167">
        <f>RANK(I23,I3:I213)</f>
        <v>30</v>
      </c>
      <c r="I23" s="168">
        <f>VLOOKUP(A23,'Standard Deviations'!A1:C666,3,FALSE)</f>
        <v>2.9091611680354394</v>
      </c>
      <c r="J23" s="168">
        <f>I23-VLOOKUP(B$2,H1:J213,2,FALSE)</f>
        <v>-1.7974975885655957</v>
      </c>
    </row>
    <row r="24" spans="1:10" ht="21.25" customHeight="1" x14ac:dyDescent="0.15">
      <c r="A24" s="9" t="s">
        <v>212</v>
      </c>
      <c r="B24" s="173" t="str">
        <f>VLOOKUP(A24,'The List'!B1:D665,3,FALSE)</f>
        <v>D</v>
      </c>
      <c r="C24" s="174">
        <f>IF(Settings!$E$15="POINTS",RANK(E24,E3:E213),H24)</f>
        <v>21</v>
      </c>
      <c r="D24" s="65" t="str">
        <f>VLOOKUP(A24,'The List'!B1:F665,5,FALSE)</f>
        <v>CHI</v>
      </c>
      <c r="E24" s="54">
        <f>VLOOKUP(A24,'The List'!B1:I665,8,FALSE)</f>
        <v>324.73246834553606</v>
      </c>
      <c r="F24" s="54">
        <f>IF(Settings!$E$15="POINTS",E24-VLOOKUP(B$2,C1:E213,3,FALSE),J24)</f>
        <v>-11.501656700058845</v>
      </c>
      <c r="G24" s="54"/>
      <c r="H24" s="167">
        <f>RANK(I24,I3:I213)</f>
        <v>39</v>
      </c>
      <c r="I24" s="168">
        <f>VLOOKUP(A24,'Standard Deviations'!A1:C666,3,FALSE)</f>
        <v>2.4311373946315138</v>
      </c>
      <c r="J24" s="168">
        <f>I24-VLOOKUP(B$2,H1:J213,2,FALSE)</f>
        <v>-2.2755213619695214</v>
      </c>
    </row>
    <row r="25" spans="1:10" ht="21.25" customHeight="1" x14ac:dyDescent="0.15">
      <c r="A25" s="9" t="s">
        <v>232</v>
      </c>
      <c r="B25" s="173" t="str">
        <f>VLOOKUP(A25,'The List'!B1:D665,3,FALSE)</f>
        <v>D</v>
      </c>
      <c r="C25" s="174">
        <f>IF(Settings!$E$15="POINTS",RANK(E25,E3:E213),H25)</f>
        <v>26</v>
      </c>
      <c r="D25" s="65" t="str">
        <f>VLOOKUP(A25,'The List'!B1:F665,5,FALSE)</f>
        <v>STL</v>
      </c>
      <c r="E25" s="54">
        <f>VLOOKUP(A25,'The List'!B1:I665,8,FALSE)</f>
        <v>304.82215798324239</v>
      </c>
      <c r="F25" s="54">
        <f>IF(Settings!$E$15="POINTS",E25-VLOOKUP(B$2,C1:E213,3,FALSE),J25)</f>
        <v>-31.411967062352517</v>
      </c>
      <c r="G25" s="54"/>
      <c r="H25" s="167">
        <f>RANK(I25,I3:I213)</f>
        <v>42</v>
      </c>
      <c r="I25" s="168">
        <f>VLOOKUP(A25,'Standard Deviations'!A1:C666,3,FALSE)</f>
        <v>2.0942633103639832</v>
      </c>
      <c r="J25" s="168">
        <f>I25-VLOOKUP(B$2,H1:J213,2,FALSE)</f>
        <v>-2.612395446237052</v>
      </c>
    </row>
    <row r="26" spans="1:10" ht="21.25" customHeight="1" x14ac:dyDescent="0.15">
      <c r="A26" s="9" t="s">
        <v>220</v>
      </c>
      <c r="B26" s="173" t="str">
        <f>VLOOKUP(A26,'The List'!B1:D665,3,FALSE)</f>
        <v>D</v>
      </c>
      <c r="C26" s="174">
        <f>IF(Settings!$E$15="POINTS",RANK(E26,E3:E213),H26)</f>
        <v>23</v>
      </c>
      <c r="D26" s="65" t="str">
        <f>VLOOKUP(A26,'The List'!B1:F665,5,FALSE)</f>
        <v>MIN</v>
      </c>
      <c r="E26" s="54">
        <f>VLOOKUP(A26,'The List'!B1:I665,8,FALSE)</f>
        <v>316.35041398116402</v>
      </c>
      <c r="F26" s="54">
        <f>IF(Settings!$E$15="POINTS",E26-VLOOKUP(B$2,C1:E213,3,FALSE),J26)</f>
        <v>-19.883711064430884</v>
      </c>
      <c r="G26" s="54"/>
      <c r="H26" s="167">
        <f>RANK(I26,I3:I213)</f>
        <v>23</v>
      </c>
      <c r="I26" s="168">
        <f>VLOOKUP(A26,'Standard Deviations'!A1:C666,3,FALSE)</f>
        <v>3.8239960079233266</v>
      </c>
      <c r="J26" s="168">
        <f>I26-VLOOKUP(B$2,H1:J213,2,FALSE)</f>
        <v>-0.88266274867770855</v>
      </c>
    </row>
    <row r="27" spans="1:10" ht="21.25" customHeight="1" x14ac:dyDescent="0.15">
      <c r="A27" s="9" t="s">
        <v>235</v>
      </c>
      <c r="B27" s="173" t="str">
        <f>VLOOKUP(A27,'The List'!B1:D665,3,FALSE)</f>
        <v>D</v>
      </c>
      <c r="C27" s="174">
        <f>IF(Settings!$E$15="POINTS",RANK(E27,E3:E213),H27)</f>
        <v>27</v>
      </c>
      <c r="D27" s="65" t="str">
        <f>VLOOKUP(A27,'The List'!B1:F665,5,FALSE)</f>
        <v>VGK</v>
      </c>
      <c r="E27" s="54">
        <f>VLOOKUP(A27,'The List'!B1:I665,8,FALSE)</f>
        <v>302.56637916142898</v>
      </c>
      <c r="F27" s="54">
        <f>IF(Settings!$E$15="POINTS",E27-VLOOKUP(B$2,C1:E213,3,FALSE),J27)</f>
        <v>-33.667745884165925</v>
      </c>
      <c r="G27" s="54"/>
      <c r="H27" s="167">
        <f>RANK(I27,I3:I213)</f>
        <v>25</v>
      </c>
      <c r="I27" s="168">
        <f>VLOOKUP(A27,'Standard Deviations'!A1:C666,3,FALSE)</f>
        <v>3.4957750622318993</v>
      </c>
      <c r="J27" s="168">
        <f>I27-VLOOKUP(B$2,H1:J213,2,FALSE)</f>
        <v>-1.2108836943691359</v>
      </c>
    </row>
    <row r="28" spans="1:10" ht="21.25" customHeight="1" x14ac:dyDescent="0.15">
      <c r="A28" s="9" t="s">
        <v>242</v>
      </c>
      <c r="B28" s="173" t="str">
        <f>VLOOKUP(A28,'The List'!B1:D665,3,FALSE)</f>
        <v>D</v>
      </c>
      <c r="C28" s="174">
        <f>IF(Settings!$E$15="POINTS",RANK(E28,E3:E213),H28)</f>
        <v>29</v>
      </c>
      <c r="D28" s="65" t="str">
        <f>VLOOKUP(A28,'The List'!B1:F665,5,FALSE)</f>
        <v>L.A</v>
      </c>
      <c r="E28" s="54">
        <f>VLOOKUP(A28,'The List'!B1:I665,8,FALSE)</f>
        <v>295.88360011065964</v>
      </c>
      <c r="F28" s="54">
        <f>IF(Settings!$E$15="POINTS",E28-VLOOKUP(B$2,C1:E213,3,FALSE),J28)</f>
        <v>-40.350524934935265</v>
      </c>
      <c r="G28" s="54"/>
      <c r="H28" s="167">
        <f>RANK(I28,I3:I213)</f>
        <v>21</v>
      </c>
      <c r="I28" s="168">
        <f>VLOOKUP(A28,'Standard Deviations'!A1:C666,3,FALSE)</f>
        <v>4.0797981770347391</v>
      </c>
      <c r="J28" s="168">
        <f>I28-VLOOKUP(B$2,H1:J213,2,FALSE)</f>
        <v>-0.62686057956629604</v>
      </c>
    </row>
    <row r="29" spans="1:10" ht="21.25" customHeight="1" x14ac:dyDescent="0.15">
      <c r="A29" s="9" t="s">
        <v>250</v>
      </c>
      <c r="B29" s="173" t="str">
        <f>VLOOKUP(A29,'The List'!B1:D665,3,FALSE)</f>
        <v>D</v>
      </c>
      <c r="C29" s="174">
        <f>IF(Settings!$E$15="POINTS",RANK(E29,E3:E213),H29)</f>
        <v>32</v>
      </c>
      <c r="D29" s="65" t="str">
        <f>VLOOKUP(A29,'The List'!B1:F665,5,FALSE)</f>
        <v>SEA</v>
      </c>
      <c r="E29" s="54">
        <f>VLOOKUP(A29,'The List'!B1:I665,8,FALSE)</f>
        <v>292.21299396794666</v>
      </c>
      <c r="F29" s="54">
        <f>IF(Settings!$E$15="POINTS",E29-VLOOKUP(B$2,C1:E213,3,FALSE),J29)</f>
        <v>-44.021131077648249</v>
      </c>
      <c r="G29" s="54"/>
      <c r="H29" s="167">
        <f>RANK(I29,I3:I213)</f>
        <v>33</v>
      </c>
      <c r="I29" s="168">
        <f>VLOOKUP(A29,'Standard Deviations'!A1:C666,3,FALSE)</f>
        <v>2.7883350683000572</v>
      </c>
      <c r="J29" s="168">
        <f>I29-VLOOKUP(B$2,H1:J213,2,FALSE)</f>
        <v>-1.918323688300978</v>
      </c>
    </row>
    <row r="30" spans="1:10" ht="21.25" customHeight="1" x14ac:dyDescent="0.15">
      <c r="A30" s="9" t="s">
        <v>229</v>
      </c>
      <c r="B30" s="173" t="str">
        <f>VLOOKUP(A30,'The List'!B1:D665,3,FALSE)</f>
        <v>D</v>
      </c>
      <c r="C30" s="174">
        <f>IF(Settings!$E$15="POINTS",RANK(E30,E3:E213),H30)</f>
        <v>24</v>
      </c>
      <c r="D30" s="65" t="str">
        <f>VLOOKUP(A30,'The List'!B1:F665,5,FALSE)</f>
        <v>CGY</v>
      </c>
      <c r="E30" s="54">
        <f>VLOOKUP(A30,'The List'!B1:I665,8,FALSE)</f>
        <v>307.13762894048409</v>
      </c>
      <c r="F30" s="54">
        <f>IF(Settings!$E$15="POINTS",E30-VLOOKUP(B$2,C1:E213,3,FALSE),J30)</f>
        <v>-29.096496105110816</v>
      </c>
      <c r="G30" s="54"/>
      <c r="H30" s="167">
        <f>RANK(I30,I3:I213)</f>
        <v>38</v>
      </c>
      <c r="I30" s="168">
        <f>VLOOKUP(A30,'Standard Deviations'!A1:C666,3,FALSE)</f>
        <v>2.5979049547211912</v>
      </c>
      <c r="J30" s="168">
        <f>I30-VLOOKUP(B$2,H1:J213,2,FALSE)</f>
        <v>-2.108753801879844</v>
      </c>
    </row>
    <row r="31" spans="1:10" ht="21.25" customHeight="1" x14ac:dyDescent="0.15">
      <c r="A31" s="9" t="s">
        <v>230</v>
      </c>
      <c r="B31" s="173" t="str">
        <f>VLOOKUP(A31,'The List'!B1:D665,3,FALSE)</f>
        <v>D</v>
      </c>
      <c r="C31" s="174">
        <f>IF(Settings!$E$15="POINTS",RANK(E31,E3:E213),H31)</f>
        <v>25</v>
      </c>
      <c r="D31" s="65" t="str">
        <f>VLOOKUP(A31,'The List'!B1:F665,5,FALSE)</f>
        <v>VGK</v>
      </c>
      <c r="E31" s="54">
        <f>VLOOKUP(A31,'The List'!B1:I665,8,FALSE)</f>
        <v>306.49186373568489</v>
      </c>
      <c r="F31" s="54">
        <f>IF(Settings!$E$15="POINTS",E31-VLOOKUP(B$2,C1:E213,3,FALSE),J31)</f>
        <v>-29.74226130991002</v>
      </c>
      <c r="G31" s="54"/>
      <c r="H31" s="167">
        <f>RANK(I31,I3:I213)</f>
        <v>26</v>
      </c>
      <c r="I31" s="168">
        <f>VLOOKUP(A31,'Standard Deviations'!A1:C666,3,FALSE)</f>
        <v>3.3875034069513332</v>
      </c>
      <c r="J31" s="168">
        <f>I31-VLOOKUP(B$2,H1:J213,2,FALSE)</f>
        <v>-1.3191553496497019</v>
      </c>
    </row>
    <row r="32" spans="1:10" ht="21.25" customHeight="1" x14ac:dyDescent="0.15">
      <c r="A32" s="9" t="s">
        <v>244</v>
      </c>
      <c r="B32" s="173" t="str">
        <f>VLOOKUP(A32,'The List'!B1:D665,3,FALSE)</f>
        <v>D</v>
      </c>
      <c r="C32" s="174">
        <f>IF(Settings!$E$15="POINTS",RANK(E32,E3:E213),H32)</f>
        <v>30</v>
      </c>
      <c r="D32" s="65" t="str">
        <f>VLOOKUP(A32,'The List'!B1:F665,5,FALSE)</f>
        <v>PIT</v>
      </c>
      <c r="E32" s="54">
        <f>VLOOKUP(A32,'The List'!B1:I665,8,FALSE)</f>
        <v>294.68111396280347</v>
      </c>
      <c r="F32" s="54">
        <f>IF(Settings!$E$15="POINTS",E32-VLOOKUP(B$2,C1:E213,3,FALSE),J32)</f>
        <v>-41.553011082791443</v>
      </c>
      <c r="G32" s="54"/>
      <c r="H32" s="167">
        <f>RANK(I32,I3:I213)</f>
        <v>37</v>
      </c>
      <c r="I32" s="168">
        <f>VLOOKUP(A32,'Standard Deviations'!A1:C666,3,FALSE)</f>
        <v>2.6779271867637857</v>
      </c>
      <c r="J32" s="168">
        <f>I32-VLOOKUP(B$2,H1:J213,2,FALSE)</f>
        <v>-2.0287315698372494</v>
      </c>
    </row>
    <row r="33" spans="1:10" ht="21.25" customHeight="1" x14ac:dyDescent="0.15">
      <c r="A33" s="9" t="s">
        <v>254</v>
      </c>
      <c r="B33" s="173" t="str">
        <f>VLOOKUP(A33,'The List'!B1:D665,3,FALSE)</f>
        <v>D</v>
      </c>
      <c r="C33" s="174">
        <f>IF(Settings!$E$15="POINTS",RANK(E33,E3:E213),H33)</f>
        <v>34</v>
      </c>
      <c r="D33" s="65" t="str">
        <f>VLOOKUP(A33,'The List'!B1:F665,5,FALSE)</f>
        <v>SEA</v>
      </c>
      <c r="E33" s="54">
        <f>VLOOKUP(A33,'The List'!B1:I665,8,FALSE)</f>
        <v>291.4397103123801</v>
      </c>
      <c r="F33" s="54">
        <f>IF(Settings!$E$15="POINTS",E33-VLOOKUP(B$2,C1:E213,3,FALSE),J33)</f>
        <v>-44.794414733214808</v>
      </c>
      <c r="G33" s="54"/>
      <c r="H33" s="167">
        <f>RANK(I33,I3:I213)</f>
        <v>35</v>
      </c>
      <c r="I33" s="168">
        <f>VLOOKUP(A33,'Standard Deviations'!A1:C666,3,FALSE)</f>
        <v>2.7122491882936326</v>
      </c>
      <c r="J33" s="168">
        <f>I33-VLOOKUP(B$2,H1:J213,2,FALSE)</f>
        <v>-1.9944095683074026</v>
      </c>
    </row>
    <row r="34" spans="1:10" ht="21.25" customHeight="1" x14ac:dyDescent="0.15">
      <c r="A34" s="9" t="s">
        <v>247</v>
      </c>
      <c r="B34" s="173" t="str">
        <f>VLOOKUP(A34,'The List'!B1:D665,3,FALSE)</f>
        <v>D</v>
      </c>
      <c r="C34" s="174">
        <f>IF(Settings!$E$15="POINTS",RANK(E34,E3:E213),H34)</f>
        <v>31</v>
      </c>
      <c r="D34" s="65" t="str">
        <f>VLOOKUP(A34,'The List'!B1:F665,5,FALSE)</f>
        <v>OTT</v>
      </c>
      <c r="E34" s="54">
        <f>VLOOKUP(A34,'The List'!B1:I665,8,FALSE)</f>
        <v>294.20597366119802</v>
      </c>
      <c r="F34" s="54">
        <f>IF(Settings!$E$15="POINTS",E34-VLOOKUP(B$2,C1:E213,3,FALSE),J34)</f>
        <v>-42.028151384396892</v>
      </c>
      <c r="G34" s="54"/>
      <c r="H34" s="167">
        <f>RANK(I34,I3:I213)</f>
        <v>27</v>
      </c>
      <c r="I34" s="168">
        <f>VLOOKUP(A34,'Standard Deviations'!A1:C666,3,FALSE)</f>
        <v>3.3037304062397528</v>
      </c>
      <c r="J34" s="168">
        <f>I34-VLOOKUP(B$2,H1:J213,2,FALSE)</f>
        <v>-1.4029283503612824</v>
      </c>
    </row>
    <row r="35" spans="1:10" ht="21.25" customHeight="1" x14ac:dyDescent="0.15">
      <c r="A35" s="9" t="s">
        <v>273</v>
      </c>
      <c r="B35" s="173" t="str">
        <f>VLOOKUP(A35,'The List'!B1:D665,3,FALSE)</f>
        <v>D</v>
      </c>
      <c r="C35" s="174">
        <f>IF(Settings!$E$15="POINTS",RANK(E35,E3:E213),H35)</f>
        <v>38</v>
      </c>
      <c r="D35" s="65" t="str">
        <f>VLOOKUP(A35,'The List'!B1:F665,5,FALSE)</f>
        <v>S.J</v>
      </c>
      <c r="E35" s="54">
        <f>VLOOKUP(A35,'The List'!B1:I665,8,FALSE)</f>
        <v>267.66956388876338</v>
      </c>
      <c r="F35" s="54">
        <f>IF(Settings!$E$15="POINTS",E35-VLOOKUP(B$2,C1:E213,3,FALSE),J35)</f>
        <v>-68.56456115683153</v>
      </c>
      <c r="G35" s="54"/>
      <c r="H35" s="167">
        <f>RANK(I35,I3:I213)</f>
        <v>46</v>
      </c>
      <c r="I35" s="168">
        <f>VLOOKUP(A35,'Standard Deviations'!A1:C666,3,FALSE)</f>
        <v>1.4877191024421008</v>
      </c>
      <c r="J35" s="168">
        <f>I35-VLOOKUP(B$2,H1:J213,2,FALSE)</f>
        <v>-3.2189396541589343</v>
      </c>
    </row>
    <row r="36" spans="1:10" ht="21.25" customHeight="1" x14ac:dyDescent="0.15">
      <c r="A36" s="9" t="s">
        <v>240</v>
      </c>
      <c r="B36" s="173" t="str">
        <f>VLOOKUP(A36,'The List'!B1:D665,3,FALSE)</f>
        <v>D</v>
      </c>
      <c r="C36" s="174">
        <f>IF(Settings!$E$15="POINTS",RANK(E36,E3:E213),H36)</f>
        <v>28</v>
      </c>
      <c r="D36" s="65" t="str">
        <f>VLOOKUP(A36,'The List'!B1:F665,5,FALSE)</f>
        <v>NSH</v>
      </c>
      <c r="E36" s="54">
        <f>VLOOKUP(A36,'The List'!B1:I665,8,FALSE)</f>
        <v>296.21835639829078</v>
      </c>
      <c r="F36" s="54">
        <f>IF(Settings!$E$15="POINTS",E36-VLOOKUP(B$2,C1:E213,3,FALSE),J36)</f>
        <v>-40.015768647304128</v>
      </c>
      <c r="G36" s="54"/>
      <c r="H36" s="167">
        <f>RANK(I36,I3:I213)</f>
        <v>34</v>
      </c>
      <c r="I36" s="168">
        <f>VLOOKUP(A36,'Standard Deviations'!A1:C666,3,FALSE)</f>
        <v>2.7336969787844998</v>
      </c>
      <c r="J36" s="168">
        <f>I36-VLOOKUP(B$2,H1:J213,2,FALSE)</f>
        <v>-1.9729617778165354</v>
      </c>
    </row>
    <row r="37" spans="1:10" ht="21.25" customHeight="1" x14ac:dyDescent="0.15">
      <c r="A37" s="9" t="s">
        <v>269</v>
      </c>
      <c r="B37" s="173" t="str">
        <f>VLOOKUP(A37,'The List'!B1:D665,3,FALSE)</f>
        <v>D</v>
      </c>
      <c r="C37" s="174">
        <f>IF(Settings!$E$15="POINTS",RANK(E37,E3:E213),H37)</f>
        <v>37</v>
      </c>
      <c r="D37" s="65" t="str">
        <f>VLOOKUP(A37,'The List'!B1:F665,5,FALSE)</f>
        <v>DAL</v>
      </c>
      <c r="E37" s="54">
        <f>VLOOKUP(A37,'The List'!B1:I665,8,FALSE)</f>
        <v>270.29158270581598</v>
      </c>
      <c r="F37" s="54">
        <f>IF(Settings!$E$15="POINTS",E37-VLOOKUP(B$2,C1:E213,3,FALSE),J37)</f>
        <v>-65.942542339778925</v>
      </c>
      <c r="G37" s="54"/>
      <c r="H37" s="167">
        <f>RANK(I37,I3:I213)</f>
        <v>24</v>
      </c>
      <c r="I37" s="168">
        <f>VLOOKUP(A37,'Standard Deviations'!A1:C666,3,FALSE)</f>
        <v>3.6271545662984841</v>
      </c>
      <c r="J37" s="168">
        <f>I37-VLOOKUP(B$2,H1:J213,2,FALSE)</f>
        <v>-1.0795041903025511</v>
      </c>
    </row>
    <row r="38" spans="1:10" ht="21.25" customHeight="1" x14ac:dyDescent="0.15">
      <c r="A38" s="9" t="s">
        <v>282</v>
      </c>
      <c r="B38" s="173" t="str">
        <f>VLOOKUP(A38,'The List'!B1:D665,3,FALSE)</f>
        <v>D</v>
      </c>
      <c r="C38" s="174">
        <f>IF(Settings!$E$15="POINTS",RANK(E38,E3:E213),H38)</f>
        <v>42</v>
      </c>
      <c r="D38" s="65" t="str">
        <f>VLOOKUP(A38,'The List'!B1:F665,5,FALSE)</f>
        <v>OTT</v>
      </c>
      <c r="E38" s="54">
        <f>VLOOKUP(A38,'The List'!B1:I665,8,FALSE)</f>
        <v>260.99268422671571</v>
      </c>
      <c r="F38" s="54">
        <f>IF(Settings!$E$15="POINTS",E38-VLOOKUP(B$2,C1:E213,3,FALSE),J38)</f>
        <v>-75.241440818879198</v>
      </c>
      <c r="G38" s="54"/>
      <c r="H38" s="167">
        <f>RANK(I38,I3:I213)</f>
        <v>48</v>
      </c>
      <c r="I38" s="168">
        <f>VLOOKUP(A38,'Standard Deviations'!A1:C666,3,FALSE)</f>
        <v>1.4435792322408236</v>
      </c>
      <c r="J38" s="168">
        <f>I38-VLOOKUP(B$2,H1:J213,2,FALSE)</f>
        <v>-3.2630795243602115</v>
      </c>
    </row>
    <row r="39" spans="1:10" ht="21.25" customHeight="1" x14ac:dyDescent="0.15">
      <c r="A39" s="9" t="s">
        <v>280</v>
      </c>
      <c r="B39" s="173" t="str">
        <f>VLOOKUP(A39,'The List'!B1:D665,3,FALSE)</f>
        <v>D</v>
      </c>
      <c r="C39" s="174">
        <f>IF(Settings!$E$15="POINTS",RANK(E39,E3:E213),H39)</f>
        <v>40</v>
      </c>
      <c r="D39" s="65" t="str">
        <f>VLOOKUP(A39,'The List'!B1:F665,5,FALSE)</f>
        <v>FLA</v>
      </c>
      <c r="E39" s="54">
        <f>VLOOKUP(A39,'The List'!B1:I665,8,FALSE)</f>
        <v>262.19261158243995</v>
      </c>
      <c r="F39" s="54">
        <f>IF(Settings!$E$15="POINTS",E39-VLOOKUP(B$2,C1:E213,3,FALSE),J39)</f>
        <v>-74.041513463154956</v>
      </c>
      <c r="G39" s="54"/>
      <c r="H39" s="167">
        <f>RANK(I39,I3:I213)</f>
        <v>32</v>
      </c>
      <c r="I39" s="168">
        <f>VLOOKUP(A39,'Standard Deviations'!A1:C666,3,FALSE)</f>
        <v>2.865630277960729</v>
      </c>
      <c r="J39" s="168">
        <f>I39-VLOOKUP(B$2,H1:J213,2,FALSE)</f>
        <v>-1.8410284786403062</v>
      </c>
    </row>
    <row r="40" spans="1:10" ht="21.25" customHeight="1" x14ac:dyDescent="0.15">
      <c r="A40" s="9" t="s">
        <v>253</v>
      </c>
      <c r="B40" s="173" t="str">
        <f>VLOOKUP(A40,'The List'!B1:D665,3,FALSE)</f>
        <v>D</v>
      </c>
      <c r="C40" s="174">
        <f>IF(Settings!$E$15="POINTS",RANK(E40,E3:E213),H40)</f>
        <v>33</v>
      </c>
      <c r="D40" s="65" t="str">
        <f>VLOOKUP(A40,'The List'!B1:F665,5,FALSE)</f>
        <v>CAR</v>
      </c>
      <c r="E40" s="54">
        <f>VLOOKUP(A40,'The List'!B1:I665,8,FALSE)</f>
        <v>291.88180990432056</v>
      </c>
      <c r="F40" s="54">
        <f>IF(Settings!$E$15="POINTS",E40-VLOOKUP(B$2,C1:E213,3,FALSE),J40)</f>
        <v>-44.352315141274346</v>
      </c>
      <c r="G40" s="54"/>
      <c r="H40" s="167">
        <f>RANK(I40,I3:I213)</f>
        <v>19</v>
      </c>
      <c r="I40" s="168">
        <f>VLOOKUP(A40,'Standard Deviations'!A1:C666,3,FALSE)</f>
        <v>4.6359948762641139</v>
      </c>
      <c r="J40" s="168">
        <f>I40-VLOOKUP(B$2,H1:J213,2,FALSE)</f>
        <v>-7.0663880336921281E-2</v>
      </c>
    </row>
    <row r="41" spans="1:10" ht="21.25" customHeight="1" x14ac:dyDescent="0.15">
      <c r="A41" s="9" t="s">
        <v>257</v>
      </c>
      <c r="B41" s="173" t="str">
        <f>VLOOKUP(A41,'The List'!B1:D665,3,FALSE)</f>
        <v>D</v>
      </c>
      <c r="C41" s="174">
        <f>IF(Settings!$E$15="POINTS",RANK(E41,E3:E213),H41)</f>
        <v>35</v>
      </c>
      <c r="D41" s="65" t="str">
        <f>VLOOKUP(A41,'The List'!B1:F665,5,FALSE)</f>
        <v>FLA</v>
      </c>
      <c r="E41" s="54">
        <f>VLOOKUP(A41,'The List'!B1:I665,8,FALSE)</f>
        <v>284.80411438831743</v>
      </c>
      <c r="F41" s="54">
        <f>IF(Settings!$E$15="POINTS",E41-VLOOKUP(B$2,C1:E213,3,FALSE),J41)</f>
        <v>-51.430010657277478</v>
      </c>
      <c r="G41" s="54"/>
      <c r="H41" s="167">
        <f>RANK(I41,I3:I213)</f>
        <v>22</v>
      </c>
      <c r="I41" s="168">
        <f>VLOOKUP(A41,'Standard Deviations'!A1:C666,3,FALSE)</f>
        <v>3.8473225476139423</v>
      </c>
      <c r="J41" s="168">
        <f>I41-VLOOKUP(B$2,H1:J213,2,FALSE)</f>
        <v>-0.85933620898709284</v>
      </c>
    </row>
    <row r="42" spans="1:10" ht="21.25" customHeight="1" x14ac:dyDescent="0.15">
      <c r="A42" s="9" t="s">
        <v>283</v>
      </c>
      <c r="B42" s="173" t="str">
        <f>VLOOKUP(A42,'The List'!B1:D665,3,FALSE)</f>
        <v>D</v>
      </c>
      <c r="C42" s="174">
        <f>IF(Settings!$E$15="POINTS",RANK(E42,E3:E213),H42)</f>
        <v>43</v>
      </c>
      <c r="D42" s="65" t="str">
        <f>VLOOKUP(A42,'The List'!B1:F665,5,FALSE)</f>
        <v>WSH</v>
      </c>
      <c r="E42" s="54">
        <f>VLOOKUP(A42,'The List'!B1:I665,8,FALSE)</f>
        <v>260.91064571350432</v>
      </c>
      <c r="F42" s="54">
        <f>IF(Settings!$E$15="POINTS",E42-VLOOKUP(B$2,C1:E213,3,FALSE),J42)</f>
        <v>-75.323479332090585</v>
      </c>
      <c r="G42" s="54"/>
      <c r="H42" s="167">
        <f>RANK(I42,I3:I213)</f>
        <v>50</v>
      </c>
      <c r="I42" s="168">
        <f>VLOOKUP(A42,'Standard Deviations'!A1:C666,3,FALSE)</f>
        <v>1.0861315934355538</v>
      </c>
      <c r="J42" s="168">
        <f>I42-VLOOKUP(B$2,H1:J213,2,FALSE)</f>
        <v>-3.6205271631654812</v>
      </c>
    </row>
    <row r="43" spans="1:10" ht="21.25" customHeight="1" x14ac:dyDescent="0.15">
      <c r="A43" s="9" t="s">
        <v>267</v>
      </c>
      <c r="B43" s="173" t="str">
        <f>VLOOKUP(A43,'The List'!B1:D665,3,FALSE)</f>
        <v>D</v>
      </c>
      <c r="C43" s="174">
        <f>IF(Settings!$E$15="POINTS",RANK(E43,E3:E213),H43)</f>
        <v>36</v>
      </c>
      <c r="D43" s="65" t="str">
        <f>VLOOKUP(A43,'The List'!B1:F665,5,FALSE)</f>
        <v>COL</v>
      </c>
      <c r="E43" s="54">
        <f>VLOOKUP(A43,'The List'!B1:I665,8,FALSE)</f>
        <v>273.77249759961609</v>
      </c>
      <c r="F43" s="54">
        <f>IF(Settings!$E$15="POINTS",E43-VLOOKUP(B$2,C1:E213,3,FALSE),J43)</f>
        <v>-62.46162744597882</v>
      </c>
      <c r="G43" s="54"/>
      <c r="H43" s="167">
        <f>RANK(I43,I3:I213)</f>
        <v>31</v>
      </c>
      <c r="I43" s="168">
        <f>VLOOKUP(A43,'Standard Deviations'!A1:C666,3,FALSE)</f>
        <v>2.8828491153160316</v>
      </c>
      <c r="J43" s="168">
        <f>I43-VLOOKUP(B$2,H1:J213,2,FALSE)</f>
        <v>-1.8238096412850036</v>
      </c>
    </row>
    <row r="44" spans="1:10" ht="21.25" customHeight="1" x14ac:dyDescent="0.15">
      <c r="A44" s="9" t="s">
        <v>279</v>
      </c>
      <c r="B44" s="173" t="str">
        <f>VLOOKUP(A44,'The List'!B1:D665,3,FALSE)</f>
        <v>D</v>
      </c>
      <c r="C44" s="174">
        <f>IF(Settings!$E$15="POINTS",RANK(E44,E3:E213),H44)</f>
        <v>39</v>
      </c>
      <c r="D44" s="65" t="str">
        <f>VLOOKUP(A44,'The List'!B1:F665,5,FALSE)</f>
        <v>STL</v>
      </c>
      <c r="E44" s="54">
        <f>VLOOKUP(A44,'The List'!B1:I665,8,FALSE)</f>
        <v>263.80025672640585</v>
      </c>
      <c r="F44" s="54">
        <f>IF(Settings!$E$15="POINTS",E44-VLOOKUP(B$2,C1:E213,3,FALSE),J44)</f>
        <v>-72.43386831918906</v>
      </c>
      <c r="G44" s="54"/>
      <c r="H44" s="167">
        <f>RANK(I44,I3:I213)</f>
        <v>66</v>
      </c>
      <c r="I44" s="168">
        <f>VLOOKUP(A44,'Standard Deviations'!A1:C666,3,FALSE)</f>
        <v>0.2727289209111925</v>
      </c>
      <c r="J44" s="168">
        <f>I44-VLOOKUP(B$2,H1:J213,2,FALSE)</f>
        <v>-4.4339298356898427</v>
      </c>
    </row>
    <row r="45" spans="1:10" ht="21.25" customHeight="1" x14ac:dyDescent="0.15">
      <c r="A45" s="9" t="s">
        <v>284</v>
      </c>
      <c r="B45" s="173" t="str">
        <f>VLOOKUP(A45,'The List'!B1:D665,3,FALSE)</f>
        <v>D</v>
      </c>
      <c r="C45" s="174">
        <f>IF(Settings!$E$15="POINTS",RANK(E45,E3:E213),H45)</f>
        <v>44</v>
      </c>
      <c r="D45" s="65" t="str">
        <f>VLOOKUP(A45,'The List'!B1:F665,5,FALSE)</f>
        <v>EDM</v>
      </c>
      <c r="E45" s="54">
        <f>VLOOKUP(A45,'The List'!B1:I665,8,FALSE)</f>
        <v>260.34837886984013</v>
      </c>
      <c r="F45" s="54">
        <f>IF(Settings!$E$15="POINTS",E45-VLOOKUP(B$2,C1:E213,3,FALSE),J45)</f>
        <v>-75.885746175754775</v>
      </c>
      <c r="G45" s="54"/>
      <c r="H45" s="167">
        <f>RANK(I45,I3:I213)</f>
        <v>29</v>
      </c>
      <c r="I45" s="168">
        <f>VLOOKUP(A45,'Standard Deviations'!A1:C666,3,FALSE)</f>
        <v>2.9608060412769377</v>
      </c>
      <c r="J45" s="168">
        <f>I45-VLOOKUP(B$2,H1:J213,2,FALSE)</f>
        <v>-1.7458527153240975</v>
      </c>
    </row>
    <row r="46" spans="1:10" ht="21.25" customHeight="1" x14ac:dyDescent="0.15">
      <c r="A46" s="9" t="s">
        <v>281</v>
      </c>
      <c r="B46" s="173" t="str">
        <f>VLOOKUP(A46,'The List'!B1:D665,3,FALSE)</f>
        <v>D</v>
      </c>
      <c r="C46" s="174">
        <f>IF(Settings!$E$15="POINTS",RANK(E46,E3:E213),H46)</f>
        <v>41</v>
      </c>
      <c r="D46" s="65" t="str">
        <f>VLOOKUP(A46,'The List'!B1:F665,5,FALSE)</f>
        <v>PHI</v>
      </c>
      <c r="E46" s="54">
        <f>VLOOKUP(A46,'The List'!B1:I665,8,FALSE)</f>
        <v>261.61127456585734</v>
      </c>
      <c r="F46" s="54">
        <f>IF(Settings!$E$15="POINTS",E46-VLOOKUP(B$2,C1:E213,3,FALSE),J46)</f>
        <v>-74.622850479737565</v>
      </c>
      <c r="G46" s="54"/>
      <c r="H46" s="167">
        <f>RANK(I46,I3:I213)</f>
        <v>62</v>
      </c>
      <c r="I46" s="168">
        <f>VLOOKUP(A46,'Standard Deviations'!A1:C666,3,FALSE)</f>
        <v>0.395151057787412</v>
      </c>
      <c r="J46" s="168">
        <f>I46-VLOOKUP(B$2,H1:J213,2,FALSE)</f>
        <v>-4.3115076988136227</v>
      </c>
    </row>
    <row r="47" spans="1:10" ht="21.25" customHeight="1" x14ac:dyDescent="0.15">
      <c r="A47" s="9" t="s">
        <v>343</v>
      </c>
      <c r="B47" s="173" t="str">
        <f>VLOOKUP(A47,'The List'!B1:D665,3,FALSE)</f>
        <v>D</v>
      </c>
      <c r="C47" s="174">
        <f>IF(Settings!$E$15="POINTS",RANK(E47,E3:E213),H47)</f>
        <v>63</v>
      </c>
      <c r="D47" s="65" t="str">
        <f>VLOOKUP(A47,'The List'!B1:F665,5,FALSE)</f>
        <v>MIN</v>
      </c>
      <c r="E47" s="54">
        <f>VLOOKUP(A47,'The List'!B1:I665,8,FALSE)</f>
        <v>218.88210912905944</v>
      </c>
      <c r="F47" s="54">
        <f>IF(Settings!$E$15="POINTS",E47-VLOOKUP(B$2,C1:E213,3,FALSE),J47)</f>
        <v>-117.35201591653546</v>
      </c>
      <c r="G47" s="54"/>
      <c r="H47" s="167">
        <f>RANK(I47,I3:I213)</f>
        <v>53</v>
      </c>
      <c r="I47" s="168">
        <f>VLOOKUP(A47,'Standard Deviations'!A1:C666,3,FALSE)</f>
        <v>0.83793227409180138</v>
      </c>
      <c r="J47" s="168">
        <f>I47-VLOOKUP(B$2,H1:J213,2,FALSE)</f>
        <v>-3.868726482509234</v>
      </c>
    </row>
    <row r="48" spans="1:10" ht="21.25" customHeight="1" x14ac:dyDescent="0.15">
      <c r="A48" s="9" t="s">
        <v>298</v>
      </c>
      <c r="B48" s="173" t="str">
        <f>VLOOKUP(A48,'The List'!B1:D665,3,FALSE)</f>
        <v>D</v>
      </c>
      <c r="C48" s="174">
        <f>IF(Settings!$E$15="POINTS",RANK(E48,E3:E213),H48)</f>
        <v>47</v>
      </c>
      <c r="D48" s="65" t="str">
        <f>VLOOKUP(A48,'The List'!B1:F665,5,FALSE)</f>
        <v>UTA</v>
      </c>
      <c r="E48" s="54">
        <f>VLOOKUP(A48,'The List'!B1:I665,8,FALSE)</f>
        <v>248.9603240310399</v>
      </c>
      <c r="F48" s="54">
        <f>IF(Settings!$E$15="POINTS",E48-VLOOKUP(B$2,C1:E213,3,FALSE),J48)</f>
        <v>-87.273801014555005</v>
      </c>
      <c r="G48" s="54"/>
      <c r="H48" s="167">
        <f>RANK(I48,I3:I213)</f>
        <v>49</v>
      </c>
      <c r="I48" s="168">
        <f>VLOOKUP(A48,'Standard Deviations'!A1:C666,3,FALSE)</f>
        <v>1.3737363127734545</v>
      </c>
      <c r="J48" s="168">
        <f>I48-VLOOKUP(B$2,H1:J213,2,FALSE)</f>
        <v>-3.3329224438275808</v>
      </c>
    </row>
    <row r="49" spans="1:10" ht="21.25" customHeight="1" x14ac:dyDescent="0.15">
      <c r="A49" s="9" t="s">
        <v>320</v>
      </c>
      <c r="B49" s="173" t="str">
        <f>VLOOKUP(A49,'The List'!B1:D665,3,FALSE)</f>
        <v>D</v>
      </c>
      <c r="C49" s="174">
        <f>IF(Settings!$E$15="POINTS",RANK(E49,E3:E213),H49)</f>
        <v>55</v>
      </c>
      <c r="D49" s="65" t="str">
        <f>VLOOKUP(A49,'The List'!B1:F665,5,FALSE)</f>
        <v>MTL</v>
      </c>
      <c r="E49" s="54">
        <f>VLOOKUP(A49,'The List'!B1:I665,8,FALSE)</f>
        <v>231.42777224910495</v>
      </c>
      <c r="F49" s="54">
        <f>IF(Settings!$E$15="POINTS",E49-VLOOKUP(B$2,C1:E213,3,FALSE),J49)</f>
        <v>-104.80635279648996</v>
      </c>
      <c r="G49" s="54"/>
      <c r="H49" s="167">
        <f>RANK(I49,I3:I213)</f>
        <v>86</v>
      </c>
      <c r="I49" s="168">
        <f>VLOOKUP(A49,'Standard Deviations'!A1:C666,3,FALSE)</f>
        <v>-0.82521727888927532</v>
      </c>
      <c r="J49" s="168">
        <f>I49-VLOOKUP(B$2,H1:J213,2,FALSE)</f>
        <v>-5.5318760354903107</v>
      </c>
    </row>
    <row r="50" spans="1:10" ht="21.25" customHeight="1" x14ac:dyDescent="0.15">
      <c r="A50" s="9" t="s">
        <v>297</v>
      </c>
      <c r="B50" s="173" t="str">
        <f>VLOOKUP(A50,'The List'!B1:D665,3,FALSE)</f>
        <v>D</v>
      </c>
      <c r="C50" s="174">
        <f>IF(Settings!$E$15="POINTS",RANK(E50,E3:E213),H50)</f>
        <v>46</v>
      </c>
      <c r="D50" s="65" t="str">
        <f>VLOOKUP(A50,'The List'!B1:F665,5,FALSE)</f>
        <v>VAN</v>
      </c>
      <c r="E50" s="54">
        <f>VLOOKUP(A50,'The List'!B1:I665,8,FALSE)</f>
        <v>250.90203301303555</v>
      </c>
      <c r="F50" s="54">
        <f>IF(Settings!$E$15="POINTS",E50-VLOOKUP(B$2,C1:E213,3,FALSE),J50)</f>
        <v>-85.332092032559359</v>
      </c>
      <c r="G50" s="54"/>
      <c r="H50" s="167">
        <f>RANK(I50,I3:I213)</f>
        <v>40</v>
      </c>
      <c r="I50" s="168">
        <f>VLOOKUP(A50,'Standard Deviations'!A1:C666,3,FALSE)</f>
        <v>2.2135657842122605</v>
      </c>
      <c r="J50" s="168">
        <f>I50-VLOOKUP(B$2,H1:J213,2,FALSE)</f>
        <v>-2.4930929723887747</v>
      </c>
    </row>
    <row r="51" spans="1:10" ht="21.25" customHeight="1" x14ac:dyDescent="0.15">
      <c r="A51" s="9" t="s">
        <v>291</v>
      </c>
      <c r="B51" s="173" t="str">
        <f>VLOOKUP(A51,'The List'!B1:D665,3,FALSE)</f>
        <v>D</v>
      </c>
      <c r="C51" s="174">
        <f>IF(Settings!$E$15="POINTS",RANK(E51,E3:E213),H51)</f>
        <v>45</v>
      </c>
      <c r="D51" s="65" t="str">
        <f>VLOOKUP(A51,'The List'!B1:F665,5,FALSE)</f>
        <v>N.J</v>
      </c>
      <c r="E51" s="54">
        <f>VLOOKUP(A51,'The List'!B1:I665,8,FALSE)</f>
        <v>253.4547018668456</v>
      </c>
      <c r="F51" s="54">
        <f>IF(Settings!$E$15="POINTS",E51-VLOOKUP(B$2,C1:E213,3,FALSE),J51)</f>
        <v>-82.779423178749312</v>
      </c>
      <c r="G51" s="54"/>
      <c r="H51" s="167">
        <f>RANK(I51,I3:I213)</f>
        <v>43</v>
      </c>
      <c r="I51" s="168">
        <f>VLOOKUP(A51,'Standard Deviations'!A1:C666,3,FALSE)</f>
        <v>2.0398699006223686</v>
      </c>
      <c r="J51" s="168">
        <f>I51-VLOOKUP(B$2,H1:J213,2,FALSE)</f>
        <v>-2.6667888559786666</v>
      </c>
    </row>
    <row r="52" spans="1:10" ht="21.25" customHeight="1" x14ac:dyDescent="0.15">
      <c r="A52" s="9" t="s">
        <v>369</v>
      </c>
      <c r="B52" s="173" t="str">
        <f>VLOOKUP(A52,'The List'!B1:D665,3,FALSE)</f>
        <v>D</v>
      </c>
      <c r="C52" s="174">
        <f>IF(Settings!$E$15="POINTS",RANK(E52,E3:E213),H52)</f>
        <v>70</v>
      </c>
      <c r="D52" s="65" t="str">
        <f>VLOOKUP(A52,'The List'!B1:F665,5,FALSE)</f>
        <v>ANA</v>
      </c>
      <c r="E52" s="54">
        <f>VLOOKUP(A52,'The List'!B1:I665,8,FALSE)</f>
        <v>208.03460754993139</v>
      </c>
      <c r="F52" s="54">
        <f>IF(Settings!$E$15="POINTS",E52-VLOOKUP(B$2,C1:E213,3,FALSE),J52)</f>
        <v>-128.19951749566351</v>
      </c>
      <c r="G52" s="54"/>
      <c r="H52" s="167">
        <f>RANK(I52,I3:I213)</f>
        <v>112</v>
      </c>
      <c r="I52" s="168">
        <f>VLOOKUP(A52,'Standard Deviations'!A1:C666,3,FALSE)</f>
        <v>-1.6369870702700542</v>
      </c>
      <c r="J52" s="168">
        <f>I52-VLOOKUP(B$2,H1:J213,2,FALSE)</f>
        <v>-6.3436458268710894</v>
      </c>
    </row>
    <row r="53" spans="1:10" ht="21.25" customHeight="1" x14ac:dyDescent="0.15">
      <c r="A53" s="9" t="s">
        <v>301</v>
      </c>
      <c r="B53" s="173" t="str">
        <f>VLOOKUP(A53,'The List'!B1:D665,3,FALSE)</f>
        <v>D</v>
      </c>
      <c r="C53" s="174">
        <f>IF(Settings!$E$15="POINTS",RANK(E53,E3:E213),H53)</f>
        <v>48</v>
      </c>
      <c r="D53" s="65" t="str">
        <f>VLOOKUP(A53,'The List'!B1:F665,5,FALSE)</f>
        <v>NYR</v>
      </c>
      <c r="E53" s="54">
        <f>VLOOKUP(A53,'The List'!B1:I665,8,FALSE)</f>
        <v>245.70082950046449</v>
      </c>
      <c r="F53" s="54">
        <f>IF(Settings!$E$15="POINTS",E53-VLOOKUP(B$2,C1:E213,3,FALSE),J53)</f>
        <v>-90.533295545130414</v>
      </c>
      <c r="G53" s="54"/>
      <c r="H53" s="167">
        <f>RANK(I53,I3:I213)</f>
        <v>45</v>
      </c>
      <c r="I53" s="168">
        <f>VLOOKUP(A53,'Standard Deviations'!A1:C666,3,FALSE)</f>
        <v>1.6200570854872864</v>
      </c>
      <c r="J53" s="168">
        <f>I53-VLOOKUP(B$2,H1:J213,2,FALSE)</f>
        <v>-3.0866016711137485</v>
      </c>
    </row>
    <row r="54" spans="1:10" ht="21.25" customHeight="1" x14ac:dyDescent="0.15">
      <c r="A54" s="9" t="s">
        <v>339</v>
      </c>
      <c r="B54" s="173" t="str">
        <f>VLOOKUP(A54,'The List'!B1:D665,3,FALSE)</f>
        <v>D</v>
      </c>
      <c r="C54" s="174">
        <f>IF(Settings!$E$15="POINTS",RANK(E54,E3:E213),H54)</f>
        <v>60</v>
      </c>
      <c r="D54" s="65" t="str">
        <f>VLOOKUP(A54,'The List'!B1:F665,5,FALSE)</f>
        <v>PHI</v>
      </c>
      <c r="E54" s="54">
        <f>VLOOKUP(A54,'The List'!B1:I665,8,FALSE)</f>
        <v>224.15346724109918</v>
      </c>
      <c r="F54" s="54">
        <f>IF(Settings!$E$15="POINTS",E54-VLOOKUP(B$2,C1:E213,3,FALSE),J54)</f>
        <v>-112.08065780449573</v>
      </c>
      <c r="G54" s="54"/>
      <c r="H54" s="167">
        <f>RANK(I54,I3:I213)</f>
        <v>74</v>
      </c>
      <c r="I54" s="168">
        <f>VLOOKUP(A54,'Standard Deviations'!A1:C666,3,FALSE)</f>
        <v>-0.31804275383849945</v>
      </c>
      <c r="J54" s="168">
        <f>I54-VLOOKUP(B$2,H1:J213,2,FALSE)</f>
        <v>-5.0247015104395345</v>
      </c>
    </row>
    <row r="55" spans="1:10" ht="21.25" customHeight="1" x14ac:dyDescent="0.15">
      <c r="A55" s="9" t="s">
        <v>357</v>
      </c>
      <c r="B55" s="173" t="str">
        <f>VLOOKUP(A55,'The List'!B1:D665,3,FALSE)</f>
        <v>D</v>
      </c>
      <c r="C55" s="174">
        <f>IF(Settings!$E$15="POINTS",RANK(E55,E3:E213),H55)</f>
        <v>69</v>
      </c>
      <c r="D55" s="65" t="str">
        <f>VLOOKUP(A55,'The List'!B1:F665,5,FALSE)</f>
        <v>L.A</v>
      </c>
      <c r="E55" s="54">
        <f>VLOOKUP(A55,'The List'!B1:I665,8,FALSE)</f>
        <v>211.60104902633512</v>
      </c>
      <c r="F55" s="54">
        <f>IF(Settings!$E$15="POINTS",E55-VLOOKUP(B$2,C1:E213,3,FALSE),J55)</f>
        <v>-124.63307601925979</v>
      </c>
      <c r="G55" s="54"/>
      <c r="H55" s="167">
        <f>RANK(I55,I3:I213)</f>
        <v>63</v>
      </c>
      <c r="I55" s="168">
        <f>VLOOKUP(A55,'Standard Deviations'!A1:C666,3,FALSE)</f>
        <v>0.34753164508638323</v>
      </c>
      <c r="J55" s="168">
        <f>I55-VLOOKUP(B$2,H1:J213,2,FALSE)</f>
        <v>-4.3591271115146517</v>
      </c>
    </row>
    <row r="56" spans="1:10" ht="21.25" customHeight="1" x14ac:dyDescent="0.15">
      <c r="A56" s="9" t="s">
        <v>305</v>
      </c>
      <c r="B56" s="173" t="str">
        <f>VLOOKUP(A56,'The List'!B1:D665,3,FALSE)</f>
        <v>D</v>
      </c>
      <c r="C56" s="174">
        <f>IF(Settings!$E$15="POINTS",RANK(E56,E3:E213),H56)</f>
        <v>49</v>
      </c>
      <c r="D56" s="65" t="str">
        <f>VLOOKUP(A56,'The List'!B1:F665,5,FALSE)</f>
        <v>BOS</v>
      </c>
      <c r="E56" s="54">
        <f>VLOOKUP(A56,'The List'!B1:I665,8,FALSE)</f>
        <v>240.68262539442622</v>
      </c>
      <c r="F56" s="54">
        <f>IF(Settings!$E$15="POINTS",E56-VLOOKUP(B$2,C1:E213,3,FALSE),J56)</f>
        <v>-95.551499651168683</v>
      </c>
      <c r="G56" s="54"/>
      <c r="H56" s="167">
        <f>RANK(I56,I3:I213)</f>
        <v>44</v>
      </c>
      <c r="I56" s="168">
        <f>VLOOKUP(A56,'Standard Deviations'!A1:C666,3,FALSE)</f>
        <v>1.7894659200110721</v>
      </c>
      <c r="J56" s="168">
        <f>I56-VLOOKUP(B$2,H1:J213,2,FALSE)</f>
        <v>-2.9171928365899631</v>
      </c>
    </row>
    <row r="57" spans="1:10" ht="21.25" customHeight="1" x14ac:dyDescent="0.15">
      <c r="A57" s="9" t="s">
        <v>334</v>
      </c>
      <c r="B57" s="173" t="str">
        <f>VLOOKUP(A57,'The List'!B1:D665,3,FALSE)</f>
        <v>D</v>
      </c>
      <c r="C57" s="174">
        <f>IF(Settings!$E$15="POINTS",RANK(E57,E3:E213),H57)</f>
        <v>59</v>
      </c>
      <c r="D57" s="65" t="str">
        <f>VLOOKUP(A57,'The List'!B1:F665,5,FALSE)</f>
        <v>ANA</v>
      </c>
      <c r="E57" s="54">
        <f>VLOOKUP(A57,'The List'!B1:I665,8,FALSE)</f>
        <v>225.50460880455981</v>
      </c>
      <c r="F57" s="54">
        <f>IF(Settings!$E$15="POINTS",E57-VLOOKUP(B$2,C1:E213,3,FALSE),J57)</f>
        <v>-110.7295162410351</v>
      </c>
      <c r="G57" s="54"/>
      <c r="H57" s="167">
        <f>RANK(I57,I3:I213)</f>
        <v>109</v>
      </c>
      <c r="I57" s="168">
        <f>VLOOKUP(A57,'Standard Deviations'!A1:C666,3,FALSE)</f>
        <v>-1.5284415258972928</v>
      </c>
      <c r="J57" s="168">
        <f>I57-VLOOKUP(B$2,H1:J213,2,FALSE)</f>
        <v>-6.2351002824983279</v>
      </c>
    </row>
    <row r="58" spans="1:10" ht="21.25" customHeight="1" x14ac:dyDescent="0.15">
      <c r="A58" s="9" t="s">
        <v>348</v>
      </c>
      <c r="B58" s="173" t="str">
        <f>VLOOKUP(A58,'The List'!B1:D665,3,FALSE)</f>
        <v>D</v>
      </c>
      <c r="C58" s="174">
        <f>IF(Settings!$E$15="POINTS",RANK(E58,E3:E213),H58)</f>
        <v>65</v>
      </c>
      <c r="D58" s="65" t="str">
        <f>VLOOKUP(A58,'The List'!B1:F665,5,FALSE)</f>
        <v>MTL</v>
      </c>
      <c r="E58" s="54">
        <f>VLOOKUP(A58,'The List'!B1:I665,8,FALSE)</f>
        <v>215.75085642384573</v>
      </c>
      <c r="F58" s="54">
        <f>IF(Settings!$E$15="POINTS",E58-VLOOKUP(B$2,C1:E213,3,FALSE),J58)</f>
        <v>-120.48326862174918</v>
      </c>
      <c r="G58" s="54"/>
      <c r="H58" s="167">
        <f>RANK(I58,I3:I213)</f>
        <v>95</v>
      </c>
      <c r="I58" s="168">
        <f>VLOOKUP(A58,'Standard Deviations'!A1:C666,3,FALSE)</f>
        <v>-1.1626411658687397</v>
      </c>
      <c r="J58" s="168">
        <f>I58-VLOOKUP(B$2,H1:J213,2,FALSE)</f>
        <v>-5.8692999224697751</v>
      </c>
    </row>
    <row r="59" spans="1:10" ht="21.25" customHeight="1" x14ac:dyDescent="0.15">
      <c r="A59" s="9" t="s">
        <v>421</v>
      </c>
      <c r="B59" s="173" t="str">
        <f>VLOOKUP(A59,'The List'!B1:D665,3,FALSE)</f>
        <v>D</v>
      </c>
      <c r="C59" s="174">
        <f>IF(Settings!$E$15="POINTS",RANK(E59,E3:E213),H59)</f>
        <v>92</v>
      </c>
      <c r="D59" s="65" t="str">
        <f>VLOOKUP(A59,'The List'!B1:F665,5,FALSE)</f>
        <v>PHI</v>
      </c>
      <c r="E59" s="54">
        <f>VLOOKUP(A59,'The List'!B1:I665,8,FALSE)</f>
        <v>187.28418557407022</v>
      </c>
      <c r="F59" s="54">
        <f>IF(Settings!$E$15="POINTS",E59-VLOOKUP(B$2,C1:E213,3,FALSE),J59)</f>
        <v>-148.94993947152469</v>
      </c>
      <c r="G59" s="54"/>
      <c r="H59" s="167">
        <f>RANK(I59,I3:I213)</f>
        <v>104</v>
      </c>
      <c r="I59" s="168">
        <f>VLOOKUP(A59,'Standard Deviations'!A1:C666,3,FALSE)</f>
        <v>-1.3941372564904553</v>
      </c>
      <c r="J59" s="168">
        <f>I59-VLOOKUP(B$2,H1:J213,2,FALSE)</f>
        <v>-6.1007960130914904</v>
      </c>
    </row>
    <row r="60" spans="1:10" ht="21.25" customHeight="1" x14ac:dyDescent="0.15">
      <c r="A60" s="9" t="s">
        <v>310</v>
      </c>
      <c r="B60" s="173" t="str">
        <f>VLOOKUP(A60,'The List'!B1:D665,3,FALSE)</f>
        <v>D</v>
      </c>
      <c r="C60" s="174">
        <f>IF(Settings!$E$15="POINTS",RANK(E60,E3:E213),H60)</f>
        <v>51</v>
      </c>
      <c r="D60" s="65" t="str">
        <f>VLOOKUP(A60,'The List'!B1:F665,5,FALSE)</f>
        <v>EDM</v>
      </c>
      <c r="E60" s="54">
        <f>VLOOKUP(A60,'The List'!B1:I665,8,FALSE)</f>
        <v>237.87473643290349</v>
      </c>
      <c r="F60" s="54">
        <f>IF(Settings!$E$15="POINTS",E60-VLOOKUP(B$2,C1:E213,3,FALSE),J60)</f>
        <v>-98.359388612691419</v>
      </c>
      <c r="G60" s="54"/>
      <c r="H60" s="167">
        <f>RANK(I60,I3:I213)</f>
        <v>28</v>
      </c>
      <c r="I60" s="168">
        <f>VLOOKUP(A60,'Standard Deviations'!A1:C666,3,FALSE)</f>
        <v>3.0373941103233002</v>
      </c>
      <c r="J60" s="168">
        <f>I60-VLOOKUP(B$2,H1:J213,2,FALSE)</f>
        <v>-1.669264646277735</v>
      </c>
    </row>
    <row r="61" spans="1:10" ht="21.25" customHeight="1" x14ac:dyDescent="0.15">
      <c r="A61" s="9" t="s">
        <v>341</v>
      </c>
      <c r="B61" s="173" t="str">
        <f>VLOOKUP(A61,'The List'!B1:D665,3,FALSE)</f>
        <v>D</v>
      </c>
      <c r="C61" s="174">
        <f>IF(Settings!$E$15="POINTS",RANK(E61,E3:E213),H61)</f>
        <v>62</v>
      </c>
      <c r="D61" s="65" t="str">
        <f>VLOOKUP(A61,'The List'!B1:F665,5,FALSE)</f>
        <v>MIN</v>
      </c>
      <c r="E61" s="54">
        <f>VLOOKUP(A61,'The List'!B1:I665,8,FALSE)</f>
        <v>220.63349403032484</v>
      </c>
      <c r="F61" s="54">
        <f>IF(Settings!$E$15="POINTS",E61-VLOOKUP(B$2,C1:E213,3,FALSE),J61)</f>
        <v>-115.60063101527007</v>
      </c>
      <c r="G61" s="54"/>
      <c r="H61" s="167">
        <f>RANK(I61,I3:I213)</f>
        <v>58</v>
      </c>
      <c r="I61" s="168">
        <f>VLOOKUP(A61,'Standard Deviations'!A1:C666,3,FALSE)</f>
        <v>0.64876468687082256</v>
      </c>
      <c r="J61" s="168">
        <f>I61-VLOOKUP(B$2,H1:J213,2,FALSE)</f>
        <v>-4.0578940697302128</v>
      </c>
    </row>
    <row r="62" spans="1:10" ht="21.25" customHeight="1" x14ac:dyDescent="0.15">
      <c r="A62" s="9" t="s">
        <v>308</v>
      </c>
      <c r="B62" s="173" t="str">
        <f>VLOOKUP(A62,'The List'!B1:D665,3,FALSE)</f>
        <v>D</v>
      </c>
      <c r="C62" s="174">
        <f>IF(Settings!$E$15="POINTS",RANK(E62,E3:E213),H62)</f>
        <v>50</v>
      </c>
      <c r="D62" s="65" t="str">
        <f>VLOOKUP(A62,'The List'!B1:F665,5,FALSE)</f>
        <v>CAR</v>
      </c>
      <c r="E62" s="54">
        <f>VLOOKUP(A62,'The List'!B1:I665,8,FALSE)</f>
        <v>238.83447013887519</v>
      </c>
      <c r="F62" s="54">
        <f>IF(Settings!$E$15="POINTS",E62-VLOOKUP(B$2,C1:E213,3,FALSE),J62)</f>
        <v>-97.399654906719718</v>
      </c>
      <c r="G62" s="54"/>
      <c r="H62" s="167">
        <f>RANK(I62,I3:I213)</f>
        <v>41</v>
      </c>
      <c r="I62" s="168">
        <f>VLOOKUP(A62,'Standard Deviations'!A1:C666,3,FALSE)</f>
        <v>2.1943393176831267</v>
      </c>
      <c r="J62" s="168">
        <f>I62-VLOOKUP(B$2,H1:J213,2,FALSE)</f>
        <v>-2.5123194389179084</v>
      </c>
    </row>
    <row r="63" spans="1:10" ht="21.25" customHeight="1" x14ac:dyDescent="0.15">
      <c r="A63" s="9" t="s">
        <v>311</v>
      </c>
      <c r="B63" s="173" t="str">
        <f>VLOOKUP(A63,'The List'!B1:D665,3,FALSE)</f>
        <v>D</v>
      </c>
      <c r="C63" s="174">
        <f>IF(Settings!$E$15="POINTS",RANK(E63,E3:E213),H63)</f>
        <v>52</v>
      </c>
      <c r="D63" s="65" t="str">
        <f>VLOOKUP(A63,'The List'!B1:F665,5,FALSE)</f>
        <v>BUF</v>
      </c>
      <c r="E63" s="54">
        <f>VLOOKUP(A63,'The List'!B1:I665,8,FALSE)</f>
        <v>236.02464266603423</v>
      </c>
      <c r="F63" s="54">
        <f>IF(Settings!$E$15="POINTS",E63-VLOOKUP(B$2,C1:E213,3,FALSE),J63)</f>
        <v>-100.20948237956068</v>
      </c>
      <c r="G63" s="54"/>
      <c r="H63" s="167">
        <f>RANK(I63,I3:I213)</f>
        <v>61</v>
      </c>
      <c r="I63" s="168">
        <f>VLOOKUP(A63,'Standard Deviations'!A1:C666,3,FALSE)</f>
        <v>0.49006845000347615</v>
      </c>
      <c r="J63" s="168">
        <f>I63-VLOOKUP(B$2,H1:J213,2,FALSE)</f>
        <v>-4.216590306597559</v>
      </c>
    </row>
    <row r="64" spans="1:10" ht="21.25" customHeight="1" x14ac:dyDescent="0.15">
      <c r="A64" s="9" t="s">
        <v>315</v>
      </c>
      <c r="B64" s="173" t="str">
        <f>VLOOKUP(A64,'The List'!B1:D665,3,FALSE)</f>
        <v>D</v>
      </c>
      <c r="C64" s="174">
        <f>IF(Settings!$E$15="POINTS",RANK(E64,E3:E213),H64)</f>
        <v>54</v>
      </c>
      <c r="D64" s="65" t="str">
        <f>VLOOKUP(A64,'The List'!B1:F665,5,FALSE)</f>
        <v>CAR</v>
      </c>
      <c r="E64" s="54">
        <f>VLOOKUP(A64,'The List'!B1:I665,8,FALSE)</f>
        <v>233.32090496232988</v>
      </c>
      <c r="F64" s="54">
        <f>IF(Settings!$E$15="POINTS",E64-VLOOKUP(B$2,C1:E213,3,FALSE),J64)</f>
        <v>-102.91322008326503</v>
      </c>
      <c r="G64" s="54"/>
      <c r="H64" s="167">
        <f>RANK(I64,I3:I213)</f>
        <v>57</v>
      </c>
      <c r="I64" s="168">
        <f>VLOOKUP(A64,'Standard Deviations'!A1:C666,3,FALSE)</f>
        <v>0.76132058129948388</v>
      </c>
      <c r="J64" s="168">
        <f>I64-VLOOKUP(B$2,H1:J213,2,FALSE)</f>
        <v>-3.9453381753015515</v>
      </c>
    </row>
    <row r="65" spans="1:10" ht="21.25" customHeight="1" x14ac:dyDescent="0.15">
      <c r="A65" s="9" t="s">
        <v>313</v>
      </c>
      <c r="B65" s="173" t="str">
        <f>VLOOKUP(A65,'The List'!B1:D665,3,FALSE)</f>
        <v>D</v>
      </c>
      <c r="C65" s="174">
        <f>IF(Settings!$E$15="POINTS",RANK(E65,E3:E213),H65)</f>
        <v>53</v>
      </c>
      <c r="D65" s="65" t="str">
        <f>VLOOKUP(A65,'The List'!B1:F665,5,FALSE)</f>
        <v>WPG</v>
      </c>
      <c r="E65" s="54">
        <f>VLOOKUP(A65,'The List'!B1:I665,8,FALSE)</f>
        <v>235.10597233919302</v>
      </c>
      <c r="F65" s="54">
        <f>IF(Settings!$E$15="POINTS",E65-VLOOKUP(B$2,C1:E213,3,FALSE),J65)</f>
        <v>-101.12815270640189</v>
      </c>
      <c r="G65" s="54"/>
      <c r="H65" s="167">
        <f>RANK(I65,I3:I213)</f>
        <v>54</v>
      </c>
      <c r="I65" s="168">
        <f>VLOOKUP(A65,'Standard Deviations'!A1:C666,3,FALSE)</f>
        <v>0.81304904332918171</v>
      </c>
      <c r="J65" s="168">
        <f>I65-VLOOKUP(B$2,H1:J213,2,FALSE)</f>
        <v>-3.8936097132718537</v>
      </c>
    </row>
    <row r="66" spans="1:10" ht="21.25" customHeight="1" x14ac:dyDescent="0.15">
      <c r="A66" s="9" t="s">
        <v>323</v>
      </c>
      <c r="B66" s="173" t="str">
        <f>VLOOKUP(A66,'The List'!B1:D665,3,FALSE)</f>
        <v>D</v>
      </c>
      <c r="C66" s="174">
        <f>IF(Settings!$E$15="POINTS",RANK(E66,E3:E213),H66)</f>
        <v>57</v>
      </c>
      <c r="D66" s="65" t="str">
        <f>VLOOKUP(A66,'The List'!B1:F665,5,FALSE)</f>
        <v>WSH</v>
      </c>
      <c r="E66" s="54">
        <f>VLOOKUP(A66,'The List'!B1:I665,8,FALSE)</f>
        <v>229.58961648312209</v>
      </c>
      <c r="F66" s="54">
        <f>IF(Settings!$E$15="POINTS",E66-VLOOKUP(B$2,C1:E213,3,FALSE),J66)</f>
        <v>-106.64450856247282</v>
      </c>
      <c r="G66" s="54"/>
      <c r="H66" s="167">
        <f>RANK(I66,I3:I213)</f>
        <v>52</v>
      </c>
      <c r="I66" s="168">
        <f>VLOOKUP(A66,'Standard Deviations'!A1:C666,3,FALSE)</f>
        <v>0.85398405343927952</v>
      </c>
      <c r="J66" s="168">
        <f>I66-VLOOKUP(B$2,H1:J213,2,FALSE)</f>
        <v>-3.8526747031617559</v>
      </c>
    </row>
    <row r="67" spans="1:10" ht="21.25" customHeight="1" x14ac:dyDescent="0.15">
      <c r="A67" s="9" t="s">
        <v>352</v>
      </c>
      <c r="B67" s="173" t="str">
        <f>VLOOKUP(A67,'The List'!B1:D665,3,FALSE)</f>
        <v>D</v>
      </c>
      <c r="C67" s="174">
        <f>IF(Settings!$E$15="POINTS",RANK(E67,E3:E213),H67)</f>
        <v>67</v>
      </c>
      <c r="D67" s="65" t="str">
        <f>VLOOKUP(A67,'The List'!B1:F665,5,FALSE)</f>
        <v>NYI</v>
      </c>
      <c r="E67" s="54">
        <f>VLOOKUP(A67,'The List'!B1:I665,8,FALSE)</f>
        <v>214.09403455488984</v>
      </c>
      <c r="F67" s="54">
        <f>IF(Settings!$E$15="POINTS",E67-VLOOKUP(B$2,C1:E213,3,FALSE),J67)</f>
        <v>-122.14009049070506</v>
      </c>
      <c r="G67" s="54"/>
      <c r="H67" s="167">
        <f>RANK(I67,I3:I213)</f>
        <v>55</v>
      </c>
      <c r="I67" s="168">
        <f>VLOOKUP(A67,'Standard Deviations'!A1:C666,3,FALSE)</f>
        <v>0.77883248300134134</v>
      </c>
      <c r="J67" s="168">
        <f>I67-VLOOKUP(B$2,H1:J213,2,FALSE)</f>
        <v>-3.9278262735996936</v>
      </c>
    </row>
    <row r="68" spans="1:10" ht="21.25" customHeight="1" x14ac:dyDescent="0.15">
      <c r="A68" s="9" t="s">
        <v>422</v>
      </c>
      <c r="B68" s="173" t="str">
        <f>VLOOKUP(A68,'The List'!B1:D665,3,FALSE)</f>
        <v>D</v>
      </c>
      <c r="C68" s="174">
        <f>IF(Settings!$E$15="POINTS",RANK(E68,E3:E213),H68)</f>
        <v>93</v>
      </c>
      <c r="D68" s="65" t="str">
        <f>VLOOKUP(A68,'The List'!B1:F665,5,FALSE)</f>
        <v>FLA</v>
      </c>
      <c r="E68" s="54">
        <f>VLOOKUP(A68,'The List'!B1:I665,8,FALSE)</f>
        <v>186.88625103604599</v>
      </c>
      <c r="F68" s="54">
        <f>IF(Settings!$E$15="POINTS",E68-VLOOKUP(B$2,C1:E213,3,FALSE),J68)</f>
        <v>-149.34787400954892</v>
      </c>
      <c r="G68" s="54"/>
      <c r="H68" s="167">
        <f>RANK(I68,I3:I213)</f>
        <v>139</v>
      </c>
      <c r="I68" s="168">
        <f>VLOOKUP(A68,'Standard Deviations'!A1:C666,3,FALSE)</f>
        <v>-2.312013299902925</v>
      </c>
      <c r="J68" s="168">
        <f>I68-VLOOKUP(B$2,H1:J213,2,FALSE)</f>
        <v>-7.0186720565039602</v>
      </c>
    </row>
    <row r="69" spans="1:10" ht="21.25" customHeight="1" x14ac:dyDescent="0.15">
      <c r="A69" s="9" t="s">
        <v>321</v>
      </c>
      <c r="B69" s="173" t="str">
        <f>VLOOKUP(A69,'The List'!B1:D665,3,FALSE)</f>
        <v>D</v>
      </c>
      <c r="C69" s="174">
        <f>IF(Settings!$E$15="POINTS",RANK(E69,E3:E213),H69)</f>
        <v>56</v>
      </c>
      <c r="D69" s="65" t="str">
        <f>VLOOKUP(A69,'The List'!B1:F665,5,FALSE)</f>
        <v>CBJ</v>
      </c>
      <c r="E69" s="54">
        <f>VLOOKUP(A69,'The List'!B1:I665,8,FALSE)</f>
        <v>230.88666318649393</v>
      </c>
      <c r="F69" s="54">
        <f>IF(Settings!$E$15="POINTS",E69-VLOOKUP(B$2,C1:E213,3,FALSE),J69)</f>
        <v>-105.34746185910097</v>
      </c>
      <c r="G69" s="54"/>
      <c r="H69" s="167">
        <f>RANK(I69,I3:I213)</f>
        <v>99</v>
      </c>
      <c r="I69" s="168">
        <f>VLOOKUP(A69,'Standard Deviations'!A1:C666,3,FALSE)</f>
        <v>-1.2929991049403491</v>
      </c>
      <c r="J69" s="168">
        <f>I69-VLOOKUP(B$2,H1:J213,2,FALSE)</f>
        <v>-5.999657861541384</v>
      </c>
    </row>
    <row r="70" spans="1:10" ht="21.25" customHeight="1" x14ac:dyDescent="0.15">
      <c r="A70" s="9" t="s">
        <v>326</v>
      </c>
      <c r="B70" s="173" t="str">
        <f>VLOOKUP(A70,'The List'!B1:D665,3,FALSE)</f>
        <v>D</v>
      </c>
      <c r="C70" s="174">
        <f>IF(Settings!$E$15="POINTS",RANK(E70,E3:E213),H70)</f>
        <v>58</v>
      </c>
      <c r="D70" s="65" t="str">
        <f>VLOOKUP(A70,'The List'!B1:F665,5,FALSE)</f>
        <v>NYR</v>
      </c>
      <c r="E70" s="54">
        <f>VLOOKUP(A70,'The List'!B1:I665,8,FALSE)</f>
        <v>229.17117317210122</v>
      </c>
      <c r="F70" s="54">
        <f>IF(Settings!$E$15="POINTS",E70-VLOOKUP(B$2,C1:E213,3,FALSE),J70)</f>
        <v>-107.06295187349369</v>
      </c>
      <c r="G70" s="54"/>
      <c r="H70" s="167">
        <f>RANK(I70,I3:I213)</f>
        <v>60</v>
      </c>
      <c r="I70" s="168">
        <f>VLOOKUP(A70,'Standard Deviations'!A1:C666,3,FALSE)</f>
        <v>0.57868222232120403</v>
      </c>
      <c r="J70" s="168">
        <f>I70-VLOOKUP(B$2,H1:J213,2,FALSE)</f>
        <v>-4.1279765342798314</v>
      </c>
    </row>
    <row r="71" spans="1:10" ht="21.25" customHeight="1" x14ac:dyDescent="0.15">
      <c r="A71" s="9" t="s">
        <v>340</v>
      </c>
      <c r="B71" s="173" t="str">
        <f>VLOOKUP(A71,'The List'!B1:D665,3,FALSE)</f>
        <v>D</v>
      </c>
      <c r="C71" s="174">
        <f>IF(Settings!$E$15="POINTS",RANK(E71,E3:E213),H71)</f>
        <v>61</v>
      </c>
      <c r="D71" s="65" t="str">
        <f>VLOOKUP(A71,'The List'!B1:F665,5,FALSE)</f>
        <v>DAL</v>
      </c>
      <c r="E71" s="54">
        <f>VLOOKUP(A71,'The List'!B1:I665,8,FALSE)</f>
        <v>223.64287816506956</v>
      </c>
      <c r="F71" s="54">
        <f>IF(Settings!$E$15="POINTS",E71-VLOOKUP(B$2,C1:E213,3,FALSE),J71)</f>
        <v>-112.59124688052535</v>
      </c>
      <c r="G71" s="54"/>
      <c r="H71" s="167">
        <f>RANK(I71,I3:I213)</f>
        <v>47</v>
      </c>
      <c r="I71" s="168">
        <f>VLOOKUP(A71,'Standard Deviations'!A1:C666,3,FALSE)</f>
        <v>1.4523653015156559</v>
      </c>
      <c r="J71" s="168">
        <f>I71-VLOOKUP(B$2,H1:J213,2,FALSE)</f>
        <v>-3.2542934550853793</v>
      </c>
    </row>
    <row r="72" spans="1:10" ht="21.25" customHeight="1" x14ac:dyDescent="0.15">
      <c r="A72" s="9" t="s">
        <v>410</v>
      </c>
      <c r="B72" s="173" t="str">
        <f>VLOOKUP(A72,'The List'!B1:D665,3,FALSE)</f>
        <v>D</v>
      </c>
      <c r="C72" s="174">
        <f>IF(Settings!$E$15="POINTS",RANK(E72,E3:E213),H72)</f>
        <v>87</v>
      </c>
      <c r="D72" s="65" t="str">
        <f>VLOOKUP(A72,'The List'!B1:F665,5,FALSE)</f>
        <v>BUF</v>
      </c>
      <c r="E72" s="54">
        <f>VLOOKUP(A72,'The List'!B1:I665,8,FALSE)</f>
        <v>190.75215275575277</v>
      </c>
      <c r="F72" s="54">
        <f>IF(Settings!$E$15="POINTS",E72-VLOOKUP(B$2,C1:E213,3,FALSE),J72)</f>
        <v>-145.48197228984213</v>
      </c>
      <c r="G72" s="54"/>
      <c r="H72" s="167">
        <f>RANK(I72,I3:I213)</f>
        <v>97</v>
      </c>
      <c r="I72" s="168">
        <f>VLOOKUP(A72,'Standard Deviations'!A1:C666,3,FALSE)</f>
        <v>-1.2457054715590907</v>
      </c>
      <c r="J72" s="168">
        <f>I72-VLOOKUP(B$2,H1:J213,2,FALSE)</f>
        <v>-5.9523642281601257</v>
      </c>
    </row>
    <row r="73" spans="1:10" ht="21.25" customHeight="1" x14ac:dyDescent="0.15">
      <c r="A73" s="9" t="s">
        <v>351</v>
      </c>
      <c r="B73" s="173" t="str">
        <f>VLOOKUP(A73,'The List'!B1:D665,3,FALSE)</f>
        <v>D</v>
      </c>
      <c r="C73" s="174">
        <f>IF(Settings!$E$15="POINTS",RANK(E73,E3:E213),H73)</f>
        <v>66</v>
      </c>
      <c r="D73" s="65" t="str">
        <f>VLOOKUP(A73,'The List'!B1:F665,5,FALSE)</f>
        <v>PIT</v>
      </c>
      <c r="E73" s="54">
        <f>VLOOKUP(A73,'The List'!B1:I665,8,FALSE)</f>
        <v>214.12143558342504</v>
      </c>
      <c r="F73" s="54">
        <f>IF(Settings!$E$15="POINTS",E73-VLOOKUP(B$2,C1:E213,3,FALSE),J73)</f>
        <v>-122.11268946216987</v>
      </c>
      <c r="G73" s="54"/>
      <c r="H73" s="167">
        <f>RANK(I73,I3:I213)</f>
        <v>67</v>
      </c>
      <c r="I73" s="168">
        <f>VLOOKUP(A73,'Standard Deviations'!A1:C666,3,FALSE)</f>
        <v>0.23759705727546188</v>
      </c>
      <c r="J73" s="168">
        <f>I73-VLOOKUP(B$2,H1:J213,2,FALSE)</f>
        <v>-4.4690616993255734</v>
      </c>
    </row>
    <row r="74" spans="1:10" ht="21.25" customHeight="1" x14ac:dyDescent="0.15">
      <c r="A74" s="9" t="s">
        <v>444</v>
      </c>
      <c r="B74" s="173" t="str">
        <f>VLOOKUP(A74,'The List'!B1:D665,3,FALSE)</f>
        <v>D</v>
      </c>
      <c r="C74" s="174">
        <f>IF(Settings!$E$15="POINTS",RANK(E74,E3:E213),H74)</f>
        <v>105</v>
      </c>
      <c r="D74" s="65" t="str">
        <f>VLOOKUP(A74,'The List'!B1:F665,5,FALSE)</f>
        <v>S.J</v>
      </c>
      <c r="E74" s="54">
        <f>VLOOKUP(A74,'The List'!B1:I665,8,FALSE)</f>
        <v>177.18194352419883</v>
      </c>
      <c r="F74" s="54">
        <f>IF(Settings!$E$15="POINTS",E74-VLOOKUP(B$2,C1:E213,3,FALSE),J74)</f>
        <v>-159.05218152139608</v>
      </c>
      <c r="G74" s="54"/>
      <c r="H74" s="167">
        <f>RANK(I74,I3:I213)</f>
        <v>163</v>
      </c>
      <c r="I74" s="168">
        <f>VLOOKUP(A74,'Standard Deviations'!A1:C666,3,FALSE)</f>
        <v>-2.9300851517245432</v>
      </c>
      <c r="J74" s="168">
        <f>I74-VLOOKUP(B$2,H1:J213,2,FALSE)</f>
        <v>-7.6367439083255784</v>
      </c>
    </row>
    <row r="75" spans="1:10" ht="21.25" customHeight="1" x14ac:dyDescent="0.15">
      <c r="A75" s="9" t="s">
        <v>356</v>
      </c>
      <c r="B75" s="173" t="str">
        <f>VLOOKUP(A75,'The List'!B1:D665,3,FALSE)</f>
        <v>D</v>
      </c>
      <c r="C75" s="174">
        <f>IF(Settings!$E$15="POINTS",RANK(E75,E3:E213),H75)</f>
        <v>68</v>
      </c>
      <c r="D75" s="65" t="str">
        <f>VLOOKUP(A75,'The List'!B1:F665,5,FALSE)</f>
        <v>CBJ</v>
      </c>
      <c r="E75" s="54">
        <f>VLOOKUP(A75,'The List'!B1:I665,8,FALSE)</f>
        <v>211.75731156785469</v>
      </c>
      <c r="F75" s="54">
        <f>IF(Settings!$E$15="POINTS",E75-VLOOKUP(B$2,C1:E213,3,FALSE),J75)</f>
        <v>-124.47681347774022</v>
      </c>
      <c r="G75" s="54"/>
      <c r="H75" s="167">
        <f>RANK(I75,I3:I213)</f>
        <v>127</v>
      </c>
      <c r="I75" s="168">
        <f>VLOOKUP(A75,'Standard Deviations'!A1:C666,3,FALSE)</f>
        <v>-2.1105061141590324</v>
      </c>
      <c r="J75" s="168">
        <f>I75-VLOOKUP(B$2,H1:J213,2,FALSE)</f>
        <v>-6.8171648707600676</v>
      </c>
    </row>
    <row r="76" spans="1:10" ht="21.25" customHeight="1" x14ac:dyDescent="0.15">
      <c r="A76" s="9" t="s">
        <v>344</v>
      </c>
      <c r="B76" s="173" t="str">
        <f>VLOOKUP(A76,'The List'!B1:D665,3,FALSE)</f>
        <v>D</v>
      </c>
      <c r="C76" s="174">
        <f>IF(Settings!$E$15="POINTS",RANK(E76,E3:E213),H76)</f>
        <v>64</v>
      </c>
      <c r="D76" s="65" t="str">
        <f>VLOOKUP(A76,'The List'!B1:F665,5,FALSE)</f>
        <v>ANA</v>
      </c>
      <c r="E76" s="54">
        <f>VLOOKUP(A76,'The List'!B1:I665,8,FALSE)</f>
        <v>217.68186399077999</v>
      </c>
      <c r="F76" s="54">
        <f>IF(Settings!$E$15="POINTS",E76-VLOOKUP(B$2,C1:E213,3,FALSE),J76)</f>
        <v>-118.55226105481492</v>
      </c>
      <c r="G76" s="54"/>
      <c r="H76" s="167">
        <f>RANK(I76,I3:I213)</f>
        <v>130</v>
      </c>
      <c r="I76" s="168">
        <f>VLOOKUP(A76,'Standard Deviations'!A1:C666,3,FALSE)</f>
        <v>-2.2078194803552367</v>
      </c>
      <c r="J76" s="168">
        <f>I76-VLOOKUP(B$2,H1:J213,2,FALSE)</f>
        <v>-6.9144782369562723</v>
      </c>
    </row>
    <row r="77" spans="1:10" ht="21.25" customHeight="1" x14ac:dyDescent="0.15">
      <c r="A77" s="9" t="s">
        <v>380</v>
      </c>
      <c r="B77" s="173" t="str">
        <f>VLOOKUP(A77,'The List'!B1:D665,3,FALSE)</f>
        <v>D</v>
      </c>
      <c r="C77" s="174">
        <f>IF(Settings!$E$15="POINTS",RANK(E77,E3:E213),H77)</f>
        <v>75</v>
      </c>
      <c r="D77" s="65" t="str">
        <f>VLOOKUP(A77,'The List'!B1:F665,5,FALSE)</f>
        <v>DET</v>
      </c>
      <c r="E77" s="54">
        <f>VLOOKUP(A77,'The List'!B1:I665,8,FALSE)</f>
        <v>202.95004008629402</v>
      </c>
      <c r="F77" s="54">
        <f>IF(Settings!$E$15="POINTS",E77-VLOOKUP(B$2,C1:E213,3,FALSE),J77)</f>
        <v>-133.28408495930088</v>
      </c>
      <c r="G77" s="54"/>
      <c r="H77" s="167">
        <f>RANK(I77,I3:I213)</f>
        <v>72</v>
      </c>
      <c r="I77" s="168">
        <f>VLOOKUP(A77,'Standard Deviations'!A1:C666,3,FALSE)</f>
        <v>-0.2858413733326961</v>
      </c>
      <c r="J77" s="168">
        <f>I77-VLOOKUP(B$2,H1:J213,2,FALSE)</f>
        <v>-4.992500129933731</v>
      </c>
    </row>
    <row r="78" spans="1:10" ht="21.25" customHeight="1" x14ac:dyDescent="0.15">
      <c r="A78" s="9" t="s">
        <v>386</v>
      </c>
      <c r="B78" s="173" t="str">
        <f>VLOOKUP(A78,'The List'!B1:D665,3,FALSE)</f>
        <v>D</v>
      </c>
      <c r="C78" s="174">
        <f>IF(Settings!$E$15="POINTS",RANK(E78,E3:E213),H78)</f>
        <v>77</v>
      </c>
      <c r="D78" s="65" t="str">
        <f>VLOOKUP(A78,'The List'!B1:F665,5,FALSE)</f>
        <v>CAR</v>
      </c>
      <c r="E78" s="54">
        <f>VLOOKUP(A78,'The List'!B1:I665,8,FALSE)</f>
        <v>198.88172078941989</v>
      </c>
      <c r="F78" s="54">
        <f>IF(Settings!$E$15="POINTS",E78-VLOOKUP(B$2,C1:E213,3,FALSE),J78)</f>
        <v>-137.35240425617502</v>
      </c>
      <c r="G78" s="54"/>
      <c r="H78" s="167">
        <f>RANK(I78,I3:I213)</f>
        <v>76</v>
      </c>
      <c r="I78" s="168">
        <f>VLOOKUP(A78,'Standard Deviations'!A1:C666,3,FALSE)</f>
        <v>-0.50769146001088306</v>
      </c>
      <c r="J78" s="168">
        <f>I78-VLOOKUP(B$2,H1:J213,2,FALSE)</f>
        <v>-5.2143502166119182</v>
      </c>
    </row>
    <row r="79" spans="1:10" ht="21.25" customHeight="1" x14ac:dyDescent="0.15">
      <c r="A79" s="9" t="s">
        <v>374</v>
      </c>
      <c r="B79" s="173" t="str">
        <f>VLOOKUP(A79,'The List'!B1:D665,3,FALSE)</f>
        <v>D</v>
      </c>
      <c r="C79" s="174">
        <f>IF(Settings!$E$15="POINTS",RANK(E79,E3:E213),H79)</f>
        <v>73</v>
      </c>
      <c r="D79" s="65" t="str">
        <f>VLOOKUP(A79,'The List'!B1:F665,5,FALSE)</f>
        <v>S.J</v>
      </c>
      <c r="E79" s="54">
        <f>VLOOKUP(A79,'The List'!B1:I665,8,FALSE)</f>
        <v>204.89737306625082</v>
      </c>
      <c r="F79" s="54">
        <f>IF(Settings!$E$15="POINTS",E79-VLOOKUP(B$2,C1:E213,3,FALSE),J79)</f>
        <v>-131.33675197934409</v>
      </c>
      <c r="G79" s="54"/>
      <c r="H79" s="167">
        <f>RANK(I79,I3:I213)</f>
        <v>166</v>
      </c>
      <c r="I79" s="168">
        <f>VLOOKUP(A79,'Standard Deviations'!A1:C666,3,FALSE)</f>
        <v>-3.0208098134641119</v>
      </c>
      <c r="J79" s="168">
        <f>I79-VLOOKUP(B$2,H1:J213,2,FALSE)</f>
        <v>-7.7274685700651471</v>
      </c>
    </row>
    <row r="80" spans="1:10" ht="21.25" customHeight="1" x14ac:dyDescent="0.15">
      <c r="A80" s="9" t="s">
        <v>409</v>
      </c>
      <c r="B80" s="173" t="str">
        <f>VLOOKUP(A80,'The List'!B1:D665,3,FALSE)</f>
        <v>D</v>
      </c>
      <c r="C80" s="174">
        <f>IF(Settings!$E$15="POINTS",RANK(E80,E3:E213),H80)</f>
        <v>86</v>
      </c>
      <c r="D80" s="65" t="str">
        <f>VLOOKUP(A80,'The List'!B1:F665,5,FALSE)</f>
        <v>TOR</v>
      </c>
      <c r="E80" s="54">
        <f>VLOOKUP(A80,'The List'!B1:I665,8,FALSE)</f>
        <v>191.78035235243823</v>
      </c>
      <c r="F80" s="54">
        <f>IF(Settings!$E$15="POINTS",E80-VLOOKUP(B$2,C1:E213,3,FALSE),J80)</f>
        <v>-144.45377269315668</v>
      </c>
      <c r="G80" s="54"/>
      <c r="H80" s="167">
        <f>RANK(I80,I3:I213)</f>
        <v>51</v>
      </c>
      <c r="I80" s="168">
        <f>VLOOKUP(A80,'Standard Deviations'!A1:C666,3,FALSE)</f>
        <v>0.89936647641106782</v>
      </c>
      <c r="J80" s="168">
        <f>I80-VLOOKUP(B$2,H1:J213,2,FALSE)</f>
        <v>-3.8072922801899676</v>
      </c>
    </row>
    <row r="81" spans="1:10" ht="21.25" customHeight="1" x14ac:dyDescent="0.15">
      <c r="A81" s="9" t="s">
        <v>375</v>
      </c>
      <c r="B81" s="173" t="str">
        <f>VLOOKUP(A81,'The List'!B1:D665,3,FALSE)</f>
        <v>D</v>
      </c>
      <c r="C81" s="174">
        <f>IF(Settings!$E$15="POINTS",RANK(E81,E3:E213),H81)</f>
        <v>74</v>
      </c>
      <c r="D81" s="65" t="str">
        <f>VLOOKUP(A81,'The List'!B1:F665,5,FALSE)</f>
        <v>TOR</v>
      </c>
      <c r="E81" s="54">
        <f>VLOOKUP(A81,'The List'!B1:I665,8,FALSE)</f>
        <v>204.8633641752445</v>
      </c>
      <c r="F81" s="54">
        <f>IF(Settings!$E$15="POINTS",E81-VLOOKUP(B$2,C1:E213,3,FALSE),J81)</f>
        <v>-131.37076087035041</v>
      </c>
      <c r="G81" s="54"/>
      <c r="H81" s="167">
        <f>RANK(I81,I3:I213)</f>
        <v>68</v>
      </c>
      <c r="I81" s="168">
        <f>VLOOKUP(A81,'Standard Deviations'!A1:C666,3,FALSE)</f>
        <v>0.16523580767176127</v>
      </c>
      <c r="J81" s="168">
        <f>I81-VLOOKUP(B$2,H1:J213,2,FALSE)</f>
        <v>-4.5414229489292737</v>
      </c>
    </row>
    <row r="82" spans="1:10" ht="21.25" customHeight="1" x14ac:dyDescent="0.15">
      <c r="A82" s="9" t="s">
        <v>373</v>
      </c>
      <c r="B82" s="173" t="str">
        <f>VLOOKUP(A82,'The List'!B1:D665,3,FALSE)</f>
        <v>D</v>
      </c>
      <c r="C82" s="174">
        <f>IF(Settings!$E$15="POINTS",RANK(E82,E3:E213),H82)</f>
        <v>72</v>
      </c>
      <c r="D82" s="65" t="str">
        <f>VLOOKUP(A82,'The List'!B1:F665,5,FALSE)</f>
        <v>CAR</v>
      </c>
      <c r="E82" s="54">
        <f>VLOOKUP(A82,'The List'!B1:I665,8,FALSE)</f>
        <v>205.46313669319628</v>
      </c>
      <c r="F82" s="54">
        <f>IF(Settings!$E$15="POINTS",E82-VLOOKUP(B$2,C1:E213,3,FALSE),J82)</f>
        <v>-130.77098835239863</v>
      </c>
      <c r="G82" s="54"/>
      <c r="H82" s="167">
        <f>RANK(I82,I3:I213)</f>
        <v>59</v>
      </c>
      <c r="I82" s="168">
        <f>VLOOKUP(A82,'Standard Deviations'!A1:C666,3,FALSE)</f>
        <v>0.62184198239606503</v>
      </c>
      <c r="J82" s="168">
        <f>I82-VLOOKUP(B$2,H1:J213,2,FALSE)</f>
        <v>-4.0848167742049704</v>
      </c>
    </row>
    <row r="83" spans="1:10" ht="21.25" customHeight="1" x14ac:dyDescent="0.15">
      <c r="A83" s="9" t="s">
        <v>424</v>
      </c>
      <c r="B83" s="173" t="str">
        <f>VLOOKUP(A83,'The List'!B1:D665,3,FALSE)</f>
        <v>D</v>
      </c>
      <c r="C83" s="174">
        <f>IF(Settings!$E$15="POINTS",RANK(E83,E3:E213),H83)</f>
        <v>95</v>
      </c>
      <c r="D83" s="65" t="str">
        <f>VLOOKUP(A83,'The List'!B1:F665,5,FALSE)</f>
        <v>STL</v>
      </c>
      <c r="E83" s="54">
        <f>VLOOKUP(A83,'The List'!B1:I665,8,FALSE)</f>
        <v>186.23727893374414</v>
      </c>
      <c r="F83" s="54">
        <f>IF(Settings!$E$15="POINTS",E83-VLOOKUP(B$2,C1:E213,3,FALSE),J83)</f>
        <v>-149.99684611185077</v>
      </c>
      <c r="G83" s="54"/>
      <c r="H83" s="167">
        <f>RANK(I83,I3:I213)</f>
        <v>65</v>
      </c>
      <c r="I83" s="168">
        <f>VLOOKUP(A83,'Standard Deviations'!A1:C666,3,FALSE)</f>
        <v>0.28311744457075561</v>
      </c>
      <c r="J83" s="168">
        <f>I83-VLOOKUP(B$2,H1:J213,2,FALSE)</f>
        <v>-4.4235413120302791</v>
      </c>
    </row>
    <row r="84" spans="1:10" ht="21.25" customHeight="1" x14ac:dyDescent="0.15">
      <c r="A84" s="9" t="s">
        <v>396</v>
      </c>
      <c r="B84" s="173" t="str">
        <f>VLOOKUP(A84,'The List'!B1:D665,3,FALSE)</f>
        <v>D</v>
      </c>
      <c r="C84" s="174">
        <f>IF(Settings!$E$15="POINTS",RANK(E84,E3:E213),H84)</f>
        <v>82</v>
      </c>
      <c r="D84" s="65" t="str">
        <f>VLOOKUP(A84,'The List'!B1:F665,5,FALSE)</f>
        <v>PHI</v>
      </c>
      <c r="E84" s="54">
        <f>VLOOKUP(A84,'The List'!B1:I665,8,FALSE)</f>
        <v>194.66167962890702</v>
      </c>
      <c r="F84" s="54">
        <f>IF(Settings!$E$15="POINTS",E84-VLOOKUP(B$2,C1:E213,3,FALSE),J84)</f>
        <v>-141.57244541668788</v>
      </c>
      <c r="G84" s="54"/>
      <c r="H84" s="167">
        <f>RANK(I84,I3:I213)</f>
        <v>83</v>
      </c>
      <c r="I84" s="168">
        <f>VLOOKUP(A84,'Standard Deviations'!A1:C666,3,FALSE)</f>
        <v>-0.71462461774356645</v>
      </c>
      <c r="J84" s="168">
        <f>I84-VLOOKUP(B$2,H1:J213,2,FALSE)</f>
        <v>-5.4212833743446014</v>
      </c>
    </row>
    <row r="85" spans="1:10" ht="21.25" customHeight="1" x14ac:dyDescent="0.15">
      <c r="A85" s="9" t="s">
        <v>382</v>
      </c>
      <c r="B85" s="173" t="str">
        <f>VLOOKUP(A85,'The List'!B1:D665,3,FALSE)</f>
        <v>D</v>
      </c>
      <c r="C85" s="174">
        <f>IF(Settings!$E$15="POINTS",RANK(E85,E3:E213),H85)</f>
        <v>76</v>
      </c>
      <c r="D85" s="65" t="str">
        <f>VLOOKUP(A85,'The List'!B1:F665,5,FALSE)</f>
        <v>N.J</v>
      </c>
      <c r="E85" s="54">
        <f>VLOOKUP(A85,'The List'!B1:I665,8,FALSE)</f>
        <v>201.05925869626995</v>
      </c>
      <c r="F85" s="54">
        <f>IF(Settings!$E$15="POINTS",E85-VLOOKUP(B$2,C1:E213,3,FALSE),J85)</f>
        <v>-135.17486634932496</v>
      </c>
      <c r="G85" s="54"/>
      <c r="H85" s="167">
        <f>RANK(I85,I3:I213)</f>
        <v>81</v>
      </c>
      <c r="I85" s="168">
        <f>VLOOKUP(A85,'Standard Deviations'!A1:C666,3,FALSE)</f>
        <v>-0.6172997086598625</v>
      </c>
      <c r="J85" s="168">
        <f>I85-VLOOKUP(B$2,H1:J213,2,FALSE)</f>
        <v>-5.3239584652608976</v>
      </c>
    </row>
    <row r="86" spans="1:10" ht="21.25" customHeight="1" x14ac:dyDescent="0.15">
      <c r="A86" s="9" t="s">
        <v>412</v>
      </c>
      <c r="B86" s="173" t="str">
        <f>VLOOKUP(A86,'The List'!B1:D665,3,FALSE)</f>
        <v>D</v>
      </c>
      <c r="C86" s="174">
        <f>IF(Settings!$E$15="POINTS",RANK(E86,E3:E213),H86)</f>
        <v>88</v>
      </c>
      <c r="D86" s="65" t="str">
        <f>VLOOKUP(A86,'The List'!B1:F665,5,FALSE)</f>
        <v>NSH</v>
      </c>
      <c r="E86" s="54">
        <f>VLOOKUP(A86,'The List'!B1:I665,8,FALSE)</f>
        <v>190.00672664572153</v>
      </c>
      <c r="F86" s="54">
        <f>IF(Settings!$E$15="POINTS",E86-VLOOKUP(B$2,C1:E213,3,FALSE),J86)</f>
        <v>-146.22739839987338</v>
      </c>
      <c r="G86" s="54"/>
      <c r="H86" s="167">
        <f>RANK(I86,I3:I213)</f>
        <v>89</v>
      </c>
      <c r="I86" s="168">
        <f>VLOOKUP(A86,'Standard Deviations'!A1:C666,3,FALSE)</f>
        <v>-0.92814682021043493</v>
      </c>
      <c r="J86" s="168">
        <f>I86-VLOOKUP(B$2,H1:J213,2,FALSE)</f>
        <v>-5.6348055768114698</v>
      </c>
    </row>
    <row r="87" spans="1:10" ht="21.25" customHeight="1" x14ac:dyDescent="0.15">
      <c r="A87" s="9" t="s">
        <v>391</v>
      </c>
      <c r="B87" s="173" t="str">
        <f>VLOOKUP(A87,'The List'!B1:D665,3,FALSE)</f>
        <v>D</v>
      </c>
      <c r="C87" s="174">
        <f>IF(Settings!$E$15="POINTS",RANK(E87,E3:E213),H87)</f>
        <v>80</v>
      </c>
      <c r="D87" s="65" t="str">
        <f>VLOOKUP(A87,'The List'!B1:F665,5,FALSE)</f>
        <v>T.B</v>
      </c>
      <c r="E87" s="54">
        <f>VLOOKUP(A87,'The List'!B1:I665,8,FALSE)</f>
        <v>198.0093520320506</v>
      </c>
      <c r="F87" s="54">
        <f>IF(Settings!$E$15="POINTS",E87-VLOOKUP(B$2,C1:E213,3,FALSE),J87)</f>
        <v>-138.22477301354431</v>
      </c>
      <c r="G87" s="54"/>
      <c r="H87" s="167">
        <f>RANK(I87,I3:I213)</f>
        <v>64</v>
      </c>
      <c r="I87" s="168">
        <f>VLOOKUP(A87,'Standard Deviations'!A1:C666,3,FALSE)</f>
        <v>0.29237715368897721</v>
      </c>
      <c r="J87" s="168">
        <f>I87-VLOOKUP(B$2,H1:J213,2,FALSE)</f>
        <v>-4.414281602912058</v>
      </c>
    </row>
    <row r="88" spans="1:10" ht="21.25" customHeight="1" x14ac:dyDescent="0.15">
      <c r="A88" s="9" t="s">
        <v>399</v>
      </c>
      <c r="B88" s="173" t="str">
        <f>VLOOKUP(A88,'The List'!B1:D665,3,FALSE)</f>
        <v>D</v>
      </c>
      <c r="C88" s="174">
        <f>IF(Settings!$E$15="POINTS",RANK(E88,E3:E213),H88)</f>
        <v>83</v>
      </c>
      <c r="D88" s="65" t="str">
        <f>VLOOKUP(A88,'The List'!B1:F665,5,FALSE)</f>
        <v>STL</v>
      </c>
      <c r="E88" s="54">
        <f>VLOOKUP(A88,'The List'!B1:I665,8,FALSE)</f>
        <v>193.80865739765272</v>
      </c>
      <c r="F88" s="54">
        <f>IF(Settings!$E$15="POINTS",E88-VLOOKUP(B$2,C1:E213,3,FALSE),J88)</f>
        <v>-142.42546764794218</v>
      </c>
      <c r="G88" s="54"/>
      <c r="H88" s="167">
        <f>RANK(I88,I3:I213)</f>
        <v>142</v>
      </c>
      <c r="I88" s="168">
        <f>VLOOKUP(A88,'Standard Deviations'!A1:C666,3,FALSE)</f>
        <v>-2.4455853079974319</v>
      </c>
      <c r="J88" s="168">
        <f>I88-VLOOKUP(B$2,H1:J213,2,FALSE)</f>
        <v>-7.1522440645984666</v>
      </c>
    </row>
    <row r="89" spans="1:10" ht="21.25" customHeight="1" x14ac:dyDescent="0.15">
      <c r="A89" s="9" t="s">
        <v>372</v>
      </c>
      <c r="B89" s="173" t="str">
        <f>VLOOKUP(A89,'The List'!B1:D665,3,FALSE)</f>
        <v>D</v>
      </c>
      <c r="C89" s="174">
        <f>IF(Settings!$E$15="POINTS",RANK(E89,E3:E213),H89)</f>
        <v>71</v>
      </c>
      <c r="D89" s="65" t="str">
        <f>VLOOKUP(A89,'The List'!B1:F665,5,FALSE)</f>
        <v>SEA</v>
      </c>
      <c r="E89" s="54">
        <f>VLOOKUP(A89,'The List'!B1:I665,8,FALSE)</f>
        <v>205.71998536235219</v>
      </c>
      <c r="F89" s="54">
        <f>IF(Settings!$E$15="POINTS",E89-VLOOKUP(B$2,C1:E213,3,FALSE),J89)</f>
        <v>-130.51413968324272</v>
      </c>
      <c r="G89" s="54"/>
      <c r="H89" s="167">
        <f>RANK(I89,I3:I213)</f>
        <v>78</v>
      </c>
      <c r="I89" s="168">
        <f>VLOOKUP(A89,'Standard Deviations'!A1:C666,3,FALSE)</f>
        <v>-0.5314197766885389</v>
      </c>
      <c r="J89" s="168">
        <f>I89-VLOOKUP(B$2,H1:J213,2,FALSE)</f>
        <v>-5.2380785332895741</v>
      </c>
    </row>
    <row r="90" spans="1:10" ht="21.25" customHeight="1" x14ac:dyDescent="0.15">
      <c r="A90" s="9" t="s">
        <v>430</v>
      </c>
      <c r="B90" s="173" t="str">
        <f>VLOOKUP(A90,'The List'!B1:D665,3,FALSE)</f>
        <v>D</v>
      </c>
      <c r="C90" s="174">
        <f>IF(Settings!$E$15="POINTS",RANK(E90,E3:E213),H90)</f>
        <v>100</v>
      </c>
      <c r="D90" s="65" t="str">
        <f>VLOOKUP(A90,'The List'!B1:F665,5,FALSE)</f>
        <v>MTL</v>
      </c>
      <c r="E90" s="54">
        <f>VLOOKUP(A90,'The List'!B1:I665,8,FALSE)</f>
        <v>183.74707950861497</v>
      </c>
      <c r="F90" s="54">
        <f>IF(Settings!$E$15="POINTS",E90-VLOOKUP(B$2,C1:E213,3,FALSE),J90)</f>
        <v>-152.48704553697993</v>
      </c>
      <c r="G90" s="54"/>
      <c r="H90" s="167">
        <f>RANK(I90,I3:I213)</f>
        <v>128</v>
      </c>
      <c r="I90" s="168">
        <f>VLOOKUP(A90,'Standard Deviations'!A1:C666,3,FALSE)</f>
        <v>-2.1571160400596261</v>
      </c>
      <c r="J90" s="168">
        <f>I90-VLOOKUP(B$2,H1:J213,2,FALSE)</f>
        <v>-6.8637747966606613</v>
      </c>
    </row>
    <row r="91" spans="1:10" ht="21.25" customHeight="1" x14ac:dyDescent="0.15">
      <c r="A91" s="9" t="s">
        <v>423</v>
      </c>
      <c r="B91" s="173" t="str">
        <f>VLOOKUP(A91,'The List'!B1:D665,3,FALSE)</f>
        <v>D</v>
      </c>
      <c r="C91" s="174">
        <f>IF(Settings!$E$15="POINTS",RANK(E91,E3:E213),H91)</f>
        <v>94</v>
      </c>
      <c r="D91" s="65" t="str">
        <f>VLOOKUP(A91,'The List'!B1:F665,5,FALSE)</f>
        <v>NYI</v>
      </c>
      <c r="E91" s="54">
        <f>VLOOKUP(A91,'The List'!B1:I665,8,FALSE)</f>
        <v>186.38260251648046</v>
      </c>
      <c r="F91" s="54">
        <f>IF(Settings!$E$15="POINTS",E91-VLOOKUP(B$2,C1:E213,3,FALSE),J91)</f>
        <v>-149.85152252911445</v>
      </c>
      <c r="G91" s="54"/>
      <c r="H91" s="167">
        <f>RANK(I91,I3:I213)</f>
        <v>82</v>
      </c>
      <c r="I91" s="168">
        <f>VLOOKUP(A91,'Standard Deviations'!A1:C666,3,FALSE)</f>
        <v>-0.70675082339438688</v>
      </c>
      <c r="J91" s="168">
        <f>I91-VLOOKUP(B$2,H1:J213,2,FALSE)</f>
        <v>-5.413409579995422</v>
      </c>
    </row>
    <row r="92" spans="1:10" ht="21.25" customHeight="1" x14ac:dyDescent="0.15">
      <c r="A92" s="9" t="s">
        <v>392</v>
      </c>
      <c r="B92" s="173" t="str">
        <f>VLOOKUP(A92,'The List'!B1:D665,3,FALSE)</f>
        <v>D</v>
      </c>
      <c r="C92" s="174">
        <f>IF(Settings!$E$15="POINTS",RANK(E92,E3:E213),H92)</f>
        <v>81</v>
      </c>
      <c r="D92" s="65" t="str">
        <f>VLOOKUP(A92,'The List'!B1:F665,5,FALSE)</f>
        <v>TOR</v>
      </c>
      <c r="E92" s="54">
        <f>VLOOKUP(A92,'The List'!B1:I665,8,FALSE)</f>
        <v>196.25628673504207</v>
      </c>
      <c r="F92" s="54">
        <f>IF(Settings!$E$15="POINTS",E92-VLOOKUP(B$2,C1:E213,3,FALSE),J92)</f>
        <v>-139.97783831055284</v>
      </c>
      <c r="G92" s="54"/>
      <c r="H92" s="167">
        <f>RANK(I92,I3:I213)</f>
        <v>56</v>
      </c>
      <c r="I92" s="168">
        <f>VLOOKUP(A92,'Standard Deviations'!A1:C666,3,FALSE)</f>
        <v>0.77697507999395654</v>
      </c>
      <c r="J92" s="168">
        <f>I92-VLOOKUP(B$2,H1:J213,2,FALSE)</f>
        <v>-3.9296836766070786</v>
      </c>
    </row>
    <row r="93" spans="1:10" ht="21.25" customHeight="1" x14ac:dyDescent="0.15">
      <c r="A93" s="9" t="s">
        <v>403</v>
      </c>
      <c r="B93" s="173" t="str">
        <f>VLOOKUP(A93,'The List'!B1:D665,3,FALSE)</f>
        <v>D</v>
      </c>
      <c r="C93" s="174">
        <f>IF(Settings!$E$15="POINTS",RANK(E93,E3:E213),H93)</f>
        <v>85</v>
      </c>
      <c r="D93" s="65" t="str">
        <f>VLOOKUP(A93,'The List'!B1:F665,5,FALSE)</f>
        <v>NYR</v>
      </c>
      <c r="E93" s="54">
        <f>VLOOKUP(A93,'The List'!B1:I665,8,FALSE)</f>
        <v>193.04640429540291</v>
      </c>
      <c r="F93" s="54">
        <f>IF(Settings!$E$15="POINTS",E93-VLOOKUP(B$2,C1:E213,3,FALSE),J93)</f>
        <v>-143.187720750192</v>
      </c>
      <c r="G93" s="54"/>
      <c r="H93" s="167">
        <f>RANK(I93,I3:I213)</f>
        <v>73</v>
      </c>
      <c r="I93" s="168">
        <f>VLOOKUP(A93,'Standard Deviations'!A1:C666,3,FALSE)</f>
        <v>-0.31588279815064013</v>
      </c>
      <c r="J93" s="168">
        <f>I93-VLOOKUP(B$2,H1:J213,2,FALSE)</f>
        <v>-5.0225415547516752</v>
      </c>
    </row>
    <row r="94" spans="1:10" ht="21.25" customHeight="1" x14ac:dyDescent="0.15">
      <c r="A94" s="9" t="s">
        <v>389</v>
      </c>
      <c r="B94" s="173" t="str">
        <f>VLOOKUP(A94,'The List'!B1:D665,3,FALSE)</f>
        <v>D</v>
      </c>
      <c r="C94" s="174">
        <f>IF(Settings!$E$15="POINTS",RANK(E94,E3:E213),H94)</f>
        <v>79</v>
      </c>
      <c r="D94" s="65" t="str">
        <f>VLOOKUP(A94,'The List'!B1:F665,5,FALSE)</f>
        <v>WPG</v>
      </c>
      <c r="E94" s="54">
        <f>VLOOKUP(A94,'The List'!B1:I665,8,FALSE)</f>
        <v>198.44227517582581</v>
      </c>
      <c r="F94" s="54">
        <f>IF(Settings!$E$15="POINTS",E94-VLOOKUP(B$2,C1:E213,3,FALSE),J94)</f>
        <v>-137.79184986976909</v>
      </c>
      <c r="G94" s="54"/>
      <c r="H94" s="167">
        <f>RANK(I94,I3:I213)</f>
        <v>75</v>
      </c>
      <c r="I94" s="168">
        <f>VLOOKUP(A94,'Standard Deviations'!A1:C666,3,FALSE)</f>
        <v>-0.39178137308598759</v>
      </c>
      <c r="J94" s="168">
        <f>I94-VLOOKUP(B$2,H1:J213,2,FALSE)</f>
        <v>-5.098440129687023</v>
      </c>
    </row>
    <row r="95" spans="1:10" ht="21.25" customHeight="1" x14ac:dyDescent="0.15">
      <c r="A95" s="9" t="s">
        <v>388</v>
      </c>
      <c r="B95" s="173" t="str">
        <f>VLOOKUP(A95,'The List'!B1:D665,3,FALSE)</f>
        <v>D</v>
      </c>
      <c r="C95" s="174">
        <f>IF(Settings!$E$15="POINTS",RANK(E95,E3:E213),H95)</f>
        <v>78</v>
      </c>
      <c r="D95" s="65" t="str">
        <f>VLOOKUP(A95,'The List'!B1:F665,5,FALSE)</f>
        <v>NYI</v>
      </c>
      <c r="E95" s="54">
        <f>VLOOKUP(A95,'The List'!B1:I665,8,FALSE)</f>
        <v>198.5207487159031</v>
      </c>
      <c r="F95" s="54">
        <f>IF(Settings!$E$15="POINTS",E95-VLOOKUP(B$2,C1:E213,3,FALSE),J95)</f>
        <v>-137.71337632969181</v>
      </c>
      <c r="G95" s="54"/>
      <c r="H95" s="167">
        <f>RANK(I95,I3:I213)</f>
        <v>70</v>
      </c>
      <c r="I95" s="168">
        <f>VLOOKUP(A95,'Standard Deviations'!A1:C666,3,FALSE)</f>
        <v>8.1567329937529687E-2</v>
      </c>
      <c r="J95" s="168">
        <f>I95-VLOOKUP(B$2,H1:J213,2,FALSE)</f>
        <v>-4.6250914266635057</v>
      </c>
    </row>
    <row r="96" spans="1:10" ht="21.25" customHeight="1" x14ac:dyDescent="0.15">
      <c r="A96" s="9" t="s">
        <v>507</v>
      </c>
      <c r="B96" s="173" t="str">
        <f>VLOOKUP(A96,'The List'!B1:D665,3,FALSE)</f>
        <v>D</v>
      </c>
      <c r="C96" s="174">
        <f>IF(Settings!$E$15="POINTS",RANK(E96,E3:E213),H96)</f>
        <v>138</v>
      </c>
      <c r="D96" s="65" t="str">
        <f>VLOOKUP(A96,'The List'!B1:F665,5,FALSE)</f>
        <v>EDM</v>
      </c>
      <c r="E96" s="54">
        <f>VLOOKUP(A96,'The List'!B1:I665,8,FALSE)</f>
        <v>152.52473278163083</v>
      </c>
      <c r="F96" s="54">
        <f>IF(Settings!$E$15="POINTS",E96-VLOOKUP(B$2,C1:E213,3,FALSE),J96)</f>
        <v>-183.70939226396408</v>
      </c>
      <c r="G96" s="54"/>
      <c r="H96" s="167">
        <f>RANK(I96,I3:I213)</f>
        <v>190</v>
      </c>
      <c r="I96" s="168">
        <f>VLOOKUP(A96,'Standard Deviations'!A1:C666,3,FALSE)</f>
        <v>-3.863290156854533</v>
      </c>
      <c r="J96" s="168">
        <f>I96-VLOOKUP(B$2,H1:J213,2,FALSE)</f>
        <v>-8.5699489134555691</v>
      </c>
    </row>
    <row r="97" spans="1:10" ht="21.25" customHeight="1" x14ac:dyDescent="0.15">
      <c r="A97" s="9" t="s">
        <v>426</v>
      </c>
      <c r="B97" s="173" t="str">
        <f>VLOOKUP(A97,'The List'!B1:D665,3,FALSE)</f>
        <v>D</v>
      </c>
      <c r="C97" s="174">
        <f>IF(Settings!$E$15="POINTS",RANK(E97,E3:E213),H97)</f>
        <v>97</v>
      </c>
      <c r="D97" s="65" t="str">
        <f>VLOOKUP(A97,'The List'!B1:F665,5,FALSE)</f>
        <v>COL</v>
      </c>
      <c r="E97" s="54">
        <f>VLOOKUP(A97,'The List'!B1:I665,8,FALSE)</f>
        <v>185.61996146000072</v>
      </c>
      <c r="F97" s="54">
        <f>IF(Settings!$E$15="POINTS",E97-VLOOKUP(B$2,C1:E213,3,FALSE),J97)</f>
        <v>-150.61416358559418</v>
      </c>
      <c r="G97" s="54"/>
      <c r="H97" s="167">
        <f>RANK(I97,I3:I213)</f>
        <v>85</v>
      </c>
      <c r="I97" s="168">
        <f>VLOOKUP(A97,'Standard Deviations'!A1:C666,3,FALSE)</f>
        <v>-0.77097080522802819</v>
      </c>
      <c r="J97" s="168">
        <f>I97-VLOOKUP(B$2,H1:J213,2,FALSE)</f>
        <v>-5.4776295618290636</v>
      </c>
    </row>
    <row r="98" spans="1:10" ht="21.25" customHeight="1" x14ac:dyDescent="0.15">
      <c r="A98" s="9" t="s">
        <v>560</v>
      </c>
      <c r="B98" s="173" t="str">
        <f>VLOOKUP(A98,'The List'!B1:D665,3,FALSE)</f>
        <v>D</v>
      </c>
      <c r="C98" s="174">
        <f>IF(Settings!$E$15="POINTS",RANK(E98,E3:E213),H98)</f>
        <v>164</v>
      </c>
      <c r="D98" s="65" t="str">
        <f>VLOOKUP(A98,'The List'!B1:F665,5,FALSE)</f>
        <v>CGY</v>
      </c>
      <c r="E98" s="54">
        <f>VLOOKUP(A98,'The List'!B1:I665,8,FALSE)</f>
        <v>138.96279292467653</v>
      </c>
      <c r="F98" s="54">
        <f>IF(Settings!$E$15="POINTS",E98-VLOOKUP(B$2,C1:E213,3,FALSE),J98)</f>
        <v>-197.27133212091837</v>
      </c>
      <c r="G98" s="54"/>
      <c r="H98" s="167">
        <f>RANK(I98,I3:I213)</f>
        <v>152</v>
      </c>
      <c r="I98" s="168">
        <f>VLOOKUP(A98,'Standard Deviations'!A1:C666,3,FALSE)</f>
        <v>-2.6666492810784965</v>
      </c>
      <c r="J98" s="168">
        <f>I98-VLOOKUP(B$2,H1:J213,2,FALSE)</f>
        <v>-7.3733080376795321</v>
      </c>
    </row>
    <row r="99" spans="1:10" ht="21.25" customHeight="1" x14ac:dyDescent="0.15">
      <c r="A99" s="9" t="s">
        <v>401</v>
      </c>
      <c r="B99" s="173" t="str">
        <f>VLOOKUP(A99,'The List'!B1:D665,3,FALSE)</f>
        <v>D</v>
      </c>
      <c r="C99" s="174">
        <f>IF(Settings!$E$15="POINTS",RANK(E99,E3:E213),H99)</f>
        <v>84</v>
      </c>
      <c r="D99" s="65" t="str">
        <f>VLOOKUP(A99,'The List'!B1:F665,5,FALSE)</f>
        <v>VGK</v>
      </c>
      <c r="E99" s="54">
        <f>VLOOKUP(A99,'The List'!B1:I665,8,FALSE)</f>
        <v>193.51297180733405</v>
      </c>
      <c r="F99" s="54">
        <f>IF(Settings!$E$15="POINTS",E99-VLOOKUP(B$2,C1:E213,3,FALSE),J99)</f>
        <v>-142.72115323826085</v>
      </c>
      <c r="G99" s="54"/>
      <c r="H99" s="167">
        <f>RANK(I99,I3:I213)</f>
        <v>69</v>
      </c>
      <c r="I99" s="168">
        <f>VLOOKUP(A99,'Standard Deviations'!A1:C666,3,FALSE)</f>
        <v>0.14590450679694189</v>
      </c>
      <c r="J99" s="168">
        <f>I99-VLOOKUP(B$2,H1:J213,2,FALSE)</f>
        <v>-4.5607542498040932</v>
      </c>
    </row>
    <row r="100" spans="1:10" ht="21.25" customHeight="1" x14ac:dyDescent="0.15">
      <c r="A100" s="9" t="s">
        <v>454</v>
      </c>
      <c r="B100" s="173" t="str">
        <f>VLOOKUP(A100,'The List'!B1:D665,3,FALSE)</f>
        <v>D</v>
      </c>
      <c r="C100" s="174">
        <f>IF(Settings!$E$15="POINTS",RANK(E100,E3:E213),H100)</f>
        <v>112</v>
      </c>
      <c r="D100" s="65" t="str">
        <f>VLOOKUP(A100,'The List'!B1:F665,5,FALSE)</f>
        <v>COL</v>
      </c>
      <c r="E100" s="54">
        <f>VLOOKUP(A100,'The List'!B1:I665,8,FALSE)</f>
        <v>171.90095777902127</v>
      </c>
      <c r="F100" s="54">
        <f>IF(Settings!$E$15="POINTS",E100-VLOOKUP(B$2,C1:E213,3,FALSE),J100)</f>
        <v>-164.33316726657364</v>
      </c>
      <c r="G100" s="54"/>
      <c r="H100" s="167">
        <f>RANK(I100,I3:I213)</f>
        <v>90</v>
      </c>
      <c r="I100" s="168">
        <f>VLOOKUP(A100,'Standard Deviations'!A1:C666,3,FALSE)</f>
        <v>-0.96712623767144346</v>
      </c>
      <c r="J100" s="168">
        <f>I100-VLOOKUP(B$2,H1:J213,2,FALSE)</f>
        <v>-5.673784994272479</v>
      </c>
    </row>
    <row r="101" spans="1:10" ht="21.25" customHeight="1" x14ac:dyDescent="0.15">
      <c r="A101" s="9" t="s">
        <v>443</v>
      </c>
      <c r="B101" s="173" t="str">
        <f>VLOOKUP(A101,'The List'!B1:D665,3,FALSE)</f>
        <v>D</v>
      </c>
      <c r="C101" s="174">
        <f>IF(Settings!$E$15="POINTS",RANK(E101,E3:E213),H101)</f>
        <v>104</v>
      </c>
      <c r="D101" s="65" t="str">
        <f>VLOOKUP(A101,'The List'!B1:F665,5,FALSE)</f>
        <v>CHI</v>
      </c>
      <c r="E101" s="54">
        <f>VLOOKUP(A101,'The List'!B1:I665,8,FALSE)</f>
        <v>177.92240141125376</v>
      </c>
      <c r="F101" s="54">
        <f>IF(Settings!$E$15="POINTS",E101-VLOOKUP(B$2,C1:E213,3,FALSE),J101)</f>
        <v>-158.31172363434115</v>
      </c>
      <c r="G101" s="54"/>
      <c r="H101" s="167">
        <f>RANK(I101,I3:I213)</f>
        <v>131</v>
      </c>
      <c r="I101" s="168">
        <f>VLOOKUP(A101,'Standard Deviations'!A1:C666,3,FALSE)</f>
        <v>-2.2103165360686101</v>
      </c>
      <c r="J101" s="168">
        <f>I101-VLOOKUP(B$2,H1:J213,2,FALSE)</f>
        <v>-6.9169752926696457</v>
      </c>
    </row>
    <row r="102" spans="1:10" ht="21.25" customHeight="1" x14ac:dyDescent="0.15">
      <c r="A102" s="9" t="s">
        <v>413</v>
      </c>
      <c r="B102" s="173" t="str">
        <f>VLOOKUP(A102,'The List'!B1:D665,3,FALSE)</f>
        <v>D</v>
      </c>
      <c r="C102" s="174">
        <f>IF(Settings!$E$15="POINTS",RANK(E102,E3:E213),H102)</f>
        <v>89</v>
      </c>
      <c r="D102" s="65" t="str">
        <f>VLOOKUP(A102,'The List'!B1:F665,5,FALSE)</f>
        <v>L.A</v>
      </c>
      <c r="E102" s="54">
        <f>VLOOKUP(A102,'The List'!B1:I665,8,FALSE)</f>
        <v>189.96361021194639</v>
      </c>
      <c r="F102" s="54">
        <f>IF(Settings!$E$15="POINTS",E102-VLOOKUP(B$2,C1:E213,3,FALSE),J102)</f>
        <v>-146.27051483364852</v>
      </c>
      <c r="G102" s="54"/>
      <c r="H102" s="167">
        <f>RANK(I102,I3:I213)</f>
        <v>80</v>
      </c>
      <c r="I102" s="168">
        <f>VLOOKUP(A102,'Standard Deviations'!A1:C666,3,FALSE)</f>
        <v>-0.59731799593725354</v>
      </c>
      <c r="J102" s="168">
        <f>I102-VLOOKUP(B$2,H1:J213,2,FALSE)</f>
        <v>-5.303976752538289</v>
      </c>
    </row>
    <row r="103" spans="1:10" ht="21.25" customHeight="1" x14ac:dyDescent="0.15">
      <c r="A103" s="9" t="s">
        <v>427</v>
      </c>
      <c r="B103" s="173" t="str">
        <f>VLOOKUP(A103,'The List'!B1:D665,3,FALSE)</f>
        <v>D</v>
      </c>
      <c r="C103" s="174">
        <f>IF(Settings!$E$15="POINTS",RANK(E103,E3:E213),H103)</f>
        <v>98</v>
      </c>
      <c r="D103" s="65" t="str">
        <f>VLOOKUP(A103,'The List'!B1:F665,5,FALSE)</f>
        <v>ANA</v>
      </c>
      <c r="E103" s="54">
        <f>VLOOKUP(A103,'The List'!B1:I665,8,FALSE)</f>
        <v>184.19582661929502</v>
      </c>
      <c r="F103" s="54">
        <f>IF(Settings!$E$15="POINTS",E103-VLOOKUP(B$2,C1:E213,3,FALSE),J103)</f>
        <v>-152.03829842629989</v>
      </c>
      <c r="G103" s="54"/>
      <c r="H103" s="167">
        <f>RANK(I103,I3:I213)</f>
        <v>118</v>
      </c>
      <c r="I103" s="168">
        <f>VLOOKUP(A103,'Standard Deviations'!A1:C666,3,FALSE)</f>
        <v>-1.8466618027797452</v>
      </c>
      <c r="J103" s="168">
        <f>I103-VLOOKUP(B$2,H1:J213,2,FALSE)</f>
        <v>-6.5533205593807802</v>
      </c>
    </row>
    <row r="104" spans="1:10" ht="21.25" customHeight="1" x14ac:dyDescent="0.15">
      <c r="A104" s="9" t="s">
        <v>420</v>
      </c>
      <c r="B104" s="173" t="str">
        <f>VLOOKUP(A104,'The List'!B1:D665,3,FALSE)</f>
        <v>D</v>
      </c>
      <c r="C104" s="174">
        <f>IF(Settings!$E$15="POINTS",RANK(E104,E3:E213),H104)</f>
        <v>91</v>
      </c>
      <c r="D104" s="65" t="str">
        <f>VLOOKUP(A104,'The List'!B1:F665,5,FALSE)</f>
        <v>PIT</v>
      </c>
      <c r="E104" s="54">
        <f>VLOOKUP(A104,'The List'!B1:I665,8,FALSE)</f>
        <v>187.28758284232464</v>
      </c>
      <c r="F104" s="54">
        <f>IF(Settings!$E$15="POINTS",E104-VLOOKUP(B$2,C1:E213,3,FALSE),J104)</f>
        <v>-148.94654220327027</v>
      </c>
      <c r="G104" s="54"/>
      <c r="H104" s="167">
        <f>RANK(I104,I3:I213)</f>
        <v>87</v>
      </c>
      <c r="I104" s="168">
        <f>VLOOKUP(A104,'Standard Deviations'!A1:C666,3,FALSE)</f>
        <v>-0.85164828227860001</v>
      </c>
      <c r="J104" s="168">
        <f>I104-VLOOKUP(B$2,H1:J213,2,FALSE)</f>
        <v>-5.5583070388796347</v>
      </c>
    </row>
    <row r="105" spans="1:10" ht="21.25" customHeight="1" x14ac:dyDescent="0.15">
      <c r="A105" s="9" t="s">
        <v>473</v>
      </c>
      <c r="B105" s="173" t="str">
        <f>VLOOKUP(A105,'The List'!B1:D665,3,FALSE)</f>
        <v>D</v>
      </c>
      <c r="C105" s="174">
        <f>IF(Settings!$E$15="POINTS",RANK(E105,E3:E213),H105)</f>
        <v>121</v>
      </c>
      <c r="D105" s="65" t="str">
        <f>VLOOKUP(A105,'The List'!B1:F665,5,FALSE)</f>
        <v>L.A</v>
      </c>
      <c r="E105" s="54">
        <f>VLOOKUP(A105,'The List'!B1:I665,8,FALSE)</f>
        <v>165.47519190443518</v>
      </c>
      <c r="F105" s="54">
        <f>IF(Settings!$E$15="POINTS",E105-VLOOKUP(B$2,C1:E213,3,FALSE),J105)</f>
        <v>-170.75893314115973</v>
      </c>
      <c r="G105" s="54"/>
      <c r="H105" s="167">
        <f>RANK(I105,I3:I213)</f>
        <v>105</v>
      </c>
      <c r="I105" s="168">
        <f>VLOOKUP(A105,'Standard Deviations'!A1:C666,3,FALSE)</f>
        <v>-1.418798188766683</v>
      </c>
      <c r="J105" s="168">
        <f>I105-VLOOKUP(B$2,H1:J213,2,FALSE)</f>
        <v>-6.1254569453677181</v>
      </c>
    </row>
    <row r="106" spans="1:10" ht="21.25" customHeight="1" x14ac:dyDescent="0.15">
      <c r="A106" s="9" t="s">
        <v>416</v>
      </c>
      <c r="B106" s="173" t="str">
        <f>VLOOKUP(A106,'The List'!B1:D665,3,FALSE)</f>
        <v>D</v>
      </c>
      <c r="C106" s="174">
        <f>IF(Settings!$E$15="POINTS",RANK(E106,E3:E213),H106)</f>
        <v>90</v>
      </c>
      <c r="D106" s="65" t="str">
        <f>VLOOKUP(A106,'The List'!B1:F665,5,FALSE)</f>
        <v>BOS</v>
      </c>
      <c r="E106" s="54">
        <f>VLOOKUP(A106,'The List'!B1:I665,8,FALSE)</f>
        <v>189.11811716083582</v>
      </c>
      <c r="F106" s="54">
        <f>IF(Settings!$E$15="POINTS",E106-VLOOKUP(B$2,C1:E213,3,FALSE),J106)</f>
        <v>-147.11600788475909</v>
      </c>
      <c r="G106" s="54"/>
      <c r="H106" s="167">
        <f>RANK(I106,I3:I213)</f>
        <v>101</v>
      </c>
      <c r="I106" s="168">
        <f>VLOOKUP(A106,'Standard Deviations'!A1:C666,3,FALSE)</f>
        <v>-1.3515416619431333</v>
      </c>
      <c r="J106" s="168">
        <f>I106-VLOOKUP(B$2,H1:J213,2,FALSE)</f>
        <v>-6.0582004185441685</v>
      </c>
    </row>
    <row r="107" spans="1:10" ht="21.25" customHeight="1" x14ac:dyDescent="0.15">
      <c r="A107" s="9" t="s">
        <v>441</v>
      </c>
      <c r="B107" s="173" t="str">
        <f>VLOOKUP(A107,'The List'!B1:D665,3,FALSE)</f>
        <v>D</v>
      </c>
      <c r="C107" s="174">
        <f>IF(Settings!$E$15="POINTS",RANK(E107,E3:E213),H107)</f>
        <v>103</v>
      </c>
      <c r="D107" s="65" t="str">
        <f>VLOOKUP(A107,'The List'!B1:F665,5,FALSE)</f>
        <v>DET</v>
      </c>
      <c r="E107" s="54">
        <f>VLOOKUP(A107,'The List'!B1:I665,8,FALSE)</f>
        <v>178.78140073184369</v>
      </c>
      <c r="F107" s="54">
        <f>IF(Settings!$E$15="POINTS",E107-VLOOKUP(B$2,C1:E213,3,FALSE),J107)</f>
        <v>-157.45272431375122</v>
      </c>
      <c r="G107" s="54"/>
      <c r="H107" s="167">
        <f>RANK(I107,I3:I213)</f>
        <v>123</v>
      </c>
      <c r="I107" s="168">
        <f>VLOOKUP(A107,'Standard Deviations'!A1:C666,3,FALSE)</f>
        <v>-1.9609078698031541</v>
      </c>
      <c r="J107" s="168">
        <f>I107-VLOOKUP(B$2,H1:J213,2,FALSE)</f>
        <v>-6.6675666264041897</v>
      </c>
    </row>
    <row r="108" spans="1:10" ht="21.25" customHeight="1" x14ac:dyDescent="0.15">
      <c r="A108" s="9" t="s">
        <v>425</v>
      </c>
      <c r="B108" s="173" t="str">
        <f>VLOOKUP(A108,'The List'!B1:D665,3,FALSE)</f>
        <v>D</v>
      </c>
      <c r="C108" s="174">
        <f>IF(Settings!$E$15="POINTS",RANK(E108,E3:E213),H108)</f>
        <v>96</v>
      </c>
      <c r="D108" s="65" t="str">
        <f>VLOOKUP(A108,'The List'!B1:F665,5,FALSE)</f>
        <v>DET</v>
      </c>
      <c r="E108" s="54">
        <f>VLOOKUP(A108,'The List'!B1:I665,8,FALSE)</f>
        <v>185.69234807287174</v>
      </c>
      <c r="F108" s="54">
        <f>IF(Settings!$E$15="POINTS",E108-VLOOKUP(B$2,C1:E213,3,FALSE),J108)</f>
        <v>-150.54177697272317</v>
      </c>
      <c r="G108" s="54"/>
      <c r="H108" s="167">
        <f>RANK(I108,I3:I213)</f>
        <v>126</v>
      </c>
      <c r="I108" s="168">
        <f>VLOOKUP(A108,'Standard Deviations'!A1:C666,3,FALSE)</f>
        <v>-2.1080865126993524</v>
      </c>
      <c r="J108" s="168">
        <f>I108-VLOOKUP(B$2,H1:J213,2,FALSE)</f>
        <v>-6.8147452693003876</v>
      </c>
    </row>
    <row r="109" spans="1:10" ht="21.25" customHeight="1" x14ac:dyDescent="0.15">
      <c r="A109" s="9" t="s">
        <v>447</v>
      </c>
      <c r="B109" s="173" t="str">
        <f>VLOOKUP(A109,'The List'!B1:D665,3,FALSE)</f>
        <v>D</v>
      </c>
      <c r="C109" s="174">
        <f>IF(Settings!$E$15="POINTS",RANK(E109,E3:E213),H109)</f>
        <v>108</v>
      </c>
      <c r="D109" s="65" t="str">
        <f>VLOOKUP(A109,'The List'!B1:F665,5,FALSE)</f>
        <v>DET</v>
      </c>
      <c r="E109" s="54">
        <f>VLOOKUP(A109,'The List'!B1:I665,8,FALSE)</f>
        <v>174.60927565291564</v>
      </c>
      <c r="F109" s="54">
        <f>IF(Settings!$E$15="POINTS",E109-VLOOKUP(B$2,C1:E213,3,FALSE),J109)</f>
        <v>-161.62484939267927</v>
      </c>
      <c r="G109" s="54"/>
      <c r="H109" s="167">
        <f>RANK(I109,I3:I213)</f>
        <v>125</v>
      </c>
      <c r="I109" s="168">
        <f>VLOOKUP(A109,'Standard Deviations'!A1:C666,3,FALSE)</f>
        <v>-2.1058307920915662</v>
      </c>
      <c r="J109" s="168">
        <f>I109-VLOOKUP(B$2,H1:J213,2,FALSE)</f>
        <v>-6.8124895486926018</v>
      </c>
    </row>
    <row r="110" spans="1:10" ht="21.25" customHeight="1" x14ac:dyDescent="0.15">
      <c r="A110" s="9" t="s">
        <v>471</v>
      </c>
      <c r="B110" s="173" t="str">
        <f>VLOOKUP(A110,'The List'!B1:D665,3,FALSE)</f>
        <v>D</v>
      </c>
      <c r="C110" s="174">
        <f>IF(Settings!$E$15="POINTS",RANK(E110,E3:E213),H110)</f>
        <v>119</v>
      </c>
      <c r="D110" s="65" t="str">
        <f>VLOOKUP(A110,'The List'!B1:F665,5,FALSE)</f>
        <v>WPG</v>
      </c>
      <c r="E110" s="54">
        <f>VLOOKUP(A110,'The List'!B1:I665,8,FALSE)</f>
        <v>165.6144897696156</v>
      </c>
      <c r="F110" s="54">
        <f>IF(Settings!$E$15="POINTS",E110-VLOOKUP(B$2,C1:E213,3,FALSE),J110)</f>
        <v>-170.61963527597931</v>
      </c>
      <c r="G110" s="54"/>
      <c r="H110" s="167">
        <f>RANK(I110,I3:I213)</f>
        <v>92</v>
      </c>
      <c r="I110" s="168">
        <f>VLOOKUP(A110,'Standard Deviations'!A1:C666,3,FALSE)</f>
        <v>-1.0149961942611805</v>
      </c>
      <c r="J110" s="168">
        <f>I110-VLOOKUP(B$2,H1:J213,2,FALSE)</f>
        <v>-5.7216549508622156</v>
      </c>
    </row>
    <row r="111" spans="1:10" ht="21.25" customHeight="1" x14ac:dyDescent="0.15">
      <c r="A111" s="9" t="s">
        <v>428</v>
      </c>
      <c r="B111" s="173" t="str">
        <f>VLOOKUP(A111,'The List'!B1:D665,3,FALSE)</f>
        <v>D</v>
      </c>
      <c r="C111" s="174">
        <f>IF(Settings!$E$15="POINTS",RANK(E111,E3:E213),H111)</f>
        <v>99</v>
      </c>
      <c r="D111" s="65" t="str">
        <f>VLOOKUP(A111,'The List'!B1:F665,5,FALSE)</f>
        <v>SEA</v>
      </c>
      <c r="E111" s="54">
        <f>VLOOKUP(A111,'The List'!B1:I665,8,FALSE)</f>
        <v>183.91780941849049</v>
      </c>
      <c r="F111" s="54">
        <f>IF(Settings!$E$15="POINTS",E111-VLOOKUP(B$2,C1:E213,3,FALSE),J111)</f>
        <v>-152.31631562710442</v>
      </c>
      <c r="G111" s="54"/>
      <c r="H111" s="167">
        <f>RANK(I111,I3:I213)</f>
        <v>98</v>
      </c>
      <c r="I111" s="168">
        <f>VLOOKUP(A111,'Standard Deviations'!A1:C666,3,FALSE)</f>
        <v>-1.2688591836608649</v>
      </c>
      <c r="J111" s="168">
        <f>I111-VLOOKUP(B$2,H1:J213,2,FALSE)</f>
        <v>-5.9755179402619003</v>
      </c>
    </row>
    <row r="112" spans="1:10" ht="21.25" customHeight="1" x14ac:dyDescent="0.15">
      <c r="A112" s="9" t="s">
        <v>445</v>
      </c>
      <c r="B112" s="173" t="str">
        <f>VLOOKUP(A112,'The List'!B1:D665,3,FALSE)</f>
        <v>D</v>
      </c>
      <c r="C112" s="174">
        <f>IF(Settings!$E$15="POINTS",RANK(E112,E3:E213),H112)</f>
        <v>106</v>
      </c>
      <c r="D112" s="65" t="str">
        <f>VLOOKUP(A112,'The List'!B1:F665,5,FALSE)</f>
        <v>N.J</v>
      </c>
      <c r="E112" s="54">
        <f>VLOOKUP(A112,'The List'!B1:I665,8,FALSE)</f>
        <v>175.19511915637472</v>
      </c>
      <c r="F112" s="54">
        <f>IF(Settings!$E$15="POINTS",E112-VLOOKUP(B$2,C1:E213,3,FALSE),J112)</f>
        <v>-161.03900588922019</v>
      </c>
      <c r="G112" s="54"/>
      <c r="H112" s="167">
        <f>RANK(I112,I3:I213)</f>
        <v>84</v>
      </c>
      <c r="I112" s="168">
        <f>VLOOKUP(A112,'Standard Deviations'!A1:C666,3,FALSE)</f>
        <v>-0.76843639235119243</v>
      </c>
      <c r="J112" s="168">
        <f>I112-VLOOKUP(B$2,H1:J213,2,FALSE)</f>
        <v>-5.4750951489522279</v>
      </c>
    </row>
    <row r="113" spans="1:10" ht="21.25" customHeight="1" x14ac:dyDescent="0.15">
      <c r="A113" s="9" t="s">
        <v>452</v>
      </c>
      <c r="B113" s="173" t="str">
        <f>VLOOKUP(A113,'The List'!B1:D665,3,FALSE)</f>
        <v>D</v>
      </c>
      <c r="C113" s="174">
        <f>IF(Settings!$E$15="POINTS",RANK(E113,E3:E213),H113)</f>
        <v>111</v>
      </c>
      <c r="D113" s="65" t="str">
        <f>VLOOKUP(A113,'The List'!B1:F665,5,FALSE)</f>
        <v>NSH</v>
      </c>
      <c r="E113" s="54">
        <f>VLOOKUP(A113,'The List'!B1:I665,8,FALSE)</f>
        <v>172.15639623898232</v>
      </c>
      <c r="F113" s="54">
        <f>IF(Settings!$E$15="POINTS",E113-VLOOKUP(B$2,C1:E213,3,FALSE),J113)</f>
        <v>-164.07772880661258</v>
      </c>
      <c r="G113" s="54"/>
      <c r="H113" s="167">
        <f>RANK(I113,I3:I213)</f>
        <v>94</v>
      </c>
      <c r="I113" s="168">
        <f>VLOOKUP(A113,'Standard Deviations'!A1:C666,3,FALSE)</f>
        <v>-1.0722640558947847</v>
      </c>
      <c r="J113" s="168">
        <f>I113-VLOOKUP(B$2,H1:J213,2,FALSE)</f>
        <v>-5.7789228124958196</v>
      </c>
    </row>
    <row r="114" spans="1:10" ht="21.25" customHeight="1" x14ac:dyDescent="0.15">
      <c r="A114" s="9" t="s">
        <v>484</v>
      </c>
      <c r="B114" s="173" t="str">
        <f>VLOOKUP(A114,'The List'!B1:D665,3,FALSE)</f>
        <v>D</v>
      </c>
      <c r="C114" s="174">
        <f>IF(Settings!$E$15="POINTS",RANK(E114,E3:E213),H114)</f>
        <v>127</v>
      </c>
      <c r="D114" s="65" t="str">
        <f>VLOOKUP(A114,'The List'!B1:F665,5,FALSE)</f>
        <v>CHI</v>
      </c>
      <c r="E114" s="54">
        <f>VLOOKUP(A114,'The List'!B1:I665,8,FALSE)</f>
        <v>161.38021424450167</v>
      </c>
      <c r="F114" s="54">
        <f>IF(Settings!$E$15="POINTS",E114-VLOOKUP(B$2,C1:E213,3,FALSE),J114)</f>
        <v>-174.85391080109324</v>
      </c>
      <c r="G114" s="54"/>
      <c r="H114" s="167">
        <f>RANK(I114,I3:I213)</f>
        <v>108</v>
      </c>
      <c r="I114" s="168">
        <f>VLOOKUP(A114,'Standard Deviations'!A1:C666,3,FALSE)</f>
        <v>-1.4900249207970759</v>
      </c>
      <c r="J114" s="168">
        <f>I114-VLOOKUP(B$2,H1:J213,2,FALSE)</f>
        <v>-6.1966836773981111</v>
      </c>
    </row>
    <row r="115" spans="1:10" ht="21.25" customHeight="1" x14ac:dyDescent="0.15">
      <c r="A115" s="9" t="s">
        <v>455</v>
      </c>
      <c r="B115" s="173" t="str">
        <f>VLOOKUP(A115,'The List'!B1:D665,3,FALSE)</f>
        <v>D</v>
      </c>
      <c r="C115" s="174">
        <f>IF(Settings!$E$15="POINTS",RANK(E115,E3:E213),H115)</f>
        <v>113</v>
      </c>
      <c r="D115" s="65" t="str">
        <f>VLOOKUP(A115,'The List'!B1:F665,5,FALSE)</f>
        <v>OTT</v>
      </c>
      <c r="E115" s="54">
        <f>VLOOKUP(A115,'The List'!B1:I665,8,FALSE)</f>
        <v>170.90305538469028</v>
      </c>
      <c r="F115" s="54">
        <f>IF(Settings!$E$15="POINTS",E115-VLOOKUP(B$2,C1:E213,3,FALSE),J115)</f>
        <v>-165.33106966090463</v>
      </c>
      <c r="G115" s="54"/>
      <c r="H115" s="167">
        <f>RANK(I115,I3:I213)</f>
        <v>113</v>
      </c>
      <c r="I115" s="168">
        <f>VLOOKUP(A115,'Standard Deviations'!A1:C666,3,FALSE)</f>
        <v>-1.6645626713623622</v>
      </c>
      <c r="J115" s="168">
        <f>I115-VLOOKUP(B$2,H1:J213,2,FALSE)</f>
        <v>-6.3712214279633974</v>
      </c>
    </row>
    <row r="116" spans="1:10" ht="21.25" customHeight="1" x14ac:dyDescent="0.15">
      <c r="A116" s="9" t="s">
        <v>449</v>
      </c>
      <c r="B116" s="173" t="str">
        <f>VLOOKUP(A116,'The List'!B1:D665,3,FALSE)</f>
        <v>D</v>
      </c>
      <c r="C116" s="174">
        <f>IF(Settings!$E$15="POINTS",RANK(E116,E3:E213),H116)</f>
        <v>109</v>
      </c>
      <c r="D116" s="65" t="str">
        <f>VLOOKUP(A116,'The List'!B1:F665,5,FALSE)</f>
        <v>TOR</v>
      </c>
      <c r="E116" s="54">
        <f>VLOOKUP(A116,'The List'!B1:I665,8,FALSE)</f>
        <v>173.80193435184842</v>
      </c>
      <c r="F116" s="54">
        <f>IF(Settings!$E$15="POINTS",E116-VLOOKUP(B$2,C1:E213,3,FALSE),J116)</f>
        <v>-162.43219069374649</v>
      </c>
      <c r="G116" s="54"/>
      <c r="H116" s="167">
        <f>RANK(I116,I3:I213)</f>
        <v>111</v>
      </c>
      <c r="I116" s="168">
        <f>VLOOKUP(A116,'Standard Deviations'!A1:C666,3,FALSE)</f>
        <v>-1.5608254147010918</v>
      </c>
      <c r="J116" s="168">
        <f>I116-VLOOKUP(B$2,H1:J213,2,FALSE)</f>
        <v>-6.2674841713021268</v>
      </c>
    </row>
    <row r="117" spans="1:10" ht="21.25" customHeight="1" x14ac:dyDescent="0.15">
      <c r="A117" s="9" t="s">
        <v>437</v>
      </c>
      <c r="B117" s="173" t="str">
        <f>VLOOKUP(A117,'The List'!B1:D665,3,FALSE)</f>
        <v>D</v>
      </c>
      <c r="C117" s="174">
        <f>IF(Settings!$E$15="POINTS",RANK(E117,E3:E213),H117)</f>
        <v>101</v>
      </c>
      <c r="D117" s="65" t="str">
        <f>VLOOKUP(A117,'The List'!B1:F665,5,FALSE)</f>
        <v>S.J</v>
      </c>
      <c r="E117" s="54">
        <f>VLOOKUP(A117,'The List'!B1:I665,8,FALSE)</f>
        <v>180.98257560161807</v>
      </c>
      <c r="F117" s="54">
        <f>IF(Settings!$E$15="POINTS",E117-VLOOKUP(B$2,C1:E213,3,FALSE),J117)</f>
        <v>-155.25154944397684</v>
      </c>
      <c r="G117" s="54"/>
      <c r="H117" s="167">
        <f>RANK(I117,I3:I213)</f>
        <v>71</v>
      </c>
      <c r="I117" s="168">
        <f>VLOOKUP(A117,'Standard Deviations'!A1:C666,3,FALSE)</f>
        <v>-0.10670242046359091</v>
      </c>
      <c r="J117" s="168">
        <f>I117-VLOOKUP(B$2,H1:J213,2,FALSE)</f>
        <v>-4.8133611770646265</v>
      </c>
    </row>
    <row r="118" spans="1:10" ht="21.25" customHeight="1" x14ac:dyDescent="0.15">
      <c r="A118" s="9" t="s">
        <v>439</v>
      </c>
      <c r="B118" s="173" t="str">
        <f>VLOOKUP(A118,'The List'!B1:D665,3,FALSE)</f>
        <v>D</v>
      </c>
      <c r="C118" s="174">
        <f>IF(Settings!$E$15="POINTS",RANK(E118,E3:E213),H118)</f>
        <v>102</v>
      </c>
      <c r="D118" s="65" t="str">
        <f>VLOOKUP(A118,'The List'!B1:F665,5,FALSE)</f>
        <v>VAN</v>
      </c>
      <c r="E118" s="54">
        <f>VLOOKUP(A118,'The List'!B1:I665,8,FALSE)</f>
        <v>179.71789645998516</v>
      </c>
      <c r="F118" s="54">
        <f>IF(Settings!$E$15="POINTS",E118-VLOOKUP(B$2,C1:E213,3,FALSE),J118)</f>
        <v>-156.51622858560975</v>
      </c>
      <c r="G118" s="54"/>
      <c r="H118" s="167">
        <f>RANK(I118,I3:I213)</f>
        <v>102</v>
      </c>
      <c r="I118" s="168">
        <f>VLOOKUP(A118,'Standard Deviations'!A1:C666,3,FALSE)</f>
        <v>-1.3634521211082278</v>
      </c>
      <c r="J118" s="168">
        <f>I118-VLOOKUP(B$2,H1:J213,2,FALSE)</f>
        <v>-6.0701108777092632</v>
      </c>
    </row>
    <row r="119" spans="1:10" ht="21.25" customHeight="1" x14ac:dyDescent="0.15">
      <c r="A119" s="9" t="s">
        <v>472</v>
      </c>
      <c r="B119" s="173" t="str">
        <f>VLOOKUP(A119,'The List'!B1:D665,3,FALSE)</f>
        <v>D</v>
      </c>
      <c r="C119" s="174">
        <f>IF(Settings!$E$15="POINTS",RANK(E119,E3:E213),H119)</f>
        <v>120</v>
      </c>
      <c r="D119" s="65" t="str">
        <f>VLOOKUP(A119,'The List'!B1:F665,5,FALSE)</f>
        <v>WSH</v>
      </c>
      <c r="E119" s="54">
        <f>VLOOKUP(A119,'The List'!B1:I665,8,FALSE)</f>
        <v>165.58541800619432</v>
      </c>
      <c r="F119" s="54">
        <f>IF(Settings!$E$15="POINTS",E119-VLOOKUP(B$2,C1:E213,3,FALSE),J119)</f>
        <v>-170.64870703940059</v>
      </c>
      <c r="G119" s="54"/>
      <c r="H119" s="167">
        <f>RANK(I119,I3:I213)</f>
        <v>144</v>
      </c>
      <c r="I119" s="168">
        <f>VLOOKUP(A119,'Standard Deviations'!A1:C666,3,FALSE)</f>
        <v>-2.4680380687401278</v>
      </c>
      <c r="J119" s="168">
        <f>I119-VLOOKUP(B$2,H1:J213,2,FALSE)</f>
        <v>-7.1746968253411634</v>
      </c>
    </row>
    <row r="120" spans="1:10" ht="21.25" customHeight="1" x14ac:dyDescent="0.15">
      <c r="A120" s="9" t="s">
        <v>446</v>
      </c>
      <c r="B120" s="173" t="str">
        <f>VLOOKUP(A120,'The List'!B1:D665,3,FALSE)</f>
        <v>D</v>
      </c>
      <c r="C120" s="174">
        <f>IF(Settings!$E$15="POINTS",RANK(E120,E3:E213),H120)</f>
        <v>107</v>
      </c>
      <c r="D120" s="65" t="str">
        <f>VLOOKUP(A120,'The List'!B1:F665,5,FALSE)</f>
        <v>CBJ</v>
      </c>
      <c r="E120" s="54">
        <f>VLOOKUP(A120,'The List'!B1:I665,8,FALSE)</f>
        <v>175.04919157573968</v>
      </c>
      <c r="F120" s="54">
        <f>IF(Settings!$E$15="POINTS",E120-VLOOKUP(B$2,C1:E213,3,FALSE),J120)</f>
        <v>-161.18493346985522</v>
      </c>
      <c r="G120" s="54"/>
      <c r="H120" s="167">
        <f>RANK(I120,I3:I213)</f>
        <v>178</v>
      </c>
      <c r="I120" s="168">
        <f>VLOOKUP(A120,'Standard Deviations'!A1:C666,3,FALSE)</f>
        <v>-3.4426925903548242</v>
      </c>
      <c r="J120" s="168">
        <f>I120-VLOOKUP(B$2,H1:J213,2,FALSE)</f>
        <v>-8.1493513469558589</v>
      </c>
    </row>
    <row r="121" spans="1:10" ht="21.25" customHeight="1" x14ac:dyDescent="0.15">
      <c r="A121" s="9" t="s">
        <v>531</v>
      </c>
      <c r="B121" s="173" t="str">
        <f>VLOOKUP(A121,'The List'!B1:D665,3,FALSE)</f>
        <v>D</v>
      </c>
      <c r="C121" s="174">
        <f>IF(Settings!$E$15="POINTS",RANK(E121,E3:E213),H121)</f>
        <v>148</v>
      </c>
      <c r="D121" s="65" t="str">
        <f>VLOOKUP(A121,'The List'!B1:F665,5,FALSE)</f>
        <v>BUF</v>
      </c>
      <c r="E121" s="54">
        <f>VLOOKUP(A121,'The List'!B1:I665,8,FALSE)</f>
        <v>147.73755895228203</v>
      </c>
      <c r="F121" s="54">
        <f>IF(Settings!$E$15="POINTS",E121-VLOOKUP(B$2,C1:E213,3,FALSE),J121)</f>
        <v>-188.49656609331288</v>
      </c>
      <c r="G121" s="54"/>
      <c r="H121" s="167">
        <f>RANK(I121,I3:I213)</f>
        <v>140</v>
      </c>
      <c r="I121" s="168">
        <f>VLOOKUP(A121,'Standard Deviations'!A1:C666,3,FALSE)</f>
        <v>-2.4209196654671516</v>
      </c>
      <c r="J121" s="168">
        <f>I121-VLOOKUP(B$2,H1:J213,2,FALSE)</f>
        <v>-7.1275784220681864</v>
      </c>
    </row>
    <row r="122" spans="1:10" ht="21.25" customHeight="1" x14ac:dyDescent="0.15">
      <c r="A122" s="9" t="s">
        <v>451</v>
      </c>
      <c r="B122" s="173" t="str">
        <f>VLOOKUP(A122,'The List'!B1:D665,3,FALSE)</f>
        <v>D</v>
      </c>
      <c r="C122" s="174">
        <f>IF(Settings!$E$15="POINTS",RANK(E122,E3:E213),H122)</f>
        <v>110</v>
      </c>
      <c r="D122" s="65" t="str">
        <f>VLOOKUP(A122,'The List'!B1:F665,5,FALSE)</f>
        <v>UTA</v>
      </c>
      <c r="E122" s="54">
        <f>VLOOKUP(A122,'The List'!B1:I665,8,FALSE)</f>
        <v>172.23982350053029</v>
      </c>
      <c r="F122" s="54">
        <f>IF(Settings!$E$15="POINTS",E122-VLOOKUP(B$2,C1:E213,3,FALSE),J122)</f>
        <v>-163.99430154506462</v>
      </c>
      <c r="G122" s="54"/>
      <c r="H122" s="167">
        <f>RANK(I122,I3:I213)</f>
        <v>117</v>
      </c>
      <c r="I122" s="168">
        <f>VLOOKUP(A122,'Standard Deviations'!A1:C666,3,FALSE)</f>
        <v>-1.8293938548666566</v>
      </c>
      <c r="J122" s="168">
        <f>I122-VLOOKUP(B$2,H1:J213,2,FALSE)</f>
        <v>-6.5360526114676922</v>
      </c>
    </row>
    <row r="123" spans="1:10" ht="21.25" customHeight="1" x14ac:dyDescent="0.15">
      <c r="A123" s="9" t="s">
        <v>456</v>
      </c>
      <c r="B123" s="173" t="str">
        <f>VLOOKUP(A123,'The List'!B1:D665,3,FALSE)</f>
        <v>D</v>
      </c>
      <c r="C123" s="174">
        <f>IF(Settings!$E$15="POINTS",RANK(E123,E3:E213),H123)</f>
        <v>114</v>
      </c>
      <c r="D123" s="65" t="str">
        <f>VLOOKUP(A123,'The List'!B1:F665,5,FALSE)</f>
        <v>T.B</v>
      </c>
      <c r="E123" s="54">
        <f>VLOOKUP(A123,'The List'!B1:I665,8,FALSE)</f>
        <v>170.81169777682274</v>
      </c>
      <c r="F123" s="54">
        <f>IF(Settings!$E$15="POINTS",E123-VLOOKUP(B$2,C1:E213,3,FALSE),J123)</f>
        <v>-165.42242726877217</v>
      </c>
      <c r="G123" s="54"/>
      <c r="H123" s="167">
        <f>RANK(I123,I3:I213)</f>
        <v>124</v>
      </c>
      <c r="I123" s="168">
        <f>VLOOKUP(A123,'Standard Deviations'!A1:C666,3,FALSE)</f>
        <v>-2.0221581720423343</v>
      </c>
      <c r="J123" s="168">
        <f>I123-VLOOKUP(B$2,H1:J213,2,FALSE)</f>
        <v>-6.7288169286433694</v>
      </c>
    </row>
    <row r="124" spans="1:10" ht="21.25" customHeight="1" x14ac:dyDescent="0.15">
      <c r="A124" s="9" t="s">
        <v>461</v>
      </c>
      <c r="B124" s="173" t="str">
        <f>VLOOKUP(A124,'The List'!B1:D665,3,FALSE)</f>
        <v>D</v>
      </c>
      <c r="C124" s="174">
        <f>IF(Settings!$E$15="POINTS",RANK(E124,E3:E213),H124)</f>
        <v>117</v>
      </c>
      <c r="D124" s="65" t="str">
        <f>VLOOKUP(A124,'The List'!B1:F665,5,FALSE)</f>
        <v>L.A</v>
      </c>
      <c r="E124" s="54">
        <f>VLOOKUP(A124,'The List'!B1:I665,8,FALSE)</f>
        <v>169.76288650104428</v>
      </c>
      <c r="F124" s="54">
        <f>IF(Settings!$E$15="POINTS",E124-VLOOKUP(B$2,C1:E213,3,FALSE),J124)</f>
        <v>-166.47123854455063</v>
      </c>
      <c r="G124" s="54"/>
      <c r="H124" s="167">
        <f>RANK(I124,I3:I213)</f>
        <v>88</v>
      </c>
      <c r="I124" s="168">
        <f>VLOOKUP(A124,'Standard Deviations'!A1:C666,3,FALSE)</f>
        <v>-0.91081087981643871</v>
      </c>
      <c r="J124" s="168">
        <f>I124-VLOOKUP(B$2,H1:J213,2,FALSE)</f>
        <v>-5.6174696364174741</v>
      </c>
    </row>
    <row r="125" spans="1:10" ht="21.25" customHeight="1" x14ac:dyDescent="0.15">
      <c r="A125" s="9" t="s">
        <v>475</v>
      </c>
      <c r="B125" s="173" t="str">
        <f>VLOOKUP(A125,'The List'!B1:D665,3,FALSE)</f>
        <v>D</v>
      </c>
      <c r="C125" s="174">
        <f>IF(Settings!$E$15="POINTS",RANK(E125,E3:E213),H125)</f>
        <v>122</v>
      </c>
      <c r="D125" s="65" t="str">
        <f>VLOOKUP(A125,'The List'!B1:F665,5,FALSE)</f>
        <v>T.B</v>
      </c>
      <c r="E125" s="54">
        <f>VLOOKUP(A125,'The List'!B1:I665,8,FALSE)</f>
        <v>163.84058786755733</v>
      </c>
      <c r="F125" s="54">
        <f>IF(Settings!$E$15="POINTS",E125-VLOOKUP(B$2,C1:E213,3,FALSE),J125)</f>
        <v>-172.39353717803758</v>
      </c>
      <c r="G125" s="54"/>
      <c r="H125" s="167">
        <f>RANK(I125,I3:I213)</f>
        <v>115</v>
      </c>
      <c r="I125" s="168">
        <f>VLOOKUP(A125,'Standard Deviations'!A1:C666,3,FALSE)</f>
        <v>-1.7527546871880932</v>
      </c>
      <c r="J125" s="168">
        <f>I125-VLOOKUP(B$2,H1:J213,2,FALSE)</f>
        <v>-6.4594134437891286</v>
      </c>
    </row>
    <row r="126" spans="1:10" ht="21.25" customHeight="1" x14ac:dyDescent="0.15">
      <c r="A126" s="9" t="s">
        <v>545</v>
      </c>
      <c r="B126" s="173" t="str">
        <f>VLOOKUP(A126,'The List'!B1:D665,3,FALSE)</f>
        <v>D</v>
      </c>
      <c r="C126" s="174">
        <f>IF(Settings!$E$15="POINTS",RANK(E126,E3:E213),H126)</f>
        <v>156</v>
      </c>
      <c r="D126" s="65" t="str">
        <f>VLOOKUP(A126,'The List'!B1:F665,5,FALSE)</f>
        <v>MTL</v>
      </c>
      <c r="E126" s="54">
        <f>VLOOKUP(A126,'The List'!B1:I665,8,FALSE)</f>
        <v>143.96964421410277</v>
      </c>
      <c r="F126" s="54">
        <f>IF(Settings!$E$15="POINTS",E126-VLOOKUP(B$2,C1:E213,3,FALSE),J126)</f>
        <v>-192.26448083149214</v>
      </c>
      <c r="G126" s="54"/>
      <c r="H126" s="167">
        <f>RANK(I126,I3:I213)</f>
        <v>183</v>
      </c>
      <c r="I126" s="168">
        <f>VLOOKUP(A126,'Standard Deviations'!A1:C666,3,FALSE)</f>
        <v>-3.5303793083355188</v>
      </c>
      <c r="J126" s="168">
        <f>I126-VLOOKUP(B$2,H1:J213,2,FALSE)</f>
        <v>-8.237038064936554</v>
      </c>
    </row>
    <row r="127" spans="1:10" ht="21.25" customHeight="1" x14ac:dyDescent="0.15">
      <c r="A127" s="9" t="s">
        <v>459</v>
      </c>
      <c r="B127" s="173" t="str">
        <f>VLOOKUP(A127,'The List'!B1:D665,3,FALSE)</f>
        <v>D</v>
      </c>
      <c r="C127" s="174">
        <f>IF(Settings!$E$15="POINTS",RANK(E127,E3:E213),H127)</f>
        <v>116</v>
      </c>
      <c r="D127" s="65" t="str">
        <f>VLOOKUP(A127,'The List'!B1:F665,5,FALSE)</f>
        <v>T.B</v>
      </c>
      <c r="E127" s="54">
        <f>VLOOKUP(A127,'The List'!B1:I665,8,FALSE)</f>
        <v>170.10383976216346</v>
      </c>
      <c r="F127" s="54">
        <f>IF(Settings!$E$15="POINTS",E127-VLOOKUP(B$2,C1:E213,3,FALSE),J127)</f>
        <v>-166.13028528343145</v>
      </c>
      <c r="G127" s="54"/>
      <c r="H127" s="167">
        <f>RANK(I127,I3:I213)</f>
        <v>100</v>
      </c>
      <c r="I127" s="168">
        <f>VLOOKUP(A127,'Standard Deviations'!A1:C666,3,FALSE)</f>
        <v>-1.3310471863416486</v>
      </c>
      <c r="J127" s="168">
        <f>I127-VLOOKUP(B$2,H1:J213,2,FALSE)</f>
        <v>-6.0377059429426838</v>
      </c>
    </row>
    <row r="128" spans="1:10" ht="21.25" customHeight="1" x14ac:dyDescent="0.15">
      <c r="A128" s="9" t="s">
        <v>499</v>
      </c>
      <c r="B128" s="173" t="str">
        <f>VLOOKUP(A128,'The List'!B1:D665,3,FALSE)</f>
        <v>D</v>
      </c>
      <c r="C128" s="174">
        <f>IF(Settings!$E$15="POINTS",RANK(E128,E3:E213),H128)</f>
        <v>133</v>
      </c>
      <c r="D128" s="65" t="str">
        <f>VLOOKUP(A128,'The List'!B1:F665,5,FALSE)</f>
        <v>VAN</v>
      </c>
      <c r="E128" s="54">
        <f>VLOOKUP(A128,'The List'!B1:I665,8,FALSE)</f>
        <v>155.35261196991397</v>
      </c>
      <c r="F128" s="54">
        <f>IF(Settings!$E$15="POINTS",E128-VLOOKUP(B$2,C1:E213,3,FALSE),J128)</f>
        <v>-180.88151307568094</v>
      </c>
      <c r="G128" s="54"/>
      <c r="H128" s="167">
        <f>RANK(I128,I3:I213)</f>
        <v>93</v>
      </c>
      <c r="I128" s="168">
        <f>VLOOKUP(A128,'Standard Deviations'!A1:C666,3,FALSE)</f>
        <v>-1.0411136627937272</v>
      </c>
      <c r="J128" s="168">
        <f>I128-VLOOKUP(B$2,H1:J213,2,FALSE)</f>
        <v>-5.7477724193947619</v>
      </c>
    </row>
    <row r="129" spans="1:10" ht="21.25" customHeight="1" x14ac:dyDescent="0.15">
      <c r="A129" s="9" t="s">
        <v>470</v>
      </c>
      <c r="B129" s="173" t="str">
        <f>VLOOKUP(A129,'The List'!B1:D665,3,FALSE)</f>
        <v>D</v>
      </c>
      <c r="C129" s="174">
        <f>IF(Settings!$E$15="POINTS",RANK(E129,E3:E213),H129)</f>
        <v>118</v>
      </c>
      <c r="D129" s="65" t="str">
        <f>VLOOKUP(A129,'The List'!B1:F665,5,FALSE)</f>
        <v>VGK</v>
      </c>
      <c r="E129" s="54">
        <f>VLOOKUP(A129,'The List'!B1:I665,8,FALSE)</f>
        <v>165.67245450616761</v>
      </c>
      <c r="F129" s="54">
        <f>IF(Settings!$E$15="POINTS",E129-VLOOKUP(B$2,C1:E213,3,FALSE),J129)</f>
        <v>-170.5616705394273</v>
      </c>
      <c r="G129" s="54"/>
      <c r="H129" s="167">
        <f>RANK(I129,I3:I213)</f>
        <v>106</v>
      </c>
      <c r="I129" s="168">
        <f>VLOOKUP(A129,'Standard Deviations'!A1:C666,3,FALSE)</f>
        <v>-1.4434735634834601</v>
      </c>
      <c r="J129" s="168">
        <f>I129-VLOOKUP(B$2,H1:J213,2,FALSE)</f>
        <v>-6.1501323200844951</v>
      </c>
    </row>
    <row r="130" spans="1:10" ht="21.25" customHeight="1" x14ac:dyDescent="0.15">
      <c r="A130" s="9" t="s">
        <v>458</v>
      </c>
      <c r="B130" s="173" t="str">
        <f>VLOOKUP(A130,'The List'!B1:D665,3,FALSE)</f>
        <v>D</v>
      </c>
      <c r="C130" s="174">
        <f>IF(Settings!$E$15="POINTS",RANK(E130,E3:E213),H130)</f>
        <v>115</v>
      </c>
      <c r="D130" s="65" t="str">
        <f>VLOOKUP(A130,'The List'!B1:F665,5,FALSE)</f>
        <v>MIN</v>
      </c>
      <c r="E130" s="54">
        <f>VLOOKUP(A130,'The List'!B1:I665,8,FALSE)</f>
        <v>170.55947995926539</v>
      </c>
      <c r="F130" s="54">
        <f>IF(Settings!$E$15="POINTS",E130-VLOOKUP(B$2,C1:E213,3,FALSE),J130)</f>
        <v>-165.67464508632952</v>
      </c>
      <c r="G130" s="54"/>
      <c r="H130" s="167">
        <f>RANK(I130,I3:I213)</f>
        <v>119</v>
      </c>
      <c r="I130" s="168">
        <f>VLOOKUP(A130,'Standard Deviations'!A1:C666,3,FALSE)</f>
        <v>-1.8807391283998984</v>
      </c>
      <c r="J130" s="168">
        <f>I130-VLOOKUP(B$2,H1:J213,2,FALSE)</f>
        <v>-6.587397885000934</v>
      </c>
    </row>
    <row r="131" spans="1:10" ht="21.25" customHeight="1" x14ac:dyDescent="0.15">
      <c r="A131" s="9" t="s">
        <v>562</v>
      </c>
      <c r="B131" s="173" t="str">
        <f>VLOOKUP(A131,'The List'!B1:D665,3,FALSE)</f>
        <v>D</v>
      </c>
      <c r="C131" s="174">
        <f>IF(Settings!$E$15="POINTS",RANK(E131,E3:E213),H131)</f>
        <v>165</v>
      </c>
      <c r="D131" s="65" t="str">
        <f>VLOOKUP(A131,'The List'!B1:F665,5,FALSE)</f>
        <v>BOS</v>
      </c>
      <c r="E131" s="54">
        <f>VLOOKUP(A131,'The List'!B1:I665,8,FALSE)</f>
        <v>138.50203946586711</v>
      </c>
      <c r="F131" s="54">
        <f>IF(Settings!$E$15="POINTS",E131-VLOOKUP(B$2,C1:E213,3,FALSE),J131)</f>
        <v>-197.73208557972779</v>
      </c>
      <c r="G131" s="54"/>
      <c r="H131" s="167">
        <f>RANK(I131,I3:I213)</f>
        <v>147</v>
      </c>
      <c r="I131" s="168">
        <f>VLOOKUP(A131,'Standard Deviations'!A1:C666,3,FALSE)</f>
        <v>-2.5267030683059053</v>
      </c>
      <c r="J131" s="168">
        <f>I131-VLOOKUP(B$2,H1:J213,2,FALSE)</f>
        <v>-7.2333618249069405</v>
      </c>
    </row>
    <row r="132" spans="1:10" ht="21.25" customHeight="1" x14ac:dyDescent="0.15">
      <c r="A132" s="9" t="s">
        <v>533</v>
      </c>
      <c r="B132" s="173" t="str">
        <f>VLOOKUP(A132,'The List'!B1:D665,3,FALSE)</f>
        <v>D</v>
      </c>
      <c r="C132" s="174">
        <f>IF(Settings!$E$15="POINTS",RANK(E132,E3:E213),H132)</f>
        <v>149</v>
      </c>
      <c r="D132" s="65" t="str">
        <f>VLOOKUP(A132,'The List'!B1:F665,5,FALSE)</f>
        <v>PHI</v>
      </c>
      <c r="E132" s="54">
        <f>VLOOKUP(A132,'The List'!B1:I665,8,FALSE)</f>
        <v>147.24245591406344</v>
      </c>
      <c r="F132" s="54">
        <f>IF(Settings!$E$15="POINTS",E132-VLOOKUP(B$2,C1:E213,3,FALSE),J132)</f>
        <v>-188.99166913153147</v>
      </c>
      <c r="G132" s="54"/>
      <c r="H132" s="167">
        <f>RANK(I132,I3:I213)</f>
        <v>161</v>
      </c>
      <c r="I132" s="168">
        <f>VLOOKUP(A132,'Standard Deviations'!A1:C666,3,FALSE)</f>
        <v>-2.8628791988282778</v>
      </c>
      <c r="J132" s="168">
        <f>I132-VLOOKUP(B$2,H1:J213,2,FALSE)</f>
        <v>-7.569537955429313</v>
      </c>
    </row>
    <row r="133" spans="1:10" ht="21.25" customHeight="1" x14ac:dyDescent="0.15">
      <c r="A133" s="9" t="s">
        <v>478</v>
      </c>
      <c r="B133" s="173" t="str">
        <f>VLOOKUP(A133,'The List'!B1:D665,3,FALSE)</f>
        <v>D</v>
      </c>
      <c r="C133" s="174">
        <f>IF(Settings!$E$15="POINTS",RANK(E133,E3:E213),H133)</f>
        <v>124</v>
      </c>
      <c r="D133" s="65" t="str">
        <f>VLOOKUP(A133,'The List'!B1:F665,5,FALSE)</f>
        <v>CHI</v>
      </c>
      <c r="E133" s="54">
        <f>VLOOKUP(A133,'The List'!B1:I665,8,FALSE)</f>
        <v>163.25942930086038</v>
      </c>
      <c r="F133" s="54">
        <f>IF(Settings!$E$15="POINTS",E133-VLOOKUP(B$2,C1:E213,3,FALSE),J133)</f>
        <v>-172.97469574473453</v>
      </c>
      <c r="G133" s="54"/>
      <c r="H133" s="167">
        <f>RANK(I133,I3:I213)</f>
        <v>77</v>
      </c>
      <c r="I133" s="168">
        <f>VLOOKUP(A133,'Standard Deviations'!A1:C666,3,FALSE)</f>
        <v>-0.5208700095316281</v>
      </c>
      <c r="J133" s="168">
        <f>I133-VLOOKUP(B$2,H1:J213,2,FALSE)</f>
        <v>-5.2275287661326635</v>
      </c>
    </row>
    <row r="134" spans="1:10" ht="21.25" customHeight="1" x14ac:dyDescent="0.15">
      <c r="A134" s="9" t="s">
        <v>556</v>
      </c>
      <c r="B134" s="173" t="str">
        <f>VLOOKUP(A134,'The List'!B1:D665,3,FALSE)</f>
        <v>D</v>
      </c>
      <c r="C134" s="174">
        <f>IF(Settings!$E$15="POINTS",RANK(E134,E3:E213),H134)</f>
        <v>161</v>
      </c>
      <c r="D134" s="65" t="str">
        <f>VLOOKUP(A134,'The List'!B1:F665,5,FALSE)</f>
        <v>NYI</v>
      </c>
      <c r="E134" s="54">
        <f>VLOOKUP(A134,'The List'!B1:I665,8,FALSE)</f>
        <v>140.36056254960812</v>
      </c>
      <c r="F134" s="54">
        <f>IF(Settings!$E$15="POINTS",E134-VLOOKUP(B$2,C1:E213,3,FALSE),J134)</f>
        <v>-195.87356249598679</v>
      </c>
      <c r="G134" s="54"/>
      <c r="H134" s="167">
        <f>RANK(I134,I3:I213)</f>
        <v>153</v>
      </c>
      <c r="I134" s="168">
        <f>VLOOKUP(A134,'Standard Deviations'!A1:C666,3,FALSE)</f>
        <v>-2.668035324781624</v>
      </c>
      <c r="J134" s="168">
        <f>I134-VLOOKUP(B$2,H1:J213,2,FALSE)</f>
        <v>-7.3746940813826587</v>
      </c>
    </row>
    <row r="135" spans="1:10" ht="21.25" customHeight="1" x14ac:dyDescent="0.15">
      <c r="A135" s="9" t="s">
        <v>485</v>
      </c>
      <c r="B135" s="173" t="str">
        <f>VLOOKUP(A135,'The List'!B1:D665,3,FALSE)</f>
        <v>D</v>
      </c>
      <c r="C135" s="174">
        <f>IF(Settings!$E$15="POINTS",RANK(E135,E3:E213),H135)</f>
        <v>128</v>
      </c>
      <c r="D135" s="65" t="str">
        <f>VLOOKUP(A135,'The List'!B1:F665,5,FALSE)</f>
        <v>SEA</v>
      </c>
      <c r="E135" s="54">
        <f>VLOOKUP(A135,'The List'!B1:I665,8,FALSE)</f>
        <v>160.83510870935072</v>
      </c>
      <c r="F135" s="54">
        <f>IF(Settings!$E$15="POINTS",E135-VLOOKUP(B$2,C1:E213,3,FALSE),J135)</f>
        <v>-175.39901633624419</v>
      </c>
      <c r="G135" s="54"/>
      <c r="H135" s="167">
        <f>RANK(I135,I3:I213)</f>
        <v>148</v>
      </c>
      <c r="I135" s="168">
        <f>VLOOKUP(A135,'Standard Deviations'!A1:C666,3,FALSE)</f>
        <v>-2.5890097046609997</v>
      </c>
      <c r="J135" s="168">
        <f>I135-VLOOKUP(B$2,H1:J213,2,FALSE)</f>
        <v>-7.2956684612620348</v>
      </c>
    </row>
    <row r="136" spans="1:10" ht="21.25" customHeight="1" x14ac:dyDescent="0.15">
      <c r="A136" s="9" t="s">
        <v>514</v>
      </c>
      <c r="B136" s="173" t="str">
        <f>VLOOKUP(A136,'The List'!B1:D665,3,FALSE)</f>
        <v>D</v>
      </c>
      <c r="C136" s="174">
        <f>IF(Settings!$E$15="POINTS",RANK(E136,E3:E213),H136)</f>
        <v>141</v>
      </c>
      <c r="D136" s="65" t="str">
        <f>VLOOKUP(A136,'The List'!B1:F665,5,FALSE)</f>
        <v>NYI</v>
      </c>
      <c r="E136" s="54">
        <f>VLOOKUP(A136,'The List'!B1:I665,8,FALSE)</f>
        <v>150.4553194671108</v>
      </c>
      <c r="F136" s="54">
        <f>IF(Settings!$E$15="POINTS",E136-VLOOKUP(B$2,C1:E213,3,FALSE),J136)</f>
        <v>-185.77880557848411</v>
      </c>
      <c r="G136" s="54"/>
      <c r="H136" s="167">
        <f>RANK(I136,I3:I213)</f>
        <v>122</v>
      </c>
      <c r="I136" s="168">
        <f>VLOOKUP(A136,'Standard Deviations'!A1:C666,3,FALSE)</f>
        <v>-1.9218815653726589</v>
      </c>
      <c r="J136" s="168">
        <f>I136-VLOOKUP(B$2,H1:J213,2,FALSE)</f>
        <v>-6.628540321973694</v>
      </c>
    </row>
    <row r="137" spans="1:10" ht="21.25" customHeight="1" x14ac:dyDescent="0.15">
      <c r="A137" s="9" t="s">
        <v>486</v>
      </c>
      <c r="B137" s="173" t="str">
        <f>VLOOKUP(A137,'The List'!B1:D665,3,FALSE)</f>
        <v>D</v>
      </c>
      <c r="C137" s="174">
        <f>IF(Settings!$E$15="POINTS",RANK(E137,E3:E213),H137)</f>
        <v>129</v>
      </c>
      <c r="D137" s="65" t="str">
        <f>VLOOKUP(A137,'The List'!B1:F665,5,FALSE)</f>
        <v>T.B</v>
      </c>
      <c r="E137" s="54">
        <f>VLOOKUP(A137,'The List'!B1:I665,8,FALSE)</f>
        <v>160.81234176560474</v>
      </c>
      <c r="F137" s="54">
        <f>IF(Settings!$E$15="POINTS",E137-VLOOKUP(B$2,C1:E213,3,FALSE),J137)</f>
        <v>-175.42178327999017</v>
      </c>
      <c r="G137" s="54"/>
      <c r="H137" s="167">
        <f>RANK(I137,I3:I213)</f>
        <v>121</v>
      </c>
      <c r="I137" s="168">
        <f>VLOOKUP(A137,'Standard Deviations'!A1:C666,3,FALSE)</f>
        <v>-1.9164317592551685</v>
      </c>
      <c r="J137" s="168">
        <f>I137-VLOOKUP(B$2,H1:J213,2,FALSE)</f>
        <v>-6.6230905158562035</v>
      </c>
    </row>
    <row r="138" spans="1:10" ht="21.25" customHeight="1" x14ac:dyDescent="0.15">
      <c r="A138" s="9" t="s">
        <v>476</v>
      </c>
      <c r="B138" s="173" t="str">
        <f>VLOOKUP(A138,'The List'!B1:D665,3,FALSE)</f>
        <v>D</v>
      </c>
      <c r="C138" s="174">
        <f>IF(Settings!$E$15="POINTS",RANK(E138,E3:E213),H138)</f>
        <v>123</v>
      </c>
      <c r="D138" s="65" t="str">
        <f>VLOOKUP(A138,'The List'!B1:F665,5,FALSE)</f>
        <v>BOS</v>
      </c>
      <c r="E138" s="54">
        <f>VLOOKUP(A138,'The List'!B1:I665,8,FALSE)</f>
        <v>163.82691852897821</v>
      </c>
      <c r="F138" s="54">
        <f>IF(Settings!$E$15="POINTS",E138-VLOOKUP(B$2,C1:E213,3,FALSE),J138)</f>
        <v>-172.4072065166167</v>
      </c>
      <c r="G138" s="54"/>
      <c r="H138" s="167">
        <f>RANK(I138,I3:I213)</f>
        <v>91</v>
      </c>
      <c r="I138" s="168">
        <f>VLOOKUP(A138,'Standard Deviations'!A1:C666,3,FALSE)</f>
        <v>-1.0147676664102911</v>
      </c>
      <c r="J138" s="168">
        <f>I138-VLOOKUP(B$2,H1:J213,2,FALSE)</f>
        <v>-5.7214264230113265</v>
      </c>
    </row>
    <row r="139" spans="1:10" ht="21.25" customHeight="1" x14ac:dyDescent="0.15">
      <c r="A139" s="9" t="s">
        <v>542</v>
      </c>
      <c r="B139" s="173" t="str">
        <f>VLOOKUP(A139,'The List'!B1:D665,3,FALSE)</f>
        <v>D</v>
      </c>
      <c r="C139" s="174">
        <f>IF(Settings!$E$15="POINTS",RANK(E139,E3:E213),H139)</f>
        <v>153</v>
      </c>
      <c r="D139" s="65" t="str">
        <f>VLOOKUP(A139,'The List'!B1:F665,5,FALSE)</f>
        <v>OTT</v>
      </c>
      <c r="E139" s="54">
        <f>VLOOKUP(A139,'The List'!B1:I665,8,FALSE)</f>
        <v>144.38483574263586</v>
      </c>
      <c r="F139" s="54">
        <f>IF(Settings!$E$15="POINTS",E139-VLOOKUP(B$2,C1:E213,3,FALSE),J139)</f>
        <v>-191.84928930295905</v>
      </c>
      <c r="G139" s="54"/>
      <c r="H139" s="167">
        <f>RANK(I139,I3:I213)</f>
        <v>159</v>
      </c>
      <c r="I139" s="168">
        <f>VLOOKUP(A139,'Standard Deviations'!A1:C666,3,FALSE)</f>
        <v>-2.8409316834660405</v>
      </c>
      <c r="J139" s="168">
        <f>I139-VLOOKUP(B$2,H1:J213,2,FALSE)</f>
        <v>-7.5475904400670757</v>
      </c>
    </row>
    <row r="140" spans="1:10" ht="21.25" customHeight="1" x14ac:dyDescent="0.15">
      <c r="A140" s="9" t="s">
        <v>521</v>
      </c>
      <c r="B140" s="173" t="str">
        <f>VLOOKUP(A140,'The List'!B1:D665,3,FALSE)</f>
        <v>D</v>
      </c>
      <c r="C140" s="174">
        <f>IF(Settings!$E$15="POINTS",RANK(E140,E3:E213),H140)</f>
        <v>145</v>
      </c>
      <c r="D140" s="65" t="str">
        <f>VLOOKUP(A140,'The List'!B1:F665,5,FALSE)</f>
        <v>CAR</v>
      </c>
      <c r="E140" s="54">
        <f>VLOOKUP(A140,'The List'!B1:I665,8,FALSE)</f>
        <v>149.37978818966042</v>
      </c>
      <c r="F140" s="54">
        <f>IF(Settings!$E$15="POINTS",E140-VLOOKUP(B$2,C1:E213,3,FALSE),J140)</f>
        <v>-186.85433685593449</v>
      </c>
      <c r="G140" s="54"/>
      <c r="H140" s="167">
        <f>RANK(I140,I3:I213)</f>
        <v>133</v>
      </c>
      <c r="I140" s="168">
        <f>VLOOKUP(A140,'Standard Deviations'!A1:C666,3,FALSE)</f>
        <v>-2.2349556167053173</v>
      </c>
      <c r="J140" s="168">
        <f>I140-VLOOKUP(B$2,H1:J213,2,FALSE)</f>
        <v>-6.9416143733063524</v>
      </c>
    </row>
    <row r="141" spans="1:10" ht="21.25" customHeight="1" x14ac:dyDescent="0.15">
      <c r="A141" s="9" t="s">
        <v>481</v>
      </c>
      <c r="B141" s="173" t="str">
        <f>VLOOKUP(A141,'The List'!B1:D665,3,FALSE)</f>
        <v>D</v>
      </c>
      <c r="C141" s="174">
        <f>IF(Settings!$E$15="POINTS",RANK(E141,E3:E213),H141)</f>
        <v>126</v>
      </c>
      <c r="D141" s="65" t="str">
        <f>VLOOKUP(A141,'The List'!B1:F665,5,FALSE)</f>
        <v>CHI</v>
      </c>
      <c r="E141" s="54">
        <f>VLOOKUP(A141,'The List'!B1:I665,8,FALSE)</f>
        <v>162.28055328460243</v>
      </c>
      <c r="F141" s="54">
        <f>IF(Settings!$E$15="POINTS",E141-VLOOKUP(B$2,C1:E213,3,FALSE),J141)</f>
        <v>-173.95357176099247</v>
      </c>
      <c r="G141" s="54"/>
      <c r="H141" s="167">
        <f>RANK(I141,I3:I213)</f>
        <v>194</v>
      </c>
      <c r="I141" s="168">
        <f>VLOOKUP(A141,'Standard Deviations'!A1:C666,3,FALSE)</f>
        <v>-3.9743424986977893</v>
      </c>
      <c r="J141" s="168">
        <f>I141-VLOOKUP(B$2,H1:J213,2,FALSE)</f>
        <v>-8.681001255298824</v>
      </c>
    </row>
    <row r="142" spans="1:10" ht="21.25" customHeight="1" x14ac:dyDescent="0.15">
      <c r="A142" s="9" t="s">
        <v>480</v>
      </c>
      <c r="B142" s="173" t="str">
        <f>VLOOKUP(A142,'The List'!B1:D665,3,FALSE)</f>
        <v>D</v>
      </c>
      <c r="C142" s="174">
        <f>IF(Settings!$E$15="POINTS",RANK(E142,E3:E213),H142)</f>
        <v>125</v>
      </c>
      <c r="D142" s="65" t="str">
        <f>VLOOKUP(A142,'The List'!B1:F665,5,FALSE)</f>
        <v>OTT</v>
      </c>
      <c r="E142" s="54">
        <f>VLOOKUP(A142,'The List'!B1:I665,8,FALSE)</f>
        <v>162.8432771139245</v>
      </c>
      <c r="F142" s="54">
        <f>IF(Settings!$E$15="POINTS",E142-VLOOKUP(B$2,C1:E213,3,FALSE),J142)</f>
        <v>-173.39084793167041</v>
      </c>
      <c r="G142" s="54"/>
      <c r="H142" s="167">
        <f>RANK(I142,I3:I213)</f>
        <v>146</v>
      </c>
      <c r="I142" s="168">
        <f>VLOOKUP(A142,'Standard Deviations'!A1:C666,3,FALSE)</f>
        <v>-2.5204592097222118</v>
      </c>
      <c r="J142" s="168">
        <f>I142-VLOOKUP(B$2,H1:J213,2,FALSE)</f>
        <v>-7.227117966323247</v>
      </c>
    </row>
    <row r="143" spans="1:10" ht="21.25" customHeight="1" x14ac:dyDescent="0.15">
      <c r="A143" s="9" t="s">
        <v>496</v>
      </c>
      <c r="B143" s="173" t="str">
        <f>VLOOKUP(A143,'The List'!B1:D665,3,FALSE)</f>
        <v>D</v>
      </c>
      <c r="C143" s="174">
        <f>IF(Settings!$E$15="POINTS",RANK(E143,E3:E213),H143)</f>
        <v>131</v>
      </c>
      <c r="D143" s="65" t="str">
        <f>VLOOKUP(A143,'The List'!B1:F665,5,FALSE)</f>
        <v>COL</v>
      </c>
      <c r="E143" s="54">
        <f>VLOOKUP(A143,'The List'!B1:I665,8,FALSE)</f>
        <v>156.39088393318085</v>
      </c>
      <c r="F143" s="54">
        <f>IF(Settings!$E$15="POINTS",E143-VLOOKUP(B$2,C1:E213,3,FALSE),J143)</f>
        <v>-179.84324111241406</v>
      </c>
      <c r="G143" s="54"/>
      <c r="H143" s="167">
        <f>RANK(I143,I3:I213)</f>
        <v>132</v>
      </c>
      <c r="I143" s="168">
        <f>VLOOKUP(A143,'Standard Deviations'!A1:C666,3,FALSE)</f>
        <v>-2.2267241249665415</v>
      </c>
      <c r="J143" s="168">
        <f>I143-VLOOKUP(B$2,H1:J213,2,FALSE)</f>
        <v>-6.9333828815675762</v>
      </c>
    </row>
    <row r="144" spans="1:10" ht="21.25" customHeight="1" x14ac:dyDescent="0.15">
      <c r="A144" s="9" t="s">
        <v>527</v>
      </c>
      <c r="B144" s="173" t="str">
        <f>VLOOKUP(A144,'The List'!B1:D665,3,FALSE)</f>
        <v>D</v>
      </c>
      <c r="C144" s="174">
        <f>IF(Settings!$E$15="POINTS",RANK(E144,E3:E213),H144)</f>
        <v>147</v>
      </c>
      <c r="D144" s="65" t="str">
        <f>VLOOKUP(A144,'The List'!B1:F665,5,FALSE)</f>
        <v>CHI</v>
      </c>
      <c r="E144" s="54">
        <f>VLOOKUP(A144,'The List'!B1:I665,8,FALSE)</f>
        <v>148.03552460969073</v>
      </c>
      <c r="F144" s="54">
        <f>IF(Settings!$E$15="POINTS",E144-VLOOKUP(B$2,C1:E213,3,FALSE),J144)</f>
        <v>-188.19860043590418</v>
      </c>
      <c r="G144" s="54"/>
      <c r="H144" s="167">
        <f>RANK(I144,I3:I213)</f>
        <v>188</v>
      </c>
      <c r="I144" s="168">
        <f>VLOOKUP(A144,'Standard Deviations'!A1:C666,3,FALSE)</f>
        <v>-3.8046316373893041</v>
      </c>
      <c r="J144" s="168">
        <f>I144-VLOOKUP(B$2,H1:J213,2,FALSE)</f>
        <v>-8.5112903939903397</v>
      </c>
    </row>
    <row r="145" spans="1:10" ht="21.25" customHeight="1" x14ac:dyDescent="0.15">
      <c r="A145" s="9" t="s">
        <v>498</v>
      </c>
      <c r="B145" s="173" t="str">
        <f>VLOOKUP(A145,'The List'!B1:D665,3,FALSE)</f>
        <v>D</v>
      </c>
      <c r="C145" s="174">
        <f>IF(Settings!$E$15="POINTS",RANK(E145,E3:E213),H145)</f>
        <v>132</v>
      </c>
      <c r="D145" s="65" t="str">
        <f>VLOOKUP(A145,'The List'!B1:F665,5,FALSE)</f>
        <v>ANA</v>
      </c>
      <c r="E145" s="54">
        <f>VLOOKUP(A145,'The List'!B1:I665,8,FALSE)</f>
        <v>155.61436811630131</v>
      </c>
      <c r="F145" s="54">
        <f>IF(Settings!$E$15="POINTS",E145-VLOOKUP(B$2,C1:E213,3,FALSE),J145)</f>
        <v>-180.6197569292936</v>
      </c>
      <c r="G145" s="54"/>
      <c r="H145" s="167">
        <f>RANK(I145,I3:I213)</f>
        <v>191</v>
      </c>
      <c r="I145" s="168">
        <f>VLOOKUP(A145,'Standard Deviations'!A1:C666,3,FALSE)</f>
        <v>-3.8650777135902183</v>
      </c>
      <c r="J145" s="168">
        <f>I145-VLOOKUP(B$2,H1:J213,2,FALSE)</f>
        <v>-8.5717364701912544</v>
      </c>
    </row>
    <row r="146" spans="1:10" ht="21.25" customHeight="1" x14ac:dyDescent="0.15">
      <c r="A146" s="9" t="s">
        <v>536</v>
      </c>
      <c r="B146" s="173" t="str">
        <f>VLOOKUP(A146,'The List'!B1:D665,3,FALSE)</f>
        <v>D</v>
      </c>
      <c r="C146" s="174">
        <f>IF(Settings!$E$15="POINTS",RANK(E146,E3:E213),H146)</f>
        <v>151</v>
      </c>
      <c r="D146" s="65" t="str">
        <f>VLOOKUP(A146,'The List'!B1:F665,5,FALSE)</f>
        <v>VGK</v>
      </c>
      <c r="E146" s="54">
        <f>VLOOKUP(A146,'The List'!B1:I665,8,FALSE)</f>
        <v>145.80953807290288</v>
      </c>
      <c r="F146" s="54">
        <f>IF(Settings!$E$15="POINTS",E146-VLOOKUP(B$2,C1:E213,3,FALSE),J146)</f>
        <v>-190.42458697269203</v>
      </c>
      <c r="G146" s="54"/>
      <c r="H146" s="167">
        <f>RANK(I146,I3:I213)</f>
        <v>120</v>
      </c>
      <c r="I146" s="168">
        <f>VLOOKUP(A146,'Standard Deviations'!A1:C666,3,FALSE)</f>
        <v>-1.9123469609629711</v>
      </c>
      <c r="J146" s="168">
        <f>I146-VLOOKUP(B$2,H1:J213,2,FALSE)</f>
        <v>-6.619005717564006</v>
      </c>
    </row>
    <row r="147" spans="1:10" ht="21.25" customHeight="1" x14ac:dyDescent="0.15">
      <c r="A147" s="9" t="s">
        <v>504</v>
      </c>
      <c r="B147" s="173" t="str">
        <f>VLOOKUP(A147,'The List'!B1:D665,3,FALSE)</f>
        <v>D</v>
      </c>
      <c r="C147" s="174">
        <f>IF(Settings!$E$15="POINTS",RANK(E147,E3:E213),H147)</f>
        <v>136</v>
      </c>
      <c r="D147" s="65" t="str">
        <f>VLOOKUP(A147,'The List'!B1:F665,5,FALSE)</f>
        <v>WSH</v>
      </c>
      <c r="E147" s="54">
        <f>VLOOKUP(A147,'The List'!B1:I665,8,FALSE)</f>
        <v>153.23314676646245</v>
      </c>
      <c r="F147" s="54">
        <f>IF(Settings!$E$15="POINTS",E147-VLOOKUP(B$2,C1:E213,3,FALSE),J147)</f>
        <v>-183.00097827913245</v>
      </c>
      <c r="G147" s="54"/>
      <c r="H147" s="167">
        <f>RANK(I147,I3:I213)</f>
        <v>164</v>
      </c>
      <c r="I147" s="168">
        <f>VLOOKUP(A147,'Standard Deviations'!A1:C666,3,FALSE)</f>
        <v>-2.9438143228908045</v>
      </c>
      <c r="J147" s="168">
        <f>I147-VLOOKUP(B$2,H1:J213,2,FALSE)</f>
        <v>-7.6504730794918396</v>
      </c>
    </row>
    <row r="148" spans="1:10" ht="21.25" customHeight="1" x14ac:dyDescent="0.15">
      <c r="A148" s="9" t="s">
        <v>578</v>
      </c>
      <c r="B148" s="173" t="str">
        <f>VLOOKUP(A148,'The List'!B1:D665,3,FALSE)</f>
        <v>D</v>
      </c>
      <c r="C148" s="174">
        <f>IF(Settings!$E$15="POINTS",RANK(E148,E3:E213),H148)</f>
        <v>173</v>
      </c>
      <c r="D148" s="65" t="str">
        <f>VLOOKUP(A148,'The List'!B1:F665,5,FALSE)</f>
        <v>STL</v>
      </c>
      <c r="E148" s="54">
        <f>VLOOKUP(A148,'The List'!B1:I665,8,FALSE)</f>
        <v>133.44840464888159</v>
      </c>
      <c r="F148" s="54">
        <f>IF(Settings!$E$15="POINTS",E148-VLOOKUP(B$2,C1:E213,3,FALSE),J148)</f>
        <v>-202.78572039671332</v>
      </c>
      <c r="G148" s="54"/>
      <c r="H148" s="167">
        <f>RANK(I148,I3:I213)</f>
        <v>180</v>
      </c>
      <c r="I148" s="168">
        <f>VLOOKUP(A148,'Standard Deviations'!A1:C666,3,FALSE)</f>
        <v>-3.508588572455944</v>
      </c>
      <c r="J148" s="168">
        <f>I148-VLOOKUP(B$2,H1:J213,2,FALSE)</f>
        <v>-8.2152473290569787</v>
      </c>
    </row>
    <row r="149" spans="1:10" ht="21.25" customHeight="1" x14ac:dyDescent="0.15">
      <c r="A149" s="9" t="s">
        <v>489</v>
      </c>
      <c r="B149" s="173" t="str">
        <f>VLOOKUP(A149,'The List'!B1:D665,3,FALSE)</f>
        <v>D</v>
      </c>
      <c r="C149" s="174">
        <f>IF(Settings!$E$15="POINTS",RANK(E149,E3:E213),H149)</f>
        <v>130</v>
      </c>
      <c r="D149" s="65" t="str">
        <f>VLOOKUP(A149,'The List'!B1:F665,5,FALSE)</f>
        <v>STL</v>
      </c>
      <c r="E149" s="54">
        <f>VLOOKUP(A149,'The List'!B1:I665,8,FALSE)</f>
        <v>160.42409499195426</v>
      </c>
      <c r="F149" s="54">
        <f>IF(Settings!$E$15="POINTS",E149-VLOOKUP(B$2,C1:E213,3,FALSE),J149)</f>
        <v>-175.81003005364065</v>
      </c>
      <c r="G149" s="54"/>
      <c r="H149" s="167">
        <f>RANK(I149,I3:I213)</f>
        <v>174</v>
      </c>
      <c r="I149" s="168">
        <f>VLOOKUP(A149,'Standard Deviations'!A1:C666,3,FALSE)</f>
        <v>-3.280845693411389</v>
      </c>
      <c r="J149" s="168">
        <f>I149-VLOOKUP(B$2,H1:J213,2,FALSE)</f>
        <v>-7.9875044500124242</v>
      </c>
    </row>
    <row r="150" spans="1:10" ht="21.25" customHeight="1" x14ac:dyDescent="0.15">
      <c r="A150" s="9" t="s">
        <v>525</v>
      </c>
      <c r="B150" s="173" t="str">
        <f>VLOOKUP(A150,'The List'!B1:D665,3,FALSE)</f>
        <v>D</v>
      </c>
      <c r="C150" s="174">
        <f>IF(Settings!$E$15="POINTS",RANK(E150,E3:E213),H150)</f>
        <v>146</v>
      </c>
      <c r="D150" s="65" t="str">
        <f>VLOOKUP(A150,'The List'!B1:F665,5,FALSE)</f>
        <v>UTA</v>
      </c>
      <c r="E150" s="54">
        <f>VLOOKUP(A150,'The List'!B1:I665,8,FALSE)</f>
        <v>148.80537851565302</v>
      </c>
      <c r="F150" s="54">
        <f>IF(Settings!$E$15="POINTS",E150-VLOOKUP(B$2,C1:E213,3,FALSE),J150)</f>
        <v>-187.42874652994189</v>
      </c>
      <c r="G150" s="54"/>
      <c r="H150" s="167">
        <f>RANK(I150,I3:I213)</f>
        <v>143</v>
      </c>
      <c r="I150" s="168">
        <f>VLOOKUP(A150,'Standard Deviations'!A1:C666,3,FALSE)</f>
        <v>-2.4484131459714882</v>
      </c>
      <c r="J150" s="168">
        <f>I150-VLOOKUP(B$2,H1:J213,2,FALSE)</f>
        <v>-7.1550719025725229</v>
      </c>
    </row>
    <row r="151" spans="1:10" ht="21.25" customHeight="1" x14ac:dyDescent="0.15">
      <c r="A151" s="9" t="s">
        <v>618</v>
      </c>
      <c r="B151" s="173" t="str">
        <f>VLOOKUP(A151,'The List'!B1:D665,3,FALSE)</f>
        <v>D</v>
      </c>
      <c r="C151" s="174">
        <f>IF(Settings!$E$15="POINTS",RANK(E151,E3:E213),H151)</f>
        <v>188</v>
      </c>
      <c r="D151" s="65" t="str">
        <f>VLOOKUP(A151,'The List'!B1:F665,5,FALSE)</f>
        <v>STL</v>
      </c>
      <c r="E151" s="54">
        <f>VLOOKUP(A151,'The List'!B1:I665,8,FALSE)</f>
        <v>115.69702646214395</v>
      </c>
      <c r="F151" s="54">
        <f>IF(Settings!$E$15="POINTS",E151-VLOOKUP(B$2,C1:E213,3,FALSE),J151)</f>
        <v>-220.53709858345096</v>
      </c>
      <c r="G151" s="54"/>
      <c r="H151" s="167">
        <f>RANK(I151,I3:I213)</f>
        <v>204</v>
      </c>
      <c r="I151" s="168">
        <f>VLOOKUP(A151,'Standard Deviations'!A1:C666,3,FALSE)</f>
        <v>-4.525403650166572</v>
      </c>
      <c r="J151" s="168">
        <f>I151-VLOOKUP(B$2,H1:J213,2,FALSE)</f>
        <v>-9.2320624067676071</v>
      </c>
    </row>
    <row r="152" spans="1:10" ht="21.25" customHeight="1" x14ac:dyDescent="0.15">
      <c r="A152" s="9" t="s">
        <v>513</v>
      </c>
      <c r="B152" s="173" t="str">
        <f>VLOOKUP(A152,'The List'!B1:D665,3,FALSE)</f>
        <v>D</v>
      </c>
      <c r="C152" s="174">
        <f>IF(Settings!$E$15="POINTS",RANK(E152,E3:E213),H152)</f>
        <v>140</v>
      </c>
      <c r="D152" s="65" t="str">
        <f>VLOOKUP(A152,'The List'!B1:F665,5,FALSE)</f>
        <v>N.J</v>
      </c>
      <c r="E152" s="54">
        <f>VLOOKUP(A152,'The List'!B1:I665,8,FALSE)</f>
        <v>150.49762110162314</v>
      </c>
      <c r="F152" s="54">
        <f>IF(Settings!$E$15="POINTS",E152-VLOOKUP(B$2,C1:E213,3,FALSE),J152)</f>
        <v>-185.73650394397177</v>
      </c>
      <c r="G152" s="54"/>
      <c r="H152" s="167">
        <f>RANK(I152,I3:I213)</f>
        <v>114</v>
      </c>
      <c r="I152" s="168">
        <f>VLOOKUP(A152,'Standard Deviations'!A1:C666,3,FALSE)</f>
        <v>-1.7074969239090068</v>
      </c>
      <c r="J152" s="168">
        <f>I152-VLOOKUP(B$2,H1:J213,2,FALSE)</f>
        <v>-6.4141556805100421</v>
      </c>
    </row>
    <row r="153" spans="1:10" ht="21.25" customHeight="1" x14ac:dyDescent="0.15">
      <c r="A153" s="9" t="s">
        <v>554</v>
      </c>
      <c r="B153" s="173" t="str">
        <f>VLOOKUP(A153,'The List'!B1:D665,3,FALSE)</f>
        <v>D</v>
      </c>
      <c r="C153" s="174">
        <f>IF(Settings!$E$15="POINTS",RANK(E153,E3:E213),H153)</f>
        <v>159</v>
      </c>
      <c r="D153" s="65" t="str">
        <f>VLOOKUP(A153,'The List'!B1:F665,5,FALSE)</f>
        <v>OTT</v>
      </c>
      <c r="E153" s="54">
        <f>VLOOKUP(A153,'The List'!B1:I665,8,FALSE)</f>
        <v>140.56995490374649</v>
      </c>
      <c r="F153" s="54">
        <f>IF(Settings!$E$15="POINTS",E153-VLOOKUP(B$2,C1:E213,3,FALSE),J153)</f>
        <v>-195.66417014184842</v>
      </c>
      <c r="G153" s="54"/>
      <c r="H153" s="167">
        <f>RANK(I153,I3:I213)</f>
        <v>172</v>
      </c>
      <c r="I153" s="168">
        <f>VLOOKUP(A153,'Standard Deviations'!A1:C666,3,FALSE)</f>
        <v>-3.2152031840100714</v>
      </c>
      <c r="J153" s="168">
        <f>I153-VLOOKUP(B$2,H1:J213,2,FALSE)</f>
        <v>-7.921861940611107</v>
      </c>
    </row>
    <row r="154" spans="1:10" ht="21.25" customHeight="1" x14ac:dyDescent="0.15">
      <c r="A154" s="9" t="s">
        <v>550</v>
      </c>
      <c r="B154" s="173" t="str">
        <f>VLOOKUP(A154,'The List'!B1:D665,3,FALSE)</f>
        <v>D</v>
      </c>
      <c r="C154" s="174">
        <f>IF(Settings!$E$15="POINTS",RANK(E154,E3:E213),H154)</f>
        <v>158</v>
      </c>
      <c r="D154" s="65" t="str">
        <f>VLOOKUP(A154,'The List'!B1:F665,5,FALSE)</f>
        <v>UTA</v>
      </c>
      <c r="E154" s="54">
        <f>VLOOKUP(A154,'The List'!B1:I665,8,FALSE)</f>
        <v>141.65507691405466</v>
      </c>
      <c r="F154" s="54">
        <f>IF(Settings!$E$15="POINTS",E154-VLOOKUP(B$2,C1:E213,3,FALSE),J154)</f>
        <v>-194.57904813154025</v>
      </c>
      <c r="G154" s="54"/>
      <c r="H154" s="167">
        <f>RANK(I154,I3:I213)</f>
        <v>135</v>
      </c>
      <c r="I154" s="168">
        <f>VLOOKUP(A154,'Standard Deviations'!A1:C666,3,FALSE)</f>
        <v>-2.2488722726905901</v>
      </c>
      <c r="J154" s="168">
        <f>I154-VLOOKUP(B$2,H1:J213,2,FALSE)</f>
        <v>-6.9555310292916257</v>
      </c>
    </row>
    <row r="155" spans="1:10" ht="21.25" customHeight="1" x14ac:dyDescent="0.15">
      <c r="A155" s="9" t="s">
        <v>503</v>
      </c>
      <c r="B155" s="173" t="str">
        <f>VLOOKUP(A155,'The List'!B1:D665,3,FALSE)</f>
        <v>D</v>
      </c>
      <c r="C155" s="174">
        <f>IF(Settings!$E$15="POINTS",RANK(E155,E3:E213),H155)</f>
        <v>135</v>
      </c>
      <c r="D155" s="65" t="str">
        <f>VLOOKUP(A155,'The List'!B1:F665,5,FALSE)</f>
        <v>NYR</v>
      </c>
      <c r="E155" s="54">
        <f>VLOOKUP(A155,'The List'!B1:I665,8,FALSE)</f>
        <v>153.87123653967973</v>
      </c>
      <c r="F155" s="54">
        <f>IF(Settings!$E$15="POINTS",E155-VLOOKUP(B$2,C1:E213,3,FALSE),J155)</f>
        <v>-182.36288850591518</v>
      </c>
      <c r="G155" s="54"/>
      <c r="H155" s="167">
        <f>RANK(I155,I3:I213)</f>
        <v>103</v>
      </c>
      <c r="I155" s="168">
        <f>VLOOKUP(A155,'Standard Deviations'!A1:C666,3,FALSE)</f>
        <v>-1.3777515184013622</v>
      </c>
      <c r="J155" s="168">
        <f>I155-VLOOKUP(B$2,H1:J213,2,FALSE)</f>
        <v>-6.0844102750023978</v>
      </c>
    </row>
    <row r="156" spans="1:10" ht="21.25" customHeight="1" x14ac:dyDescent="0.15">
      <c r="A156" s="9" t="s">
        <v>501</v>
      </c>
      <c r="B156" s="173" t="str">
        <f>VLOOKUP(A156,'The List'!B1:D665,3,FALSE)</f>
        <v>D</v>
      </c>
      <c r="C156" s="174">
        <f>IF(Settings!$E$15="POINTS",RANK(E156,E3:E213),H156)</f>
        <v>134</v>
      </c>
      <c r="D156" s="65" t="str">
        <f>VLOOKUP(A156,'The List'!B1:F665,5,FALSE)</f>
        <v>FLA</v>
      </c>
      <c r="E156" s="54">
        <f>VLOOKUP(A156,'The List'!B1:I665,8,FALSE)</f>
        <v>154.52237664979364</v>
      </c>
      <c r="F156" s="54">
        <f>IF(Settings!$E$15="POINTS",E156-VLOOKUP(B$2,C1:E213,3,FALSE),J156)</f>
        <v>-181.71174839580127</v>
      </c>
      <c r="G156" s="54"/>
      <c r="H156" s="167">
        <f>RANK(I156,I3:I213)</f>
        <v>137</v>
      </c>
      <c r="I156" s="168">
        <f>VLOOKUP(A156,'Standard Deviations'!A1:C666,3,FALSE)</f>
        <v>-2.2926643760402774</v>
      </c>
      <c r="J156" s="168">
        <f>I156-VLOOKUP(B$2,H1:J213,2,FALSE)</f>
        <v>-6.9993231326413126</v>
      </c>
    </row>
    <row r="157" spans="1:10" ht="21.25" customHeight="1" x14ac:dyDescent="0.15">
      <c r="A157" s="9" t="s">
        <v>577</v>
      </c>
      <c r="B157" s="173" t="str">
        <f>VLOOKUP(A157,'The List'!B1:D665,3,FALSE)</f>
        <v>D</v>
      </c>
      <c r="C157" s="174">
        <f>IF(Settings!$E$15="POINTS",RANK(E157,E3:E213),H157)</f>
        <v>172</v>
      </c>
      <c r="D157" s="65" t="str">
        <f>VLOOKUP(A157,'The List'!B1:F665,5,FALSE)</f>
        <v>CGY</v>
      </c>
      <c r="E157" s="54">
        <f>VLOOKUP(A157,'The List'!B1:I665,8,FALSE)</f>
        <v>134.30818792590111</v>
      </c>
      <c r="F157" s="54">
        <f>IF(Settings!$E$15="POINTS",E157-VLOOKUP(B$2,C1:E213,3,FALSE),J157)</f>
        <v>-201.9259371196938</v>
      </c>
      <c r="G157" s="54"/>
      <c r="H157" s="167">
        <f>RANK(I157,I3:I213)</f>
        <v>205</v>
      </c>
      <c r="I157" s="168">
        <f>VLOOKUP(A157,'Standard Deviations'!A1:C666,3,FALSE)</f>
        <v>-4.5317131965574804</v>
      </c>
      <c r="J157" s="168">
        <f>I157-VLOOKUP(B$2,H1:J213,2,FALSE)</f>
        <v>-9.2383719531585164</v>
      </c>
    </row>
    <row r="158" spans="1:10" ht="21.25" customHeight="1" x14ac:dyDescent="0.15">
      <c r="A158" s="9" t="s">
        <v>591</v>
      </c>
      <c r="B158" s="173" t="str">
        <f>VLOOKUP(A158,'The List'!B1:D665,3,FALSE)</f>
        <v>D</v>
      </c>
      <c r="C158" s="174">
        <f>IF(Settings!$E$15="POINTS",RANK(E158,E3:E213),H158)</f>
        <v>179</v>
      </c>
      <c r="D158" s="65" t="str">
        <f>VLOOKUP(A158,'The List'!B1:F665,5,FALSE)</f>
        <v>CBJ</v>
      </c>
      <c r="E158" s="54">
        <f>VLOOKUP(A158,'The List'!B1:I665,8,FALSE)</f>
        <v>127.40648655849049</v>
      </c>
      <c r="F158" s="54">
        <f>IF(Settings!$E$15="POINTS",E158-VLOOKUP(B$2,C1:E213,3,FALSE),J158)</f>
        <v>-208.82763848710442</v>
      </c>
      <c r="G158" s="54"/>
      <c r="H158" s="167">
        <f>RANK(I158,I3:I213)</f>
        <v>207</v>
      </c>
      <c r="I158" s="168">
        <f>VLOOKUP(A158,'Standard Deviations'!A1:C666,3,FALSE)</f>
        <v>-4.8282442306122411</v>
      </c>
      <c r="J158" s="168">
        <f>I158-VLOOKUP(B$2,H1:J213,2,FALSE)</f>
        <v>-9.5349029872132753</v>
      </c>
    </row>
    <row r="159" spans="1:10" ht="21.25" customHeight="1" x14ac:dyDescent="0.15">
      <c r="A159" s="9" t="s">
        <v>520</v>
      </c>
      <c r="B159" s="173" t="str">
        <f>VLOOKUP(A159,'The List'!B1:D665,3,FALSE)</f>
        <v>D</v>
      </c>
      <c r="C159" s="174">
        <f>IF(Settings!$E$15="POINTS",RANK(E159,E3:E213),H159)</f>
        <v>144</v>
      </c>
      <c r="D159" s="65" t="str">
        <f>VLOOKUP(A159,'The List'!B1:F665,5,FALSE)</f>
        <v>DAL</v>
      </c>
      <c r="E159" s="54">
        <f>VLOOKUP(A159,'The List'!B1:I665,8,FALSE)</f>
        <v>149.58981806412817</v>
      </c>
      <c r="F159" s="54">
        <f>IF(Settings!$E$15="POINTS",E159-VLOOKUP(B$2,C1:E213,3,FALSE),J159)</f>
        <v>-186.64430698146674</v>
      </c>
      <c r="G159" s="54"/>
      <c r="H159" s="167">
        <f>RANK(I159,I3:I213)</f>
        <v>150</v>
      </c>
      <c r="I159" s="168">
        <f>VLOOKUP(A159,'Standard Deviations'!A1:C666,3,FALSE)</f>
        <v>-2.6072609372706781</v>
      </c>
      <c r="J159" s="168">
        <f>I159-VLOOKUP(B$2,H1:J213,2,FALSE)</f>
        <v>-7.3139196938717133</v>
      </c>
    </row>
    <row r="160" spans="1:10" ht="21.25" customHeight="1" x14ac:dyDescent="0.15">
      <c r="A160" s="9" t="s">
        <v>505</v>
      </c>
      <c r="B160" s="173" t="str">
        <f>VLOOKUP(A160,'The List'!B1:D665,3,FALSE)</f>
        <v>D</v>
      </c>
      <c r="C160" s="174">
        <f>IF(Settings!$E$15="POINTS",RANK(E160,E3:E213),H160)</f>
        <v>137</v>
      </c>
      <c r="D160" s="65" t="str">
        <f>VLOOKUP(A160,'The List'!B1:F665,5,FALSE)</f>
        <v>UTA</v>
      </c>
      <c r="E160" s="54">
        <f>VLOOKUP(A160,'The List'!B1:I665,8,FALSE)</f>
        <v>153.13829577503799</v>
      </c>
      <c r="F160" s="54">
        <f>IF(Settings!$E$15="POINTS",E160-VLOOKUP(B$2,C1:E213,3,FALSE),J160)</f>
        <v>-183.09582927055692</v>
      </c>
      <c r="G160" s="54"/>
      <c r="H160" s="167">
        <f>RANK(I160,I3:I213)</f>
        <v>79</v>
      </c>
      <c r="I160" s="168">
        <f>VLOOKUP(A160,'Standard Deviations'!A1:C666,3,FALSE)</f>
        <v>-0.59283182352393404</v>
      </c>
      <c r="J160" s="168">
        <f>I160-VLOOKUP(B$2,H1:J213,2,FALSE)</f>
        <v>-5.299490580124969</v>
      </c>
    </row>
    <row r="161" spans="1:10" ht="21.25" customHeight="1" x14ac:dyDescent="0.15">
      <c r="A161" s="9" t="s">
        <v>544</v>
      </c>
      <c r="B161" s="173" t="str">
        <f>VLOOKUP(A161,'The List'!B1:D665,3,FALSE)</f>
        <v>D</v>
      </c>
      <c r="C161" s="174">
        <f>IF(Settings!$E$15="POINTS",RANK(E161,E3:E213),H161)</f>
        <v>155</v>
      </c>
      <c r="D161" s="65" t="str">
        <f>VLOOKUP(A161,'The List'!B1:F665,5,FALSE)</f>
        <v>BUF</v>
      </c>
      <c r="E161" s="54">
        <f>VLOOKUP(A161,'The List'!B1:I665,8,FALSE)</f>
        <v>144.1555268652121</v>
      </c>
      <c r="F161" s="54">
        <f>IF(Settings!$E$15="POINTS",E161-VLOOKUP(B$2,C1:E213,3,FALSE),J161)</f>
        <v>-192.07859818038281</v>
      </c>
      <c r="G161" s="54"/>
      <c r="H161" s="167">
        <f>RANK(I161,I3:I213)</f>
        <v>165</v>
      </c>
      <c r="I161" s="168">
        <f>VLOOKUP(A161,'Standard Deviations'!A1:C666,3,FALSE)</f>
        <v>-2.998974157183306</v>
      </c>
      <c r="J161" s="168">
        <f>I161-VLOOKUP(B$2,H1:J213,2,FALSE)</f>
        <v>-7.7056329137843411</v>
      </c>
    </row>
    <row r="162" spans="1:10" ht="21.25" customHeight="1" x14ac:dyDescent="0.15">
      <c r="A162" s="9" t="s">
        <v>511</v>
      </c>
      <c r="B162" s="173" t="str">
        <f>VLOOKUP(A162,'The List'!B1:D665,3,FALSE)</f>
        <v>D</v>
      </c>
      <c r="C162" s="174">
        <f>IF(Settings!$E$15="POINTS",RANK(E162,E3:E213),H162)</f>
        <v>139</v>
      </c>
      <c r="D162" s="65" t="str">
        <f>VLOOKUP(A162,'The List'!B1:F665,5,FALSE)</f>
        <v>FLA</v>
      </c>
      <c r="E162" s="54">
        <f>VLOOKUP(A162,'The List'!B1:I665,8,FALSE)</f>
        <v>150.77241335867367</v>
      </c>
      <c r="F162" s="54">
        <f>IF(Settings!$E$15="POINTS",E162-VLOOKUP(B$2,C1:E213,3,FALSE),J162)</f>
        <v>-185.46171168692123</v>
      </c>
      <c r="G162" s="54"/>
      <c r="H162" s="167">
        <f>RANK(I162,I3:I213)</f>
        <v>107</v>
      </c>
      <c r="I162" s="168">
        <f>VLOOKUP(A162,'Standard Deviations'!A1:C666,3,FALSE)</f>
        <v>-1.4704547265765218</v>
      </c>
      <c r="J162" s="168">
        <f>I162-VLOOKUP(B$2,H1:J213,2,FALSE)</f>
        <v>-6.1771134831775569</v>
      </c>
    </row>
    <row r="163" spans="1:10" ht="21.25" customHeight="1" x14ac:dyDescent="0.15">
      <c r="A163" s="9" t="s">
        <v>590</v>
      </c>
      <c r="B163" s="173" t="str">
        <f>VLOOKUP(A163,'The List'!B1:D665,3,FALSE)</f>
        <v>D</v>
      </c>
      <c r="C163" s="174">
        <f>IF(Settings!$E$15="POINTS",RANK(E163,E3:E213),H163)</f>
        <v>178</v>
      </c>
      <c r="D163" s="65" t="str">
        <f>VLOOKUP(A163,'The List'!B1:F665,5,FALSE)</f>
        <v>MTL</v>
      </c>
      <c r="E163" s="54">
        <f>VLOOKUP(A163,'The List'!B1:I665,8,FALSE)</f>
        <v>128.34740816975778</v>
      </c>
      <c r="F163" s="54">
        <f>IF(Settings!$E$15="POINTS",E163-VLOOKUP(B$2,C1:E213,3,FALSE),J163)</f>
        <v>-207.88671687583712</v>
      </c>
      <c r="G163" s="54"/>
      <c r="H163" s="167">
        <f>RANK(I163,I3:I213)</f>
        <v>193</v>
      </c>
      <c r="I163" s="168">
        <f>VLOOKUP(A163,'Standard Deviations'!A1:C666,3,FALSE)</f>
        <v>-3.9174236848961193</v>
      </c>
      <c r="J163" s="168">
        <f>I163-VLOOKUP(B$2,H1:J213,2,FALSE)</f>
        <v>-8.6240824414971549</v>
      </c>
    </row>
    <row r="164" spans="1:10" ht="21.25" customHeight="1" x14ac:dyDescent="0.15">
      <c r="A164" s="9" t="s">
        <v>519</v>
      </c>
      <c r="B164" s="173" t="str">
        <f>VLOOKUP(A164,'The List'!B1:D665,3,FALSE)</f>
        <v>D</v>
      </c>
      <c r="C164" s="174">
        <f>IF(Settings!$E$15="POINTS",RANK(E164,E3:E213),H164)</f>
        <v>143</v>
      </c>
      <c r="D164" s="65" t="str">
        <f>VLOOKUP(A164,'The List'!B1:F665,5,FALSE)</f>
        <v>BUF</v>
      </c>
      <c r="E164" s="54">
        <f>VLOOKUP(A164,'The List'!B1:I665,8,FALSE)</f>
        <v>149.67633095188253</v>
      </c>
      <c r="F164" s="54">
        <f>IF(Settings!$E$15="POINTS",E164-VLOOKUP(B$2,C1:E213,3,FALSE),J164)</f>
        <v>-186.55779409371237</v>
      </c>
      <c r="G164" s="54"/>
      <c r="H164" s="167">
        <f>RANK(I164,I3:I213)</f>
        <v>149</v>
      </c>
      <c r="I164" s="168">
        <f>VLOOKUP(A164,'Standard Deviations'!A1:C666,3,FALSE)</f>
        <v>-2.5901547590707832</v>
      </c>
      <c r="J164" s="168">
        <f>I164-VLOOKUP(B$2,H1:J213,2,FALSE)</f>
        <v>-7.2968135156718184</v>
      </c>
    </row>
    <row r="165" spans="1:10" ht="21.25" customHeight="1" x14ac:dyDescent="0.15">
      <c r="A165" s="9" t="s">
        <v>585</v>
      </c>
      <c r="B165" s="173" t="str">
        <f>VLOOKUP(A165,'The List'!B1:D665,3,FALSE)</f>
        <v>D</v>
      </c>
      <c r="C165" s="174">
        <f>IF(Settings!$E$15="POINTS",RANK(E165,E3:E213),H165)</f>
        <v>177</v>
      </c>
      <c r="D165" s="65" t="str">
        <f>VLOOKUP(A165,'The List'!B1:F665,5,FALSE)</f>
        <v>DAL</v>
      </c>
      <c r="E165" s="54">
        <f>VLOOKUP(A165,'The List'!B1:I665,8,FALSE)</f>
        <v>130.66838260269591</v>
      </c>
      <c r="F165" s="54">
        <f>IF(Settings!$E$15="POINTS",E165-VLOOKUP(B$2,C1:E213,3,FALSE),J165)</f>
        <v>-205.56574244289899</v>
      </c>
      <c r="G165" s="54"/>
      <c r="H165" s="167">
        <f>RANK(I165,I3:I213)</f>
        <v>136</v>
      </c>
      <c r="I165" s="168">
        <f>VLOOKUP(A165,'Standard Deviations'!A1:C666,3,FALSE)</f>
        <v>-2.2814907342049273</v>
      </c>
      <c r="J165" s="168">
        <f>I165-VLOOKUP(B$2,H1:J213,2,FALSE)</f>
        <v>-6.9881494908059629</v>
      </c>
    </row>
    <row r="166" spans="1:10" ht="21.25" customHeight="1" x14ac:dyDescent="0.15">
      <c r="A166" s="9" t="s">
        <v>534</v>
      </c>
      <c r="B166" s="173" t="str">
        <f>VLOOKUP(A166,'The List'!B1:D665,3,FALSE)</f>
        <v>D</v>
      </c>
      <c r="C166" s="174">
        <f>IF(Settings!$E$15="POINTS",RANK(E166,E3:E213),H166)</f>
        <v>150</v>
      </c>
      <c r="D166" s="65" t="str">
        <f>VLOOKUP(A166,'The List'!B1:F665,5,FALSE)</f>
        <v>WSH</v>
      </c>
      <c r="E166" s="54">
        <f>VLOOKUP(A166,'The List'!B1:I665,8,FALSE)</f>
        <v>146.79850646407354</v>
      </c>
      <c r="F166" s="54">
        <f>IF(Settings!$E$15="POINTS",E166-VLOOKUP(B$2,C1:E213,3,FALSE),J166)</f>
        <v>-189.43561858152137</v>
      </c>
      <c r="G166" s="54"/>
      <c r="H166" s="167">
        <f>RANK(I166,I3:I213)</f>
        <v>151</v>
      </c>
      <c r="I166" s="168">
        <f>VLOOKUP(A166,'Standard Deviations'!A1:C666,3,FALSE)</f>
        <v>-2.6482707318018917</v>
      </c>
      <c r="J166" s="168">
        <f>I166-VLOOKUP(B$2,H1:J213,2,FALSE)</f>
        <v>-7.3549294884029273</v>
      </c>
    </row>
    <row r="167" spans="1:10" ht="21.25" customHeight="1" x14ac:dyDescent="0.15">
      <c r="A167" s="9" t="s">
        <v>559</v>
      </c>
      <c r="B167" s="173" t="str">
        <f>VLOOKUP(A167,'The List'!B1:D665,3,FALSE)</f>
        <v>D</v>
      </c>
      <c r="C167" s="174">
        <f>IF(Settings!$E$15="POINTS",RANK(E167,E3:E213),H167)</f>
        <v>163</v>
      </c>
      <c r="D167" s="65" t="str">
        <f>VLOOKUP(A167,'The List'!B1:F665,5,FALSE)</f>
        <v>BOS</v>
      </c>
      <c r="E167" s="54">
        <f>VLOOKUP(A167,'The List'!B1:I665,8,FALSE)</f>
        <v>139.16155173172439</v>
      </c>
      <c r="F167" s="54">
        <f>IF(Settings!$E$15="POINTS",E167-VLOOKUP(B$2,C1:E213,3,FALSE),J167)</f>
        <v>-197.07257331387052</v>
      </c>
      <c r="G167" s="54"/>
      <c r="H167" s="167">
        <f>RANK(I167,I3:I213)</f>
        <v>157</v>
      </c>
      <c r="I167" s="168">
        <f>VLOOKUP(A167,'Standard Deviations'!A1:C666,3,FALSE)</f>
        <v>-2.8138090293837164</v>
      </c>
      <c r="J167" s="168">
        <f>I167-VLOOKUP(B$2,H1:J213,2,FALSE)</f>
        <v>-7.5204677859847511</v>
      </c>
    </row>
    <row r="168" spans="1:10" ht="21.25" customHeight="1" x14ac:dyDescent="0.15">
      <c r="A168" s="9" t="s">
        <v>570</v>
      </c>
      <c r="B168" s="173" t="str">
        <f>VLOOKUP(A168,'The List'!B1:D665,3,FALSE)</f>
        <v>D</v>
      </c>
      <c r="C168" s="174">
        <f>IF(Settings!$E$15="POINTS",RANK(E168,E3:E213),H168)</f>
        <v>168</v>
      </c>
      <c r="D168" s="65" t="str">
        <f>VLOOKUP(A168,'The List'!B1:F665,5,FALSE)</f>
        <v>CBJ</v>
      </c>
      <c r="E168" s="54">
        <f>VLOOKUP(A168,'The List'!B1:I665,8,FALSE)</f>
        <v>136.46311212183099</v>
      </c>
      <c r="F168" s="54">
        <f>IF(Settings!$E$15="POINTS",E168-VLOOKUP(B$2,C1:E213,3,FALSE),J168)</f>
        <v>-199.77101292376392</v>
      </c>
      <c r="G168" s="54"/>
      <c r="H168" s="167">
        <f>RANK(I168,I3:I213)</f>
        <v>185</v>
      </c>
      <c r="I168" s="168">
        <f>VLOOKUP(A168,'Standard Deviations'!A1:C666,3,FALSE)</f>
        <v>-3.6901611321992052</v>
      </c>
      <c r="J168" s="168">
        <f>I168-VLOOKUP(B$2,H1:J213,2,FALSE)</f>
        <v>-8.3968198888002412</v>
      </c>
    </row>
    <row r="169" spans="1:10" ht="21.25" customHeight="1" x14ac:dyDescent="0.15">
      <c r="A169" s="9" t="s">
        <v>615</v>
      </c>
      <c r="B169" s="173" t="str">
        <f>VLOOKUP(A169,'The List'!B1:D665,3,FALSE)</f>
        <v>D</v>
      </c>
      <c r="C169" s="174">
        <f>IF(Settings!$E$15="POINTS",RANK(E169,E3:E213),H169)</f>
        <v>186</v>
      </c>
      <c r="D169" s="65" t="str">
        <f>VLOOKUP(A169,'The List'!B1:F665,5,FALSE)</f>
        <v>SEA</v>
      </c>
      <c r="E169" s="54">
        <f>VLOOKUP(A169,'The List'!B1:I665,8,FALSE)</f>
        <v>117.59218811344608</v>
      </c>
      <c r="F169" s="54">
        <f>IF(Settings!$E$15="POINTS",E169-VLOOKUP(B$2,C1:E213,3,FALSE),J169)</f>
        <v>-218.64193693214884</v>
      </c>
      <c r="G169" s="54"/>
      <c r="H169" s="167">
        <f>RANK(I169,I3:I213)</f>
        <v>182</v>
      </c>
      <c r="I169" s="168">
        <f>VLOOKUP(A169,'Standard Deviations'!A1:C666,3,FALSE)</f>
        <v>-3.5223540908270841</v>
      </c>
      <c r="J169" s="168">
        <f>I169-VLOOKUP(B$2,H1:J213,2,FALSE)</f>
        <v>-8.2290128474281197</v>
      </c>
    </row>
    <row r="170" spans="1:10" ht="21.25" customHeight="1" x14ac:dyDescent="0.15">
      <c r="A170" s="9" t="s">
        <v>637</v>
      </c>
      <c r="B170" s="173" t="str">
        <f>VLOOKUP(A170,'The List'!B1:D665,3,FALSE)</f>
        <v>D</v>
      </c>
      <c r="C170" s="174">
        <f>IF(Settings!$E$15="POINTS",RANK(E170,E3:E213),H170)</f>
        <v>198</v>
      </c>
      <c r="D170" s="65" t="str">
        <f>VLOOKUP(A170,'The List'!B1:F665,5,FALSE)</f>
        <v>TOR</v>
      </c>
      <c r="E170" s="54">
        <f>VLOOKUP(A170,'The List'!B1:I665,8,FALSE)</f>
        <v>109.94290212220139</v>
      </c>
      <c r="F170" s="54">
        <f>IF(Settings!$E$15="POINTS",E170-VLOOKUP(B$2,C1:E213,3,FALSE),J170)</f>
        <v>-226.29122292339352</v>
      </c>
      <c r="G170" s="54"/>
      <c r="H170" s="167">
        <f>RANK(I170,I3:I213)</f>
        <v>155</v>
      </c>
      <c r="I170" s="168">
        <f>VLOOKUP(A170,'Standard Deviations'!A1:C666,3,FALSE)</f>
        <v>-2.7413724923020655</v>
      </c>
      <c r="J170" s="168">
        <f>I170-VLOOKUP(B$2,H1:J213,2,FALSE)</f>
        <v>-7.4480312489031011</v>
      </c>
    </row>
    <row r="171" spans="1:10" ht="21.25" customHeight="1" x14ac:dyDescent="0.15">
      <c r="A171" s="9" t="s">
        <v>555</v>
      </c>
      <c r="B171" s="173" t="str">
        <f>VLOOKUP(A171,'The List'!B1:D665,3,FALSE)</f>
        <v>D</v>
      </c>
      <c r="C171" s="174">
        <f>IF(Settings!$E$15="POINTS",RANK(E171,E3:E213),H171)</f>
        <v>160</v>
      </c>
      <c r="D171" s="65" t="str">
        <f>VLOOKUP(A171,'The List'!B1:F665,5,FALSE)</f>
        <v>S.J</v>
      </c>
      <c r="E171" s="54">
        <f>VLOOKUP(A171,'The List'!B1:I665,8,FALSE)</f>
        <v>140.40545714202622</v>
      </c>
      <c r="F171" s="54">
        <f>IF(Settings!$E$15="POINTS",E171-VLOOKUP(B$2,C1:E213,3,FALSE),J171)</f>
        <v>-195.82866790356869</v>
      </c>
      <c r="G171" s="54"/>
      <c r="H171" s="167">
        <f>RANK(I171,I3:I213)</f>
        <v>208</v>
      </c>
      <c r="I171" s="168">
        <f>VLOOKUP(A171,'Standard Deviations'!A1:C666,3,FALSE)</f>
        <v>-4.9339007306042788</v>
      </c>
      <c r="J171" s="168">
        <f>I171-VLOOKUP(B$2,H1:J213,2,FALSE)</f>
        <v>-9.640559487205314</v>
      </c>
    </row>
    <row r="172" spans="1:10" ht="21.25" customHeight="1" x14ac:dyDescent="0.15">
      <c r="A172" s="9" t="s">
        <v>641</v>
      </c>
      <c r="B172" s="173" t="str">
        <f>VLOOKUP(A172,'The List'!B1:D665,3,FALSE)</f>
        <v>D</v>
      </c>
      <c r="C172" s="174">
        <f>IF(Settings!$E$15="POINTS",RANK(E172,E3:E213),H172)</f>
        <v>199</v>
      </c>
      <c r="D172" s="65" t="str">
        <f>VLOOKUP(A172,'The List'!B1:F665,5,FALSE)</f>
        <v>VGK</v>
      </c>
      <c r="E172" s="54">
        <f>VLOOKUP(A172,'The List'!B1:I665,8,FALSE)</f>
        <v>109.04570096810984</v>
      </c>
      <c r="F172" s="54">
        <f>IF(Settings!$E$15="POINTS",E172-VLOOKUP(B$2,C1:E213,3,FALSE),J172)</f>
        <v>-227.18842407748508</v>
      </c>
      <c r="G172" s="54"/>
      <c r="H172" s="167">
        <f>RANK(I172,I3:I213)</f>
        <v>179</v>
      </c>
      <c r="I172" s="168">
        <f>VLOOKUP(A172,'Standard Deviations'!A1:C666,3,FALSE)</f>
        <v>-3.4433427306093165</v>
      </c>
      <c r="J172" s="168">
        <f>I172-VLOOKUP(B$2,H1:J213,2,FALSE)</f>
        <v>-8.1500014872103517</v>
      </c>
    </row>
    <row r="173" spans="1:10" ht="21.25" customHeight="1" x14ac:dyDescent="0.15">
      <c r="A173" s="9" t="s">
        <v>629</v>
      </c>
      <c r="B173" s="173" t="str">
        <f>VLOOKUP(A173,'The List'!B1:D665,3,FALSE)</f>
        <v>D</v>
      </c>
      <c r="C173" s="174">
        <f>IF(Settings!$E$15="POINTS",RANK(E173,E3:E213),H173)</f>
        <v>192</v>
      </c>
      <c r="D173" s="65" t="str">
        <f>VLOOKUP(A173,'The List'!B1:F665,5,FALSE)</f>
        <v>WPG</v>
      </c>
      <c r="E173" s="54">
        <f>VLOOKUP(A173,'The List'!B1:I665,8,FALSE)</f>
        <v>112.76192002534184</v>
      </c>
      <c r="F173" s="54">
        <f>IF(Settings!$E$15="POINTS",E173-VLOOKUP(B$2,C1:E213,3,FALSE),J173)</f>
        <v>-223.47220502025306</v>
      </c>
      <c r="G173" s="54"/>
      <c r="H173" s="167">
        <f>RANK(I173,I3:I213)</f>
        <v>175</v>
      </c>
      <c r="I173" s="168">
        <f>VLOOKUP(A173,'Standard Deviations'!A1:C666,3,FALSE)</f>
        <v>-3.3117245663221504</v>
      </c>
      <c r="J173" s="168">
        <f>I173-VLOOKUP(B$2,H1:J213,2,FALSE)</f>
        <v>-8.0183833229231851</v>
      </c>
    </row>
    <row r="174" spans="1:10" ht="21.25" customHeight="1" x14ac:dyDescent="0.15">
      <c r="A174" s="9" t="s">
        <v>518</v>
      </c>
      <c r="B174" s="173" t="str">
        <f>VLOOKUP(A174,'The List'!B1:D665,3,FALSE)</f>
        <v>D</v>
      </c>
      <c r="C174" s="174">
        <f>IF(Settings!$E$15="POINTS",RANK(E174,E3:E213),H174)</f>
        <v>142</v>
      </c>
      <c r="D174" s="65" t="str">
        <f>VLOOKUP(A174,'The List'!B1:F665,5,FALSE)</f>
        <v>N.J</v>
      </c>
      <c r="E174" s="54">
        <f>VLOOKUP(A174,'The List'!B1:I665,8,FALSE)</f>
        <v>149.69616645975813</v>
      </c>
      <c r="F174" s="54">
        <f>IF(Settings!$E$15="POINTS",E174-VLOOKUP(B$2,C1:E213,3,FALSE),J174)</f>
        <v>-186.53795858583678</v>
      </c>
      <c r="G174" s="54"/>
      <c r="H174" s="167">
        <f>RANK(I174,I3:I213)</f>
        <v>141</v>
      </c>
      <c r="I174" s="168">
        <f>VLOOKUP(A174,'Standard Deviations'!A1:C666,3,FALSE)</f>
        <v>-2.4232655747734926</v>
      </c>
      <c r="J174" s="168">
        <f>I174-VLOOKUP(B$2,H1:J213,2,FALSE)</f>
        <v>-7.1299243313745277</v>
      </c>
    </row>
    <row r="175" spans="1:10" ht="21.25" customHeight="1" x14ac:dyDescent="0.15">
      <c r="A175" s="9" t="s">
        <v>543</v>
      </c>
      <c r="B175" s="173" t="str">
        <f>VLOOKUP(A175,'The List'!B1:D665,3,FALSE)</f>
        <v>D</v>
      </c>
      <c r="C175" s="174">
        <f>IF(Settings!$E$15="POINTS",RANK(E175,E3:E213),H175)</f>
        <v>154</v>
      </c>
      <c r="D175" s="65" t="str">
        <f>VLOOKUP(A175,'The List'!B1:F665,5,FALSE)</f>
        <v>DAL</v>
      </c>
      <c r="E175" s="54">
        <f>VLOOKUP(A175,'The List'!B1:I665,8,FALSE)</f>
        <v>144.37100168386121</v>
      </c>
      <c r="F175" s="54">
        <f>IF(Settings!$E$15="POINTS",E175-VLOOKUP(B$2,C1:E213,3,FALSE),J175)</f>
        <v>-191.8631233617337</v>
      </c>
      <c r="G175" s="54"/>
      <c r="H175" s="167">
        <f>RANK(I175,I3:I213)</f>
        <v>145</v>
      </c>
      <c r="I175" s="168">
        <f>VLOOKUP(A175,'Standard Deviations'!A1:C666,3,FALSE)</f>
        <v>-2.5076956199933731</v>
      </c>
      <c r="J175" s="168">
        <f>I175-VLOOKUP(B$2,H1:J213,2,FALSE)</f>
        <v>-7.2143543765944083</v>
      </c>
    </row>
    <row r="176" spans="1:10" ht="21.25" customHeight="1" x14ac:dyDescent="0.15">
      <c r="A176" s="9" t="s">
        <v>546</v>
      </c>
      <c r="B176" s="173" t="str">
        <f>VLOOKUP(A176,'The List'!B1:D665,3,FALSE)</f>
        <v>D</v>
      </c>
      <c r="C176" s="174">
        <f>IF(Settings!$E$15="POINTS",RANK(E176,E3:E213),H176)</f>
        <v>157</v>
      </c>
      <c r="D176" s="65" t="str">
        <f>VLOOKUP(A176,'The List'!B1:F665,5,FALSE)</f>
        <v>TOR</v>
      </c>
      <c r="E176" s="54">
        <f>VLOOKUP(A176,'The List'!B1:I665,8,FALSE)</f>
        <v>143.69308917427855</v>
      </c>
      <c r="F176" s="54">
        <f>IF(Settings!$E$15="POINTS",E176-VLOOKUP(B$2,C1:E213,3,FALSE),J176)</f>
        <v>-192.54103587131635</v>
      </c>
      <c r="G176" s="54"/>
      <c r="H176" s="167">
        <f>RANK(I176,I3:I213)</f>
        <v>110</v>
      </c>
      <c r="I176" s="168">
        <f>VLOOKUP(A176,'Standard Deviations'!A1:C666,3,FALSE)</f>
        <v>-1.5498875768924907</v>
      </c>
      <c r="J176" s="168">
        <f>I176-VLOOKUP(B$2,H1:J213,2,FALSE)</f>
        <v>-6.2565463334935263</v>
      </c>
    </row>
    <row r="177" spans="1:10" ht="21.25" customHeight="1" x14ac:dyDescent="0.15">
      <c r="A177" s="9" t="s">
        <v>557</v>
      </c>
      <c r="B177" s="173" t="str">
        <f>VLOOKUP(A177,'The List'!B1:D665,3,FALSE)</f>
        <v>D</v>
      </c>
      <c r="C177" s="174">
        <f>IF(Settings!$E$15="POINTS",RANK(E177,E3:E213),H177)</f>
        <v>162</v>
      </c>
      <c r="D177" s="65" t="str">
        <f>VLOOKUP(A177,'The List'!B1:F665,5,FALSE)</f>
        <v>PIT</v>
      </c>
      <c r="E177" s="54">
        <f>VLOOKUP(A177,'The List'!B1:I665,8,FALSE)</f>
        <v>139.53102426193757</v>
      </c>
      <c r="F177" s="54">
        <f>IF(Settings!$E$15="POINTS",E177-VLOOKUP(B$2,C1:E213,3,FALSE),J177)</f>
        <v>-196.70310078365733</v>
      </c>
      <c r="G177" s="54"/>
      <c r="H177" s="167">
        <f>RANK(I177,I3:I213)</f>
        <v>154</v>
      </c>
      <c r="I177" s="168">
        <f>VLOOKUP(A177,'Standard Deviations'!A1:C666,3,FALSE)</f>
        <v>-2.7230957800953437</v>
      </c>
      <c r="J177" s="168">
        <f>I177-VLOOKUP(B$2,H1:J213,2,FALSE)</f>
        <v>-7.4297545366963789</v>
      </c>
    </row>
    <row r="178" spans="1:10" ht="21.25" customHeight="1" x14ac:dyDescent="0.15">
      <c r="A178" s="9" t="s">
        <v>648</v>
      </c>
      <c r="B178" s="173" t="str">
        <f>VLOOKUP(A178,'The List'!B1:D665,3,FALSE)</f>
        <v>D</v>
      </c>
      <c r="C178" s="174">
        <f>IF(Settings!$E$15="POINTS",RANK(E178,E3:E213),H178)</f>
        <v>201</v>
      </c>
      <c r="D178" s="65" t="str">
        <f>VLOOKUP(A178,'The List'!B1:F665,5,FALSE)</f>
        <v>WPG</v>
      </c>
      <c r="E178" s="54">
        <f>VLOOKUP(A178,'The List'!B1:I665,8,FALSE)</f>
        <v>107.16438017116505</v>
      </c>
      <c r="F178" s="54">
        <f>IF(Settings!$E$15="POINTS",E178-VLOOKUP(B$2,C1:E213,3,FALSE),J178)</f>
        <v>-229.06974487442986</v>
      </c>
      <c r="G178" s="54"/>
      <c r="H178" s="167">
        <f>RANK(I178,I3:I213)</f>
        <v>184</v>
      </c>
      <c r="I178" s="168">
        <f>VLOOKUP(A178,'Standard Deviations'!A1:C666,3,FALSE)</f>
        <v>-3.558415986920652</v>
      </c>
      <c r="J178" s="168">
        <f>I178-VLOOKUP(B$2,H1:J213,2,FALSE)</f>
        <v>-8.2650747435216871</v>
      </c>
    </row>
    <row r="179" spans="1:10" ht="21.25" customHeight="1" x14ac:dyDescent="0.15">
      <c r="A179" s="9" t="s">
        <v>623</v>
      </c>
      <c r="B179" s="173" t="str">
        <f>VLOOKUP(A179,'The List'!B1:D665,3,FALSE)</f>
        <v>D</v>
      </c>
      <c r="C179" s="174">
        <f>IF(Settings!$E$15="POINTS",RANK(E179,E3:E213),H179)</f>
        <v>191</v>
      </c>
      <c r="D179" s="65" t="str">
        <f>VLOOKUP(A179,'The List'!B1:F665,5,FALSE)</f>
        <v>STL</v>
      </c>
      <c r="E179" s="54">
        <f>VLOOKUP(A179,'The List'!B1:I665,8,FALSE)</f>
        <v>114.46905531406757</v>
      </c>
      <c r="F179" s="54">
        <f>IF(Settings!$E$15="POINTS",E179-VLOOKUP(B$2,C1:E213,3,FALSE),J179)</f>
        <v>-221.76506973152732</v>
      </c>
      <c r="G179" s="54"/>
      <c r="H179" s="167">
        <f>RANK(I179,I3:I213)</f>
        <v>202</v>
      </c>
      <c r="I179" s="168">
        <f>VLOOKUP(A179,'Standard Deviations'!A1:C666,3,FALSE)</f>
        <v>-4.3425372564696909</v>
      </c>
      <c r="J179" s="168">
        <f>I179-VLOOKUP(B$2,H1:J213,2,FALSE)</f>
        <v>-9.049196013070727</v>
      </c>
    </row>
    <row r="180" spans="1:10" ht="21.25" customHeight="1" x14ac:dyDescent="0.15">
      <c r="A180" s="9" t="s">
        <v>540</v>
      </c>
      <c r="B180" s="173" t="str">
        <f>VLOOKUP(A180,'The List'!B1:D665,3,FALSE)</f>
        <v>D</v>
      </c>
      <c r="C180" s="174">
        <f>IF(Settings!$E$15="POINTS",RANK(E180,E3:E213),H180)</f>
        <v>152</v>
      </c>
      <c r="D180" s="65" t="str">
        <f>VLOOKUP(A180,'The List'!B1:F665,5,FALSE)</f>
        <v>EDM</v>
      </c>
      <c r="E180" s="54">
        <f>VLOOKUP(A180,'The List'!B1:I665,8,FALSE)</f>
        <v>144.54349843052569</v>
      </c>
      <c r="F180" s="54">
        <f>IF(Settings!$E$15="POINTS",E180-VLOOKUP(B$2,C1:E213,3,FALSE),J180)</f>
        <v>-191.69062661506922</v>
      </c>
      <c r="G180" s="54"/>
      <c r="H180" s="167">
        <f>RANK(I180,I3:I213)</f>
        <v>96</v>
      </c>
      <c r="I180" s="168">
        <f>VLOOKUP(A180,'Standard Deviations'!A1:C666,3,FALSE)</f>
        <v>-1.1715038381839893</v>
      </c>
      <c r="J180" s="168">
        <f>I180-VLOOKUP(B$2,H1:J213,2,FALSE)</f>
        <v>-5.8781625947850245</v>
      </c>
    </row>
    <row r="181" spans="1:10" ht="21.25" customHeight="1" x14ac:dyDescent="0.15">
      <c r="A181" s="9" t="s">
        <v>566</v>
      </c>
      <c r="B181" s="173" t="str">
        <f>VLOOKUP(A181,'The List'!B1:D665,3,FALSE)</f>
        <v>D</v>
      </c>
      <c r="C181" s="174">
        <f>IF(Settings!$E$15="POINTS",RANK(E181,E3:E213),H181)</f>
        <v>167</v>
      </c>
      <c r="D181" s="65" t="str">
        <f>VLOOKUP(A181,'The List'!B1:F665,5,FALSE)</f>
        <v>NSH</v>
      </c>
      <c r="E181" s="54">
        <f>VLOOKUP(A181,'The List'!B1:I665,8,FALSE)</f>
        <v>138.08323702602365</v>
      </c>
      <c r="F181" s="54">
        <f>IF(Settings!$E$15="POINTS",E181-VLOOKUP(B$2,C1:E213,3,FALSE),J181)</f>
        <v>-198.15088801957125</v>
      </c>
      <c r="G181" s="54"/>
      <c r="H181" s="167">
        <f>RANK(I181,I3:I213)</f>
        <v>158</v>
      </c>
      <c r="I181" s="168">
        <f>VLOOKUP(A181,'Standard Deviations'!A1:C666,3,FALSE)</f>
        <v>-2.8326125149320052</v>
      </c>
      <c r="J181" s="168">
        <f>I181-VLOOKUP(B$2,H1:J213,2,FALSE)</f>
        <v>-7.5392712715330408</v>
      </c>
    </row>
    <row r="182" spans="1:10" ht="21.25" customHeight="1" x14ac:dyDescent="0.15">
      <c r="A182" s="9" t="s">
        <v>644</v>
      </c>
      <c r="B182" s="173" t="str">
        <f>VLOOKUP(A182,'The List'!B1:D665,3,FALSE)</f>
        <v>D</v>
      </c>
      <c r="C182" s="174">
        <f>IF(Settings!$E$15="POINTS",RANK(E182,E3:E213),H182)</f>
        <v>200</v>
      </c>
      <c r="D182" s="65" t="str">
        <f>VLOOKUP(A182,'The List'!B1:F665,5,FALSE)</f>
        <v>MIN</v>
      </c>
      <c r="E182" s="54">
        <f>VLOOKUP(A182,'The List'!B1:I665,8,FALSE)</f>
        <v>107.80066233393589</v>
      </c>
      <c r="F182" s="54">
        <f>IF(Settings!$E$15="POINTS",E182-VLOOKUP(B$2,C1:E213,3,FALSE),J182)</f>
        <v>-228.43346271165902</v>
      </c>
      <c r="G182" s="54"/>
      <c r="H182" s="167">
        <f>RANK(I182,I3:I213)</f>
        <v>186</v>
      </c>
      <c r="I182" s="168">
        <f>VLOOKUP(A182,'Standard Deviations'!A1:C666,3,FALSE)</f>
        <v>-3.7344626154663101</v>
      </c>
      <c r="J182" s="168">
        <f>I182-VLOOKUP(B$2,H1:J213,2,FALSE)</f>
        <v>-8.4411213720673448</v>
      </c>
    </row>
    <row r="183" spans="1:10" ht="21.25" customHeight="1" x14ac:dyDescent="0.15">
      <c r="A183" s="9" t="s">
        <v>633</v>
      </c>
      <c r="B183" s="173" t="str">
        <f>VLOOKUP(A183,'The List'!B1:D665,3,FALSE)</f>
        <v>D</v>
      </c>
      <c r="C183" s="174">
        <f>IF(Settings!$E$15="POINTS",RANK(E183,E3:E213),H183)</f>
        <v>195</v>
      </c>
      <c r="D183" s="65" t="str">
        <f>VLOOKUP(A183,'The List'!B1:F665,5,FALSE)</f>
        <v>PHI</v>
      </c>
      <c r="E183" s="54">
        <f>VLOOKUP(A183,'The List'!B1:I665,8,FALSE)</f>
        <v>110.50983658132643</v>
      </c>
      <c r="F183" s="54">
        <f>IF(Settings!$E$15="POINTS",E183-VLOOKUP(B$2,C1:E213,3,FALSE),J183)</f>
        <v>-225.72428846426848</v>
      </c>
      <c r="G183" s="54"/>
      <c r="H183" s="167">
        <f>RANK(I183,I3:I213)</f>
        <v>201</v>
      </c>
      <c r="I183" s="168">
        <f>VLOOKUP(A183,'Standard Deviations'!A1:C666,3,FALSE)</f>
        <v>-4.2645635910268034</v>
      </c>
      <c r="J183" s="168">
        <f>I183-VLOOKUP(B$2,H1:J213,2,FALSE)</f>
        <v>-8.9712223476278385</v>
      </c>
    </row>
    <row r="184" spans="1:10" ht="21.25" customHeight="1" x14ac:dyDescent="0.15">
      <c r="A184" s="9" t="s">
        <v>572</v>
      </c>
      <c r="B184" s="173" t="str">
        <f>VLOOKUP(A184,'The List'!B1:D665,3,FALSE)</f>
        <v>D</v>
      </c>
      <c r="C184" s="174">
        <f>IF(Settings!$E$15="POINTS",RANK(E184,E3:E213),H184)</f>
        <v>169</v>
      </c>
      <c r="D184" s="65" t="str">
        <f>VLOOKUP(A184,'The List'!B1:F665,5,FALSE)</f>
        <v>FLA</v>
      </c>
      <c r="E184" s="54">
        <f>VLOOKUP(A184,'The List'!B1:I665,8,FALSE)</f>
        <v>135.11029958233971</v>
      </c>
      <c r="F184" s="54">
        <f>IF(Settings!$E$15="POINTS",E184-VLOOKUP(B$2,C1:E213,3,FALSE),J184)</f>
        <v>-201.1238254632552</v>
      </c>
      <c r="G184" s="54"/>
      <c r="H184" s="167">
        <f>RANK(I184,I3:I213)</f>
        <v>129</v>
      </c>
      <c r="I184" s="168">
        <f>VLOOKUP(A184,'Standard Deviations'!A1:C666,3,FALSE)</f>
        <v>-2.1657553408205805</v>
      </c>
      <c r="J184" s="168">
        <f>I184-VLOOKUP(B$2,H1:J213,2,FALSE)</f>
        <v>-6.8724140974216157</v>
      </c>
    </row>
    <row r="185" spans="1:10" ht="21.25" customHeight="1" x14ac:dyDescent="0.15">
      <c r="A185" s="9" t="s">
        <v>574</v>
      </c>
      <c r="B185" s="173" t="str">
        <f>VLOOKUP(A185,'The List'!B1:D665,3,FALSE)</f>
        <v>D</v>
      </c>
      <c r="C185" s="174">
        <f>IF(Settings!$E$15="POINTS",RANK(E185,E3:E213),H185)</f>
        <v>170</v>
      </c>
      <c r="D185" s="65" t="str">
        <f>VLOOKUP(A185,'The List'!B1:F665,5,FALSE)</f>
        <v>S.J</v>
      </c>
      <c r="E185" s="54">
        <f>VLOOKUP(A185,'The List'!B1:I665,8,FALSE)</f>
        <v>134.56896971361732</v>
      </c>
      <c r="F185" s="54">
        <f>IF(Settings!$E$15="POINTS",E185-VLOOKUP(B$2,C1:E213,3,FALSE),J185)</f>
        <v>-201.66515533197759</v>
      </c>
      <c r="G185" s="54"/>
      <c r="H185" s="167">
        <f>RANK(I185,I3:I213)</f>
        <v>209</v>
      </c>
      <c r="I185" s="168">
        <f>VLOOKUP(A185,'Standard Deviations'!A1:C666,3,FALSE)</f>
        <v>-5.1292549070148326</v>
      </c>
      <c r="J185" s="168">
        <f>I185-VLOOKUP(B$2,H1:J213,2,FALSE)</f>
        <v>-9.8359136636158677</v>
      </c>
    </row>
    <row r="186" spans="1:10" ht="21.25" customHeight="1" x14ac:dyDescent="0.15">
      <c r="A186" s="9" t="s">
        <v>597</v>
      </c>
      <c r="B186" s="173" t="str">
        <f>VLOOKUP(A186,'The List'!B1:D665,3,FALSE)</f>
        <v>D</v>
      </c>
      <c r="C186" s="174">
        <f>IF(Settings!$E$15="POINTS",RANK(E186,E3:E213),H186)</f>
        <v>181</v>
      </c>
      <c r="D186" s="65" t="str">
        <f>VLOOKUP(A186,'The List'!B1:F665,5,FALSE)</f>
        <v>WPG</v>
      </c>
      <c r="E186" s="54">
        <f>VLOOKUP(A186,'The List'!B1:I665,8,FALSE)</f>
        <v>124.75091830240865</v>
      </c>
      <c r="F186" s="54">
        <f>IF(Settings!$E$15="POINTS",E186-VLOOKUP(B$2,C1:E213,3,FALSE),J186)</f>
        <v>-211.48320674318626</v>
      </c>
      <c r="G186" s="54"/>
      <c r="H186" s="167">
        <f>RANK(I186,I3:I213)</f>
        <v>169</v>
      </c>
      <c r="I186" s="168">
        <f>VLOOKUP(A186,'Standard Deviations'!A1:C666,3,FALSE)</f>
        <v>-3.1442905354661543</v>
      </c>
      <c r="J186" s="168">
        <f>I186-VLOOKUP(B$2,H1:J213,2,FALSE)</f>
        <v>-7.8509492920671899</v>
      </c>
    </row>
    <row r="187" spans="1:10" ht="21.25" customHeight="1" x14ac:dyDescent="0.15">
      <c r="A187" s="9" t="s">
        <v>581</v>
      </c>
      <c r="B187" s="173" t="str">
        <f>VLOOKUP(A187,'The List'!B1:D665,3,FALSE)</f>
        <v>D</v>
      </c>
      <c r="C187" s="174">
        <f>IF(Settings!$E$15="POINTS",RANK(E187,E3:E213),H187)</f>
        <v>174</v>
      </c>
      <c r="D187" s="65" t="str">
        <f>VLOOKUP(A187,'The List'!B1:F665,5,FALSE)</f>
        <v>CGY</v>
      </c>
      <c r="E187" s="54">
        <f>VLOOKUP(A187,'The List'!B1:I665,8,FALSE)</f>
        <v>132.59271843121411</v>
      </c>
      <c r="F187" s="54">
        <f>IF(Settings!$E$15="POINTS",E187-VLOOKUP(B$2,C1:E213,3,FALSE),J187)</f>
        <v>-203.6414066143808</v>
      </c>
      <c r="G187" s="54"/>
      <c r="H187" s="167">
        <f>RANK(I187,I3:I213)</f>
        <v>138</v>
      </c>
      <c r="I187" s="168">
        <f>VLOOKUP(A187,'Standard Deviations'!A1:C666,3,FALSE)</f>
        <v>-2.2958559359402471</v>
      </c>
      <c r="J187" s="168">
        <f>I187-VLOOKUP(B$2,H1:J213,2,FALSE)</f>
        <v>-7.0025146925412827</v>
      </c>
    </row>
    <row r="188" spans="1:10" ht="21.25" customHeight="1" x14ac:dyDescent="0.15">
      <c r="A188" s="9" t="s">
        <v>601</v>
      </c>
      <c r="B188" s="173" t="str">
        <f>VLOOKUP(A188,'The List'!B1:D665,3,FALSE)</f>
        <v>D</v>
      </c>
      <c r="C188" s="174">
        <f>IF(Settings!$E$15="POINTS",RANK(E188,E3:E213),H188)</f>
        <v>182</v>
      </c>
      <c r="D188" s="65" t="str">
        <f>VLOOKUP(A188,'The List'!B1:F665,5,FALSE)</f>
        <v>MIN</v>
      </c>
      <c r="E188" s="54">
        <f>VLOOKUP(A188,'The List'!B1:I665,8,FALSE)</f>
        <v>123.87443883481515</v>
      </c>
      <c r="F188" s="54">
        <f>IF(Settings!$E$15="POINTS",E188-VLOOKUP(B$2,C1:E213,3,FALSE),J188)</f>
        <v>-212.35968621077976</v>
      </c>
      <c r="G188" s="54"/>
      <c r="H188" s="167">
        <f>RANK(I188,I3:I213)</f>
        <v>171</v>
      </c>
      <c r="I188" s="168">
        <f>VLOOKUP(A188,'Standard Deviations'!A1:C666,3,FALSE)</f>
        <v>-3.2049822564459585</v>
      </c>
      <c r="J188" s="168">
        <f>I188-VLOOKUP(B$2,H1:J213,2,FALSE)</f>
        <v>-7.9116410130469941</v>
      </c>
    </row>
    <row r="189" spans="1:10" ht="21.25" customHeight="1" x14ac:dyDescent="0.15">
      <c r="A189" s="9" t="s">
        <v>582</v>
      </c>
      <c r="B189" s="173" t="str">
        <f>VLOOKUP(A189,'The List'!B1:D665,3,FALSE)</f>
        <v>D</v>
      </c>
      <c r="C189" s="174">
        <f>IF(Settings!$E$15="POINTS",RANK(E189,E3:E213),H189)</f>
        <v>175</v>
      </c>
      <c r="D189" s="65" t="str">
        <f>VLOOKUP(A189,'The List'!B1:F665,5,FALSE)</f>
        <v>NSH</v>
      </c>
      <c r="E189" s="54">
        <f>VLOOKUP(A189,'The List'!B1:I665,8,FALSE)</f>
        <v>131.98159587539425</v>
      </c>
      <c r="F189" s="54">
        <f>IF(Settings!$E$15="POINTS",E189-VLOOKUP(B$2,C1:E213,3,FALSE),J189)</f>
        <v>-204.25252917020066</v>
      </c>
      <c r="G189" s="54"/>
      <c r="H189" s="167">
        <f>RANK(I189,I3:I213)</f>
        <v>156</v>
      </c>
      <c r="I189" s="168">
        <f>VLOOKUP(A189,'Standard Deviations'!A1:C666,3,FALSE)</f>
        <v>-2.7573429833077903</v>
      </c>
      <c r="J189" s="168">
        <f>I189-VLOOKUP(B$2,H1:J213,2,FALSE)</f>
        <v>-7.4640017399088254</v>
      </c>
    </row>
    <row r="190" spans="1:10" ht="21.25" customHeight="1" x14ac:dyDescent="0.15">
      <c r="A190" s="9" t="s">
        <v>635</v>
      </c>
      <c r="B190" s="173" t="str">
        <f>VLOOKUP(A190,'The List'!B1:D665,3,FALSE)</f>
        <v>D</v>
      </c>
      <c r="C190" s="174">
        <f>IF(Settings!$E$15="POINTS",RANK(E190,E3:E213),H190)</f>
        <v>196</v>
      </c>
      <c r="D190" s="65" t="str">
        <f>VLOOKUP(A190,'The List'!B1:F665,5,FALSE)</f>
        <v>NSH</v>
      </c>
      <c r="E190" s="54">
        <f>VLOOKUP(A190,'The List'!B1:I665,8,FALSE)</f>
        <v>110.06945939135943</v>
      </c>
      <c r="F190" s="54">
        <f>IF(Settings!$E$15="POINTS",E190-VLOOKUP(B$2,C1:E213,3,FALSE),J190)</f>
        <v>-226.16466565423548</v>
      </c>
      <c r="G190" s="54"/>
      <c r="H190" s="167">
        <f>RANK(I190,I3:I213)</f>
        <v>170</v>
      </c>
      <c r="I190" s="168">
        <f>VLOOKUP(A190,'Standard Deviations'!A1:C666,3,FALSE)</f>
        <v>-3.1540617037632543</v>
      </c>
      <c r="J190" s="168">
        <f>I190-VLOOKUP(B$2,H1:J213,2,FALSE)</f>
        <v>-7.8607204603642895</v>
      </c>
    </row>
    <row r="191" spans="1:10" ht="21.25" customHeight="1" x14ac:dyDescent="0.15">
      <c r="A191" s="9" t="s">
        <v>672</v>
      </c>
      <c r="B191" s="173" t="str">
        <f>VLOOKUP(A191,'The List'!B1:D665,3,FALSE)</f>
        <v>D</v>
      </c>
      <c r="C191" s="174">
        <f>IF(Settings!$E$15="POINTS",RANK(E191,E3:E213),H191)</f>
        <v>206</v>
      </c>
      <c r="D191" s="65" t="str">
        <f>VLOOKUP(A191,'The List'!B1:F665,5,FALSE)</f>
        <v>NYR</v>
      </c>
      <c r="E191" s="54">
        <f>VLOOKUP(A191,'The List'!B1:I665,8,FALSE)</f>
        <v>99.314129054792645</v>
      </c>
      <c r="F191" s="54">
        <f>IF(Settings!$E$15="POINTS",E191-VLOOKUP(B$2,C1:E213,3,FALSE),J191)</f>
        <v>-236.91999599080225</v>
      </c>
      <c r="G191" s="54"/>
      <c r="H191" s="167">
        <f>RANK(I191,I3:I213)</f>
        <v>195</v>
      </c>
      <c r="I191" s="168">
        <f>VLOOKUP(A191,'Standard Deviations'!A1:C666,3,FALSE)</f>
        <v>-3.998638311990109</v>
      </c>
      <c r="J191" s="168">
        <f>I191-VLOOKUP(B$2,H1:J213,2,FALSE)</f>
        <v>-8.7052970685911433</v>
      </c>
    </row>
    <row r="192" spans="1:10" ht="21.25" customHeight="1" x14ac:dyDescent="0.15">
      <c r="A192" s="9" t="s">
        <v>650</v>
      </c>
      <c r="B192" s="173" t="str">
        <f>VLOOKUP(A192,'The List'!B1:D665,3,FALSE)</f>
        <v>D</v>
      </c>
      <c r="C192" s="174">
        <f>IF(Settings!$E$15="POINTS",RANK(E192,E3:E213),H192)</f>
        <v>202</v>
      </c>
      <c r="D192" s="65" t="str">
        <f>VLOOKUP(A192,'The List'!B1:F665,5,FALSE)</f>
        <v>BOS</v>
      </c>
      <c r="E192" s="54">
        <f>VLOOKUP(A192,'The List'!B1:I665,8,FALSE)</f>
        <v>106.29040561773725</v>
      </c>
      <c r="F192" s="54">
        <f>IF(Settings!$E$15="POINTS",E192-VLOOKUP(B$2,C1:E213,3,FALSE),J192)</f>
        <v>-229.94371942785767</v>
      </c>
      <c r="G192" s="54"/>
      <c r="H192" s="167">
        <f>RANK(I192,I3:I213)</f>
        <v>177</v>
      </c>
      <c r="I192" s="168">
        <f>VLOOKUP(A192,'Standard Deviations'!A1:C666,3,FALSE)</f>
        <v>-3.4050549508075503</v>
      </c>
      <c r="J192" s="168">
        <f>I192-VLOOKUP(B$2,H1:J213,2,FALSE)</f>
        <v>-8.111713707408585</v>
      </c>
    </row>
    <row r="193" spans="1:10" ht="21.25" customHeight="1" x14ac:dyDescent="0.15">
      <c r="A193" s="9" t="s">
        <v>595</v>
      </c>
      <c r="B193" s="173" t="str">
        <f>VLOOKUP(A193,'The List'!B1:D665,3,FALSE)</f>
        <v>D</v>
      </c>
      <c r="C193" s="174">
        <f>IF(Settings!$E$15="POINTS",RANK(E193,E3:E213),H193)</f>
        <v>180</v>
      </c>
      <c r="D193" s="65" t="str">
        <f>VLOOKUP(A193,'The List'!B1:F665,5,FALSE)</f>
        <v>COL</v>
      </c>
      <c r="E193" s="54">
        <f>VLOOKUP(A193,'The List'!B1:I665,8,FALSE)</f>
        <v>125.79008547328327</v>
      </c>
      <c r="F193" s="54">
        <f>IF(Settings!$E$15="POINTS",E193-VLOOKUP(B$2,C1:E213,3,FALSE),J193)</f>
        <v>-210.44403957231162</v>
      </c>
      <c r="G193" s="54"/>
      <c r="H193" s="167">
        <f>RANK(I193,I3:I213)</f>
        <v>160</v>
      </c>
      <c r="I193" s="168">
        <f>VLOOKUP(A193,'Standard Deviations'!A1:C666,3,FALSE)</f>
        <v>-2.8514517920730227</v>
      </c>
      <c r="J193" s="168">
        <f>I193-VLOOKUP(B$2,H1:J213,2,FALSE)</f>
        <v>-7.5581105486740583</v>
      </c>
    </row>
    <row r="194" spans="1:10" ht="21.25" customHeight="1" x14ac:dyDescent="0.15">
      <c r="A194" s="9" t="s">
        <v>614</v>
      </c>
      <c r="B194" s="173" t="str">
        <f>VLOOKUP(A194,'The List'!B1:D665,3,FALSE)</f>
        <v>D</v>
      </c>
      <c r="C194" s="174">
        <f>IF(Settings!$E$15="POINTS",RANK(E194,E3:E213),H194)</f>
        <v>185</v>
      </c>
      <c r="D194" s="65" t="str">
        <f>VLOOKUP(A194,'The List'!B1:F665,5,FALSE)</f>
        <v>L.A</v>
      </c>
      <c r="E194" s="54">
        <f>VLOOKUP(A194,'The List'!B1:I665,8,FALSE)</f>
        <v>117.8995499419608</v>
      </c>
      <c r="F194" s="54">
        <f>IF(Settings!$E$15="POINTS",E194-VLOOKUP(B$2,C1:E213,3,FALSE),J194)</f>
        <v>-218.33457510363411</v>
      </c>
      <c r="G194" s="54"/>
      <c r="H194" s="167">
        <f>RANK(I194,I3:I213)</f>
        <v>181</v>
      </c>
      <c r="I194" s="168">
        <f>VLOOKUP(A194,'Standard Deviations'!A1:C666,3,FALSE)</f>
        <v>-3.5163619526050081</v>
      </c>
      <c r="J194" s="168">
        <f>I194-VLOOKUP(B$2,H1:J213,2,FALSE)</f>
        <v>-8.2230207092060432</v>
      </c>
    </row>
    <row r="195" spans="1:10" ht="21.25" customHeight="1" x14ac:dyDescent="0.15">
      <c r="A195" s="9" t="s">
        <v>651</v>
      </c>
      <c r="B195" s="173" t="str">
        <f>VLOOKUP(A195,'The List'!B1:D665,3,FALSE)</f>
        <v>D</v>
      </c>
      <c r="C195" s="174">
        <f>IF(Settings!$E$15="POINTS",RANK(E195,E3:E213),H195)</f>
        <v>203</v>
      </c>
      <c r="D195" s="65" t="str">
        <f>VLOOKUP(A195,'The List'!B1:F665,5,FALSE)</f>
        <v>CHI</v>
      </c>
      <c r="E195" s="54">
        <f>VLOOKUP(A195,'The List'!B1:I665,8,FALSE)</f>
        <v>105.76078029256882</v>
      </c>
      <c r="F195" s="54">
        <f>IF(Settings!$E$15="POINTS",E195-VLOOKUP(B$2,C1:E213,3,FALSE),J195)</f>
        <v>-230.47334475302608</v>
      </c>
      <c r="G195" s="54"/>
      <c r="H195" s="167">
        <f>RANK(I195,I3:I213)</f>
        <v>210</v>
      </c>
      <c r="I195" s="168">
        <f>VLOOKUP(A195,'Standard Deviations'!A1:C666,3,FALSE)</f>
        <v>-5.1584107789097429</v>
      </c>
      <c r="J195" s="168">
        <f>I195-VLOOKUP(B$2,H1:J213,2,FALSE)</f>
        <v>-9.8650695355107771</v>
      </c>
    </row>
    <row r="196" spans="1:10" ht="21.25" customHeight="1" x14ac:dyDescent="0.15">
      <c r="A196" s="9" t="s">
        <v>631</v>
      </c>
      <c r="B196" s="173" t="str">
        <f>VLOOKUP(A196,'The List'!B1:D665,3,FALSE)</f>
        <v>D</v>
      </c>
      <c r="C196" s="174">
        <f>IF(Settings!$E$15="POINTS",RANK(E196,E3:E213),H196)</f>
        <v>194</v>
      </c>
      <c r="D196" s="65" t="str">
        <f>VLOOKUP(A196,'The List'!B1:F665,5,FALSE)</f>
        <v>CGY</v>
      </c>
      <c r="E196" s="54">
        <f>VLOOKUP(A196,'The List'!B1:I665,8,FALSE)</f>
        <v>112.41047236323075</v>
      </c>
      <c r="F196" s="54">
        <f>IF(Settings!$E$15="POINTS",E196-VLOOKUP(B$2,C1:E213,3,FALSE),J196)</f>
        <v>-223.82365268236416</v>
      </c>
      <c r="G196" s="54"/>
      <c r="H196" s="167">
        <f>RANK(I196,I3:I213)</f>
        <v>187</v>
      </c>
      <c r="I196" s="168">
        <f>VLOOKUP(A196,'Standard Deviations'!A1:C666,3,FALSE)</f>
        <v>-3.7799562311602313</v>
      </c>
      <c r="J196" s="168">
        <f>I196-VLOOKUP(B$2,H1:J213,2,FALSE)</f>
        <v>-8.486614987761266</v>
      </c>
    </row>
    <row r="197" spans="1:10" ht="21.25" customHeight="1" x14ac:dyDescent="0.15">
      <c r="A197" s="9" t="s">
        <v>563</v>
      </c>
      <c r="B197" s="173" t="str">
        <f>VLOOKUP(A197,'The List'!B1:D665,3,FALSE)</f>
        <v>D</v>
      </c>
      <c r="C197" s="174">
        <f>IF(Settings!$E$15="POINTS",RANK(E197,E3:E213),H197)</f>
        <v>166</v>
      </c>
      <c r="D197" s="65" t="str">
        <f>VLOOKUP(A197,'The List'!B1:F665,5,FALSE)</f>
        <v>ANA</v>
      </c>
      <c r="E197" s="54">
        <f>VLOOKUP(A197,'The List'!B1:I665,8,FALSE)</f>
        <v>138.47871038189362</v>
      </c>
      <c r="F197" s="54">
        <f>IF(Settings!$E$15="POINTS",E197-VLOOKUP(B$2,C1:E213,3,FALSE),J197)</f>
        <v>-197.75541466370129</v>
      </c>
      <c r="G197" s="54"/>
      <c r="H197" s="167">
        <f>RANK(I197,I3:I213)</f>
        <v>167</v>
      </c>
      <c r="I197" s="168">
        <f>VLOOKUP(A197,'Standard Deviations'!A1:C666,3,FALSE)</f>
        <v>-3.0217318494349681</v>
      </c>
      <c r="J197" s="168">
        <f>I197-VLOOKUP(B$2,H1:J213,2,FALSE)</f>
        <v>-7.7283906060360028</v>
      </c>
    </row>
    <row r="198" spans="1:10" ht="21.25" customHeight="1" x14ac:dyDescent="0.15">
      <c r="A198" s="9" t="s">
        <v>617</v>
      </c>
      <c r="B198" s="173" t="str">
        <f>VLOOKUP(A198,'The List'!B1:D665,3,FALSE)</f>
        <v>D</v>
      </c>
      <c r="C198" s="174">
        <f>IF(Settings!$E$15="POINTS",RANK(E198,E3:E213),H198)</f>
        <v>187</v>
      </c>
      <c r="D198" s="65" t="str">
        <f>VLOOKUP(A198,'The List'!B1:F665,5,FALSE)</f>
        <v>VAN</v>
      </c>
      <c r="E198" s="54">
        <f>VLOOKUP(A198,'The List'!B1:I665,8,FALSE)</f>
        <v>117.45941696826743</v>
      </c>
      <c r="F198" s="54">
        <f>IF(Settings!$E$15="POINTS",E198-VLOOKUP(B$2,C1:E213,3,FALSE),J198)</f>
        <v>-218.77470807732749</v>
      </c>
      <c r="G198" s="54"/>
      <c r="H198" s="167">
        <f>RANK(I198,I3:I213)</f>
        <v>162</v>
      </c>
      <c r="I198" s="168">
        <f>VLOOKUP(A198,'Standard Deviations'!A1:C666,3,FALSE)</f>
        <v>-2.8968649940348086</v>
      </c>
      <c r="J198" s="168">
        <f>I198-VLOOKUP(B$2,H1:J213,2,FALSE)</f>
        <v>-7.6035237506358442</v>
      </c>
    </row>
    <row r="199" spans="1:10" ht="21.25" customHeight="1" x14ac:dyDescent="0.15">
      <c r="A199" s="9" t="s">
        <v>610</v>
      </c>
      <c r="B199" s="173" t="str">
        <f>VLOOKUP(A199,'The List'!B1:D665,3,FALSE)</f>
        <v>D</v>
      </c>
      <c r="C199" s="174">
        <f>IF(Settings!$E$15="POINTS",RANK(E199,E3:E213),H199)</f>
        <v>184</v>
      </c>
      <c r="D199" s="65" t="str">
        <f>VLOOKUP(A199,'The List'!B1:F665,5,FALSE)</f>
        <v>VAN</v>
      </c>
      <c r="E199" s="54">
        <f>VLOOKUP(A199,'The List'!B1:I665,8,FALSE)</f>
        <v>119.32143492548013</v>
      </c>
      <c r="F199" s="54">
        <f>IF(Settings!$E$15="POINTS",E199-VLOOKUP(B$2,C1:E213,3,FALSE),J199)</f>
        <v>-216.91269012011477</v>
      </c>
      <c r="G199" s="54"/>
      <c r="H199" s="167">
        <f>RANK(I199,I3:I213)</f>
        <v>173</v>
      </c>
      <c r="I199" s="168">
        <f>VLOOKUP(A199,'Standard Deviations'!A1:C666,3,FALSE)</f>
        <v>-3.251015964562419</v>
      </c>
      <c r="J199" s="168">
        <f>I199-VLOOKUP(B$2,H1:J213,2,FALSE)</f>
        <v>-7.9576747211634542</v>
      </c>
    </row>
    <row r="200" spans="1:10" ht="21.25" customHeight="1" x14ac:dyDescent="0.15">
      <c r="A200" s="9" t="s">
        <v>583</v>
      </c>
      <c r="B200" s="173" t="str">
        <f>VLOOKUP(A200,'The List'!B1:D665,3,FALSE)</f>
        <v>D</v>
      </c>
      <c r="C200" s="174">
        <f>IF(Settings!$E$15="POINTS",RANK(E200,E3:E213),H200)</f>
        <v>176</v>
      </c>
      <c r="D200" s="65" t="str">
        <f>VLOOKUP(A200,'The List'!B1:F665,5,FALSE)</f>
        <v>DET</v>
      </c>
      <c r="E200" s="54">
        <f>VLOOKUP(A200,'The List'!B1:I665,8,FALSE)</f>
        <v>131.74907911147213</v>
      </c>
      <c r="F200" s="54">
        <f>IF(Settings!$E$15="POINTS",E200-VLOOKUP(B$2,C1:E213,3,FALSE),J200)</f>
        <v>-204.48504593412278</v>
      </c>
      <c r="G200" s="54"/>
      <c r="H200" s="167">
        <f>RANK(I200,I3:I213)</f>
        <v>176</v>
      </c>
      <c r="I200" s="168">
        <f>VLOOKUP(A200,'Standard Deviations'!A1:C666,3,FALSE)</f>
        <v>-3.3475660880734046</v>
      </c>
      <c r="J200" s="168">
        <f>I200-VLOOKUP(B$2,H1:J213,2,FALSE)</f>
        <v>-8.0542248446744402</v>
      </c>
    </row>
    <row r="201" spans="1:10" ht="21.25" customHeight="1" x14ac:dyDescent="0.15">
      <c r="A201" s="9" t="s">
        <v>662</v>
      </c>
      <c r="B201" s="173" t="str">
        <f>VLOOKUP(A201,'The List'!B1:D665,3,FALSE)</f>
        <v>D</v>
      </c>
      <c r="C201" s="174">
        <f>IF(Settings!$E$15="POINTS",RANK(E201,E3:E213),H201)</f>
        <v>204</v>
      </c>
      <c r="D201" s="65" t="str">
        <f>VLOOKUP(A201,'The List'!B1:F665,5,FALSE)</f>
        <v>UTA</v>
      </c>
      <c r="E201" s="54">
        <f>VLOOKUP(A201,'The List'!B1:I665,8,FALSE)</f>
        <v>102.31474387689971</v>
      </c>
      <c r="F201" s="54">
        <f>IF(Settings!$E$15="POINTS",E201-VLOOKUP(B$2,C1:E213,3,FALSE),J201)</f>
        <v>-233.9193811686952</v>
      </c>
      <c r="G201" s="54"/>
      <c r="H201" s="167">
        <f>RANK(I201,I3:I213)</f>
        <v>197</v>
      </c>
      <c r="I201" s="168">
        <f>VLOOKUP(A201,'Standard Deviations'!A1:C666,3,FALSE)</f>
        <v>-4.1274684537530417</v>
      </c>
      <c r="J201" s="168">
        <f>I201-VLOOKUP(B$2,H1:J213,2,FALSE)</f>
        <v>-8.834127210354076</v>
      </c>
    </row>
    <row r="202" spans="1:10" ht="21.25" customHeight="1" x14ac:dyDescent="0.15">
      <c r="A202" s="9" t="s">
        <v>576</v>
      </c>
      <c r="B202" s="173" t="str">
        <f>VLOOKUP(A202,'The List'!B1:D665,3,FALSE)</f>
        <v>D</v>
      </c>
      <c r="C202" s="174">
        <f>IF(Settings!$E$15="POINTS",RANK(E202,E3:E213),H202)</f>
        <v>171</v>
      </c>
      <c r="D202" s="65" t="str">
        <f>VLOOKUP(A202,'The List'!B1:F665,5,FALSE)</f>
        <v>STL</v>
      </c>
      <c r="E202" s="54">
        <f>VLOOKUP(A202,'The List'!B1:I665,8,FALSE)</f>
        <v>134.39036676171443</v>
      </c>
      <c r="F202" s="54">
        <f>IF(Settings!$E$15="POINTS",E202-VLOOKUP(B$2,C1:E213,3,FALSE),J202)</f>
        <v>-201.84375828388048</v>
      </c>
      <c r="G202" s="54"/>
      <c r="H202" s="167">
        <f>RANK(I202,I3:I213)</f>
        <v>116</v>
      </c>
      <c r="I202" s="168">
        <f>VLOOKUP(A202,'Standard Deviations'!A1:C666,3,FALSE)</f>
        <v>-1.7550238416608206</v>
      </c>
      <c r="J202" s="168">
        <f>I202-VLOOKUP(B$2,H1:J213,2,FALSE)</f>
        <v>-6.4616825982618558</v>
      </c>
    </row>
    <row r="203" spans="1:10" ht="21.25" customHeight="1" x14ac:dyDescent="0.15">
      <c r="A203" s="9" t="s">
        <v>675</v>
      </c>
      <c r="B203" s="173" t="str">
        <f>VLOOKUP(A203,'The List'!B1:D665,3,FALSE)</f>
        <v>D</v>
      </c>
      <c r="C203" s="174">
        <f>IF(Settings!$E$15="POINTS",RANK(E203,E3:E213),H203)</f>
        <v>207</v>
      </c>
      <c r="D203" s="65" t="str">
        <f>VLOOKUP(A203,'The List'!B1:F665,5,FALSE)</f>
        <v>PIT</v>
      </c>
      <c r="E203" s="54">
        <f>VLOOKUP(A203,'The List'!B1:I665,8,FALSE)</f>
        <v>98.100538665034009</v>
      </c>
      <c r="F203" s="54">
        <f>IF(Settings!$E$15="POINTS",E203-VLOOKUP(B$2,C1:E213,3,FALSE),J203)</f>
        <v>-238.1335863805609</v>
      </c>
      <c r="G203" s="54"/>
      <c r="H203" s="167">
        <f>RANK(I203,I3:I213)</f>
        <v>199</v>
      </c>
      <c r="I203" s="168">
        <f>VLOOKUP(A203,'Standard Deviations'!A1:C666,3,FALSE)</f>
        <v>-4.212630606773013</v>
      </c>
      <c r="J203" s="168">
        <f>I203-VLOOKUP(B$2,H1:J213,2,FALSE)</f>
        <v>-8.9192893633740482</v>
      </c>
    </row>
    <row r="204" spans="1:10" ht="21.25" customHeight="1" x14ac:dyDescent="0.15">
      <c r="A204" s="9" t="s">
        <v>636</v>
      </c>
      <c r="B204" s="173" t="str">
        <f>VLOOKUP(A204,'The List'!B1:D665,3,FALSE)</f>
        <v>D</v>
      </c>
      <c r="C204" s="174">
        <f>IF(Settings!$E$15="POINTS",RANK(E204,E3:E213),H204)</f>
        <v>197</v>
      </c>
      <c r="D204" s="65" t="str">
        <f>VLOOKUP(A204,'The List'!B1:F665,5,FALSE)</f>
        <v>S.J</v>
      </c>
      <c r="E204" s="54">
        <f>VLOOKUP(A204,'The List'!B1:I665,8,FALSE)</f>
        <v>109.98226253674591</v>
      </c>
      <c r="F204" s="54">
        <f>IF(Settings!$E$15="POINTS",E204-VLOOKUP(B$2,C1:E213,3,FALSE),J204)</f>
        <v>-226.251862508849</v>
      </c>
      <c r="G204" s="54"/>
      <c r="H204" s="167">
        <f>RANK(I204,I3:I213)</f>
        <v>211</v>
      </c>
      <c r="I204" s="168">
        <f>VLOOKUP(A204,'Standard Deviations'!A1:C666,3,FALSE)</f>
        <v>-5.7449353841740454</v>
      </c>
      <c r="J204" s="168">
        <f>I204-VLOOKUP(B$2,H1:J213,2,FALSE)</f>
        <v>-10.451594140775081</v>
      </c>
    </row>
    <row r="205" spans="1:10" ht="21.25" customHeight="1" x14ac:dyDescent="0.15">
      <c r="A205" s="9" t="s">
        <v>622</v>
      </c>
      <c r="B205" s="173" t="str">
        <f>VLOOKUP(A205,'The List'!B1:D665,3,FALSE)</f>
        <v>D</v>
      </c>
      <c r="C205" s="174">
        <f>IF(Settings!$E$15="POINTS",RANK(E205,E3:E213),H205)</f>
        <v>190</v>
      </c>
      <c r="D205" s="65" t="str">
        <f>VLOOKUP(A205,'The List'!B1:F665,5,FALSE)</f>
        <v>STL</v>
      </c>
      <c r="E205" s="54">
        <f>VLOOKUP(A205,'The List'!B1:I665,8,FALSE)</f>
        <v>114.55790173401107</v>
      </c>
      <c r="F205" s="54">
        <f>IF(Settings!$E$15="POINTS",E205-VLOOKUP(B$2,C1:E213,3,FALSE),J205)</f>
        <v>-221.67622331158384</v>
      </c>
      <c r="G205" s="54"/>
      <c r="H205" s="167">
        <f>RANK(I205,I3:I213)</f>
        <v>192</v>
      </c>
      <c r="I205" s="168">
        <f>VLOOKUP(A205,'Standard Deviations'!A1:C666,3,FALSE)</f>
        <v>-3.8904964621298284</v>
      </c>
      <c r="J205" s="168">
        <f>I205-VLOOKUP(B$2,H1:J213,2,FALSE)</f>
        <v>-8.5971552187308635</v>
      </c>
    </row>
    <row r="206" spans="1:10" ht="21.25" customHeight="1" x14ac:dyDescent="0.15">
      <c r="A206" s="9" t="s">
        <v>630</v>
      </c>
      <c r="B206" s="173" t="str">
        <f>VLOOKUP(A206,'The List'!B1:D665,3,FALSE)</f>
        <v>D</v>
      </c>
      <c r="C206" s="174">
        <f>IF(Settings!$E$15="POINTS",RANK(E206,E3:E213),H206)</f>
        <v>193</v>
      </c>
      <c r="D206" s="65" t="str">
        <f>VLOOKUP(A206,'The List'!B1:F665,5,FALSE)</f>
        <v>N.J</v>
      </c>
      <c r="E206" s="54">
        <f>VLOOKUP(A206,'The List'!B1:I665,8,FALSE)</f>
        <v>112.5099708011748</v>
      </c>
      <c r="F206" s="54">
        <f>IF(Settings!$E$15="POINTS",E206-VLOOKUP(B$2,C1:E213,3,FALSE),J206)</f>
        <v>-223.72415424442011</v>
      </c>
      <c r="G206" s="54"/>
      <c r="H206" s="167">
        <f>RANK(I206,I3:I213)</f>
        <v>203</v>
      </c>
      <c r="I206" s="168">
        <f>VLOOKUP(A206,'Standard Deviations'!A1:C666,3,FALSE)</f>
        <v>-4.3829203488679465</v>
      </c>
      <c r="J206" s="168">
        <f>I206-VLOOKUP(B$2,H1:J213,2,FALSE)</f>
        <v>-9.0895791054689816</v>
      </c>
    </row>
    <row r="207" spans="1:10" ht="21.25" customHeight="1" x14ac:dyDescent="0.15">
      <c r="A207" s="9" t="s">
        <v>619</v>
      </c>
      <c r="B207" s="173" t="str">
        <f>VLOOKUP(A207,'The List'!B1:D665,3,FALSE)</f>
        <v>D</v>
      </c>
      <c r="C207" s="174">
        <f>IF(Settings!$E$15="POINTS",RANK(E207,E3:E213),H207)</f>
        <v>189</v>
      </c>
      <c r="D207" s="65" t="str">
        <f>VLOOKUP(A207,'The List'!B1:F665,5,FALSE)</f>
        <v>DAL</v>
      </c>
      <c r="E207" s="54">
        <f>VLOOKUP(A207,'The List'!B1:I665,8,FALSE)</f>
        <v>115.41569454327581</v>
      </c>
      <c r="F207" s="54">
        <f>IF(Settings!$E$15="POINTS",E207-VLOOKUP(B$2,C1:E213,3,FALSE),J207)</f>
        <v>-220.8184305023191</v>
      </c>
      <c r="G207" s="54"/>
      <c r="H207" s="167">
        <f>RANK(I207,I3:I213)</f>
        <v>168</v>
      </c>
      <c r="I207" s="168">
        <f>VLOOKUP(A207,'Standard Deviations'!A1:C666,3,FALSE)</f>
        <v>-3.14380452772602</v>
      </c>
      <c r="J207" s="168">
        <f>I207-VLOOKUP(B$2,H1:J213,2,FALSE)</f>
        <v>-7.8504632843270556</v>
      </c>
    </row>
    <row r="208" spans="1:10" ht="21.25" customHeight="1" x14ac:dyDescent="0.15">
      <c r="A208" s="9" t="s">
        <v>609</v>
      </c>
      <c r="B208" s="173" t="str">
        <f>VLOOKUP(A208,'The List'!B1:D665,3,FALSE)</f>
        <v>D</v>
      </c>
      <c r="C208" s="174">
        <f>IF(Settings!$E$15="POINTS",RANK(E208,E3:E213),H208)</f>
        <v>183</v>
      </c>
      <c r="D208" s="65" t="str">
        <f>VLOOKUP(A208,'The List'!B1:F665,5,FALSE)</f>
        <v>TOR</v>
      </c>
      <c r="E208" s="54">
        <f>VLOOKUP(A208,'The List'!B1:I665,8,FALSE)</f>
        <v>119.5059544798994</v>
      </c>
      <c r="F208" s="54">
        <f>IF(Settings!$E$15="POINTS",E208-VLOOKUP(B$2,C1:E213,3,FALSE),J208)</f>
        <v>-216.72817056569551</v>
      </c>
      <c r="G208" s="54"/>
      <c r="H208" s="167">
        <f>RANK(I208,I3:I213)</f>
        <v>134</v>
      </c>
      <c r="I208" s="168">
        <f>VLOOKUP(A208,'Standard Deviations'!A1:C666,3,FALSE)</f>
        <v>-2.2376180380293924</v>
      </c>
      <c r="J208" s="168">
        <f>I208-VLOOKUP(B$2,H1:J213,2,FALSE)</f>
        <v>-6.9442767946304276</v>
      </c>
    </row>
    <row r="209" spans="1:10" ht="21.25" customHeight="1" x14ac:dyDescent="0.15">
      <c r="A209" s="9" t="s">
        <v>702</v>
      </c>
      <c r="B209" s="173" t="str">
        <f>VLOOKUP(A209,'The List'!B1:D665,3,FALSE)</f>
        <v>D</v>
      </c>
      <c r="C209" s="174">
        <f>IF(Settings!$E$15="POINTS",RANK(E209,E3:E213),H209)</f>
        <v>211</v>
      </c>
      <c r="D209" s="65" t="str">
        <f>VLOOKUP(A209,'The List'!B1:F665,5,FALSE)</f>
        <v>N.J</v>
      </c>
      <c r="E209" s="54">
        <f>VLOOKUP(A209,'The List'!B1:I665,8,FALSE)</f>
        <v>85.753168046316389</v>
      </c>
      <c r="F209" s="54">
        <f>IF(Settings!$E$15="POINTS",E209-VLOOKUP(B$2,C1:E213,3,FALSE),J209)</f>
        <v>-250.48095699927853</v>
      </c>
      <c r="G209" s="54"/>
      <c r="H209" s="167">
        <f>RANK(I209,I3:I213)</f>
        <v>198</v>
      </c>
      <c r="I209" s="168">
        <f>VLOOKUP(A209,'Standard Deviations'!A1:C666,3,FALSE)</f>
        <v>-4.2121150881411076</v>
      </c>
      <c r="J209" s="168">
        <f>I209-VLOOKUP(B$2,H1:J213,2,FALSE)</f>
        <v>-8.9187738447421427</v>
      </c>
    </row>
    <row r="210" spans="1:10" ht="21.25" customHeight="1" x14ac:dyDescent="0.15">
      <c r="A210" s="9" t="s">
        <v>683</v>
      </c>
      <c r="B210" s="173" t="str">
        <f>VLOOKUP(A210,'The List'!B1:D665,3,FALSE)</f>
        <v>D</v>
      </c>
      <c r="C210" s="174">
        <f>IF(Settings!$E$15="POINTS",RANK(E210,E3:E213),H210)</f>
        <v>208</v>
      </c>
      <c r="D210" s="65" t="str">
        <f>VLOOKUP(A210,'The List'!B1:F665,5,FALSE)</f>
        <v>N.J</v>
      </c>
      <c r="E210" s="54">
        <f>VLOOKUP(A210,'The List'!B1:I665,8,FALSE)</f>
        <v>95.008497766828015</v>
      </c>
      <c r="F210" s="54">
        <f>IF(Settings!$E$15="POINTS",E210-VLOOKUP(B$2,C1:E213,3,FALSE),J210)</f>
        <v>-241.22562727876689</v>
      </c>
      <c r="G210" s="54"/>
      <c r="H210" s="167">
        <f>RANK(I210,I3:I213)</f>
        <v>200</v>
      </c>
      <c r="I210" s="168">
        <f>VLOOKUP(A210,'Standard Deviations'!A1:C666,3,FALSE)</f>
        <v>-4.2570564695430591</v>
      </c>
      <c r="J210" s="168">
        <f>I210-VLOOKUP(B$2,H1:J213,2,FALSE)</f>
        <v>-8.9637152261440942</v>
      </c>
    </row>
    <row r="211" spans="1:10" ht="21.25" customHeight="1" x14ac:dyDescent="0.15">
      <c r="A211" s="9" t="s">
        <v>685</v>
      </c>
      <c r="B211" s="173" t="str">
        <f>VLOOKUP(A211,'The List'!B1:D665,3,FALSE)</f>
        <v>D</v>
      </c>
      <c r="C211" s="174">
        <f>IF(Settings!$E$15="POINTS",RANK(E211,E3:E213),H211)</f>
        <v>209</v>
      </c>
      <c r="D211" s="65" t="str">
        <f>VLOOKUP(A211,'The List'!B1:F665,5,FALSE)</f>
        <v>NYI</v>
      </c>
      <c r="E211" s="54">
        <f>VLOOKUP(A211,'The List'!B1:I665,8,FALSE)</f>
        <v>93.818448034286163</v>
      </c>
      <c r="F211" s="54">
        <f>IF(Settings!$E$15="POINTS",E211-VLOOKUP(B$2,C1:E213,3,FALSE),J211)</f>
        <v>-242.41567701130873</v>
      </c>
      <c r="G211" s="54"/>
      <c r="H211" s="167">
        <f>RANK(I211,I3:I213)</f>
        <v>196</v>
      </c>
      <c r="I211" s="168">
        <f>VLOOKUP(A211,'Standard Deviations'!A1:C666,3,FALSE)</f>
        <v>-4.0266852766844501</v>
      </c>
      <c r="J211" s="168">
        <f>I211-VLOOKUP(B$2,H1:J213,2,FALSE)</f>
        <v>-8.7333440332854853</v>
      </c>
    </row>
    <row r="212" spans="1:10" ht="21.25" customHeight="1" x14ac:dyDescent="0.15">
      <c r="A212" s="9" t="s">
        <v>670</v>
      </c>
      <c r="B212" s="173" t="str">
        <f>VLOOKUP(A212,'The List'!B1:D665,3,FALSE)</f>
        <v>D</v>
      </c>
      <c r="C212" s="174">
        <f>IF(Settings!$E$15="POINTS",RANK(E212,E3:E213),H212)</f>
        <v>205</v>
      </c>
      <c r="D212" s="65" t="str">
        <f>VLOOKUP(A212,'The List'!B1:F665,5,FALSE)</f>
        <v>DET</v>
      </c>
      <c r="E212" s="54">
        <f>VLOOKUP(A212,'The List'!B1:I665,8,FALSE)</f>
        <v>100.45450627195373</v>
      </c>
      <c r="F212" s="54">
        <f>IF(Settings!$E$15="POINTS",E212-VLOOKUP(B$2,C1:E213,3,FALSE),J212)</f>
        <v>-235.77961877364118</v>
      </c>
      <c r="G212" s="54"/>
      <c r="H212" s="167">
        <f>RANK(I212,I3:I213)</f>
        <v>206</v>
      </c>
      <c r="I212" s="168">
        <f>VLOOKUP(A212,'Standard Deviations'!A1:C666,3,FALSE)</f>
        <v>-4.5751360282810456</v>
      </c>
      <c r="J212" s="168">
        <f>I212-VLOOKUP(B$2,H1:J213,2,FALSE)</f>
        <v>-9.2817947848820808</v>
      </c>
    </row>
    <row r="213" spans="1:10" ht="21.25" customHeight="1" x14ac:dyDescent="0.15">
      <c r="A213" s="9" t="s">
        <v>692</v>
      </c>
      <c r="B213" s="173" t="str">
        <f>VLOOKUP(A213,'The List'!B1:D665,3,FALSE)</f>
        <v>D</v>
      </c>
      <c r="C213" s="174">
        <f>IF(Settings!$E$15="POINTS",RANK(E213,E3:E213),H213)</f>
        <v>210</v>
      </c>
      <c r="D213" s="65" t="str">
        <f>VLOOKUP(A213,'The List'!B1:F665,5,FALSE)</f>
        <v>CBJ</v>
      </c>
      <c r="E213" s="54">
        <f>VLOOKUP(A213,'The List'!B1:I665,8,FALSE)</f>
        <v>92.003402801735575</v>
      </c>
      <c r="F213" s="54">
        <f>IF(Settings!$E$15="POINTS",E213-VLOOKUP(B$2,C1:E213,3,FALSE),J213)</f>
        <v>-244.23072224385933</v>
      </c>
      <c r="G213" s="54"/>
      <c r="H213" s="167">
        <f>RANK(I213,I3:I213)</f>
        <v>189</v>
      </c>
      <c r="I213" s="168">
        <f>VLOOKUP(A213,'Standard Deviations'!A1:C666,3,FALSE)</f>
        <v>-3.8355728294459501</v>
      </c>
      <c r="J213" s="168">
        <f>I213-VLOOKUP(B$2,H1:J213,2,FALSE)</f>
        <v>-8.5422315860469844</v>
      </c>
    </row>
  </sheetData>
  <conditionalFormatting sqref="C3:C213 H3:H213">
    <cfRule type="containsText" dxfId="11" priority="1" stopIfTrue="1" operator="containsText" text="/">
      <formula>NOT(ISERROR(FIND(UPPER("/"),UPPER(C3))))</formula>
      <formula>"/"</formula>
    </cfRule>
    <cfRule type="containsText" dxfId="10" priority="2" stopIfTrue="1" operator="containsText" text="C">
      <formula>NOT(ISERROR(FIND(UPPER("C"),UPPER(C3))))</formula>
      <formula>"C"</formula>
    </cfRule>
    <cfRule type="containsText" dxfId="9" priority="3" stopIfTrue="1" operator="containsText" text="D">
      <formula>NOT(ISERROR(FIND(UPPER("D"),UPPER(C3))))</formula>
      <formula>"D"</formula>
    </cfRule>
    <cfRule type="containsText" dxfId="8" priority="4" stopIfTrue="1" operator="containsText" text="LW">
      <formula>NOT(ISERROR(FIND(UPPER("LW"),UPPER(C3))))</formula>
      <formula>"LW"</formula>
    </cfRule>
    <cfRule type="containsText" dxfId="7" priority="5" stopIfTrue="1" operator="containsText" text="RW">
      <formula>NOT(ISERROR(FIND(UPPER("RW"),UPPER(C3))))</formula>
      <formula>"RW"</formula>
    </cfRule>
    <cfRule type="containsText" dxfId="6" priority="6" stopIfTrue="1" operator="containsText" text="G">
      <formula>NOT(ISERROR(FIND(UPPER("G"),UPPER(C3))))</formula>
      <formula>"G"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65"/>
  <sheetViews>
    <sheetView showGridLines="0" workbookViewId="0">
      <pane ySplit="2" topLeftCell="A3" activePane="bottomLeft" state="frozen"/>
      <selection pane="bottomLeft"/>
    </sheetView>
  </sheetViews>
  <sheetFormatPr baseColWidth="10" defaultColWidth="8" defaultRowHeight="16.25" customHeight="1" x14ac:dyDescent="0.15"/>
  <cols>
    <col min="1" max="1" width="33" style="1" customWidth="1"/>
    <col min="2" max="2" width="7.1640625" style="1" customWidth="1"/>
    <col min="3" max="3" width="6" style="1" customWidth="1"/>
    <col min="4" max="6" width="8.33203125" style="1" customWidth="1"/>
    <col min="7" max="10" width="1.33203125" style="1" customWidth="1"/>
    <col min="11" max="11" width="8" style="1" customWidth="1"/>
    <col min="12" max="16384" width="8" style="1"/>
  </cols>
  <sheetData>
    <row r="1" spans="1:10" ht="28.25" customHeight="1" x14ac:dyDescent="0.15">
      <c r="A1" s="151" t="s">
        <v>811</v>
      </c>
      <c r="B1" s="152" t="s">
        <v>103</v>
      </c>
      <c r="C1" s="153"/>
      <c r="D1" s="4" t="s">
        <v>12</v>
      </c>
      <c r="E1" s="154" t="s">
        <v>813</v>
      </c>
      <c r="F1" s="152" t="s">
        <v>97</v>
      </c>
      <c r="G1" s="155"/>
      <c r="H1" s="156"/>
      <c r="I1" s="157" t="s">
        <v>814</v>
      </c>
      <c r="J1" s="158" t="s">
        <v>97</v>
      </c>
    </row>
    <row r="2" spans="1:10" ht="28.25" customHeight="1" x14ac:dyDescent="0.15">
      <c r="A2" s="159" t="s">
        <v>61</v>
      </c>
      <c r="B2" s="160">
        <f>Settings!F6</f>
        <v>10</v>
      </c>
      <c r="C2" s="161"/>
      <c r="D2" s="162"/>
      <c r="E2" s="163"/>
      <c r="F2" s="163"/>
      <c r="G2" s="163"/>
      <c r="H2" s="169"/>
      <c r="I2" s="170"/>
      <c r="J2" s="170"/>
    </row>
    <row r="3" spans="1:10" ht="21.25" customHeight="1" x14ac:dyDescent="0.15">
      <c r="A3" s="9" t="s">
        <v>147</v>
      </c>
      <c r="B3" s="140" t="str">
        <f>VLOOKUP(A3,'The List'!B1:D665,3,FALSE)</f>
        <v>G</v>
      </c>
      <c r="C3" s="175">
        <f>RANK(E3,E3:E65)</f>
        <v>1</v>
      </c>
      <c r="D3" s="65" t="str">
        <f>VLOOKUP(A3,'The List'!B1:F665,5,FALSE)</f>
        <v>NYR</v>
      </c>
      <c r="E3" s="54">
        <f>VLOOKUP(A3,'The List'!B1:I665,8,FALSE)</f>
        <v>484.22409325757781</v>
      </c>
      <c r="F3" s="54">
        <f>IF(Settings!$E$15="POINTS",E3-VLOOKUP(B$2,C1:E65,3,FALSE),J3)</f>
        <v>73.564350488157629</v>
      </c>
      <c r="G3" s="54"/>
      <c r="H3" s="171">
        <f>RANK(I3,I3:I65)</f>
        <v>2</v>
      </c>
      <c r="I3" s="172">
        <f>VLOOKUP(A3,'Standard Deviations'!A1:C666,3,FALSE)</f>
        <v>7.9920354848716739</v>
      </c>
      <c r="J3" s="172">
        <f>I3-VLOOKUP(B$2,H1:J65,2,FALSE)</f>
        <v>3.6388211844799523</v>
      </c>
    </row>
    <row r="4" spans="1:10" ht="21.25" customHeight="1" x14ac:dyDescent="0.15">
      <c r="A4" s="9" t="s">
        <v>148</v>
      </c>
      <c r="B4" s="140" t="str">
        <f>VLOOKUP(A4,'The List'!B1:D665,3,FALSE)</f>
        <v>G</v>
      </c>
      <c r="C4" s="175">
        <f>RANK(E4,E3:E65)</f>
        <v>2</v>
      </c>
      <c r="D4" s="65" t="str">
        <f>VLOOKUP(A4,'The List'!B1:F665,5,FALSE)</f>
        <v>WPG</v>
      </c>
      <c r="E4" s="54">
        <f>VLOOKUP(A4,'The List'!B1:I665,8,FALSE)</f>
        <v>478.96268741448597</v>
      </c>
      <c r="F4" s="54">
        <f>IF(Settings!$E$15="POINTS",E4-VLOOKUP(B$2,C1:E65,3,FALSE),J4)</f>
        <v>68.302944645065793</v>
      </c>
      <c r="G4" s="54"/>
      <c r="H4" s="167">
        <f>RANK(I4,I3:I65)</f>
        <v>1</v>
      </c>
      <c r="I4" s="168">
        <f>VLOOKUP(A4,'Standard Deviations'!A1:C666,3,FALSE)</f>
        <v>8.6636303519561348</v>
      </c>
      <c r="J4" s="168">
        <f>I4-VLOOKUP(B$2,H1:J65,2,FALSE)</f>
        <v>4.3104160515644132</v>
      </c>
    </row>
    <row r="5" spans="1:10" ht="21.25" customHeight="1" x14ac:dyDescent="0.15">
      <c r="A5" s="9" t="s">
        <v>149</v>
      </c>
      <c r="B5" s="140" t="str">
        <f>VLOOKUP(A5,'The List'!B1:D665,3,FALSE)</f>
        <v>G</v>
      </c>
      <c r="C5" s="175">
        <f>RANK(E5,E3:E65)</f>
        <v>3</v>
      </c>
      <c r="D5" s="65" t="str">
        <f>VLOOKUP(A5,'The List'!B1:F665,5,FALSE)</f>
        <v>NSH</v>
      </c>
      <c r="E5" s="54">
        <f>VLOOKUP(A5,'The List'!B1:I665,8,FALSE)</f>
        <v>478.53225854502034</v>
      </c>
      <c r="F5" s="54">
        <f>IF(Settings!$E$15="POINTS",E5-VLOOKUP(B$2,C1:E65,3,FALSE),J5)</f>
        <v>67.872515775600164</v>
      </c>
      <c r="G5" s="54"/>
      <c r="H5" s="167">
        <f>RANK(I5,I3:I65)</f>
        <v>5</v>
      </c>
      <c r="I5" s="168">
        <f>VLOOKUP(A5,'Standard Deviations'!A1:C666,3,FALSE)</f>
        <v>6.4540708227377266</v>
      </c>
      <c r="J5" s="168">
        <f>I5-VLOOKUP(B$2,H1:J65,2,FALSE)</f>
        <v>2.100856522346005</v>
      </c>
    </row>
    <row r="6" spans="1:10" ht="21.25" customHeight="1" x14ac:dyDescent="0.15">
      <c r="A6" s="9" t="s">
        <v>170</v>
      </c>
      <c r="B6" s="140" t="str">
        <f>VLOOKUP(A6,'The List'!B1:D665,3,FALSE)</f>
        <v>G</v>
      </c>
      <c r="C6" s="175">
        <f>RANK(E6,E3:E65)</f>
        <v>4</v>
      </c>
      <c r="D6" s="65" t="str">
        <f>VLOOKUP(A6,'The List'!B1:F665,5,FALSE)</f>
        <v>DAL</v>
      </c>
      <c r="E6" s="54">
        <f>VLOOKUP(A6,'The List'!B1:I665,8,FALSE)</f>
        <v>440.21723575426398</v>
      </c>
      <c r="F6" s="54">
        <f>IF(Settings!$E$15="POINTS",E6-VLOOKUP(B$2,C1:E65,3,FALSE),J6)</f>
        <v>29.557492984843805</v>
      </c>
      <c r="G6" s="54"/>
      <c r="H6" s="167">
        <f>RANK(I6,I3:I65)</f>
        <v>4</v>
      </c>
      <c r="I6" s="168">
        <f>VLOOKUP(A6,'Standard Deviations'!A1:C666,3,FALSE)</f>
        <v>6.5002213311630985</v>
      </c>
      <c r="J6" s="168">
        <f>I6-VLOOKUP(B$2,H1:J65,2,FALSE)</f>
        <v>2.1470070307713769</v>
      </c>
    </row>
    <row r="7" spans="1:10" ht="21.25" customHeight="1" x14ac:dyDescent="0.15">
      <c r="A7" s="9" t="s">
        <v>176</v>
      </c>
      <c r="B7" s="140" t="str">
        <f>VLOOKUP(A7,'The List'!B1:D665,3,FALSE)</f>
        <v>G</v>
      </c>
      <c r="C7" s="175">
        <f>RANK(E7,E3:E65)</f>
        <v>5</v>
      </c>
      <c r="D7" s="65" t="str">
        <f>VLOOKUP(A7,'The List'!B1:F665,5,FALSE)</f>
        <v>T.B</v>
      </c>
      <c r="E7" s="54">
        <f>VLOOKUP(A7,'The List'!B1:I665,8,FALSE)</f>
        <v>435.24559926541372</v>
      </c>
      <c r="F7" s="54">
        <f>IF(Settings!$E$15="POINTS",E7-VLOOKUP(B$2,C1:E65,3,FALSE),J7)</f>
        <v>24.585856495993539</v>
      </c>
      <c r="G7" s="54"/>
      <c r="H7" s="167">
        <f>RANK(I7,I3:I65)</f>
        <v>11</v>
      </c>
      <c r="I7" s="168">
        <f>VLOOKUP(A7,'Standard Deviations'!A1:C666,3,FALSE)</f>
        <v>4.3290374029112622</v>
      </c>
      <c r="J7" s="168">
        <f>I7-VLOOKUP(B$2,H1:J65,2,FALSE)</f>
        <v>-2.4176897480459481E-2</v>
      </c>
    </row>
    <row r="8" spans="1:10" ht="21.25" customHeight="1" x14ac:dyDescent="0.15">
      <c r="A8" s="9" t="s">
        <v>189</v>
      </c>
      <c r="B8" s="140" t="str">
        <f>VLOOKUP(A8,'The List'!B1:D665,3,FALSE)</f>
        <v>G</v>
      </c>
      <c r="C8" s="175">
        <f>RANK(E8,E3:E65)</f>
        <v>6</v>
      </c>
      <c r="D8" s="65" t="str">
        <f>VLOOKUP(A8,'The List'!B1:F665,5,FALSE)</f>
        <v>EDM</v>
      </c>
      <c r="E8" s="54">
        <f>VLOOKUP(A8,'The List'!B1:I665,8,FALSE)</f>
        <v>419.00052440300192</v>
      </c>
      <c r="F8" s="54">
        <f>IF(Settings!$E$15="POINTS",E8-VLOOKUP(B$2,C1:E65,3,FALSE),J8)</f>
        <v>8.3407816335817415</v>
      </c>
      <c r="G8" s="54"/>
      <c r="H8" s="167">
        <f>RANK(I8,I3:I65)</f>
        <v>10</v>
      </c>
      <c r="I8" s="168">
        <f>VLOOKUP(A8,'Standard Deviations'!A1:C666,3,FALSE)</f>
        <v>4.3532143003917216</v>
      </c>
      <c r="J8" s="168">
        <f>I8-VLOOKUP(B$2,H1:J65,2,FALSE)</f>
        <v>0</v>
      </c>
    </row>
    <row r="9" spans="1:10" ht="21.25" customHeight="1" x14ac:dyDescent="0.15">
      <c r="A9" s="9" t="s">
        <v>192</v>
      </c>
      <c r="B9" s="140" t="str">
        <f>VLOOKUP(A9,'The List'!B1:D665,3,FALSE)</f>
        <v>G</v>
      </c>
      <c r="C9" s="175">
        <f>RANK(E9,E3:E65)</f>
        <v>7</v>
      </c>
      <c r="D9" s="65" t="str">
        <f>VLOOKUP(A9,'The List'!B1:F665,5,FALSE)</f>
        <v>BOS</v>
      </c>
      <c r="E9" s="54">
        <f>VLOOKUP(A9,'The List'!B1:I665,8,FALSE)</f>
        <v>413.52137223545151</v>
      </c>
      <c r="F9" s="54">
        <f>IF(Settings!$E$15="POINTS",E9-VLOOKUP(B$2,C1:E65,3,FALSE),J9)</f>
        <v>2.8616294660313315</v>
      </c>
      <c r="G9" s="54"/>
      <c r="H9" s="167">
        <f>RANK(I9,I3:I65)</f>
        <v>7</v>
      </c>
      <c r="I9" s="168">
        <f>VLOOKUP(A9,'Standard Deviations'!A1:C666,3,FALSE)</f>
        <v>5.8478690226514196</v>
      </c>
      <c r="J9" s="168">
        <f>I9-VLOOKUP(B$2,H1:J65,2,FALSE)</f>
        <v>1.494654722259698</v>
      </c>
    </row>
    <row r="10" spans="1:10" ht="21.25" customHeight="1" x14ac:dyDescent="0.15">
      <c r="A10" s="9" t="s">
        <v>194</v>
      </c>
      <c r="B10" s="140" t="str">
        <f>VLOOKUP(A10,'The List'!B1:D665,3,FALSE)</f>
        <v>G</v>
      </c>
      <c r="C10" s="175">
        <f>RANK(E10,E3:E65)</f>
        <v>8</v>
      </c>
      <c r="D10" s="65" t="str">
        <f>VLOOKUP(A10,'The List'!B1:F665,5,FALSE)</f>
        <v>N.J</v>
      </c>
      <c r="E10" s="54">
        <f>VLOOKUP(A10,'The List'!B1:I665,8,FALSE)</f>
        <v>411.92488114536297</v>
      </c>
      <c r="F10" s="54">
        <f>IF(Settings!$E$15="POINTS",E10-VLOOKUP(B$2,C1:E65,3,FALSE),J10)</f>
        <v>1.2651383759427972</v>
      </c>
      <c r="G10" s="54"/>
      <c r="H10" s="167">
        <f>RANK(I10,I3:I65)</f>
        <v>9</v>
      </c>
      <c r="I10" s="168">
        <f>VLOOKUP(A10,'Standard Deviations'!A1:C666,3,FALSE)</f>
        <v>4.4583426012971552</v>
      </c>
      <c r="J10" s="168">
        <f>I10-VLOOKUP(B$2,H1:J65,2,FALSE)</f>
        <v>0.10512830090543357</v>
      </c>
    </row>
    <row r="11" spans="1:10" ht="21.25" customHeight="1" x14ac:dyDescent="0.15">
      <c r="A11" s="9" t="s">
        <v>196</v>
      </c>
      <c r="B11" s="140" t="str">
        <f>VLOOKUP(A11,'The List'!B1:D665,3,FALSE)</f>
        <v>G</v>
      </c>
      <c r="C11" s="175">
        <f>RANK(E11,E3:E65)</f>
        <v>9</v>
      </c>
      <c r="D11" s="65" t="str">
        <f>VLOOKUP(A11,'The List'!B1:F665,5,FALSE)</f>
        <v>VAN</v>
      </c>
      <c r="E11" s="54">
        <f>VLOOKUP(A11,'The List'!B1:I665,8,FALSE)</f>
        <v>410.88672740280515</v>
      </c>
      <c r="F11" s="54">
        <f>IF(Settings!$E$15="POINTS",E11-VLOOKUP(B$2,C1:E65,3,FALSE),J11)</f>
        <v>0.22698463338497277</v>
      </c>
      <c r="G11" s="54"/>
      <c r="H11" s="167">
        <f>RANK(I11,I3:I65)</f>
        <v>6</v>
      </c>
      <c r="I11" s="168">
        <f>VLOOKUP(A11,'Standard Deviations'!A1:C666,3,FALSE)</f>
        <v>5.9432577577584471</v>
      </c>
      <c r="J11" s="168">
        <f>I11-VLOOKUP(B$2,H1:J65,2,FALSE)</f>
        <v>1.5900434573667255</v>
      </c>
    </row>
    <row r="12" spans="1:10" ht="21.25" customHeight="1" x14ac:dyDescent="0.15">
      <c r="A12" s="9" t="s">
        <v>199</v>
      </c>
      <c r="B12" s="140" t="str">
        <f>VLOOKUP(A12,'The List'!B1:D665,3,FALSE)</f>
        <v>G</v>
      </c>
      <c r="C12" s="175">
        <f>RANK(E12,E3:E65)</f>
        <v>10</v>
      </c>
      <c r="D12" s="65" t="str">
        <f>VLOOKUP(A12,'The List'!B1:F665,5,FALSE)</f>
        <v>NYI</v>
      </c>
      <c r="E12" s="54">
        <f>VLOOKUP(A12,'The List'!B1:I665,8,FALSE)</f>
        <v>410.65974276942018</v>
      </c>
      <c r="F12" s="54">
        <f>IF(Settings!$E$15="POINTS",E12-VLOOKUP(B$2,C1:E65,3,FALSE),J12)</f>
        <v>0</v>
      </c>
      <c r="G12" s="54"/>
      <c r="H12" s="167">
        <f>RANK(I12,I3:I65)</f>
        <v>3</v>
      </c>
      <c r="I12" s="168">
        <f>VLOOKUP(A12,'Standard Deviations'!A1:C666,3,FALSE)</f>
        <v>6.5167520794242204</v>
      </c>
      <c r="J12" s="168">
        <f>I12-VLOOKUP(B$2,H1:J65,2,FALSE)</f>
        <v>2.1635377790324988</v>
      </c>
    </row>
    <row r="13" spans="1:10" ht="21.25" customHeight="1" x14ac:dyDescent="0.15">
      <c r="A13" s="9" t="s">
        <v>214</v>
      </c>
      <c r="B13" s="140" t="str">
        <f>VLOOKUP(A13,'The List'!B1:D665,3,FALSE)</f>
        <v>G</v>
      </c>
      <c r="C13" s="175">
        <f>RANK(E13,E3:E65)</f>
        <v>11</v>
      </c>
      <c r="D13" s="65" t="str">
        <f>VLOOKUP(A13,'The List'!B1:F665,5,FALSE)</f>
        <v>FLA</v>
      </c>
      <c r="E13" s="54">
        <f>VLOOKUP(A13,'The List'!B1:I665,8,FALSE)</f>
        <v>395.10517732109781</v>
      </c>
      <c r="F13" s="54">
        <f>IF(Settings!$E$15="POINTS",E13-VLOOKUP(B$2,C1:E65,3,FALSE),J13)</f>
        <v>-15.554565448322364</v>
      </c>
      <c r="G13" s="54"/>
      <c r="H13" s="167">
        <f>RANK(I13,I3:I65)</f>
        <v>8</v>
      </c>
      <c r="I13" s="168">
        <f>VLOOKUP(A13,'Standard Deviations'!A1:C666,3,FALSE)</f>
        <v>5.1933694552883889</v>
      </c>
      <c r="J13" s="168">
        <f>I13-VLOOKUP(B$2,H1:J65,2,FALSE)</f>
        <v>0.84015515489666726</v>
      </c>
    </row>
    <row r="14" spans="1:10" ht="21.25" customHeight="1" x14ac:dyDescent="0.15">
      <c r="A14" s="9" t="s">
        <v>228</v>
      </c>
      <c r="B14" s="140" t="str">
        <f>VLOOKUP(A14,'The List'!B1:D665,3,FALSE)</f>
        <v>G</v>
      </c>
      <c r="C14" s="175">
        <f>RANK(E14,E3:E65)</f>
        <v>12</v>
      </c>
      <c r="D14" s="65" t="str">
        <f>VLOOKUP(A14,'The List'!B1:F665,5,FALSE)</f>
        <v>COL</v>
      </c>
      <c r="E14" s="54">
        <f>VLOOKUP(A14,'The List'!B1:I665,8,FALSE)</f>
        <v>383.09494736938132</v>
      </c>
      <c r="F14" s="54">
        <f>IF(Settings!$E$15="POINTS",E14-VLOOKUP(B$2,C1:E65,3,FALSE),J14)</f>
        <v>-27.564795400038861</v>
      </c>
      <c r="G14" s="54"/>
      <c r="H14" s="167">
        <f>RANK(I14,I3:I65)</f>
        <v>18</v>
      </c>
      <c r="I14" s="168">
        <f>VLOOKUP(A14,'Standard Deviations'!A1:C666,3,FALSE)</f>
        <v>2.5840682170111791</v>
      </c>
      <c r="J14" s="168">
        <f>I14-VLOOKUP(B$2,H1:J65,2,FALSE)</f>
        <v>-1.7691460833805426</v>
      </c>
    </row>
    <row r="15" spans="1:10" ht="21.25" customHeight="1" x14ac:dyDescent="0.15">
      <c r="A15" s="9" t="s">
        <v>237</v>
      </c>
      <c r="B15" s="140" t="str">
        <f>VLOOKUP(A15,'The List'!B1:D665,3,FALSE)</f>
        <v>G</v>
      </c>
      <c r="C15" s="175">
        <f>RANK(E15,E3:E65)</f>
        <v>13</v>
      </c>
      <c r="D15" s="65" t="str">
        <f>VLOOKUP(A15,'The List'!B1:F665,5,FALSE)</f>
        <v>STL</v>
      </c>
      <c r="E15" s="54">
        <f>VLOOKUP(A15,'The List'!B1:I665,8,FALSE)</f>
        <v>373.59645672844908</v>
      </c>
      <c r="F15" s="54">
        <f>IF(Settings!$E$15="POINTS",E15-VLOOKUP(B$2,C1:E65,3,FALSE),J15)</f>
        <v>-37.063286040971093</v>
      </c>
      <c r="G15" s="54"/>
      <c r="H15" s="167">
        <f>RANK(I15,I3:I65)</f>
        <v>27</v>
      </c>
      <c r="I15" s="168">
        <f>VLOOKUP(A15,'Standard Deviations'!A1:C666,3,FALSE)</f>
        <v>0.35596349728063559</v>
      </c>
      <c r="J15" s="168">
        <f>I15-VLOOKUP(B$2,H1:J65,2,FALSE)</f>
        <v>-3.9972508031110863</v>
      </c>
    </row>
    <row r="16" spans="1:10" ht="21.25" customHeight="1" x14ac:dyDescent="0.15">
      <c r="A16" s="9" t="s">
        <v>246</v>
      </c>
      <c r="B16" s="140" t="str">
        <f>VLOOKUP(A16,'The List'!B1:D665,3,FALSE)</f>
        <v>G</v>
      </c>
      <c r="C16" s="175">
        <f>RANK(E16,E3:E65)</f>
        <v>14</v>
      </c>
      <c r="D16" s="65" t="str">
        <f>VLOOKUP(A16,'The List'!B1:F665,5,FALSE)</f>
        <v>OTT</v>
      </c>
      <c r="E16" s="54">
        <f>VLOOKUP(A16,'The List'!B1:I665,8,FALSE)</f>
        <v>368.95700931581428</v>
      </c>
      <c r="F16" s="54">
        <f>IF(Settings!$E$15="POINTS",E16-VLOOKUP(B$2,C1:E65,3,FALSE),J16)</f>
        <v>-41.702733453605902</v>
      </c>
      <c r="G16" s="54"/>
      <c r="H16" s="167">
        <f>RANK(I16,I3:I65)</f>
        <v>13</v>
      </c>
      <c r="I16" s="168">
        <f>VLOOKUP(A16,'Standard Deviations'!A1:C666,3,FALSE)</f>
        <v>4.0943785336140675</v>
      </c>
      <c r="J16" s="168">
        <f>I16-VLOOKUP(B$2,H1:J65,2,FALSE)</f>
        <v>-0.25883576677765419</v>
      </c>
    </row>
    <row r="17" spans="1:10" ht="21.25" customHeight="1" x14ac:dyDescent="0.15">
      <c r="A17" s="9" t="s">
        <v>274</v>
      </c>
      <c r="B17" s="140" t="str">
        <f>VLOOKUP(A17,'The List'!B1:D665,3,FALSE)</f>
        <v>G</v>
      </c>
      <c r="C17" s="175">
        <f>RANK(E17,E3:E65)</f>
        <v>15</v>
      </c>
      <c r="D17" s="65" t="str">
        <f>VLOOKUP(A17,'The List'!B1:F665,5,FALSE)</f>
        <v>PIT</v>
      </c>
      <c r="E17" s="54">
        <f>VLOOKUP(A17,'The List'!B1:I665,8,FALSE)</f>
        <v>341.3711975496073</v>
      </c>
      <c r="F17" s="54">
        <f>IF(Settings!$E$15="POINTS",E17-VLOOKUP(B$2,C1:E65,3,FALSE),J17)</f>
        <v>-69.288545219812875</v>
      </c>
      <c r="G17" s="54"/>
      <c r="H17" s="167">
        <f>RANK(I17,I3:I65)</f>
        <v>23</v>
      </c>
      <c r="I17" s="168">
        <f>VLOOKUP(A17,'Standard Deviations'!A1:C666,3,FALSE)</f>
        <v>1.2220955943407126</v>
      </c>
      <c r="J17" s="168">
        <f>I17-VLOOKUP(B$2,H1:J65,2,FALSE)</f>
        <v>-3.1311187060510091</v>
      </c>
    </row>
    <row r="18" spans="1:10" ht="21.25" customHeight="1" x14ac:dyDescent="0.15">
      <c r="A18" s="9" t="s">
        <v>276</v>
      </c>
      <c r="B18" s="140" t="str">
        <f>VLOOKUP(A18,'The List'!B1:D665,3,FALSE)</f>
        <v>G</v>
      </c>
      <c r="C18" s="175">
        <f>RANK(E18,E3:E65)</f>
        <v>16</v>
      </c>
      <c r="D18" s="65" t="str">
        <f>VLOOKUP(A18,'The List'!B1:F665,5,FALSE)</f>
        <v>VGK</v>
      </c>
      <c r="E18" s="54">
        <f>VLOOKUP(A18,'The List'!B1:I665,8,FALSE)</f>
        <v>339.87774425593398</v>
      </c>
      <c r="F18" s="54">
        <f>IF(Settings!$E$15="POINTS",E18-VLOOKUP(B$2,C1:E65,3,FALSE),J18)</f>
        <v>-70.781998513486201</v>
      </c>
      <c r="G18" s="54"/>
      <c r="H18" s="167">
        <f>RANK(I18,I3:I65)</f>
        <v>14</v>
      </c>
      <c r="I18" s="168">
        <f>VLOOKUP(A18,'Standard Deviations'!A1:C666,3,FALSE)</f>
        <v>3.2612234079022406</v>
      </c>
      <c r="J18" s="168">
        <f>I18-VLOOKUP(B$2,H1:J65,2,FALSE)</f>
        <v>-1.091990892489481</v>
      </c>
    </row>
    <row r="19" spans="1:10" ht="21.25" customHeight="1" x14ac:dyDescent="0.15">
      <c r="A19" s="9" t="s">
        <v>278</v>
      </c>
      <c r="B19" s="140" t="str">
        <f>VLOOKUP(A19,'The List'!B1:D665,3,FALSE)</f>
        <v>G</v>
      </c>
      <c r="C19" s="175">
        <f>RANK(E19,E3:E65)</f>
        <v>17</v>
      </c>
      <c r="D19" s="65" t="str">
        <f>VLOOKUP(A19,'The List'!B1:F665,5,FALSE)</f>
        <v>UTA</v>
      </c>
      <c r="E19" s="54">
        <f>VLOOKUP(A19,'The List'!B1:I665,8,FALSE)</f>
        <v>338.53106992564858</v>
      </c>
      <c r="F19" s="54">
        <f>IF(Settings!$E$15="POINTS",E19-VLOOKUP(B$2,C1:E65,3,FALSE),J19)</f>
        <v>-72.128672843771596</v>
      </c>
      <c r="G19" s="54"/>
      <c r="H19" s="167">
        <f>RANK(I19,I3:I65)</f>
        <v>22</v>
      </c>
      <c r="I19" s="168">
        <f>VLOOKUP(A19,'Standard Deviations'!A1:C666,3,FALSE)</f>
        <v>1.5802856458691525</v>
      </c>
      <c r="J19" s="168">
        <f>I19-VLOOKUP(B$2,H1:J65,2,FALSE)</f>
        <v>-2.7729286545225689</v>
      </c>
    </row>
    <row r="20" spans="1:10" ht="21.25" customHeight="1" x14ac:dyDescent="0.15">
      <c r="A20" s="9" t="s">
        <v>285</v>
      </c>
      <c r="B20" s="140" t="str">
        <f>VLOOKUP(A20,'The List'!B1:D665,3,FALSE)</f>
        <v>G</v>
      </c>
      <c r="C20" s="175">
        <f>RANK(E20,E3:E65)</f>
        <v>18</v>
      </c>
      <c r="D20" s="65" t="str">
        <f>VLOOKUP(A20,'The List'!B1:F665,5,FALSE)</f>
        <v>TOR</v>
      </c>
      <c r="E20" s="54">
        <f>VLOOKUP(A20,'The List'!B1:I665,8,FALSE)</f>
        <v>332.98755396390584</v>
      </c>
      <c r="F20" s="54">
        <f>IF(Settings!$E$15="POINTS",E20-VLOOKUP(B$2,C1:E65,3,FALSE),J20)</f>
        <v>-77.672188805514338</v>
      </c>
      <c r="G20" s="54"/>
      <c r="H20" s="167">
        <f>RANK(I20,I3:I65)</f>
        <v>16</v>
      </c>
      <c r="I20" s="168">
        <f>VLOOKUP(A20,'Standard Deviations'!A1:C666,3,FALSE)</f>
        <v>3.0977932304256566</v>
      </c>
      <c r="J20" s="168">
        <f>I20-VLOOKUP(B$2,H1:J65,2,FALSE)</f>
        <v>-1.2554210699660651</v>
      </c>
    </row>
    <row r="21" spans="1:10" ht="21.25" customHeight="1" x14ac:dyDescent="0.15">
      <c r="A21" s="9" t="s">
        <v>290</v>
      </c>
      <c r="B21" s="140" t="str">
        <f>VLOOKUP(A21,'The List'!B1:D665,3,FALSE)</f>
        <v>G</v>
      </c>
      <c r="C21" s="175">
        <f>RANK(E21,E3:E65)</f>
        <v>19</v>
      </c>
      <c r="D21" s="65" t="str">
        <f>VLOOKUP(A21,'The List'!B1:F665,5,FALSE)</f>
        <v>L.A</v>
      </c>
      <c r="E21" s="54">
        <f>VLOOKUP(A21,'The List'!B1:I665,8,FALSE)</f>
        <v>328.61454433665597</v>
      </c>
      <c r="F21" s="54">
        <f>IF(Settings!$E$15="POINTS",E21-VLOOKUP(B$2,C1:E65,3,FALSE),J21)</f>
        <v>-82.045198432764209</v>
      </c>
      <c r="G21" s="54"/>
      <c r="H21" s="167">
        <f>RANK(I21,I3:I65)</f>
        <v>17</v>
      </c>
      <c r="I21" s="168">
        <f>VLOOKUP(A21,'Standard Deviations'!A1:C666,3,FALSE)</f>
        <v>2.6190855205797461</v>
      </c>
      <c r="J21" s="168">
        <f>I21-VLOOKUP(B$2,H1:J65,2,FALSE)</f>
        <v>-1.7341287798119756</v>
      </c>
    </row>
    <row r="22" spans="1:10" ht="21.25" customHeight="1" x14ac:dyDescent="0.15">
      <c r="A22" s="9" t="s">
        <v>292</v>
      </c>
      <c r="B22" s="140" t="str">
        <f>VLOOKUP(A22,'The List'!B1:D665,3,FALSE)</f>
        <v>G</v>
      </c>
      <c r="C22" s="175">
        <f>RANK(E22,E3:E65)</f>
        <v>20</v>
      </c>
      <c r="D22" s="65" t="str">
        <f>VLOOKUP(A22,'The List'!B1:F665,5,FALSE)</f>
        <v>MIN</v>
      </c>
      <c r="E22" s="54">
        <f>VLOOKUP(A22,'The List'!B1:I665,8,FALSE)</f>
        <v>327.66893085394713</v>
      </c>
      <c r="F22" s="54">
        <f>IF(Settings!$E$15="POINTS",E22-VLOOKUP(B$2,C1:E65,3,FALSE),J22)</f>
        <v>-82.990811915473046</v>
      </c>
      <c r="G22" s="54"/>
      <c r="H22" s="167">
        <f>RANK(I22,I3:I65)</f>
        <v>12</v>
      </c>
      <c r="I22" s="168">
        <f>VLOOKUP(A22,'Standard Deviations'!A1:C666,3,FALSE)</f>
        <v>4.26114802858483</v>
      </c>
      <c r="J22" s="168">
        <f>I22-VLOOKUP(B$2,H1:J65,2,FALSE)</f>
        <v>-9.2066271806891642E-2</v>
      </c>
    </row>
    <row r="23" spans="1:10" ht="21.25" customHeight="1" x14ac:dyDescent="0.15">
      <c r="A23" s="9" t="s">
        <v>302</v>
      </c>
      <c r="B23" s="140" t="str">
        <f>VLOOKUP(A23,'The List'!B1:D665,3,FALSE)</f>
        <v>G</v>
      </c>
      <c r="C23" s="175">
        <f>RANK(E23,E3:E65)</f>
        <v>21</v>
      </c>
      <c r="D23" s="65" t="str">
        <f>VLOOKUP(A23,'The List'!B1:F665,5,FALSE)</f>
        <v>MTL</v>
      </c>
      <c r="E23" s="54">
        <f>VLOOKUP(A23,'The List'!B1:I665,8,FALSE)</f>
        <v>318.73714650396056</v>
      </c>
      <c r="F23" s="54">
        <f>IF(Settings!$E$15="POINTS",E23-VLOOKUP(B$2,C1:E65,3,FALSE),J23)</f>
        <v>-91.922596265459617</v>
      </c>
      <c r="G23" s="54"/>
      <c r="H23" s="167">
        <f>RANK(I23,I3:I65)</f>
        <v>40</v>
      </c>
      <c r="I23" s="168">
        <f>VLOOKUP(A23,'Standard Deviations'!A1:C666,3,FALSE)</f>
        <v>-1.7892207677614191</v>
      </c>
      <c r="J23" s="168">
        <f>I23-VLOOKUP(B$2,H1:J65,2,FALSE)</f>
        <v>-6.1424350681531408</v>
      </c>
    </row>
    <row r="24" spans="1:10" ht="21.25" customHeight="1" x14ac:dyDescent="0.15">
      <c r="A24" s="9" t="s">
        <v>317</v>
      </c>
      <c r="B24" s="140" t="str">
        <f>VLOOKUP(A24,'The List'!B1:D665,3,FALSE)</f>
        <v>G</v>
      </c>
      <c r="C24" s="175">
        <f>RANK(E24,E3:E65)</f>
        <v>22</v>
      </c>
      <c r="D24" s="65" t="str">
        <f>VLOOKUP(A24,'The List'!B1:F665,5,FALSE)</f>
        <v>WSH</v>
      </c>
      <c r="E24" s="54">
        <f>VLOOKUP(A24,'The List'!B1:I665,8,FALSE)</f>
        <v>307.55265016494923</v>
      </c>
      <c r="F24" s="54">
        <f>IF(Settings!$E$15="POINTS",E24-VLOOKUP(B$2,C1:E65,3,FALSE),J24)</f>
        <v>-103.10709260447095</v>
      </c>
      <c r="G24" s="54"/>
      <c r="H24" s="167">
        <f>RANK(I24,I3:I65)</f>
        <v>24</v>
      </c>
      <c r="I24" s="168">
        <f>VLOOKUP(A24,'Standard Deviations'!A1:C666,3,FALSE)</f>
        <v>0.73550393762281641</v>
      </c>
      <c r="J24" s="168">
        <f>I24-VLOOKUP(B$2,H1:J65,2,FALSE)</f>
        <v>-3.6177103627689053</v>
      </c>
    </row>
    <row r="25" spans="1:10" ht="21.25" customHeight="1" x14ac:dyDescent="0.15">
      <c r="A25" s="9" t="s">
        <v>324</v>
      </c>
      <c r="B25" s="140" t="str">
        <f>VLOOKUP(A25,'The List'!B1:D665,3,FALSE)</f>
        <v>G</v>
      </c>
      <c r="C25" s="175">
        <f>RANK(E25,E3:E65)</f>
        <v>23</v>
      </c>
      <c r="D25" s="65" t="str">
        <f>VLOOKUP(A25,'The List'!B1:F665,5,FALSE)</f>
        <v>SEA</v>
      </c>
      <c r="E25" s="54">
        <f>VLOOKUP(A25,'The List'!B1:I665,8,FALSE)</f>
        <v>304.01498437645108</v>
      </c>
      <c r="F25" s="54">
        <f>IF(Settings!$E$15="POINTS",E25-VLOOKUP(B$2,C1:E65,3,FALSE),J25)</f>
        <v>-106.64475839296909</v>
      </c>
      <c r="G25" s="54"/>
      <c r="H25" s="167">
        <f>RANK(I25,I3:I65)</f>
        <v>20</v>
      </c>
      <c r="I25" s="168">
        <f>VLOOKUP(A25,'Standard Deviations'!A1:C666,3,FALSE)</f>
        <v>2.4244633534641049</v>
      </c>
      <c r="J25" s="168">
        <f>I25-VLOOKUP(B$2,H1:J65,2,FALSE)</f>
        <v>-1.9287509469276167</v>
      </c>
    </row>
    <row r="26" spans="1:10" ht="21.25" customHeight="1" x14ac:dyDescent="0.15">
      <c r="A26" s="9" t="s">
        <v>345</v>
      </c>
      <c r="B26" s="140" t="str">
        <f>VLOOKUP(A26,'The List'!B1:D665,3,FALSE)</f>
        <v>G</v>
      </c>
      <c r="C26" s="175">
        <f>RANK(E26,E3:E65)</f>
        <v>24</v>
      </c>
      <c r="D26" s="65" t="str">
        <f>VLOOKUP(A26,'The List'!B1:F665,5,FALSE)</f>
        <v>BUF</v>
      </c>
      <c r="E26" s="54">
        <f>VLOOKUP(A26,'The List'!B1:I665,8,FALSE)</f>
        <v>291.81682335679108</v>
      </c>
      <c r="F26" s="54">
        <f>IF(Settings!$E$15="POINTS",E26-VLOOKUP(B$2,C1:E65,3,FALSE),J26)</f>
        <v>-118.8429194126291</v>
      </c>
      <c r="G26" s="54"/>
      <c r="H26" s="167">
        <f>RANK(I26,I3:I65)</f>
        <v>33</v>
      </c>
      <c r="I26" s="168">
        <f>VLOOKUP(A26,'Standard Deviations'!A1:C666,3,FALSE)</f>
        <v>-0.93284163644502827</v>
      </c>
      <c r="J26" s="168">
        <f>I26-VLOOKUP(B$2,H1:J65,2,FALSE)</f>
        <v>-5.2860559368367497</v>
      </c>
    </row>
    <row r="27" spans="1:10" ht="21.25" customHeight="1" x14ac:dyDescent="0.15">
      <c r="A27" s="9" t="s">
        <v>347</v>
      </c>
      <c r="B27" s="140" t="str">
        <f>VLOOKUP(A27,'The List'!B1:D665,3,FALSE)</f>
        <v>G</v>
      </c>
      <c r="C27" s="175">
        <f>RANK(E27,E3:E65)</f>
        <v>25</v>
      </c>
      <c r="D27" s="65" t="str">
        <f>VLOOKUP(A27,'The List'!B1:F665,5,FALSE)</f>
        <v>CAR</v>
      </c>
      <c r="E27" s="54">
        <f>VLOOKUP(A27,'The List'!B1:I665,8,FALSE)</f>
        <v>290.34842446118802</v>
      </c>
      <c r="F27" s="54">
        <f>IF(Settings!$E$15="POINTS",E27-VLOOKUP(B$2,C1:E65,3,FALSE),J27)</f>
        <v>-120.31131830823216</v>
      </c>
      <c r="G27" s="54"/>
      <c r="H27" s="167">
        <f>RANK(I27,I3:I65)</f>
        <v>15</v>
      </c>
      <c r="I27" s="168">
        <f>VLOOKUP(A27,'Standard Deviations'!A1:C666,3,FALSE)</f>
        <v>3.1465548857449206</v>
      </c>
      <c r="J27" s="168">
        <f>I27-VLOOKUP(B$2,H1:J65,2,FALSE)</f>
        <v>-1.206659414646801</v>
      </c>
    </row>
    <row r="28" spans="1:10" ht="21.25" customHeight="1" x14ac:dyDescent="0.15">
      <c r="A28" s="9" t="s">
        <v>350</v>
      </c>
      <c r="B28" s="140" t="str">
        <f>VLOOKUP(A28,'The List'!B1:D665,3,FALSE)</f>
        <v>G</v>
      </c>
      <c r="C28" s="175">
        <f>RANK(E28,E3:E65)</f>
        <v>26</v>
      </c>
      <c r="D28" s="65" t="str">
        <f>VLOOKUP(A28,'The List'!B1:F665,5,FALSE)</f>
        <v>S.J</v>
      </c>
      <c r="E28" s="54">
        <f>VLOOKUP(A28,'The List'!B1:I665,8,FALSE)</f>
        <v>289.35458137482397</v>
      </c>
      <c r="F28" s="54">
        <f>IF(Settings!$E$15="POINTS",E28-VLOOKUP(B$2,C1:E65,3,FALSE),J28)</f>
        <v>-121.30516139459621</v>
      </c>
      <c r="G28" s="54"/>
      <c r="H28" s="167">
        <f>RANK(I28,I3:I65)</f>
        <v>51</v>
      </c>
      <c r="I28" s="168">
        <f>VLOOKUP(A28,'Standard Deviations'!A1:C666,3,FALSE)</f>
        <v>-3.2861315386298084</v>
      </c>
      <c r="J28" s="168">
        <f>I28-VLOOKUP(B$2,H1:J65,2,FALSE)</f>
        <v>-7.6393458390215301</v>
      </c>
    </row>
    <row r="29" spans="1:10" ht="21.25" customHeight="1" x14ac:dyDescent="0.15">
      <c r="A29" s="9" t="s">
        <v>353</v>
      </c>
      <c r="B29" s="140" t="str">
        <f>VLOOKUP(A29,'The List'!B1:D665,3,FALSE)</f>
        <v>G</v>
      </c>
      <c r="C29" s="175">
        <f>RANK(E29,E3:E65)</f>
        <v>27</v>
      </c>
      <c r="D29" s="65" t="str">
        <f>VLOOKUP(A29,'The List'!B1:F665,5,FALSE)</f>
        <v>CBJ</v>
      </c>
      <c r="E29" s="54">
        <f>VLOOKUP(A29,'The List'!B1:I665,8,FALSE)</f>
        <v>288.27038900851528</v>
      </c>
      <c r="F29" s="54">
        <f>IF(Settings!$E$15="POINTS",E29-VLOOKUP(B$2,C1:E65,3,FALSE),J29)</f>
        <v>-122.3893537609049</v>
      </c>
      <c r="G29" s="54"/>
      <c r="H29" s="167">
        <f>RANK(I29,I3:I65)</f>
        <v>57</v>
      </c>
      <c r="I29" s="168">
        <f>VLOOKUP(A29,'Standard Deviations'!A1:C666,3,FALSE)</f>
        <v>-4.3281619845166333</v>
      </c>
      <c r="J29" s="168">
        <f>I29-VLOOKUP(B$2,H1:J65,2,FALSE)</f>
        <v>-8.6813762849083549</v>
      </c>
    </row>
    <row r="30" spans="1:10" ht="21.25" customHeight="1" x14ac:dyDescent="0.15">
      <c r="A30" s="9" t="s">
        <v>359</v>
      </c>
      <c r="B30" s="140" t="str">
        <f>VLOOKUP(A30,'The List'!B1:D665,3,FALSE)</f>
        <v>G</v>
      </c>
      <c r="C30" s="175">
        <f>RANK(E30,E3:E65)</f>
        <v>28</v>
      </c>
      <c r="D30" s="65" t="str">
        <f>VLOOKUP(A30,'The List'!B1:F665,5,FALSE)</f>
        <v>DET</v>
      </c>
      <c r="E30" s="54">
        <f>VLOOKUP(A30,'The List'!B1:I665,8,FALSE)</f>
        <v>285.60226385770829</v>
      </c>
      <c r="F30" s="54">
        <f>IF(Settings!$E$15="POINTS",E30-VLOOKUP(B$2,C1:E65,3,FALSE),J30)</f>
        <v>-125.05747891171188</v>
      </c>
      <c r="G30" s="54"/>
      <c r="H30" s="167">
        <f>RANK(I30,I3:I65)</f>
        <v>30</v>
      </c>
      <c r="I30" s="168">
        <f>VLOOKUP(A30,'Standard Deviations'!A1:C666,3,FALSE)</f>
        <v>-0.72168651741406054</v>
      </c>
      <c r="J30" s="168">
        <f>I30-VLOOKUP(B$2,H1:J65,2,FALSE)</f>
        <v>-5.0749008178057817</v>
      </c>
    </row>
    <row r="31" spans="1:10" ht="21.25" customHeight="1" x14ac:dyDescent="0.15">
      <c r="A31" s="9" t="s">
        <v>363</v>
      </c>
      <c r="B31" s="140" t="str">
        <f>VLOOKUP(A31,'The List'!B1:D665,3,FALSE)</f>
        <v>G</v>
      </c>
      <c r="C31" s="175">
        <f>RANK(E31,E3:E65)</f>
        <v>29</v>
      </c>
      <c r="D31" s="65" t="str">
        <f>VLOOKUP(A31,'The List'!B1:F665,5,FALSE)</f>
        <v>CAR</v>
      </c>
      <c r="E31" s="54">
        <f>VLOOKUP(A31,'The List'!B1:I665,8,FALSE)</f>
        <v>283.70654506963348</v>
      </c>
      <c r="F31" s="54">
        <f>IF(Settings!$E$15="POINTS",E31-VLOOKUP(B$2,C1:E65,3,FALSE),J31)</f>
        <v>-126.9531976997867</v>
      </c>
      <c r="G31" s="54"/>
      <c r="H31" s="167">
        <f>RANK(I31,I3:I65)</f>
        <v>19</v>
      </c>
      <c r="I31" s="168">
        <f>VLOOKUP(A31,'Standard Deviations'!A1:C666,3,FALSE)</f>
        <v>2.4453746149426507</v>
      </c>
      <c r="J31" s="168">
        <f>I31-VLOOKUP(B$2,H1:J65,2,FALSE)</f>
        <v>-1.9078396854490709</v>
      </c>
    </row>
    <row r="32" spans="1:10" ht="21.25" customHeight="1" x14ac:dyDescent="0.15">
      <c r="A32" s="9" t="s">
        <v>376</v>
      </c>
      <c r="B32" s="140" t="str">
        <f>VLOOKUP(A32,'The List'!B1:D665,3,FALSE)</f>
        <v>G</v>
      </c>
      <c r="C32" s="175">
        <f>RANK(E32,E3:E65)</f>
        <v>30</v>
      </c>
      <c r="D32" s="65" t="str">
        <f>VLOOKUP(A32,'The List'!B1:F665,5,FALSE)</f>
        <v>PHI</v>
      </c>
      <c r="E32" s="54">
        <f>VLOOKUP(A32,'The List'!B1:I665,8,FALSE)</f>
        <v>279.17353273982332</v>
      </c>
      <c r="F32" s="54">
        <f>IF(Settings!$E$15="POINTS",E32-VLOOKUP(B$2,C1:E65,3,FALSE),J32)</f>
        <v>-131.48621002959686</v>
      </c>
      <c r="G32" s="54"/>
      <c r="H32" s="167">
        <f>RANK(I32,I3:I65)</f>
        <v>32</v>
      </c>
      <c r="I32" s="168">
        <f>VLOOKUP(A32,'Standard Deviations'!A1:C666,3,FALSE)</f>
        <v>-0.85972808979780169</v>
      </c>
      <c r="J32" s="168">
        <f>I32-VLOOKUP(B$2,H1:J65,2,FALSE)</f>
        <v>-5.2129423901895233</v>
      </c>
    </row>
    <row r="33" spans="1:10" ht="21.25" customHeight="1" x14ac:dyDescent="0.15">
      <c r="A33" s="9" t="s">
        <v>404</v>
      </c>
      <c r="B33" s="140" t="str">
        <f>VLOOKUP(A33,'The List'!B1:D665,3,FALSE)</f>
        <v>G</v>
      </c>
      <c r="C33" s="175">
        <f>RANK(E33,E3:E65)</f>
        <v>31</v>
      </c>
      <c r="D33" s="65" t="str">
        <f>VLOOKUP(A33,'The List'!B1:F665,5,FALSE)</f>
        <v>CGY</v>
      </c>
      <c r="E33" s="54">
        <f>VLOOKUP(A33,'The List'!B1:I665,8,FALSE)</f>
        <v>267.32119400874831</v>
      </c>
      <c r="F33" s="54">
        <f>IF(Settings!$E$15="POINTS",E33-VLOOKUP(B$2,C1:E65,3,FALSE),J33)</f>
        <v>-143.33854876067187</v>
      </c>
      <c r="G33" s="54"/>
      <c r="H33" s="167">
        <f>RANK(I33,I3:I65)</f>
        <v>36</v>
      </c>
      <c r="I33" s="168">
        <f>VLOOKUP(A33,'Standard Deviations'!A1:C666,3,FALSE)</f>
        <v>-1.5557250555236881</v>
      </c>
      <c r="J33" s="168">
        <f>I33-VLOOKUP(B$2,H1:J65,2,FALSE)</f>
        <v>-5.9089393559154093</v>
      </c>
    </row>
    <row r="34" spans="1:10" ht="21.25" customHeight="1" x14ac:dyDescent="0.15">
      <c r="A34" s="9" t="s">
        <v>418</v>
      </c>
      <c r="B34" s="140" t="str">
        <f>VLOOKUP(A34,'The List'!B1:D665,3,FALSE)</f>
        <v>G</v>
      </c>
      <c r="C34" s="175">
        <f>RANK(E34,E3:E65)</f>
        <v>33</v>
      </c>
      <c r="D34" s="65" t="str">
        <f>VLOOKUP(A34,'The List'!B1:F665,5,FALSE)</f>
        <v>TOR</v>
      </c>
      <c r="E34" s="54">
        <f>VLOOKUP(A34,'The List'!B1:I665,8,FALSE)</f>
        <v>263.44355849558156</v>
      </c>
      <c r="F34" s="54">
        <f>IF(Settings!$E$15="POINTS",E34-VLOOKUP(B$2,C1:E65,3,FALSE),J34)</f>
        <v>-147.21618427383862</v>
      </c>
      <c r="G34" s="54"/>
      <c r="H34" s="167">
        <f>RANK(I34,I3:I65)</f>
        <v>21</v>
      </c>
      <c r="I34" s="168">
        <f>VLOOKUP(A34,'Standard Deviations'!A1:C666,3,FALSE)</f>
        <v>1.7277426935827096</v>
      </c>
      <c r="J34" s="168">
        <f>I34-VLOOKUP(B$2,H1:J65,2,FALSE)</f>
        <v>-2.625471606809012</v>
      </c>
    </row>
    <row r="35" spans="1:10" ht="21.25" customHeight="1" x14ac:dyDescent="0.15">
      <c r="A35" s="9" t="s">
        <v>414</v>
      </c>
      <c r="B35" s="140" t="str">
        <f>VLOOKUP(A35,'The List'!B1:D665,3,FALSE)</f>
        <v>G</v>
      </c>
      <c r="C35" s="175">
        <f>RANK(E35,E3:E65)</f>
        <v>32</v>
      </c>
      <c r="D35" s="65" t="str">
        <f>VLOOKUP(A35,'The List'!B1:F665,5,FALSE)</f>
        <v>ANA</v>
      </c>
      <c r="E35" s="54">
        <f>VLOOKUP(A35,'The List'!B1:I665,8,FALSE)</f>
        <v>264.37377353250105</v>
      </c>
      <c r="F35" s="54">
        <f>IF(Settings!$E$15="POINTS",E35-VLOOKUP(B$2,C1:E65,3,FALSE),J35)</f>
        <v>-146.28596923691913</v>
      </c>
      <c r="G35" s="54"/>
      <c r="H35" s="167">
        <f>RANK(I35,I3:I65)</f>
        <v>54</v>
      </c>
      <c r="I35" s="168">
        <f>VLOOKUP(A35,'Standard Deviations'!A1:C666,3,FALSE)</f>
        <v>-4.000498368336487</v>
      </c>
      <c r="J35" s="168">
        <f>I35-VLOOKUP(B$2,H1:J65,2,FALSE)</f>
        <v>-8.3537126687282086</v>
      </c>
    </row>
    <row r="36" spans="1:10" ht="21.25" customHeight="1" x14ac:dyDescent="0.15">
      <c r="A36" s="9" t="s">
        <v>438</v>
      </c>
      <c r="B36" s="140" t="str">
        <f>VLOOKUP(A36,'The List'!B1:D665,3,FALSE)</f>
        <v>G</v>
      </c>
      <c r="C36" s="175">
        <f>RANK(E36,E3:E65)</f>
        <v>34</v>
      </c>
      <c r="D36" s="65" t="str">
        <f>VLOOKUP(A36,'The List'!B1:F665,5,FALSE)</f>
        <v>CHI</v>
      </c>
      <c r="E36" s="54">
        <f>VLOOKUP(A36,'The List'!B1:I665,8,FALSE)</f>
        <v>254.96335697612358</v>
      </c>
      <c r="F36" s="54">
        <f>IF(Settings!$E$15="POINTS",E36-VLOOKUP(B$2,C1:E65,3,FALSE),J36)</f>
        <v>-155.6963857932966</v>
      </c>
      <c r="G36" s="54"/>
      <c r="H36" s="167">
        <f>RANK(I36,I3:I65)</f>
        <v>34</v>
      </c>
      <c r="I36" s="168">
        <f>VLOOKUP(A36,'Standard Deviations'!A1:C666,3,FALSE)</f>
        <v>-1.1899498017100549</v>
      </c>
      <c r="J36" s="168">
        <f>I36-VLOOKUP(B$2,H1:J65,2,FALSE)</f>
        <v>-5.5431641021017768</v>
      </c>
    </row>
    <row r="37" spans="1:10" ht="21.25" customHeight="1" x14ac:dyDescent="0.15">
      <c r="A37" s="9" t="s">
        <v>462</v>
      </c>
      <c r="B37" s="140" t="str">
        <f>VLOOKUP(A37,'The List'!B1:D665,3,FALSE)</f>
        <v>G</v>
      </c>
      <c r="C37" s="175">
        <f>RANK(E37,E3:E65)</f>
        <v>35</v>
      </c>
      <c r="D37" s="65" t="str">
        <f>VLOOKUP(A37,'The List'!B1:F665,5,FALSE)</f>
        <v>CHI</v>
      </c>
      <c r="E37" s="54">
        <f>VLOOKUP(A37,'The List'!B1:I665,8,FALSE)</f>
        <v>244.0919819926612</v>
      </c>
      <c r="F37" s="54">
        <f>IF(Settings!$E$15="POINTS",E37-VLOOKUP(B$2,C1:E65,3,FALSE),J37)</f>
        <v>-166.56776077675897</v>
      </c>
      <c r="G37" s="54"/>
      <c r="H37" s="167">
        <f>RANK(I37,I3:I65)</f>
        <v>26</v>
      </c>
      <c r="I37" s="168">
        <f>VLOOKUP(A37,'Standard Deviations'!A1:C666,3,FALSE)</f>
        <v>0.48908045046184712</v>
      </c>
      <c r="J37" s="168">
        <f>I37-VLOOKUP(B$2,H1:J65,2,FALSE)</f>
        <v>-3.8641338499298747</v>
      </c>
    </row>
    <row r="38" spans="1:10" ht="21.25" customHeight="1" x14ac:dyDescent="0.15">
      <c r="A38" s="9" t="s">
        <v>494</v>
      </c>
      <c r="B38" s="140" t="str">
        <f>VLOOKUP(A38,'The List'!B1:D665,3,FALSE)</f>
        <v>G</v>
      </c>
      <c r="C38" s="175">
        <f>RANK(E38,E3:E65)</f>
        <v>36</v>
      </c>
      <c r="D38" s="65" t="str">
        <f>VLOOKUP(A38,'The List'!B1:F665,5,FALSE)</f>
        <v>CGY</v>
      </c>
      <c r="E38" s="54">
        <f>VLOOKUP(A38,'The List'!B1:I665,8,FALSE)</f>
        <v>231.36786141956401</v>
      </c>
      <c r="F38" s="54">
        <f>IF(Settings!$E$15="POINTS",E38-VLOOKUP(B$2,C1:E65,3,FALSE),J38)</f>
        <v>-179.29188134985617</v>
      </c>
      <c r="G38" s="54"/>
      <c r="H38" s="167">
        <f>RANK(I38,I3:I65)</f>
        <v>53</v>
      </c>
      <c r="I38" s="168">
        <f>VLOOKUP(A38,'Standard Deviations'!A1:C666,3,FALSE)</f>
        <v>-3.9837530724102805</v>
      </c>
      <c r="J38" s="168">
        <f>I38-VLOOKUP(B$2,H1:J65,2,FALSE)</f>
        <v>-8.3369673728020022</v>
      </c>
    </row>
    <row r="39" spans="1:10" ht="21.25" customHeight="1" x14ac:dyDescent="0.15">
      <c r="A39" s="9" t="s">
        <v>497</v>
      </c>
      <c r="B39" s="140" t="str">
        <f>VLOOKUP(A39,'The List'!B1:D665,3,FALSE)</f>
        <v>G</v>
      </c>
      <c r="C39" s="175">
        <f>RANK(E39,E3:E65)</f>
        <v>37</v>
      </c>
      <c r="D39" s="65" t="str">
        <f>VLOOKUP(A39,'The List'!B1:F665,5,FALSE)</f>
        <v>ANA</v>
      </c>
      <c r="E39" s="54">
        <f>VLOOKUP(A39,'The List'!B1:I665,8,FALSE)</f>
        <v>230.79636114794891</v>
      </c>
      <c r="F39" s="54">
        <f>IF(Settings!$E$15="POINTS",E39-VLOOKUP(B$2,C1:E65,3,FALSE),J39)</f>
        <v>-179.86338162147126</v>
      </c>
      <c r="G39" s="54"/>
      <c r="H39" s="167">
        <f>RANK(I39,I3:I65)</f>
        <v>45</v>
      </c>
      <c r="I39" s="168">
        <f>VLOOKUP(A39,'Standard Deviations'!A1:C666,3,FALSE)</f>
        <v>-3.0472495309851455</v>
      </c>
      <c r="J39" s="168">
        <f>I39-VLOOKUP(B$2,H1:J65,2,FALSE)</f>
        <v>-7.4004638313768671</v>
      </c>
    </row>
    <row r="40" spans="1:10" ht="21.25" customHeight="1" x14ac:dyDescent="0.15">
      <c r="A40" s="9" t="s">
        <v>509</v>
      </c>
      <c r="B40" s="140" t="str">
        <f>VLOOKUP(A40,'The List'!B1:D665,3,FALSE)</f>
        <v>G</v>
      </c>
      <c r="C40" s="175">
        <f>RANK(E40,E3:E65)</f>
        <v>38</v>
      </c>
      <c r="D40" s="65" t="str">
        <f>VLOOKUP(A40,'The List'!B1:F665,5,FALSE)</f>
        <v>WSH</v>
      </c>
      <c r="E40" s="54">
        <f>VLOOKUP(A40,'The List'!B1:I665,8,FALSE)</f>
        <v>226.18717684822639</v>
      </c>
      <c r="F40" s="54">
        <f>IF(Settings!$E$15="POINTS",E40-VLOOKUP(B$2,C1:E65,3,FALSE),J40)</f>
        <v>-184.47256592119379</v>
      </c>
      <c r="G40" s="54"/>
      <c r="H40" s="167">
        <f>RANK(I40,I3:I65)</f>
        <v>38</v>
      </c>
      <c r="I40" s="168">
        <f>VLOOKUP(A40,'Standard Deviations'!A1:C666,3,FALSE)</f>
        <v>-1.6720850266659204</v>
      </c>
      <c r="J40" s="168">
        <f>I40-VLOOKUP(B$2,H1:J65,2,FALSE)</f>
        <v>-6.0252993270576418</v>
      </c>
    </row>
    <row r="41" spans="1:10" ht="21.25" customHeight="1" x14ac:dyDescent="0.15">
      <c r="A41" s="9" t="s">
        <v>512</v>
      </c>
      <c r="B41" s="140" t="str">
        <f>VLOOKUP(A41,'The List'!B1:D665,3,FALSE)</f>
        <v>G</v>
      </c>
      <c r="C41" s="175">
        <f>RANK(E41,E3:E65)</f>
        <v>39</v>
      </c>
      <c r="D41" s="65" t="str">
        <f>VLOOKUP(A41,'The List'!B1:F665,5,FALSE)</f>
        <v>DET</v>
      </c>
      <c r="E41" s="54">
        <f>VLOOKUP(A41,'The List'!B1:I665,8,FALSE)</f>
        <v>225.12421906563173</v>
      </c>
      <c r="F41" s="54">
        <f>IF(Settings!$E$15="POINTS",E41-VLOOKUP(B$2,C1:E65,3,FALSE),J41)</f>
        <v>-185.53552370378844</v>
      </c>
      <c r="G41" s="54"/>
      <c r="H41" s="167">
        <f>RANK(I41,I3:I65)</f>
        <v>39</v>
      </c>
      <c r="I41" s="168">
        <f>VLOOKUP(A41,'Standard Deviations'!A1:C666,3,FALSE)</f>
        <v>-1.7848079818399203</v>
      </c>
      <c r="J41" s="168">
        <f>I41-VLOOKUP(B$2,H1:J65,2,FALSE)</f>
        <v>-6.1380222822316419</v>
      </c>
    </row>
    <row r="42" spans="1:10" ht="21.25" customHeight="1" x14ac:dyDescent="0.15">
      <c r="A42" s="9" t="s">
        <v>575</v>
      </c>
      <c r="B42" s="140" t="str">
        <f>VLOOKUP(A42,'The List'!B1:D665,3,FALSE)</f>
        <v>G</v>
      </c>
      <c r="C42" s="175">
        <f>RANK(E42,E3:E65)</f>
        <v>40</v>
      </c>
      <c r="D42" s="65" t="str">
        <f>VLOOKUP(A42,'The List'!B1:F665,5,FALSE)</f>
        <v>SEA</v>
      </c>
      <c r="E42" s="54">
        <f>VLOOKUP(A42,'The List'!B1:I665,8,FALSE)</f>
        <v>208.9467107048406</v>
      </c>
      <c r="F42" s="54">
        <f>IF(Settings!$E$15="POINTS",E42-VLOOKUP(B$2,C1:E65,3,FALSE),J42)</f>
        <v>-201.71303206457958</v>
      </c>
      <c r="G42" s="54"/>
      <c r="H42" s="167">
        <f>RANK(I42,I3:I65)</f>
        <v>37</v>
      </c>
      <c r="I42" s="168">
        <f>VLOOKUP(A42,'Standard Deviations'!A1:C666,3,FALSE)</f>
        <v>-1.6701449043453991</v>
      </c>
      <c r="J42" s="168">
        <f>I42-VLOOKUP(B$2,H1:J65,2,FALSE)</f>
        <v>-6.0233592047371207</v>
      </c>
    </row>
    <row r="43" spans="1:10" ht="21.25" customHeight="1" x14ac:dyDescent="0.15">
      <c r="A43" s="9" t="s">
        <v>580</v>
      </c>
      <c r="B43" s="140" t="str">
        <f>VLOOKUP(A43,'The List'!B1:D665,3,FALSE)</f>
        <v>G</v>
      </c>
      <c r="C43" s="175">
        <f>RANK(E43,E3:E65)</f>
        <v>41</v>
      </c>
      <c r="D43" s="65" t="str">
        <f>VLOOKUP(A43,'The List'!B1:F665,5,FALSE)</f>
        <v>BUF</v>
      </c>
      <c r="E43" s="54">
        <f>VLOOKUP(A43,'The List'!B1:I665,8,FALSE)</f>
        <v>207.25269198750368</v>
      </c>
      <c r="F43" s="54">
        <f>IF(Settings!$E$15="POINTS",E43-VLOOKUP(B$2,C1:E65,3,FALSE),J43)</f>
        <v>-203.4070507819165</v>
      </c>
      <c r="G43" s="54"/>
      <c r="H43" s="167">
        <f>RANK(I43,I3:I65)</f>
        <v>46</v>
      </c>
      <c r="I43" s="168">
        <f>VLOOKUP(A43,'Standard Deviations'!A1:C666,3,FALSE)</f>
        <v>-3.0601746030069932</v>
      </c>
      <c r="J43" s="168">
        <f>I43-VLOOKUP(B$2,H1:J65,2,FALSE)</f>
        <v>-7.4133889033987153</v>
      </c>
    </row>
    <row r="44" spans="1:10" ht="21.25" customHeight="1" x14ac:dyDescent="0.15">
      <c r="A44" s="9" t="s">
        <v>600</v>
      </c>
      <c r="B44" s="140" t="str">
        <f>VLOOKUP(A44,'The List'!B1:D665,3,FALSE)</f>
        <v>G</v>
      </c>
      <c r="C44" s="175">
        <f>RANK(E44,E3:E65)</f>
        <v>42</v>
      </c>
      <c r="D44" s="65" t="str">
        <f>VLOOKUP(A44,'The List'!B1:F665,5,FALSE)</f>
        <v>UTA</v>
      </c>
      <c r="E44" s="54">
        <f>VLOOKUP(A44,'The List'!B1:I665,8,FALSE)</f>
        <v>199.00826660033721</v>
      </c>
      <c r="F44" s="54">
        <f>IF(Settings!$E$15="POINTS",E44-VLOOKUP(B$2,C1:E65,3,FALSE),J44)</f>
        <v>-211.65147616908297</v>
      </c>
      <c r="G44" s="54"/>
      <c r="H44" s="167">
        <f>RANK(I44,I3:I65)</f>
        <v>48</v>
      </c>
      <c r="I44" s="168">
        <f>VLOOKUP(A44,'Standard Deviations'!A1:C666,3,FALSE)</f>
        <v>-3.1426826224805509</v>
      </c>
      <c r="J44" s="168">
        <f>I44-VLOOKUP(B$2,H1:J65,2,FALSE)</f>
        <v>-7.4958969228722729</v>
      </c>
    </row>
    <row r="45" spans="1:10" ht="21.25" customHeight="1" x14ac:dyDescent="0.15">
      <c r="A45" s="9" t="s">
        <v>602</v>
      </c>
      <c r="B45" s="140" t="str">
        <f>VLOOKUP(A45,'The List'!B1:D665,3,FALSE)</f>
        <v>G</v>
      </c>
      <c r="C45" s="175">
        <f>RANK(E45,E3:E65)</f>
        <v>43</v>
      </c>
      <c r="D45" s="65" t="str">
        <f>VLOOKUP(A45,'The List'!B1:F665,5,FALSE)</f>
        <v>VGK</v>
      </c>
      <c r="E45" s="54">
        <f>VLOOKUP(A45,'The List'!B1:I665,8,FALSE)</f>
        <v>197.63349494883602</v>
      </c>
      <c r="F45" s="54">
        <f>IF(Settings!$E$15="POINTS",E45-VLOOKUP(B$2,C1:E65,3,FALSE),J45)</f>
        <v>-213.02624782058416</v>
      </c>
      <c r="G45" s="54"/>
      <c r="H45" s="167">
        <f>RANK(I45,I3:I65)</f>
        <v>31</v>
      </c>
      <c r="I45" s="168">
        <f>VLOOKUP(A45,'Standard Deviations'!A1:C666,3,FALSE)</f>
        <v>-0.73714157574669481</v>
      </c>
      <c r="J45" s="168">
        <f>I45-VLOOKUP(B$2,H1:J65,2,FALSE)</f>
        <v>-5.0903558761384167</v>
      </c>
    </row>
    <row r="46" spans="1:10" ht="21.25" customHeight="1" x14ac:dyDescent="0.15">
      <c r="A46" s="9" t="s">
        <v>606</v>
      </c>
      <c r="B46" s="140" t="str">
        <f>VLOOKUP(A46,'The List'!B1:D665,3,FALSE)</f>
        <v>G</v>
      </c>
      <c r="C46" s="175">
        <f>RANK(E46,E3:E65)</f>
        <v>44</v>
      </c>
      <c r="D46" s="65" t="str">
        <f>VLOOKUP(A46,'The List'!B1:F665,5,FALSE)</f>
        <v>OTT</v>
      </c>
      <c r="E46" s="54">
        <f>VLOOKUP(A46,'The List'!B1:I665,8,FALSE)</f>
        <v>194.07372773802246</v>
      </c>
      <c r="F46" s="54">
        <f>IF(Settings!$E$15="POINTS",E46-VLOOKUP(B$2,C1:E65,3,FALSE),J46)</f>
        <v>-216.58601503139772</v>
      </c>
      <c r="G46" s="54"/>
      <c r="H46" s="167">
        <f>RANK(I46,I3:I65)</f>
        <v>52</v>
      </c>
      <c r="I46" s="168">
        <f>VLOOKUP(A46,'Standard Deviations'!A1:C666,3,FALSE)</f>
        <v>-3.6261160074797743</v>
      </c>
      <c r="J46" s="168">
        <f>I46-VLOOKUP(B$2,H1:J65,2,FALSE)</f>
        <v>-7.9793303078714963</v>
      </c>
    </row>
    <row r="47" spans="1:10" ht="21.25" customHeight="1" x14ac:dyDescent="0.15">
      <c r="A47" s="9" t="s">
        <v>613</v>
      </c>
      <c r="B47" s="140" t="str">
        <f>VLOOKUP(A47,'The List'!B1:D665,3,FALSE)</f>
        <v>G</v>
      </c>
      <c r="C47" s="175">
        <f>RANK(E47,E3:E65)</f>
        <v>45</v>
      </c>
      <c r="D47" s="65" t="str">
        <f>VLOOKUP(A47,'The List'!B1:F665,5,FALSE)</f>
        <v>PIT</v>
      </c>
      <c r="E47" s="54">
        <f>VLOOKUP(A47,'The List'!B1:I665,8,FALSE)</f>
        <v>192.75773850605896</v>
      </c>
      <c r="F47" s="54">
        <f>IF(Settings!$E$15="POINTS",E47-VLOOKUP(B$2,C1:E65,3,FALSE),J47)</f>
        <v>-217.90200426336122</v>
      </c>
      <c r="G47" s="54"/>
      <c r="H47" s="167">
        <f>RANK(I47,I3:I65)</f>
        <v>47</v>
      </c>
      <c r="I47" s="168">
        <f>VLOOKUP(A47,'Standard Deviations'!A1:C666,3,FALSE)</f>
        <v>-3.1304411405234078</v>
      </c>
      <c r="J47" s="168">
        <f>I47-VLOOKUP(B$2,H1:J65,2,FALSE)</f>
        <v>-7.483655440915129</v>
      </c>
    </row>
    <row r="48" spans="1:10" ht="21.25" customHeight="1" x14ac:dyDescent="0.15">
      <c r="A48" s="9" t="s">
        <v>625</v>
      </c>
      <c r="B48" s="140" t="str">
        <f>VLOOKUP(A48,'The List'!B1:D665,3,FALSE)</f>
        <v>G</v>
      </c>
      <c r="C48" s="175">
        <f>RANK(E48,E3:E65)</f>
        <v>46</v>
      </c>
      <c r="D48" s="65" t="str">
        <f>VLOOKUP(A48,'The List'!B1:F665,5,FALSE)</f>
        <v>S.J</v>
      </c>
      <c r="E48" s="54">
        <f>VLOOKUP(A48,'The List'!B1:I665,8,FALSE)</f>
        <v>188.55837391838486</v>
      </c>
      <c r="F48" s="54">
        <f>IF(Settings!$E$15="POINTS",E48-VLOOKUP(B$2,C1:E65,3,FALSE),J48)</f>
        <v>-222.10136885103532</v>
      </c>
      <c r="G48" s="54"/>
      <c r="H48" s="167">
        <f>RANK(I48,I3:I65)</f>
        <v>58</v>
      </c>
      <c r="I48" s="168">
        <f>VLOOKUP(A48,'Standard Deviations'!A1:C666,3,FALSE)</f>
        <v>-4.4419760011590697</v>
      </c>
      <c r="J48" s="168">
        <f>I48-VLOOKUP(B$2,H1:J65,2,FALSE)</f>
        <v>-8.7951903015507913</v>
      </c>
    </row>
    <row r="49" spans="1:10" ht="21.25" customHeight="1" x14ac:dyDescent="0.15">
      <c r="A49" s="9" t="s">
        <v>649</v>
      </c>
      <c r="B49" s="140" t="str">
        <f>VLOOKUP(A49,'The List'!B1:D665,3,FALSE)</f>
        <v>G</v>
      </c>
      <c r="C49" s="175">
        <f>RANK(E49,E3:E65)</f>
        <v>47</v>
      </c>
      <c r="D49" s="65" t="str">
        <f>VLOOKUP(A49,'The List'!B1:F665,5,FALSE)</f>
        <v>MIN</v>
      </c>
      <c r="E49" s="54">
        <f>VLOOKUP(A49,'The List'!B1:I665,8,FALSE)</f>
        <v>180.89706206575624</v>
      </c>
      <c r="F49" s="54">
        <f>IF(Settings!$E$15="POINTS",E49-VLOOKUP(B$2,C1:E65,3,FALSE),J49)</f>
        <v>-229.76268070366393</v>
      </c>
      <c r="G49" s="54"/>
      <c r="H49" s="167">
        <f>RANK(I49,I3:I65)</f>
        <v>29</v>
      </c>
      <c r="I49" s="168">
        <f>VLOOKUP(A49,'Standard Deviations'!A1:C666,3,FALSE)</f>
        <v>-0.6257962141525315</v>
      </c>
      <c r="J49" s="168">
        <f>I49-VLOOKUP(B$2,H1:J65,2,FALSE)</f>
        <v>-4.9790105145442531</v>
      </c>
    </row>
    <row r="50" spans="1:10" ht="21.25" customHeight="1" x14ac:dyDescent="0.15">
      <c r="A50" s="9" t="s">
        <v>652</v>
      </c>
      <c r="B50" s="140" t="str">
        <f>VLOOKUP(A50,'The List'!B1:D665,3,FALSE)</f>
        <v>G</v>
      </c>
      <c r="C50" s="175">
        <f>RANK(E50,E3:E65)</f>
        <v>48</v>
      </c>
      <c r="D50" s="65" t="str">
        <f>VLOOKUP(A50,'The List'!B1:F665,5,FALSE)</f>
        <v>NYI</v>
      </c>
      <c r="E50" s="54">
        <f>VLOOKUP(A50,'The List'!B1:I665,8,FALSE)</f>
        <v>180.13275968199662</v>
      </c>
      <c r="F50" s="54">
        <f>IF(Settings!$E$15="POINTS",E50-VLOOKUP(B$2,C1:E65,3,FALSE),J50)</f>
        <v>-230.52698308742356</v>
      </c>
      <c r="G50" s="54"/>
      <c r="H50" s="167">
        <f>RANK(I50,I3:I65)</f>
        <v>25</v>
      </c>
      <c r="I50" s="168">
        <f>VLOOKUP(A50,'Standard Deviations'!A1:C666,3,FALSE)</f>
        <v>0.50533754390033692</v>
      </c>
      <c r="J50" s="168">
        <f>I50-VLOOKUP(B$2,H1:J65,2,FALSE)</f>
        <v>-3.8478767564913845</v>
      </c>
    </row>
    <row r="51" spans="1:10" ht="21.25" customHeight="1" x14ac:dyDescent="0.15">
      <c r="A51" s="9" t="s">
        <v>656</v>
      </c>
      <c r="B51" s="140" t="str">
        <f>VLOOKUP(A51,'The List'!B1:D665,3,FALSE)</f>
        <v>G</v>
      </c>
      <c r="C51" s="175">
        <f>RANK(E51,E3:E65)</f>
        <v>49</v>
      </c>
      <c r="D51" s="65" t="str">
        <f>VLOOKUP(A51,'The List'!B1:F665,5,FALSE)</f>
        <v>COL</v>
      </c>
      <c r="E51" s="54">
        <f>VLOOKUP(A51,'The List'!B1:I665,8,FALSE)</f>
        <v>178.8766642425922</v>
      </c>
      <c r="F51" s="54">
        <f>IF(Settings!$E$15="POINTS",E51-VLOOKUP(B$2,C1:E65,3,FALSE),J51)</f>
        <v>-231.78307852682798</v>
      </c>
      <c r="G51" s="54"/>
      <c r="H51" s="167">
        <f>RANK(I51,I3:I65)</f>
        <v>35</v>
      </c>
      <c r="I51" s="168">
        <f>VLOOKUP(A51,'Standard Deviations'!A1:C666,3,FALSE)</f>
        <v>-1.4930343680534963</v>
      </c>
      <c r="J51" s="168">
        <f>I51-VLOOKUP(B$2,H1:J65,2,FALSE)</f>
        <v>-5.8462486684452184</v>
      </c>
    </row>
    <row r="52" spans="1:10" ht="21.25" customHeight="1" x14ac:dyDescent="0.15">
      <c r="A52" s="9" t="s">
        <v>658</v>
      </c>
      <c r="B52" s="140" t="str">
        <f>VLOOKUP(A52,'The List'!B1:D665,3,FALSE)</f>
        <v>G</v>
      </c>
      <c r="C52" s="175">
        <f>RANK(E52,E3:E65)</f>
        <v>50</v>
      </c>
      <c r="D52" s="65" t="str">
        <f>VLOOKUP(A52,'The List'!B1:F665,5,FALSE)</f>
        <v>MTL</v>
      </c>
      <c r="E52" s="54">
        <f>VLOOKUP(A52,'The List'!B1:I665,8,FALSE)</f>
        <v>177.34598743601799</v>
      </c>
      <c r="F52" s="54">
        <f>IF(Settings!$E$15="POINTS",E52-VLOOKUP(B$2,C1:E65,3,FALSE),J52)</f>
        <v>-233.31375533340218</v>
      </c>
      <c r="G52" s="54"/>
      <c r="H52" s="167">
        <f>RANK(I52,I3:I65)</f>
        <v>55</v>
      </c>
      <c r="I52" s="168">
        <f>VLOOKUP(A52,'Standard Deviations'!A1:C666,3,FALSE)</f>
        <v>-4.187814073187873</v>
      </c>
      <c r="J52" s="168">
        <f>I52-VLOOKUP(B$2,H1:J65,2,FALSE)</f>
        <v>-8.5410283735795947</v>
      </c>
    </row>
    <row r="53" spans="1:10" ht="21.25" customHeight="1" x14ac:dyDescent="0.15">
      <c r="A53" s="9" t="s">
        <v>671</v>
      </c>
      <c r="B53" s="140" t="str">
        <f>VLOOKUP(A53,'The List'!B1:D665,3,FALSE)</f>
        <v>G</v>
      </c>
      <c r="C53" s="175">
        <f>RANK(E53,E3:E65)</f>
        <v>51</v>
      </c>
      <c r="D53" s="65" t="str">
        <f>VLOOKUP(A53,'The List'!B1:F665,5,FALSE)</f>
        <v>STL</v>
      </c>
      <c r="E53" s="54">
        <f>VLOOKUP(A53,'The List'!B1:I665,8,FALSE)</f>
        <v>174.02206335662538</v>
      </c>
      <c r="F53" s="54">
        <f>IF(Settings!$E$15="POINTS",E53-VLOOKUP(B$2,C1:E65,3,FALSE),J53)</f>
        <v>-236.6376794127948</v>
      </c>
      <c r="G53" s="54"/>
      <c r="H53" s="167">
        <f>RANK(I53,I3:I65)</f>
        <v>44</v>
      </c>
      <c r="I53" s="168">
        <f>VLOOKUP(A53,'Standard Deviations'!A1:C666,3,FALSE)</f>
        <v>-3.0044694605504825</v>
      </c>
      <c r="J53" s="168">
        <f>I53-VLOOKUP(B$2,H1:J65,2,FALSE)</f>
        <v>-7.3576837609422041</v>
      </c>
    </row>
    <row r="54" spans="1:10" ht="21.25" customHeight="1" x14ac:dyDescent="0.15">
      <c r="A54" s="9" t="s">
        <v>695</v>
      </c>
      <c r="B54" s="140" t="str">
        <f>VLOOKUP(A54,'The List'!B1:D665,3,FALSE)</f>
        <v>G</v>
      </c>
      <c r="C54" s="175">
        <f>RANK(E54,E3:E65)</f>
        <v>53</v>
      </c>
      <c r="D54" s="65" t="str">
        <f>VLOOKUP(A54,'The List'!B1:F665,5,FALSE)</f>
        <v>L.A</v>
      </c>
      <c r="E54" s="54">
        <f>VLOOKUP(A54,'The List'!B1:I665,8,FALSE)</f>
        <v>165.03363648066005</v>
      </c>
      <c r="F54" s="54">
        <f>IF(Settings!$E$15="POINTS",E54-VLOOKUP(B$2,C1:E65,3,FALSE),J54)</f>
        <v>-245.62610628876013</v>
      </c>
      <c r="G54" s="54"/>
      <c r="H54" s="167">
        <f>RANK(I54,I3:I65)</f>
        <v>28</v>
      </c>
      <c r="I54" s="168">
        <f>VLOOKUP(A54,'Standard Deviations'!A1:C666,3,FALSE)</f>
        <v>-0.30424516161166593</v>
      </c>
      <c r="J54" s="168">
        <f>I54-VLOOKUP(B$2,H1:J65,2,FALSE)</f>
        <v>-4.6574594620033878</v>
      </c>
    </row>
    <row r="55" spans="1:10" ht="21.25" customHeight="1" x14ac:dyDescent="0.15">
      <c r="A55" s="9" t="s">
        <v>694</v>
      </c>
      <c r="B55" s="140" t="str">
        <f>VLOOKUP(A55,'The List'!B1:D665,3,FALSE)</f>
        <v>G</v>
      </c>
      <c r="C55" s="175">
        <f>RANK(E55,E3:E65)</f>
        <v>52</v>
      </c>
      <c r="D55" s="65" t="str">
        <f>VLOOKUP(A55,'The List'!B1:F665,5,FALSE)</f>
        <v>CBJ</v>
      </c>
      <c r="E55" s="54">
        <f>VLOOKUP(A55,'The List'!B1:I665,8,FALSE)</f>
        <v>165.33302393482927</v>
      </c>
      <c r="F55" s="54">
        <f>IF(Settings!$E$15="POINTS",E55-VLOOKUP(B$2,C1:E65,3,FALSE),J55)</f>
        <v>-245.32671883459091</v>
      </c>
      <c r="G55" s="54"/>
      <c r="H55" s="167">
        <f>RANK(I55,I3:I65)</f>
        <v>59</v>
      </c>
      <c r="I55" s="168">
        <f>VLOOKUP(A55,'Standard Deviations'!A1:C666,3,FALSE)</f>
        <v>-4.4727209978241973</v>
      </c>
      <c r="J55" s="168">
        <f>I55-VLOOKUP(B$2,H1:J65,2,FALSE)</f>
        <v>-8.8259352982159189</v>
      </c>
    </row>
    <row r="56" spans="1:10" ht="21.25" customHeight="1" x14ac:dyDescent="0.15">
      <c r="A56" s="9" t="s">
        <v>705</v>
      </c>
      <c r="B56" s="140" t="str">
        <f>VLOOKUP(A56,'The List'!B1:D665,3,FALSE)</f>
        <v>G</v>
      </c>
      <c r="C56" s="175">
        <f>RANK(E56,E3:E65)</f>
        <v>54</v>
      </c>
      <c r="D56" s="65" t="str">
        <f>VLOOKUP(A56,'The List'!B1:F665,5,FALSE)</f>
        <v>EDM</v>
      </c>
      <c r="E56" s="54">
        <f>VLOOKUP(A56,'The List'!B1:I665,8,FALSE)</f>
        <v>159.66484646927185</v>
      </c>
      <c r="F56" s="54">
        <f>IF(Settings!$E$15="POINTS",E56-VLOOKUP(B$2,C1:E65,3,FALSE),J56)</f>
        <v>-250.99489630014833</v>
      </c>
      <c r="G56" s="54"/>
      <c r="H56" s="167">
        <f>RANK(I56,I3:I65)</f>
        <v>41</v>
      </c>
      <c r="I56" s="168">
        <f>VLOOKUP(A56,'Standard Deviations'!A1:C666,3,FALSE)</f>
        <v>-2.5128727341341333</v>
      </c>
      <c r="J56" s="168">
        <f>I56-VLOOKUP(B$2,H1:J65,2,FALSE)</f>
        <v>-6.8660870345258544</v>
      </c>
    </row>
    <row r="57" spans="1:10" ht="21.25" customHeight="1" x14ac:dyDescent="0.15">
      <c r="A57" s="9" t="s">
        <v>708</v>
      </c>
      <c r="B57" s="140" t="str">
        <f>VLOOKUP(A57,'The List'!B1:D665,3,FALSE)</f>
        <v>G</v>
      </c>
      <c r="C57" s="175">
        <f>RANK(E57,E3:E65)</f>
        <v>55</v>
      </c>
      <c r="D57" s="65" t="str">
        <f>VLOOKUP(A57,'The List'!B1:F665,5,FALSE)</f>
        <v>BOS</v>
      </c>
      <c r="E57" s="54">
        <f>VLOOKUP(A57,'The List'!B1:I665,8,FALSE)</f>
        <v>157.8450811637</v>
      </c>
      <c r="F57" s="54">
        <f>IF(Settings!$E$15="POINTS",E57-VLOOKUP(B$2,C1:E65,3,FALSE),J57)</f>
        <v>-252.81466160572018</v>
      </c>
      <c r="G57" s="54"/>
      <c r="H57" s="167">
        <f>RANK(I57,I3:I65)</f>
        <v>50</v>
      </c>
      <c r="I57" s="168">
        <f>VLOOKUP(A57,'Standard Deviations'!A1:C666,3,FALSE)</f>
        <v>-3.2700322714841463</v>
      </c>
      <c r="J57" s="168">
        <f>I57-VLOOKUP(B$2,H1:J65,2,FALSE)</f>
        <v>-7.6232465718758675</v>
      </c>
    </row>
    <row r="58" spans="1:10" ht="21.25" customHeight="1" x14ac:dyDescent="0.15">
      <c r="A58" s="9" t="s">
        <v>710</v>
      </c>
      <c r="B58" s="140" t="str">
        <f>VLOOKUP(A58,'The List'!B1:D665,3,FALSE)</f>
        <v>G</v>
      </c>
      <c r="C58" s="175">
        <f>RANK(E58,E3:E65)</f>
        <v>56</v>
      </c>
      <c r="D58" s="65" t="str">
        <f>VLOOKUP(A58,'The List'!B1:F665,5,FALSE)</f>
        <v>PHI</v>
      </c>
      <c r="E58" s="54">
        <f>VLOOKUP(A58,'The List'!B1:I665,8,FALSE)</f>
        <v>157.56344122910076</v>
      </c>
      <c r="F58" s="54">
        <f>IF(Settings!$E$15="POINTS",E58-VLOOKUP(B$2,C1:E65,3,FALSE),J58)</f>
        <v>-253.09630154031942</v>
      </c>
      <c r="G58" s="54"/>
      <c r="H58" s="167">
        <f>RANK(I58,I3:I65)</f>
        <v>61</v>
      </c>
      <c r="I58" s="168">
        <f>VLOOKUP(A58,'Standard Deviations'!A1:C666,3,FALSE)</f>
        <v>-4.6993409430601405</v>
      </c>
      <c r="J58" s="168">
        <f>I58-VLOOKUP(B$2,H1:J65,2,FALSE)</f>
        <v>-9.052555243451863</v>
      </c>
    </row>
    <row r="59" spans="1:10" ht="21.25" customHeight="1" x14ac:dyDescent="0.15">
      <c r="A59" s="9" t="s">
        <v>716</v>
      </c>
      <c r="B59" s="140" t="str">
        <f>VLOOKUP(A59,'The List'!B1:D665,3,FALSE)</f>
        <v>G</v>
      </c>
      <c r="C59" s="175">
        <f>RANK(E59,E3:E65)</f>
        <v>57</v>
      </c>
      <c r="D59" s="65" t="str">
        <f>VLOOKUP(A59,'The List'!B1:F665,5,FALSE)</f>
        <v>N.J</v>
      </c>
      <c r="E59" s="54">
        <f>VLOOKUP(A59,'The List'!B1:I665,8,FALSE)</f>
        <v>155.21166266580104</v>
      </c>
      <c r="F59" s="54">
        <f>IF(Settings!$E$15="POINTS",E59-VLOOKUP(B$2,C1:E65,3,FALSE),J59)</f>
        <v>-255.44808010361913</v>
      </c>
      <c r="G59" s="54"/>
      <c r="H59" s="167">
        <f>RANK(I59,I3:I65)</f>
        <v>43</v>
      </c>
      <c r="I59" s="168">
        <f>VLOOKUP(A59,'Standard Deviations'!A1:C666,3,FALSE)</f>
        <v>-2.6310696941027336</v>
      </c>
      <c r="J59" s="168">
        <f>I59-VLOOKUP(B$2,H1:J65,2,FALSE)</f>
        <v>-6.9842839944944552</v>
      </c>
    </row>
    <row r="60" spans="1:10" ht="21.25" customHeight="1" x14ac:dyDescent="0.15">
      <c r="A60" s="9" t="s">
        <v>755</v>
      </c>
      <c r="B60" s="140" t="str">
        <f>VLOOKUP(A60,'The List'!B1:D665,3,FALSE)</f>
        <v>G</v>
      </c>
      <c r="C60" s="175">
        <f>RANK(E60,E3:E65)</f>
        <v>58</v>
      </c>
      <c r="D60" s="65" t="str">
        <f>VLOOKUP(A60,'The List'!B1:F665,5,FALSE)</f>
        <v>FLA</v>
      </c>
      <c r="E60" s="54">
        <f>VLOOKUP(A60,'The List'!B1:I665,8,FALSE)</f>
        <v>135.54955430075773</v>
      </c>
      <c r="F60" s="54">
        <f>IF(Settings!$E$15="POINTS",E60-VLOOKUP(B$2,C1:E65,3,FALSE),J60)</f>
        <v>-275.11018846866244</v>
      </c>
      <c r="G60" s="54"/>
      <c r="H60" s="167">
        <f>RANK(I60,I3:I65)</f>
        <v>42</v>
      </c>
      <c r="I60" s="168">
        <f>VLOOKUP(A60,'Standard Deviations'!A1:C666,3,FALSE)</f>
        <v>-2.5440520538568157</v>
      </c>
      <c r="J60" s="168">
        <f>I60-VLOOKUP(B$2,H1:J65,2,FALSE)</f>
        <v>-6.8972663542485373</v>
      </c>
    </row>
    <row r="61" spans="1:10" ht="21.25" customHeight="1" x14ac:dyDescent="0.15">
      <c r="A61" s="9" t="s">
        <v>760</v>
      </c>
      <c r="B61" s="140" t="str">
        <f>VLOOKUP(A61,'The List'!B1:D665,3,FALSE)</f>
        <v>G</v>
      </c>
      <c r="C61" s="175">
        <f>RANK(E61,E3:E65)</f>
        <v>59</v>
      </c>
      <c r="D61" s="65" t="str">
        <f>VLOOKUP(A61,'The List'!B1:F665,5,FALSE)</f>
        <v>VAN</v>
      </c>
      <c r="E61" s="54">
        <f>VLOOKUP(A61,'The List'!B1:I665,8,FALSE)</f>
        <v>132.91297193364059</v>
      </c>
      <c r="F61" s="54">
        <f>IF(Settings!$E$15="POINTS",E61-VLOOKUP(B$2,C1:E65,3,FALSE),J61)</f>
        <v>-277.74677083577956</v>
      </c>
      <c r="G61" s="54"/>
      <c r="H61" s="167">
        <f>RANK(I61,I3:I65)</f>
        <v>49</v>
      </c>
      <c r="I61" s="168">
        <f>VLOOKUP(A61,'Standard Deviations'!A1:C666,3,FALSE)</f>
        <v>-3.2244844683854108</v>
      </c>
      <c r="J61" s="168">
        <f>I61-VLOOKUP(B$2,H1:J65,2,FALSE)</f>
        <v>-7.5776987687771324</v>
      </c>
    </row>
    <row r="62" spans="1:10" ht="21.25" customHeight="1" x14ac:dyDescent="0.15">
      <c r="A62" s="9" t="s">
        <v>773</v>
      </c>
      <c r="B62" s="140" t="str">
        <f>VLOOKUP(A62,'The List'!B1:D665,3,FALSE)</f>
        <v>G</v>
      </c>
      <c r="C62" s="175">
        <f>RANK(E62,E3:E65)</f>
        <v>60</v>
      </c>
      <c r="D62" s="65" t="str">
        <f>VLOOKUP(A62,'The List'!B1:F665,5,FALSE)</f>
        <v>NSH</v>
      </c>
      <c r="E62" s="54">
        <f>VLOOKUP(A62,'The List'!B1:I665,8,FALSE)</f>
        <v>121.26869330562698</v>
      </c>
      <c r="F62" s="54">
        <f>IF(Settings!$E$15="POINTS",E62-VLOOKUP(B$2,C1:E65,3,FALSE),J62)</f>
        <v>-289.39104946379319</v>
      </c>
      <c r="G62" s="54"/>
      <c r="H62" s="167">
        <f>RANK(I62,I3:I65)</f>
        <v>60</v>
      </c>
      <c r="I62" s="168">
        <f>VLOOKUP(A62,'Standard Deviations'!A1:C666,3,FALSE)</f>
        <v>-4.474881749738195</v>
      </c>
      <c r="J62" s="168">
        <f>I62-VLOOKUP(B$2,H1:J65,2,FALSE)</f>
        <v>-8.8280960501299166</v>
      </c>
    </row>
    <row r="63" spans="1:10" ht="21.25" customHeight="1" x14ac:dyDescent="0.15">
      <c r="A63" s="9" t="s">
        <v>775</v>
      </c>
      <c r="B63" s="140" t="str">
        <f>VLOOKUP(A63,'The List'!B1:D665,3,FALSE)</f>
        <v>G</v>
      </c>
      <c r="C63" s="175">
        <f>RANK(E63,E3:E65)</f>
        <v>61</v>
      </c>
      <c r="D63" s="65" t="str">
        <f>VLOOKUP(A63,'The List'!B1:F665,5,FALSE)</f>
        <v>NYR</v>
      </c>
      <c r="E63" s="54">
        <f>VLOOKUP(A63,'The List'!B1:I665,8,FALSE)</f>
        <v>118.70046708719246</v>
      </c>
      <c r="F63" s="54">
        <f>IF(Settings!$E$15="POINTS",E63-VLOOKUP(B$2,C1:E65,3,FALSE),J63)</f>
        <v>-291.95927568222771</v>
      </c>
      <c r="G63" s="54"/>
      <c r="H63" s="167">
        <f>RANK(I63,I3:I65)</f>
        <v>56</v>
      </c>
      <c r="I63" s="168">
        <f>VLOOKUP(A63,'Standard Deviations'!A1:C666,3,FALSE)</f>
        <v>-4.3151439269783403</v>
      </c>
      <c r="J63" s="168">
        <f>I63-VLOOKUP(B$2,H1:J65,2,FALSE)</f>
        <v>-8.6683582273700619</v>
      </c>
    </row>
    <row r="64" spans="1:10" ht="21.25" customHeight="1" x14ac:dyDescent="0.15">
      <c r="A64" s="9" t="s">
        <v>776</v>
      </c>
      <c r="B64" s="140" t="str">
        <f>VLOOKUP(A64,'The List'!B1:D665,3,FALSE)</f>
        <v>G</v>
      </c>
      <c r="C64" s="175">
        <f>RANK(E64,E3:E65)</f>
        <v>62</v>
      </c>
      <c r="D64" s="65" t="str">
        <f>VLOOKUP(A64,'The List'!B1:F665,5,FALSE)</f>
        <v>T.B</v>
      </c>
      <c r="E64" s="54">
        <f>VLOOKUP(A64,'The List'!B1:I665,8,FALSE)</f>
        <v>116.3892684539889</v>
      </c>
      <c r="F64" s="54">
        <f>IF(Settings!$E$15="POINTS",E64-VLOOKUP(B$2,C1:E65,3,FALSE),J64)</f>
        <v>-294.27047431543127</v>
      </c>
      <c r="G64" s="54"/>
      <c r="H64" s="167">
        <f>RANK(I64,I3:I65)</f>
        <v>63</v>
      </c>
      <c r="I64" s="168">
        <f>VLOOKUP(A64,'Standard Deviations'!A1:C666,3,FALSE)</f>
        <v>-5.2933982497701422</v>
      </c>
      <c r="J64" s="168">
        <f>I64-VLOOKUP(B$2,H1:J65,2,FALSE)</f>
        <v>-9.6466125501618638</v>
      </c>
    </row>
    <row r="65" spans="1:10" ht="21.25" customHeight="1" x14ac:dyDescent="0.15">
      <c r="A65" s="9" t="s">
        <v>780</v>
      </c>
      <c r="B65" s="140" t="str">
        <f>VLOOKUP(A65,'The List'!B1:D665,3,FALSE)</f>
        <v>G</v>
      </c>
      <c r="C65" s="175">
        <f>RANK(E65,E3:E65)</f>
        <v>63</v>
      </c>
      <c r="D65" s="65" t="str">
        <f>VLOOKUP(A65,'The List'!B1:F665,5,FALSE)</f>
        <v>WPG</v>
      </c>
      <c r="E65" s="54">
        <f>VLOOKUP(A65,'The List'!B1:I665,8,FALSE)</f>
        <v>113.00263137177984</v>
      </c>
      <c r="F65" s="54">
        <f>IF(Settings!$E$15="POINTS",E65-VLOOKUP(B$2,C1:E65,3,FALSE),J65)</f>
        <v>-297.65711139764034</v>
      </c>
      <c r="G65" s="54"/>
      <c r="H65" s="167">
        <f>RANK(I65,I3:I65)</f>
        <v>62</v>
      </c>
      <c r="I65" s="168">
        <f>VLOOKUP(A65,'Standard Deviations'!A1:C666,3,FALSE)</f>
        <v>-4.7880271721146004</v>
      </c>
      <c r="J65" s="168">
        <f>I65-VLOOKUP(B$2,H1:J65,2,FALSE)</f>
        <v>-9.1412414725063229</v>
      </c>
    </row>
  </sheetData>
  <conditionalFormatting sqref="C3:C65 H3:H65">
    <cfRule type="containsText" dxfId="5" priority="1" stopIfTrue="1" operator="containsText" text="/">
      <formula>NOT(ISERROR(FIND(UPPER("/"),UPPER(C3))))</formula>
      <formula>"/"</formula>
    </cfRule>
    <cfRule type="containsText" dxfId="4" priority="2" stopIfTrue="1" operator="containsText" text="C">
      <formula>NOT(ISERROR(FIND(UPPER("C"),UPPER(C3))))</formula>
      <formula>"C"</formula>
    </cfRule>
    <cfRule type="containsText" dxfId="3" priority="3" stopIfTrue="1" operator="containsText" text="D">
      <formula>NOT(ISERROR(FIND(UPPER("D"),UPPER(C3))))</formula>
      <formula>"D"</formula>
    </cfRule>
    <cfRule type="containsText" dxfId="2" priority="4" stopIfTrue="1" operator="containsText" text="LW">
      <formula>NOT(ISERROR(FIND(UPPER("LW"),UPPER(C3))))</formula>
      <formula>"LW"</formula>
    </cfRule>
    <cfRule type="containsText" dxfId="1" priority="5" stopIfTrue="1" operator="containsText" text="RW">
      <formula>NOT(ISERROR(FIND(UPPER("RW"),UPPER(C3))))</formula>
      <formula>"RW"</formula>
    </cfRule>
    <cfRule type="containsText" dxfId="0" priority="6" stopIfTrue="1" operator="containsText" text="G">
      <formula>NOT(ISERROR(FIND(UPPER("G"),UPPER(C3))))</formula>
      <formula>"G"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Settings</vt:lpstr>
      <vt:lpstr>The List</vt:lpstr>
      <vt:lpstr>Team Comparison</vt:lpstr>
      <vt:lpstr>F</vt:lpstr>
      <vt:lpstr>C</vt:lpstr>
      <vt:lpstr>LW</vt:lpstr>
      <vt:lpstr>RW</vt:lpstr>
      <vt:lpstr>D</vt:lpstr>
      <vt:lpstr>G</vt:lpstr>
      <vt:lpstr>ADP</vt:lpstr>
      <vt:lpstr>Player Data</vt:lpstr>
      <vt:lpstr>Standard Deviations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 Luszczyszyn</cp:lastModifiedBy>
  <dcterms:modified xsi:type="dcterms:W3CDTF">2024-09-02T16:53:30Z</dcterms:modified>
</cp:coreProperties>
</file>